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5.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6.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saveExternalLinkValues="0" codeName="ThisWorkbook"/>
  <mc:AlternateContent xmlns:mc="http://schemas.openxmlformats.org/markup-compatibility/2006">
    <mc:Choice Requires="x15">
      <x15ac:absPath xmlns:x15ac="http://schemas.microsoft.com/office/spreadsheetml/2010/11/ac" url="C:\Users\lemolina\Desktop\"/>
    </mc:Choice>
  </mc:AlternateContent>
  <bookViews>
    <workbookView xWindow="0" yWindow="0" windowWidth="25200" windowHeight="12030" tabRatio="720"/>
  </bookViews>
  <sheets>
    <sheet name="PORTADA" sheetId="19" r:id="rId1"/>
    <sheet name="Objetivos" sheetId="20" r:id="rId2"/>
    <sheet name="Programas" sheetId="22" r:id="rId3"/>
    <sheet name="Entidades" sheetId="25" r:id="rId4"/>
    <sheet name="Datos_Prog" sheetId="23" state="hidden" r:id="rId5"/>
    <sheet name="calculo_ESP" sheetId="24" state="hidden" r:id="rId6"/>
    <sheet name="Meta de Producto" sheetId="18" r:id="rId7"/>
    <sheet name="Datos_Producto" sheetId="17" state="hidden" r:id="rId8"/>
    <sheet name="Metas de Resultado" sheetId="9" r:id="rId9"/>
    <sheet name="Hoja2" sheetId="27" state="hidden" r:id="rId10"/>
    <sheet name="datos_Resultado" sheetId="16" state="hidden" r:id="rId11"/>
  </sheets>
  <externalReferences>
    <externalReference r:id="rId12"/>
  </externalReferences>
  <definedNames>
    <definedName name="_xlnm._FilterDatabase" localSheetId="7" hidden="1">Datos_Producto!$E$4:$EE$542</definedName>
    <definedName name="_xlnm._FilterDatabase" localSheetId="4" hidden="1">Datos_Prog!$A$18:$FF$62</definedName>
    <definedName name="_xlnm._FilterDatabase" localSheetId="10" hidden="1">datos_Resultado!$C$4:$CA$106</definedName>
    <definedName name="_xlnm._FilterDatabase" localSheetId="3" hidden="1">Entidades!#REF!</definedName>
    <definedName name="_xlnm._FilterDatabase" localSheetId="6" hidden="1">'Meta de Producto'!#REF!</definedName>
    <definedName name="_xlnm._FilterDatabase" localSheetId="8" hidden="1">'Metas de Resultado'!#REF!</definedName>
    <definedName name="_xlnm._FilterDatabase" localSheetId="2" hidden="1">Programas!#REF!</definedName>
    <definedName name="ACCION_COMUNAL">datos_Resultado!$E$130</definedName>
    <definedName name="AGRICULTURA">datos_Resultado!$F$130:$F$132</definedName>
    <definedName name="AGRICULTURA." localSheetId="6">Datos_Producto!$Q$560:$Q$589</definedName>
    <definedName name="AMBIENTE">datos_Resultado!$G$130:$G$132</definedName>
    <definedName name="AMBIENTE." localSheetId="6">Datos_Producto!$R$560:$R$589</definedName>
    <definedName name="BENEFICENCIA." localSheetId="6">Datos_Producto!$I$560:$I$564</definedName>
    <definedName name="BOSQUES">datos_Resultado!$H$130</definedName>
    <definedName name="BOSQUES." localSheetId="6">Datos_Producto!$R$580:$R$589</definedName>
    <definedName name="CIENCIA_Y_TECNOLOGIA">datos_Resultado!$I$130</definedName>
    <definedName name="CIENCIA_Y_TECNOLOGIA." localSheetId="6">Datos_Producto!$S$560:$S$575</definedName>
    <definedName name="COMPETITIVIDAD">datos_Resultado!$J$130:$J$131</definedName>
    <definedName name="COMPETITIVIDAD." localSheetId="6">Datos_Producto!$T$560:$T$577</definedName>
    <definedName name="CONTROL_INTERNO">datos_Resultado!$K$130</definedName>
    <definedName name="COOPERACION." localSheetId="6">Datos_Producto!$U$560</definedName>
    <definedName name="CORSOCUN." localSheetId="6">Datos_Producto!$J$560:$J$561</definedName>
    <definedName name="DESARROLLO_SOCIAL">datos_Resultado!$L$130:$L$139</definedName>
    <definedName name="DESARROLLO_SOCIAL." localSheetId="6">Datos_Producto!$V$560:$V$635</definedName>
    <definedName name="EDUCACION">datos_Resultado!$M$130:$M$138</definedName>
    <definedName name="EDUCACION." localSheetId="6">Datos_Producto!$W$560:$W$603</definedName>
    <definedName name="EJE_DESARROLLO_HUMANO_INTEGRAL">Datos_Prog!$D$70:$D$75</definedName>
    <definedName name="EJES">Datos_Prog!$C$69:$F$69</definedName>
    <definedName name="EJES.">Datos_Prog!$C$81:$F$81</definedName>
    <definedName name="ENTIDADES">Datos_Producto!$H$559:$AI$559</definedName>
    <definedName name="ENTIDADES_1">Datos_Prog!$B$118:$B$144</definedName>
    <definedName name="ENTIDADESR" localSheetId="8">datos_Resultado!$D$129:$AA$129</definedName>
    <definedName name="EPC">datos_Resultado!$N$130:$N$131</definedName>
    <definedName name="EPC." localSheetId="6">Datos_Producto!$K$560:$K$570</definedName>
    <definedName name="FUNCION_PUBLICA." localSheetId="6">Datos_Producto!$X$560:$X$567</definedName>
    <definedName name="GENERAL">datos_Resultado!$O$130</definedName>
    <definedName name="GENERAL." localSheetId="6">Datos_Producto!$Y$560:$Y$563</definedName>
    <definedName name="GOBIERNO">datos_Resultado!$P$130:$P$137</definedName>
    <definedName name="GOBIERNO." localSheetId="6">Datos_Producto!$Z$560:$Z$607</definedName>
    <definedName name="HACIENDA." localSheetId="6">Datos_Producto!$AA$560:$AA$561</definedName>
    <definedName name="ICCU">datos_Resultado!$Q$130:$Q$132</definedName>
    <definedName name="ICCU." localSheetId="6">Datos_Producto!$L$560:$L$585</definedName>
    <definedName name="IDACO." localSheetId="6">Datos_Producto!$O$560:$O$571</definedName>
    <definedName name="IDECUT">datos_Resultado!$R$130:$R$131</definedName>
    <definedName name="IDECUT." localSheetId="6">Datos_Producto!$M$560:$M$600</definedName>
    <definedName name="INDEPORTES">datos_Resultado!$S$130:$S$136</definedName>
    <definedName name="INDEPORTES." localSheetId="6">Datos_Producto!$N$560:$N$596</definedName>
    <definedName name="INTEGRACION_REGIONAL">datos_Resultado!$T$130:$T$131</definedName>
    <definedName name="INTEGRACION_REGIONAL." localSheetId="6">Datos_Producto!$AB$560:$AB$565</definedName>
    <definedName name="MINAS">datos_Resultado!$U$130:$U$132</definedName>
    <definedName name="MINAS." localSheetId="6">Datos_Producto!$AD$560:$AD$565</definedName>
    <definedName name="MOVILIDAD">datos_Resultado!$V$130:$V$135</definedName>
    <definedName name="MOVILIDAD." localSheetId="6">Datos_Producto!$AE$560:$AE$563</definedName>
    <definedName name="OBJ_1">Datos_Prog!$C$82:$C$91</definedName>
    <definedName name="OBJ_2">Datos_Prog!$D$82:$D$89</definedName>
    <definedName name="OBJ_3">Datos_Prog!$E$82:$E$88</definedName>
    <definedName name="OBJ_4">Datos_Prog!$F$82:$F$89</definedName>
    <definedName name="PLANEACION">datos_Resultado!$W$130:$W$137</definedName>
    <definedName name="PLANEACION." localSheetId="6">Datos_Producto!$AF$560:$AF$584</definedName>
    <definedName name="PRENSA." localSheetId="6">Datos_Producto!$AG$560</definedName>
    <definedName name="SALUD">datos_Resultado!$X$130:$X$134</definedName>
    <definedName name="SALUD." localSheetId="6">Datos_Producto!$AH$560:$AH$606</definedName>
    <definedName name="SECTORES">[1]DatosP!$G$254:$G$272</definedName>
    <definedName name="TIC">datos_Resultado!$Y$130</definedName>
    <definedName name="TIC." localSheetId="6">Datos_Producto!$AC$560:$AC$580</definedName>
    <definedName name="TODAS" localSheetId="8">datos_Resultado!$D$130:$D$231</definedName>
    <definedName name="TODAS." localSheetId="6">Datos_Producto!$H$560:$H$1096</definedName>
    <definedName name="TODOS_PROG.">[1]Captura_R!$D$64:$AB$64</definedName>
    <definedName name="UAEPRAE">datos_Resultado!$Z$130</definedName>
    <definedName name="UAEPRAE." localSheetId="6">Datos_Producto!$AI$560:$AI$565</definedName>
    <definedName name="VIVIENDA">datos_Resultado!$AA$130</definedName>
    <definedName name="VIVIENDA." localSheetId="6">Datos_Producto!$P$560:$P$568</definedName>
  </definedNames>
  <calcPr calcId="152511"/>
  <pivotCaches>
    <pivotCache cacheId="0" r:id="rId13"/>
  </pivotCaches>
</workbook>
</file>

<file path=xl/calcChain.xml><?xml version="1.0" encoding="utf-8"?>
<calcChain xmlns="http://schemas.openxmlformats.org/spreadsheetml/2006/main">
  <c r="E25" i="9" l="1"/>
  <c r="F25" i="9"/>
  <c r="DK538" i="17" l="1"/>
  <c r="B37" i="9" l="1"/>
  <c r="E13" i="25" l="1"/>
  <c r="B38" i="22" l="1"/>
  <c r="B37" i="22"/>
  <c r="B36" i="22"/>
  <c r="B35" i="22"/>
  <c r="B34" i="22"/>
  <c r="B33" i="22"/>
  <c r="B32" i="22"/>
  <c r="B31" i="22"/>
  <c r="B30" i="22"/>
  <c r="B29" i="22"/>
  <c r="H24" i="22" l="1"/>
  <c r="H23" i="22"/>
  <c r="H22" i="22"/>
  <c r="H21" i="22"/>
  <c r="B81" i="20"/>
  <c r="B80" i="20"/>
  <c r="B79" i="20"/>
  <c r="B78" i="20"/>
  <c r="B77" i="20"/>
  <c r="B65" i="20"/>
  <c r="B64" i="20"/>
  <c r="B63" i="20"/>
  <c r="B62" i="20"/>
  <c r="B61" i="20"/>
  <c r="B49" i="20"/>
  <c r="B48" i="20"/>
  <c r="B47" i="20"/>
  <c r="B46" i="20"/>
  <c r="B45" i="20"/>
  <c r="B33" i="20"/>
  <c r="B32" i="20"/>
  <c r="B31" i="20"/>
  <c r="B30" i="20"/>
  <c r="B29" i="20"/>
  <c r="S8" i="23" l="1"/>
  <c r="S9" i="23"/>
  <c r="S10" i="23"/>
  <c r="S7" i="23"/>
  <c r="F74" i="20"/>
  <c r="F73" i="20"/>
  <c r="F72" i="20"/>
  <c r="F71" i="20"/>
  <c r="F58" i="20"/>
  <c r="F57" i="20"/>
  <c r="F56" i="20"/>
  <c r="F55" i="20"/>
  <c r="F42" i="20"/>
  <c r="F41" i="20"/>
  <c r="F40" i="20"/>
  <c r="F39" i="20"/>
  <c r="F26" i="20"/>
  <c r="F25" i="20"/>
  <c r="F24" i="20"/>
  <c r="F23" i="20"/>
  <c r="R11" i="23"/>
  <c r="F90" i="20" s="1"/>
  <c r="Q11" i="23"/>
  <c r="F89" i="20" s="1"/>
  <c r="P11" i="23"/>
  <c r="F88" i="20" s="1"/>
  <c r="O11" i="23"/>
  <c r="S11" i="23" s="1"/>
  <c r="BB57" i="23"/>
  <c r="BA57" i="23"/>
  <c r="AZ57" i="23"/>
  <c r="F87" i="20" l="1"/>
  <c r="G95" i="20" s="1"/>
  <c r="G96" i="20" s="1"/>
  <c r="G97" i="20" s="1"/>
  <c r="G98" i="20" s="1"/>
  <c r="F27" i="20"/>
  <c r="F75" i="20"/>
  <c r="F59" i="20"/>
  <c r="F43" i="20"/>
  <c r="D5" i="22"/>
  <c r="B20" i="25"/>
  <c r="AY57" i="23"/>
  <c r="F91" i="20" l="1"/>
  <c r="H25" i="22"/>
  <c r="D10" i="22" l="1"/>
  <c r="B49" i="25" l="1"/>
  <c r="C13" i="25"/>
  <c r="E17" i="25"/>
  <c r="E16" i="25"/>
  <c r="E15" i="25"/>
  <c r="E14" i="25"/>
  <c r="C16" i="25"/>
  <c r="C15" i="25"/>
  <c r="C14" i="25"/>
  <c r="B101" i="25" l="1"/>
  <c r="B72" i="25"/>
  <c r="B34" i="25"/>
  <c r="C49" i="25"/>
  <c r="N49" i="25"/>
  <c r="B71" i="25"/>
  <c r="B37" i="25"/>
  <c r="B92" i="25"/>
  <c r="B53" i="25"/>
  <c r="B99" i="25"/>
  <c r="B43" i="25"/>
  <c r="B59" i="25"/>
  <c r="B77" i="25"/>
  <c r="B31" i="25"/>
  <c r="B44" i="25"/>
  <c r="B60" i="25"/>
  <c r="B87" i="25"/>
  <c r="B40" i="25"/>
  <c r="B51" i="25"/>
  <c r="B64" i="25"/>
  <c r="B85" i="25"/>
  <c r="B36" i="25"/>
  <c r="B106" i="25"/>
  <c r="B102" i="25"/>
  <c r="B98" i="25"/>
  <c r="B94" i="25"/>
  <c r="B90" i="25"/>
  <c r="B86" i="25"/>
  <c r="B82" i="25"/>
  <c r="B78" i="25"/>
  <c r="B74" i="25"/>
  <c r="B70" i="25"/>
  <c r="B66" i="25"/>
  <c r="B62" i="25"/>
  <c r="B58" i="25"/>
  <c r="B54" i="25"/>
  <c r="B50" i="25"/>
  <c r="B46" i="25"/>
  <c r="B105" i="25"/>
  <c r="B100" i="25"/>
  <c r="B95" i="25"/>
  <c r="B89" i="25"/>
  <c r="B84" i="25"/>
  <c r="B79" i="25"/>
  <c r="B73" i="25"/>
  <c r="B68" i="25"/>
  <c r="B63" i="25"/>
  <c r="B57" i="25"/>
  <c r="B52" i="25"/>
  <c r="B47" i="25"/>
  <c r="B42" i="25"/>
  <c r="B38" i="25"/>
  <c r="B33" i="25"/>
  <c r="B104" i="25"/>
  <c r="B97" i="25"/>
  <c r="B91" i="25"/>
  <c r="B83" i="25"/>
  <c r="B76" i="25"/>
  <c r="B69" i="25"/>
  <c r="B61" i="25"/>
  <c r="B55" i="25"/>
  <c r="B48" i="25"/>
  <c r="B41" i="25"/>
  <c r="B35" i="25"/>
  <c r="B103" i="25"/>
  <c r="B96" i="25"/>
  <c r="B88" i="25"/>
  <c r="B81" i="25"/>
  <c r="B75" i="25"/>
  <c r="B67" i="25"/>
  <c r="B39" i="25"/>
  <c r="B45" i="25"/>
  <c r="B56" i="25"/>
  <c r="B65" i="25"/>
  <c r="B80" i="25"/>
  <c r="B93" i="25"/>
  <c r="B32" i="25"/>
  <c r="H18" i="25"/>
  <c r="C39" i="25" l="1"/>
  <c r="N39" i="25"/>
  <c r="C41" i="25"/>
  <c r="N41" i="25"/>
  <c r="C97" i="25"/>
  <c r="N97" i="25"/>
  <c r="C63" i="25"/>
  <c r="N63" i="25"/>
  <c r="C105" i="25"/>
  <c r="N105" i="25"/>
  <c r="N74" i="25"/>
  <c r="C74" i="25"/>
  <c r="N90" i="25"/>
  <c r="C90" i="25"/>
  <c r="N64" i="25"/>
  <c r="C64" i="25"/>
  <c r="C87" i="25"/>
  <c r="N87" i="25"/>
  <c r="C77" i="25"/>
  <c r="N77" i="25"/>
  <c r="C53" i="25"/>
  <c r="N53" i="25"/>
  <c r="N72" i="25"/>
  <c r="C72" i="25"/>
  <c r="N32" i="25"/>
  <c r="C32" i="25"/>
  <c r="N56" i="25"/>
  <c r="C56" i="25"/>
  <c r="C75" i="25"/>
  <c r="N75" i="25"/>
  <c r="C103" i="25"/>
  <c r="N103" i="25"/>
  <c r="C55" i="25"/>
  <c r="N55" i="25"/>
  <c r="C83" i="25"/>
  <c r="N83" i="25"/>
  <c r="C33" i="25"/>
  <c r="N33" i="25"/>
  <c r="N52" i="25"/>
  <c r="C52" i="25"/>
  <c r="C73" i="25"/>
  <c r="N73" i="25"/>
  <c r="C95" i="25"/>
  <c r="N95" i="25"/>
  <c r="N50" i="25"/>
  <c r="C50" i="25"/>
  <c r="N66" i="25"/>
  <c r="C66" i="25"/>
  <c r="N82" i="25"/>
  <c r="C82" i="25"/>
  <c r="N98" i="25"/>
  <c r="C98" i="25"/>
  <c r="N40" i="25"/>
  <c r="C40" i="25"/>
  <c r="N44" i="25"/>
  <c r="C44" i="25"/>
  <c r="C43" i="25"/>
  <c r="N43" i="25"/>
  <c r="C37" i="25"/>
  <c r="N37" i="25"/>
  <c r="C93" i="25"/>
  <c r="N93" i="25"/>
  <c r="C45" i="25"/>
  <c r="N45" i="25"/>
  <c r="C81" i="25"/>
  <c r="N81" i="25"/>
  <c r="C35" i="25"/>
  <c r="N35" i="25"/>
  <c r="C61" i="25"/>
  <c r="N61" i="25"/>
  <c r="C91" i="25"/>
  <c r="N91" i="25"/>
  <c r="N38" i="25"/>
  <c r="C38" i="25"/>
  <c r="N57" i="25"/>
  <c r="C57" i="25"/>
  <c r="C79" i="25"/>
  <c r="N79" i="25"/>
  <c r="N100" i="25"/>
  <c r="C100" i="25"/>
  <c r="N54" i="25"/>
  <c r="C54" i="25"/>
  <c r="N70" i="25"/>
  <c r="C70" i="25"/>
  <c r="N86" i="25"/>
  <c r="C86" i="25"/>
  <c r="N102" i="25"/>
  <c r="C102" i="25"/>
  <c r="C85" i="25"/>
  <c r="N85" i="25"/>
  <c r="C31" i="25"/>
  <c r="N31" i="25"/>
  <c r="C99" i="25"/>
  <c r="N99" i="25"/>
  <c r="C71" i="25"/>
  <c r="N71" i="25"/>
  <c r="N34" i="25"/>
  <c r="C34" i="25"/>
  <c r="N80" i="25"/>
  <c r="C80" i="25"/>
  <c r="N88" i="25"/>
  <c r="C88" i="25"/>
  <c r="C69" i="25"/>
  <c r="N69" i="25"/>
  <c r="N42" i="25"/>
  <c r="C42" i="25"/>
  <c r="N84" i="25"/>
  <c r="C84" i="25"/>
  <c r="N58" i="25"/>
  <c r="C58" i="25"/>
  <c r="N106" i="25"/>
  <c r="C106" i="25"/>
  <c r="C65" i="25"/>
  <c r="N65" i="25"/>
  <c r="C67" i="25"/>
  <c r="N67" i="25"/>
  <c r="N96" i="25"/>
  <c r="C96" i="25"/>
  <c r="N48" i="25"/>
  <c r="C48" i="25"/>
  <c r="N76" i="25"/>
  <c r="C76" i="25"/>
  <c r="N104" i="25"/>
  <c r="C104" i="25"/>
  <c r="C47" i="25"/>
  <c r="N47" i="25"/>
  <c r="N68" i="25"/>
  <c r="C68" i="25"/>
  <c r="C89" i="25"/>
  <c r="N89" i="25"/>
  <c r="N46" i="25"/>
  <c r="C46" i="25"/>
  <c r="N62" i="25"/>
  <c r="C62" i="25"/>
  <c r="N78" i="25"/>
  <c r="C78" i="25"/>
  <c r="N94" i="25"/>
  <c r="C94" i="25"/>
  <c r="N36" i="25"/>
  <c r="C36" i="25"/>
  <c r="C51" i="25"/>
  <c r="N51" i="25"/>
  <c r="N60" i="25"/>
  <c r="C60" i="25"/>
  <c r="C59" i="25"/>
  <c r="N59" i="25"/>
  <c r="N92" i="25"/>
  <c r="C92" i="25"/>
  <c r="C101" i="25"/>
  <c r="N101" i="25"/>
  <c r="B19" i="20"/>
  <c r="B35" i="20"/>
  <c r="A83" i="20"/>
  <c r="B51" i="20"/>
  <c r="B67" i="20"/>
  <c r="K210" i="19"/>
  <c r="D91" i="20"/>
  <c r="D90" i="20"/>
  <c r="D89" i="20"/>
  <c r="D88" i="20"/>
  <c r="D87" i="20"/>
  <c r="C90" i="20"/>
  <c r="C89" i="20"/>
  <c r="C88" i="20"/>
  <c r="C87" i="20"/>
  <c r="C95" i="20" s="1"/>
  <c r="D75" i="20"/>
  <c r="D74" i="20"/>
  <c r="C74" i="20"/>
  <c r="D73" i="20"/>
  <c r="C73" i="20"/>
  <c r="D72" i="20"/>
  <c r="C72" i="20"/>
  <c r="D71" i="20"/>
  <c r="C71" i="20"/>
  <c r="D59" i="20"/>
  <c r="D58" i="20"/>
  <c r="D57" i="20"/>
  <c r="D56" i="20"/>
  <c r="D55" i="20"/>
  <c r="C58" i="20"/>
  <c r="C57" i="20"/>
  <c r="C56" i="20"/>
  <c r="C55" i="20"/>
  <c r="D43" i="20"/>
  <c r="D42" i="20"/>
  <c r="D41" i="20"/>
  <c r="D40" i="20"/>
  <c r="D39" i="20"/>
  <c r="C42" i="20"/>
  <c r="C41" i="20"/>
  <c r="C40" i="20"/>
  <c r="C39" i="20"/>
  <c r="D27" i="20"/>
  <c r="D26" i="20"/>
  <c r="D25" i="20"/>
  <c r="D24" i="20"/>
  <c r="D23" i="20"/>
  <c r="C26" i="20"/>
  <c r="C25" i="20"/>
  <c r="C24" i="20"/>
  <c r="C23" i="20"/>
  <c r="C96" i="20" l="1"/>
  <c r="C97" i="20" s="1"/>
  <c r="C98" i="20" s="1"/>
  <c r="C27" i="20"/>
  <c r="C43" i="20"/>
  <c r="C59" i="20"/>
  <c r="C75" i="20"/>
  <c r="C91" i="20"/>
  <c r="D95" i="20" l="1"/>
  <c r="E95" i="20" s="1"/>
  <c r="D96" i="20"/>
  <c r="D97" i="20"/>
  <c r="D98" i="20"/>
  <c r="G15" i="22"/>
  <c r="D15" i="22"/>
  <c r="P14" i="22"/>
  <c r="M14" i="22"/>
  <c r="J14" i="22"/>
  <c r="G14" i="22"/>
  <c r="D14" i="22"/>
  <c r="P13" i="22"/>
  <c r="M13" i="22"/>
  <c r="J13" i="22"/>
  <c r="G13" i="22"/>
  <c r="D13" i="22"/>
  <c r="D12" i="22"/>
  <c r="M11" i="22"/>
  <c r="L11" i="22"/>
  <c r="K11" i="22"/>
  <c r="J11" i="22"/>
  <c r="I11" i="22"/>
  <c r="H11" i="22"/>
  <c r="G11" i="22"/>
  <c r="F11" i="22"/>
  <c r="E11" i="22"/>
  <c r="D11" i="22"/>
  <c r="E96" i="20" l="1"/>
  <c r="E97" i="20" s="1"/>
  <c r="E25" i="22"/>
  <c r="E24" i="22"/>
  <c r="E23" i="22"/>
  <c r="E22" i="22"/>
  <c r="E21" i="22"/>
  <c r="C24" i="22"/>
  <c r="C23" i="22"/>
  <c r="C22" i="22"/>
  <c r="C21" i="22"/>
  <c r="C19" i="22"/>
  <c r="F21" i="22" l="1"/>
  <c r="F22" i="22" s="1"/>
  <c r="D21" i="22"/>
  <c r="D22" i="22" s="1"/>
  <c r="D23" i="22" s="1"/>
  <c r="D24" i="22" s="1"/>
  <c r="F23" i="22" l="1"/>
  <c r="F24" i="22" s="1"/>
  <c r="C25" i="22"/>
  <c r="DK541" i="17"/>
  <c r="DK8" i="17"/>
  <c r="CK542" i="17"/>
  <c r="CA542" i="17"/>
  <c r="AW542" i="17"/>
  <c r="Q542" i="17"/>
  <c r="BX275" i="17"/>
  <c r="F5" i="20" l="1"/>
  <c r="C11" i="20"/>
  <c r="C12" i="20"/>
  <c r="C13" i="20"/>
  <c r="C14" i="20"/>
  <c r="C16" i="20"/>
  <c r="E98" i="20"/>
  <c r="E57" i="20" l="1"/>
  <c r="E55" i="20"/>
  <c r="E71" i="20"/>
  <c r="G21" i="22"/>
  <c r="G25" i="22"/>
  <c r="G22" i="22"/>
  <c r="E74" i="20"/>
  <c r="E72" i="20"/>
  <c r="E26" i="20"/>
  <c r="E59" i="20"/>
  <c r="D13" i="20" s="1"/>
  <c r="E91" i="20"/>
  <c r="D16" i="20" s="1"/>
  <c r="E40" i="20"/>
  <c r="G24" i="22"/>
  <c r="E75" i="20"/>
  <c r="D14" i="20" s="1"/>
  <c r="E56" i="20"/>
  <c r="E43" i="20"/>
  <c r="D12" i="20" s="1"/>
  <c r="E89" i="20"/>
  <c r="E87" i="20"/>
  <c r="E42" i="20"/>
  <c r="E25" i="20"/>
  <c r="E23" i="20"/>
  <c r="E90" i="20"/>
  <c r="E41" i="20"/>
  <c r="E24" i="20"/>
  <c r="E27" i="20"/>
  <c r="D11" i="20" s="1"/>
  <c r="E39" i="20"/>
  <c r="E58" i="20"/>
  <c r="G23" i="22"/>
  <c r="E73" i="20"/>
  <c r="E88" i="20"/>
  <c r="T472" i="17"/>
  <c r="BX211" i="17" l="1"/>
  <c r="D9" i="18" l="1"/>
  <c r="B28" i="18" l="1"/>
  <c r="M24" i="18" l="1"/>
  <c r="N24" i="18"/>
  <c r="O483" i="17" l="1"/>
  <c r="E11" i="9" l="1"/>
  <c r="K13" i="18" l="1"/>
  <c r="N17" i="18" l="1"/>
  <c r="N25" i="18" l="1"/>
  <c r="N23" i="18"/>
  <c r="N22" i="18"/>
  <c r="M22" i="18"/>
  <c r="H25" i="18" l="1"/>
  <c r="D6" i="18" l="1"/>
  <c r="H24" i="18" l="1"/>
  <c r="H23" i="18"/>
  <c r="C23" i="18"/>
  <c r="R16" i="18"/>
  <c r="N16" i="18" s="1"/>
  <c r="P16" i="18"/>
  <c r="O16" i="18"/>
  <c r="D16" i="18"/>
  <c r="J13" i="18"/>
  <c r="C17" i="18"/>
  <c r="C11" i="18"/>
  <c r="L10" i="18"/>
  <c r="C10" i="18"/>
  <c r="P9" i="18"/>
  <c r="C9" i="18"/>
  <c r="O22" i="18" l="1"/>
  <c r="O5" i="17"/>
  <c r="T5" i="17"/>
  <c r="V5" i="17"/>
  <c r="W5" i="17"/>
  <c r="X5" i="17" s="1"/>
  <c r="Z5" i="17"/>
  <c r="AV5" i="17"/>
  <c r="AT5" i="17" s="1"/>
  <c r="AX5" i="17"/>
  <c r="AY5" i="17"/>
  <c r="AZ5" i="17" s="1"/>
  <c r="BB5" i="17"/>
  <c r="BX5" i="17"/>
  <c r="BV5" i="17" s="1"/>
  <c r="CB5" i="17"/>
  <c r="CC5" i="17"/>
  <c r="CD5" i="17" s="1"/>
  <c r="CJ5" i="17"/>
  <c r="CH5" i="17" s="1"/>
  <c r="CL5" i="17"/>
  <c r="CM5" i="17"/>
  <c r="CN5" i="17"/>
  <c r="CO5" i="17" s="1"/>
  <c r="DK5" i="17"/>
  <c r="O6" i="17"/>
  <c r="T6" i="17"/>
  <c r="V6" i="17"/>
  <c r="W6" i="17"/>
  <c r="X6" i="17" s="1"/>
  <c r="AV6" i="17"/>
  <c r="AT6" i="17" s="1"/>
  <c r="AX6" i="17"/>
  <c r="AY6" i="17"/>
  <c r="AZ6" i="17" s="1"/>
  <c r="BX6" i="17"/>
  <c r="BV6" i="17" s="1"/>
  <c r="CB6" i="17"/>
  <c r="CC6" i="17"/>
  <c r="CD6" i="17" s="1"/>
  <c r="CJ6" i="17"/>
  <c r="CH6" i="17" s="1"/>
  <c r="CL6" i="17"/>
  <c r="CM6" i="17"/>
  <c r="CN6" i="17"/>
  <c r="DK6" i="17"/>
  <c r="O7" i="17"/>
  <c r="T7" i="17"/>
  <c r="V7" i="17"/>
  <c r="W7" i="17"/>
  <c r="X7" i="17" s="1"/>
  <c r="Z7" i="17"/>
  <c r="AV7" i="17"/>
  <c r="AT7" i="17" s="1"/>
  <c r="AX7" i="17"/>
  <c r="AY7" i="17"/>
  <c r="AZ7" i="17" s="1"/>
  <c r="BB7" i="17"/>
  <c r="BX7" i="17"/>
  <c r="BV7" i="17" s="1"/>
  <c r="CB7" i="17"/>
  <c r="CC7" i="17"/>
  <c r="CD7" i="17" s="1"/>
  <c r="CJ7" i="17"/>
  <c r="CH7" i="17" s="1"/>
  <c r="CL7" i="17"/>
  <c r="CM7" i="17"/>
  <c r="CN7" i="17"/>
  <c r="DK7" i="17"/>
  <c r="O8" i="17"/>
  <c r="T8" i="17"/>
  <c r="V8" i="17"/>
  <c r="W8" i="17"/>
  <c r="X8" i="17" s="1"/>
  <c r="Z8" i="17" s="1"/>
  <c r="AV8" i="17"/>
  <c r="AT8" i="17" s="1"/>
  <c r="AX8" i="17"/>
  <c r="AY8" i="17"/>
  <c r="AZ8" i="17" s="1"/>
  <c r="BX8" i="17"/>
  <c r="BV8" i="17" s="1"/>
  <c r="CB8" i="17"/>
  <c r="CC8" i="17"/>
  <c r="CD8" i="17" s="1"/>
  <c r="CJ8" i="17"/>
  <c r="CH8" i="17" s="1"/>
  <c r="CL8" i="17"/>
  <c r="CM8" i="17"/>
  <c r="CN8" i="17"/>
  <c r="CO8" i="17" s="1"/>
  <c r="O9" i="17"/>
  <c r="T9" i="17"/>
  <c r="R9" i="17" s="1"/>
  <c r="V9" i="17"/>
  <c r="W9" i="17"/>
  <c r="X9" i="17" s="1"/>
  <c r="AV9" i="17"/>
  <c r="AT9" i="17" s="1"/>
  <c r="AX9" i="17"/>
  <c r="AY9" i="17"/>
  <c r="AZ9" i="17" s="1"/>
  <c r="BB9" i="17" s="1"/>
  <c r="BX9" i="17"/>
  <c r="BV9" i="17" s="1"/>
  <c r="CB9" i="17"/>
  <c r="CC9" i="17"/>
  <c r="CD9" i="17" s="1"/>
  <c r="CF9" i="17"/>
  <c r="CJ9" i="17"/>
  <c r="CH9" i="17" s="1"/>
  <c r="CL9" i="17"/>
  <c r="CM9" i="17"/>
  <c r="CN9" i="17"/>
  <c r="CO9" i="17" s="1"/>
  <c r="DK9" i="17"/>
  <c r="O10" i="17"/>
  <c r="T10" i="17"/>
  <c r="R10" i="17" s="1"/>
  <c r="V10" i="17"/>
  <c r="W10" i="17"/>
  <c r="X10" i="17" s="1"/>
  <c r="AV10" i="17"/>
  <c r="AX10" i="17"/>
  <c r="AY10" i="17"/>
  <c r="AZ10" i="17" s="1"/>
  <c r="BB10" i="17" s="1"/>
  <c r="BX10" i="17"/>
  <c r="BV10" i="17" s="1"/>
  <c r="CB10" i="17"/>
  <c r="CC10" i="17"/>
  <c r="CD10" i="17" s="1"/>
  <c r="CF10" i="17"/>
  <c r="CJ10" i="17"/>
  <c r="CH10" i="17" s="1"/>
  <c r="CL10" i="17"/>
  <c r="CM10" i="17"/>
  <c r="CN10" i="17"/>
  <c r="CO10" i="17" s="1"/>
  <c r="DK10" i="17"/>
  <c r="O11" i="17"/>
  <c r="T11" i="17"/>
  <c r="R11" i="17" s="1"/>
  <c r="V11" i="17"/>
  <c r="W11" i="17"/>
  <c r="X11" i="17" s="1"/>
  <c r="AV11" i="17"/>
  <c r="AT11" i="17" s="1"/>
  <c r="AX11" i="17"/>
  <c r="AY11" i="17"/>
  <c r="AZ11" i="17" s="1"/>
  <c r="BX11" i="17"/>
  <c r="BV11" i="17" s="1"/>
  <c r="CB11" i="17"/>
  <c r="CC11" i="17"/>
  <c r="CD11" i="17" s="1"/>
  <c r="CJ11" i="17"/>
  <c r="CH11" i="17" s="1"/>
  <c r="CL11" i="17"/>
  <c r="CM11" i="17"/>
  <c r="CN11" i="17"/>
  <c r="DK11" i="17"/>
  <c r="O12" i="17"/>
  <c r="T12" i="17"/>
  <c r="R12" i="17" s="1"/>
  <c r="V12" i="17"/>
  <c r="W12" i="17"/>
  <c r="X12" i="17" s="1"/>
  <c r="Z12" i="17"/>
  <c r="AV12" i="17"/>
  <c r="AT12" i="17" s="1"/>
  <c r="AX12" i="17"/>
  <c r="AY12" i="17"/>
  <c r="AZ12" i="17" s="1"/>
  <c r="BB12" i="17"/>
  <c r="BX12" i="17"/>
  <c r="BV12" i="17" s="1"/>
  <c r="CB12" i="17"/>
  <c r="CC12" i="17"/>
  <c r="CD12" i="17" s="1"/>
  <c r="CF12" i="17"/>
  <c r="CJ12" i="17"/>
  <c r="CH12" i="17" s="1"/>
  <c r="CL12" i="17"/>
  <c r="CM12" i="17"/>
  <c r="CN12" i="17"/>
  <c r="DK12" i="17"/>
  <c r="O13" i="17"/>
  <c r="T13" i="17"/>
  <c r="R13" i="17" s="1"/>
  <c r="V13" i="17"/>
  <c r="W13" i="17"/>
  <c r="X13" i="17" s="1"/>
  <c r="Z13" i="17" s="1"/>
  <c r="AV13" i="17"/>
  <c r="AT13" i="17" s="1"/>
  <c r="AX13" i="17"/>
  <c r="AY13" i="17"/>
  <c r="AZ13" i="17" s="1"/>
  <c r="BB13" i="17"/>
  <c r="BX13" i="17"/>
  <c r="BV13" i="17" s="1"/>
  <c r="CB13" i="17"/>
  <c r="CC13" i="17"/>
  <c r="CD13" i="17" s="1"/>
  <c r="CJ13" i="17"/>
  <c r="CH13" i="17" s="1"/>
  <c r="CL13" i="17"/>
  <c r="CM13" i="17"/>
  <c r="CN13" i="17"/>
  <c r="CO13" i="17" s="1"/>
  <c r="DK13" i="17"/>
  <c r="O14" i="17"/>
  <c r="T14" i="17"/>
  <c r="V14" i="17"/>
  <c r="W14" i="17"/>
  <c r="X14" i="17" s="1"/>
  <c r="AV14" i="17"/>
  <c r="AT14" i="17" s="1"/>
  <c r="AX14" i="17"/>
  <c r="AY14" i="17"/>
  <c r="AZ14" i="17" s="1"/>
  <c r="BB14" i="17"/>
  <c r="BX14" i="17"/>
  <c r="BV14" i="17" s="1"/>
  <c r="CB14" i="17"/>
  <c r="CC14" i="17"/>
  <c r="CD14" i="17" s="1"/>
  <c r="CJ14" i="17"/>
  <c r="CH14" i="17" s="1"/>
  <c r="CL14" i="17"/>
  <c r="CM14" i="17"/>
  <c r="CN14" i="17"/>
  <c r="DK14" i="17"/>
  <c r="O15" i="17"/>
  <c r="T15" i="17"/>
  <c r="V15" i="17"/>
  <c r="W15" i="17"/>
  <c r="X15" i="17" s="1"/>
  <c r="Z15" i="17" s="1"/>
  <c r="AV15" i="17"/>
  <c r="AT15" i="17" s="1"/>
  <c r="AX15" i="17"/>
  <c r="AY15" i="17"/>
  <c r="AZ15" i="17" s="1"/>
  <c r="BX15" i="17"/>
  <c r="BV15" i="17" s="1"/>
  <c r="CB15" i="17"/>
  <c r="CC15" i="17"/>
  <c r="CJ15" i="17"/>
  <c r="CH15" i="17" s="1"/>
  <c r="CL15" i="17"/>
  <c r="CM15" i="17"/>
  <c r="CN15" i="17"/>
  <c r="CO15" i="17" s="1"/>
  <c r="DK15" i="17"/>
  <c r="O16" i="17"/>
  <c r="T16" i="17"/>
  <c r="R16" i="17" s="1"/>
  <c r="V16" i="17"/>
  <c r="W16" i="17"/>
  <c r="X16" i="17" s="1"/>
  <c r="Z16" i="17" s="1"/>
  <c r="AV16" i="17"/>
  <c r="AT16" i="17" s="1"/>
  <c r="AX16" i="17"/>
  <c r="AY16" i="17"/>
  <c r="AZ16" i="17" s="1"/>
  <c r="BB16" i="17" s="1"/>
  <c r="BX16" i="17"/>
  <c r="BV16" i="17" s="1"/>
  <c r="CB16" i="17"/>
  <c r="CC16" i="17"/>
  <c r="CD16" i="17" s="1"/>
  <c r="CJ16" i="17"/>
  <c r="CH16" i="17" s="1"/>
  <c r="CL16" i="17"/>
  <c r="CM16" i="17"/>
  <c r="CN16" i="17"/>
  <c r="CO16" i="17" s="1"/>
  <c r="DK16" i="17"/>
  <c r="O17" i="17"/>
  <c r="T17" i="17"/>
  <c r="V17" i="17"/>
  <c r="W17" i="17"/>
  <c r="X17" i="17" s="1"/>
  <c r="Z17" i="17" s="1"/>
  <c r="AV17" i="17"/>
  <c r="AT17" i="17" s="1"/>
  <c r="AX17" i="17"/>
  <c r="AY17" i="17"/>
  <c r="AZ17" i="17" s="1"/>
  <c r="BB17" i="17"/>
  <c r="BX17" i="17"/>
  <c r="BV17" i="17" s="1"/>
  <c r="CB17" i="17"/>
  <c r="CC17" i="17"/>
  <c r="CF17" i="17"/>
  <c r="CJ17" i="17"/>
  <c r="CH17" i="17" s="1"/>
  <c r="CL17" i="17"/>
  <c r="CM17" i="17"/>
  <c r="CN17" i="17"/>
  <c r="CO17" i="17" s="1"/>
  <c r="DK17" i="17"/>
  <c r="O18" i="17"/>
  <c r="T18" i="17"/>
  <c r="V18" i="17"/>
  <c r="W18" i="17"/>
  <c r="X18" i="17" s="1"/>
  <c r="Z18" i="17"/>
  <c r="AV18" i="17"/>
  <c r="AT18" i="17" s="1"/>
  <c r="AX18" i="17"/>
  <c r="AY18" i="17"/>
  <c r="AZ18" i="17" s="1"/>
  <c r="BB18" i="17"/>
  <c r="BX18" i="17"/>
  <c r="BV18" i="17" s="1"/>
  <c r="CB18" i="17"/>
  <c r="CC18" i="17"/>
  <c r="CJ18" i="17"/>
  <c r="CH18" i="17" s="1"/>
  <c r="CL18" i="17"/>
  <c r="CM18" i="17"/>
  <c r="CN18" i="17"/>
  <c r="CO18" i="17" s="1"/>
  <c r="DK18" i="17"/>
  <c r="O19" i="17"/>
  <c r="T19" i="17"/>
  <c r="R19" i="17" s="1"/>
  <c r="V19" i="17"/>
  <c r="W19" i="17"/>
  <c r="X19" i="17" s="1"/>
  <c r="Z19" i="17"/>
  <c r="AV19" i="17"/>
  <c r="AX19" i="17"/>
  <c r="AY19" i="17"/>
  <c r="AZ19" i="17" s="1"/>
  <c r="BB19" i="17"/>
  <c r="BX19" i="17"/>
  <c r="BV19" i="17" s="1"/>
  <c r="CB19" i="17"/>
  <c r="CC19" i="17"/>
  <c r="CD19" i="17" s="1"/>
  <c r="CF19" i="17"/>
  <c r="CJ19" i="17"/>
  <c r="CH19" i="17" s="1"/>
  <c r="CL19" i="17"/>
  <c r="CM19" i="17"/>
  <c r="CN19" i="17"/>
  <c r="CO19" i="17" s="1"/>
  <c r="DK19" i="17"/>
  <c r="O20" i="17"/>
  <c r="T20" i="17"/>
  <c r="R20" i="17" s="1"/>
  <c r="V20" i="17"/>
  <c r="W20" i="17"/>
  <c r="X20" i="17" s="1"/>
  <c r="AV20" i="17"/>
  <c r="AT20" i="17" s="1"/>
  <c r="AX20" i="17"/>
  <c r="AY20" i="17"/>
  <c r="AZ20" i="17" s="1"/>
  <c r="BB20" i="17"/>
  <c r="BX20" i="17"/>
  <c r="BV20" i="17" s="1"/>
  <c r="CB20" i="17"/>
  <c r="CC20" i="17"/>
  <c r="CD20" i="17" s="1"/>
  <c r="CJ20" i="17"/>
  <c r="CL20" i="17"/>
  <c r="CM20" i="17"/>
  <c r="CN20" i="17"/>
  <c r="CO20" i="17" s="1"/>
  <c r="DK20" i="17"/>
  <c r="O21" i="17"/>
  <c r="T21" i="17"/>
  <c r="R21" i="17" s="1"/>
  <c r="V21" i="17"/>
  <c r="W21" i="17"/>
  <c r="X21" i="17" s="1"/>
  <c r="AV21" i="17"/>
  <c r="AT21" i="17" s="1"/>
  <c r="AX21" i="17"/>
  <c r="AY21" i="17"/>
  <c r="AZ21" i="17" s="1"/>
  <c r="BX21" i="17"/>
  <c r="BV21" i="17" s="1"/>
  <c r="CB21" i="17"/>
  <c r="CC21" i="17"/>
  <c r="CD21" i="17" s="1"/>
  <c r="CF21" i="17"/>
  <c r="CJ21" i="17"/>
  <c r="CH21" i="17" s="1"/>
  <c r="CL21" i="17"/>
  <c r="CM21" i="17"/>
  <c r="CN21" i="17"/>
  <c r="DK21" i="17"/>
  <c r="O22" i="17"/>
  <c r="T22" i="17"/>
  <c r="V22" i="17"/>
  <c r="W22" i="17"/>
  <c r="X22" i="17" s="1"/>
  <c r="AV22" i="17"/>
  <c r="AT22" i="17" s="1"/>
  <c r="AX22" i="17"/>
  <c r="AY22" i="17"/>
  <c r="AZ22" i="17" s="1"/>
  <c r="BX22" i="17"/>
  <c r="BV22" i="17" s="1"/>
  <c r="CB22" i="17"/>
  <c r="CC22" i="17"/>
  <c r="CJ22" i="17"/>
  <c r="CH22" i="17" s="1"/>
  <c r="CL22" i="17"/>
  <c r="CM22" i="17"/>
  <c r="CN22" i="17"/>
  <c r="CO22" i="17" s="1"/>
  <c r="DK22" i="17"/>
  <c r="O23" i="17"/>
  <c r="T23" i="17"/>
  <c r="R23" i="17" s="1"/>
  <c r="V23" i="17"/>
  <c r="W23" i="17"/>
  <c r="X23" i="17" s="1"/>
  <c r="AV23" i="17"/>
  <c r="AX23" i="17"/>
  <c r="AY23" i="17"/>
  <c r="AZ23" i="17" s="1"/>
  <c r="BB23" i="17"/>
  <c r="BX23" i="17"/>
  <c r="BV23" i="17" s="1"/>
  <c r="CB23" i="17"/>
  <c r="CC23" i="17"/>
  <c r="CJ23" i="17"/>
  <c r="CH23" i="17" s="1"/>
  <c r="CL23" i="17"/>
  <c r="CM23" i="17"/>
  <c r="CN23" i="17"/>
  <c r="DK23" i="17"/>
  <c r="O24" i="17"/>
  <c r="T24" i="17"/>
  <c r="V24" i="17"/>
  <c r="W24" i="17"/>
  <c r="X24" i="17" s="1"/>
  <c r="AV24" i="17"/>
  <c r="AT24" i="17" s="1"/>
  <c r="AX24" i="17"/>
  <c r="AY24" i="17"/>
  <c r="AZ24" i="17" s="1"/>
  <c r="BB24" i="17" s="1"/>
  <c r="BX24" i="17"/>
  <c r="BV24" i="17" s="1"/>
  <c r="CB24" i="17"/>
  <c r="CC24" i="17"/>
  <c r="CJ24" i="17"/>
  <c r="CH24" i="17" s="1"/>
  <c r="CL24" i="17"/>
  <c r="CM24" i="17"/>
  <c r="CN24" i="17"/>
  <c r="DK24" i="17"/>
  <c r="O25" i="17"/>
  <c r="T25" i="17"/>
  <c r="R25" i="17" s="1"/>
  <c r="V25" i="17"/>
  <c r="W25" i="17"/>
  <c r="X25" i="17" s="1"/>
  <c r="AV25" i="17"/>
  <c r="AX25" i="17"/>
  <c r="AY25" i="17"/>
  <c r="AZ25" i="17" s="1"/>
  <c r="BB25" i="17" s="1"/>
  <c r="BX25" i="17"/>
  <c r="BV25" i="17" s="1"/>
  <c r="CB25" i="17"/>
  <c r="CC25" i="17"/>
  <c r="CD25" i="17" s="1"/>
  <c r="CF25" i="17"/>
  <c r="CJ25" i="17"/>
  <c r="CH25" i="17" s="1"/>
  <c r="CL25" i="17"/>
  <c r="CM25" i="17"/>
  <c r="CN25" i="17"/>
  <c r="DK25" i="17"/>
  <c r="O26" i="17"/>
  <c r="T26" i="17"/>
  <c r="V26" i="17"/>
  <c r="W26" i="17"/>
  <c r="X26" i="17" s="1"/>
  <c r="Z26" i="17"/>
  <c r="AV26" i="17"/>
  <c r="AT26" i="17" s="1"/>
  <c r="AX26" i="17"/>
  <c r="AY26" i="17"/>
  <c r="AZ26" i="17" s="1"/>
  <c r="BB26" i="17"/>
  <c r="BX26" i="17"/>
  <c r="BV26" i="17" s="1"/>
  <c r="CB26" i="17"/>
  <c r="CC26" i="17"/>
  <c r="CJ26" i="17"/>
  <c r="CH26" i="17" s="1"/>
  <c r="CL26" i="17"/>
  <c r="CM26" i="17"/>
  <c r="CN26" i="17"/>
  <c r="DK26" i="17"/>
  <c r="O27" i="17"/>
  <c r="T27" i="17"/>
  <c r="R27" i="17" s="1"/>
  <c r="V27" i="17"/>
  <c r="W27" i="17"/>
  <c r="X27" i="17" s="1"/>
  <c r="Z27" i="17" s="1"/>
  <c r="AV27" i="17"/>
  <c r="AT27" i="17" s="1"/>
  <c r="AX27" i="17"/>
  <c r="AY27" i="17"/>
  <c r="AZ27" i="17" s="1"/>
  <c r="BX27" i="17"/>
  <c r="BV27" i="17" s="1"/>
  <c r="CB27" i="17"/>
  <c r="CC27" i="17"/>
  <c r="CD27" i="17" s="1"/>
  <c r="CJ27" i="17"/>
  <c r="CH27" i="17" s="1"/>
  <c r="CL27" i="17"/>
  <c r="CM27" i="17"/>
  <c r="CN27" i="17"/>
  <c r="CO27" i="17" s="1"/>
  <c r="DK27" i="17"/>
  <c r="O28" i="17"/>
  <c r="T28" i="17"/>
  <c r="R28" i="17" s="1"/>
  <c r="V28" i="17"/>
  <c r="W28" i="17"/>
  <c r="X28" i="17" s="1"/>
  <c r="Z28" i="17" s="1"/>
  <c r="AV28" i="17"/>
  <c r="AX28" i="17"/>
  <c r="AY28" i="17"/>
  <c r="AZ28" i="17" s="1"/>
  <c r="BB28" i="17" s="1"/>
  <c r="BX28" i="17"/>
  <c r="BV28" i="17" s="1"/>
  <c r="CB28" i="17"/>
  <c r="CC28" i="17"/>
  <c r="CD28" i="17" s="1"/>
  <c r="CJ28" i="17"/>
  <c r="CH28" i="17" s="1"/>
  <c r="CL28" i="17"/>
  <c r="CM28" i="17"/>
  <c r="CN28" i="17"/>
  <c r="CO28" i="17" s="1"/>
  <c r="DK28" i="17"/>
  <c r="O29" i="17"/>
  <c r="T29" i="17"/>
  <c r="V29" i="17"/>
  <c r="W29" i="17"/>
  <c r="X29" i="17" s="1"/>
  <c r="Z29" i="17" s="1"/>
  <c r="AV29" i="17"/>
  <c r="AT29" i="17" s="1"/>
  <c r="AX29" i="17"/>
  <c r="AY29" i="17"/>
  <c r="AZ29" i="17" s="1"/>
  <c r="BX29" i="17"/>
  <c r="BV29" i="17" s="1"/>
  <c r="CB29" i="17"/>
  <c r="CC29" i="17"/>
  <c r="CD29" i="17" s="1"/>
  <c r="CF29" i="17"/>
  <c r="CJ29" i="17"/>
  <c r="CH29" i="17" s="1"/>
  <c r="CL29" i="17"/>
  <c r="CM29" i="17"/>
  <c r="CN29" i="17"/>
  <c r="DK29" i="17"/>
  <c r="O30" i="17"/>
  <c r="T30" i="17"/>
  <c r="R30" i="17" s="1"/>
  <c r="V30" i="17"/>
  <c r="W30" i="17"/>
  <c r="X30" i="17" s="1"/>
  <c r="Z30" i="17"/>
  <c r="AV30" i="17"/>
  <c r="AX30" i="17"/>
  <c r="AY30" i="17"/>
  <c r="AZ30" i="17" s="1"/>
  <c r="BB30" i="17"/>
  <c r="BX30" i="17"/>
  <c r="BV30" i="17" s="1"/>
  <c r="CB30" i="17"/>
  <c r="CC30" i="17"/>
  <c r="CD30" i="17" s="1"/>
  <c r="CF30" i="17"/>
  <c r="CJ30" i="17"/>
  <c r="CH30" i="17" s="1"/>
  <c r="CL30" i="17"/>
  <c r="CM30" i="17"/>
  <c r="CN30" i="17"/>
  <c r="DK30" i="17"/>
  <c r="O31" i="17"/>
  <c r="T31" i="17"/>
  <c r="R31" i="17" s="1"/>
  <c r="V31" i="17"/>
  <c r="W31" i="17"/>
  <c r="X31" i="17" s="1"/>
  <c r="AV31" i="17"/>
  <c r="AX31" i="17"/>
  <c r="AY31" i="17"/>
  <c r="AZ31" i="17" s="1"/>
  <c r="BX31" i="17"/>
  <c r="BV31" i="17" s="1"/>
  <c r="CB31" i="17"/>
  <c r="CC31" i="17"/>
  <c r="CD31" i="17" s="1"/>
  <c r="CF31" i="17" s="1"/>
  <c r="CJ31" i="17"/>
  <c r="CH31" i="17" s="1"/>
  <c r="CL31" i="17"/>
  <c r="CM31" i="17"/>
  <c r="CN31" i="17"/>
  <c r="CO31" i="17" s="1"/>
  <c r="DK31" i="17"/>
  <c r="O32" i="17"/>
  <c r="T32" i="17"/>
  <c r="V32" i="17"/>
  <c r="W32" i="17"/>
  <c r="X32" i="17" s="1"/>
  <c r="AV32" i="17"/>
  <c r="AT32" i="17" s="1"/>
  <c r="AX32" i="17"/>
  <c r="AY32" i="17"/>
  <c r="AZ32" i="17" s="1"/>
  <c r="BX32" i="17"/>
  <c r="BV32" i="17" s="1"/>
  <c r="CB32" i="17"/>
  <c r="CC32" i="17"/>
  <c r="CJ32" i="17"/>
  <c r="CH32" i="17" s="1"/>
  <c r="CL32" i="17"/>
  <c r="CM32" i="17"/>
  <c r="CN32" i="17"/>
  <c r="DK32" i="17"/>
  <c r="O33" i="17"/>
  <c r="T33" i="17"/>
  <c r="R33" i="17" s="1"/>
  <c r="V33" i="17"/>
  <c r="W33" i="17"/>
  <c r="X33" i="17" s="1"/>
  <c r="Z33" i="17" s="1"/>
  <c r="AV33" i="17"/>
  <c r="AT33" i="17" s="1"/>
  <c r="AX33" i="17"/>
  <c r="AY33" i="17"/>
  <c r="AZ33" i="17" s="1"/>
  <c r="BB33" i="17"/>
  <c r="BX33" i="17"/>
  <c r="BV33" i="17" s="1"/>
  <c r="CB33" i="17"/>
  <c r="CC33" i="17"/>
  <c r="CJ33" i="17"/>
  <c r="CH33" i="17" s="1"/>
  <c r="CL33" i="17"/>
  <c r="CM33" i="17"/>
  <c r="CN33" i="17"/>
  <c r="CO33" i="17" s="1"/>
  <c r="DK33" i="17"/>
  <c r="O34" i="17"/>
  <c r="T34" i="17"/>
  <c r="R34" i="17" s="1"/>
  <c r="V34" i="17"/>
  <c r="W34" i="17"/>
  <c r="X34" i="17" s="1"/>
  <c r="Z34" i="17" s="1"/>
  <c r="AV34" i="17"/>
  <c r="AX34" i="17"/>
  <c r="AY34" i="17"/>
  <c r="AZ34" i="17" s="1"/>
  <c r="BB34" i="17" s="1"/>
  <c r="BX34" i="17"/>
  <c r="BV34" i="17" s="1"/>
  <c r="CB34" i="17"/>
  <c r="CC34" i="17"/>
  <c r="CJ34" i="17"/>
  <c r="CH34" i="17" s="1"/>
  <c r="CL34" i="17"/>
  <c r="CM34" i="17"/>
  <c r="CN34" i="17"/>
  <c r="DK34" i="17"/>
  <c r="O35" i="17"/>
  <c r="T35" i="17"/>
  <c r="R35" i="17" s="1"/>
  <c r="V35" i="17"/>
  <c r="W35" i="17"/>
  <c r="X35" i="17" s="1"/>
  <c r="Z35" i="17" s="1"/>
  <c r="AV35" i="17"/>
  <c r="AT35" i="17" s="1"/>
  <c r="AX35" i="17"/>
  <c r="AY35" i="17"/>
  <c r="AZ35" i="17" s="1"/>
  <c r="BB35" i="17" s="1"/>
  <c r="BX35" i="17"/>
  <c r="BV35" i="17" s="1"/>
  <c r="CB35" i="17"/>
  <c r="CC35" i="17"/>
  <c r="CJ35" i="17"/>
  <c r="CH35" i="17" s="1"/>
  <c r="CL35" i="17"/>
  <c r="CM35" i="17"/>
  <c r="CN35" i="17"/>
  <c r="CO35" i="17" s="1"/>
  <c r="DK35" i="17"/>
  <c r="O36" i="17"/>
  <c r="T36" i="17"/>
  <c r="R36" i="17" s="1"/>
  <c r="V36" i="17"/>
  <c r="W36" i="17"/>
  <c r="X36" i="17" s="1"/>
  <c r="AV36" i="17"/>
  <c r="AT36" i="17" s="1"/>
  <c r="AX36" i="17"/>
  <c r="AY36" i="17"/>
  <c r="AZ36" i="17" s="1"/>
  <c r="BX36" i="17"/>
  <c r="BV36" i="17" s="1"/>
  <c r="CB36" i="17"/>
  <c r="CC36" i="17"/>
  <c r="CJ36" i="17"/>
  <c r="CH36" i="17" s="1"/>
  <c r="CL36" i="17"/>
  <c r="CM36" i="17"/>
  <c r="CN36" i="17"/>
  <c r="DK36" i="17"/>
  <c r="O37" i="17"/>
  <c r="T37" i="17"/>
  <c r="R37" i="17" s="1"/>
  <c r="V37" i="17"/>
  <c r="W37" i="17"/>
  <c r="X37" i="17" s="1"/>
  <c r="AV37" i="17"/>
  <c r="AT37" i="17" s="1"/>
  <c r="AX37" i="17"/>
  <c r="AY37" i="17"/>
  <c r="AZ37" i="17" s="1"/>
  <c r="BB37" i="17"/>
  <c r="BX37" i="17"/>
  <c r="BV37" i="17" s="1"/>
  <c r="CB37" i="17"/>
  <c r="CC37" i="17"/>
  <c r="CJ37" i="17"/>
  <c r="CL37" i="17"/>
  <c r="CM37" i="17"/>
  <c r="CN37" i="17"/>
  <c r="CO37" i="17" s="1"/>
  <c r="DK37" i="17"/>
  <c r="O38" i="17"/>
  <c r="T38" i="17"/>
  <c r="V38" i="17"/>
  <c r="W38" i="17"/>
  <c r="X38" i="17" s="1"/>
  <c r="Z38" i="17"/>
  <c r="AV38" i="17"/>
  <c r="AT38" i="17" s="1"/>
  <c r="AX38" i="17"/>
  <c r="AY38" i="17"/>
  <c r="AZ38" i="17" s="1"/>
  <c r="BB38" i="17"/>
  <c r="BX38" i="17"/>
  <c r="BV38" i="17" s="1"/>
  <c r="CB38" i="17"/>
  <c r="CC38" i="17"/>
  <c r="CF38" i="17"/>
  <c r="CJ38" i="17"/>
  <c r="CH38" i="17" s="1"/>
  <c r="CL38" i="17"/>
  <c r="CM38" i="17"/>
  <c r="CN38" i="17"/>
  <c r="DK38" i="17"/>
  <c r="O39" i="17"/>
  <c r="T39" i="17"/>
  <c r="R39" i="17" s="1"/>
  <c r="V39" i="17"/>
  <c r="W39" i="17"/>
  <c r="X39" i="17" s="1"/>
  <c r="Z39" i="17"/>
  <c r="AV39" i="17"/>
  <c r="AT39" i="17" s="1"/>
  <c r="AX39" i="17"/>
  <c r="AY39" i="17"/>
  <c r="AZ39" i="17" s="1"/>
  <c r="BB39" i="17"/>
  <c r="BX39" i="17"/>
  <c r="BV39" i="17" s="1"/>
  <c r="CB39" i="17"/>
  <c r="CC39" i="17"/>
  <c r="CD39" i="17" s="1"/>
  <c r="CF39" i="17"/>
  <c r="CJ39" i="17"/>
  <c r="CH39" i="17" s="1"/>
  <c r="CL39" i="17"/>
  <c r="CM39" i="17"/>
  <c r="CN39" i="17"/>
  <c r="CO39" i="17" s="1"/>
  <c r="DK39" i="17"/>
  <c r="O40" i="17"/>
  <c r="T40" i="17"/>
  <c r="R40" i="17" s="1"/>
  <c r="V40" i="17"/>
  <c r="W40" i="17"/>
  <c r="X40" i="17" s="1"/>
  <c r="Z40" i="17"/>
  <c r="AV40" i="17"/>
  <c r="AT40" i="17" s="1"/>
  <c r="AX40" i="17"/>
  <c r="AY40" i="17"/>
  <c r="AZ40" i="17" s="1"/>
  <c r="BB40" i="17"/>
  <c r="BX40" i="17"/>
  <c r="BV40" i="17" s="1"/>
  <c r="CB40" i="17"/>
  <c r="CC40" i="17"/>
  <c r="CD40" i="17" s="1"/>
  <c r="CF40" i="17" s="1"/>
  <c r="CJ40" i="17"/>
  <c r="CH40" i="17" s="1"/>
  <c r="CL40" i="17"/>
  <c r="CM40" i="17"/>
  <c r="CN40" i="17"/>
  <c r="DK40" i="17"/>
  <c r="O41" i="17"/>
  <c r="T41" i="17"/>
  <c r="V41" i="17"/>
  <c r="W41" i="17"/>
  <c r="X41" i="17" s="1"/>
  <c r="Z41" i="17"/>
  <c r="AV41" i="17"/>
  <c r="AT41" i="17" s="1"/>
  <c r="AX41" i="17"/>
  <c r="AY41" i="17"/>
  <c r="AZ41" i="17" s="1"/>
  <c r="BB41" i="17"/>
  <c r="BX41" i="17"/>
  <c r="BV41" i="17" s="1"/>
  <c r="CB41" i="17"/>
  <c r="CC41" i="17"/>
  <c r="CD41" i="17" s="1"/>
  <c r="CF41" i="17" s="1"/>
  <c r="CJ41" i="17"/>
  <c r="CH41" i="17" s="1"/>
  <c r="CL41" i="17"/>
  <c r="CM41" i="17"/>
  <c r="CN41" i="17"/>
  <c r="CO41" i="17" s="1"/>
  <c r="DK41" i="17"/>
  <c r="O42" i="17"/>
  <c r="T42" i="17"/>
  <c r="V42" i="17"/>
  <c r="W42" i="17"/>
  <c r="X42" i="17" s="1"/>
  <c r="Z42" i="17"/>
  <c r="AV42" i="17"/>
  <c r="AT42" i="17" s="1"/>
  <c r="AX42" i="17"/>
  <c r="AY42" i="17"/>
  <c r="AZ42" i="17" s="1"/>
  <c r="BB42" i="17"/>
  <c r="BX42" i="17"/>
  <c r="BV42" i="17" s="1"/>
  <c r="CB42" i="17"/>
  <c r="CC42" i="17"/>
  <c r="CD42" i="17" s="1"/>
  <c r="CF42" i="17"/>
  <c r="CJ42" i="17"/>
  <c r="CH42" i="17" s="1"/>
  <c r="CL42" i="17"/>
  <c r="CM42" i="17"/>
  <c r="CN42" i="17"/>
  <c r="CO42" i="17" s="1"/>
  <c r="DK42" i="17"/>
  <c r="O43" i="17"/>
  <c r="T43" i="17"/>
  <c r="V43" i="17"/>
  <c r="W43" i="17"/>
  <c r="X43" i="17" s="1"/>
  <c r="Z43" i="17"/>
  <c r="AV43" i="17"/>
  <c r="AT43" i="17" s="1"/>
  <c r="AX43" i="17"/>
  <c r="AY43" i="17"/>
  <c r="AZ43" i="17" s="1"/>
  <c r="BB43" i="17"/>
  <c r="BX43" i="17"/>
  <c r="BV43" i="17" s="1"/>
  <c r="CB43" i="17"/>
  <c r="CC43" i="17"/>
  <c r="CD43" i="17" s="1"/>
  <c r="CF43" i="17"/>
  <c r="CJ43" i="17"/>
  <c r="CH43" i="17" s="1"/>
  <c r="CL43" i="17"/>
  <c r="CM43" i="17"/>
  <c r="CN43" i="17"/>
  <c r="DK43" i="17"/>
  <c r="O44" i="17"/>
  <c r="T44" i="17"/>
  <c r="R44" i="17" s="1"/>
  <c r="V44" i="17"/>
  <c r="W44" i="17"/>
  <c r="X44" i="17" s="1"/>
  <c r="AV44" i="17"/>
  <c r="AT44" i="17" s="1"/>
  <c r="AX44" i="17"/>
  <c r="AY44" i="17"/>
  <c r="AZ44" i="17" s="1"/>
  <c r="BB44" i="17" s="1"/>
  <c r="BX44" i="17"/>
  <c r="BV44" i="17" s="1"/>
  <c r="CB44" i="17"/>
  <c r="CC44" i="17"/>
  <c r="CD44" i="17" s="1"/>
  <c r="CF44" i="17" s="1"/>
  <c r="CJ44" i="17"/>
  <c r="CH44" i="17" s="1"/>
  <c r="CL44" i="17"/>
  <c r="CM44" i="17"/>
  <c r="CN44" i="17"/>
  <c r="CO44" i="17" s="1"/>
  <c r="DK44" i="17"/>
  <c r="O45" i="17"/>
  <c r="T45" i="17"/>
  <c r="V45" i="17"/>
  <c r="W45" i="17"/>
  <c r="X45" i="17" s="1"/>
  <c r="Z45" i="17" s="1"/>
  <c r="AV45" i="17"/>
  <c r="AT45" i="17" s="1"/>
  <c r="AX45" i="17"/>
  <c r="AY45" i="17"/>
  <c r="AZ45" i="17" s="1"/>
  <c r="BX45" i="17"/>
  <c r="BV45" i="17" s="1"/>
  <c r="CB45" i="17"/>
  <c r="CC45" i="17"/>
  <c r="CD45" i="17" s="1"/>
  <c r="CJ45" i="17"/>
  <c r="CH45" i="17" s="1"/>
  <c r="CL45" i="17"/>
  <c r="CM45" i="17"/>
  <c r="CN45" i="17"/>
  <c r="DK45" i="17"/>
  <c r="O46" i="17"/>
  <c r="T46" i="17"/>
  <c r="V46" i="17"/>
  <c r="W46" i="17"/>
  <c r="X46" i="17" s="1"/>
  <c r="AV46" i="17"/>
  <c r="AT46" i="17" s="1"/>
  <c r="AX46" i="17"/>
  <c r="AY46" i="17"/>
  <c r="AZ46" i="17" s="1"/>
  <c r="BB46" i="17"/>
  <c r="BX46" i="17"/>
  <c r="BV46" i="17" s="1"/>
  <c r="CB46" i="17"/>
  <c r="CC46" i="17"/>
  <c r="CD46" i="17" s="1"/>
  <c r="CF46" i="17"/>
  <c r="CJ46" i="17"/>
  <c r="CH46" i="17" s="1"/>
  <c r="CL46" i="17"/>
  <c r="CM46" i="17"/>
  <c r="CN46" i="17"/>
  <c r="DK46" i="17"/>
  <c r="O47" i="17"/>
  <c r="T47" i="17"/>
  <c r="V47" i="17"/>
  <c r="W47" i="17"/>
  <c r="X47" i="17" s="1"/>
  <c r="AV47" i="17"/>
  <c r="AT47" i="17" s="1"/>
  <c r="AX47" i="17"/>
  <c r="AY47" i="17"/>
  <c r="AZ47" i="17" s="1"/>
  <c r="BX47" i="17"/>
  <c r="BV47" i="17" s="1"/>
  <c r="CB47" i="17"/>
  <c r="CC47" i="17"/>
  <c r="CJ47" i="17"/>
  <c r="CH47" i="17" s="1"/>
  <c r="CL47" i="17"/>
  <c r="CM47" i="17"/>
  <c r="CN47" i="17"/>
  <c r="CO47" i="17" s="1"/>
  <c r="DK47" i="17"/>
  <c r="O48" i="17"/>
  <c r="T48" i="17"/>
  <c r="R48" i="17" s="1"/>
  <c r="V48" i="17"/>
  <c r="W48" i="17"/>
  <c r="X48" i="17" s="1"/>
  <c r="Z48" i="17" s="1"/>
  <c r="AV48" i="17"/>
  <c r="AX48" i="17"/>
  <c r="AY48" i="17"/>
  <c r="AZ48" i="17" s="1"/>
  <c r="BX48" i="17"/>
  <c r="BV48" i="17" s="1"/>
  <c r="CB48" i="17"/>
  <c r="CC48" i="17"/>
  <c r="CD48" i="17" s="1"/>
  <c r="CJ48" i="17"/>
  <c r="CH48" i="17" s="1"/>
  <c r="CL48" i="17"/>
  <c r="CM48" i="17"/>
  <c r="CN48" i="17"/>
  <c r="DK48" i="17"/>
  <c r="O49" i="17"/>
  <c r="T49" i="17"/>
  <c r="V49" i="17"/>
  <c r="W49" i="17"/>
  <c r="X49" i="17" s="1"/>
  <c r="AV49" i="17"/>
  <c r="AT49" i="17" s="1"/>
  <c r="AX49" i="17"/>
  <c r="AY49" i="17"/>
  <c r="AZ49" i="17" s="1"/>
  <c r="BX49" i="17"/>
  <c r="BV49" i="17" s="1"/>
  <c r="CB49" i="17"/>
  <c r="CC49" i="17"/>
  <c r="CD49" i="17" s="1"/>
  <c r="CF49" i="17" s="1"/>
  <c r="CJ49" i="17"/>
  <c r="CH49" i="17" s="1"/>
  <c r="CL49" i="17"/>
  <c r="CM49" i="17"/>
  <c r="CN49" i="17"/>
  <c r="DK49" i="17"/>
  <c r="O50" i="17"/>
  <c r="T50" i="17"/>
  <c r="V50" i="17"/>
  <c r="W50" i="17"/>
  <c r="X50" i="17" s="1"/>
  <c r="Z50" i="17" s="1"/>
  <c r="AV50" i="17"/>
  <c r="AT50" i="17" s="1"/>
  <c r="AX50" i="17"/>
  <c r="AY50" i="17"/>
  <c r="AZ50" i="17" s="1"/>
  <c r="BX50" i="17"/>
  <c r="BV50" i="17" s="1"/>
  <c r="CB50" i="17"/>
  <c r="CC50" i="17"/>
  <c r="CD50" i="17" s="1"/>
  <c r="CJ50" i="17"/>
  <c r="CH50" i="17" s="1"/>
  <c r="CL50" i="17"/>
  <c r="CM50" i="17"/>
  <c r="CN50" i="17"/>
  <c r="DK50" i="17"/>
  <c r="O51" i="17"/>
  <c r="T51" i="17"/>
  <c r="V51" i="17"/>
  <c r="W51" i="17"/>
  <c r="X51" i="17" s="1"/>
  <c r="Z51" i="17"/>
  <c r="AV51" i="17"/>
  <c r="AT51" i="17" s="1"/>
  <c r="AX51" i="17"/>
  <c r="AY51" i="17"/>
  <c r="AZ51" i="17" s="1"/>
  <c r="BX51" i="17"/>
  <c r="BV51" i="17" s="1"/>
  <c r="CB51" i="17"/>
  <c r="CC51" i="17"/>
  <c r="CJ51" i="17"/>
  <c r="CH51" i="17" s="1"/>
  <c r="CL51" i="17"/>
  <c r="CM51" i="17"/>
  <c r="CN51" i="17"/>
  <c r="CO51" i="17" s="1"/>
  <c r="DK51" i="17"/>
  <c r="T52" i="17"/>
  <c r="R52" i="17" s="1"/>
  <c r="V52" i="17"/>
  <c r="W52" i="17"/>
  <c r="X52" i="17" s="1"/>
  <c r="AV52" i="17"/>
  <c r="AT52" i="17" s="1"/>
  <c r="AX52" i="17"/>
  <c r="AY52" i="17"/>
  <c r="AZ52" i="17" s="1"/>
  <c r="BX52" i="17"/>
  <c r="BV52" i="17" s="1"/>
  <c r="CB52" i="17"/>
  <c r="CC52" i="17"/>
  <c r="CF52" i="17"/>
  <c r="CJ52" i="17"/>
  <c r="CH52" i="17" s="1"/>
  <c r="CL52" i="17"/>
  <c r="CM52" i="17"/>
  <c r="CN52" i="17"/>
  <c r="DK52" i="17"/>
  <c r="O53" i="17"/>
  <c r="T53" i="17"/>
  <c r="R53" i="17" s="1"/>
  <c r="V53" i="17"/>
  <c r="W53" i="17"/>
  <c r="X53" i="17" s="1"/>
  <c r="AV53" i="17"/>
  <c r="AT53" i="17" s="1"/>
  <c r="AX53" i="17"/>
  <c r="AY53" i="17"/>
  <c r="AZ53" i="17" s="1"/>
  <c r="BX53" i="17"/>
  <c r="BV53" i="17" s="1"/>
  <c r="CB53" i="17"/>
  <c r="CC53" i="17"/>
  <c r="CF53" i="17"/>
  <c r="CJ53" i="17"/>
  <c r="CH53" i="17" s="1"/>
  <c r="CL53" i="17"/>
  <c r="CM53" i="17"/>
  <c r="CN53" i="17"/>
  <c r="CO53" i="17" s="1"/>
  <c r="DK53" i="17"/>
  <c r="O54" i="17"/>
  <c r="T54" i="17"/>
  <c r="R54" i="17" s="1"/>
  <c r="V54" i="17"/>
  <c r="W54" i="17"/>
  <c r="X54" i="17" s="1"/>
  <c r="Z54" i="17" s="1"/>
  <c r="AV54" i="17"/>
  <c r="AT54" i="17" s="1"/>
  <c r="AX54" i="17"/>
  <c r="AY54" i="17"/>
  <c r="AZ54" i="17" s="1"/>
  <c r="BB54" i="17" s="1"/>
  <c r="BX54" i="17"/>
  <c r="BV54" i="17" s="1"/>
  <c r="CB54" i="17"/>
  <c r="CC54" i="17"/>
  <c r="CD54" i="17" s="1"/>
  <c r="CF54" i="17" s="1"/>
  <c r="CJ54" i="17"/>
  <c r="CH54" i="17" s="1"/>
  <c r="CL54" i="17"/>
  <c r="CM54" i="17"/>
  <c r="CN54" i="17"/>
  <c r="CO54" i="17" s="1"/>
  <c r="DK54" i="17"/>
  <c r="O55" i="17"/>
  <c r="T55" i="17"/>
  <c r="R55" i="17" s="1"/>
  <c r="V55" i="17"/>
  <c r="W55" i="17"/>
  <c r="X55" i="17" s="1"/>
  <c r="Z55" i="17" s="1"/>
  <c r="AV55" i="17"/>
  <c r="AT55" i="17" s="1"/>
  <c r="AX55" i="17"/>
  <c r="AY55" i="17"/>
  <c r="AZ55" i="17" s="1"/>
  <c r="BX55" i="17"/>
  <c r="BV55" i="17" s="1"/>
  <c r="CB55" i="17"/>
  <c r="CC55" i="17"/>
  <c r="CJ55" i="17"/>
  <c r="CH55" i="17" s="1"/>
  <c r="CL55" i="17"/>
  <c r="CM55" i="17"/>
  <c r="CN55" i="17"/>
  <c r="CO55" i="17" s="1"/>
  <c r="DK55" i="17"/>
  <c r="O56" i="17"/>
  <c r="T56" i="17"/>
  <c r="R56" i="17" s="1"/>
  <c r="V56" i="17"/>
  <c r="W56" i="17"/>
  <c r="X56" i="17" s="1"/>
  <c r="AV56" i="17"/>
  <c r="AX56" i="17"/>
  <c r="AY56" i="17"/>
  <c r="AZ56" i="17" s="1"/>
  <c r="BB56" i="17"/>
  <c r="BX56" i="17"/>
  <c r="BV56" i="17" s="1"/>
  <c r="CB56" i="17"/>
  <c r="CC56" i="17"/>
  <c r="CD56" i="17" s="1"/>
  <c r="CF56" i="17"/>
  <c r="CJ56" i="17"/>
  <c r="CH56" i="17" s="1"/>
  <c r="CL56" i="17"/>
  <c r="CM56" i="17"/>
  <c r="CN56" i="17"/>
  <c r="DK56" i="17"/>
  <c r="O57" i="17"/>
  <c r="T57" i="17"/>
  <c r="V57" i="17"/>
  <c r="W57" i="17"/>
  <c r="X57" i="17" s="1"/>
  <c r="Z57" i="17"/>
  <c r="AV57" i="17"/>
  <c r="AT57" i="17" s="1"/>
  <c r="AX57" i="17"/>
  <c r="AY57" i="17"/>
  <c r="AZ57" i="17" s="1"/>
  <c r="BB57" i="17"/>
  <c r="BX57" i="17"/>
  <c r="BV57" i="17" s="1"/>
  <c r="CB57" i="17"/>
  <c r="CC57" i="17"/>
  <c r="CD57" i="17" s="1"/>
  <c r="CF57" i="17" s="1"/>
  <c r="CJ57" i="17"/>
  <c r="CH57" i="17" s="1"/>
  <c r="CL57" i="17"/>
  <c r="CM57" i="17"/>
  <c r="CN57" i="17"/>
  <c r="DK57" i="17"/>
  <c r="O58" i="17"/>
  <c r="T58" i="17"/>
  <c r="R58" i="17" s="1"/>
  <c r="V58" i="17"/>
  <c r="W58" i="17"/>
  <c r="X58" i="17" s="1"/>
  <c r="Z58" i="17" s="1"/>
  <c r="AV58" i="17"/>
  <c r="AX58" i="17"/>
  <c r="AY58" i="17"/>
  <c r="AZ58" i="17" s="1"/>
  <c r="BX58" i="17"/>
  <c r="BV58" i="17" s="1"/>
  <c r="CB58" i="17"/>
  <c r="CC58" i="17"/>
  <c r="CD58" i="17" s="1"/>
  <c r="CJ58" i="17"/>
  <c r="CH58" i="17" s="1"/>
  <c r="CL58" i="17"/>
  <c r="CM58" i="17"/>
  <c r="CN58" i="17"/>
  <c r="CO58" i="17" s="1"/>
  <c r="DK58" i="17"/>
  <c r="O59" i="17"/>
  <c r="T59" i="17"/>
  <c r="V59" i="17"/>
  <c r="W59" i="17"/>
  <c r="X59" i="17" s="1"/>
  <c r="AV59" i="17"/>
  <c r="AT59" i="17" s="1"/>
  <c r="AX59" i="17"/>
  <c r="AY59" i="17"/>
  <c r="AZ59" i="17" s="1"/>
  <c r="BB59" i="17" s="1"/>
  <c r="BX59" i="17"/>
  <c r="BV59" i="17" s="1"/>
  <c r="CB59" i="17"/>
  <c r="CC59" i="17"/>
  <c r="CJ59" i="17"/>
  <c r="CH59" i="17" s="1"/>
  <c r="CL59" i="17"/>
  <c r="CM59" i="17"/>
  <c r="CN59" i="17"/>
  <c r="CO59" i="17" s="1"/>
  <c r="DK59" i="17"/>
  <c r="O60" i="17"/>
  <c r="T60" i="17"/>
  <c r="R60" i="17" s="1"/>
  <c r="V60" i="17"/>
  <c r="W60" i="17"/>
  <c r="X60" i="17" s="1"/>
  <c r="AV60" i="17"/>
  <c r="AT60" i="17" s="1"/>
  <c r="AX60" i="17"/>
  <c r="AY60" i="17"/>
  <c r="AZ60" i="17" s="1"/>
  <c r="BB60" i="17"/>
  <c r="BX60" i="17"/>
  <c r="BV60" i="17" s="1"/>
  <c r="CB60" i="17"/>
  <c r="CC60" i="17"/>
  <c r="CD60" i="17" s="1"/>
  <c r="CF60" i="17" s="1"/>
  <c r="CJ60" i="17"/>
  <c r="CH60" i="17" s="1"/>
  <c r="CL60" i="17"/>
  <c r="CM60" i="17"/>
  <c r="CN60" i="17"/>
  <c r="CO60" i="17" s="1"/>
  <c r="DK60" i="17"/>
  <c r="O61" i="17"/>
  <c r="T61" i="17"/>
  <c r="R61" i="17" s="1"/>
  <c r="V61" i="17"/>
  <c r="W61" i="17"/>
  <c r="X61" i="17" s="1"/>
  <c r="Z61" i="17" s="1"/>
  <c r="AV61" i="17"/>
  <c r="AT61" i="17" s="1"/>
  <c r="AX61" i="17"/>
  <c r="AY61" i="17"/>
  <c r="AZ61" i="17" s="1"/>
  <c r="BB61" i="17"/>
  <c r="BX61" i="17"/>
  <c r="BV61" i="17" s="1"/>
  <c r="CB61" i="17"/>
  <c r="CC61" i="17"/>
  <c r="CD61" i="17" s="1"/>
  <c r="CF61" i="17"/>
  <c r="CJ61" i="17"/>
  <c r="CL61" i="17"/>
  <c r="CM61" i="17"/>
  <c r="CN61" i="17"/>
  <c r="DK61" i="17"/>
  <c r="O62" i="17"/>
  <c r="T62" i="17"/>
  <c r="V62" i="17"/>
  <c r="W62" i="17"/>
  <c r="X62" i="17" s="1"/>
  <c r="Z62" i="17" s="1"/>
  <c r="AV62" i="17"/>
  <c r="AT62" i="17" s="1"/>
  <c r="AX62" i="17"/>
  <c r="AY62" i="17"/>
  <c r="AZ62" i="17" s="1"/>
  <c r="BX62" i="17"/>
  <c r="BV62" i="17" s="1"/>
  <c r="CB62" i="17"/>
  <c r="CC62" i="17"/>
  <c r="CJ62" i="17"/>
  <c r="CH62" i="17" s="1"/>
  <c r="CL62" i="17"/>
  <c r="CM62" i="17"/>
  <c r="CN62" i="17"/>
  <c r="CO62" i="17" s="1"/>
  <c r="DK62" i="17"/>
  <c r="O63" i="17"/>
  <c r="T63" i="17"/>
  <c r="V63" i="17"/>
  <c r="W63" i="17"/>
  <c r="X63" i="17" s="1"/>
  <c r="AV63" i="17"/>
  <c r="AT63" i="17" s="1"/>
  <c r="AX63" i="17"/>
  <c r="AY63" i="17"/>
  <c r="AZ63" i="17" s="1"/>
  <c r="BX63" i="17"/>
  <c r="BV63" i="17" s="1"/>
  <c r="CB63" i="17"/>
  <c r="CC63" i="17"/>
  <c r="CJ63" i="17"/>
  <c r="CH63" i="17" s="1"/>
  <c r="CL63" i="17"/>
  <c r="CM63" i="17"/>
  <c r="CN63" i="17"/>
  <c r="CO63" i="17" s="1"/>
  <c r="DK63" i="17"/>
  <c r="O64" i="17"/>
  <c r="T64" i="17"/>
  <c r="R64" i="17" s="1"/>
  <c r="V64" i="17"/>
  <c r="W64" i="17"/>
  <c r="X64" i="17" s="1"/>
  <c r="AV64" i="17"/>
  <c r="AT64" i="17" s="1"/>
  <c r="AX64" i="17"/>
  <c r="AY64" i="17"/>
  <c r="AZ64" i="17" s="1"/>
  <c r="BX64" i="17"/>
  <c r="BV64" i="17" s="1"/>
  <c r="CB64" i="17"/>
  <c r="CC64" i="17"/>
  <c r="CD64" i="17" s="1"/>
  <c r="CJ64" i="17"/>
  <c r="CH64" i="17" s="1"/>
  <c r="CL64" i="17"/>
  <c r="CM64" i="17"/>
  <c r="CN64" i="17"/>
  <c r="CO64" i="17" s="1"/>
  <c r="DK64" i="17"/>
  <c r="O65" i="17"/>
  <c r="T65" i="17"/>
  <c r="V65" i="17"/>
  <c r="W65" i="17"/>
  <c r="X65" i="17" s="1"/>
  <c r="Z65" i="17" s="1"/>
  <c r="AV65" i="17"/>
  <c r="AT65" i="17" s="1"/>
  <c r="AX65" i="17"/>
  <c r="AY65" i="17"/>
  <c r="AZ65" i="17" s="1"/>
  <c r="BB65" i="17"/>
  <c r="BX65" i="17"/>
  <c r="BV65" i="17" s="1"/>
  <c r="CB65" i="17"/>
  <c r="CC65" i="17"/>
  <c r="CJ65" i="17"/>
  <c r="CH65" i="17" s="1"/>
  <c r="CL65" i="17"/>
  <c r="CM65" i="17"/>
  <c r="CN65" i="17"/>
  <c r="DK65" i="17"/>
  <c r="O66" i="17"/>
  <c r="T66" i="17"/>
  <c r="V66" i="17"/>
  <c r="W66" i="17"/>
  <c r="X66" i="17" s="1"/>
  <c r="Z66" i="17" s="1"/>
  <c r="AV66" i="17"/>
  <c r="AT66" i="17" s="1"/>
  <c r="AX66" i="17"/>
  <c r="AY66" i="17"/>
  <c r="AZ66" i="17" s="1"/>
  <c r="BX66" i="17"/>
  <c r="BV66" i="17" s="1"/>
  <c r="CB66" i="17"/>
  <c r="CC66" i="17"/>
  <c r="CD66" i="17" s="1"/>
  <c r="CJ66" i="17"/>
  <c r="CH66" i="17" s="1"/>
  <c r="CL66" i="17"/>
  <c r="CM66" i="17"/>
  <c r="CN66" i="17"/>
  <c r="DK66" i="17"/>
  <c r="O67" i="17"/>
  <c r="T67" i="17"/>
  <c r="V67" i="17"/>
  <c r="W67" i="17"/>
  <c r="X67" i="17" s="1"/>
  <c r="AV67" i="17"/>
  <c r="AT67" i="17" s="1"/>
  <c r="AX67" i="17"/>
  <c r="AY67" i="17"/>
  <c r="AZ67" i="17" s="1"/>
  <c r="BB67" i="17" s="1"/>
  <c r="BX67" i="17"/>
  <c r="BV67" i="17" s="1"/>
  <c r="CB67" i="17"/>
  <c r="CC67" i="17"/>
  <c r="CJ67" i="17"/>
  <c r="CH67" i="17" s="1"/>
  <c r="CL67" i="17"/>
  <c r="CM67" i="17"/>
  <c r="CN67" i="17"/>
  <c r="CO67" i="17" s="1"/>
  <c r="DK67" i="17"/>
  <c r="O68" i="17"/>
  <c r="T68" i="17"/>
  <c r="R68" i="17" s="1"/>
  <c r="V68" i="17"/>
  <c r="W68" i="17"/>
  <c r="X68" i="17" s="1"/>
  <c r="Z68" i="17" s="1"/>
  <c r="AV68" i="17"/>
  <c r="AT68" i="17" s="1"/>
  <c r="AX68" i="17"/>
  <c r="AY68" i="17"/>
  <c r="AZ68" i="17" s="1"/>
  <c r="BB68" i="17"/>
  <c r="BX68" i="17"/>
  <c r="BV68" i="17" s="1"/>
  <c r="CB68" i="17"/>
  <c r="CC68" i="17"/>
  <c r="CD68" i="17" s="1"/>
  <c r="CF68" i="17"/>
  <c r="CJ68" i="17"/>
  <c r="CH68" i="17" s="1"/>
  <c r="CL68" i="17"/>
  <c r="CM68" i="17"/>
  <c r="CN68" i="17"/>
  <c r="CO68" i="17" s="1"/>
  <c r="DK68" i="17"/>
  <c r="O69" i="17"/>
  <c r="T69" i="17"/>
  <c r="V69" i="17"/>
  <c r="W69" i="17"/>
  <c r="X69" i="17" s="1"/>
  <c r="AV69" i="17"/>
  <c r="AT69" i="17" s="1"/>
  <c r="AX69" i="17"/>
  <c r="AY69" i="17"/>
  <c r="AZ69" i="17" s="1"/>
  <c r="BX69" i="17"/>
  <c r="BV69" i="17" s="1"/>
  <c r="CB69" i="17"/>
  <c r="CC69" i="17"/>
  <c r="CJ69" i="17"/>
  <c r="CH69" i="17" s="1"/>
  <c r="CL69" i="17"/>
  <c r="CM69" i="17"/>
  <c r="CN69" i="17"/>
  <c r="DK69" i="17"/>
  <c r="O70" i="17"/>
  <c r="T70" i="17"/>
  <c r="R70" i="17" s="1"/>
  <c r="V70" i="17"/>
  <c r="W70" i="17"/>
  <c r="X70" i="17" s="1"/>
  <c r="AV70" i="17"/>
  <c r="AX70" i="17"/>
  <c r="AY70" i="17"/>
  <c r="AZ70" i="17" s="1"/>
  <c r="BB70" i="17" s="1"/>
  <c r="BX70" i="17"/>
  <c r="BV70" i="17" s="1"/>
  <c r="CB70" i="17"/>
  <c r="CC70" i="17"/>
  <c r="CD70" i="17" s="1"/>
  <c r="CJ70" i="17"/>
  <c r="CH70" i="17" s="1"/>
  <c r="CL70" i="17"/>
  <c r="CM70" i="17"/>
  <c r="CN70" i="17"/>
  <c r="DK70" i="17"/>
  <c r="O71" i="17"/>
  <c r="T71" i="17"/>
  <c r="R71" i="17" s="1"/>
  <c r="V71" i="17"/>
  <c r="W71" i="17"/>
  <c r="X71" i="17" s="1"/>
  <c r="AV71" i="17"/>
  <c r="AT71" i="17" s="1"/>
  <c r="AX71" i="17"/>
  <c r="AY71" i="17"/>
  <c r="AZ71" i="17" s="1"/>
  <c r="BB71" i="17"/>
  <c r="BX71" i="17"/>
  <c r="BV71" i="17" s="1"/>
  <c r="CB71" i="17"/>
  <c r="CC71" i="17"/>
  <c r="CD71" i="17" s="1"/>
  <c r="CF71" i="17" s="1"/>
  <c r="CJ71" i="17"/>
  <c r="CH71" i="17" s="1"/>
  <c r="CL71" i="17"/>
  <c r="CM71" i="17"/>
  <c r="CN71" i="17"/>
  <c r="CO71" i="17" s="1"/>
  <c r="DK71" i="17"/>
  <c r="O72" i="17"/>
  <c r="T72" i="17"/>
  <c r="R72" i="17" s="1"/>
  <c r="V72" i="17"/>
  <c r="W72" i="17"/>
  <c r="X72" i="17" s="1"/>
  <c r="Z72" i="17"/>
  <c r="AV72" i="17"/>
  <c r="AX72" i="17"/>
  <c r="AY72" i="17"/>
  <c r="AZ72" i="17" s="1"/>
  <c r="BB72" i="17" s="1"/>
  <c r="BX72" i="17"/>
  <c r="BV72" i="17" s="1"/>
  <c r="CB72" i="17"/>
  <c r="CC72" i="17"/>
  <c r="CD72" i="17" s="1"/>
  <c r="CJ72" i="17"/>
  <c r="CH72" i="17" s="1"/>
  <c r="CL72" i="17"/>
  <c r="CM72" i="17"/>
  <c r="CN72" i="17"/>
  <c r="CO72" i="17" s="1"/>
  <c r="DK72" i="17"/>
  <c r="O73" i="17"/>
  <c r="T73" i="17"/>
  <c r="V73" i="17"/>
  <c r="W73" i="17"/>
  <c r="X73" i="17" s="1"/>
  <c r="Z73" i="17" s="1"/>
  <c r="AV73" i="17"/>
  <c r="AT73" i="17" s="1"/>
  <c r="AX73" i="17"/>
  <c r="AY73" i="17"/>
  <c r="AZ73" i="17" s="1"/>
  <c r="BB73" i="17"/>
  <c r="BX73" i="17"/>
  <c r="BV73" i="17" s="1"/>
  <c r="CB73" i="17"/>
  <c r="CC73" i="17"/>
  <c r="CJ73" i="17"/>
  <c r="CH73" i="17" s="1"/>
  <c r="CL73" i="17"/>
  <c r="CM73" i="17"/>
  <c r="CN73" i="17"/>
  <c r="CO73" i="17" s="1"/>
  <c r="DK73" i="17"/>
  <c r="O74" i="17"/>
  <c r="T74" i="17"/>
  <c r="R74" i="17" s="1"/>
  <c r="V74" i="17"/>
  <c r="W74" i="17"/>
  <c r="X74" i="17" s="1"/>
  <c r="Z74" i="17"/>
  <c r="AV74" i="17"/>
  <c r="AX74" i="17"/>
  <c r="AY74" i="17"/>
  <c r="AZ74" i="17" s="1"/>
  <c r="BB74" i="17"/>
  <c r="BX74" i="17"/>
  <c r="BV74" i="17" s="1"/>
  <c r="CB74" i="17"/>
  <c r="CC74" i="17"/>
  <c r="CJ74" i="17"/>
  <c r="CH74" i="17" s="1"/>
  <c r="CL74" i="17"/>
  <c r="CM74" i="17"/>
  <c r="CN74" i="17"/>
  <c r="CO74" i="17" s="1"/>
  <c r="DK74" i="17"/>
  <c r="O75" i="17"/>
  <c r="T75" i="17"/>
  <c r="V75" i="17"/>
  <c r="W75" i="17"/>
  <c r="X75" i="17" s="1"/>
  <c r="AV75" i="17"/>
  <c r="AT75" i="17" s="1"/>
  <c r="AX75" i="17"/>
  <c r="AY75" i="17"/>
  <c r="AZ75" i="17" s="1"/>
  <c r="BX75" i="17"/>
  <c r="BV75" i="17" s="1"/>
  <c r="CB75" i="17"/>
  <c r="CC75" i="17"/>
  <c r="CJ75" i="17"/>
  <c r="CH75" i="17" s="1"/>
  <c r="CL75" i="17"/>
  <c r="CM75" i="17"/>
  <c r="CN75" i="17"/>
  <c r="DK75" i="17"/>
  <c r="O76" i="17"/>
  <c r="T76" i="17"/>
  <c r="V76" i="17"/>
  <c r="W76" i="17"/>
  <c r="X76" i="17" s="1"/>
  <c r="Z76" i="17"/>
  <c r="AV76" i="17"/>
  <c r="AT76" i="17" s="1"/>
  <c r="AX76" i="17"/>
  <c r="AY76" i="17"/>
  <c r="AZ76" i="17" s="1"/>
  <c r="BB76" i="17"/>
  <c r="BX76" i="17"/>
  <c r="BV76" i="17" s="1"/>
  <c r="CB76" i="17"/>
  <c r="CC76" i="17"/>
  <c r="CD76" i="17" s="1"/>
  <c r="CF76" i="17"/>
  <c r="CJ76" i="17"/>
  <c r="CH76" i="17" s="1"/>
  <c r="CL76" i="17"/>
  <c r="CM76" i="17"/>
  <c r="CN76" i="17"/>
  <c r="CO76" i="17" s="1"/>
  <c r="DK76" i="17"/>
  <c r="O77" i="17"/>
  <c r="T77" i="17"/>
  <c r="R77" i="17" s="1"/>
  <c r="V77" i="17"/>
  <c r="W77" i="17"/>
  <c r="X77" i="17" s="1"/>
  <c r="Z77" i="17"/>
  <c r="AV77" i="17"/>
  <c r="AT77" i="17" s="1"/>
  <c r="AX77" i="17"/>
  <c r="AY77" i="17"/>
  <c r="AZ77" i="17" s="1"/>
  <c r="BB77" i="17"/>
  <c r="BX77" i="17"/>
  <c r="BV77" i="17" s="1"/>
  <c r="CB77" i="17"/>
  <c r="CC77" i="17"/>
  <c r="CD77" i="17" s="1"/>
  <c r="CJ77" i="17"/>
  <c r="CH77" i="17" s="1"/>
  <c r="CL77" i="17"/>
  <c r="CM77" i="17"/>
  <c r="CN77" i="17"/>
  <c r="CO77" i="17" s="1"/>
  <c r="DK77" i="17"/>
  <c r="O78" i="17"/>
  <c r="T78" i="17"/>
  <c r="V78" i="17"/>
  <c r="W78" i="17"/>
  <c r="X78" i="17" s="1"/>
  <c r="Z78" i="17"/>
  <c r="AV78" i="17"/>
  <c r="AT78" i="17" s="1"/>
  <c r="AX78" i="17"/>
  <c r="AY78" i="17"/>
  <c r="AZ78" i="17" s="1"/>
  <c r="BB78" i="17"/>
  <c r="BX78" i="17"/>
  <c r="BV78" i="17" s="1"/>
  <c r="CB78" i="17"/>
  <c r="CC78" i="17"/>
  <c r="CD78" i="17" s="1"/>
  <c r="CF78" i="17"/>
  <c r="CJ78" i="17"/>
  <c r="CH78" i="17" s="1"/>
  <c r="CL78" i="17"/>
  <c r="CM78" i="17"/>
  <c r="CN78" i="17"/>
  <c r="CO78" i="17" s="1"/>
  <c r="DK78" i="17"/>
  <c r="T79" i="17"/>
  <c r="V79" i="17"/>
  <c r="W79" i="17"/>
  <c r="X79" i="17" s="1"/>
  <c r="Z79" i="17"/>
  <c r="AV79" i="17"/>
  <c r="AT79" i="17" s="1"/>
  <c r="AX79" i="17"/>
  <c r="AY79" i="17"/>
  <c r="AZ79" i="17" s="1"/>
  <c r="BB79" i="17"/>
  <c r="BX79" i="17"/>
  <c r="BV79" i="17" s="1"/>
  <c r="CB79" i="17"/>
  <c r="CC79" i="17"/>
  <c r="CD79" i="17" s="1"/>
  <c r="CF79" i="17"/>
  <c r="CJ79" i="17"/>
  <c r="CH79" i="17" s="1"/>
  <c r="CL79" i="17"/>
  <c r="CM79" i="17"/>
  <c r="CN79" i="17"/>
  <c r="CO79" i="17" s="1"/>
  <c r="DK79" i="17"/>
  <c r="O80" i="17"/>
  <c r="T80" i="17"/>
  <c r="R80" i="17" s="1"/>
  <c r="V80" i="17"/>
  <c r="W80" i="17"/>
  <c r="X80" i="17" s="1"/>
  <c r="Z80" i="17" s="1"/>
  <c r="AV80" i="17"/>
  <c r="AX80" i="17"/>
  <c r="AY80" i="17"/>
  <c r="AZ80" i="17" s="1"/>
  <c r="BX80" i="17"/>
  <c r="BV80" i="17" s="1"/>
  <c r="CB80" i="17"/>
  <c r="CC80" i="17"/>
  <c r="CD80" i="17" s="1"/>
  <c r="CF80" i="17" s="1"/>
  <c r="CJ80" i="17"/>
  <c r="CH80" i="17" s="1"/>
  <c r="CL80" i="17"/>
  <c r="CM80" i="17"/>
  <c r="CN80" i="17"/>
  <c r="CO80" i="17" s="1"/>
  <c r="DK80" i="17"/>
  <c r="O81" i="17"/>
  <c r="T81" i="17"/>
  <c r="V81" i="17"/>
  <c r="W81" i="17"/>
  <c r="X81" i="17" s="1"/>
  <c r="Z81" i="17" s="1"/>
  <c r="AV81" i="17"/>
  <c r="AT81" i="17" s="1"/>
  <c r="AX81" i="17"/>
  <c r="AY81" i="17"/>
  <c r="AZ81" i="17" s="1"/>
  <c r="BX81" i="17"/>
  <c r="BV81" i="17" s="1"/>
  <c r="CB81" i="17"/>
  <c r="CC81" i="17"/>
  <c r="CF81" i="17"/>
  <c r="CJ81" i="17"/>
  <c r="CH81" i="17" s="1"/>
  <c r="CL81" i="17"/>
  <c r="CM81" i="17"/>
  <c r="CN81" i="17"/>
  <c r="CO81" i="17" s="1"/>
  <c r="DK81" i="17"/>
  <c r="O82" i="17"/>
  <c r="T82" i="17"/>
  <c r="V82" i="17"/>
  <c r="W82" i="17"/>
  <c r="X82" i="17" s="1"/>
  <c r="Z82" i="17" s="1"/>
  <c r="AV82" i="17"/>
  <c r="AT82" i="17" s="1"/>
  <c r="AX82" i="17"/>
  <c r="AY82" i="17"/>
  <c r="AZ82" i="17" s="1"/>
  <c r="BX82" i="17"/>
  <c r="BV82" i="17" s="1"/>
  <c r="CB82" i="17"/>
  <c r="CC82" i="17"/>
  <c r="CJ82" i="17"/>
  <c r="CH82" i="17" s="1"/>
  <c r="CL82" i="17"/>
  <c r="CM82" i="17"/>
  <c r="CN82" i="17"/>
  <c r="CO82" i="17" s="1"/>
  <c r="DK82" i="17"/>
  <c r="O83" i="17"/>
  <c r="T83" i="17"/>
  <c r="V83" i="17"/>
  <c r="W83" i="17"/>
  <c r="X83" i="17" s="1"/>
  <c r="Z83" i="17"/>
  <c r="AV83" i="17"/>
  <c r="AT83" i="17" s="1"/>
  <c r="AX83" i="17"/>
  <c r="AY83" i="17"/>
  <c r="AZ83" i="17" s="1"/>
  <c r="BX83" i="17"/>
  <c r="BV83" i="17" s="1"/>
  <c r="CB83" i="17"/>
  <c r="CC83" i="17"/>
  <c r="CD83" i="17" s="1"/>
  <c r="CF83" i="17"/>
  <c r="CJ83" i="17"/>
  <c r="CH83" i="17" s="1"/>
  <c r="CL83" i="17"/>
  <c r="CM83" i="17"/>
  <c r="CN83" i="17"/>
  <c r="DK83" i="17"/>
  <c r="O84" i="17"/>
  <c r="T84" i="17"/>
  <c r="V84" i="17"/>
  <c r="W84" i="17"/>
  <c r="X84" i="17" s="1"/>
  <c r="Z84" i="17" s="1"/>
  <c r="AV84" i="17"/>
  <c r="AT84" i="17" s="1"/>
  <c r="AX84" i="17"/>
  <c r="AY84" i="17"/>
  <c r="AZ84" i="17" s="1"/>
  <c r="BB84" i="17" s="1"/>
  <c r="BX84" i="17"/>
  <c r="BV84" i="17" s="1"/>
  <c r="CB84" i="17"/>
  <c r="CC84" i="17"/>
  <c r="CJ84" i="17"/>
  <c r="CH84" i="17" s="1"/>
  <c r="CL84" i="17"/>
  <c r="CM84" i="17"/>
  <c r="CN84" i="17"/>
  <c r="DK84" i="17"/>
  <c r="O85" i="17"/>
  <c r="T85" i="17"/>
  <c r="V85" i="17"/>
  <c r="W85" i="17"/>
  <c r="X85" i="17" s="1"/>
  <c r="AV85" i="17"/>
  <c r="AT85" i="17" s="1"/>
  <c r="AX85" i="17"/>
  <c r="AY85" i="17"/>
  <c r="AZ85" i="17" s="1"/>
  <c r="BB85" i="17"/>
  <c r="BX85" i="17"/>
  <c r="BV85" i="17" s="1"/>
  <c r="CB85" i="17"/>
  <c r="CC85" i="17"/>
  <c r="CF85" i="17"/>
  <c r="CJ85" i="17"/>
  <c r="CH85" i="17" s="1"/>
  <c r="CL85" i="17"/>
  <c r="CM85" i="17"/>
  <c r="CN85" i="17"/>
  <c r="CO85" i="17" s="1"/>
  <c r="DK85" i="17"/>
  <c r="O86" i="17"/>
  <c r="T86" i="17"/>
  <c r="R86" i="17" s="1"/>
  <c r="V86" i="17"/>
  <c r="W86" i="17"/>
  <c r="X86" i="17" s="1"/>
  <c r="AV86" i="17"/>
  <c r="AT86" i="17" s="1"/>
  <c r="AX86" i="17"/>
  <c r="AY86" i="17"/>
  <c r="AZ86" i="17" s="1"/>
  <c r="BX86" i="17"/>
  <c r="BV86" i="17" s="1"/>
  <c r="CB86" i="17"/>
  <c r="CC86" i="17"/>
  <c r="CD86" i="17" s="1"/>
  <c r="CF86" i="17" s="1"/>
  <c r="CJ86" i="17"/>
  <c r="CH86" i="17" s="1"/>
  <c r="CL86" i="17"/>
  <c r="CM86" i="17"/>
  <c r="CN86" i="17"/>
  <c r="DK86" i="17"/>
  <c r="O87" i="17"/>
  <c r="T87" i="17"/>
  <c r="V87" i="17"/>
  <c r="W87" i="17"/>
  <c r="X87" i="17" s="1"/>
  <c r="Z87" i="17" s="1"/>
  <c r="AV87" i="17"/>
  <c r="AT87" i="17" s="1"/>
  <c r="AX87" i="17"/>
  <c r="AY87" i="17"/>
  <c r="AZ87" i="17" s="1"/>
  <c r="BX87" i="17"/>
  <c r="BV87" i="17" s="1"/>
  <c r="CB87" i="17"/>
  <c r="CC87" i="17"/>
  <c r="CD87" i="17" s="1"/>
  <c r="CJ87" i="17"/>
  <c r="CH87" i="17" s="1"/>
  <c r="CL87" i="17"/>
  <c r="CM87" i="17"/>
  <c r="CN87" i="17"/>
  <c r="CO87" i="17" s="1"/>
  <c r="DK87" i="17"/>
  <c r="O88" i="17"/>
  <c r="T88" i="17"/>
  <c r="R88" i="17" s="1"/>
  <c r="V88" i="17"/>
  <c r="W88" i="17"/>
  <c r="X88" i="17" s="1"/>
  <c r="AV88" i="17"/>
  <c r="AT88" i="17" s="1"/>
  <c r="AX88" i="17"/>
  <c r="AY88" i="17"/>
  <c r="AZ88" i="17" s="1"/>
  <c r="BB88" i="17" s="1"/>
  <c r="BX88" i="17"/>
  <c r="BV88" i="17" s="1"/>
  <c r="CB88" i="17"/>
  <c r="CC88" i="17"/>
  <c r="CJ88" i="17"/>
  <c r="CH88" i="17" s="1"/>
  <c r="CL88" i="17"/>
  <c r="CM88" i="17"/>
  <c r="CN88" i="17"/>
  <c r="CO88" i="17" s="1"/>
  <c r="DK88" i="17"/>
  <c r="O89" i="17"/>
  <c r="T89" i="17"/>
  <c r="R89" i="17" s="1"/>
  <c r="V89" i="17"/>
  <c r="W89" i="17"/>
  <c r="X89" i="17" s="1"/>
  <c r="Z89" i="17" s="1"/>
  <c r="AV89" i="17"/>
  <c r="AX89" i="17"/>
  <c r="AY89" i="17"/>
  <c r="AZ89" i="17" s="1"/>
  <c r="BX89" i="17"/>
  <c r="BV89" i="17" s="1"/>
  <c r="CB89" i="17"/>
  <c r="CC89" i="17"/>
  <c r="CF89" i="17"/>
  <c r="CJ89" i="17"/>
  <c r="CH89" i="17" s="1"/>
  <c r="CL89" i="17"/>
  <c r="CM89" i="17"/>
  <c r="CN89" i="17"/>
  <c r="DK89" i="17"/>
  <c r="O90" i="17"/>
  <c r="T90" i="17"/>
  <c r="R90" i="17" s="1"/>
  <c r="V90" i="17"/>
  <c r="W90" i="17"/>
  <c r="X90" i="17" s="1"/>
  <c r="Z90" i="17" s="1"/>
  <c r="AV90" i="17"/>
  <c r="AT90" i="17" s="1"/>
  <c r="AX90" i="17"/>
  <c r="AY90" i="17"/>
  <c r="AZ90" i="17" s="1"/>
  <c r="BX90" i="17"/>
  <c r="BV90" i="17" s="1"/>
  <c r="CB90" i="17"/>
  <c r="CC90" i="17"/>
  <c r="CD90" i="17" s="1"/>
  <c r="CF90" i="17"/>
  <c r="CJ90" i="17"/>
  <c r="CH90" i="17" s="1"/>
  <c r="CL90" i="17"/>
  <c r="CM90" i="17"/>
  <c r="CN90" i="17"/>
  <c r="CO90" i="17" s="1"/>
  <c r="DK90" i="17"/>
  <c r="O91" i="17"/>
  <c r="T91" i="17"/>
  <c r="V91" i="17"/>
  <c r="W91" i="17"/>
  <c r="X91" i="17" s="1"/>
  <c r="Z91" i="17" s="1"/>
  <c r="AV91" i="17"/>
  <c r="AT91" i="17" s="1"/>
  <c r="AX91" i="17"/>
  <c r="AY91" i="17"/>
  <c r="AZ91" i="17" s="1"/>
  <c r="BB91" i="17" s="1"/>
  <c r="BX91" i="17"/>
  <c r="BV91" i="17" s="1"/>
  <c r="CB91" i="17"/>
  <c r="CC91" i="17"/>
  <c r="CJ91" i="17"/>
  <c r="CH91" i="17" s="1"/>
  <c r="CL91" i="17"/>
  <c r="CM91" i="17"/>
  <c r="CN91" i="17"/>
  <c r="DK91" i="17"/>
  <c r="O92" i="17"/>
  <c r="T92" i="17"/>
  <c r="R92" i="17" s="1"/>
  <c r="V92" i="17"/>
  <c r="W92" i="17"/>
  <c r="X92" i="17" s="1"/>
  <c r="Z92" i="17" s="1"/>
  <c r="AV92" i="17"/>
  <c r="AX92" i="17"/>
  <c r="AY92" i="17"/>
  <c r="AZ92" i="17" s="1"/>
  <c r="BB92" i="17"/>
  <c r="BX92" i="17"/>
  <c r="BV92" i="17" s="1"/>
  <c r="CB92" i="17"/>
  <c r="CC92" i="17"/>
  <c r="CJ92" i="17"/>
  <c r="CH92" i="17" s="1"/>
  <c r="CL92" i="17"/>
  <c r="CM92" i="17"/>
  <c r="CN92" i="17"/>
  <c r="DK92" i="17"/>
  <c r="O93" i="17"/>
  <c r="T93" i="17"/>
  <c r="V93" i="17"/>
  <c r="W93" i="17"/>
  <c r="X93" i="17" s="1"/>
  <c r="AV93" i="17"/>
  <c r="AT93" i="17" s="1"/>
  <c r="AX93" i="17"/>
  <c r="AY93" i="17"/>
  <c r="AZ93" i="17" s="1"/>
  <c r="BB93" i="17"/>
  <c r="BX93" i="17"/>
  <c r="BV93" i="17" s="1"/>
  <c r="CB93" i="17"/>
  <c r="CC93" i="17"/>
  <c r="CF93" i="17"/>
  <c r="CJ93" i="17"/>
  <c r="CH93" i="17" s="1"/>
  <c r="CL93" i="17"/>
  <c r="CM93" i="17"/>
  <c r="CN93" i="17"/>
  <c r="CO93" i="17" s="1"/>
  <c r="DK93" i="17"/>
  <c r="O94" i="17"/>
  <c r="T94" i="17"/>
  <c r="R94" i="17" s="1"/>
  <c r="V94" i="17"/>
  <c r="W94" i="17"/>
  <c r="X94" i="17" s="1"/>
  <c r="Z94" i="17" s="1"/>
  <c r="AV94" i="17"/>
  <c r="AT94" i="17" s="1"/>
  <c r="AX94" i="17"/>
  <c r="AY94" i="17"/>
  <c r="AZ94" i="17" s="1"/>
  <c r="BX94" i="17"/>
  <c r="BV94" i="17" s="1"/>
  <c r="CB94" i="17"/>
  <c r="CC94" i="17"/>
  <c r="CD94" i="17" s="1"/>
  <c r="CJ94" i="17"/>
  <c r="CH94" i="17" s="1"/>
  <c r="CL94" i="17"/>
  <c r="CM94" i="17"/>
  <c r="CN94" i="17"/>
  <c r="DK94" i="17"/>
  <c r="O95" i="17"/>
  <c r="T95" i="17"/>
  <c r="R95" i="17" s="1"/>
  <c r="V95" i="17"/>
  <c r="W95" i="17"/>
  <c r="X95" i="17" s="1"/>
  <c r="AV95" i="17"/>
  <c r="AT95" i="17" s="1"/>
  <c r="AX95" i="17"/>
  <c r="AY95" i="17"/>
  <c r="AZ95" i="17" s="1"/>
  <c r="BX95" i="17"/>
  <c r="CB95" i="17"/>
  <c r="CC95" i="17"/>
  <c r="CD95" i="17" s="1"/>
  <c r="CJ95" i="17"/>
  <c r="CH95" i="17" s="1"/>
  <c r="CL95" i="17"/>
  <c r="CM95" i="17"/>
  <c r="CN95" i="17"/>
  <c r="CO95" i="17" s="1"/>
  <c r="DK95" i="17"/>
  <c r="O96" i="17"/>
  <c r="T96" i="17"/>
  <c r="R96" i="17" s="1"/>
  <c r="V96" i="17"/>
  <c r="W96" i="17"/>
  <c r="X96" i="17" s="1"/>
  <c r="AV96" i="17"/>
  <c r="AX96" i="17"/>
  <c r="AY96" i="17"/>
  <c r="AZ96" i="17" s="1"/>
  <c r="BB96" i="17"/>
  <c r="BX96" i="17"/>
  <c r="BV96" i="17" s="1"/>
  <c r="CB96" i="17"/>
  <c r="CC96" i="17"/>
  <c r="CD96" i="17" s="1"/>
  <c r="CJ96" i="17"/>
  <c r="CH96" i="17" s="1"/>
  <c r="CL96" i="17"/>
  <c r="CM96" i="17"/>
  <c r="CN96" i="17"/>
  <c r="DK96" i="17"/>
  <c r="O97" i="17"/>
  <c r="T97" i="17"/>
  <c r="R97" i="17" s="1"/>
  <c r="V97" i="17"/>
  <c r="W97" i="17"/>
  <c r="X97" i="17" s="1"/>
  <c r="Z97" i="17" s="1"/>
  <c r="AV97" i="17"/>
  <c r="AX97" i="17"/>
  <c r="AY97" i="17"/>
  <c r="AZ97" i="17" s="1"/>
  <c r="BX97" i="17"/>
  <c r="BV97" i="17" s="1"/>
  <c r="CB97" i="17"/>
  <c r="CC97" i="17"/>
  <c r="CD97" i="17" s="1"/>
  <c r="CF97" i="17"/>
  <c r="CJ97" i="17"/>
  <c r="CH97" i="17" s="1"/>
  <c r="CL97" i="17"/>
  <c r="CM97" i="17"/>
  <c r="CN97" i="17"/>
  <c r="DK97" i="17"/>
  <c r="O98" i="17"/>
  <c r="T98" i="17"/>
  <c r="R98" i="17" s="1"/>
  <c r="V98" i="17"/>
  <c r="W98" i="17"/>
  <c r="X98" i="17" s="1"/>
  <c r="Z98" i="17"/>
  <c r="AV98" i="17"/>
  <c r="AT98" i="17" s="1"/>
  <c r="AX98" i="17"/>
  <c r="AY98" i="17"/>
  <c r="AZ98" i="17" s="1"/>
  <c r="BX98" i="17"/>
  <c r="BV98" i="17" s="1"/>
  <c r="CB98" i="17"/>
  <c r="CC98" i="17"/>
  <c r="CD98" i="17" s="1"/>
  <c r="CJ98" i="17"/>
  <c r="CH98" i="17" s="1"/>
  <c r="CL98" i="17"/>
  <c r="CM98" i="17"/>
  <c r="CN98" i="17"/>
  <c r="CO98" i="17" s="1"/>
  <c r="DK98" i="17"/>
  <c r="O99" i="17"/>
  <c r="T99" i="17"/>
  <c r="V99" i="17"/>
  <c r="W99" i="17"/>
  <c r="X99" i="17" s="1"/>
  <c r="Z99" i="17"/>
  <c r="AV99" i="17"/>
  <c r="AT99" i="17" s="1"/>
  <c r="AX99" i="17"/>
  <c r="AY99" i="17"/>
  <c r="AZ99" i="17" s="1"/>
  <c r="BB99" i="17"/>
  <c r="BX99" i="17"/>
  <c r="BV99" i="17" s="1"/>
  <c r="CB99" i="17"/>
  <c r="CC99" i="17"/>
  <c r="CF99" i="17"/>
  <c r="CJ99" i="17"/>
  <c r="CH99" i="17" s="1"/>
  <c r="CL99" i="17"/>
  <c r="CM99" i="17"/>
  <c r="CN99" i="17"/>
  <c r="DK99" i="17"/>
  <c r="O100" i="17"/>
  <c r="T100" i="17"/>
  <c r="V100" i="17"/>
  <c r="W100" i="17"/>
  <c r="X100" i="17" s="1"/>
  <c r="AV100" i="17"/>
  <c r="AT100" i="17" s="1"/>
  <c r="AX100" i="17"/>
  <c r="AY100" i="17"/>
  <c r="AZ100" i="17" s="1"/>
  <c r="BX100" i="17"/>
  <c r="BV100" i="17" s="1"/>
  <c r="CB100" i="17"/>
  <c r="CC100" i="17"/>
  <c r="CD100" i="17" s="1"/>
  <c r="CF100" i="17" s="1"/>
  <c r="CJ100" i="17"/>
  <c r="CH100" i="17" s="1"/>
  <c r="CL100" i="17"/>
  <c r="CM100" i="17"/>
  <c r="CN100" i="17"/>
  <c r="DK100" i="17"/>
  <c r="O101" i="17"/>
  <c r="T101" i="17"/>
  <c r="V101" i="17"/>
  <c r="W101" i="17"/>
  <c r="X101" i="17" s="1"/>
  <c r="Z101" i="17" s="1"/>
  <c r="AV101" i="17"/>
  <c r="AT101" i="17" s="1"/>
  <c r="AX101" i="17"/>
  <c r="AY101" i="17"/>
  <c r="AZ101" i="17" s="1"/>
  <c r="BB101" i="17" s="1"/>
  <c r="BX101" i="17"/>
  <c r="BV101" i="17" s="1"/>
  <c r="CB101" i="17"/>
  <c r="CC101" i="17"/>
  <c r="CJ101" i="17"/>
  <c r="CH101" i="17" s="1"/>
  <c r="CL101" i="17"/>
  <c r="CM101" i="17"/>
  <c r="CN101" i="17"/>
  <c r="CO101" i="17" s="1"/>
  <c r="DK101" i="17"/>
  <c r="O102" i="17"/>
  <c r="T102" i="17"/>
  <c r="R102" i="17" s="1"/>
  <c r="V102" i="17"/>
  <c r="W102" i="17"/>
  <c r="X102" i="17" s="1"/>
  <c r="AV102" i="17"/>
  <c r="AX102" i="17"/>
  <c r="AY102" i="17"/>
  <c r="AZ102" i="17" s="1"/>
  <c r="BB102" i="17" s="1"/>
  <c r="BX102" i="17"/>
  <c r="BV102" i="17" s="1"/>
  <c r="CB102" i="17"/>
  <c r="CC102" i="17"/>
  <c r="CD102" i="17" s="1"/>
  <c r="CJ102" i="17"/>
  <c r="CH102" i="17" s="1"/>
  <c r="CL102" i="17"/>
  <c r="CM102" i="17"/>
  <c r="CN102" i="17"/>
  <c r="DK102" i="17"/>
  <c r="O103" i="17"/>
  <c r="T103" i="17"/>
  <c r="R103" i="17" s="1"/>
  <c r="V103" i="17"/>
  <c r="W103" i="17"/>
  <c r="X103" i="17" s="1"/>
  <c r="Z103" i="17"/>
  <c r="AV103" i="17"/>
  <c r="AT103" i="17" s="1"/>
  <c r="AX103" i="17"/>
  <c r="AY103" i="17"/>
  <c r="AZ103" i="17" s="1"/>
  <c r="BB103" i="17"/>
  <c r="BX103" i="17"/>
  <c r="BV103" i="17" s="1"/>
  <c r="CB103" i="17"/>
  <c r="CC103" i="17"/>
  <c r="CD103" i="17" s="1"/>
  <c r="CF103" i="17"/>
  <c r="CJ103" i="17"/>
  <c r="CH103" i="17" s="1"/>
  <c r="CL103" i="17"/>
  <c r="CM103" i="17"/>
  <c r="CN103" i="17"/>
  <c r="CO103" i="17" s="1"/>
  <c r="DK103" i="17"/>
  <c r="O104" i="17"/>
  <c r="T104" i="17"/>
  <c r="R104" i="17" s="1"/>
  <c r="V104" i="17"/>
  <c r="W104" i="17"/>
  <c r="X104" i="17" s="1"/>
  <c r="Z104" i="17"/>
  <c r="AV104" i="17"/>
  <c r="AT104" i="17" s="1"/>
  <c r="AX104" i="17"/>
  <c r="AY104" i="17"/>
  <c r="AZ104" i="17" s="1"/>
  <c r="BB104" i="17"/>
  <c r="BX104" i="17"/>
  <c r="BV104" i="17" s="1"/>
  <c r="CB104" i="17"/>
  <c r="CC104" i="17"/>
  <c r="CF104" i="17"/>
  <c r="CJ104" i="17"/>
  <c r="CH104" i="17" s="1"/>
  <c r="CL104" i="17"/>
  <c r="CM104" i="17"/>
  <c r="CN104" i="17"/>
  <c r="DK104" i="17"/>
  <c r="O105" i="17"/>
  <c r="T105" i="17"/>
  <c r="R105" i="17" s="1"/>
  <c r="V105" i="17"/>
  <c r="W105" i="17"/>
  <c r="X105" i="17" s="1"/>
  <c r="AV105" i="17"/>
  <c r="AX105" i="17"/>
  <c r="AY105" i="17"/>
  <c r="AZ105" i="17" s="1"/>
  <c r="BX105" i="17"/>
  <c r="BV105" i="17" s="1"/>
  <c r="CB105" i="17"/>
  <c r="CC105" i="17"/>
  <c r="CJ105" i="17"/>
  <c r="CH105" i="17" s="1"/>
  <c r="CL105" i="17"/>
  <c r="CM105" i="17"/>
  <c r="CN105" i="17"/>
  <c r="CO105" i="17" s="1"/>
  <c r="DK105" i="17"/>
  <c r="O106" i="17"/>
  <c r="T106" i="17"/>
  <c r="R106" i="17" s="1"/>
  <c r="V106" i="17"/>
  <c r="W106" i="17"/>
  <c r="X106" i="17" s="1"/>
  <c r="AV106" i="17"/>
  <c r="AT106" i="17" s="1"/>
  <c r="AX106" i="17"/>
  <c r="AY106" i="17"/>
  <c r="AZ106" i="17" s="1"/>
  <c r="BB106" i="17"/>
  <c r="BX106" i="17"/>
  <c r="BV106" i="17" s="1"/>
  <c r="CB106" i="17"/>
  <c r="CC106" i="17"/>
  <c r="CJ106" i="17"/>
  <c r="CH106" i="17" s="1"/>
  <c r="CL106" i="17"/>
  <c r="CM106" i="17"/>
  <c r="CN106" i="17"/>
  <c r="DK106" i="17"/>
  <c r="O107" i="17"/>
  <c r="T107" i="17"/>
  <c r="R107" i="17" s="1"/>
  <c r="V107" i="17"/>
  <c r="W107" i="17"/>
  <c r="X107" i="17" s="1"/>
  <c r="Z107" i="17"/>
  <c r="AV107" i="17"/>
  <c r="AX107" i="17"/>
  <c r="AY107" i="17"/>
  <c r="AZ107" i="17" s="1"/>
  <c r="BB107" i="17"/>
  <c r="BX107" i="17"/>
  <c r="BV107" i="17" s="1"/>
  <c r="CB107" i="17"/>
  <c r="CC107" i="17"/>
  <c r="CF107" i="17"/>
  <c r="CJ107" i="17"/>
  <c r="CH107" i="17" s="1"/>
  <c r="CL107" i="17"/>
  <c r="CM107" i="17"/>
  <c r="CN107" i="17"/>
  <c r="DK107" i="17"/>
  <c r="O108" i="17"/>
  <c r="T108" i="17"/>
  <c r="R108" i="17" s="1"/>
  <c r="V108" i="17"/>
  <c r="W108" i="17"/>
  <c r="X108" i="17" s="1"/>
  <c r="Z108" i="17" s="1"/>
  <c r="AV108" i="17"/>
  <c r="AX108" i="17"/>
  <c r="AY108" i="17"/>
  <c r="AZ108" i="17" s="1"/>
  <c r="BB108" i="17" s="1"/>
  <c r="BX108" i="17"/>
  <c r="BV108" i="17" s="1"/>
  <c r="CB108" i="17"/>
  <c r="CC108" i="17"/>
  <c r="CF108" i="17"/>
  <c r="CJ108" i="17"/>
  <c r="CH108" i="17" s="1"/>
  <c r="CL108" i="17"/>
  <c r="CM108" i="17"/>
  <c r="CN108" i="17"/>
  <c r="DK108" i="17"/>
  <c r="O109" i="17"/>
  <c r="T109" i="17"/>
  <c r="R109" i="17" s="1"/>
  <c r="V109" i="17"/>
  <c r="W109" i="17"/>
  <c r="X109" i="17" s="1"/>
  <c r="AV109" i="17"/>
  <c r="AX109" i="17"/>
  <c r="AY109" i="17"/>
  <c r="AZ109" i="17" s="1"/>
  <c r="BB109" i="17"/>
  <c r="BX109" i="17"/>
  <c r="BV109" i="17" s="1"/>
  <c r="CB109" i="17"/>
  <c r="CC109" i="17"/>
  <c r="CJ109" i="17"/>
  <c r="CH109" i="17" s="1"/>
  <c r="CL109" i="17"/>
  <c r="CM109" i="17"/>
  <c r="CN109" i="17"/>
  <c r="CO109" i="17" s="1"/>
  <c r="DK109" i="17"/>
  <c r="O110" i="17"/>
  <c r="T110" i="17"/>
  <c r="R110" i="17" s="1"/>
  <c r="V110" i="17"/>
  <c r="W110" i="17"/>
  <c r="X110" i="17" s="1"/>
  <c r="AV110" i="17"/>
  <c r="AT110" i="17" s="1"/>
  <c r="AX110" i="17"/>
  <c r="AY110" i="17"/>
  <c r="AZ110" i="17" s="1"/>
  <c r="BB110" i="17" s="1"/>
  <c r="BX110" i="17"/>
  <c r="CB110" i="17"/>
  <c r="CC110" i="17"/>
  <c r="CD110" i="17" s="1"/>
  <c r="CF110" i="17" s="1"/>
  <c r="CJ110" i="17"/>
  <c r="CH110" i="17" s="1"/>
  <c r="CL110" i="17"/>
  <c r="CM110" i="17"/>
  <c r="CN110" i="17"/>
  <c r="DK110" i="17"/>
  <c r="O111" i="17"/>
  <c r="T111" i="17"/>
  <c r="R111" i="17" s="1"/>
  <c r="V111" i="17"/>
  <c r="W111" i="17"/>
  <c r="X111" i="17" s="1"/>
  <c r="AV111" i="17"/>
  <c r="AT111" i="17" s="1"/>
  <c r="AX111" i="17"/>
  <c r="AY111" i="17"/>
  <c r="AZ111" i="17" s="1"/>
  <c r="BB111" i="17" s="1"/>
  <c r="BX111" i="17"/>
  <c r="CB111" i="17"/>
  <c r="CC111" i="17"/>
  <c r="CD111" i="17" s="1"/>
  <c r="CF111" i="17" s="1"/>
  <c r="CJ111" i="17"/>
  <c r="CH111" i="17" s="1"/>
  <c r="CL111" i="17"/>
  <c r="CM111" i="17"/>
  <c r="CN111" i="17"/>
  <c r="CO111" i="17" s="1"/>
  <c r="DK111" i="17"/>
  <c r="O112" i="17"/>
  <c r="T112" i="17"/>
  <c r="V112" i="17"/>
  <c r="W112" i="17"/>
  <c r="X112" i="17" s="1"/>
  <c r="Z112" i="17" s="1"/>
  <c r="AV112" i="17"/>
  <c r="AT112" i="17" s="1"/>
  <c r="AX112" i="17"/>
  <c r="AY112" i="17"/>
  <c r="AZ112" i="17" s="1"/>
  <c r="BX112" i="17"/>
  <c r="BV112" i="17" s="1"/>
  <c r="CB112" i="17"/>
  <c r="CC112" i="17"/>
  <c r="CD112" i="17" s="1"/>
  <c r="CJ112" i="17"/>
  <c r="CH112" i="17" s="1"/>
  <c r="CL112" i="17"/>
  <c r="CM112" i="17"/>
  <c r="CN112" i="17"/>
  <c r="DK112" i="17"/>
  <c r="O113" i="17"/>
  <c r="T113" i="17"/>
  <c r="R113" i="17" s="1"/>
  <c r="V113" i="17"/>
  <c r="W113" i="17"/>
  <c r="X113" i="17" s="1"/>
  <c r="AV113" i="17"/>
  <c r="AT113" i="17" s="1"/>
  <c r="AX113" i="17"/>
  <c r="AY113" i="17"/>
  <c r="AZ113" i="17" s="1"/>
  <c r="BB113" i="17"/>
  <c r="BX113" i="17"/>
  <c r="BV113" i="17" s="1"/>
  <c r="CB113" i="17"/>
  <c r="CC113" i="17"/>
  <c r="CD113" i="17" s="1"/>
  <c r="CJ113" i="17"/>
  <c r="CH113" i="17" s="1"/>
  <c r="CL113" i="17"/>
  <c r="CM113" i="17"/>
  <c r="CN113" i="17"/>
  <c r="DK113" i="17"/>
  <c r="O114" i="17"/>
  <c r="T114" i="17"/>
  <c r="V114" i="17"/>
  <c r="W114" i="17"/>
  <c r="X114" i="17" s="1"/>
  <c r="AV114" i="17"/>
  <c r="AT114" i="17" s="1"/>
  <c r="AX114" i="17"/>
  <c r="AY114" i="17"/>
  <c r="AZ114" i="17" s="1"/>
  <c r="BB114" i="17" s="1"/>
  <c r="BX114" i="17"/>
  <c r="BV114" i="17" s="1"/>
  <c r="CB114" i="17"/>
  <c r="CC114" i="17"/>
  <c r="CJ114" i="17"/>
  <c r="CH114" i="17" s="1"/>
  <c r="CL114" i="17"/>
  <c r="CM114" i="17"/>
  <c r="CN114" i="17"/>
  <c r="CO114" i="17" s="1"/>
  <c r="DK114" i="17"/>
  <c r="O115" i="17"/>
  <c r="T115" i="17"/>
  <c r="R115" i="17" s="1"/>
  <c r="V115" i="17"/>
  <c r="W115" i="17"/>
  <c r="X115" i="17" s="1"/>
  <c r="Z115" i="17" s="1"/>
  <c r="AV115" i="17"/>
  <c r="AT115" i="17" s="1"/>
  <c r="AX115" i="17"/>
  <c r="AY115" i="17"/>
  <c r="AZ115" i="17" s="1"/>
  <c r="BX115" i="17"/>
  <c r="BV115" i="17" s="1"/>
  <c r="CB115" i="17"/>
  <c r="CC115" i="17"/>
  <c r="CD115" i="17" s="1"/>
  <c r="CF115" i="17" s="1"/>
  <c r="CJ115" i="17"/>
  <c r="CH115" i="17" s="1"/>
  <c r="CL115" i="17"/>
  <c r="CM115" i="17"/>
  <c r="CN115" i="17"/>
  <c r="CO115" i="17" s="1"/>
  <c r="DK115" i="17"/>
  <c r="O116" i="17"/>
  <c r="T116" i="17"/>
  <c r="V116" i="17"/>
  <c r="W116" i="17"/>
  <c r="X116" i="17" s="1"/>
  <c r="Z116" i="17" s="1"/>
  <c r="AV116" i="17"/>
  <c r="AT116" i="17" s="1"/>
  <c r="AX116" i="17"/>
  <c r="AY116" i="17"/>
  <c r="AZ116" i="17" s="1"/>
  <c r="BB116" i="17" s="1"/>
  <c r="BX116" i="17"/>
  <c r="BV116" i="17" s="1"/>
  <c r="CB116" i="17"/>
  <c r="CC116" i="17"/>
  <c r="CJ116" i="17"/>
  <c r="CH116" i="17" s="1"/>
  <c r="CL116" i="17"/>
  <c r="CM116" i="17"/>
  <c r="CN116" i="17"/>
  <c r="CO116" i="17" s="1"/>
  <c r="DK116" i="17"/>
  <c r="O117" i="17"/>
  <c r="T117" i="17"/>
  <c r="V117" i="17"/>
  <c r="W117" i="17"/>
  <c r="X117" i="17" s="1"/>
  <c r="Z117" i="17" s="1"/>
  <c r="AV117" i="17"/>
  <c r="AT117" i="17" s="1"/>
  <c r="AX117" i="17"/>
  <c r="AY117" i="17"/>
  <c r="AZ117" i="17" s="1"/>
  <c r="BX117" i="17"/>
  <c r="BV117" i="17" s="1"/>
  <c r="CB117" i="17"/>
  <c r="CC117" i="17"/>
  <c r="CD117" i="17" s="1"/>
  <c r="CF117" i="17" s="1"/>
  <c r="CJ117" i="17"/>
  <c r="CH117" i="17" s="1"/>
  <c r="CL117" i="17"/>
  <c r="CM117" i="17"/>
  <c r="CN117" i="17"/>
  <c r="CO117" i="17" s="1"/>
  <c r="DK117" i="17"/>
  <c r="O118" i="17"/>
  <c r="T118" i="17"/>
  <c r="R118" i="17" s="1"/>
  <c r="V118" i="17"/>
  <c r="W118" i="17"/>
  <c r="X118" i="17" s="1"/>
  <c r="AV118" i="17"/>
  <c r="AT118" i="17" s="1"/>
  <c r="AX118" i="17"/>
  <c r="AY118" i="17"/>
  <c r="AZ118" i="17" s="1"/>
  <c r="BB118" i="17" s="1"/>
  <c r="BX118" i="17"/>
  <c r="CB118" i="17"/>
  <c r="CC118" i="17"/>
  <c r="CD118" i="17" s="1"/>
  <c r="CF118" i="17" s="1"/>
  <c r="CJ118" i="17"/>
  <c r="CH118" i="17" s="1"/>
  <c r="CL118" i="17"/>
  <c r="CM118" i="17"/>
  <c r="CN118" i="17"/>
  <c r="CO118" i="17" s="1"/>
  <c r="DK118" i="17"/>
  <c r="O119" i="17"/>
  <c r="T119" i="17"/>
  <c r="V119" i="17"/>
  <c r="W119" i="17"/>
  <c r="X119" i="17" s="1"/>
  <c r="AV119" i="17"/>
  <c r="AT119" i="17" s="1"/>
  <c r="AX119" i="17"/>
  <c r="AY119" i="17"/>
  <c r="AZ119" i="17" s="1"/>
  <c r="BX119" i="17"/>
  <c r="BV119" i="17" s="1"/>
  <c r="CB119" i="17"/>
  <c r="CC119" i="17"/>
  <c r="CD119" i="17" s="1"/>
  <c r="CF119" i="17" s="1"/>
  <c r="CJ119" i="17"/>
  <c r="CH119" i="17" s="1"/>
  <c r="CL119" i="17"/>
  <c r="CM119" i="17"/>
  <c r="CN119" i="17"/>
  <c r="CO119" i="17" s="1"/>
  <c r="DK119" i="17"/>
  <c r="O120" i="17"/>
  <c r="T120" i="17"/>
  <c r="V120" i="17"/>
  <c r="W120" i="17"/>
  <c r="X120" i="17" s="1"/>
  <c r="Z120" i="17" s="1"/>
  <c r="AV120" i="17"/>
  <c r="AT120" i="17" s="1"/>
  <c r="AX120" i="17"/>
  <c r="AY120" i="17"/>
  <c r="AZ120" i="17" s="1"/>
  <c r="BX120" i="17"/>
  <c r="BV120" i="17" s="1"/>
  <c r="CB120" i="17"/>
  <c r="CC120" i="17"/>
  <c r="CD120" i="17" s="1"/>
  <c r="CF120" i="17"/>
  <c r="CJ120" i="17"/>
  <c r="CH120" i="17" s="1"/>
  <c r="CL120" i="17"/>
  <c r="CM120" i="17"/>
  <c r="CN120" i="17"/>
  <c r="CO120" i="17" s="1"/>
  <c r="DK120" i="17"/>
  <c r="O121" i="17"/>
  <c r="T121" i="17"/>
  <c r="R121" i="17" s="1"/>
  <c r="V121" i="17"/>
  <c r="W121" i="17"/>
  <c r="X121" i="17" s="1"/>
  <c r="AV121" i="17"/>
  <c r="AX121" i="17"/>
  <c r="AY121" i="17"/>
  <c r="AZ121" i="17" s="1"/>
  <c r="BB121" i="17"/>
  <c r="BX121" i="17"/>
  <c r="BV121" i="17" s="1"/>
  <c r="CB121" i="17"/>
  <c r="CC121" i="17"/>
  <c r="CD121" i="17" s="1"/>
  <c r="CF121" i="17"/>
  <c r="CJ121" i="17"/>
  <c r="CH121" i="17" s="1"/>
  <c r="CL121" i="17"/>
  <c r="CM121" i="17"/>
  <c r="CN121" i="17"/>
  <c r="DK121" i="17"/>
  <c r="O122" i="17"/>
  <c r="T122" i="17"/>
  <c r="R122" i="17" s="1"/>
  <c r="V122" i="17"/>
  <c r="W122" i="17"/>
  <c r="X122" i="17" s="1"/>
  <c r="AV122" i="17"/>
  <c r="AX122" i="17"/>
  <c r="AY122" i="17"/>
  <c r="AZ122" i="17" s="1"/>
  <c r="BB122" i="17"/>
  <c r="BX122" i="17"/>
  <c r="BV122" i="17" s="1"/>
  <c r="CB122" i="17"/>
  <c r="CC122" i="17"/>
  <c r="CF122" i="17"/>
  <c r="CJ122" i="17"/>
  <c r="CH122" i="17" s="1"/>
  <c r="CL122" i="17"/>
  <c r="CM122" i="17"/>
  <c r="CN122" i="17"/>
  <c r="CO122" i="17" s="1"/>
  <c r="DK122" i="17"/>
  <c r="O123" i="17"/>
  <c r="T123" i="17"/>
  <c r="R123" i="17" s="1"/>
  <c r="V123" i="17"/>
  <c r="W123" i="17"/>
  <c r="X123" i="17" s="1"/>
  <c r="AV123" i="17"/>
  <c r="AT123" i="17" s="1"/>
  <c r="AX123" i="17"/>
  <c r="AY123" i="17"/>
  <c r="AZ123" i="17" s="1"/>
  <c r="BB123" i="17"/>
  <c r="BX123" i="17"/>
  <c r="BV123" i="17" s="1"/>
  <c r="CB123" i="17"/>
  <c r="CC123" i="17"/>
  <c r="CD123" i="17" s="1"/>
  <c r="CF123" i="17"/>
  <c r="CJ123" i="17"/>
  <c r="CH123" i="17" s="1"/>
  <c r="CL123" i="17"/>
  <c r="CM123" i="17"/>
  <c r="CN123" i="17"/>
  <c r="CO123" i="17" s="1"/>
  <c r="DK123" i="17"/>
  <c r="T124" i="17"/>
  <c r="R124" i="17" s="1"/>
  <c r="V124" i="17"/>
  <c r="W124" i="17"/>
  <c r="X124" i="17" s="1"/>
  <c r="Z124" i="17"/>
  <c r="AV124" i="17"/>
  <c r="AX124" i="17"/>
  <c r="AY124" i="17"/>
  <c r="AZ124" i="17" s="1"/>
  <c r="BB124" i="17" s="1"/>
  <c r="BX124" i="17"/>
  <c r="BV124" i="17" s="1"/>
  <c r="CB124" i="17"/>
  <c r="CC124" i="17"/>
  <c r="CD124" i="17" s="1"/>
  <c r="CJ124" i="17"/>
  <c r="CH124" i="17" s="1"/>
  <c r="CL124" i="17"/>
  <c r="CM124" i="17"/>
  <c r="CN124" i="17"/>
  <c r="CO124" i="17" s="1"/>
  <c r="DK124" i="17"/>
  <c r="O125" i="17"/>
  <c r="T125" i="17"/>
  <c r="V125" i="17"/>
  <c r="W125" i="17"/>
  <c r="X125" i="17" s="1"/>
  <c r="Z125" i="17" s="1"/>
  <c r="AV125" i="17"/>
  <c r="AT125" i="17" s="1"/>
  <c r="AX125" i="17"/>
  <c r="AY125" i="17"/>
  <c r="AZ125" i="17" s="1"/>
  <c r="BX125" i="17"/>
  <c r="BV125" i="17" s="1"/>
  <c r="CB125" i="17"/>
  <c r="CC125" i="17"/>
  <c r="CF125" i="17"/>
  <c r="CJ125" i="17"/>
  <c r="CH125" i="17" s="1"/>
  <c r="CL125" i="17"/>
  <c r="CM125" i="17"/>
  <c r="CN125" i="17"/>
  <c r="CO125" i="17" s="1"/>
  <c r="DK125" i="17"/>
  <c r="O126" i="17"/>
  <c r="T126" i="17"/>
  <c r="V126" i="17"/>
  <c r="W126" i="17"/>
  <c r="X126" i="17" s="1"/>
  <c r="Z126" i="17" s="1"/>
  <c r="AV126" i="17"/>
  <c r="AT126" i="17" s="1"/>
  <c r="AX126" i="17"/>
  <c r="AY126" i="17"/>
  <c r="AZ126" i="17" s="1"/>
  <c r="BX126" i="17"/>
  <c r="BV126" i="17" s="1"/>
  <c r="CB126" i="17"/>
  <c r="CC126" i="17"/>
  <c r="CD126" i="17" s="1"/>
  <c r="CJ126" i="17"/>
  <c r="CH126" i="17" s="1"/>
  <c r="CL126" i="17"/>
  <c r="CM126" i="17"/>
  <c r="CN126" i="17"/>
  <c r="CO126" i="17" s="1"/>
  <c r="DK126" i="17"/>
  <c r="O127" i="17"/>
  <c r="T127" i="17"/>
  <c r="V127" i="17"/>
  <c r="W127" i="17"/>
  <c r="X127" i="17" s="1"/>
  <c r="AV127" i="17"/>
  <c r="AT127" i="17" s="1"/>
  <c r="AX127" i="17"/>
  <c r="AY127" i="17"/>
  <c r="AZ127" i="17" s="1"/>
  <c r="BX127" i="17"/>
  <c r="BV127" i="17" s="1"/>
  <c r="CB127" i="17"/>
  <c r="CC127" i="17"/>
  <c r="CJ127" i="17"/>
  <c r="CH127" i="17" s="1"/>
  <c r="CL127" i="17"/>
  <c r="CM127" i="17"/>
  <c r="CN127" i="17"/>
  <c r="DK127" i="17"/>
  <c r="O128" i="17"/>
  <c r="T128" i="17"/>
  <c r="V128" i="17"/>
  <c r="W128" i="17"/>
  <c r="X128" i="17" s="1"/>
  <c r="Z128" i="17" s="1"/>
  <c r="AV128" i="17"/>
  <c r="AT128" i="17" s="1"/>
  <c r="AX128" i="17"/>
  <c r="AY128" i="17"/>
  <c r="AZ128" i="17" s="1"/>
  <c r="BB128" i="17"/>
  <c r="BX128" i="17"/>
  <c r="BV128" i="17" s="1"/>
  <c r="CB128" i="17"/>
  <c r="CC128" i="17"/>
  <c r="CD128" i="17" s="1"/>
  <c r="CF128" i="17" s="1"/>
  <c r="CJ128" i="17"/>
  <c r="CH128" i="17" s="1"/>
  <c r="CL128" i="17"/>
  <c r="CM128" i="17"/>
  <c r="CN128" i="17"/>
  <c r="CO128" i="17" s="1"/>
  <c r="DK128" i="17"/>
  <c r="O129" i="17"/>
  <c r="T129" i="17"/>
  <c r="V129" i="17"/>
  <c r="W129" i="17"/>
  <c r="X129" i="17" s="1"/>
  <c r="Z129" i="17" s="1"/>
  <c r="AV129" i="17"/>
  <c r="AT129" i="17" s="1"/>
  <c r="AX129" i="17"/>
  <c r="AY129" i="17"/>
  <c r="AZ129" i="17" s="1"/>
  <c r="BB129" i="17"/>
  <c r="BX129" i="17"/>
  <c r="BV129" i="17" s="1"/>
  <c r="CB129" i="17"/>
  <c r="CC129" i="17"/>
  <c r="CJ129" i="17"/>
  <c r="CH129" i="17" s="1"/>
  <c r="CL129" i="17"/>
  <c r="CM129" i="17"/>
  <c r="CN129" i="17"/>
  <c r="DK129" i="17"/>
  <c r="O130" i="17"/>
  <c r="T130" i="17"/>
  <c r="R130" i="17" s="1"/>
  <c r="V130" i="17"/>
  <c r="W130" i="17"/>
  <c r="X130" i="17" s="1"/>
  <c r="Z130" i="17" s="1"/>
  <c r="AV130" i="17"/>
  <c r="AT130" i="17" s="1"/>
  <c r="AX130" i="17"/>
  <c r="AY130" i="17"/>
  <c r="AZ130" i="17" s="1"/>
  <c r="BX130" i="17"/>
  <c r="BV130" i="17" s="1"/>
  <c r="CB130" i="17"/>
  <c r="CC130" i="17"/>
  <c r="CD130" i="17" s="1"/>
  <c r="CJ130" i="17"/>
  <c r="CH130" i="17" s="1"/>
  <c r="CL130" i="17"/>
  <c r="CM130" i="17"/>
  <c r="CN130" i="17"/>
  <c r="DK130" i="17"/>
  <c r="O131" i="17"/>
  <c r="T131" i="17"/>
  <c r="R131" i="17" s="1"/>
  <c r="V131" i="17"/>
  <c r="W131" i="17"/>
  <c r="X131" i="17" s="1"/>
  <c r="AV131" i="17"/>
  <c r="AT131" i="17" s="1"/>
  <c r="AX131" i="17"/>
  <c r="AY131" i="17"/>
  <c r="AZ131" i="17" s="1"/>
  <c r="BB131" i="17"/>
  <c r="BX131" i="17"/>
  <c r="BV131" i="17" s="1"/>
  <c r="CB131" i="17"/>
  <c r="CC131" i="17"/>
  <c r="CD131" i="17" s="1"/>
  <c r="CJ131" i="17"/>
  <c r="CH131" i="17" s="1"/>
  <c r="CL131" i="17"/>
  <c r="CM131" i="17"/>
  <c r="CN131" i="17"/>
  <c r="CO131" i="17" s="1"/>
  <c r="DK131" i="17"/>
  <c r="O132" i="17"/>
  <c r="T132" i="17"/>
  <c r="V132" i="17"/>
  <c r="W132" i="17"/>
  <c r="X132" i="17" s="1"/>
  <c r="Z132" i="17"/>
  <c r="AV132" i="17"/>
  <c r="AT132" i="17" s="1"/>
  <c r="AX132" i="17"/>
  <c r="AY132" i="17"/>
  <c r="AZ132" i="17" s="1"/>
  <c r="BB132" i="17"/>
  <c r="BX132" i="17"/>
  <c r="BV132" i="17" s="1"/>
  <c r="CB132" i="17"/>
  <c r="CC132" i="17"/>
  <c r="CD132" i="17" s="1"/>
  <c r="CF132" i="17" s="1"/>
  <c r="CJ132" i="17"/>
  <c r="CH132" i="17" s="1"/>
  <c r="CL132" i="17"/>
  <c r="CM132" i="17"/>
  <c r="CN132" i="17"/>
  <c r="DK132" i="17"/>
  <c r="O133" i="17"/>
  <c r="T133" i="17"/>
  <c r="R133" i="17" s="1"/>
  <c r="V133" i="17"/>
  <c r="W133" i="17"/>
  <c r="X133" i="17" s="1"/>
  <c r="Z133" i="17"/>
  <c r="AV133" i="17"/>
  <c r="AT133" i="17" s="1"/>
  <c r="AX133" i="17"/>
  <c r="AY133" i="17"/>
  <c r="AZ133" i="17" s="1"/>
  <c r="BB133" i="17"/>
  <c r="BX133" i="17"/>
  <c r="CB133" i="17"/>
  <c r="CC133" i="17"/>
  <c r="CD133" i="17" s="1"/>
  <c r="CF133" i="17" s="1"/>
  <c r="CJ133" i="17"/>
  <c r="CH133" i="17" s="1"/>
  <c r="CL133" i="17"/>
  <c r="CM133" i="17"/>
  <c r="CN133" i="17"/>
  <c r="CO133" i="17" s="1"/>
  <c r="DK133" i="17"/>
  <c r="O134" i="17"/>
  <c r="T134" i="17"/>
  <c r="R134" i="17" s="1"/>
  <c r="V134" i="17"/>
  <c r="W134" i="17"/>
  <c r="X134" i="17" s="1"/>
  <c r="AV134" i="17"/>
  <c r="AT134" i="17" s="1"/>
  <c r="AX134" i="17"/>
  <c r="AY134" i="17"/>
  <c r="AZ134" i="17" s="1"/>
  <c r="BB134" i="17"/>
  <c r="BX134" i="17"/>
  <c r="BV134" i="17" s="1"/>
  <c r="CB134" i="17"/>
  <c r="CC134" i="17"/>
  <c r="CD134" i="17" s="1"/>
  <c r="CF134" i="17"/>
  <c r="CJ134" i="17"/>
  <c r="CH134" i="17" s="1"/>
  <c r="CL134" i="17"/>
  <c r="CM134" i="17"/>
  <c r="CN134" i="17"/>
  <c r="CO134" i="17" s="1"/>
  <c r="DK134" i="17"/>
  <c r="O135" i="17"/>
  <c r="T135" i="17"/>
  <c r="V135" i="17"/>
  <c r="W135" i="17"/>
  <c r="X135" i="17" s="1"/>
  <c r="AV135" i="17"/>
  <c r="AT135" i="17" s="1"/>
  <c r="AX135" i="17"/>
  <c r="AY135" i="17"/>
  <c r="AZ135" i="17" s="1"/>
  <c r="BB135" i="17"/>
  <c r="BX135" i="17"/>
  <c r="BV135" i="17" s="1"/>
  <c r="CB135" i="17"/>
  <c r="CC135" i="17"/>
  <c r="CD135" i="17" s="1"/>
  <c r="CF135" i="17"/>
  <c r="CJ135" i="17"/>
  <c r="CH135" i="17" s="1"/>
  <c r="CL135" i="17"/>
  <c r="CM135" i="17"/>
  <c r="CN135" i="17"/>
  <c r="CO135" i="17" s="1"/>
  <c r="DK135" i="17"/>
  <c r="O136" i="17"/>
  <c r="T136" i="17"/>
  <c r="V136" i="17"/>
  <c r="W136" i="17"/>
  <c r="X136" i="17" s="1"/>
  <c r="Z136" i="17" s="1"/>
  <c r="AV136" i="17"/>
  <c r="AT136" i="17" s="1"/>
  <c r="AX136" i="17"/>
  <c r="AY136" i="17"/>
  <c r="AZ136" i="17" s="1"/>
  <c r="BB136" i="17"/>
  <c r="BX136" i="17"/>
  <c r="BV136" i="17" s="1"/>
  <c r="CB136" i="17"/>
  <c r="CC136" i="17"/>
  <c r="CJ136" i="17"/>
  <c r="CH136" i="17" s="1"/>
  <c r="CL136" i="17"/>
  <c r="CM136" i="17"/>
  <c r="CN136" i="17"/>
  <c r="DK136" i="17"/>
  <c r="O137" i="17"/>
  <c r="T137" i="17"/>
  <c r="R137" i="17" s="1"/>
  <c r="V137" i="17"/>
  <c r="W137" i="17"/>
  <c r="X137" i="17" s="1"/>
  <c r="Z137" i="17"/>
  <c r="AV137" i="17"/>
  <c r="AT137" i="17" s="1"/>
  <c r="AX137" i="17"/>
  <c r="AY137" i="17"/>
  <c r="AZ137" i="17" s="1"/>
  <c r="BB137" i="17"/>
  <c r="BX137" i="17"/>
  <c r="BV137" i="17" s="1"/>
  <c r="CB137" i="17"/>
  <c r="CC137" i="17"/>
  <c r="CF137" i="17"/>
  <c r="CJ137" i="17"/>
  <c r="CH137" i="17" s="1"/>
  <c r="CL137" i="17"/>
  <c r="CM137" i="17"/>
  <c r="CN137" i="17"/>
  <c r="CO137" i="17" s="1"/>
  <c r="DK137" i="17"/>
  <c r="O138" i="17"/>
  <c r="T138" i="17"/>
  <c r="R138" i="17" s="1"/>
  <c r="V138" i="17"/>
  <c r="W138" i="17"/>
  <c r="X138" i="17" s="1"/>
  <c r="Z138" i="17" s="1"/>
  <c r="AV138" i="17"/>
  <c r="AX138" i="17"/>
  <c r="AY138" i="17"/>
  <c r="AZ138" i="17" s="1"/>
  <c r="BX138" i="17"/>
  <c r="BV138" i="17" s="1"/>
  <c r="CB138" i="17"/>
  <c r="CC138" i="17"/>
  <c r="CD138" i="17" s="1"/>
  <c r="CJ138" i="17"/>
  <c r="CH138" i="17" s="1"/>
  <c r="CL138" i="17"/>
  <c r="CM138" i="17"/>
  <c r="CN138" i="17"/>
  <c r="CO138" i="17" s="1"/>
  <c r="DK138" i="17"/>
  <c r="O139" i="17"/>
  <c r="T139" i="17"/>
  <c r="R139" i="17" s="1"/>
  <c r="V139" i="17"/>
  <c r="W139" i="17"/>
  <c r="X139" i="17" s="1"/>
  <c r="Z139" i="17"/>
  <c r="AV139" i="17"/>
  <c r="AT139" i="17" s="1"/>
  <c r="AX139" i="17"/>
  <c r="AY139" i="17"/>
  <c r="AZ139" i="17" s="1"/>
  <c r="BB139" i="17" s="1"/>
  <c r="BX139" i="17"/>
  <c r="CB139" i="17"/>
  <c r="CC139" i="17"/>
  <c r="CJ139" i="17"/>
  <c r="CH139" i="17" s="1"/>
  <c r="CL139" i="17"/>
  <c r="CM139" i="17"/>
  <c r="CN139" i="17"/>
  <c r="DK139" i="17"/>
  <c r="O140" i="17"/>
  <c r="T140" i="17"/>
  <c r="V140" i="17"/>
  <c r="W140" i="17"/>
  <c r="X140" i="17" s="1"/>
  <c r="Z140" i="17"/>
  <c r="AV140" i="17"/>
  <c r="AT140" i="17" s="1"/>
  <c r="AX140" i="17"/>
  <c r="AY140" i="17"/>
  <c r="AZ140" i="17" s="1"/>
  <c r="BB140" i="17"/>
  <c r="BX140" i="17"/>
  <c r="BV140" i="17" s="1"/>
  <c r="CB140" i="17"/>
  <c r="CC140" i="17"/>
  <c r="CJ140" i="17"/>
  <c r="CH140" i="17" s="1"/>
  <c r="CL140" i="17"/>
  <c r="CM140" i="17"/>
  <c r="CN140" i="17"/>
  <c r="CO140" i="17" s="1"/>
  <c r="DK140" i="17"/>
  <c r="O141" i="17"/>
  <c r="T141" i="17"/>
  <c r="R141" i="17" s="1"/>
  <c r="V141" i="17"/>
  <c r="W141" i="17"/>
  <c r="X141" i="17" s="1"/>
  <c r="Z141" i="17" s="1"/>
  <c r="AV141" i="17"/>
  <c r="AX141" i="17"/>
  <c r="AY141" i="17"/>
  <c r="AZ141" i="17" s="1"/>
  <c r="BX141" i="17"/>
  <c r="BV141" i="17" s="1"/>
  <c r="CB141" i="17"/>
  <c r="CC141" i="17"/>
  <c r="CD141" i="17" s="1"/>
  <c r="CJ141" i="17"/>
  <c r="CH141" i="17" s="1"/>
  <c r="CL141" i="17"/>
  <c r="CM141" i="17"/>
  <c r="CN141" i="17"/>
  <c r="DK141" i="17"/>
  <c r="O142" i="17"/>
  <c r="T142" i="17"/>
  <c r="R142" i="17" s="1"/>
  <c r="V142" i="17"/>
  <c r="W142" i="17"/>
  <c r="X142" i="17" s="1"/>
  <c r="AV142" i="17"/>
  <c r="AT142" i="17" s="1"/>
  <c r="AX142" i="17"/>
  <c r="AY142" i="17"/>
  <c r="AZ142" i="17" s="1"/>
  <c r="BX142" i="17"/>
  <c r="BV142" i="17" s="1"/>
  <c r="CB142" i="17"/>
  <c r="CC142" i="17"/>
  <c r="CD142" i="17" s="1"/>
  <c r="CF142" i="17" s="1"/>
  <c r="CJ142" i="17"/>
  <c r="CH142" i="17" s="1"/>
  <c r="CL142" i="17"/>
  <c r="CM142" i="17"/>
  <c r="CN142" i="17"/>
  <c r="CO142" i="17" s="1"/>
  <c r="DK142" i="17"/>
  <c r="O143" i="17"/>
  <c r="T143" i="17"/>
  <c r="V143" i="17"/>
  <c r="W143" i="17"/>
  <c r="X143" i="17" s="1"/>
  <c r="Z143" i="17" s="1"/>
  <c r="AV143" i="17"/>
  <c r="AT143" i="17" s="1"/>
  <c r="AX143" i="17"/>
  <c r="AY143" i="17"/>
  <c r="AZ143" i="17" s="1"/>
  <c r="BX143" i="17"/>
  <c r="BV143" i="17" s="1"/>
  <c r="CB143" i="17"/>
  <c r="CC143" i="17"/>
  <c r="CD143" i="17" s="1"/>
  <c r="CJ143" i="17"/>
  <c r="CH143" i="17" s="1"/>
  <c r="CL143" i="17"/>
  <c r="CM143" i="17"/>
  <c r="CN143" i="17"/>
  <c r="CO143" i="17" s="1"/>
  <c r="DK143" i="17"/>
  <c r="O144" i="17"/>
  <c r="T144" i="17"/>
  <c r="V144" i="17"/>
  <c r="W144" i="17"/>
  <c r="X144" i="17" s="1"/>
  <c r="AV144" i="17"/>
  <c r="AT144" i="17" s="1"/>
  <c r="AX144" i="17"/>
  <c r="AY144" i="17"/>
  <c r="AZ144" i="17" s="1"/>
  <c r="BB144" i="17" s="1"/>
  <c r="BX144" i="17"/>
  <c r="BV144" i="17" s="1"/>
  <c r="CB144" i="17"/>
  <c r="CC144" i="17"/>
  <c r="CD144" i="17" s="1"/>
  <c r="CJ144" i="17"/>
  <c r="CH144" i="17" s="1"/>
  <c r="CL144" i="17"/>
  <c r="CM144" i="17"/>
  <c r="CN144" i="17"/>
  <c r="CO144" i="17" s="1"/>
  <c r="DK144" i="17"/>
  <c r="O145" i="17"/>
  <c r="T145" i="17"/>
  <c r="V145" i="17"/>
  <c r="W145" i="17"/>
  <c r="X145" i="17" s="1"/>
  <c r="AV145" i="17"/>
  <c r="AT145" i="17" s="1"/>
  <c r="AX145" i="17"/>
  <c r="AY145" i="17"/>
  <c r="AZ145" i="17" s="1"/>
  <c r="BB145" i="17" s="1"/>
  <c r="BX145" i="17"/>
  <c r="BV145" i="17" s="1"/>
  <c r="CB145" i="17"/>
  <c r="CC145" i="17"/>
  <c r="CJ145" i="17"/>
  <c r="CH145" i="17" s="1"/>
  <c r="CL145" i="17"/>
  <c r="CM145" i="17"/>
  <c r="CN145" i="17"/>
  <c r="CO145" i="17" s="1"/>
  <c r="DK145" i="17"/>
  <c r="O146" i="17"/>
  <c r="T146" i="17"/>
  <c r="R146" i="17" s="1"/>
  <c r="V146" i="17"/>
  <c r="W146" i="17"/>
  <c r="X146" i="17" s="1"/>
  <c r="Z146" i="17" s="1"/>
  <c r="AV146" i="17"/>
  <c r="AX146" i="17"/>
  <c r="AY146" i="17"/>
  <c r="AZ146" i="17" s="1"/>
  <c r="BX146" i="17"/>
  <c r="BV146" i="17" s="1"/>
  <c r="CB146" i="17"/>
  <c r="CC146" i="17"/>
  <c r="CD146" i="17" s="1"/>
  <c r="CF146" i="17" s="1"/>
  <c r="CJ146" i="17"/>
  <c r="CH146" i="17" s="1"/>
  <c r="CL146" i="17"/>
  <c r="CM146" i="17"/>
  <c r="CN146" i="17"/>
  <c r="CO146" i="17" s="1"/>
  <c r="DK146" i="17"/>
  <c r="O147" i="17"/>
  <c r="T147" i="17"/>
  <c r="V147" i="17"/>
  <c r="W147" i="17"/>
  <c r="X147" i="17" s="1"/>
  <c r="AV147" i="17"/>
  <c r="AT147" i="17" s="1"/>
  <c r="AX147" i="17"/>
  <c r="AY147" i="17"/>
  <c r="AZ147" i="17" s="1"/>
  <c r="BX147" i="17"/>
  <c r="BV147" i="17" s="1"/>
  <c r="CB147" i="17"/>
  <c r="CC147" i="17"/>
  <c r="CJ147" i="17"/>
  <c r="CH147" i="17" s="1"/>
  <c r="CL147" i="17"/>
  <c r="CM147" i="17"/>
  <c r="CN147" i="17"/>
  <c r="CO147" i="17" s="1"/>
  <c r="DK147" i="17"/>
  <c r="O148" i="17"/>
  <c r="T148" i="17"/>
  <c r="R148" i="17" s="1"/>
  <c r="V148" i="17"/>
  <c r="W148" i="17"/>
  <c r="X148" i="17" s="1"/>
  <c r="AV148" i="17"/>
  <c r="AT148" i="17" s="1"/>
  <c r="AX148" i="17"/>
  <c r="AY148" i="17"/>
  <c r="AZ148" i="17" s="1"/>
  <c r="BB148" i="17"/>
  <c r="BX148" i="17"/>
  <c r="BV148" i="17" s="1"/>
  <c r="CB148" i="17"/>
  <c r="CC148" i="17"/>
  <c r="CJ148" i="17"/>
  <c r="CH148" i="17" s="1"/>
  <c r="CL148" i="17"/>
  <c r="CM148" i="17"/>
  <c r="CN148" i="17"/>
  <c r="CO148" i="17" s="1"/>
  <c r="DK148" i="17"/>
  <c r="O149" i="17"/>
  <c r="T149" i="17"/>
  <c r="R149" i="17" s="1"/>
  <c r="V149" i="17"/>
  <c r="W149" i="17"/>
  <c r="X149" i="17" s="1"/>
  <c r="Z149" i="17" s="1"/>
  <c r="AV149" i="17"/>
  <c r="AX149" i="17"/>
  <c r="AY149" i="17"/>
  <c r="AZ149" i="17" s="1"/>
  <c r="BX149" i="17"/>
  <c r="BV149" i="17" s="1"/>
  <c r="CB149" i="17"/>
  <c r="CC149" i="17"/>
  <c r="CD149" i="17" s="1"/>
  <c r="CF149" i="17" s="1"/>
  <c r="CJ149" i="17"/>
  <c r="CH149" i="17" s="1"/>
  <c r="CL149" i="17"/>
  <c r="CM149" i="17"/>
  <c r="CN149" i="17"/>
  <c r="DK149" i="17"/>
  <c r="O150" i="17"/>
  <c r="T150" i="17"/>
  <c r="R150" i="17" s="1"/>
  <c r="V150" i="17"/>
  <c r="W150" i="17"/>
  <c r="X150" i="17" s="1"/>
  <c r="AV150" i="17"/>
  <c r="AT150" i="17" s="1"/>
  <c r="AX150" i="17"/>
  <c r="AY150" i="17"/>
  <c r="AZ150" i="17" s="1"/>
  <c r="BX150" i="17"/>
  <c r="BV150" i="17" s="1"/>
  <c r="CB150" i="17"/>
  <c r="CC150" i="17"/>
  <c r="CD150" i="17" s="1"/>
  <c r="CF150" i="17" s="1"/>
  <c r="CJ150" i="17"/>
  <c r="CH150" i="17" s="1"/>
  <c r="CL150" i="17"/>
  <c r="CM150" i="17"/>
  <c r="CN150" i="17"/>
  <c r="DK150" i="17"/>
  <c r="O151" i="17"/>
  <c r="T151" i="17"/>
  <c r="V151" i="17"/>
  <c r="W151" i="17"/>
  <c r="X151" i="17" s="1"/>
  <c r="Z151" i="17" s="1"/>
  <c r="AV151" i="17"/>
  <c r="AT151" i="17" s="1"/>
  <c r="AX151" i="17"/>
  <c r="AY151" i="17"/>
  <c r="AZ151" i="17" s="1"/>
  <c r="BB151" i="17"/>
  <c r="BX151" i="17"/>
  <c r="BV151" i="17" s="1"/>
  <c r="CB151" i="17"/>
  <c r="CC151" i="17"/>
  <c r="CJ151" i="17"/>
  <c r="CH151" i="17" s="1"/>
  <c r="CL151" i="17"/>
  <c r="CM151" i="17"/>
  <c r="CN151" i="17"/>
  <c r="CO151" i="17" s="1"/>
  <c r="DK151" i="17"/>
  <c r="O152" i="17"/>
  <c r="T152" i="17"/>
  <c r="V152" i="17"/>
  <c r="W152" i="17"/>
  <c r="X152" i="17" s="1"/>
  <c r="AV152" i="17"/>
  <c r="AT152" i="17" s="1"/>
  <c r="AX152" i="17"/>
  <c r="AY152" i="17"/>
  <c r="AZ152" i="17" s="1"/>
  <c r="BB152" i="17" s="1"/>
  <c r="BX152" i="17"/>
  <c r="BV152" i="17" s="1"/>
  <c r="CB152" i="17"/>
  <c r="CC152" i="17"/>
  <c r="CD152" i="17" s="1"/>
  <c r="CF152" i="17"/>
  <c r="CJ152" i="17"/>
  <c r="CH152" i="17" s="1"/>
  <c r="CL152" i="17"/>
  <c r="CM152" i="17"/>
  <c r="CN152" i="17"/>
  <c r="CO152" i="17" s="1"/>
  <c r="DK152" i="17"/>
  <c r="O153" i="17"/>
  <c r="T153" i="17"/>
  <c r="V153" i="17"/>
  <c r="W153" i="17"/>
  <c r="X153" i="17" s="1"/>
  <c r="Z153" i="17"/>
  <c r="AV153" i="17"/>
  <c r="AT153" i="17" s="1"/>
  <c r="AX153" i="17"/>
  <c r="AY153" i="17"/>
  <c r="AZ153" i="17" s="1"/>
  <c r="BB153" i="17"/>
  <c r="BX153" i="17"/>
  <c r="BV153" i="17" s="1"/>
  <c r="CB153" i="17"/>
  <c r="CC153" i="17"/>
  <c r="CJ153" i="17"/>
  <c r="CH153" i="17" s="1"/>
  <c r="CL153" i="17"/>
  <c r="CM153" i="17"/>
  <c r="CN153" i="17"/>
  <c r="CO153" i="17" s="1"/>
  <c r="DK153" i="17"/>
  <c r="O154" i="17"/>
  <c r="T154" i="17"/>
  <c r="R154" i="17" s="1"/>
  <c r="V154" i="17"/>
  <c r="W154" i="17"/>
  <c r="X154" i="17" s="1"/>
  <c r="Z154" i="17"/>
  <c r="AV154" i="17"/>
  <c r="AT154" i="17" s="1"/>
  <c r="AX154" i="17"/>
  <c r="AY154" i="17"/>
  <c r="AZ154" i="17" s="1"/>
  <c r="BB154" i="17"/>
  <c r="BX154" i="17"/>
  <c r="BV154" i="17" s="1"/>
  <c r="CB154" i="17"/>
  <c r="CC154" i="17"/>
  <c r="CD154" i="17" s="1"/>
  <c r="CF154" i="17"/>
  <c r="CJ154" i="17"/>
  <c r="CH154" i="17" s="1"/>
  <c r="CL154" i="17"/>
  <c r="CM154" i="17"/>
  <c r="CN154" i="17"/>
  <c r="CO154" i="17" s="1"/>
  <c r="DK154" i="17"/>
  <c r="O155" i="17"/>
  <c r="T155" i="17"/>
  <c r="V155" i="17"/>
  <c r="W155" i="17"/>
  <c r="X155" i="17" s="1"/>
  <c r="Z155" i="17" s="1"/>
  <c r="AV155" i="17"/>
  <c r="AT155" i="17" s="1"/>
  <c r="AX155" i="17"/>
  <c r="AY155" i="17"/>
  <c r="AZ155" i="17" s="1"/>
  <c r="BB155" i="17"/>
  <c r="BX155" i="17"/>
  <c r="BV155" i="17" s="1"/>
  <c r="CB155" i="17"/>
  <c r="CC155" i="17"/>
  <c r="CD155" i="17" s="1"/>
  <c r="CF155" i="17" s="1"/>
  <c r="CJ155" i="17"/>
  <c r="CH155" i="17" s="1"/>
  <c r="CL155" i="17"/>
  <c r="CM155" i="17"/>
  <c r="CN155" i="17"/>
  <c r="CO155" i="17" s="1"/>
  <c r="DK155" i="17"/>
  <c r="O156" i="17"/>
  <c r="T156" i="17"/>
  <c r="R156" i="17" s="1"/>
  <c r="V156" i="17"/>
  <c r="W156" i="17"/>
  <c r="X156" i="17" s="1"/>
  <c r="Z156" i="17" s="1"/>
  <c r="AV156" i="17"/>
  <c r="AT156" i="17" s="1"/>
  <c r="AX156" i="17"/>
  <c r="AY156" i="17"/>
  <c r="AZ156" i="17" s="1"/>
  <c r="BB156" i="17" s="1"/>
  <c r="BX156" i="17"/>
  <c r="BV156" i="17" s="1"/>
  <c r="CB156" i="17"/>
  <c r="CC156" i="17"/>
  <c r="CD156" i="17" s="1"/>
  <c r="CJ156" i="17"/>
  <c r="CH156" i="17" s="1"/>
  <c r="CL156" i="17"/>
  <c r="CM156" i="17"/>
  <c r="CN156" i="17"/>
  <c r="DK156" i="17"/>
  <c r="O157" i="17"/>
  <c r="T157" i="17"/>
  <c r="R157" i="17" s="1"/>
  <c r="V157" i="17"/>
  <c r="W157" i="17"/>
  <c r="X157" i="17" s="1"/>
  <c r="AV157" i="17"/>
  <c r="AT157" i="17" s="1"/>
  <c r="AX157" i="17"/>
  <c r="AY157" i="17"/>
  <c r="AZ157" i="17" s="1"/>
  <c r="BX157" i="17"/>
  <c r="BV157" i="17" s="1"/>
  <c r="CB157" i="17"/>
  <c r="CC157" i="17"/>
  <c r="CJ157" i="17"/>
  <c r="CH157" i="17" s="1"/>
  <c r="CL157" i="17"/>
  <c r="CM157" i="17"/>
  <c r="CN157" i="17"/>
  <c r="CO157" i="17" s="1"/>
  <c r="DK157" i="17"/>
  <c r="O158" i="17"/>
  <c r="T158" i="17"/>
  <c r="V158" i="17"/>
  <c r="W158" i="17"/>
  <c r="X158" i="17" s="1"/>
  <c r="Z158" i="17" s="1"/>
  <c r="AV158" i="17"/>
  <c r="AT158" i="17" s="1"/>
  <c r="AX158" i="17"/>
  <c r="AY158" i="17"/>
  <c r="AZ158" i="17" s="1"/>
  <c r="BX158" i="17"/>
  <c r="BV158" i="17" s="1"/>
  <c r="CB158" i="17"/>
  <c r="CC158" i="17"/>
  <c r="CJ158" i="17"/>
  <c r="CH158" i="17" s="1"/>
  <c r="CL158" i="17"/>
  <c r="CM158" i="17"/>
  <c r="CN158" i="17"/>
  <c r="DK158" i="17"/>
  <c r="O159" i="17"/>
  <c r="T159" i="17"/>
  <c r="R159" i="17" s="1"/>
  <c r="V159" i="17"/>
  <c r="W159" i="17"/>
  <c r="X159" i="17" s="1"/>
  <c r="Z159" i="17"/>
  <c r="AV159" i="17"/>
  <c r="AX159" i="17"/>
  <c r="AY159" i="17"/>
  <c r="AZ159" i="17" s="1"/>
  <c r="BB159" i="17"/>
  <c r="BX159" i="17"/>
  <c r="BV159" i="17" s="1"/>
  <c r="CB159" i="17"/>
  <c r="CC159" i="17"/>
  <c r="CF159" i="17"/>
  <c r="CJ159" i="17"/>
  <c r="CH159" i="17" s="1"/>
  <c r="CL159" i="17"/>
  <c r="CM159" i="17"/>
  <c r="CN159" i="17"/>
  <c r="CO159" i="17" s="1"/>
  <c r="DK159" i="17"/>
  <c r="O160" i="17"/>
  <c r="T160" i="17"/>
  <c r="V160" i="17"/>
  <c r="W160" i="17"/>
  <c r="X160" i="17" s="1"/>
  <c r="Z160" i="17" s="1"/>
  <c r="AV160" i="17"/>
  <c r="AT160" i="17" s="1"/>
  <c r="AX160" i="17"/>
  <c r="AY160" i="17"/>
  <c r="AZ160" i="17" s="1"/>
  <c r="BX160" i="17"/>
  <c r="BV160" i="17" s="1"/>
  <c r="CB160" i="17"/>
  <c r="CC160" i="17"/>
  <c r="CD160" i="17" s="1"/>
  <c r="CJ160" i="17"/>
  <c r="CH160" i="17" s="1"/>
  <c r="CL160" i="17"/>
  <c r="CM160" i="17"/>
  <c r="CN160" i="17"/>
  <c r="DK160" i="17"/>
  <c r="O161" i="17"/>
  <c r="T161" i="17"/>
  <c r="R161" i="17" s="1"/>
  <c r="V161" i="17"/>
  <c r="W161" i="17"/>
  <c r="X161" i="17" s="1"/>
  <c r="Z161" i="17" s="1"/>
  <c r="AV161" i="17"/>
  <c r="AT161" i="17" s="1"/>
  <c r="AX161" i="17"/>
  <c r="AY161" i="17"/>
  <c r="AZ161" i="17" s="1"/>
  <c r="BB161" i="17" s="1"/>
  <c r="BX161" i="17"/>
  <c r="CB161" i="17"/>
  <c r="CC161" i="17"/>
  <c r="CD161" i="17" s="1"/>
  <c r="CF161" i="17"/>
  <c r="CJ161" i="17"/>
  <c r="CH161" i="17" s="1"/>
  <c r="CL161" i="17"/>
  <c r="CM161" i="17"/>
  <c r="CN161" i="17"/>
  <c r="DK161" i="17"/>
  <c r="O162" i="17"/>
  <c r="T162" i="17"/>
  <c r="R162" i="17" s="1"/>
  <c r="V162" i="17"/>
  <c r="W162" i="17"/>
  <c r="X162" i="17" s="1"/>
  <c r="AV162" i="17"/>
  <c r="AT162" i="17" s="1"/>
  <c r="AX162" i="17"/>
  <c r="AY162" i="17"/>
  <c r="AZ162" i="17" s="1"/>
  <c r="BX162" i="17"/>
  <c r="BV162" i="17" s="1"/>
  <c r="CB162" i="17"/>
  <c r="CC162" i="17"/>
  <c r="CJ162" i="17"/>
  <c r="CH162" i="17" s="1"/>
  <c r="CL162" i="17"/>
  <c r="CM162" i="17"/>
  <c r="CN162" i="17"/>
  <c r="DK162" i="17"/>
  <c r="O163" i="17"/>
  <c r="T163" i="17"/>
  <c r="R163" i="17" s="1"/>
  <c r="V163" i="17"/>
  <c r="W163" i="17"/>
  <c r="X163" i="17" s="1"/>
  <c r="AV163" i="17"/>
  <c r="AT163" i="17" s="1"/>
  <c r="AX163" i="17"/>
  <c r="AY163" i="17"/>
  <c r="AZ163" i="17" s="1"/>
  <c r="BB163" i="17"/>
  <c r="BX163" i="17"/>
  <c r="BV163" i="17" s="1"/>
  <c r="CB163" i="17"/>
  <c r="CC163" i="17"/>
  <c r="CD163" i="17" s="1"/>
  <c r="CJ163" i="17"/>
  <c r="CL163" i="17"/>
  <c r="CM163" i="17"/>
  <c r="CN163" i="17"/>
  <c r="CO163" i="17" s="1"/>
  <c r="DK163" i="17"/>
  <c r="O164" i="17"/>
  <c r="T164" i="17"/>
  <c r="R164" i="17" s="1"/>
  <c r="V164" i="17"/>
  <c r="W164" i="17"/>
  <c r="X164" i="17" s="1"/>
  <c r="Z164" i="17"/>
  <c r="AV164" i="17"/>
  <c r="AT164" i="17" s="1"/>
  <c r="AX164" i="17"/>
  <c r="AY164" i="17"/>
  <c r="AZ164" i="17" s="1"/>
  <c r="BB164" i="17"/>
  <c r="BX164" i="17"/>
  <c r="BV164" i="17" s="1"/>
  <c r="CB164" i="17"/>
  <c r="CC164" i="17"/>
  <c r="CJ164" i="17"/>
  <c r="CH164" i="17" s="1"/>
  <c r="CL164" i="17"/>
  <c r="CM164" i="17"/>
  <c r="CN164" i="17"/>
  <c r="DK164" i="17"/>
  <c r="O165" i="17"/>
  <c r="T165" i="17"/>
  <c r="R165" i="17" s="1"/>
  <c r="V165" i="17"/>
  <c r="W165" i="17"/>
  <c r="X165" i="17" s="1"/>
  <c r="Z165" i="17" s="1"/>
  <c r="AV165" i="17"/>
  <c r="AT165" i="17" s="1"/>
  <c r="AX165" i="17"/>
  <c r="AY165" i="17"/>
  <c r="AZ165" i="17" s="1"/>
  <c r="BB165" i="17" s="1"/>
  <c r="BX165" i="17"/>
  <c r="BV165" i="17" s="1"/>
  <c r="CB165" i="17"/>
  <c r="CC165" i="17"/>
  <c r="CD165" i="17" s="1"/>
  <c r="CJ165" i="17"/>
  <c r="CH165" i="17" s="1"/>
  <c r="CL165" i="17"/>
  <c r="CM165" i="17"/>
  <c r="CN165" i="17"/>
  <c r="DK165" i="17"/>
  <c r="O166" i="17"/>
  <c r="T166" i="17"/>
  <c r="R166" i="17" s="1"/>
  <c r="V166" i="17"/>
  <c r="W166" i="17"/>
  <c r="X166" i="17" s="1"/>
  <c r="Z166" i="17" s="1"/>
  <c r="AV166" i="17"/>
  <c r="AT166" i="17" s="1"/>
  <c r="AX166" i="17"/>
  <c r="AY166" i="17"/>
  <c r="AZ166" i="17" s="1"/>
  <c r="BB166" i="17"/>
  <c r="BX166" i="17"/>
  <c r="BV166" i="17" s="1"/>
  <c r="CB166" i="17"/>
  <c r="CC166" i="17"/>
  <c r="CD166" i="17" s="1"/>
  <c r="CJ166" i="17"/>
  <c r="CH166" i="17" s="1"/>
  <c r="CL166" i="17"/>
  <c r="CM166" i="17"/>
  <c r="CN166" i="17"/>
  <c r="DK166" i="17"/>
  <c r="O167" i="17"/>
  <c r="T167" i="17"/>
  <c r="R167" i="17" s="1"/>
  <c r="V167" i="17"/>
  <c r="W167" i="17"/>
  <c r="X167" i="17" s="1"/>
  <c r="AV167" i="17"/>
  <c r="AT167" i="17" s="1"/>
  <c r="AX167" i="17"/>
  <c r="AY167" i="17"/>
  <c r="AZ167" i="17" s="1"/>
  <c r="BX167" i="17"/>
  <c r="CB167" i="17"/>
  <c r="CC167" i="17"/>
  <c r="CD167" i="17" s="1"/>
  <c r="CF167" i="17" s="1"/>
  <c r="CJ167" i="17"/>
  <c r="CH167" i="17" s="1"/>
  <c r="CL167" i="17"/>
  <c r="CM167" i="17"/>
  <c r="CN167" i="17"/>
  <c r="CO167" i="17" s="1"/>
  <c r="DK167" i="17"/>
  <c r="O168" i="17"/>
  <c r="T168" i="17"/>
  <c r="V168" i="17"/>
  <c r="W168" i="17"/>
  <c r="X168" i="17" s="1"/>
  <c r="Z168" i="17"/>
  <c r="AV168" i="17"/>
  <c r="AT168" i="17" s="1"/>
  <c r="AX168" i="17"/>
  <c r="AY168" i="17"/>
  <c r="AZ168" i="17" s="1"/>
  <c r="BB168" i="17"/>
  <c r="BX168" i="17"/>
  <c r="BV168" i="17" s="1"/>
  <c r="CB168" i="17"/>
  <c r="CC168" i="17"/>
  <c r="CD168" i="17" s="1"/>
  <c r="CJ168" i="17"/>
  <c r="CH168" i="17" s="1"/>
  <c r="CL168" i="17"/>
  <c r="CM168" i="17"/>
  <c r="CN168" i="17"/>
  <c r="CO168" i="17" s="1"/>
  <c r="DK168" i="17"/>
  <c r="O169" i="17"/>
  <c r="T169" i="17"/>
  <c r="R169" i="17" s="1"/>
  <c r="V169" i="17"/>
  <c r="W169" i="17"/>
  <c r="X169" i="17" s="1"/>
  <c r="AV169" i="17"/>
  <c r="AT169" i="17" s="1"/>
  <c r="AX169" i="17"/>
  <c r="AY169" i="17"/>
  <c r="AZ169" i="17" s="1"/>
  <c r="BB169" i="17"/>
  <c r="BX169" i="17"/>
  <c r="CB169" i="17"/>
  <c r="CC169" i="17"/>
  <c r="CD169" i="17" s="1"/>
  <c r="CF169" i="17" s="1"/>
  <c r="CJ169" i="17"/>
  <c r="CH169" i="17" s="1"/>
  <c r="CL169" i="17"/>
  <c r="CM169" i="17"/>
  <c r="CN169" i="17"/>
  <c r="CO169" i="17" s="1"/>
  <c r="DK169" i="17"/>
  <c r="O170" i="17"/>
  <c r="T170" i="17"/>
  <c r="R170" i="17" s="1"/>
  <c r="V170" i="17"/>
  <c r="W170" i="17"/>
  <c r="X170" i="17" s="1"/>
  <c r="Z170" i="17"/>
  <c r="AV170" i="17"/>
  <c r="AX170" i="17"/>
  <c r="AY170" i="17"/>
  <c r="AZ170" i="17" s="1"/>
  <c r="BB170" i="17" s="1"/>
  <c r="BX170" i="17"/>
  <c r="BV170" i="17" s="1"/>
  <c r="CB170" i="17"/>
  <c r="CC170" i="17"/>
  <c r="CD170" i="17" s="1"/>
  <c r="CF170" i="17"/>
  <c r="CJ170" i="17"/>
  <c r="CH170" i="17" s="1"/>
  <c r="CL170" i="17"/>
  <c r="CM170" i="17"/>
  <c r="CN170" i="17"/>
  <c r="CO170" i="17" s="1"/>
  <c r="DK170" i="17"/>
  <c r="O171" i="17"/>
  <c r="T171" i="17"/>
  <c r="V171" i="17"/>
  <c r="W171" i="17"/>
  <c r="X171" i="17" s="1"/>
  <c r="AV171" i="17"/>
  <c r="AT171" i="17" s="1"/>
  <c r="AX171" i="17"/>
  <c r="AY171" i="17"/>
  <c r="AZ171" i="17" s="1"/>
  <c r="BX171" i="17"/>
  <c r="BV171" i="17" s="1"/>
  <c r="CB171" i="17"/>
  <c r="CC171" i="17"/>
  <c r="CD171" i="17" s="1"/>
  <c r="CJ171" i="17"/>
  <c r="CH171" i="17" s="1"/>
  <c r="CL171" i="17"/>
  <c r="CM171" i="17"/>
  <c r="CN171" i="17"/>
  <c r="CO171" i="17" s="1"/>
  <c r="DK171" i="17"/>
  <c r="O172" i="17"/>
  <c r="T172" i="17"/>
  <c r="R172" i="17" s="1"/>
  <c r="V172" i="17"/>
  <c r="W172" i="17"/>
  <c r="X172" i="17" s="1"/>
  <c r="Z172" i="17"/>
  <c r="AV172" i="17"/>
  <c r="AT172" i="17" s="1"/>
  <c r="AX172" i="17"/>
  <c r="AY172" i="17"/>
  <c r="AZ172" i="17" s="1"/>
  <c r="BB172" i="17"/>
  <c r="BX172" i="17"/>
  <c r="BV172" i="17" s="1"/>
  <c r="CB172" i="17"/>
  <c r="CC172" i="17"/>
  <c r="CD172" i="17" s="1"/>
  <c r="CF172" i="17" s="1"/>
  <c r="CJ172" i="17"/>
  <c r="CH172" i="17" s="1"/>
  <c r="CL172" i="17"/>
  <c r="CM172" i="17"/>
  <c r="CN172" i="17"/>
  <c r="CO172" i="17" s="1"/>
  <c r="DK172" i="17"/>
  <c r="O173" i="17"/>
  <c r="T173" i="17"/>
  <c r="R173" i="17" s="1"/>
  <c r="V173" i="17"/>
  <c r="W173" i="17"/>
  <c r="X173" i="17" s="1"/>
  <c r="Z173" i="17" s="1"/>
  <c r="AV173" i="17"/>
  <c r="AT173" i="17" s="1"/>
  <c r="AX173" i="17"/>
  <c r="AY173" i="17"/>
  <c r="AZ173" i="17" s="1"/>
  <c r="BB173" i="17"/>
  <c r="BX173" i="17"/>
  <c r="CB173" i="17"/>
  <c r="CC173" i="17"/>
  <c r="CD173" i="17" s="1"/>
  <c r="CF173" i="17" s="1"/>
  <c r="CJ173" i="17"/>
  <c r="CH173" i="17" s="1"/>
  <c r="CL173" i="17"/>
  <c r="CM173" i="17"/>
  <c r="CN173" i="17"/>
  <c r="CO173" i="17" s="1"/>
  <c r="DK173" i="17"/>
  <c r="O174" i="17"/>
  <c r="T174" i="17"/>
  <c r="R174" i="17" s="1"/>
  <c r="V174" i="17"/>
  <c r="W174" i="17"/>
  <c r="X174" i="17" s="1"/>
  <c r="AV174" i="17"/>
  <c r="AT174" i="17" s="1"/>
  <c r="AX174" i="17"/>
  <c r="AY174" i="17"/>
  <c r="AZ174" i="17" s="1"/>
  <c r="BB174" i="17"/>
  <c r="BX174" i="17"/>
  <c r="BV174" i="17" s="1"/>
  <c r="CB174" i="17"/>
  <c r="CC174" i="17"/>
  <c r="CD174" i="17" s="1"/>
  <c r="CF174" i="17" s="1"/>
  <c r="CJ174" i="17"/>
  <c r="CH174" i="17" s="1"/>
  <c r="CL174" i="17"/>
  <c r="CM174" i="17"/>
  <c r="CN174" i="17"/>
  <c r="CO174" i="17" s="1"/>
  <c r="DK174" i="17"/>
  <c r="O175" i="17"/>
  <c r="T175" i="17"/>
  <c r="R175" i="17" s="1"/>
  <c r="V175" i="17"/>
  <c r="W175" i="17"/>
  <c r="X175" i="17" s="1"/>
  <c r="AV175" i="17"/>
  <c r="AT175" i="17" s="1"/>
  <c r="AX175" i="17"/>
  <c r="AY175" i="17"/>
  <c r="AZ175" i="17" s="1"/>
  <c r="BX175" i="17"/>
  <c r="BV175" i="17" s="1"/>
  <c r="CB175" i="17"/>
  <c r="CC175" i="17"/>
  <c r="CJ175" i="17"/>
  <c r="CH175" i="17" s="1"/>
  <c r="CL175" i="17"/>
  <c r="CM175" i="17"/>
  <c r="CN175" i="17"/>
  <c r="CO175" i="17" s="1"/>
  <c r="DK175" i="17"/>
  <c r="O176" i="17"/>
  <c r="T176" i="17"/>
  <c r="R176" i="17" s="1"/>
  <c r="V176" i="17"/>
  <c r="W176" i="17"/>
  <c r="X176" i="17" s="1"/>
  <c r="AV176" i="17"/>
  <c r="AX176" i="17"/>
  <c r="AY176" i="17"/>
  <c r="AZ176" i="17" s="1"/>
  <c r="BB176" i="17" s="1"/>
  <c r="BX176" i="17"/>
  <c r="BV176" i="17" s="1"/>
  <c r="CB176" i="17"/>
  <c r="CC176" i="17"/>
  <c r="CD176" i="17" s="1"/>
  <c r="CF176" i="17" s="1"/>
  <c r="CJ176" i="17"/>
  <c r="CH176" i="17" s="1"/>
  <c r="CL176" i="17"/>
  <c r="CM176" i="17"/>
  <c r="CN176" i="17"/>
  <c r="CO176" i="17" s="1"/>
  <c r="DK176" i="17"/>
  <c r="O177" i="17"/>
  <c r="T177" i="17"/>
  <c r="V177" i="17"/>
  <c r="W177" i="17"/>
  <c r="X177" i="17" s="1"/>
  <c r="AV177" i="17"/>
  <c r="AT177" i="17" s="1"/>
  <c r="AX177" i="17"/>
  <c r="AY177" i="17"/>
  <c r="AZ177" i="17" s="1"/>
  <c r="BX177" i="17"/>
  <c r="BV177" i="17" s="1"/>
  <c r="CB177" i="17"/>
  <c r="CC177" i="17"/>
  <c r="CD177" i="17" s="1"/>
  <c r="CJ177" i="17"/>
  <c r="CH177" i="17" s="1"/>
  <c r="CL177" i="17"/>
  <c r="CM177" i="17"/>
  <c r="CN177" i="17"/>
  <c r="DK177" i="17"/>
  <c r="O178" i="17"/>
  <c r="T178" i="17"/>
  <c r="V178" i="17"/>
  <c r="W178" i="17"/>
  <c r="X178" i="17" s="1"/>
  <c r="Z178" i="17"/>
  <c r="AV178" i="17"/>
  <c r="AT178" i="17" s="1"/>
  <c r="AX178" i="17"/>
  <c r="AY178" i="17"/>
  <c r="AZ178" i="17" s="1"/>
  <c r="BB178" i="17"/>
  <c r="BX178" i="17"/>
  <c r="BV178" i="17" s="1"/>
  <c r="CB178" i="17"/>
  <c r="CC178" i="17"/>
  <c r="CD178" i="17" s="1"/>
  <c r="CJ178" i="17"/>
  <c r="CH178" i="17" s="1"/>
  <c r="CL178" i="17"/>
  <c r="CM178" i="17"/>
  <c r="CN178" i="17"/>
  <c r="DK178" i="17"/>
  <c r="S179" i="17"/>
  <c r="U179" i="17"/>
  <c r="AX179" i="17"/>
  <c r="BW179" i="17"/>
  <c r="CB179" i="17"/>
  <c r="CM179" i="17"/>
  <c r="O180" i="17"/>
  <c r="T180" i="17"/>
  <c r="R180" i="17" s="1"/>
  <c r="V180" i="17"/>
  <c r="W180" i="17"/>
  <c r="X180" i="17" s="1"/>
  <c r="Z180" i="17"/>
  <c r="AV180" i="17"/>
  <c r="AT180" i="17" s="1"/>
  <c r="AX180" i="17"/>
  <c r="AY180" i="17"/>
  <c r="AZ180" i="17" s="1"/>
  <c r="BB180" i="17" s="1"/>
  <c r="BX180" i="17"/>
  <c r="BV180" i="17" s="1"/>
  <c r="CB180" i="17"/>
  <c r="CC180" i="17"/>
  <c r="CD180" i="17" s="1"/>
  <c r="CF180" i="17"/>
  <c r="CJ180" i="17"/>
  <c r="CH180" i="17" s="1"/>
  <c r="CL180" i="17"/>
  <c r="CM180" i="17"/>
  <c r="CN180" i="17"/>
  <c r="CO180" i="17" s="1"/>
  <c r="DK180" i="17"/>
  <c r="O181" i="17"/>
  <c r="T181" i="17"/>
  <c r="V181" i="17"/>
  <c r="W181" i="17"/>
  <c r="X181" i="17" s="1"/>
  <c r="Z181" i="17" s="1"/>
  <c r="AV181" i="17"/>
  <c r="AT181" i="17" s="1"/>
  <c r="AX181" i="17"/>
  <c r="AY181" i="17"/>
  <c r="AZ181" i="17" s="1"/>
  <c r="BX181" i="17"/>
  <c r="BV181" i="17" s="1"/>
  <c r="CB181" i="17"/>
  <c r="CC181" i="17"/>
  <c r="CJ181" i="17"/>
  <c r="CH181" i="17" s="1"/>
  <c r="CL181" i="17"/>
  <c r="CM181" i="17"/>
  <c r="CN181" i="17"/>
  <c r="DK181" i="17"/>
  <c r="O182" i="17"/>
  <c r="T182" i="17"/>
  <c r="R182" i="17" s="1"/>
  <c r="V182" i="17"/>
  <c r="W182" i="17"/>
  <c r="X182" i="17" s="1"/>
  <c r="Z182" i="17" s="1"/>
  <c r="AV182" i="17"/>
  <c r="AT182" i="17" s="1"/>
  <c r="AX182" i="17"/>
  <c r="AY182" i="17"/>
  <c r="AZ182" i="17" s="1"/>
  <c r="BB182" i="17" s="1"/>
  <c r="BX182" i="17"/>
  <c r="BV182" i="17" s="1"/>
  <c r="CB182" i="17"/>
  <c r="CC182" i="17"/>
  <c r="CD182" i="17" s="1"/>
  <c r="CJ182" i="17"/>
  <c r="CH182" i="17" s="1"/>
  <c r="CL182" i="17"/>
  <c r="CM182" i="17"/>
  <c r="CN182" i="17"/>
  <c r="CO182" i="17" s="1"/>
  <c r="DK182" i="17"/>
  <c r="O183" i="17"/>
  <c r="T183" i="17"/>
  <c r="V183" i="17"/>
  <c r="W183" i="17"/>
  <c r="X183" i="17" s="1"/>
  <c r="AV183" i="17"/>
  <c r="AT183" i="17" s="1"/>
  <c r="AX183" i="17"/>
  <c r="AY183" i="17"/>
  <c r="AZ183" i="17" s="1"/>
  <c r="BX183" i="17"/>
  <c r="BV183" i="17" s="1"/>
  <c r="CB183" i="17"/>
  <c r="CC183" i="17"/>
  <c r="CJ183" i="17"/>
  <c r="CH183" i="17" s="1"/>
  <c r="CL183" i="17"/>
  <c r="CM183" i="17"/>
  <c r="CN183" i="17"/>
  <c r="DK183" i="17"/>
  <c r="O184" i="17"/>
  <c r="T184" i="17"/>
  <c r="R184" i="17" s="1"/>
  <c r="V184" i="17"/>
  <c r="W184" i="17"/>
  <c r="X184" i="17" s="1"/>
  <c r="AV184" i="17"/>
  <c r="AT184" i="17" s="1"/>
  <c r="AX184" i="17"/>
  <c r="AY184" i="17"/>
  <c r="AZ184" i="17" s="1"/>
  <c r="BB184" i="17" s="1"/>
  <c r="BX184" i="17"/>
  <c r="BV184" i="17" s="1"/>
  <c r="CB184" i="17"/>
  <c r="CC184" i="17"/>
  <c r="CF184" i="17"/>
  <c r="CJ184" i="17"/>
  <c r="CH184" i="17" s="1"/>
  <c r="CL184" i="17"/>
  <c r="CM184" i="17"/>
  <c r="CN184" i="17"/>
  <c r="CO184" i="17" s="1"/>
  <c r="DK184" i="17"/>
  <c r="O185" i="17"/>
  <c r="T185" i="17"/>
  <c r="R185" i="17" s="1"/>
  <c r="V185" i="17"/>
  <c r="W185" i="17"/>
  <c r="X185" i="17" s="1"/>
  <c r="AV185" i="17"/>
  <c r="AX185" i="17"/>
  <c r="AY185" i="17"/>
  <c r="AZ185" i="17" s="1"/>
  <c r="BB185" i="17" s="1"/>
  <c r="BX185" i="17"/>
  <c r="BV185" i="17" s="1"/>
  <c r="CB185" i="17"/>
  <c r="CC185" i="17"/>
  <c r="CD185" i="17" s="1"/>
  <c r="CJ185" i="17"/>
  <c r="CH185" i="17" s="1"/>
  <c r="CL185" i="17"/>
  <c r="CM185" i="17"/>
  <c r="CN185" i="17"/>
  <c r="CO185" i="17" s="1"/>
  <c r="DK185" i="17"/>
  <c r="O186" i="17"/>
  <c r="T186" i="17"/>
  <c r="R186" i="17" s="1"/>
  <c r="V186" i="17"/>
  <c r="W186" i="17"/>
  <c r="X186" i="17" s="1"/>
  <c r="AV186" i="17"/>
  <c r="AT186" i="17" s="1"/>
  <c r="AX186" i="17"/>
  <c r="AY186" i="17"/>
  <c r="AZ186" i="17" s="1"/>
  <c r="BB186" i="17" s="1"/>
  <c r="BX186" i="17"/>
  <c r="BV186" i="17" s="1"/>
  <c r="CB186" i="17"/>
  <c r="CC186" i="17"/>
  <c r="CD186" i="17" s="1"/>
  <c r="CF186" i="17" s="1"/>
  <c r="CJ186" i="17"/>
  <c r="CH186" i="17" s="1"/>
  <c r="CL186" i="17"/>
  <c r="CM186" i="17"/>
  <c r="CN186" i="17"/>
  <c r="CO186" i="17" s="1"/>
  <c r="DK186" i="17"/>
  <c r="O187" i="17"/>
  <c r="T187" i="17"/>
  <c r="R187" i="17" s="1"/>
  <c r="V187" i="17"/>
  <c r="W187" i="17"/>
  <c r="X187" i="17" s="1"/>
  <c r="AV187" i="17"/>
  <c r="AT187" i="17" s="1"/>
  <c r="AX187" i="17"/>
  <c r="AY187" i="17"/>
  <c r="AZ187" i="17" s="1"/>
  <c r="BX187" i="17"/>
  <c r="BV187" i="17" s="1"/>
  <c r="CB187" i="17"/>
  <c r="CC187" i="17"/>
  <c r="CF187" i="17"/>
  <c r="CJ187" i="17"/>
  <c r="CH187" i="17" s="1"/>
  <c r="CL187" i="17"/>
  <c r="CM187" i="17"/>
  <c r="CN187" i="17"/>
  <c r="CO187" i="17" s="1"/>
  <c r="DK187" i="17"/>
  <c r="O188" i="17"/>
  <c r="T188" i="17"/>
  <c r="R188" i="17" s="1"/>
  <c r="V188" i="17"/>
  <c r="W188" i="17"/>
  <c r="X188" i="17" s="1"/>
  <c r="AV188" i="17"/>
  <c r="AX188" i="17"/>
  <c r="AY188" i="17"/>
  <c r="AZ188" i="17" s="1"/>
  <c r="BX188" i="17"/>
  <c r="BV188" i="17" s="1"/>
  <c r="CB188" i="17"/>
  <c r="CC188" i="17"/>
  <c r="CD188" i="17" s="1"/>
  <c r="CF188" i="17"/>
  <c r="CJ188" i="17"/>
  <c r="CH188" i="17" s="1"/>
  <c r="CL188" i="17"/>
  <c r="CM188" i="17"/>
  <c r="CN188" i="17"/>
  <c r="CO188" i="17" s="1"/>
  <c r="DK188" i="17"/>
  <c r="O189" i="17"/>
  <c r="T189" i="17"/>
  <c r="R189" i="17" s="1"/>
  <c r="V189" i="17"/>
  <c r="W189" i="17"/>
  <c r="X189" i="17" s="1"/>
  <c r="AV189" i="17"/>
  <c r="AT189" i="17" s="1"/>
  <c r="AX189" i="17"/>
  <c r="AY189" i="17"/>
  <c r="AZ189" i="17" s="1"/>
  <c r="BB189" i="17"/>
  <c r="BX189" i="17"/>
  <c r="BV189" i="17" s="1"/>
  <c r="CB189" i="17"/>
  <c r="CC189" i="17"/>
  <c r="CD189" i="17" s="1"/>
  <c r="CF189" i="17" s="1"/>
  <c r="CJ189" i="17"/>
  <c r="CH189" i="17" s="1"/>
  <c r="CL189" i="17"/>
  <c r="CM189" i="17"/>
  <c r="CN189" i="17"/>
  <c r="CO189" i="17" s="1"/>
  <c r="DK189" i="17"/>
  <c r="O190" i="17"/>
  <c r="T190" i="17"/>
  <c r="R190" i="17" s="1"/>
  <c r="V190" i="17"/>
  <c r="W190" i="17"/>
  <c r="X190" i="17" s="1"/>
  <c r="Z190" i="17" s="1"/>
  <c r="AV190" i="17"/>
  <c r="AX190" i="17"/>
  <c r="AY190" i="17"/>
  <c r="AZ190" i="17" s="1"/>
  <c r="BB190" i="17"/>
  <c r="BX190" i="17"/>
  <c r="BV190" i="17" s="1"/>
  <c r="CB190" i="17"/>
  <c r="CC190" i="17"/>
  <c r="CJ190" i="17"/>
  <c r="CH190" i="17" s="1"/>
  <c r="CL190" i="17"/>
  <c r="CM190" i="17"/>
  <c r="CN190" i="17"/>
  <c r="CO190" i="17" s="1"/>
  <c r="DK190" i="17"/>
  <c r="O191" i="17"/>
  <c r="T191" i="17"/>
  <c r="V191" i="17"/>
  <c r="W191" i="17"/>
  <c r="X191" i="17" s="1"/>
  <c r="AV191" i="17"/>
  <c r="AT191" i="17" s="1"/>
  <c r="AX191" i="17"/>
  <c r="AY191" i="17"/>
  <c r="AZ191" i="17" s="1"/>
  <c r="BX191" i="17"/>
  <c r="BV191" i="17" s="1"/>
  <c r="CB191" i="17"/>
  <c r="CC191" i="17"/>
  <c r="CD191" i="17" s="1"/>
  <c r="CJ191" i="17"/>
  <c r="CH191" i="17" s="1"/>
  <c r="CL191" i="17"/>
  <c r="CM191" i="17"/>
  <c r="CN191" i="17"/>
  <c r="DK191" i="17"/>
  <c r="O192" i="17"/>
  <c r="T192" i="17"/>
  <c r="R192" i="17" s="1"/>
  <c r="V192" i="17"/>
  <c r="W192" i="17"/>
  <c r="X192" i="17" s="1"/>
  <c r="Z192" i="17"/>
  <c r="AV192" i="17"/>
  <c r="AT192" i="17" s="1"/>
  <c r="AX192" i="17"/>
  <c r="AY192" i="17"/>
  <c r="AZ192" i="17" s="1"/>
  <c r="BB192" i="17"/>
  <c r="BX192" i="17"/>
  <c r="CB192" i="17"/>
  <c r="CC192" i="17"/>
  <c r="CD192" i="17" s="1"/>
  <c r="CJ192" i="17"/>
  <c r="CH192" i="17" s="1"/>
  <c r="CL192" i="17"/>
  <c r="CM192" i="17"/>
  <c r="CN192" i="17"/>
  <c r="CO192" i="17" s="1"/>
  <c r="DK192" i="17"/>
  <c r="O193" i="17"/>
  <c r="T193" i="17"/>
  <c r="V193" i="17"/>
  <c r="W193" i="17"/>
  <c r="X193" i="17" s="1"/>
  <c r="AV193" i="17"/>
  <c r="AT193" i="17" s="1"/>
  <c r="AX193" i="17"/>
  <c r="AY193" i="17"/>
  <c r="AZ193" i="17" s="1"/>
  <c r="BX193" i="17"/>
  <c r="BV193" i="17" s="1"/>
  <c r="CB193" i="17"/>
  <c r="CC193" i="17"/>
  <c r="CJ193" i="17"/>
  <c r="CH193" i="17" s="1"/>
  <c r="CL193" i="17"/>
  <c r="CM193" i="17"/>
  <c r="CN193" i="17"/>
  <c r="DK193" i="17"/>
  <c r="O194" i="17"/>
  <c r="T194" i="17"/>
  <c r="R194" i="17" s="1"/>
  <c r="V194" i="17"/>
  <c r="W194" i="17"/>
  <c r="X194" i="17" s="1"/>
  <c r="Z194" i="17"/>
  <c r="AV194" i="17"/>
  <c r="AT194" i="17" s="1"/>
  <c r="AX194" i="17"/>
  <c r="AY194" i="17"/>
  <c r="AZ194" i="17" s="1"/>
  <c r="BX194" i="17"/>
  <c r="BV194" i="17" s="1"/>
  <c r="CB194" i="17"/>
  <c r="CC194" i="17"/>
  <c r="CD194" i="17" s="1"/>
  <c r="CF194" i="17"/>
  <c r="CJ194" i="17"/>
  <c r="CH194" i="17" s="1"/>
  <c r="CL194" i="17"/>
  <c r="CM194" i="17"/>
  <c r="CN194" i="17"/>
  <c r="CO194" i="17" s="1"/>
  <c r="DK194" i="17"/>
  <c r="O195" i="17"/>
  <c r="T195" i="17"/>
  <c r="V195" i="17"/>
  <c r="W195" i="17"/>
  <c r="X195" i="17" s="1"/>
  <c r="AV195" i="17"/>
  <c r="AT195" i="17" s="1"/>
  <c r="AX195" i="17"/>
  <c r="AY195" i="17"/>
  <c r="AZ195" i="17" s="1"/>
  <c r="BB195" i="17"/>
  <c r="BX195" i="17"/>
  <c r="BV195" i="17" s="1"/>
  <c r="CB195" i="17"/>
  <c r="CC195" i="17"/>
  <c r="CF195" i="17"/>
  <c r="CJ195" i="17"/>
  <c r="CH195" i="17" s="1"/>
  <c r="CL195" i="17"/>
  <c r="CM195" i="17"/>
  <c r="CN195" i="17"/>
  <c r="DK195" i="17"/>
  <c r="O196" i="17"/>
  <c r="T196" i="17"/>
  <c r="V196" i="17"/>
  <c r="W196" i="17"/>
  <c r="X196" i="17" s="1"/>
  <c r="Z196" i="17" s="1"/>
  <c r="AV196" i="17"/>
  <c r="AT196" i="17" s="1"/>
  <c r="AX196" i="17"/>
  <c r="AY196" i="17"/>
  <c r="AZ196" i="17" s="1"/>
  <c r="BX196" i="17"/>
  <c r="BV196" i="17" s="1"/>
  <c r="CB196" i="17"/>
  <c r="CC196" i="17"/>
  <c r="CJ196" i="17"/>
  <c r="CH196" i="17" s="1"/>
  <c r="CL196" i="17"/>
  <c r="CM196" i="17"/>
  <c r="CN196" i="17"/>
  <c r="DK196" i="17"/>
  <c r="O197" i="17"/>
  <c r="T197" i="17"/>
  <c r="R197" i="17" s="1"/>
  <c r="V197" i="17"/>
  <c r="W197" i="17"/>
  <c r="X197" i="17" s="1"/>
  <c r="AV197" i="17"/>
  <c r="AT197" i="17" s="1"/>
  <c r="AX197" i="17"/>
  <c r="AY197" i="17"/>
  <c r="AZ197" i="17" s="1"/>
  <c r="BX197" i="17"/>
  <c r="BV197" i="17" s="1"/>
  <c r="CB197" i="17"/>
  <c r="CC197" i="17"/>
  <c r="CD197" i="17" s="1"/>
  <c r="CJ197" i="17"/>
  <c r="CH197" i="17" s="1"/>
  <c r="CL197" i="17"/>
  <c r="CM197" i="17"/>
  <c r="CN197" i="17"/>
  <c r="CO197" i="17" s="1"/>
  <c r="DK197" i="17"/>
  <c r="O198" i="17"/>
  <c r="T198" i="17"/>
  <c r="R198" i="17" s="1"/>
  <c r="V198" i="17"/>
  <c r="W198" i="17"/>
  <c r="X198" i="17" s="1"/>
  <c r="AV198" i="17"/>
  <c r="AT198" i="17" s="1"/>
  <c r="AX198" i="17"/>
  <c r="AY198" i="17"/>
  <c r="AZ198" i="17" s="1"/>
  <c r="BB198" i="17" s="1"/>
  <c r="BX198" i="17"/>
  <c r="CB198" i="17"/>
  <c r="CC198" i="17"/>
  <c r="CD198" i="17" s="1"/>
  <c r="CF198" i="17" s="1"/>
  <c r="CJ198" i="17"/>
  <c r="CH198" i="17" s="1"/>
  <c r="CL198" i="17"/>
  <c r="CM198" i="17"/>
  <c r="CN198" i="17"/>
  <c r="CO198" i="17" s="1"/>
  <c r="DK198" i="17"/>
  <c r="O199" i="17"/>
  <c r="T199" i="17"/>
  <c r="V199" i="17"/>
  <c r="W199" i="17"/>
  <c r="X199" i="17" s="1"/>
  <c r="AV199" i="17"/>
  <c r="AT199" i="17" s="1"/>
  <c r="AX199" i="17"/>
  <c r="AY199" i="17"/>
  <c r="AZ199" i="17" s="1"/>
  <c r="BB199" i="17"/>
  <c r="BX199" i="17"/>
  <c r="BV199" i="17" s="1"/>
  <c r="CB199" i="17"/>
  <c r="CC199" i="17"/>
  <c r="CD199" i="17" s="1"/>
  <c r="CF199" i="17" s="1"/>
  <c r="CJ199" i="17"/>
  <c r="CH199" i="17" s="1"/>
  <c r="CL199" i="17"/>
  <c r="CM199" i="17"/>
  <c r="CN199" i="17"/>
  <c r="CO199" i="17" s="1"/>
  <c r="DK199" i="17"/>
  <c r="O200" i="17"/>
  <c r="T200" i="17"/>
  <c r="V200" i="17"/>
  <c r="W200" i="17"/>
  <c r="X200" i="17" s="1"/>
  <c r="Z200" i="17"/>
  <c r="AV200" i="17"/>
  <c r="AT200" i="17" s="1"/>
  <c r="AX200" i="17"/>
  <c r="AY200" i="17"/>
  <c r="AZ200" i="17" s="1"/>
  <c r="BB200" i="17"/>
  <c r="BX200" i="17"/>
  <c r="BV200" i="17" s="1"/>
  <c r="CB200" i="17"/>
  <c r="CC200" i="17"/>
  <c r="CJ200" i="17"/>
  <c r="CH200" i="17" s="1"/>
  <c r="CL200" i="17"/>
  <c r="CM200" i="17"/>
  <c r="CN200" i="17"/>
  <c r="CO200" i="17" s="1"/>
  <c r="DK200" i="17"/>
  <c r="O201" i="17"/>
  <c r="T201" i="17"/>
  <c r="V201" i="17"/>
  <c r="W201" i="17"/>
  <c r="X201" i="17" s="1"/>
  <c r="AV201" i="17"/>
  <c r="AT201" i="17" s="1"/>
  <c r="AX201" i="17"/>
  <c r="AY201" i="17"/>
  <c r="AZ201" i="17" s="1"/>
  <c r="BB201" i="17"/>
  <c r="BX201" i="17"/>
  <c r="BV201" i="17" s="1"/>
  <c r="CB201" i="17"/>
  <c r="CC201" i="17"/>
  <c r="CD201" i="17" s="1"/>
  <c r="CJ201" i="17"/>
  <c r="CH201" i="17" s="1"/>
  <c r="CL201" i="17"/>
  <c r="CM201" i="17"/>
  <c r="CN201" i="17"/>
  <c r="DK201" i="17"/>
  <c r="O202" i="17"/>
  <c r="T202" i="17"/>
  <c r="V202" i="17"/>
  <c r="W202" i="17"/>
  <c r="X202" i="17" s="1"/>
  <c r="AV202" i="17"/>
  <c r="AT202" i="17" s="1"/>
  <c r="AX202" i="17"/>
  <c r="AY202" i="17"/>
  <c r="AZ202" i="17" s="1"/>
  <c r="BB202" i="17"/>
  <c r="BX202" i="17"/>
  <c r="BV202" i="17" s="1"/>
  <c r="CB202" i="17"/>
  <c r="CC202" i="17"/>
  <c r="CJ202" i="17"/>
  <c r="CH202" i="17" s="1"/>
  <c r="CL202" i="17"/>
  <c r="CM202" i="17"/>
  <c r="CN202" i="17"/>
  <c r="DK202" i="17"/>
  <c r="O203" i="17"/>
  <c r="T203" i="17"/>
  <c r="V203" i="17"/>
  <c r="W203" i="17"/>
  <c r="X203" i="17" s="1"/>
  <c r="Z203" i="17"/>
  <c r="AV203" i="17"/>
  <c r="AT203" i="17" s="1"/>
  <c r="AX203" i="17"/>
  <c r="AY203" i="17"/>
  <c r="AZ203" i="17" s="1"/>
  <c r="BX203" i="17"/>
  <c r="BV203" i="17" s="1"/>
  <c r="CB203" i="17"/>
  <c r="CC203" i="17"/>
  <c r="CJ203" i="17"/>
  <c r="CH203" i="17" s="1"/>
  <c r="CL203" i="17"/>
  <c r="CM203" i="17"/>
  <c r="CN203" i="17"/>
  <c r="DK203" i="17"/>
  <c r="O204" i="17"/>
  <c r="T204" i="17"/>
  <c r="V204" i="17"/>
  <c r="W204" i="17"/>
  <c r="X204" i="17" s="1"/>
  <c r="AV204" i="17"/>
  <c r="AT204" i="17" s="1"/>
  <c r="AX204" i="17"/>
  <c r="AY204" i="17"/>
  <c r="AZ204" i="17" s="1"/>
  <c r="BX204" i="17"/>
  <c r="BV204" i="17" s="1"/>
  <c r="CB204" i="17"/>
  <c r="CC204" i="17"/>
  <c r="CJ204" i="17"/>
  <c r="CH204" i="17" s="1"/>
  <c r="CL204" i="17"/>
  <c r="CM204" i="17"/>
  <c r="CN204" i="17"/>
  <c r="DK204" i="17"/>
  <c r="O205" i="17"/>
  <c r="T205" i="17"/>
  <c r="R205" i="17" s="1"/>
  <c r="V205" i="17"/>
  <c r="W205" i="17"/>
  <c r="X205" i="17" s="1"/>
  <c r="AV205" i="17"/>
  <c r="AT205" i="17" s="1"/>
  <c r="AX205" i="17"/>
  <c r="AY205" i="17"/>
  <c r="AZ205" i="17" s="1"/>
  <c r="BB205" i="17"/>
  <c r="BX205" i="17"/>
  <c r="BV205" i="17" s="1"/>
  <c r="CB205" i="17"/>
  <c r="CC205" i="17"/>
  <c r="CD205" i="17" s="1"/>
  <c r="CF205" i="17"/>
  <c r="CJ205" i="17"/>
  <c r="CL205" i="17"/>
  <c r="CM205" i="17"/>
  <c r="CN205" i="17"/>
  <c r="CO205" i="17" s="1"/>
  <c r="DK205" i="17"/>
  <c r="O206" i="17"/>
  <c r="T206" i="17"/>
  <c r="R206" i="17" s="1"/>
  <c r="V206" i="17"/>
  <c r="W206" i="17"/>
  <c r="X206" i="17" s="1"/>
  <c r="Z206" i="17"/>
  <c r="AV206" i="17"/>
  <c r="AT206" i="17" s="1"/>
  <c r="AX206" i="17"/>
  <c r="AY206" i="17"/>
  <c r="AZ206" i="17" s="1"/>
  <c r="BB206" i="17"/>
  <c r="BX206" i="17"/>
  <c r="BV206" i="17" s="1"/>
  <c r="CB206" i="17"/>
  <c r="CC206" i="17"/>
  <c r="CD206" i="17" s="1"/>
  <c r="CF206" i="17"/>
  <c r="CJ206" i="17"/>
  <c r="CH206" i="17" s="1"/>
  <c r="CL206" i="17"/>
  <c r="CM206" i="17"/>
  <c r="CN206" i="17"/>
  <c r="CO206" i="17" s="1"/>
  <c r="DK206" i="17"/>
  <c r="O207" i="17"/>
  <c r="T207" i="17"/>
  <c r="R207" i="17" s="1"/>
  <c r="V207" i="17"/>
  <c r="W207" i="17"/>
  <c r="X207" i="17" s="1"/>
  <c r="Z207" i="17"/>
  <c r="AV207" i="17"/>
  <c r="AT207" i="17" s="1"/>
  <c r="AX207" i="17"/>
  <c r="AY207" i="17"/>
  <c r="AZ207" i="17" s="1"/>
  <c r="BB207" i="17"/>
  <c r="BX207" i="17"/>
  <c r="BV207" i="17" s="1"/>
  <c r="CB207" i="17"/>
  <c r="CC207" i="17"/>
  <c r="CD207" i="17" s="1"/>
  <c r="CJ207" i="17"/>
  <c r="CH207" i="17" s="1"/>
  <c r="CL207" i="17"/>
  <c r="CM207" i="17"/>
  <c r="CN207" i="17"/>
  <c r="CO207" i="17" s="1"/>
  <c r="DK207" i="17"/>
  <c r="O208" i="17"/>
  <c r="T208" i="17"/>
  <c r="R208" i="17" s="1"/>
  <c r="V208" i="17"/>
  <c r="W208" i="17"/>
  <c r="X208" i="17" s="1"/>
  <c r="AV208" i="17"/>
  <c r="AX208" i="17"/>
  <c r="AY208" i="17"/>
  <c r="AZ208" i="17" s="1"/>
  <c r="BX208" i="17"/>
  <c r="BV208" i="17" s="1"/>
  <c r="CB208" i="17"/>
  <c r="CC208" i="17"/>
  <c r="CJ208" i="17"/>
  <c r="CH208" i="17" s="1"/>
  <c r="CL208" i="17"/>
  <c r="CM208" i="17"/>
  <c r="CN208" i="17"/>
  <c r="CO208" i="17" s="1"/>
  <c r="DK208" i="17"/>
  <c r="O209" i="17"/>
  <c r="T209" i="17"/>
  <c r="V209" i="17"/>
  <c r="W209" i="17"/>
  <c r="X209" i="17" s="1"/>
  <c r="Z209" i="17"/>
  <c r="AV209" i="17"/>
  <c r="AT209" i="17" s="1"/>
  <c r="AX209" i="17"/>
  <c r="AY209" i="17"/>
  <c r="AZ209" i="17" s="1"/>
  <c r="BB209" i="17" s="1"/>
  <c r="BX209" i="17"/>
  <c r="BV209" i="17" s="1"/>
  <c r="CB209" i="17"/>
  <c r="CC209" i="17"/>
  <c r="CJ209" i="17"/>
  <c r="CH209" i="17" s="1"/>
  <c r="CL209" i="17"/>
  <c r="CM209" i="17"/>
  <c r="CN209" i="17"/>
  <c r="DK209" i="17"/>
  <c r="O210" i="17"/>
  <c r="T210" i="17"/>
  <c r="V210" i="17"/>
  <c r="W210" i="17"/>
  <c r="X210" i="17" s="1"/>
  <c r="AV210" i="17"/>
  <c r="AT210" i="17" s="1"/>
  <c r="AX210" i="17"/>
  <c r="AY210" i="17"/>
  <c r="AZ210" i="17" s="1"/>
  <c r="BX210" i="17"/>
  <c r="BV210" i="17" s="1"/>
  <c r="CB210" i="17"/>
  <c r="CC210" i="17"/>
  <c r="CJ210" i="17"/>
  <c r="CH210" i="17" s="1"/>
  <c r="CL210" i="17"/>
  <c r="CM210" i="17"/>
  <c r="CN210" i="17"/>
  <c r="DK210" i="17"/>
  <c r="O211" i="17"/>
  <c r="T211" i="17"/>
  <c r="R211" i="17" s="1"/>
  <c r="V211" i="17"/>
  <c r="W211" i="17"/>
  <c r="X211" i="17" s="1"/>
  <c r="AV211" i="17"/>
  <c r="AT211" i="17" s="1"/>
  <c r="AX211" i="17"/>
  <c r="AY211" i="17"/>
  <c r="AZ211" i="17" s="1"/>
  <c r="BV211" i="17"/>
  <c r="CB211" i="17"/>
  <c r="CC211" i="17"/>
  <c r="CJ211" i="17"/>
  <c r="CH211" i="17" s="1"/>
  <c r="CL211" i="17"/>
  <c r="CM211" i="17"/>
  <c r="CN211" i="17"/>
  <c r="DK211" i="17"/>
  <c r="O212" i="17"/>
  <c r="T212" i="17"/>
  <c r="V212" i="17"/>
  <c r="W212" i="17"/>
  <c r="X212" i="17" s="1"/>
  <c r="Z212" i="17" s="1"/>
  <c r="AV212" i="17"/>
  <c r="AT212" i="17" s="1"/>
  <c r="AX212" i="17"/>
  <c r="AY212" i="17"/>
  <c r="AZ212" i="17" s="1"/>
  <c r="BX212" i="17"/>
  <c r="BV212" i="17" s="1"/>
  <c r="CB212" i="17"/>
  <c r="CC212" i="17"/>
  <c r="CJ212" i="17"/>
  <c r="CH212" i="17" s="1"/>
  <c r="CL212" i="17"/>
  <c r="CM212" i="17"/>
  <c r="CN212" i="17"/>
  <c r="CO212" i="17" s="1"/>
  <c r="DK212" i="17"/>
  <c r="O213" i="17"/>
  <c r="T213" i="17"/>
  <c r="R213" i="17" s="1"/>
  <c r="V213" i="17"/>
  <c r="W213" i="17"/>
  <c r="X213" i="17" s="1"/>
  <c r="AV213" i="17"/>
  <c r="AT213" i="17" s="1"/>
  <c r="AX213" i="17"/>
  <c r="AY213" i="17"/>
  <c r="AZ213" i="17" s="1"/>
  <c r="BB213" i="17" s="1"/>
  <c r="BX213" i="17"/>
  <c r="CB213" i="17"/>
  <c r="CC213" i="17"/>
  <c r="CD213" i="17" s="1"/>
  <c r="CF213" i="17"/>
  <c r="CJ213" i="17"/>
  <c r="CH213" i="17" s="1"/>
  <c r="CL213" i="17"/>
  <c r="CM213" i="17"/>
  <c r="CN213" i="17"/>
  <c r="CO213" i="17" s="1"/>
  <c r="DK213" i="17"/>
  <c r="O214" i="17"/>
  <c r="T214" i="17"/>
  <c r="R214" i="17" s="1"/>
  <c r="V214" i="17"/>
  <c r="W214" i="17"/>
  <c r="X214" i="17" s="1"/>
  <c r="Z214" i="17" s="1"/>
  <c r="AV214" i="17"/>
  <c r="AT214" i="17" s="1"/>
  <c r="AX214" i="17"/>
  <c r="AY214" i="17"/>
  <c r="AZ214" i="17" s="1"/>
  <c r="BB214" i="17" s="1"/>
  <c r="BX214" i="17"/>
  <c r="CB214" i="17"/>
  <c r="CC214" i="17"/>
  <c r="CD214" i="17" s="1"/>
  <c r="CF214" i="17"/>
  <c r="CJ214" i="17"/>
  <c r="CH214" i="17" s="1"/>
  <c r="CL214" i="17"/>
  <c r="CM214" i="17"/>
  <c r="CN214" i="17"/>
  <c r="CO214" i="17" s="1"/>
  <c r="DK214" i="17"/>
  <c r="O215" i="17"/>
  <c r="T215" i="17"/>
  <c r="R215" i="17" s="1"/>
  <c r="V215" i="17"/>
  <c r="W215" i="17"/>
  <c r="X215" i="17" s="1"/>
  <c r="Z215" i="17"/>
  <c r="AV215" i="17"/>
  <c r="AT215" i="17" s="1"/>
  <c r="AX215" i="17"/>
  <c r="AY215" i="17"/>
  <c r="AZ215" i="17" s="1"/>
  <c r="BB215" i="17"/>
  <c r="BX215" i="17"/>
  <c r="BV215" i="17" s="1"/>
  <c r="CB215" i="17"/>
  <c r="CC215" i="17"/>
  <c r="CD215" i="17" s="1"/>
  <c r="CF215" i="17"/>
  <c r="CJ215" i="17"/>
  <c r="CL215" i="17"/>
  <c r="CM215" i="17"/>
  <c r="CN215" i="17"/>
  <c r="CO215" i="17" s="1"/>
  <c r="DK215" i="17"/>
  <c r="O216" i="17"/>
  <c r="T216" i="17"/>
  <c r="R216" i="17" s="1"/>
  <c r="V216" i="17"/>
  <c r="W216" i="17"/>
  <c r="X216" i="17" s="1"/>
  <c r="Z216" i="17"/>
  <c r="AV216" i="17"/>
  <c r="AT216" i="17" s="1"/>
  <c r="AX216" i="17"/>
  <c r="AY216" i="17"/>
  <c r="AZ216" i="17" s="1"/>
  <c r="BB216" i="17" s="1"/>
  <c r="BX216" i="17"/>
  <c r="CB216" i="17"/>
  <c r="CC216" i="17"/>
  <c r="CD216" i="17" s="1"/>
  <c r="CJ216" i="17"/>
  <c r="CH216" i="17" s="1"/>
  <c r="CL216" i="17"/>
  <c r="CM216" i="17"/>
  <c r="CN216" i="17"/>
  <c r="CO216" i="17" s="1"/>
  <c r="DK216" i="17"/>
  <c r="O217" i="17"/>
  <c r="T217" i="17"/>
  <c r="V217" i="17"/>
  <c r="W217" i="17"/>
  <c r="X217" i="17" s="1"/>
  <c r="AV217" i="17"/>
  <c r="AT217" i="17" s="1"/>
  <c r="AX217" i="17"/>
  <c r="AY217" i="17"/>
  <c r="AZ217" i="17" s="1"/>
  <c r="BB217" i="17"/>
  <c r="BX217" i="17"/>
  <c r="BV217" i="17" s="1"/>
  <c r="CB217" i="17"/>
  <c r="CC217" i="17"/>
  <c r="CD217" i="17" s="1"/>
  <c r="CF217" i="17" s="1"/>
  <c r="CJ217" i="17"/>
  <c r="CH217" i="17" s="1"/>
  <c r="CL217" i="17"/>
  <c r="CM217" i="17"/>
  <c r="CN217" i="17"/>
  <c r="CO217" i="17" s="1"/>
  <c r="DK217" i="17"/>
  <c r="O218" i="17"/>
  <c r="T218" i="17"/>
  <c r="V218" i="17"/>
  <c r="W218" i="17"/>
  <c r="X218" i="17" s="1"/>
  <c r="Z218" i="17" s="1"/>
  <c r="AV218" i="17"/>
  <c r="AT218" i="17" s="1"/>
  <c r="AX218" i="17"/>
  <c r="AY218" i="17"/>
  <c r="AZ218" i="17" s="1"/>
  <c r="BB218" i="17"/>
  <c r="BX218" i="17"/>
  <c r="BV218" i="17" s="1"/>
  <c r="CB218" i="17"/>
  <c r="CC218" i="17"/>
  <c r="CD218" i="17" s="1"/>
  <c r="CJ218" i="17"/>
  <c r="CH218" i="17" s="1"/>
  <c r="CL218" i="17"/>
  <c r="CM218" i="17"/>
  <c r="CN218" i="17"/>
  <c r="DK218" i="17"/>
  <c r="O219" i="17"/>
  <c r="T219" i="17"/>
  <c r="R219" i="17" s="1"/>
  <c r="V219" i="17"/>
  <c r="W219" i="17"/>
  <c r="X219" i="17" s="1"/>
  <c r="Z219" i="17"/>
  <c r="AV219" i="17"/>
  <c r="AT219" i="17" s="1"/>
  <c r="AX219" i="17"/>
  <c r="AY219" i="17"/>
  <c r="AZ219" i="17" s="1"/>
  <c r="BB219" i="17"/>
  <c r="BX219" i="17"/>
  <c r="BV219" i="17" s="1"/>
  <c r="CB219" i="17"/>
  <c r="CC219" i="17"/>
  <c r="CD219" i="17" s="1"/>
  <c r="CJ219" i="17"/>
  <c r="CH219" i="17" s="1"/>
  <c r="CL219" i="17"/>
  <c r="CM219" i="17"/>
  <c r="CN219" i="17"/>
  <c r="DK219" i="17"/>
  <c r="O220" i="17"/>
  <c r="T220" i="17"/>
  <c r="R220" i="17" s="1"/>
  <c r="V220" i="17"/>
  <c r="W220" i="17"/>
  <c r="X220" i="17" s="1"/>
  <c r="Z220" i="17"/>
  <c r="AV220" i="17"/>
  <c r="AT220" i="17" s="1"/>
  <c r="AX220" i="17"/>
  <c r="AY220" i="17"/>
  <c r="AZ220" i="17" s="1"/>
  <c r="BB220" i="17"/>
  <c r="BX220" i="17"/>
  <c r="BV220" i="17" s="1"/>
  <c r="CB220" i="17"/>
  <c r="CC220" i="17"/>
  <c r="CF220" i="17"/>
  <c r="CJ220" i="17"/>
  <c r="CH220" i="17" s="1"/>
  <c r="CL220" i="17"/>
  <c r="CM220" i="17"/>
  <c r="CN220" i="17"/>
  <c r="CO220" i="17" s="1"/>
  <c r="DK220" i="17"/>
  <c r="O221" i="17"/>
  <c r="T221" i="17"/>
  <c r="R221" i="17" s="1"/>
  <c r="V221" i="17"/>
  <c r="W221" i="17"/>
  <c r="X221" i="17" s="1"/>
  <c r="Z221" i="17" s="1"/>
  <c r="AV221" i="17"/>
  <c r="AX221" i="17"/>
  <c r="AY221" i="17"/>
  <c r="AZ221" i="17" s="1"/>
  <c r="BB221" i="17"/>
  <c r="BX221" i="17"/>
  <c r="BV221" i="17" s="1"/>
  <c r="CB221" i="17"/>
  <c r="CC221" i="17"/>
  <c r="CD221" i="17" s="1"/>
  <c r="CF221" i="17" s="1"/>
  <c r="CJ221" i="17"/>
  <c r="CH221" i="17" s="1"/>
  <c r="CL221" i="17"/>
  <c r="CM221" i="17"/>
  <c r="CN221" i="17"/>
  <c r="DK221" i="17"/>
  <c r="O222" i="17"/>
  <c r="T222" i="17"/>
  <c r="V222" i="17"/>
  <c r="W222" i="17"/>
  <c r="X222" i="17" s="1"/>
  <c r="AV222" i="17"/>
  <c r="AT222" i="17" s="1"/>
  <c r="AX222" i="17"/>
  <c r="AY222" i="17"/>
  <c r="AZ222" i="17" s="1"/>
  <c r="BX222" i="17"/>
  <c r="BV222" i="17" s="1"/>
  <c r="CB222" i="17"/>
  <c r="CC222" i="17"/>
  <c r="CJ222" i="17"/>
  <c r="CH222" i="17" s="1"/>
  <c r="CL222" i="17"/>
  <c r="CM222" i="17"/>
  <c r="CN222" i="17"/>
  <c r="DK222" i="17"/>
  <c r="O223" i="17"/>
  <c r="T223" i="17"/>
  <c r="V223" i="17"/>
  <c r="W223" i="17"/>
  <c r="X223" i="17" s="1"/>
  <c r="AV223" i="17"/>
  <c r="AT223" i="17" s="1"/>
  <c r="AX223" i="17"/>
  <c r="AY223" i="17"/>
  <c r="AZ223" i="17" s="1"/>
  <c r="BB223" i="17"/>
  <c r="BX223" i="17"/>
  <c r="BV223" i="17" s="1"/>
  <c r="CB223" i="17"/>
  <c r="CC223" i="17"/>
  <c r="CJ223" i="17"/>
  <c r="CH223" i="17" s="1"/>
  <c r="CL223" i="17"/>
  <c r="CM223" i="17"/>
  <c r="CN223" i="17"/>
  <c r="DK223" i="17"/>
  <c r="O224" i="17"/>
  <c r="T224" i="17"/>
  <c r="R224" i="17" s="1"/>
  <c r="V224" i="17"/>
  <c r="W224" i="17"/>
  <c r="X224" i="17" s="1"/>
  <c r="AV224" i="17"/>
  <c r="AT224" i="17" s="1"/>
  <c r="AX224" i="17"/>
  <c r="AY224" i="17"/>
  <c r="AZ224" i="17" s="1"/>
  <c r="BX224" i="17"/>
  <c r="BV224" i="17" s="1"/>
  <c r="CB224" i="17"/>
  <c r="CC224" i="17"/>
  <c r="CJ224" i="17"/>
  <c r="CH224" i="17" s="1"/>
  <c r="CL224" i="17"/>
  <c r="CM224" i="17"/>
  <c r="CN224" i="17"/>
  <c r="DK224" i="17"/>
  <c r="O225" i="17"/>
  <c r="T225" i="17"/>
  <c r="R225" i="17" s="1"/>
  <c r="V225" i="17"/>
  <c r="W225" i="17"/>
  <c r="X225" i="17" s="1"/>
  <c r="Z225" i="17"/>
  <c r="AV225" i="17"/>
  <c r="AT225" i="17" s="1"/>
  <c r="AX225" i="17"/>
  <c r="AY225" i="17"/>
  <c r="AZ225" i="17" s="1"/>
  <c r="BX225" i="17"/>
  <c r="BV225" i="17" s="1"/>
  <c r="CB225" i="17"/>
  <c r="CC225" i="17"/>
  <c r="CD225" i="17" s="1"/>
  <c r="CF225" i="17"/>
  <c r="CJ225" i="17"/>
  <c r="CH225" i="17" s="1"/>
  <c r="CL225" i="17"/>
  <c r="CM225" i="17"/>
  <c r="CN225" i="17"/>
  <c r="CO225" i="17" s="1"/>
  <c r="DK225" i="17"/>
  <c r="O226" i="17"/>
  <c r="T226" i="17"/>
  <c r="R226" i="17" s="1"/>
  <c r="V226" i="17"/>
  <c r="W226" i="17"/>
  <c r="X226" i="17" s="1"/>
  <c r="Z226" i="17"/>
  <c r="AV226" i="17"/>
  <c r="AT226" i="17" s="1"/>
  <c r="AX226" i="17"/>
  <c r="AY226" i="17"/>
  <c r="AZ226" i="17" s="1"/>
  <c r="BB226" i="17" s="1"/>
  <c r="BX226" i="17"/>
  <c r="CB226" i="17"/>
  <c r="CC226" i="17"/>
  <c r="CD226" i="17" s="1"/>
  <c r="CF226" i="17"/>
  <c r="CJ226" i="17"/>
  <c r="CH226" i="17" s="1"/>
  <c r="CL226" i="17"/>
  <c r="CM226" i="17"/>
  <c r="CN226" i="17"/>
  <c r="CO226" i="17" s="1"/>
  <c r="DK226" i="17"/>
  <c r="O227" i="17"/>
  <c r="T227" i="17"/>
  <c r="R227" i="17" s="1"/>
  <c r="V227" i="17"/>
  <c r="W227" i="17"/>
  <c r="X227" i="17" s="1"/>
  <c r="AV227" i="17"/>
  <c r="AX227" i="17"/>
  <c r="AY227" i="17"/>
  <c r="AZ227" i="17" s="1"/>
  <c r="BB227" i="17" s="1"/>
  <c r="BX227" i="17"/>
  <c r="BV227" i="17" s="1"/>
  <c r="CB227" i="17"/>
  <c r="CC227" i="17"/>
  <c r="CD227" i="17" s="1"/>
  <c r="CF227" i="17" s="1"/>
  <c r="CJ227" i="17"/>
  <c r="CH227" i="17" s="1"/>
  <c r="CL227" i="17"/>
  <c r="CM227" i="17"/>
  <c r="CN227" i="17"/>
  <c r="CO227" i="17" s="1"/>
  <c r="DK227" i="17"/>
  <c r="O228" i="17"/>
  <c r="T228" i="17"/>
  <c r="V228" i="17"/>
  <c r="W228" i="17"/>
  <c r="X228" i="17" s="1"/>
  <c r="Z228" i="17" s="1"/>
  <c r="AV228" i="17"/>
  <c r="AT228" i="17" s="1"/>
  <c r="AX228" i="17"/>
  <c r="AY228" i="17"/>
  <c r="AZ228" i="17" s="1"/>
  <c r="BB228" i="17" s="1"/>
  <c r="BX228" i="17"/>
  <c r="BV228" i="17" s="1"/>
  <c r="CB228" i="17"/>
  <c r="CC228" i="17"/>
  <c r="CD228" i="17" s="1"/>
  <c r="CF228" i="17" s="1"/>
  <c r="CJ228" i="17"/>
  <c r="CH228" i="17" s="1"/>
  <c r="CL228" i="17"/>
  <c r="CM228" i="17"/>
  <c r="CN228" i="17"/>
  <c r="DK228" i="17"/>
  <c r="O229" i="17"/>
  <c r="T229" i="17"/>
  <c r="V229" i="17"/>
  <c r="W229" i="17"/>
  <c r="X229" i="17" s="1"/>
  <c r="AV229" i="17"/>
  <c r="AT229" i="17" s="1"/>
  <c r="AX229" i="17"/>
  <c r="AY229" i="17"/>
  <c r="AZ229" i="17" s="1"/>
  <c r="BX229" i="17"/>
  <c r="BV229" i="17" s="1"/>
  <c r="CB229" i="17"/>
  <c r="CC229" i="17"/>
  <c r="CD229" i="17" s="1"/>
  <c r="CJ229" i="17"/>
  <c r="CH229" i="17" s="1"/>
  <c r="CL229" i="17"/>
  <c r="CM229" i="17"/>
  <c r="CN229" i="17"/>
  <c r="DK229" i="17"/>
  <c r="O230" i="17"/>
  <c r="T230" i="17"/>
  <c r="R230" i="17" s="1"/>
  <c r="V230" i="17"/>
  <c r="W230" i="17"/>
  <c r="X230" i="17" s="1"/>
  <c r="AV230" i="17"/>
  <c r="AT230" i="17" s="1"/>
  <c r="AX230" i="17"/>
  <c r="AY230" i="17"/>
  <c r="AZ230" i="17" s="1"/>
  <c r="BX230" i="17"/>
  <c r="BV230" i="17" s="1"/>
  <c r="CB230" i="17"/>
  <c r="CC230" i="17"/>
  <c r="CF230" i="17"/>
  <c r="CJ230" i="17"/>
  <c r="CH230" i="17" s="1"/>
  <c r="CL230" i="17"/>
  <c r="CM230" i="17"/>
  <c r="CN230" i="17"/>
  <c r="DK230" i="17"/>
  <c r="O231" i="17"/>
  <c r="T231" i="17"/>
  <c r="R231" i="17" s="1"/>
  <c r="V231" i="17"/>
  <c r="W231" i="17"/>
  <c r="X231" i="17" s="1"/>
  <c r="AV231" i="17"/>
  <c r="AT231" i="17" s="1"/>
  <c r="AX231" i="17"/>
  <c r="AY231" i="17"/>
  <c r="AZ231" i="17" s="1"/>
  <c r="BX231" i="17"/>
  <c r="BV231" i="17" s="1"/>
  <c r="CB231" i="17"/>
  <c r="CC231" i="17"/>
  <c r="CJ231" i="17"/>
  <c r="CH231" i="17" s="1"/>
  <c r="CL231" i="17"/>
  <c r="CM231" i="17"/>
  <c r="CN231" i="17"/>
  <c r="DK231" i="17"/>
  <c r="O232" i="17"/>
  <c r="T232" i="17"/>
  <c r="R232" i="17" s="1"/>
  <c r="V232" i="17"/>
  <c r="W232" i="17"/>
  <c r="X232" i="17" s="1"/>
  <c r="Z232" i="17" s="1"/>
  <c r="AV232" i="17"/>
  <c r="AT232" i="17" s="1"/>
  <c r="AX232" i="17"/>
  <c r="AY232" i="17"/>
  <c r="AZ232" i="17" s="1"/>
  <c r="BX232" i="17"/>
  <c r="BV232" i="17" s="1"/>
  <c r="CB232" i="17"/>
  <c r="CC232" i="17"/>
  <c r="CJ232" i="17"/>
  <c r="CH232" i="17" s="1"/>
  <c r="CL232" i="17"/>
  <c r="CM232" i="17"/>
  <c r="CN232" i="17"/>
  <c r="CO232" i="17" s="1"/>
  <c r="DK232" i="17"/>
  <c r="O233" i="17"/>
  <c r="T233" i="17"/>
  <c r="R233" i="17" s="1"/>
  <c r="V233" i="17"/>
  <c r="W233" i="17"/>
  <c r="X233" i="17" s="1"/>
  <c r="AV233" i="17"/>
  <c r="AX233" i="17"/>
  <c r="AY233" i="17"/>
  <c r="AZ233" i="17" s="1"/>
  <c r="BB233" i="17" s="1"/>
  <c r="BX233" i="17"/>
  <c r="BV233" i="17" s="1"/>
  <c r="CB233" i="17"/>
  <c r="CC233" i="17"/>
  <c r="CD233" i="17" s="1"/>
  <c r="CJ233" i="17"/>
  <c r="CH233" i="17" s="1"/>
  <c r="CL233" i="17"/>
  <c r="CM233" i="17"/>
  <c r="CN233" i="17"/>
  <c r="CO233" i="17" s="1"/>
  <c r="DK233" i="17"/>
  <c r="O234" i="17"/>
  <c r="T234" i="17"/>
  <c r="V234" i="17"/>
  <c r="W234" i="17"/>
  <c r="X234" i="17" s="1"/>
  <c r="Z234" i="17" s="1"/>
  <c r="AV234" i="17"/>
  <c r="AT234" i="17" s="1"/>
  <c r="AX234" i="17"/>
  <c r="AY234" i="17"/>
  <c r="AZ234" i="17" s="1"/>
  <c r="BB234" i="17" s="1"/>
  <c r="BX234" i="17"/>
  <c r="BV234" i="17" s="1"/>
  <c r="CB234" i="17"/>
  <c r="CC234" i="17"/>
  <c r="CF234" i="17"/>
  <c r="CJ234" i="17"/>
  <c r="CH234" i="17" s="1"/>
  <c r="CL234" i="17"/>
  <c r="CM234" i="17"/>
  <c r="CN234" i="17"/>
  <c r="CO234" i="17" s="1"/>
  <c r="DK234" i="17"/>
  <c r="O235" i="17"/>
  <c r="T235" i="17"/>
  <c r="V235" i="17"/>
  <c r="W235" i="17"/>
  <c r="X235" i="17" s="1"/>
  <c r="AV235" i="17"/>
  <c r="AT235" i="17" s="1"/>
  <c r="AX235" i="17"/>
  <c r="AY235" i="17"/>
  <c r="AZ235" i="17" s="1"/>
  <c r="BX235" i="17"/>
  <c r="BV235" i="17" s="1"/>
  <c r="CB235" i="17"/>
  <c r="CC235" i="17"/>
  <c r="CJ235" i="17"/>
  <c r="CH235" i="17" s="1"/>
  <c r="CL235" i="17"/>
  <c r="CM235" i="17"/>
  <c r="CN235" i="17"/>
  <c r="CO235" i="17" s="1"/>
  <c r="DK235" i="17"/>
  <c r="O236" i="17"/>
  <c r="T236" i="17"/>
  <c r="V236" i="17"/>
  <c r="W236" i="17"/>
  <c r="X236" i="17" s="1"/>
  <c r="AV236" i="17"/>
  <c r="AT236" i="17" s="1"/>
  <c r="AX236" i="17"/>
  <c r="AY236" i="17"/>
  <c r="AZ236" i="17" s="1"/>
  <c r="BX236" i="17"/>
  <c r="BV236" i="17" s="1"/>
  <c r="CB236" i="17"/>
  <c r="CC236" i="17"/>
  <c r="CD236" i="17" s="1"/>
  <c r="CF236" i="17" s="1"/>
  <c r="CJ236" i="17"/>
  <c r="CH236" i="17" s="1"/>
  <c r="CL236" i="17"/>
  <c r="CM236" i="17"/>
  <c r="CN236" i="17"/>
  <c r="CO236" i="17" s="1"/>
  <c r="DK236" i="17"/>
  <c r="O237" i="17"/>
  <c r="T237" i="17"/>
  <c r="V237" i="17"/>
  <c r="W237" i="17"/>
  <c r="X237" i="17" s="1"/>
  <c r="AV237" i="17"/>
  <c r="AT237" i="17" s="1"/>
  <c r="AX237" i="17"/>
  <c r="AY237" i="17"/>
  <c r="AZ237" i="17" s="1"/>
  <c r="BX237" i="17"/>
  <c r="BV237" i="17" s="1"/>
  <c r="CB237" i="17"/>
  <c r="CC237" i="17"/>
  <c r="CJ237" i="17"/>
  <c r="CH237" i="17" s="1"/>
  <c r="CL237" i="17"/>
  <c r="CM237" i="17"/>
  <c r="CN237" i="17"/>
  <c r="DK237" i="17"/>
  <c r="O238" i="17"/>
  <c r="T238" i="17"/>
  <c r="V238" i="17"/>
  <c r="W238" i="17"/>
  <c r="X238" i="17" s="1"/>
  <c r="AV238" i="17"/>
  <c r="AT238" i="17" s="1"/>
  <c r="AX238" i="17"/>
  <c r="AY238" i="17"/>
  <c r="AZ238" i="17" s="1"/>
  <c r="BX238" i="17"/>
  <c r="BV238" i="17" s="1"/>
  <c r="CB238" i="17"/>
  <c r="CC238" i="17"/>
  <c r="CD238" i="17" s="1"/>
  <c r="CF238" i="17" s="1"/>
  <c r="CJ238" i="17"/>
  <c r="CH238" i="17" s="1"/>
  <c r="CL238" i="17"/>
  <c r="CM238" i="17"/>
  <c r="CN238" i="17"/>
  <c r="DK238" i="17"/>
  <c r="O239" i="17"/>
  <c r="T239" i="17"/>
  <c r="R239" i="17" s="1"/>
  <c r="V239" i="17"/>
  <c r="W239" i="17"/>
  <c r="X239" i="17" s="1"/>
  <c r="AV239" i="17"/>
  <c r="AT239" i="17" s="1"/>
  <c r="AX239" i="17"/>
  <c r="AY239" i="17"/>
  <c r="AZ239" i="17" s="1"/>
  <c r="BX239" i="17"/>
  <c r="BV239" i="17" s="1"/>
  <c r="CB239" i="17"/>
  <c r="CC239" i="17"/>
  <c r="CJ239" i="17"/>
  <c r="CH239" i="17" s="1"/>
  <c r="CL239" i="17"/>
  <c r="CM239" i="17"/>
  <c r="CN239" i="17"/>
  <c r="DK239" i="17"/>
  <c r="O240" i="17"/>
  <c r="T240" i="17"/>
  <c r="V240" i="17"/>
  <c r="W240" i="17"/>
  <c r="X240" i="17" s="1"/>
  <c r="Z240" i="17" s="1"/>
  <c r="AV240" i="17"/>
  <c r="AT240" i="17" s="1"/>
  <c r="AX240" i="17"/>
  <c r="AY240" i="17"/>
  <c r="AZ240" i="17" s="1"/>
  <c r="BX240" i="17"/>
  <c r="BV240" i="17" s="1"/>
  <c r="CB240" i="17"/>
  <c r="CC240" i="17"/>
  <c r="CJ240" i="17"/>
  <c r="CH240" i="17" s="1"/>
  <c r="CL240" i="17"/>
  <c r="CM240" i="17"/>
  <c r="CN240" i="17"/>
  <c r="CO240" i="17" s="1"/>
  <c r="DK240" i="17"/>
  <c r="O241" i="17"/>
  <c r="T241" i="17"/>
  <c r="R241" i="17" s="1"/>
  <c r="V241" i="17"/>
  <c r="W241" i="17"/>
  <c r="X241" i="17" s="1"/>
  <c r="AV241" i="17"/>
  <c r="AT241" i="17" s="1"/>
  <c r="AX241" i="17"/>
  <c r="AY241" i="17"/>
  <c r="AZ241" i="17" s="1"/>
  <c r="BB241" i="17" s="1"/>
  <c r="BX241" i="17"/>
  <c r="BV241" i="17" s="1"/>
  <c r="CB241" i="17"/>
  <c r="CC241" i="17"/>
  <c r="CD241" i="17" s="1"/>
  <c r="CJ241" i="17"/>
  <c r="CH241" i="17" s="1"/>
  <c r="CL241" i="17"/>
  <c r="CM241" i="17"/>
  <c r="CN241" i="17"/>
  <c r="CO241" i="17" s="1"/>
  <c r="DK241" i="17"/>
  <c r="O242" i="17"/>
  <c r="T242" i="17"/>
  <c r="R242" i="17" s="1"/>
  <c r="V242" i="17"/>
  <c r="W242" i="17"/>
  <c r="X242" i="17" s="1"/>
  <c r="Z242" i="17"/>
  <c r="AV242" i="17"/>
  <c r="AT242" i="17" s="1"/>
  <c r="AX242" i="17"/>
  <c r="AY242" i="17"/>
  <c r="AZ242" i="17" s="1"/>
  <c r="BB242" i="17" s="1"/>
  <c r="BX242" i="17"/>
  <c r="BV242" i="17" s="1"/>
  <c r="CB242" i="17"/>
  <c r="CC242" i="17"/>
  <c r="CD242" i="17" s="1"/>
  <c r="CF242" i="17" s="1"/>
  <c r="CJ242" i="17"/>
  <c r="CH242" i="17" s="1"/>
  <c r="CL242" i="17"/>
  <c r="CM242" i="17"/>
  <c r="CN242" i="17"/>
  <c r="CO242" i="17" s="1"/>
  <c r="DK242" i="17"/>
  <c r="O243" i="17"/>
  <c r="T243" i="17"/>
  <c r="V243" i="17"/>
  <c r="W243" i="17"/>
  <c r="X243" i="17" s="1"/>
  <c r="Z243" i="17" s="1"/>
  <c r="AV243" i="17"/>
  <c r="AT243" i="17" s="1"/>
  <c r="AX243" i="17"/>
  <c r="AY243" i="17"/>
  <c r="AZ243" i="17" s="1"/>
  <c r="BB243" i="17" s="1"/>
  <c r="BX243" i="17"/>
  <c r="BV243" i="17" s="1"/>
  <c r="CB243" i="17"/>
  <c r="CC243" i="17"/>
  <c r="CD243" i="17" s="1"/>
  <c r="CF243" i="17" s="1"/>
  <c r="CJ243" i="17"/>
  <c r="CH243" i="17" s="1"/>
  <c r="CL243" i="17"/>
  <c r="CM243" i="17"/>
  <c r="CN243" i="17"/>
  <c r="CO243" i="17" s="1"/>
  <c r="DK243" i="17"/>
  <c r="O244" i="17"/>
  <c r="T244" i="17"/>
  <c r="R244" i="17" s="1"/>
  <c r="V244" i="17"/>
  <c r="W244" i="17"/>
  <c r="X244" i="17" s="1"/>
  <c r="Z244" i="17" s="1"/>
  <c r="AV244" i="17"/>
  <c r="AT244" i="17" s="1"/>
  <c r="AX244" i="17"/>
  <c r="AY244" i="17"/>
  <c r="AZ244" i="17" s="1"/>
  <c r="BB244" i="17" s="1"/>
  <c r="BX244" i="17"/>
  <c r="CB244" i="17"/>
  <c r="CC244" i="17"/>
  <c r="CD244" i="17" s="1"/>
  <c r="CF244" i="17" s="1"/>
  <c r="CJ244" i="17"/>
  <c r="CH244" i="17" s="1"/>
  <c r="CL244" i="17"/>
  <c r="CM244" i="17"/>
  <c r="CN244" i="17"/>
  <c r="DK244" i="17"/>
  <c r="O245" i="17"/>
  <c r="T245" i="17"/>
  <c r="V245" i="17"/>
  <c r="W245" i="17"/>
  <c r="X245" i="17" s="1"/>
  <c r="AV245" i="17"/>
  <c r="AT245" i="17" s="1"/>
  <c r="AX245" i="17"/>
  <c r="AY245" i="17"/>
  <c r="AZ245" i="17" s="1"/>
  <c r="BX245" i="17"/>
  <c r="BV245" i="17" s="1"/>
  <c r="CB245" i="17"/>
  <c r="CC245" i="17"/>
  <c r="CJ245" i="17"/>
  <c r="CH245" i="17" s="1"/>
  <c r="CL245" i="17"/>
  <c r="CM245" i="17"/>
  <c r="CN245" i="17"/>
  <c r="DK245" i="17"/>
  <c r="O246" i="17"/>
  <c r="T246" i="17"/>
  <c r="R246" i="17" s="1"/>
  <c r="V246" i="17"/>
  <c r="W246" i="17"/>
  <c r="X246" i="17" s="1"/>
  <c r="AV246" i="17"/>
  <c r="AT246" i="17" s="1"/>
  <c r="AX246" i="17"/>
  <c r="AY246" i="17"/>
  <c r="AZ246" i="17" s="1"/>
  <c r="BB246" i="17"/>
  <c r="BX246" i="17"/>
  <c r="BV246" i="17" s="1"/>
  <c r="CB246" i="17"/>
  <c r="CC246" i="17"/>
  <c r="CJ246" i="17"/>
  <c r="CH246" i="17" s="1"/>
  <c r="CL246" i="17"/>
  <c r="CM246" i="17"/>
  <c r="CN246" i="17"/>
  <c r="DK246" i="17"/>
  <c r="O247" i="17"/>
  <c r="T247" i="17"/>
  <c r="R247" i="17" s="1"/>
  <c r="V247" i="17"/>
  <c r="W247" i="17"/>
  <c r="X247" i="17" s="1"/>
  <c r="AV247" i="17"/>
  <c r="AT247" i="17" s="1"/>
  <c r="AX247" i="17"/>
  <c r="AY247" i="17"/>
  <c r="AZ247" i="17" s="1"/>
  <c r="BX247" i="17"/>
  <c r="BV247" i="17" s="1"/>
  <c r="CB247" i="17"/>
  <c r="CC247" i="17"/>
  <c r="CJ247" i="17"/>
  <c r="CH247" i="17" s="1"/>
  <c r="CL247" i="17"/>
  <c r="CM247" i="17"/>
  <c r="CN247" i="17"/>
  <c r="DK247" i="17"/>
  <c r="O248" i="17"/>
  <c r="T248" i="17"/>
  <c r="V248" i="17"/>
  <c r="W248" i="17"/>
  <c r="X248" i="17" s="1"/>
  <c r="Z248" i="17" s="1"/>
  <c r="AV248" i="17"/>
  <c r="AT248" i="17" s="1"/>
  <c r="AX248" i="17"/>
  <c r="AY248" i="17"/>
  <c r="AZ248" i="17" s="1"/>
  <c r="BX248" i="17"/>
  <c r="BV248" i="17" s="1"/>
  <c r="CB248" i="17"/>
  <c r="CC248" i="17"/>
  <c r="CJ248" i="17"/>
  <c r="CH248" i="17" s="1"/>
  <c r="CL248" i="17"/>
  <c r="CM248" i="17"/>
  <c r="CN248" i="17"/>
  <c r="CO248" i="17" s="1"/>
  <c r="DK248" i="17"/>
  <c r="O249" i="17"/>
  <c r="T249" i="17"/>
  <c r="R249" i="17" s="1"/>
  <c r="V249" i="17"/>
  <c r="W249" i="17"/>
  <c r="X249" i="17" s="1"/>
  <c r="AV249" i="17"/>
  <c r="AX249" i="17"/>
  <c r="AY249" i="17"/>
  <c r="AZ249" i="17" s="1"/>
  <c r="BB249" i="17" s="1"/>
  <c r="BX249" i="17"/>
  <c r="BV249" i="17" s="1"/>
  <c r="CB249" i="17"/>
  <c r="CC249" i="17"/>
  <c r="CD249" i="17" s="1"/>
  <c r="CJ249" i="17"/>
  <c r="CH249" i="17" s="1"/>
  <c r="CL249" i="17"/>
  <c r="CM249" i="17"/>
  <c r="CN249" i="17"/>
  <c r="DK249" i="17"/>
  <c r="O250" i="17"/>
  <c r="T250" i="17"/>
  <c r="R250" i="17" s="1"/>
  <c r="V250" i="17"/>
  <c r="W250" i="17"/>
  <c r="X250" i="17" s="1"/>
  <c r="AV250" i="17"/>
  <c r="AT250" i="17" s="1"/>
  <c r="AX250" i="17"/>
  <c r="AY250" i="17"/>
  <c r="AZ250" i="17" s="1"/>
  <c r="BX250" i="17"/>
  <c r="BV250" i="17" s="1"/>
  <c r="CB250" i="17"/>
  <c r="CC250" i="17"/>
  <c r="CJ250" i="17"/>
  <c r="CH250" i="17" s="1"/>
  <c r="CL250" i="17"/>
  <c r="CM250" i="17"/>
  <c r="CN250" i="17"/>
  <c r="DK250" i="17"/>
  <c r="O251" i="17"/>
  <c r="T251" i="17"/>
  <c r="R251" i="17" s="1"/>
  <c r="V251" i="17"/>
  <c r="W251" i="17"/>
  <c r="X251" i="17" s="1"/>
  <c r="AV251" i="17"/>
  <c r="AT251" i="17" s="1"/>
  <c r="AX251" i="17"/>
  <c r="AY251" i="17"/>
  <c r="AZ251" i="17" s="1"/>
  <c r="BX251" i="17"/>
  <c r="BV251" i="17" s="1"/>
  <c r="CB251" i="17"/>
  <c r="CC251" i="17"/>
  <c r="CD251" i="17" s="1"/>
  <c r="CF251" i="17" s="1"/>
  <c r="CJ251" i="17"/>
  <c r="CH251" i="17" s="1"/>
  <c r="CL251" i="17"/>
  <c r="CM251" i="17"/>
  <c r="CN251" i="17"/>
  <c r="CO251" i="17" s="1"/>
  <c r="DK251" i="17"/>
  <c r="O252" i="17"/>
  <c r="T252" i="17"/>
  <c r="V252" i="17"/>
  <c r="W252" i="17"/>
  <c r="X252" i="17" s="1"/>
  <c r="Z252" i="17" s="1"/>
  <c r="AV252" i="17"/>
  <c r="AT252" i="17" s="1"/>
  <c r="AX252" i="17"/>
  <c r="AY252" i="17"/>
  <c r="AZ252" i="17" s="1"/>
  <c r="BB252" i="17"/>
  <c r="BX252" i="17"/>
  <c r="BV252" i="17" s="1"/>
  <c r="CB252" i="17"/>
  <c r="CC252" i="17"/>
  <c r="CD252" i="17" s="1"/>
  <c r="CF252" i="17"/>
  <c r="CJ252" i="17"/>
  <c r="CH252" i="17" s="1"/>
  <c r="CL252" i="17"/>
  <c r="CM252" i="17"/>
  <c r="CN252" i="17"/>
  <c r="CO252" i="17" s="1"/>
  <c r="DK252" i="17"/>
  <c r="O253" i="17"/>
  <c r="T253" i="17"/>
  <c r="V253" i="17"/>
  <c r="W253" i="17"/>
  <c r="X253" i="17" s="1"/>
  <c r="AV253" i="17"/>
  <c r="AT253" i="17" s="1"/>
  <c r="AX253" i="17"/>
  <c r="AY253" i="17"/>
  <c r="AZ253" i="17" s="1"/>
  <c r="BB253" i="17"/>
  <c r="BX253" i="17"/>
  <c r="BV253" i="17" s="1"/>
  <c r="CB253" i="17"/>
  <c r="CC253" i="17"/>
  <c r="CF253" i="17"/>
  <c r="CJ253" i="17"/>
  <c r="CH253" i="17" s="1"/>
  <c r="CL253" i="17"/>
  <c r="CM253" i="17"/>
  <c r="CN253" i="17"/>
  <c r="DK253" i="17"/>
  <c r="O254" i="17"/>
  <c r="T254" i="17"/>
  <c r="R254" i="17" s="1"/>
  <c r="V254" i="17"/>
  <c r="W254" i="17"/>
  <c r="X254" i="17" s="1"/>
  <c r="Z254" i="17"/>
  <c r="AV254" i="17"/>
  <c r="AT254" i="17" s="1"/>
  <c r="AX254" i="17"/>
  <c r="AY254" i="17"/>
  <c r="AZ254" i="17" s="1"/>
  <c r="BB254" i="17"/>
  <c r="BX254" i="17"/>
  <c r="BV254" i="17" s="1"/>
  <c r="CB254" i="17"/>
  <c r="CC254" i="17"/>
  <c r="CJ254" i="17"/>
  <c r="CH254" i="17" s="1"/>
  <c r="CL254" i="17"/>
  <c r="CM254" i="17"/>
  <c r="CN254" i="17"/>
  <c r="CO254" i="17" s="1"/>
  <c r="DK254" i="17"/>
  <c r="O255" i="17"/>
  <c r="T255" i="17"/>
  <c r="V255" i="17"/>
  <c r="W255" i="17"/>
  <c r="X255" i="17" s="1"/>
  <c r="Z255" i="17"/>
  <c r="AV255" i="17"/>
  <c r="AT255" i="17" s="1"/>
  <c r="AX255" i="17"/>
  <c r="AY255" i="17"/>
  <c r="AZ255" i="17" s="1"/>
  <c r="BB255" i="17"/>
  <c r="BX255" i="17"/>
  <c r="BV255" i="17" s="1"/>
  <c r="CB255" i="17"/>
  <c r="CC255" i="17"/>
  <c r="CJ255" i="17"/>
  <c r="CH255" i="17" s="1"/>
  <c r="CL255" i="17"/>
  <c r="CM255" i="17"/>
  <c r="CN255" i="17"/>
  <c r="DK255" i="17"/>
  <c r="O256" i="17"/>
  <c r="T256" i="17"/>
  <c r="R256" i="17" s="1"/>
  <c r="V256" i="17"/>
  <c r="W256" i="17"/>
  <c r="X256" i="17" s="1"/>
  <c r="AV256" i="17"/>
  <c r="AT256" i="17" s="1"/>
  <c r="AX256" i="17"/>
  <c r="AY256" i="17"/>
  <c r="AZ256" i="17" s="1"/>
  <c r="BX256" i="17"/>
  <c r="BV256" i="17" s="1"/>
  <c r="CB256" i="17"/>
  <c r="CC256" i="17"/>
  <c r="CJ256" i="17"/>
  <c r="CH256" i="17" s="1"/>
  <c r="CL256" i="17"/>
  <c r="CM256" i="17"/>
  <c r="CN256" i="17"/>
  <c r="CO256" i="17" s="1"/>
  <c r="DK256" i="17"/>
  <c r="O257" i="17"/>
  <c r="T257" i="17"/>
  <c r="R257" i="17" s="1"/>
  <c r="V257" i="17"/>
  <c r="W257" i="17"/>
  <c r="X257" i="17" s="1"/>
  <c r="Z257" i="17"/>
  <c r="AV257" i="17"/>
  <c r="AT257" i="17" s="1"/>
  <c r="AX257" i="17"/>
  <c r="AY257" i="17"/>
  <c r="AZ257" i="17" s="1"/>
  <c r="BB257" i="17"/>
  <c r="BX257" i="17"/>
  <c r="CB257" i="17"/>
  <c r="CC257" i="17"/>
  <c r="CD257" i="17" s="1"/>
  <c r="CF257" i="17"/>
  <c r="CJ257" i="17"/>
  <c r="CH257" i="17" s="1"/>
  <c r="CL257" i="17"/>
  <c r="CM257" i="17"/>
  <c r="CN257" i="17"/>
  <c r="CO257" i="17" s="1"/>
  <c r="DK257" i="17"/>
  <c r="O258" i="17"/>
  <c r="T258" i="17"/>
  <c r="R258" i="17" s="1"/>
  <c r="V258" i="17"/>
  <c r="W258" i="17"/>
  <c r="X258" i="17" s="1"/>
  <c r="Z258" i="17"/>
  <c r="AV258" i="17"/>
  <c r="AT258" i="17" s="1"/>
  <c r="AX258" i="17"/>
  <c r="AY258" i="17"/>
  <c r="AZ258" i="17" s="1"/>
  <c r="BB258" i="17"/>
  <c r="BX258" i="17"/>
  <c r="BV258" i="17" s="1"/>
  <c r="CB258" i="17"/>
  <c r="CC258" i="17"/>
  <c r="CD258" i="17" s="1"/>
  <c r="CF258" i="17"/>
  <c r="CJ258" i="17"/>
  <c r="CH258" i="17" s="1"/>
  <c r="CL258" i="17"/>
  <c r="CM258" i="17"/>
  <c r="CN258" i="17"/>
  <c r="CO258" i="17" s="1"/>
  <c r="DK258" i="17"/>
  <c r="O259" i="17"/>
  <c r="T259" i="17"/>
  <c r="V259" i="17"/>
  <c r="W259" i="17"/>
  <c r="X259" i="17" s="1"/>
  <c r="Z259" i="17"/>
  <c r="AV259" i="17"/>
  <c r="AT259" i="17" s="1"/>
  <c r="AX259" i="17"/>
  <c r="AY259" i="17"/>
  <c r="AZ259" i="17" s="1"/>
  <c r="BB259" i="17"/>
  <c r="BX259" i="17"/>
  <c r="BV259" i="17" s="1"/>
  <c r="CB259" i="17"/>
  <c r="CC259" i="17"/>
  <c r="CD259" i="17" s="1"/>
  <c r="CF259" i="17"/>
  <c r="CJ259" i="17"/>
  <c r="CH259" i="17" s="1"/>
  <c r="CL259" i="17"/>
  <c r="CM259" i="17"/>
  <c r="CN259" i="17"/>
  <c r="CO259" i="17" s="1"/>
  <c r="DK259" i="17"/>
  <c r="O260" i="17"/>
  <c r="T260" i="17"/>
  <c r="V260" i="17"/>
  <c r="W260" i="17"/>
  <c r="X260" i="17" s="1"/>
  <c r="Z260" i="17"/>
  <c r="AV260" i="17"/>
  <c r="AT260" i="17" s="1"/>
  <c r="AX260" i="17"/>
  <c r="AY260" i="17"/>
  <c r="AZ260" i="17" s="1"/>
  <c r="BB260" i="17"/>
  <c r="BX260" i="17"/>
  <c r="BV260" i="17" s="1"/>
  <c r="CB260" i="17"/>
  <c r="CC260" i="17"/>
  <c r="CD260" i="17" s="1"/>
  <c r="CF260" i="17" s="1"/>
  <c r="CJ260" i="17"/>
  <c r="CH260" i="17" s="1"/>
  <c r="CL260" i="17"/>
  <c r="CM260" i="17"/>
  <c r="CN260" i="17"/>
  <c r="DK260" i="17"/>
  <c r="O261" i="17"/>
  <c r="T261" i="17"/>
  <c r="V261" i="17"/>
  <c r="W261" i="17"/>
  <c r="X261" i="17" s="1"/>
  <c r="Z261" i="17"/>
  <c r="AV261" i="17"/>
  <c r="AT261" i="17" s="1"/>
  <c r="AX261" i="17"/>
  <c r="AY261" i="17"/>
  <c r="AZ261" i="17" s="1"/>
  <c r="BB261" i="17"/>
  <c r="BX261" i="17"/>
  <c r="BV261" i="17" s="1"/>
  <c r="CB261" i="17"/>
  <c r="CC261" i="17"/>
  <c r="CJ261" i="17"/>
  <c r="CH261" i="17" s="1"/>
  <c r="CL261" i="17"/>
  <c r="CM261" i="17"/>
  <c r="CN261" i="17"/>
  <c r="DK261" i="17"/>
  <c r="O262" i="17"/>
  <c r="T262" i="17"/>
  <c r="R262" i="17" s="1"/>
  <c r="V262" i="17"/>
  <c r="W262" i="17"/>
  <c r="X262" i="17" s="1"/>
  <c r="Z262" i="17"/>
  <c r="AV262" i="17"/>
  <c r="AT262" i="17" s="1"/>
  <c r="AX262" i="17"/>
  <c r="AY262" i="17"/>
  <c r="AZ262" i="17" s="1"/>
  <c r="BB262" i="17"/>
  <c r="BX262" i="17"/>
  <c r="BV262" i="17" s="1"/>
  <c r="CB262" i="17"/>
  <c r="CC262" i="17"/>
  <c r="CF262" i="17"/>
  <c r="CJ262" i="17"/>
  <c r="CH262" i="17" s="1"/>
  <c r="CL262" i="17"/>
  <c r="CM262" i="17"/>
  <c r="CN262" i="17"/>
  <c r="CO262" i="17" s="1"/>
  <c r="DK262" i="17"/>
  <c r="O263" i="17"/>
  <c r="T263" i="17"/>
  <c r="R263" i="17" s="1"/>
  <c r="V263" i="17"/>
  <c r="W263" i="17"/>
  <c r="X263" i="17" s="1"/>
  <c r="AV263" i="17"/>
  <c r="AT263" i="17" s="1"/>
  <c r="AX263" i="17"/>
  <c r="AY263" i="17"/>
  <c r="AZ263" i="17" s="1"/>
  <c r="BB263" i="17"/>
  <c r="BX263" i="17"/>
  <c r="BV263" i="17" s="1"/>
  <c r="CB263" i="17"/>
  <c r="CC263" i="17"/>
  <c r="CJ263" i="17"/>
  <c r="CH263" i="17" s="1"/>
  <c r="CL263" i="17"/>
  <c r="CM263" i="17"/>
  <c r="CN263" i="17"/>
  <c r="DK263" i="17"/>
  <c r="O264" i="17"/>
  <c r="T264" i="17"/>
  <c r="V264" i="17"/>
  <c r="W264" i="17"/>
  <c r="X264" i="17" s="1"/>
  <c r="Z264" i="17" s="1"/>
  <c r="AV264" i="17"/>
  <c r="AT264" i="17" s="1"/>
  <c r="AX264" i="17"/>
  <c r="AY264" i="17"/>
  <c r="AZ264" i="17" s="1"/>
  <c r="BB264" i="17" s="1"/>
  <c r="BX264" i="17"/>
  <c r="BV264" i="17" s="1"/>
  <c r="CB264" i="17"/>
  <c r="CC264" i="17"/>
  <c r="CJ264" i="17"/>
  <c r="CH264" i="17" s="1"/>
  <c r="CL264" i="17"/>
  <c r="CM264" i="17"/>
  <c r="CN264" i="17"/>
  <c r="CO264" i="17" s="1"/>
  <c r="DK264" i="17"/>
  <c r="O265" i="17"/>
  <c r="T265" i="17"/>
  <c r="R265" i="17" s="1"/>
  <c r="V265" i="17"/>
  <c r="W265" i="17"/>
  <c r="X265" i="17" s="1"/>
  <c r="Z265" i="17" s="1"/>
  <c r="AV265" i="17"/>
  <c r="AT265" i="17" s="1"/>
  <c r="AX265" i="17"/>
  <c r="AY265" i="17"/>
  <c r="AZ265" i="17" s="1"/>
  <c r="BB265" i="17" s="1"/>
  <c r="BX265" i="17"/>
  <c r="BV265" i="17" s="1"/>
  <c r="CB265" i="17"/>
  <c r="CC265" i="17"/>
  <c r="CD265" i="17" s="1"/>
  <c r="CJ265" i="17"/>
  <c r="CH265" i="17" s="1"/>
  <c r="CL265" i="17"/>
  <c r="CM265" i="17"/>
  <c r="CN265" i="17"/>
  <c r="CO265" i="17" s="1"/>
  <c r="DK265" i="17"/>
  <c r="O266" i="17"/>
  <c r="T266" i="17"/>
  <c r="R266" i="17" s="1"/>
  <c r="V266" i="17"/>
  <c r="W266" i="17"/>
  <c r="X266" i="17" s="1"/>
  <c r="Z266" i="17"/>
  <c r="AV266" i="17"/>
  <c r="AT266" i="17" s="1"/>
  <c r="AX266" i="17"/>
  <c r="AY266" i="17"/>
  <c r="AZ266" i="17" s="1"/>
  <c r="BB266" i="17"/>
  <c r="BX266" i="17"/>
  <c r="CB266" i="17"/>
  <c r="CC266" i="17"/>
  <c r="CD266" i="17" s="1"/>
  <c r="CF266" i="17"/>
  <c r="CJ266" i="17"/>
  <c r="CH266" i="17" s="1"/>
  <c r="CL266" i="17"/>
  <c r="CM266" i="17"/>
  <c r="CN266" i="17"/>
  <c r="CO266" i="17" s="1"/>
  <c r="DK266" i="17"/>
  <c r="O267" i="17"/>
  <c r="T267" i="17"/>
  <c r="V267" i="17"/>
  <c r="W267" i="17"/>
  <c r="X267" i="17" s="1"/>
  <c r="Z267" i="17"/>
  <c r="AV267" i="17"/>
  <c r="AT267" i="17" s="1"/>
  <c r="AX267" i="17"/>
  <c r="AY267" i="17"/>
  <c r="AZ267" i="17" s="1"/>
  <c r="BB267" i="17" s="1"/>
  <c r="BX267" i="17"/>
  <c r="BV267" i="17" s="1"/>
  <c r="CB267" i="17"/>
  <c r="CC267" i="17"/>
  <c r="CF267" i="17"/>
  <c r="CJ267" i="17"/>
  <c r="CH267" i="17" s="1"/>
  <c r="CL267" i="17"/>
  <c r="CM267" i="17"/>
  <c r="CN267" i="17"/>
  <c r="DK267" i="17"/>
  <c r="O268" i="17"/>
  <c r="T268" i="17"/>
  <c r="R268" i="17" s="1"/>
  <c r="V268" i="17"/>
  <c r="W268" i="17"/>
  <c r="X268" i="17" s="1"/>
  <c r="Z268" i="17" s="1"/>
  <c r="AV268" i="17"/>
  <c r="AT268" i="17" s="1"/>
  <c r="AX268" i="17"/>
  <c r="AY268" i="17"/>
  <c r="AZ268" i="17" s="1"/>
  <c r="BX268" i="17"/>
  <c r="BV268" i="17" s="1"/>
  <c r="CB268" i="17"/>
  <c r="CC268" i="17"/>
  <c r="CD268" i="17" s="1"/>
  <c r="CF268" i="17" s="1"/>
  <c r="CJ268" i="17"/>
  <c r="CH268" i="17" s="1"/>
  <c r="CL268" i="17"/>
  <c r="CM268" i="17"/>
  <c r="CN268" i="17"/>
  <c r="CO268" i="17" s="1"/>
  <c r="DK268" i="17"/>
  <c r="O269" i="17"/>
  <c r="T269" i="17"/>
  <c r="V269" i="17"/>
  <c r="W269" i="17"/>
  <c r="X269" i="17" s="1"/>
  <c r="AV269" i="17"/>
  <c r="AT269" i="17" s="1"/>
  <c r="AX269" i="17"/>
  <c r="AY269" i="17"/>
  <c r="AZ269" i="17" s="1"/>
  <c r="BX269" i="17"/>
  <c r="BV269" i="17" s="1"/>
  <c r="CB269" i="17"/>
  <c r="CC269" i="17"/>
  <c r="CJ269" i="17"/>
  <c r="CH269" i="17" s="1"/>
  <c r="CL269" i="17"/>
  <c r="CM269" i="17"/>
  <c r="CN269" i="17"/>
  <c r="DK269" i="17"/>
  <c r="O270" i="17"/>
  <c r="T270" i="17"/>
  <c r="V270" i="17"/>
  <c r="W270" i="17"/>
  <c r="X270" i="17" s="1"/>
  <c r="AV270" i="17"/>
  <c r="AT270" i="17" s="1"/>
  <c r="AX270" i="17"/>
  <c r="AY270" i="17"/>
  <c r="AZ270" i="17" s="1"/>
  <c r="BX270" i="17"/>
  <c r="BV270" i="17" s="1"/>
  <c r="CB270" i="17"/>
  <c r="CC270" i="17"/>
  <c r="CJ270" i="17"/>
  <c r="CH270" i="17" s="1"/>
  <c r="CL270" i="17"/>
  <c r="CM270" i="17"/>
  <c r="CN270" i="17"/>
  <c r="DK270" i="17"/>
  <c r="O271" i="17"/>
  <c r="T271" i="17"/>
  <c r="V271" i="17"/>
  <c r="W271" i="17"/>
  <c r="X271" i="17" s="1"/>
  <c r="Z271" i="17"/>
  <c r="AV271" i="17"/>
  <c r="AT271" i="17" s="1"/>
  <c r="AX271" i="17"/>
  <c r="AY271" i="17"/>
  <c r="AZ271" i="17" s="1"/>
  <c r="BX271" i="17"/>
  <c r="BV271" i="17" s="1"/>
  <c r="CB271" i="17"/>
  <c r="CC271" i="17"/>
  <c r="CD271" i="17" s="1"/>
  <c r="CF271" i="17"/>
  <c r="CJ271" i="17"/>
  <c r="CH271" i="17" s="1"/>
  <c r="CL271" i="17"/>
  <c r="CM271" i="17"/>
  <c r="CN271" i="17"/>
  <c r="DK271" i="17"/>
  <c r="O272" i="17"/>
  <c r="T272" i="17"/>
  <c r="V272" i="17"/>
  <c r="W272" i="17"/>
  <c r="X272" i="17" s="1"/>
  <c r="Z272" i="17" s="1"/>
  <c r="AV272" i="17"/>
  <c r="AT272" i="17" s="1"/>
  <c r="AX272" i="17"/>
  <c r="AY272" i="17"/>
  <c r="AZ272" i="17" s="1"/>
  <c r="BX272" i="17"/>
  <c r="BV272" i="17" s="1"/>
  <c r="CB272" i="17"/>
  <c r="CC272" i="17"/>
  <c r="CJ272" i="17"/>
  <c r="CH272" i="17" s="1"/>
  <c r="CL272" i="17"/>
  <c r="CM272" i="17"/>
  <c r="CN272" i="17"/>
  <c r="CO272" i="17" s="1"/>
  <c r="DK272" i="17"/>
  <c r="O273" i="17"/>
  <c r="T273" i="17"/>
  <c r="R273" i="17" s="1"/>
  <c r="V273" i="17"/>
  <c r="W273" i="17"/>
  <c r="X273" i="17" s="1"/>
  <c r="Z273" i="17"/>
  <c r="AV273" i="17"/>
  <c r="AT273" i="17" s="1"/>
  <c r="AX273" i="17"/>
  <c r="AY273" i="17"/>
  <c r="AZ273" i="17" s="1"/>
  <c r="BB273" i="17" s="1"/>
  <c r="BX273" i="17"/>
  <c r="BV273" i="17" s="1"/>
  <c r="CB273" i="17"/>
  <c r="CC273" i="17"/>
  <c r="CD273" i="17" s="1"/>
  <c r="CJ273" i="17"/>
  <c r="CH273" i="17" s="1"/>
  <c r="CL273" i="17"/>
  <c r="CM273" i="17"/>
  <c r="CN273" i="17"/>
  <c r="CO273" i="17" s="1"/>
  <c r="DK273" i="17"/>
  <c r="O274" i="17"/>
  <c r="T274" i="17"/>
  <c r="R274" i="17" s="1"/>
  <c r="V274" i="17"/>
  <c r="W274" i="17"/>
  <c r="X274" i="17" s="1"/>
  <c r="Z274" i="17" s="1"/>
  <c r="AV274" i="17"/>
  <c r="AT274" i="17" s="1"/>
  <c r="AX274" i="17"/>
  <c r="AY274" i="17"/>
  <c r="AZ274" i="17" s="1"/>
  <c r="BB274" i="17" s="1"/>
  <c r="BX274" i="17"/>
  <c r="CB274" i="17"/>
  <c r="CC274" i="17"/>
  <c r="CD274" i="17" s="1"/>
  <c r="CF274" i="17" s="1"/>
  <c r="CJ274" i="17"/>
  <c r="CH274" i="17" s="1"/>
  <c r="CL274" i="17"/>
  <c r="CM274" i="17"/>
  <c r="CN274" i="17"/>
  <c r="DK274" i="17"/>
  <c r="O275" i="17"/>
  <c r="T275" i="17"/>
  <c r="V275" i="17"/>
  <c r="W275" i="17"/>
  <c r="X275" i="17" s="1"/>
  <c r="AV275" i="17"/>
  <c r="AT275" i="17" s="1"/>
  <c r="AX275" i="17"/>
  <c r="AY275" i="17"/>
  <c r="AZ275" i="17" s="1"/>
  <c r="BB275" i="17" s="1"/>
  <c r="BV275" i="17"/>
  <c r="CB275" i="17"/>
  <c r="CC275" i="17"/>
  <c r="CD275" i="17" s="1"/>
  <c r="CJ275" i="17"/>
  <c r="CH275" i="17" s="1"/>
  <c r="CL275" i="17"/>
  <c r="CM275" i="17"/>
  <c r="CN275" i="17"/>
  <c r="DK275" i="17"/>
  <c r="O276" i="17"/>
  <c r="T276" i="17"/>
  <c r="R276" i="17" s="1"/>
  <c r="V276" i="17"/>
  <c r="W276" i="17"/>
  <c r="X276" i="17" s="1"/>
  <c r="Z276" i="17" s="1"/>
  <c r="AV276" i="17"/>
  <c r="AX276" i="17"/>
  <c r="AY276" i="17"/>
  <c r="AZ276" i="17" s="1"/>
  <c r="BX276" i="17"/>
  <c r="BV276" i="17" s="1"/>
  <c r="CB276" i="17"/>
  <c r="CC276" i="17"/>
  <c r="CD276" i="17" s="1"/>
  <c r="CF276" i="17" s="1"/>
  <c r="CJ276" i="17"/>
  <c r="CH276" i="17" s="1"/>
  <c r="CL276" i="17"/>
  <c r="CM276" i="17"/>
  <c r="CN276" i="17"/>
  <c r="DK276" i="17"/>
  <c r="O277" i="17"/>
  <c r="T277" i="17"/>
  <c r="V277" i="17"/>
  <c r="W277" i="17"/>
  <c r="X277" i="17" s="1"/>
  <c r="AV277" i="17"/>
  <c r="AT277" i="17" s="1"/>
  <c r="AX277" i="17"/>
  <c r="AY277" i="17"/>
  <c r="AZ277" i="17" s="1"/>
  <c r="BX277" i="17"/>
  <c r="BV277" i="17" s="1"/>
  <c r="CB277" i="17"/>
  <c r="CC277" i="17"/>
  <c r="CF277" i="17"/>
  <c r="CJ277" i="17"/>
  <c r="CH277" i="17" s="1"/>
  <c r="CL277" i="17"/>
  <c r="CM277" i="17"/>
  <c r="CN277" i="17"/>
  <c r="DK277" i="17"/>
  <c r="O278" i="17"/>
  <c r="T278" i="17"/>
  <c r="V278" i="17"/>
  <c r="W278" i="17"/>
  <c r="X278" i="17" s="1"/>
  <c r="AV278" i="17"/>
  <c r="AT278" i="17" s="1"/>
  <c r="AX278" i="17"/>
  <c r="AY278" i="17"/>
  <c r="AZ278" i="17" s="1"/>
  <c r="BX278" i="17"/>
  <c r="BV278" i="17" s="1"/>
  <c r="CB278" i="17"/>
  <c r="CC278" i="17"/>
  <c r="CJ278" i="17"/>
  <c r="CH278" i="17" s="1"/>
  <c r="CL278" i="17"/>
  <c r="CM278" i="17"/>
  <c r="CN278" i="17"/>
  <c r="DK278" i="17"/>
  <c r="O279" i="17"/>
  <c r="T279" i="17"/>
  <c r="R279" i="17" s="1"/>
  <c r="V279" i="17"/>
  <c r="W279" i="17"/>
  <c r="X279" i="17" s="1"/>
  <c r="AV279" i="17"/>
  <c r="AT279" i="17" s="1"/>
  <c r="AX279" i="17"/>
  <c r="AY279" i="17"/>
  <c r="AZ279" i="17" s="1"/>
  <c r="BB279" i="17"/>
  <c r="BX279" i="17"/>
  <c r="BV279" i="17" s="1"/>
  <c r="CB279" i="17"/>
  <c r="CC279" i="17"/>
  <c r="CJ279" i="17"/>
  <c r="CH279" i="17" s="1"/>
  <c r="CL279" i="17"/>
  <c r="CM279" i="17"/>
  <c r="CN279" i="17"/>
  <c r="DK279" i="17"/>
  <c r="O280" i="17"/>
  <c r="T280" i="17"/>
  <c r="V280" i="17"/>
  <c r="W280" i="17"/>
  <c r="X280" i="17" s="1"/>
  <c r="Z280" i="17" s="1"/>
  <c r="AV280" i="17"/>
  <c r="AT280" i="17" s="1"/>
  <c r="AX280" i="17"/>
  <c r="AY280" i="17"/>
  <c r="AZ280" i="17" s="1"/>
  <c r="BX280" i="17"/>
  <c r="BV280" i="17" s="1"/>
  <c r="CB280" i="17"/>
  <c r="CC280" i="17"/>
  <c r="CJ280" i="17"/>
  <c r="CH280" i="17" s="1"/>
  <c r="CL280" i="17"/>
  <c r="CM280" i="17"/>
  <c r="CN280" i="17"/>
  <c r="CO280" i="17" s="1"/>
  <c r="DK280" i="17"/>
  <c r="O281" i="17"/>
  <c r="T281" i="17"/>
  <c r="R281" i="17" s="1"/>
  <c r="V281" i="17"/>
  <c r="W281" i="17"/>
  <c r="X281" i="17" s="1"/>
  <c r="Z281" i="17" s="1"/>
  <c r="AV281" i="17"/>
  <c r="AT281" i="17" s="1"/>
  <c r="AX281" i="17"/>
  <c r="AY281" i="17"/>
  <c r="AZ281" i="17" s="1"/>
  <c r="BX281" i="17"/>
  <c r="BV281" i="17" s="1"/>
  <c r="CB281" i="17"/>
  <c r="CC281" i="17"/>
  <c r="CJ281" i="17"/>
  <c r="CH281" i="17" s="1"/>
  <c r="CL281" i="17"/>
  <c r="CM281" i="17"/>
  <c r="CN281" i="17"/>
  <c r="CO281" i="17" s="1"/>
  <c r="DK281" i="17"/>
  <c r="O282" i="17"/>
  <c r="T282" i="17"/>
  <c r="V282" i="17"/>
  <c r="W282" i="17"/>
  <c r="X282" i="17" s="1"/>
  <c r="AV282" i="17"/>
  <c r="AT282" i="17" s="1"/>
  <c r="AX282" i="17"/>
  <c r="AY282" i="17"/>
  <c r="AZ282" i="17" s="1"/>
  <c r="BB282" i="17"/>
  <c r="BX282" i="17"/>
  <c r="BV282" i="17" s="1"/>
  <c r="CB282" i="17"/>
  <c r="CC282" i="17"/>
  <c r="CD282" i="17" s="1"/>
  <c r="CJ282" i="17"/>
  <c r="CH282" i="17" s="1"/>
  <c r="CL282" i="17"/>
  <c r="CM282" i="17"/>
  <c r="CN282" i="17"/>
  <c r="CO282" i="17" s="1"/>
  <c r="DK282" i="17"/>
  <c r="O283" i="17"/>
  <c r="T283" i="17"/>
  <c r="R283" i="17" s="1"/>
  <c r="V283" i="17"/>
  <c r="W283" i="17"/>
  <c r="X283" i="17" s="1"/>
  <c r="AV283" i="17"/>
  <c r="AT283" i="17" s="1"/>
  <c r="AX283" i="17"/>
  <c r="AY283" i="17"/>
  <c r="AZ283" i="17" s="1"/>
  <c r="BB283" i="17" s="1"/>
  <c r="BX283" i="17"/>
  <c r="BV283" i="17" s="1"/>
  <c r="CB283" i="17"/>
  <c r="CC283" i="17"/>
  <c r="CD283" i="17" s="1"/>
  <c r="CJ283" i="17"/>
  <c r="CH283" i="17" s="1"/>
  <c r="CL283" i="17"/>
  <c r="CM283" i="17"/>
  <c r="CN283" i="17"/>
  <c r="DK283" i="17"/>
  <c r="O284" i="17"/>
  <c r="T284" i="17"/>
  <c r="V284" i="17"/>
  <c r="W284" i="17"/>
  <c r="X284" i="17" s="1"/>
  <c r="AV284" i="17"/>
  <c r="AT284" i="17" s="1"/>
  <c r="AX284" i="17"/>
  <c r="AY284" i="17"/>
  <c r="AZ284" i="17" s="1"/>
  <c r="BX284" i="17"/>
  <c r="BV284" i="17" s="1"/>
  <c r="CB284" i="17"/>
  <c r="CC284" i="17"/>
  <c r="CJ284" i="17"/>
  <c r="CH284" i="17" s="1"/>
  <c r="CL284" i="17"/>
  <c r="CM284" i="17"/>
  <c r="CN284" i="17"/>
  <c r="DK284" i="17"/>
  <c r="O285" i="17"/>
  <c r="T285" i="17"/>
  <c r="R285" i="17" s="1"/>
  <c r="V285" i="17"/>
  <c r="W285" i="17"/>
  <c r="X285" i="17" s="1"/>
  <c r="AV285" i="17"/>
  <c r="AT285" i="17" s="1"/>
  <c r="AX285" i="17"/>
  <c r="AY285" i="17"/>
  <c r="AZ285" i="17" s="1"/>
  <c r="BX285" i="17"/>
  <c r="BV285" i="17" s="1"/>
  <c r="CB285" i="17"/>
  <c r="CC285" i="17"/>
  <c r="CJ285" i="17"/>
  <c r="CH285" i="17" s="1"/>
  <c r="CL285" i="17"/>
  <c r="CM285" i="17"/>
  <c r="CN285" i="17"/>
  <c r="DK285" i="17"/>
  <c r="O286" i="17"/>
  <c r="T286" i="17"/>
  <c r="V286" i="17"/>
  <c r="W286" i="17"/>
  <c r="X286" i="17" s="1"/>
  <c r="AV286" i="17"/>
  <c r="AT286" i="17" s="1"/>
  <c r="AX286" i="17"/>
  <c r="AY286" i="17"/>
  <c r="AZ286" i="17" s="1"/>
  <c r="BX286" i="17"/>
  <c r="BV286" i="17" s="1"/>
  <c r="CB286" i="17"/>
  <c r="CC286" i="17"/>
  <c r="CJ286" i="17"/>
  <c r="CH286" i="17" s="1"/>
  <c r="CL286" i="17"/>
  <c r="CM286" i="17"/>
  <c r="CN286" i="17"/>
  <c r="DK286" i="17"/>
  <c r="O287" i="17"/>
  <c r="T287" i="17"/>
  <c r="R287" i="17" s="1"/>
  <c r="V287" i="17"/>
  <c r="W287" i="17"/>
  <c r="X287" i="17" s="1"/>
  <c r="AV287" i="17"/>
  <c r="AT287" i="17" s="1"/>
  <c r="AX287" i="17"/>
  <c r="AY287" i="17"/>
  <c r="AZ287" i="17" s="1"/>
  <c r="BB287" i="17"/>
  <c r="BX287" i="17"/>
  <c r="BV287" i="17" s="1"/>
  <c r="CB287" i="17"/>
  <c r="CC287" i="17"/>
  <c r="CF287" i="17"/>
  <c r="CJ287" i="17"/>
  <c r="CH287" i="17" s="1"/>
  <c r="CL287" i="17"/>
  <c r="CM287" i="17"/>
  <c r="CN287" i="17"/>
  <c r="DK287" i="17"/>
  <c r="O288" i="17"/>
  <c r="T288" i="17"/>
  <c r="R288" i="17" s="1"/>
  <c r="V288" i="17"/>
  <c r="W288" i="17"/>
  <c r="X288" i="17" s="1"/>
  <c r="Z288" i="17"/>
  <c r="AV288" i="17"/>
  <c r="AX288" i="17"/>
  <c r="AY288" i="17"/>
  <c r="AZ288" i="17" s="1"/>
  <c r="BB288" i="17" s="1"/>
  <c r="BX288" i="17"/>
  <c r="BV288" i="17" s="1"/>
  <c r="CB288" i="17"/>
  <c r="CC288" i="17"/>
  <c r="CJ288" i="17"/>
  <c r="CH288" i="17" s="1"/>
  <c r="CL288" i="17"/>
  <c r="CM288" i="17"/>
  <c r="CN288" i="17"/>
  <c r="CO288" i="17" s="1"/>
  <c r="DK288" i="17"/>
  <c r="O289" i="17"/>
  <c r="T289" i="17"/>
  <c r="R289" i="17" s="1"/>
  <c r="V289" i="17"/>
  <c r="W289" i="17"/>
  <c r="X289" i="17" s="1"/>
  <c r="AV289" i="17"/>
  <c r="AT289" i="17" s="1"/>
  <c r="AX289" i="17"/>
  <c r="AY289" i="17"/>
  <c r="AZ289" i="17" s="1"/>
  <c r="BB289" i="17" s="1"/>
  <c r="BX289" i="17"/>
  <c r="BV289" i="17" s="1"/>
  <c r="CB289" i="17"/>
  <c r="CC289" i="17"/>
  <c r="CD289" i="17" s="1"/>
  <c r="CF289" i="17"/>
  <c r="CJ289" i="17"/>
  <c r="CH289" i="17" s="1"/>
  <c r="CL289" i="17"/>
  <c r="CM289" i="17"/>
  <c r="CN289" i="17"/>
  <c r="CO289" i="17" s="1"/>
  <c r="DK289" i="17"/>
  <c r="O290" i="17"/>
  <c r="T290" i="17"/>
  <c r="R290" i="17" s="1"/>
  <c r="V290" i="17"/>
  <c r="W290" i="17"/>
  <c r="X290" i="17" s="1"/>
  <c r="Z290" i="17"/>
  <c r="AV290" i="17"/>
  <c r="AT290" i="17" s="1"/>
  <c r="AX290" i="17"/>
  <c r="AY290" i="17"/>
  <c r="AZ290" i="17" s="1"/>
  <c r="BX290" i="17"/>
  <c r="CB290" i="17"/>
  <c r="CC290" i="17"/>
  <c r="CD290" i="17" s="1"/>
  <c r="CJ290" i="17"/>
  <c r="CH290" i="17" s="1"/>
  <c r="CL290" i="17"/>
  <c r="CM290" i="17"/>
  <c r="CN290" i="17"/>
  <c r="CO290" i="17" s="1"/>
  <c r="DK290" i="17"/>
  <c r="O291" i="17"/>
  <c r="T291" i="17"/>
  <c r="R291" i="17" s="1"/>
  <c r="V291" i="17"/>
  <c r="W291" i="17"/>
  <c r="X291" i="17" s="1"/>
  <c r="Z291" i="17" s="1"/>
  <c r="AV291" i="17"/>
  <c r="AX291" i="17"/>
  <c r="AY291" i="17"/>
  <c r="AZ291" i="17" s="1"/>
  <c r="BX291" i="17"/>
  <c r="BV291" i="17" s="1"/>
  <c r="CB291" i="17"/>
  <c r="CC291" i="17"/>
  <c r="CJ291" i="17"/>
  <c r="CH291" i="17" s="1"/>
  <c r="CL291" i="17"/>
  <c r="CM291" i="17"/>
  <c r="CN291" i="17"/>
  <c r="CO291" i="17" s="1"/>
  <c r="DK291" i="17"/>
  <c r="O292" i="17"/>
  <c r="T292" i="17"/>
  <c r="V292" i="17"/>
  <c r="W292" i="17"/>
  <c r="X292" i="17" s="1"/>
  <c r="AV292" i="17"/>
  <c r="AT292" i="17" s="1"/>
  <c r="AX292" i="17"/>
  <c r="AY292" i="17"/>
  <c r="AZ292" i="17" s="1"/>
  <c r="BB292" i="17"/>
  <c r="BX292" i="17"/>
  <c r="BV292" i="17" s="1"/>
  <c r="CB292" i="17"/>
  <c r="CC292" i="17"/>
  <c r="CJ292" i="17"/>
  <c r="CH292" i="17" s="1"/>
  <c r="CL292" i="17"/>
  <c r="CM292" i="17"/>
  <c r="CN292" i="17"/>
  <c r="DK292" i="17"/>
  <c r="O293" i="17"/>
  <c r="T293" i="17"/>
  <c r="V293" i="17"/>
  <c r="W293" i="17"/>
  <c r="X293" i="17" s="1"/>
  <c r="AV293" i="17"/>
  <c r="AT293" i="17" s="1"/>
  <c r="AX293" i="17"/>
  <c r="AY293" i="17"/>
  <c r="AZ293" i="17" s="1"/>
  <c r="BB293" i="17"/>
  <c r="BX293" i="17"/>
  <c r="BV293" i="17" s="1"/>
  <c r="CB293" i="17"/>
  <c r="CC293" i="17"/>
  <c r="CJ293" i="17"/>
  <c r="CH293" i="17" s="1"/>
  <c r="CL293" i="17"/>
  <c r="CM293" i="17"/>
  <c r="CN293" i="17"/>
  <c r="CO293" i="17" s="1"/>
  <c r="DK293" i="17"/>
  <c r="O294" i="17"/>
  <c r="T294" i="17"/>
  <c r="V294" i="17"/>
  <c r="W294" i="17"/>
  <c r="X294" i="17" s="1"/>
  <c r="AV294" i="17"/>
  <c r="AT294" i="17" s="1"/>
  <c r="AX294" i="17"/>
  <c r="AY294" i="17"/>
  <c r="AZ294" i="17" s="1"/>
  <c r="BB294" i="17"/>
  <c r="BX294" i="17"/>
  <c r="BV294" i="17" s="1"/>
  <c r="CB294" i="17"/>
  <c r="CC294" i="17"/>
  <c r="CJ294" i="17"/>
  <c r="CH294" i="17" s="1"/>
  <c r="CL294" i="17"/>
  <c r="CM294" i="17"/>
  <c r="CN294" i="17"/>
  <c r="DK294" i="17"/>
  <c r="O295" i="17"/>
  <c r="T295" i="17"/>
  <c r="R295" i="17" s="1"/>
  <c r="V295" i="17"/>
  <c r="W295" i="17"/>
  <c r="X295" i="17" s="1"/>
  <c r="AV295" i="17"/>
  <c r="AT295" i="17" s="1"/>
  <c r="AX295" i="17"/>
  <c r="AY295" i="17"/>
  <c r="AZ295" i="17" s="1"/>
  <c r="BX295" i="17"/>
  <c r="BV295" i="17" s="1"/>
  <c r="CB295" i="17"/>
  <c r="CC295" i="17"/>
  <c r="CJ295" i="17"/>
  <c r="CH295" i="17" s="1"/>
  <c r="CL295" i="17"/>
  <c r="CM295" i="17"/>
  <c r="CN295" i="17"/>
  <c r="CO295" i="17" s="1"/>
  <c r="DK295" i="17"/>
  <c r="O296" i="17"/>
  <c r="T296" i="17"/>
  <c r="V296" i="17"/>
  <c r="W296" i="17"/>
  <c r="X296" i="17" s="1"/>
  <c r="Z296" i="17"/>
  <c r="AV296" i="17"/>
  <c r="AT296" i="17" s="1"/>
  <c r="AX296" i="17"/>
  <c r="AY296" i="17"/>
  <c r="AZ296" i="17" s="1"/>
  <c r="BB296" i="17" s="1"/>
  <c r="BX296" i="17"/>
  <c r="BV296" i="17" s="1"/>
  <c r="CB296" i="17"/>
  <c r="CC296" i="17"/>
  <c r="CD296" i="17" s="1"/>
  <c r="CJ296" i="17"/>
  <c r="CH296" i="17" s="1"/>
  <c r="CL296" i="17"/>
  <c r="CM296" i="17"/>
  <c r="CN296" i="17"/>
  <c r="CO296" i="17" s="1"/>
  <c r="DK296" i="17"/>
  <c r="O297" i="17"/>
  <c r="T297" i="17"/>
  <c r="R297" i="17" s="1"/>
  <c r="V297" i="17"/>
  <c r="W297" i="17"/>
  <c r="X297" i="17" s="1"/>
  <c r="Z297" i="17"/>
  <c r="AV297" i="17"/>
  <c r="AT297" i="17" s="1"/>
  <c r="AX297" i="17"/>
  <c r="AY297" i="17"/>
  <c r="AZ297" i="17" s="1"/>
  <c r="BX297" i="17"/>
  <c r="CB297" i="17"/>
  <c r="CC297" i="17"/>
  <c r="CD297" i="17" s="1"/>
  <c r="CJ297" i="17"/>
  <c r="CH297" i="17" s="1"/>
  <c r="CL297" i="17"/>
  <c r="CM297" i="17"/>
  <c r="CN297" i="17"/>
  <c r="CO297" i="17" s="1"/>
  <c r="DK297" i="17"/>
  <c r="O298" i="17"/>
  <c r="T298" i="17"/>
  <c r="R298" i="17" s="1"/>
  <c r="V298" i="17"/>
  <c r="W298" i="17"/>
  <c r="X298" i="17" s="1"/>
  <c r="AV298" i="17"/>
  <c r="AX298" i="17"/>
  <c r="AY298" i="17"/>
  <c r="AZ298" i="17" s="1"/>
  <c r="BB298" i="17"/>
  <c r="BX298" i="17"/>
  <c r="BV298" i="17" s="1"/>
  <c r="CB298" i="17"/>
  <c r="CC298" i="17"/>
  <c r="CD298" i="17" s="1"/>
  <c r="CJ298" i="17"/>
  <c r="CH298" i="17" s="1"/>
  <c r="CL298" i="17"/>
  <c r="CM298" i="17"/>
  <c r="CN298" i="17"/>
  <c r="DK298" i="17"/>
  <c r="O299" i="17"/>
  <c r="T299" i="17"/>
  <c r="R299" i="17" s="1"/>
  <c r="V299" i="17"/>
  <c r="W299" i="17"/>
  <c r="X299" i="17" s="1"/>
  <c r="Z299" i="17"/>
  <c r="AV299" i="17"/>
  <c r="AT299" i="17" s="1"/>
  <c r="AX299" i="17"/>
  <c r="AY299" i="17"/>
  <c r="AZ299" i="17" s="1"/>
  <c r="BB299" i="17"/>
  <c r="BX299" i="17"/>
  <c r="BV299" i="17" s="1"/>
  <c r="CB299" i="17"/>
  <c r="CC299" i="17"/>
  <c r="CD299" i="17" s="1"/>
  <c r="CF299" i="17" s="1"/>
  <c r="CJ299" i="17"/>
  <c r="CH299" i="17" s="1"/>
  <c r="CL299" i="17"/>
  <c r="CM299" i="17"/>
  <c r="CN299" i="17"/>
  <c r="DK299" i="17"/>
  <c r="O300" i="17"/>
  <c r="T300" i="17"/>
  <c r="V300" i="17"/>
  <c r="W300" i="17"/>
  <c r="X300" i="17" s="1"/>
  <c r="Z300" i="17"/>
  <c r="AV300" i="17"/>
  <c r="AT300" i="17" s="1"/>
  <c r="AX300" i="17"/>
  <c r="AY300" i="17"/>
  <c r="AZ300" i="17" s="1"/>
  <c r="BB300" i="17"/>
  <c r="BX300" i="17"/>
  <c r="BV300" i="17" s="1"/>
  <c r="CB300" i="17"/>
  <c r="CC300" i="17"/>
  <c r="CJ300" i="17"/>
  <c r="CH300" i="17" s="1"/>
  <c r="CL300" i="17"/>
  <c r="CM300" i="17"/>
  <c r="CN300" i="17"/>
  <c r="DK300" i="17"/>
  <c r="O301" i="17"/>
  <c r="T301" i="17"/>
  <c r="V301" i="17"/>
  <c r="W301" i="17"/>
  <c r="X301" i="17" s="1"/>
  <c r="AV301" i="17"/>
  <c r="AT301" i="17" s="1"/>
  <c r="AX301" i="17"/>
  <c r="AY301" i="17"/>
  <c r="AZ301" i="17" s="1"/>
  <c r="BX301" i="17"/>
  <c r="BV301" i="17" s="1"/>
  <c r="CB301" i="17"/>
  <c r="CC301" i="17"/>
  <c r="CJ301" i="17"/>
  <c r="CH301" i="17" s="1"/>
  <c r="CL301" i="17"/>
  <c r="CM301" i="17"/>
  <c r="CN301" i="17"/>
  <c r="DK301" i="17"/>
  <c r="O302" i="17"/>
  <c r="T302" i="17"/>
  <c r="R302" i="17" s="1"/>
  <c r="V302" i="17"/>
  <c r="W302" i="17"/>
  <c r="X302" i="17" s="1"/>
  <c r="AV302" i="17"/>
  <c r="AT302" i="17" s="1"/>
  <c r="AX302" i="17"/>
  <c r="AY302" i="17"/>
  <c r="AZ302" i="17" s="1"/>
  <c r="BX302" i="17"/>
  <c r="BV302" i="17" s="1"/>
  <c r="CB302" i="17"/>
  <c r="CC302" i="17"/>
  <c r="CD302" i="17" s="1"/>
  <c r="CJ302" i="17"/>
  <c r="CH302" i="17" s="1"/>
  <c r="CL302" i="17"/>
  <c r="CM302" i="17"/>
  <c r="CN302" i="17"/>
  <c r="DK302" i="17"/>
  <c r="O303" i="17"/>
  <c r="T303" i="17"/>
  <c r="V303" i="17"/>
  <c r="W303" i="17"/>
  <c r="X303" i="17" s="1"/>
  <c r="Z303" i="17" s="1"/>
  <c r="AV303" i="17"/>
  <c r="AT303" i="17" s="1"/>
  <c r="AX303" i="17"/>
  <c r="AY303" i="17"/>
  <c r="AZ303" i="17" s="1"/>
  <c r="BB303" i="17"/>
  <c r="BX303" i="17"/>
  <c r="BV303" i="17" s="1"/>
  <c r="CB303" i="17"/>
  <c r="CC303" i="17"/>
  <c r="CJ303" i="17"/>
  <c r="CH303" i="17" s="1"/>
  <c r="CL303" i="17"/>
  <c r="CM303" i="17"/>
  <c r="CN303" i="17"/>
  <c r="CO303" i="17" s="1"/>
  <c r="DK303" i="17"/>
  <c r="O304" i="17"/>
  <c r="T304" i="17"/>
  <c r="R304" i="17" s="1"/>
  <c r="V304" i="17"/>
  <c r="W304" i="17"/>
  <c r="X304" i="17" s="1"/>
  <c r="Z304" i="17" s="1"/>
  <c r="AV304" i="17"/>
  <c r="AX304" i="17"/>
  <c r="AY304" i="17"/>
  <c r="AZ304" i="17" s="1"/>
  <c r="BB304" i="17"/>
  <c r="BX304" i="17"/>
  <c r="BV304" i="17" s="1"/>
  <c r="CB304" i="17"/>
  <c r="CC304" i="17"/>
  <c r="CD304" i="17" s="1"/>
  <c r="CF304" i="17"/>
  <c r="CJ304" i="17"/>
  <c r="CH304" i="17" s="1"/>
  <c r="CL304" i="17"/>
  <c r="CM304" i="17"/>
  <c r="CN304" i="17"/>
  <c r="CO304" i="17" s="1"/>
  <c r="DK304" i="17"/>
  <c r="O305" i="17"/>
  <c r="T305" i="17"/>
  <c r="V305" i="17"/>
  <c r="W305" i="17"/>
  <c r="X305" i="17" s="1"/>
  <c r="Z305" i="17" s="1"/>
  <c r="AV305" i="17"/>
  <c r="AT305" i="17" s="1"/>
  <c r="AX305" i="17"/>
  <c r="AY305" i="17"/>
  <c r="AZ305" i="17" s="1"/>
  <c r="BX305" i="17"/>
  <c r="BV305" i="17" s="1"/>
  <c r="CB305" i="17"/>
  <c r="CC305" i="17"/>
  <c r="CD305" i="17" s="1"/>
  <c r="CJ305" i="17"/>
  <c r="CH305" i="17" s="1"/>
  <c r="CL305" i="17"/>
  <c r="CM305" i="17"/>
  <c r="CN305" i="17"/>
  <c r="CO305" i="17" s="1"/>
  <c r="DK305" i="17"/>
  <c r="O306" i="17"/>
  <c r="T306" i="17"/>
  <c r="R306" i="17" s="1"/>
  <c r="V306" i="17"/>
  <c r="W306" i="17"/>
  <c r="X306" i="17" s="1"/>
  <c r="Z306" i="17" s="1"/>
  <c r="AV306" i="17"/>
  <c r="AT306" i="17" s="1"/>
  <c r="AX306" i="17"/>
  <c r="AY306" i="17"/>
  <c r="AZ306" i="17" s="1"/>
  <c r="BB306" i="17"/>
  <c r="BX306" i="17"/>
  <c r="BV306" i="17" s="1"/>
  <c r="CB306" i="17"/>
  <c r="CC306" i="17"/>
  <c r="CD306" i="17" s="1"/>
  <c r="CJ306" i="17"/>
  <c r="CH306" i="17" s="1"/>
  <c r="CL306" i="17"/>
  <c r="CM306" i="17"/>
  <c r="CN306" i="17"/>
  <c r="DK306" i="17"/>
  <c r="O307" i="17"/>
  <c r="T307" i="17"/>
  <c r="R307" i="17" s="1"/>
  <c r="V307" i="17"/>
  <c r="W307" i="17"/>
  <c r="X307" i="17" s="1"/>
  <c r="AV307" i="17"/>
  <c r="AX307" i="17"/>
  <c r="AY307" i="17"/>
  <c r="AZ307" i="17" s="1"/>
  <c r="BX307" i="17"/>
  <c r="BV307" i="17" s="1"/>
  <c r="CB307" i="17"/>
  <c r="CC307" i="17"/>
  <c r="CD307" i="17" s="1"/>
  <c r="CJ307" i="17"/>
  <c r="CH307" i="17" s="1"/>
  <c r="CL307" i="17"/>
  <c r="CM307" i="17"/>
  <c r="CN307" i="17"/>
  <c r="CO307" i="17" s="1"/>
  <c r="DK307" i="17"/>
  <c r="O308" i="17"/>
  <c r="T308" i="17"/>
  <c r="V308" i="17"/>
  <c r="W308" i="17"/>
  <c r="X308" i="17" s="1"/>
  <c r="Z308" i="17"/>
  <c r="AV308" i="17"/>
  <c r="AT308" i="17" s="1"/>
  <c r="AX308" i="17"/>
  <c r="AY308" i="17"/>
  <c r="AZ308" i="17" s="1"/>
  <c r="BB308" i="17"/>
  <c r="BX308" i="17"/>
  <c r="BV308" i="17" s="1"/>
  <c r="CB308" i="17"/>
  <c r="CC308" i="17"/>
  <c r="CJ308" i="17"/>
  <c r="CH308" i="17" s="1"/>
  <c r="CL308" i="17"/>
  <c r="CM308" i="17"/>
  <c r="CN308" i="17"/>
  <c r="DK308" i="17"/>
  <c r="O309" i="17"/>
  <c r="T309" i="17"/>
  <c r="R309" i="17" s="1"/>
  <c r="V309" i="17"/>
  <c r="W309" i="17"/>
  <c r="X309" i="17" s="1"/>
  <c r="AV309" i="17"/>
  <c r="AT309" i="17" s="1"/>
  <c r="AX309" i="17"/>
  <c r="AY309" i="17"/>
  <c r="AZ309" i="17" s="1"/>
  <c r="BX309" i="17"/>
  <c r="BV309" i="17" s="1"/>
  <c r="CB309" i="17"/>
  <c r="CC309" i="17"/>
  <c r="CD309" i="17" s="1"/>
  <c r="CJ309" i="17"/>
  <c r="CH309" i="17" s="1"/>
  <c r="CL309" i="17"/>
  <c r="CM309" i="17"/>
  <c r="CN309" i="17"/>
  <c r="DK309" i="17"/>
  <c r="O310" i="17"/>
  <c r="T310" i="17"/>
  <c r="R310" i="17" s="1"/>
  <c r="V310" i="17"/>
  <c r="W310" i="17"/>
  <c r="X310" i="17" s="1"/>
  <c r="AV310" i="17"/>
  <c r="AT310" i="17" s="1"/>
  <c r="AX310" i="17"/>
  <c r="AY310" i="17"/>
  <c r="AZ310" i="17" s="1"/>
  <c r="BX310" i="17"/>
  <c r="BV310" i="17" s="1"/>
  <c r="CB310" i="17"/>
  <c r="CC310" i="17"/>
  <c r="CJ310" i="17"/>
  <c r="CH310" i="17" s="1"/>
  <c r="CL310" i="17"/>
  <c r="CM310" i="17"/>
  <c r="CN310" i="17"/>
  <c r="DK310" i="17"/>
  <c r="O311" i="17"/>
  <c r="T311" i="17"/>
  <c r="V311" i="17"/>
  <c r="W311" i="17"/>
  <c r="X311" i="17" s="1"/>
  <c r="Z311" i="17" s="1"/>
  <c r="AV311" i="17"/>
  <c r="AT311" i="17" s="1"/>
  <c r="AX311" i="17"/>
  <c r="AY311" i="17"/>
  <c r="AZ311" i="17" s="1"/>
  <c r="BX311" i="17"/>
  <c r="BV311" i="17" s="1"/>
  <c r="CB311" i="17"/>
  <c r="CC311" i="17"/>
  <c r="CJ311" i="17"/>
  <c r="CH311" i="17" s="1"/>
  <c r="CL311" i="17"/>
  <c r="CM311" i="17"/>
  <c r="CN311" i="17"/>
  <c r="CO311" i="17" s="1"/>
  <c r="DK311" i="17"/>
  <c r="O312" i="17"/>
  <c r="T312" i="17"/>
  <c r="R312" i="17" s="1"/>
  <c r="V312" i="17"/>
  <c r="W312" i="17"/>
  <c r="X312" i="17" s="1"/>
  <c r="Z312" i="17"/>
  <c r="AV312" i="17"/>
  <c r="AT312" i="17" s="1"/>
  <c r="AX312" i="17"/>
  <c r="AY312" i="17"/>
  <c r="AZ312" i="17" s="1"/>
  <c r="BB312" i="17" s="1"/>
  <c r="BX312" i="17"/>
  <c r="BV312" i="17" s="1"/>
  <c r="CB312" i="17"/>
  <c r="CC312" i="17"/>
  <c r="CD312" i="17" s="1"/>
  <c r="CJ312" i="17"/>
  <c r="CH312" i="17" s="1"/>
  <c r="CL312" i="17"/>
  <c r="CM312" i="17"/>
  <c r="CN312" i="17"/>
  <c r="DK312" i="17"/>
  <c r="O313" i="17"/>
  <c r="T313" i="17"/>
  <c r="R313" i="17" s="1"/>
  <c r="V313" i="17"/>
  <c r="W313" i="17"/>
  <c r="X313" i="17" s="1"/>
  <c r="Z313" i="17"/>
  <c r="AV313" i="17"/>
  <c r="AT313" i="17" s="1"/>
  <c r="AX313" i="17"/>
  <c r="AY313" i="17"/>
  <c r="AZ313" i="17" s="1"/>
  <c r="BX313" i="17"/>
  <c r="BV313" i="17" s="1"/>
  <c r="CB313" i="17"/>
  <c r="CC313" i="17"/>
  <c r="CF313" i="17"/>
  <c r="CJ313" i="17"/>
  <c r="CH313" i="17" s="1"/>
  <c r="CL313" i="17"/>
  <c r="CM313" i="17"/>
  <c r="CN313" i="17"/>
  <c r="CO313" i="17" s="1"/>
  <c r="DK313" i="17"/>
  <c r="O314" i="17"/>
  <c r="T314" i="17"/>
  <c r="R314" i="17" s="1"/>
  <c r="V314" i="17"/>
  <c r="W314" i="17"/>
  <c r="X314" i="17" s="1"/>
  <c r="AV314" i="17"/>
  <c r="AT314" i="17" s="1"/>
  <c r="AX314" i="17"/>
  <c r="AY314" i="17"/>
  <c r="AZ314" i="17" s="1"/>
  <c r="BX314" i="17"/>
  <c r="BV314" i="17" s="1"/>
  <c r="CB314" i="17"/>
  <c r="CC314" i="17"/>
  <c r="CD314" i="17" s="1"/>
  <c r="CJ314" i="17"/>
  <c r="CH314" i="17" s="1"/>
  <c r="CL314" i="17"/>
  <c r="CM314" i="17"/>
  <c r="CN314" i="17"/>
  <c r="CO314" i="17" s="1"/>
  <c r="DK314" i="17"/>
  <c r="O315" i="17"/>
  <c r="T315" i="17"/>
  <c r="V315" i="17"/>
  <c r="W315" i="17"/>
  <c r="X315" i="17" s="1"/>
  <c r="Z315" i="17" s="1"/>
  <c r="AV315" i="17"/>
  <c r="AT315" i="17" s="1"/>
  <c r="AX315" i="17"/>
  <c r="AY315" i="17"/>
  <c r="AZ315" i="17" s="1"/>
  <c r="BX315" i="17"/>
  <c r="BV315" i="17" s="1"/>
  <c r="CB315" i="17"/>
  <c r="CC315" i="17"/>
  <c r="CJ315" i="17"/>
  <c r="CH315" i="17" s="1"/>
  <c r="CL315" i="17"/>
  <c r="CM315" i="17"/>
  <c r="CN315" i="17"/>
  <c r="DK315" i="17"/>
  <c r="O316" i="17"/>
  <c r="T316" i="17"/>
  <c r="V316" i="17"/>
  <c r="W316" i="17"/>
  <c r="X316" i="17" s="1"/>
  <c r="AV316" i="17"/>
  <c r="AT316" i="17" s="1"/>
  <c r="AX316" i="17"/>
  <c r="AY316" i="17"/>
  <c r="AZ316" i="17" s="1"/>
  <c r="BX316" i="17"/>
  <c r="BV316" i="17" s="1"/>
  <c r="CB316" i="17"/>
  <c r="CC316" i="17"/>
  <c r="CJ316" i="17"/>
  <c r="CH316" i="17" s="1"/>
  <c r="CL316" i="17"/>
  <c r="CM316" i="17"/>
  <c r="CN316" i="17"/>
  <c r="DK316" i="17"/>
  <c r="O317" i="17"/>
  <c r="T317" i="17"/>
  <c r="R317" i="17" s="1"/>
  <c r="V317" i="17"/>
  <c r="W317" i="17"/>
  <c r="X317" i="17" s="1"/>
  <c r="AV317" i="17"/>
  <c r="AT317" i="17" s="1"/>
  <c r="AX317" i="17"/>
  <c r="AY317" i="17"/>
  <c r="AZ317" i="17" s="1"/>
  <c r="BX317" i="17"/>
  <c r="BV317" i="17" s="1"/>
  <c r="CB317" i="17"/>
  <c r="CC317" i="17"/>
  <c r="CJ317" i="17"/>
  <c r="CH317" i="17" s="1"/>
  <c r="CL317" i="17"/>
  <c r="CM317" i="17"/>
  <c r="CN317" i="17"/>
  <c r="DK317" i="17"/>
  <c r="O318" i="17"/>
  <c r="T318" i="17"/>
  <c r="V318" i="17"/>
  <c r="W318" i="17"/>
  <c r="X318" i="17" s="1"/>
  <c r="Z318" i="17"/>
  <c r="AV318" i="17"/>
  <c r="AT318" i="17" s="1"/>
  <c r="AX318" i="17"/>
  <c r="AY318" i="17"/>
  <c r="AZ318" i="17" s="1"/>
  <c r="BB318" i="17"/>
  <c r="BX318" i="17"/>
  <c r="BV318" i="17" s="1"/>
  <c r="CB318" i="17"/>
  <c r="CC318" i="17"/>
  <c r="CD318" i="17" s="1"/>
  <c r="CJ318" i="17"/>
  <c r="CH318" i="17" s="1"/>
  <c r="CL318" i="17"/>
  <c r="CM318" i="17"/>
  <c r="CN318" i="17"/>
  <c r="DK318" i="17"/>
  <c r="O319" i="17"/>
  <c r="T319" i="17"/>
  <c r="R319" i="17" s="1"/>
  <c r="V319" i="17"/>
  <c r="W319" i="17"/>
  <c r="X319" i="17" s="1"/>
  <c r="Z319" i="17" s="1"/>
  <c r="AV319" i="17"/>
  <c r="AT319" i="17" s="1"/>
  <c r="AX319" i="17"/>
  <c r="AY319" i="17"/>
  <c r="AZ319" i="17" s="1"/>
  <c r="BX319" i="17"/>
  <c r="BV319" i="17" s="1"/>
  <c r="CB319" i="17"/>
  <c r="CC319" i="17"/>
  <c r="CJ319" i="17"/>
  <c r="CH319" i="17" s="1"/>
  <c r="CL319" i="17"/>
  <c r="CM319" i="17"/>
  <c r="CN319" i="17"/>
  <c r="CO319" i="17" s="1"/>
  <c r="DK319" i="17"/>
  <c r="O320" i="17"/>
  <c r="T320" i="17"/>
  <c r="R320" i="17" s="1"/>
  <c r="V320" i="17"/>
  <c r="W320" i="17"/>
  <c r="X320" i="17" s="1"/>
  <c r="Z320" i="17" s="1"/>
  <c r="AV320" i="17"/>
  <c r="AX320" i="17"/>
  <c r="AY320" i="17"/>
  <c r="AZ320" i="17" s="1"/>
  <c r="BB320" i="17" s="1"/>
  <c r="BX320" i="17"/>
  <c r="BV320" i="17" s="1"/>
  <c r="CB320" i="17"/>
  <c r="CC320" i="17"/>
  <c r="CD320" i="17" s="1"/>
  <c r="CJ320" i="17"/>
  <c r="CH320" i="17" s="1"/>
  <c r="CL320" i="17"/>
  <c r="CM320" i="17"/>
  <c r="CN320" i="17"/>
  <c r="DK320" i="17"/>
  <c r="O321" i="17"/>
  <c r="T321" i="17"/>
  <c r="V321" i="17"/>
  <c r="W321" i="17"/>
  <c r="X321" i="17" s="1"/>
  <c r="Z321" i="17" s="1"/>
  <c r="AV321" i="17"/>
  <c r="AT321" i="17" s="1"/>
  <c r="AX321" i="17"/>
  <c r="AY321" i="17"/>
  <c r="AZ321" i="17" s="1"/>
  <c r="BX321" i="17"/>
  <c r="BV321" i="17" s="1"/>
  <c r="CB321" i="17"/>
  <c r="CC321" i="17"/>
  <c r="CJ321" i="17"/>
  <c r="CH321" i="17" s="1"/>
  <c r="CL321" i="17"/>
  <c r="CM321" i="17"/>
  <c r="CN321" i="17"/>
  <c r="CO321" i="17" s="1"/>
  <c r="DK321" i="17"/>
  <c r="O322" i="17"/>
  <c r="T322" i="17"/>
  <c r="R322" i="17" s="1"/>
  <c r="V322" i="17"/>
  <c r="W322" i="17"/>
  <c r="X322" i="17" s="1"/>
  <c r="AV322" i="17"/>
  <c r="AX322" i="17"/>
  <c r="AY322" i="17"/>
  <c r="AZ322" i="17" s="1"/>
  <c r="BX322" i="17"/>
  <c r="BV322" i="17" s="1"/>
  <c r="CB322" i="17"/>
  <c r="CC322" i="17"/>
  <c r="CJ322" i="17"/>
  <c r="CH322" i="17" s="1"/>
  <c r="CL322" i="17"/>
  <c r="CM322" i="17"/>
  <c r="CN322" i="17"/>
  <c r="CO322" i="17" s="1"/>
  <c r="DK322" i="17"/>
  <c r="O323" i="17"/>
  <c r="T323" i="17"/>
  <c r="R323" i="17" s="1"/>
  <c r="V323" i="17"/>
  <c r="W323" i="17"/>
  <c r="X323" i="17" s="1"/>
  <c r="Z323" i="17" s="1"/>
  <c r="AV323" i="17"/>
  <c r="AT323" i="17" s="1"/>
  <c r="AX323" i="17"/>
  <c r="AY323" i="17"/>
  <c r="AZ323" i="17" s="1"/>
  <c r="BB323" i="17"/>
  <c r="BX323" i="17"/>
  <c r="CB323" i="17"/>
  <c r="CC323" i="17"/>
  <c r="CD323" i="17" s="1"/>
  <c r="CJ323" i="17"/>
  <c r="CH323" i="17" s="1"/>
  <c r="CL323" i="17"/>
  <c r="CM323" i="17"/>
  <c r="CN323" i="17"/>
  <c r="DK323" i="17"/>
  <c r="O324" i="17"/>
  <c r="T324" i="17"/>
  <c r="V324" i="17"/>
  <c r="W324" i="17"/>
  <c r="X324" i="17" s="1"/>
  <c r="Z324" i="17"/>
  <c r="AV324" i="17"/>
  <c r="AT324" i="17" s="1"/>
  <c r="AX324" i="17"/>
  <c r="AY324" i="17"/>
  <c r="AZ324" i="17" s="1"/>
  <c r="BB324" i="17"/>
  <c r="BX324" i="17"/>
  <c r="BV324" i="17" s="1"/>
  <c r="CB324" i="17"/>
  <c r="CC324" i="17"/>
  <c r="CJ324" i="17"/>
  <c r="CH324" i="17" s="1"/>
  <c r="CL324" i="17"/>
  <c r="CM324" i="17"/>
  <c r="CN324" i="17"/>
  <c r="DK324" i="17"/>
  <c r="O325" i="17"/>
  <c r="T325" i="17"/>
  <c r="V325" i="17"/>
  <c r="W325" i="17"/>
  <c r="X325" i="17" s="1"/>
  <c r="Z325" i="17" s="1"/>
  <c r="AV325" i="17"/>
  <c r="AT325" i="17" s="1"/>
  <c r="AX325" i="17"/>
  <c r="AY325" i="17"/>
  <c r="AZ325" i="17" s="1"/>
  <c r="BB325" i="17"/>
  <c r="BX325" i="17"/>
  <c r="BV325" i="17" s="1"/>
  <c r="CB325" i="17"/>
  <c r="CC325" i="17"/>
  <c r="CJ325" i="17"/>
  <c r="CH325" i="17" s="1"/>
  <c r="CL325" i="17"/>
  <c r="CM325" i="17"/>
  <c r="CN325" i="17"/>
  <c r="CO325" i="17" s="1"/>
  <c r="DK325" i="17"/>
  <c r="O326" i="17"/>
  <c r="T326" i="17"/>
  <c r="R326" i="17" s="1"/>
  <c r="V326" i="17"/>
  <c r="W326" i="17"/>
  <c r="X326" i="17" s="1"/>
  <c r="Z326" i="17"/>
  <c r="AV326" i="17"/>
  <c r="AT326" i="17" s="1"/>
  <c r="AX326" i="17"/>
  <c r="AY326" i="17"/>
  <c r="AZ326" i="17" s="1"/>
  <c r="BB326" i="17" s="1"/>
  <c r="BX326" i="17"/>
  <c r="BV326" i="17" s="1"/>
  <c r="CB326" i="17"/>
  <c r="CC326" i="17"/>
  <c r="CD326" i="17" s="1"/>
  <c r="CJ326" i="17"/>
  <c r="CH326" i="17" s="1"/>
  <c r="CL326" i="17"/>
  <c r="CM326" i="17"/>
  <c r="CN326" i="17"/>
  <c r="CO326" i="17" s="1"/>
  <c r="DK326" i="17"/>
  <c r="O327" i="17"/>
  <c r="T327" i="17"/>
  <c r="V327" i="17"/>
  <c r="W327" i="17"/>
  <c r="X327" i="17" s="1"/>
  <c r="Z327" i="17"/>
  <c r="AV327" i="17"/>
  <c r="AT327" i="17" s="1"/>
  <c r="AX327" i="17"/>
  <c r="AY327" i="17"/>
  <c r="AZ327" i="17" s="1"/>
  <c r="BB327" i="17"/>
  <c r="BX327" i="17"/>
  <c r="BV327" i="17" s="1"/>
  <c r="CB327" i="17"/>
  <c r="CC327" i="17"/>
  <c r="CJ327" i="17"/>
  <c r="CH327" i="17" s="1"/>
  <c r="CL327" i="17"/>
  <c r="CM327" i="17"/>
  <c r="CN327" i="17"/>
  <c r="DK327" i="17"/>
  <c r="O328" i="17"/>
  <c r="T328" i="17"/>
  <c r="R328" i="17" s="1"/>
  <c r="V328" i="17"/>
  <c r="W328" i="17"/>
  <c r="X328" i="17" s="1"/>
  <c r="Z328" i="17"/>
  <c r="AV328" i="17"/>
  <c r="AT328" i="17" s="1"/>
  <c r="AX328" i="17"/>
  <c r="AY328" i="17"/>
  <c r="AZ328" i="17" s="1"/>
  <c r="BX328" i="17"/>
  <c r="BV328" i="17" s="1"/>
  <c r="CB328" i="17"/>
  <c r="CC328" i="17"/>
  <c r="CD328" i="17" s="1"/>
  <c r="CJ328" i="17"/>
  <c r="CH328" i="17" s="1"/>
  <c r="CL328" i="17"/>
  <c r="CM328" i="17"/>
  <c r="CN328" i="17"/>
  <c r="CO328" i="17" s="1"/>
  <c r="DK328" i="17"/>
  <c r="O329" i="17"/>
  <c r="T329" i="17"/>
  <c r="R329" i="17" s="1"/>
  <c r="V329" i="17"/>
  <c r="W329" i="17"/>
  <c r="X329" i="17" s="1"/>
  <c r="Z329" i="17" s="1"/>
  <c r="AV329" i="17"/>
  <c r="AT329" i="17" s="1"/>
  <c r="AX329" i="17"/>
  <c r="AY329" i="17"/>
  <c r="AZ329" i="17" s="1"/>
  <c r="BX329" i="17"/>
  <c r="BV329" i="17" s="1"/>
  <c r="CB329" i="17"/>
  <c r="CC329" i="17"/>
  <c r="CD329" i="17" s="1"/>
  <c r="CJ329" i="17"/>
  <c r="CL329" i="17"/>
  <c r="CM329" i="17"/>
  <c r="CN329" i="17"/>
  <c r="CO329" i="17" s="1"/>
  <c r="DK329" i="17"/>
  <c r="O330" i="17"/>
  <c r="T330" i="17"/>
  <c r="R330" i="17" s="1"/>
  <c r="V330" i="17"/>
  <c r="W330" i="17"/>
  <c r="X330" i="17" s="1"/>
  <c r="AV330" i="17"/>
  <c r="AT330" i="17" s="1"/>
  <c r="AX330" i="17"/>
  <c r="AY330" i="17"/>
  <c r="AZ330" i="17" s="1"/>
  <c r="BX330" i="17"/>
  <c r="BV330" i="17" s="1"/>
  <c r="CB330" i="17"/>
  <c r="CC330" i="17"/>
  <c r="CJ330" i="17"/>
  <c r="CH330" i="17" s="1"/>
  <c r="CL330" i="17"/>
  <c r="CM330" i="17"/>
  <c r="CN330" i="17"/>
  <c r="CO330" i="17" s="1"/>
  <c r="DK330" i="17"/>
  <c r="O331" i="17"/>
  <c r="T331" i="17"/>
  <c r="V331" i="17"/>
  <c r="W331" i="17"/>
  <c r="X331" i="17" s="1"/>
  <c r="AV331" i="17"/>
  <c r="AT331" i="17" s="1"/>
  <c r="AX331" i="17"/>
  <c r="AY331" i="17"/>
  <c r="AZ331" i="17" s="1"/>
  <c r="BX331" i="17"/>
  <c r="BV331" i="17" s="1"/>
  <c r="CB331" i="17"/>
  <c r="CC331" i="17"/>
  <c r="CJ331" i="17"/>
  <c r="CH331" i="17" s="1"/>
  <c r="CL331" i="17"/>
  <c r="CM331" i="17"/>
  <c r="CN331" i="17"/>
  <c r="DK331" i="17"/>
  <c r="O332" i="17"/>
  <c r="T332" i="17"/>
  <c r="R332" i="17" s="1"/>
  <c r="V332" i="17"/>
  <c r="W332" i="17"/>
  <c r="X332" i="17" s="1"/>
  <c r="AV332" i="17"/>
  <c r="AT332" i="17" s="1"/>
  <c r="AX332" i="17"/>
  <c r="AY332" i="17"/>
  <c r="AZ332" i="17" s="1"/>
  <c r="BX332" i="17"/>
  <c r="BV332" i="17" s="1"/>
  <c r="CB332" i="17"/>
  <c r="CC332" i="17"/>
  <c r="CJ332" i="17"/>
  <c r="CH332" i="17" s="1"/>
  <c r="CL332" i="17"/>
  <c r="CM332" i="17"/>
  <c r="CN332" i="17"/>
  <c r="CO332" i="17" s="1"/>
  <c r="DK332" i="17"/>
  <c r="O333" i="17"/>
  <c r="T333" i="17"/>
  <c r="V333" i="17"/>
  <c r="W333" i="17"/>
  <c r="X333" i="17" s="1"/>
  <c r="AV333" i="17"/>
  <c r="AT333" i="17" s="1"/>
  <c r="AX333" i="17"/>
  <c r="AY333" i="17"/>
  <c r="AZ333" i="17" s="1"/>
  <c r="BX333" i="17"/>
  <c r="BV333" i="17" s="1"/>
  <c r="CB333" i="17"/>
  <c r="CC333" i="17"/>
  <c r="CD333" i="17" s="1"/>
  <c r="CJ333" i="17"/>
  <c r="CH333" i="17" s="1"/>
  <c r="CL333" i="17"/>
  <c r="CM333" i="17"/>
  <c r="CN333" i="17"/>
  <c r="DK333" i="17"/>
  <c r="O334" i="17"/>
  <c r="T334" i="17"/>
  <c r="R334" i="17" s="1"/>
  <c r="V334" i="17"/>
  <c r="W334" i="17"/>
  <c r="X334" i="17" s="1"/>
  <c r="Z334" i="17"/>
  <c r="AV334" i="17"/>
  <c r="AT334" i="17" s="1"/>
  <c r="AX334" i="17"/>
  <c r="AY334" i="17"/>
  <c r="AZ334" i="17" s="1"/>
  <c r="BX334" i="17"/>
  <c r="BV334" i="17" s="1"/>
  <c r="CB334" i="17"/>
  <c r="CC334" i="17"/>
  <c r="CJ334" i="17"/>
  <c r="CH334" i="17" s="1"/>
  <c r="CL334" i="17"/>
  <c r="CM334" i="17"/>
  <c r="CN334" i="17"/>
  <c r="DK334" i="17"/>
  <c r="O335" i="17"/>
  <c r="T335" i="17"/>
  <c r="R335" i="17" s="1"/>
  <c r="V335" i="17"/>
  <c r="W335" i="17"/>
  <c r="X335" i="17" s="1"/>
  <c r="Z335" i="17" s="1"/>
  <c r="AV335" i="17"/>
  <c r="AT335" i="17" s="1"/>
  <c r="AX335" i="17"/>
  <c r="AY335" i="17"/>
  <c r="AZ335" i="17" s="1"/>
  <c r="BX335" i="17"/>
  <c r="BV335" i="17" s="1"/>
  <c r="CB335" i="17"/>
  <c r="CC335" i="17"/>
  <c r="CD335" i="17" s="1"/>
  <c r="CJ335" i="17"/>
  <c r="CH335" i="17" s="1"/>
  <c r="CL335" i="17"/>
  <c r="CM335" i="17"/>
  <c r="CN335" i="17"/>
  <c r="CO335" i="17" s="1"/>
  <c r="DK335" i="17"/>
  <c r="O336" i="17"/>
  <c r="T336" i="17"/>
  <c r="R336" i="17" s="1"/>
  <c r="V336" i="17"/>
  <c r="W336" i="17"/>
  <c r="X336" i="17" s="1"/>
  <c r="Z336" i="17" s="1"/>
  <c r="AV336" i="17"/>
  <c r="AT336" i="17" s="1"/>
  <c r="AX336" i="17"/>
  <c r="AY336" i="17"/>
  <c r="AZ336" i="17" s="1"/>
  <c r="BB336" i="17" s="1"/>
  <c r="BX336" i="17"/>
  <c r="BV336" i="17" s="1"/>
  <c r="CB336" i="17"/>
  <c r="CC336" i="17"/>
  <c r="CD336" i="17" s="1"/>
  <c r="CF336" i="17"/>
  <c r="CJ336" i="17"/>
  <c r="CH336" i="17" s="1"/>
  <c r="CL336" i="17"/>
  <c r="CM336" i="17"/>
  <c r="CN336" i="17"/>
  <c r="CO336" i="17" s="1"/>
  <c r="DK336" i="17"/>
  <c r="O337" i="17"/>
  <c r="T337" i="17"/>
  <c r="V337" i="17"/>
  <c r="W337" i="17"/>
  <c r="X337" i="17" s="1"/>
  <c r="Z337" i="17"/>
  <c r="AV337" i="17"/>
  <c r="AT337" i="17" s="1"/>
  <c r="AX337" i="17"/>
  <c r="AY337" i="17"/>
  <c r="AZ337" i="17" s="1"/>
  <c r="BB337" i="17" s="1"/>
  <c r="BX337" i="17"/>
  <c r="BV337" i="17" s="1"/>
  <c r="CB337" i="17"/>
  <c r="CC337" i="17"/>
  <c r="CD337" i="17" s="1"/>
  <c r="CF337" i="17" s="1"/>
  <c r="CJ337" i="17"/>
  <c r="CH337" i="17" s="1"/>
  <c r="CL337" i="17"/>
  <c r="CM337" i="17"/>
  <c r="CN337" i="17"/>
  <c r="CO337" i="17" s="1"/>
  <c r="DK337" i="17"/>
  <c r="O338" i="17"/>
  <c r="T338" i="17"/>
  <c r="R338" i="17" s="1"/>
  <c r="V338" i="17"/>
  <c r="W338" i="17"/>
  <c r="X338" i="17" s="1"/>
  <c r="Z338" i="17"/>
  <c r="AV338" i="17"/>
  <c r="AT338" i="17" s="1"/>
  <c r="AX338" i="17"/>
  <c r="AY338" i="17"/>
  <c r="AZ338" i="17" s="1"/>
  <c r="BX338" i="17"/>
  <c r="BV338" i="17" s="1"/>
  <c r="CB338" i="17"/>
  <c r="CC338" i="17"/>
  <c r="CD338" i="17" s="1"/>
  <c r="CF338" i="17" s="1"/>
  <c r="CJ338" i="17"/>
  <c r="CH338" i="17" s="1"/>
  <c r="CL338" i="17"/>
  <c r="CM338" i="17"/>
  <c r="CN338" i="17"/>
  <c r="DK338" i="17"/>
  <c r="O339" i="17"/>
  <c r="T339" i="17"/>
  <c r="V339" i="17"/>
  <c r="W339" i="17"/>
  <c r="X339" i="17" s="1"/>
  <c r="AV339" i="17"/>
  <c r="AT339" i="17" s="1"/>
  <c r="AX339" i="17"/>
  <c r="AY339" i="17"/>
  <c r="AZ339" i="17" s="1"/>
  <c r="BB339" i="17"/>
  <c r="BX339" i="17"/>
  <c r="BV339" i="17" s="1"/>
  <c r="CB339" i="17"/>
  <c r="CC339" i="17"/>
  <c r="CJ339" i="17"/>
  <c r="CH339" i="17" s="1"/>
  <c r="CL339" i="17"/>
  <c r="CM339" i="17"/>
  <c r="CN339" i="17"/>
  <c r="DK339" i="17"/>
  <c r="O340" i="17"/>
  <c r="T340" i="17"/>
  <c r="V340" i="17"/>
  <c r="W340" i="17"/>
  <c r="X340" i="17" s="1"/>
  <c r="AV340" i="17"/>
  <c r="AT340" i="17" s="1"/>
  <c r="AX340" i="17"/>
  <c r="AY340" i="17"/>
  <c r="AZ340" i="17" s="1"/>
  <c r="BX340" i="17"/>
  <c r="BV340" i="17" s="1"/>
  <c r="CB340" i="17"/>
  <c r="CC340" i="17"/>
  <c r="CF340" i="17"/>
  <c r="CJ340" i="17"/>
  <c r="CH340" i="17" s="1"/>
  <c r="CL340" i="17"/>
  <c r="CM340" i="17"/>
  <c r="CN340" i="17"/>
  <c r="DK340" i="17"/>
  <c r="O341" i="17"/>
  <c r="T341" i="17"/>
  <c r="R341" i="17" s="1"/>
  <c r="V341" i="17"/>
  <c r="W341" i="17"/>
  <c r="X341" i="17" s="1"/>
  <c r="AV341" i="17"/>
  <c r="AT341" i="17" s="1"/>
  <c r="AX341" i="17"/>
  <c r="AY341" i="17"/>
  <c r="AZ341" i="17" s="1"/>
  <c r="BX341" i="17"/>
  <c r="BV341" i="17" s="1"/>
  <c r="CB341" i="17"/>
  <c r="CC341" i="17"/>
  <c r="CJ341" i="17"/>
  <c r="CH341" i="17" s="1"/>
  <c r="CL341" i="17"/>
  <c r="CM341" i="17"/>
  <c r="CN341" i="17"/>
  <c r="DK341" i="17"/>
  <c r="O342" i="17"/>
  <c r="T342" i="17"/>
  <c r="R342" i="17" s="1"/>
  <c r="V342" i="17"/>
  <c r="W342" i="17"/>
  <c r="X342" i="17" s="1"/>
  <c r="AV342" i="17"/>
  <c r="AT342" i="17" s="1"/>
  <c r="AX342" i="17"/>
  <c r="AY342" i="17"/>
  <c r="AZ342" i="17" s="1"/>
  <c r="BB342" i="17"/>
  <c r="BX342" i="17"/>
  <c r="BV342" i="17" s="1"/>
  <c r="CB342" i="17"/>
  <c r="CC342" i="17"/>
  <c r="CJ342" i="17"/>
  <c r="CH342" i="17" s="1"/>
  <c r="CL342" i="17"/>
  <c r="CM342" i="17"/>
  <c r="CN342" i="17"/>
  <c r="CO342" i="17" s="1"/>
  <c r="DK342" i="17"/>
  <c r="O343" i="17"/>
  <c r="T343" i="17"/>
  <c r="R343" i="17" s="1"/>
  <c r="V343" i="17"/>
  <c r="W343" i="17"/>
  <c r="X343" i="17" s="1"/>
  <c r="Z343" i="17"/>
  <c r="AV343" i="17"/>
  <c r="AX343" i="17"/>
  <c r="AY343" i="17"/>
  <c r="AZ343" i="17" s="1"/>
  <c r="BB343" i="17"/>
  <c r="BX343" i="17"/>
  <c r="BV343" i="17" s="1"/>
  <c r="CB343" i="17"/>
  <c r="CC343" i="17"/>
  <c r="CD343" i="17" s="1"/>
  <c r="CJ343" i="17"/>
  <c r="CH343" i="17" s="1"/>
  <c r="CL343" i="17"/>
  <c r="CM343" i="17"/>
  <c r="CN343" i="17"/>
  <c r="CO343" i="17" s="1"/>
  <c r="DK343" i="17"/>
  <c r="O344" i="17"/>
  <c r="T344" i="17"/>
  <c r="R344" i="17" s="1"/>
  <c r="V344" i="17"/>
  <c r="W344" i="17"/>
  <c r="X344" i="17" s="1"/>
  <c r="Z344" i="17" s="1"/>
  <c r="AV344" i="17"/>
  <c r="AT344" i="17" s="1"/>
  <c r="AX344" i="17"/>
  <c r="AY344" i="17"/>
  <c r="AZ344" i="17" s="1"/>
  <c r="BX344" i="17"/>
  <c r="BV344" i="17" s="1"/>
  <c r="CB344" i="17"/>
  <c r="CC344" i="17"/>
  <c r="CD344" i="17" s="1"/>
  <c r="CF344" i="17" s="1"/>
  <c r="CJ344" i="17"/>
  <c r="CH344" i="17" s="1"/>
  <c r="CL344" i="17"/>
  <c r="CM344" i="17"/>
  <c r="CN344" i="17"/>
  <c r="CO344" i="17" s="1"/>
  <c r="DK344" i="17"/>
  <c r="O345" i="17"/>
  <c r="T345" i="17"/>
  <c r="R345" i="17" s="1"/>
  <c r="V345" i="17"/>
  <c r="W345" i="17"/>
  <c r="X345" i="17" s="1"/>
  <c r="Z345" i="17" s="1"/>
  <c r="AV345" i="17"/>
  <c r="AT345" i="17" s="1"/>
  <c r="AX345" i="17"/>
  <c r="AY345" i="17"/>
  <c r="AZ345" i="17" s="1"/>
  <c r="BB345" i="17"/>
  <c r="BX345" i="17"/>
  <c r="BV345" i="17" s="1"/>
  <c r="CB345" i="17"/>
  <c r="CC345" i="17"/>
  <c r="CD345" i="17" s="1"/>
  <c r="CF345" i="17" s="1"/>
  <c r="CJ345" i="17"/>
  <c r="CH345" i="17" s="1"/>
  <c r="CL345" i="17"/>
  <c r="CM345" i="17"/>
  <c r="CN345" i="17"/>
  <c r="CO345" i="17" s="1"/>
  <c r="DK345" i="17"/>
  <c r="O346" i="17"/>
  <c r="T346" i="17"/>
  <c r="R346" i="17" s="1"/>
  <c r="V346" i="17"/>
  <c r="W346" i="17"/>
  <c r="X346" i="17" s="1"/>
  <c r="AV346" i="17"/>
  <c r="AT346" i="17" s="1"/>
  <c r="AX346" i="17"/>
  <c r="AY346" i="17"/>
  <c r="AZ346" i="17" s="1"/>
  <c r="BX346" i="17"/>
  <c r="BV346" i="17" s="1"/>
  <c r="CB346" i="17"/>
  <c r="CC346" i="17"/>
  <c r="CJ346" i="17"/>
  <c r="CH346" i="17" s="1"/>
  <c r="CL346" i="17"/>
  <c r="CM346" i="17"/>
  <c r="CN346" i="17"/>
  <c r="CO346" i="17" s="1"/>
  <c r="DK346" i="17"/>
  <c r="O347" i="17"/>
  <c r="T347" i="17"/>
  <c r="V347" i="17"/>
  <c r="W347" i="17"/>
  <c r="X347" i="17" s="1"/>
  <c r="AV347" i="17"/>
  <c r="AT347" i="17" s="1"/>
  <c r="AX347" i="17"/>
  <c r="AY347" i="17"/>
  <c r="AZ347" i="17" s="1"/>
  <c r="BB347" i="17" s="1"/>
  <c r="BX347" i="17"/>
  <c r="BV347" i="17" s="1"/>
  <c r="CB347" i="17"/>
  <c r="CC347" i="17"/>
  <c r="CJ347" i="17"/>
  <c r="CH347" i="17" s="1"/>
  <c r="CL347" i="17"/>
  <c r="CM347" i="17"/>
  <c r="CN347" i="17"/>
  <c r="DK347" i="17"/>
  <c r="O348" i="17"/>
  <c r="T348" i="17"/>
  <c r="V348" i="17"/>
  <c r="W348" i="17"/>
  <c r="X348" i="17" s="1"/>
  <c r="AV348" i="17"/>
  <c r="AT348" i="17" s="1"/>
  <c r="AX348" i="17"/>
  <c r="AY348" i="17"/>
  <c r="AZ348" i="17" s="1"/>
  <c r="BB348" i="17" s="1"/>
  <c r="BX348" i="17"/>
  <c r="BV348" i="17" s="1"/>
  <c r="CB348" i="17"/>
  <c r="CC348" i="17"/>
  <c r="CJ348" i="17"/>
  <c r="CH348" i="17" s="1"/>
  <c r="CL348" i="17"/>
  <c r="CM348" i="17"/>
  <c r="CN348" i="17"/>
  <c r="CO348" i="17" s="1"/>
  <c r="DK348" i="17"/>
  <c r="O349" i="17"/>
  <c r="T349" i="17"/>
  <c r="V349" i="17"/>
  <c r="W349" i="17"/>
  <c r="X349" i="17" s="1"/>
  <c r="AV349" i="17"/>
  <c r="AT349" i="17" s="1"/>
  <c r="AX349" i="17"/>
  <c r="AY349" i="17"/>
  <c r="AZ349" i="17" s="1"/>
  <c r="BX349" i="17"/>
  <c r="BV349" i="17" s="1"/>
  <c r="CB349" i="17"/>
  <c r="CC349" i="17"/>
  <c r="CJ349" i="17"/>
  <c r="CH349" i="17" s="1"/>
  <c r="CL349" i="17"/>
  <c r="CM349" i="17"/>
  <c r="CN349" i="17"/>
  <c r="DK349" i="17"/>
  <c r="O350" i="17"/>
  <c r="T350" i="17"/>
  <c r="R350" i="17" s="1"/>
  <c r="V350" i="17"/>
  <c r="W350" i="17"/>
  <c r="X350" i="17" s="1"/>
  <c r="AV350" i="17"/>
  <c r="AT350" i="17" s="1"/>
  <c r="AX350" i="17"/>
  <c r="AY350" i="17"/>
  <c r="AZ350" i="17" s="1"/>
  <c r="BB350" i="17" s="1"/>
  <c r="BX350" i="17"/>
  <c r="BV350" i="17" s="1"/>
  <c r="CB350" i="17"/>
  <c r="CC350" i="17"/>
  <c r="CJ350" i="17"/>
  <c r="CH350" i="17" s="1"/>
  <c r="CL350" i="17"/>
  <c r="CM350" i="17"/>
  <c r="CN350" i="17"/>
  <c r="DK350" i="17"/>
  <c r="O351" i="17"/>
  <c r="T351" i="17"/>
  <c r="R351" i="17" s="1"/>
  <c r="V351" i="17"/>
  <c r="W351" i="17"/>
  <c r="X351" i="17" s="1"/>
  <c r="Z351" i="17" s="1"/>
  <c r="AV351" i="17"/>
  <c r="AT351" i="17" s="1"/>
  <c r="AX351" i="17"/>
  <c r="AY351" i="17"/>
  <c r="AZ351" i="17" s="1"/>
  <c r="BB351" i="17"/>
  <c r="BX351" i="17"/>
  <c r="CB351" i="17"/>
  <c r="CC351" i="17"/>
  <c r="CD351" i="17" s="1"/>
  <c r="CF351" i="17"/>
  <c r="CJ351" i="17"/>
  <c r="CH351" i="17" s="1"/>
  <c r="CL351" i="17"/>
  <c r="CM351" i="17"/>
  <c r="CN351" i="17"/>
  <c r="CO351" i="17" s="1"/>
  <c r="DK351" i="17"/>
  <c r="O352" i="17"/>
  <c r="T352" i="17"/>
  <c r="R352" i="17" s="1"/>
  <c r="V352" i="17"/>
  <c r="W352" i="17"/>
  <c r="X352" i="17" s="1"/>
  <c r="AV352" i="17"/>
  <c r="AT352" i="17" s="1"/>
  <c r="AX352" i="17"/>
  <c r="AY352" i="17"/>
  <c r="AZ352" i="17" s="1"/>
  <c r="BB352" i="17" s="1"/>
  <c r="BX352" i="17"/>
  <c r="BV352" i="17" s="1"/>
  <c r="CB352" i="17"/>
  <c r="CC352" i="17"/>
  <c r="CD352" i="17" s="1"/>
  <c r="CF352" i="17" s="1"/>
  <c r="CJ352" i="17"/>
  <c r="CH352" i="17" s="1"/>
  <c r="CL352" i="17"/>
  <c r="CM352" i="17"/>
  <c r="CN352" i="17"/>
  <c r="CO352" i="17" s="1"/>
  <c r="DK352" i="17"/>
  <c r="O353" i="17"/>
  <c r="T353" i="17"/>
  <c r="V353" i="17"/>
  <c r="W353" i="17"/>
  <c r="X353" i="17" s="1"/>
  <c r="AV353" i="17"/>
  <c r="AT353" i="17" s="1"/>
  <c r="AX353" i="17"/>
  <c r="AY353" i="17"/>
  <c r="AZ353" i="17" s="1"/>
  <c r="BB353" i="17" s="1"/>
  <c r="BX353" i="17"/>
  <c r="BV353" i="17" s="1"/>
  <c r="CB353" i="17"/>
  <c r="CC353" i="17"/>
  <c r="CD353" i="17" s="1"/>
  <c r="CF353" i="17" s="1"/>
  <c r="CJ353" i="17"/>
  <c r="CH353" i="17" s="1"/>
  <c r="CL353" i="17"/>
  <c r="CM353" i="17"/>
  <c r="CN353" i="17"/>
  <c r="CO353" i="17" s="1"/>
  <c r="DK353" i="17"/>
  <c r="O354" i="17"/>
  <c r="T354" i="17"/>
  <c r="R354" i="17" s="1"/>
  <c r="V354" i="17"/>
  <c r="W354" i="17"/>
  <c r="X354" i="17" s="1"/>
  <c r="Z354" i="17" s="1"/>
  <c r="AV354" i="17"/>
  <c r="AT354" i="17" s="1"/>
  <c r="AX354" i="17"/>
  <c r="AY354" i="17"/>
  <c r="AZ354" i="17" s="1"/>
  <c r="BB354" i="17"/>
  <c r="BX354" i="17"/>
  <c r="BV354" i="17" s="1"/>
  <c r="CB354" i="17"/>
  <c r="CC354" i="17"/>
  <c r="CD354" i="17" s="1"/>
  <c r="CF354" i="17"/>
  <c r="CJ354" i="17"/>
  <c r="CH354" i="17" s="1"/>
  <c r="CL354" i="17"/>
  <c r="CM354" i="17"/>
  <c r="CN354" i="17"/>
  <c r="DK354" i="17"/>
  <c r="O355" i="17"/>
  <c r="T355" i="17"/>
  <c r="V355" i="17"/>
  <c r="W355" i="17"/>
  <c r="X355" i="17" s="1"/>
  <c r="AV355" i="17"/>
  <c r="AT355" i="17" s="1"/>
  <c r="AX355" i="17"/>
  <c r="AY355" i="17"/>
  <c r="AZ355" i="17" s="1"/>
  <c r="BB355" i="17"/>
  <c r="BX355" i="17"/>
  <c r="BV355" i="17" s="1"/>
  <c r="CB355" i="17"/>
  <c r="CC355" i="17"/>
  <c r="CJ355" i="17"/>
  <c r="CH355" i="17" s="1"/>
  <c r="CL355" i="17"/>
  <c r="CM355" i="17"/>
  <c r="CN355" i="17"/>
  <c r="CO355" i="17" s="1"/>
  <c r="DK355" i="17"/>
  <c r="O356" i="17"/>
  <c r="T356" i="17"/>
  <c r="R356" i="17" s="1"/>
  <c r="V356" i="17"/>
  <c r="W356" i="17"/>
  <c r="X356" i="17" s="1"/>
  <c r="AV356" i="17"/>
  <c r="AT356" i="17" s="1"/>
  <c r="AX356" i="17"/>
  <c r="AY356" i="17"/>
  <c r="AZ356" i="17" s="1"/>
  <c r="BB356" i="17"/>
  <c r="BX356" i="17"/>
  <c r="BV356" i="17" s="1"/>
  <c r="CB356" i="17"/>
  <c r="CC356" i="17"/>
  <c r="CF356" i="17"/>
  <c r="CJ356" i="17"/>
  <c r="CH356" i="17" s="1"/>
  <c r="CL356" i="17"/>
  <c r="CM356" i="17"/>
  <c r="CN356" i="17"/>
  <c r="DK356" i="17"/>
  <c r="O357" i="17"/>
  <c r="T357" i="17"/>
  <c r="V357" i="17"/>
  <c r="W357" i="17"/>
  <c r="X357" i="17" s="1"/>
  <c r="AV357" i="17"/>
  <c r="AT357" i="17" s="1"/>
  <c r="AX357" i="17"/>
  <c r="AY357" i="17"/>
  <c r="AZ357" i="17" s="1"/>
  <c r="BX357" i="17"/>
  <c r="BV357" i="17" s="1"/>
  <c r="CB357" i="17"/>
  <c r="CC357" i="17"/>
  <c r="CJ357" i="17"/>
  <c r="CH357" i="17" s="1"/>
  <c r="CL357" i="17"/>
  <c r="CM357" i="17"/>
  <c r="CN357" i="17"/>
  <c r="DK357" i="17"/>
  <c r="O358" i="17"/>
  <c r="T358" i="17"/>
  <c r="V358" i="17"/>
  <c r="W358" i="17"/>
  <c r="X358" i="17" s="1"/>
  <c r="Z358" i="17" s="1"/>
  <c r="AV358" i="17"/>
  <c r="AT358" i="17" s="1"/>
  <c r="AX358" i="17"/>
  <c r="AY358" i="17"/>
  <c r="AZ358" i="17" s="1"/>
  <c r="BX358" i="17"/>
  <c r="BV358" i="17" s="1"/>
  <c r="CB358" i="17"/>
  <c r="CC358" i="17"/>
  <c r="CJ358" i="17"/>
  <c r="CH358" i="17" s="1"/>
  <c r="CL358" i="17"/>
  <c r="CM358" i="17"/>
  <c r="CN358" i="17"/>
  <c r="CO358" i="17" s="1"/>
  <c r="DK358" i="17"/>
  <c r="O359" i="17"/>
  <c r="T359" i="17"/>
  <c r="R359" i="17" s="1"/>
  <c r="V359" i="17"/>
  <c r="W359" i="17"/>
  <c r="X359" i="17" s="1"/>
  <c r="AV359" i="17"/>
  <c r="AT359" i="17" s="1"/>
  <c r="AX359" i="17"/>
  <c r="AY359" i="17"/>
  <c r="AZ359" i="17" s="1"/>
  <c r="BB359" i="17" s="1"/>
  <c r="BX359" i="17"/>
  <c r="BV359" i="17" s="1"/>
  <c r="CB359" i="17"/>
  <c r="CC359" i="17"/>
  <c r="CD359" i="17" s="1"/>
  <c r="CF359" i="17"/>
  <c r="CJ359" i="17"/>
  <c r="CL359" i="17"/>
  <c r="CM359" i="17"/>
  <c r="CN359" i="17"/>
  <c r="CO359" i="17" s="1"/>
  <c r="DK359" i="17"/>
  <c r="O360" i="17"/>
  <c r="T360" i="17"/>
  <c r="R360" i="17" s="1"/>
  <c r="V360" i="17"/>
  <c r="W360" i="17"/>
  <c r="X360" i="17" s="1"/>
  <c r="Z360" i="17" s="1"/>
  <c r="AV360" i="17"/>
  <c r="AT360" i="17" s="1"/>
  <c r="AX360" i="17"/>
  <c r="AY360" i="17"/>
  <c r="AZ360" i="17" s="1"/>
  <c r="BB360" i="17" s="1"/>
  <c r="BX360" i="17"/>
  <c r="CB360" i="17"/>
  <c r="CC360" i="17"/>
  <c r="CD360" i="17" s="1"/>
  <c r="CF360" i="17" s="1"/>
  <c r="CJ360" i="17"/>
  <c r="CH360" i="17" s="1"/>
  <c r="CL360" i="17"/>
  <c r="CM360" i="17"/>
  <c r="CN360" i="17"/>
  <c r="CO360" i="17" s="1"/>
  <c r="DK360" i="17"/>
  <c r="O361" i="17"/>
  <c r="T361" i="17"/>
  <c r="V361" i="17"/>
  <c r="W361" i="17"/>
  <c r="X361" i="17" s="1"/>
  <c r="AV361" i="17"/>
  <c r="AT361" i="17" s="1"/>
  <c r="AX361" i="17"/>
  <c r="AY361" i="17"/>
  <c r="AZ361" i="17" s="1"/>
  <c r="BX361" i="17"/>
  <c r="BV361" i="17" s="1"/>
  <c r="CB361" i="17"/>
  <c r="CC361" i="17"/>
  <c r="CJ361" i="17"/>
  <c r="CH361" i="17" s="1"/>
  <c r="CL361" i="17"/>
  <c r="CM361" i="17"/>
  <c r="CN361" i="17"/>
  <c r="CO361" i="17" s="1"/>
  <c r="DK361" i="17"/>
  <c r="O362" i="17"/>
  <c r="T362" i="17"/>
  <c r="R362" i="17" s="1"/>
  <c r="V362" i="17"/>
  <c r="W362" i="17"/>
  <c r="X362" i="17" s="1"/>
  <c r="AV362" i="17"/>
  <c r="AT362" i="17" s="1"/>
  <c r="AX362" i="17"/>
  <c r="AY362" i="17"/>
  <c r="AZ362" i="17" s="1"/>
  <c r="BX362" i="17"/>
  <c r="BV362" i="17" s="1"/>
  <c r="CB362" i="17"/>
  <c r="CC362" i="17"/>
  <c r="CJ362" i="17"/>
  <c r="CH362" i="17" s="1"/>
  <c r="CL362" i="17"/>
  <c r="CM362" i="17"/>
  <c r="CN362" i="17"/>
  <c r="DK362" i="17"/>
  <c r="O363" i="17"/>
  <c r="T363" i="17"/>
  <c r="V363" i="17"/>
  <c r="W363" i="17"/>
  <c r="X363" i="17" s="1"/>
  <c r="AV363" i="17"/>
  <c r="AT363" i="17" s="1"/>
  <c r="AX363" i="17"/>
  <c r="AY363" i="17"/>
  <c r="AZ363" i="17" s="1"/>
  <c r="BB363" i="17" s="1"/>
  <c r="BX363" i="17"/>
  <c r="BV363" i="17" s="1"/>
  <c r="CB363" i="17"/>
  <c r="CC363" i="17"/>
  <c r="CJ363" i="17"/>
  <c r="CH363" i="17" s="1"/>
  <c r="CL363" i="17"/>
  <c r="CM363" i="17"/>
  <c r="CN363" i="17"/>
  <c r="DK363" i="17"/>
  <c r="O364" i="17"/>
  <c r="T364" i="17"/>
  <c r="R364" i="17" s="1"/>
  <c r="V364" i="17"/>
  <c r="W364" i="17"/>
  <c r="X364" i="17" s="1"/>
  <c r="AV364" i="17"/>
  <c r="AT364" i="17" s="1"/>
  <c r="AX364" i="17"/>
  <c r="AY364" i="17"/>
  <c r="AZ364" i="17" s="1"/>
  <c r="BX364" i="17"/>
  <c r="BV364" i="17" s="1"/>
  <c r="CB364" i="17"/>
  <c r="CC364" i="17"/>
  <c r="CJ364" i="17"/>
  <c r="CH364" i="17" s="1"/>
  <c r="CL364" i="17"/>
  <c r="CM364" i="17"/>
  <c r="CN364" i="17"/>
  <c r="DK364" i="17"/>
  <c r="O365" i="17"/>
  <c r="T365" i="17"/>
  <c r="R365" i="17" s="1"/>
  <c r="V365" i="17"/>
  <c r="W365" i="17"/>
  <c r="X365" i="17" s="1"/>
  <c r="AV365" i="17"/>
  <c r="AT365" i="17" s="1"/>
  <c r="AX365" i="17"/>
  <c r="AY365" i="17"/>
  <c r="AZ365" i="17" s="1"/>
  <c r="BX365" i="17"/>
  <c r="BV365" i="17" s="1"/>
  <c r="CB365" i="17"/>
  <c r="CC365" i="17"/>
  <c r="CD365" i="17" s="1"/>
  <c r="CJ365" i="17"/>
  <c r="CH365" i="17" s="1"/>
  <c r="CL365" i="17"/>
  <c r="CM365" i="17"/>
  <c r="CN365" i="17"/>
  <c r="DK365" i="17"/>
  <c r="O366" i="17"/>
  <c r="T366" i="17"/>
  <c r="V366" i="17"/>
  <c r="W366" i="17"/>
  <c r="X366" i="17" s="1"/>
  <c r="Z366" i="17" s="1"/>
  <c r="AV366" i="17"/>
  <c r="AT366" i="17" s="1"/>
  <c r="AX366" i="17"/>
  <c r="AY366" i="17"/>
  <c r="AZ366" i="17" s="1"/>
  <c r="BX366" i="17"/>
  <c r="BV366" i="17" s="1"/>
  <c r="CB366" i="17"/>
  <c r="CC366" i="17"/>
  <c r="CF366" i="17"/>
  <c r="CJ366" i="17"/>
  <c r="CH366" i="17" s="1"/>
  <c r="CL366" i="17"/>
  <c r="CM366" i="17"/>
  <c r="CN366" i="17"/>
  <c r="CO366" i="17" s="1"/>
  <c r="DK366" i="17"/>
  <c r="O367" i="17"/>
  <c r="T367" i="17"/>
  <c r="R367" i="17" s="1"/>
  <c r="V367" i="17"/>
  <c r="W367" i="17"/>
  <c r="X367" i="17" s="1"/>
  <c r="Z367" i="17"/>
  <c r="AV367" i="17"/>
  <c r="AT367" i="17" s="1"/>
  <c r="AX367" i="17"/>
  <c r="AY367" i="17"/>
  <c r="AZ367" i="17" s="1"/>
  <c r="BX367" i="17"/>
  <c r="CB367" i="17"/>
  <c r="CC367" i="17"/>
  <c r="CD367" i="17" s="1"/>
  <c r="CJ367" i="17"/>
  <c r="CH367" i="17" s="1"/>
  <c r="CL367" i="17"/>
  <c r="CM367" i="17"/>
  <c r="CN367" i="17"/>
  <c r="CO367" i="17" s="1"/>
  <c r="DK367" i="17"/>
  <c r="O368" i="17"/>
  <c r="T368" i="17"/>
  <c r="R368" i="17" s="1"/>
  <c r="V368" i="17"/>
  <c r="W368" i="17"/>
  <c r="X368" i="17" s="1"/>
  <c r="Z368" i="17"/>
  <c r="AV368" i="17"/>
  <c r="AT368" i="17" s="1"/>
  <c r="AX368" i="17"/>
  <c r="AY368" i="17"/>
  <c r="AZ368" i="17" s="1"/>
  <c r="BB368" i="17" s="1"/>
  <c r="BX368" i="17"/>
  <c r="BV368" i="17" s="1"/>
  <c r="CB368" i="17"/>
  <c r="CC368" i="17"/>
  <c r="CD368" i="17" s="1"/>
  <c r="CJ368" i="17"/>
  <c r="CH368" i="17" s="1"/>
  <c r="CL368" i="17"/>
  <c r="CM368" i="17"/>
  <c r="CN368" i="17"/>
  <c r="CO368" i="17" s="1"/>
  <c r="DK368" i="17"/>
  <c r="O369" i="17"/>
  <c r="T369" i="17"/>
  <c r="R369" i="17" s="1"/>
  <c r="V369" i="17"/>
  <c r="W369" i="17"/>
  <c r="X369" i="17" s="1"/>
  <c r="Z369" i="17" s="1"/>
  <c r="AV369" i="17"/>
  <c r="AT369" i="17" s="1"/>
  <c r="AX369" i="17"/>
  <c r="AY369" i="17"/>
  <c r="AZ369" i="17" s="1"/>
  <c r="BX369" i="17"/>
  <c r="BV369" i="17" s="1"/>
  <c r="CB369" i="17"/>
  <c r="CC369" i="17"/>
  <c r="CD369" i="17" s="1"/>
  <c r="CJ369" i="17"/>
  <c r="CL369" i="17"/>
  <c r="CM369" i="17"/>
  <c r="CN369" i="17"/>
  <c r="DK369" i="17"/>
  <c r="O370" i="17"/>
  <c r="T370" i="17"/>
  <c r="R370" i="17" s="1"/>
  <c r="V370" i="17"/>
  <c r="W370" i="17"/>
  <c r="X370" i="17" s="1"/>
  <c r="AV370" i="17"/>
  <c r="AX370" i="17"/>
  <c r="AY370" i="17"/>
  <c r="AZ370" i="17" s="1"/>
  <c r="BB370" i="17"/>
  <c r="BX370" i="17"/>
  <c r="BV370" i="17" s="1"/>
  <c r="CB370" i="17"/>
  <c r="CC370" i="17"/>
  <c r="CJ370" i="17"/>
  <c r="CH370" i="17" s="1"/>
  <c r="CL370" i="17"/>
  <c r="CM370" i="17"/>
  <c r="CN370" i="17"/>
  <c r="CO370" i="17" s="1"/>
  <c r="DK370" i="17"/>
  <c r="O371" i="17"/>
  <c r="T371" i="17"/>
  <c r="V371" i="17"/>
  <c r="W371" i="17"/>
  <c r="X371" i="17" s="1"/>
  <c r="AV371" i="17"/>
  <c r="AT371" i="17" s="1"/>
  <c r="AX371" i="17"/>
  <c r="AY371" i="17"/>
  <c r="AZ371" i="17" s="1"/>
  <c r="BB371" i="17"/>
  <c r="BX371" i="17"/>
  <c r="BV371" i="17" s="1"/>
  <c r="CB371" i="17"/>
  <c r="CC371" i="17"/>
  <c r="CJ371" i="17"/>
  <c r="CH371" i="17" s="1"/>
  <c r="CL371" i="17"/>
  <c r="CM371" i="17"/>
  <c r="CN371" i="17"/>
  <c r="DK371" i="17"/>
  <c r="O372" i="17"/>
  <c r="T372" i="17"/>
  <c r="V372" i="17"/>
  <c r="W372" i="17"/>
  <c r="X372" i="17" s="1"/>
  <c r="Z372" i="17"/>
  <c r="AV372" i="17"/>
  <c r="AT372" i="17" s="1"/>
  <c r="AX372" i="17"/>
  <c r="AY372" i="17"/>
  <c r="AZ372" i="17" s="1"/>
  <c r="BB372" i="17"/>
  <c r="BX372" i="17"/>
  <c r="BV372" i="17" s="1"/>
  <c r="CB372" i="17"/>
  <c r="CC372" i="17"/>
  <c r="CJ372" i="17"/>
  <c r="CH372" i="17" s="1"/>
  <c r="CL372" i="17"/>
  <c r="CM372" i="17"/>
  <c r="CN372" i="17"/>
  <c r="DK372" i="17"/>
  <c r="O373" i="17"/>
  <c r="T373" i="17"/>
  <c r="V373" i="17"/>
  <c r="W373" i="17"/>
  <c r="X373" i="17" s="1"/>
  <c r="Z373" i="17"/>
  <c r="AV373" i="17"/>
  <c r="AT373" i="17" s="1"/>
  <c r="AX373" i="17"/>
  <c r="AY373" i="17"/>
  <c r="AZ373" i="17" s="1"/>
  <c r="BX373" i="17"/>
  <c r="BV373" i="17" s="1"/>
  <c r="CB373" i="17"/>
  <c r="CC373" i="17"/>
  <c r="CJ373" i="17"/>
  <c r="CH373" i="17" s="1"/>
  <c r="CL373" i="17"/>
  <c r="CM373" i="17"/>
  <c r="CN373" i="17"/>
  <c r="DK373" i="17"/>
  <c r="O374" i="17"/>
  <c r="T374" i="17"/>
  <c r="V374" i="17"/>
  <c r="W374" i="17"/>
  <c r="X374" i="17" s="1"/>
  <c r="Z374" i="17"/>
  <c r="AV374" i="17"/>
  <c r="AT374" i="17" s="1"/>
  <c r="AX374" i="17"/>
  <c r="AY374" i="17"/>
  <c r="AZ374" i="17" s="1"/>
  <c r="BX374" i="17"/>
  <c r="BV374" i="17" s="1"/>
  <c r="CB374" i="17"/>
  <c r="CC374" i="17"/>
  <c r="CJ374" i="17"/>
  <c r="CH374" i="17" s="1"/>
  <c r="CL374" i="17"/>
  <c r="CM374" i="17"/>
  <c r="CN374" i="17"/>
  <c r="CO374" i="17" s="1"/>
  <c r="DK374" i="17"/>
  <c r="O375" i="17"/>
  <c r="T375" i="17"/>
  <c r="R375" i="17" s="1"/>
  <c r="V375" i="17"/>
  <c r="W375" i="17"/>
  <c r="X375" i="17" s="1"/>
  <c r="AV375" i="17"/>
  <c r="AT375" i="17" s="1"/>
  <c r="AX375" i="17"/>
  <c r="AY375" i="17"/>
  <c r="AZ375" i="17" s="1"/>
  <c r="BB375" i="17"/>
  <c r="BX375" i="17"/>
  <c r="CB375" i="17"/>
  <c r="CC375" i="17"/>
  <c r="CD375" i="17" s="1"/>
  <c r="CF375" i="17"/>
  <c r="CJ375" i="17"/>
  <c r="CH375" i="17" s="1"/>
  <c r="CL375" i="17"/>
  <c r="CM375" i="17"/>
  <c r="CN375" i="17"/>
  <c r="CO375" i="17" s="1"/>
  <c r="DK375" i="17"/>
  <c r="O376" i="17"/>
  <c r="T376" i="17"/>
  <c r="R376" i="17" s="1"/>
  <c r="V376" i="17"/>
  <c r="W376" i="17"/>
  <c r="X376" i="17" s="1"/>
  <c r="AV376" i="17"/>
  <c r="AT376" i="17" s="1"/>
  <c r="AX376" i="17"/>
  <c r="AY376" i="17"/>
  <c r="AZ376" i="17" s="1"/>
  <c r="BB376" i="17"/>
  <c r="BX376" i="17"/>
  <c r="BV376" i="17" s="1"/>
  <c r="CB376" i="17"/>
  <c r="CC376" i="17"/>
  <c r="CD376" i="17" s="1"/>
  <c r="CF376" i="17"/>
  <c r="CJ376" i="17"/>
  <c r="CH376" i="17" s="1"/>
  <c r="CL376" i="17"/>
  <c r="CM376" i="17"/>
  <c r="CN376" i="17"/>
  <c r="CO376" i="17" s="1"/>
  <c r="DK376" i="17"/>
  <c r="O377" i="17"/>
  <c r="T377" i="17"/>
  <c r="V377" i="17"/>
  <c r="W377" i="17"/>
  <c r="X377" i="17" s="1"/>
  <c r="Z377" i="17" s="1"/>
  <c r="AV377" i="17"/>
  <c r="AT377" i="17" s="1"/>
  <c r="AX377" i="17"/>
  <c r="AY377" i="17"/>
  <c r="AZ377" i="17" s="1"/>
  <c r="BB377" i="17" s="1"/>
  <c r="BX377" i="17"/>
  <c r="BV377" i="17" s="1"/>
  <c r="CB377" i="17"/>
  <c r="CC377" i="17"/>
  <c r="CD377" i="17" s="1"/>
  <c r="CF377" i="17" s="1"/>
  <c r="CJ377" i="17"/>
  <c r="CH377" i="17" s="1"/>
  <c r="CL377" i="17"/>
  <c r="CM377" i="17"/>
  <c r="CN377" i="17"/>
  <c r="CO377" i="17" s="1"/>
  <c r="DK377" i="17"/>
  <c r="O378" i="17"/>
  <c r="T378" i="17"/>
  <c r="V378" i="17"/>
  <c r="W378" i="17"/>
  <c r="X378" i="17" s="1"/>
  <c r="Z378" i="17" s="1"/>
  <c r="AV378" i="17"/>
  <c r="AT378" i="17" s="1"/>
  <c r="AX378" i="17"/>
  <c r="AY378" i="17"/>
  <c r="AZ378" i="17" s="1"/>
  <c r="BB378" i="17"/>
  <c r="BX378" i="17"/>
  <c r="BV378" i="17" s="1"/>
  <c r="CB378" i="17"/>
  <c r="CC378" i="17"/>
  <c r="CD378" i="17" s="1"/>
  <c r="CF378" i="17" s="1"/>
  <c r="CJ378" i="17"/>
  <c r="CH378" i="17" s="1"/>
  <c r="CL378" i="17"/>
  <c r="CM378" i="17"/>
  <c r="CN378" i="17"/>
  <c r="DK378" i="17"/>
  <c r="O379" i="17"/>
  <c r="T379" i="17"/>
  <c r="V379" i="17"/>
  <c r="W379" i="17"/>
  <c r="X379" i="17" s="1"/>
  <c r="AV379" i="17"/>
  <c r="AT379" i="17" s="1"/>
  <c r="AX379" i="17"/>
  <c r="AY379" i="17"/>
  <c r="AZ379" i="17" s="1"/>
  <c r="BX379" i="17"/>
  <c r="BV379" i="17" s="1"/>
  <c r="CB379" i="17"/>
  <c r="CC379" i="17"/>
  <c r="CD379" i="17" s="1"/>
  <c r="CF379" i="17"/>
  <c r="CJ379" i="17"/>
  <c r="CH379" i="17" s="1"/>
  <c r="CL379" i="17"/>
  <c r="CM379" i="17"/>
  <c r="CN379" i="17"/>
  <c r="CO379" i="17" s="1"/>
  <c r="DK379" i="17"/>
  <c r="O380" i="17"/>
  <c r="T380" i="17"/>
  <c r="V380" i="17"/>
  <c r="W380" i="17"/>
  <c r="X380" i="17" s="1"/>
  <c r="Z380" i="17"/>
  <c r="AV380" i="17"/>
  <c r="AT380" i="17" s="1"/>
  <c r="AX380" i="17"/>
  <c r="AY380" i="17"/>
  <c r="AZ380" i="17" s="1"/>
  <c r="BX380" i="17"/>
  <c r="BV380" i="17" s="1"/>
  <c r="CB380" i="17"/>
  <c r="CC380" i="17"/>
  <c r="CJ380" i="17"/>
  <c r="CH380" i="17" s="1"/>
  <c r="CL380" i="17"/>
  <c r="CM380" i="17"/>
  <c r="CN380" i="17"/>
  <c r="CO380" i="17" s="1"/>
  <c r="DK380" i="17"/>
  <c r="O381" i="17"/>
  <c r="T381" i="17"/>
  <c r="V381" i="17"/>
  <c r="W381" i="17"/>
  <c r="X381" i="17" s="1"/>
  <c r="Z381" i="17"/>
  <c r="AV381" i="17"/>
  <c r="AT381" i="17" s="1"/>
  <c r="AX381" i="17"/>
  <c r="AY381" i="17"/>
  <c r="AZ381" i="17" s="1"/>
  <c r="BB381" i="17"/>
  <c r="BX381" i="17"/>
  <c r="BV381" i="17" s="1"/>
  <c r="CB381" i="17"/>
  <c r="CC381" i="17"/>
  <c r="CJ381" i="17"/>
  <c r="CH381" i="17" s="1"/>
  <c r="CL381" i="17"/>
  <c r="CM381" i="17"/>
  <c r="CN381" i="17"/>
  <c r="DK381" i="17"/>
  <c r="O382" i="17"/>
  <c r="T382" i="17"/>
  <c r="V382" i="17"/>
  <c r="W382" i="17"/>
  <c r="X382" i="17" s="1"/>
  <c r="Z382" i="17" s="1"/>
  <c r="AV382" i="17"/>
  <c r="AT382" i="17" s="1"/>
  <c r="AX382" i="17"/>
  <c r="AY382" i="17"/>
  <c r="AZ382" i="17" s="1"/>
  <c r="BX382" i="17"/>
  <c r="BV382" i="17" s="1"/>
  <c r="CB382" i="17"/>
  <c r="CC382" i="17"/>
  <c r="CJ382" i="17"/>
  <c r="CH382" i="17" s="1"/>
  <c r="CL382" i="17"/>
  <c r="CM382" i="17"/>
  <c r="CN382" i="17"/>
  <c r="CO382" i="17" s="1"/>
  <c r="DK382" i="17"/>
  <c r="O383" i="17"/>
  <c r="T383" i="17"/>
  <c r="R383" i="17" s="1"/>
  <c r="V383" i="17"/>
  <c r="W383" i="17"/>
  <c r="X383" i="17" s="1"/>
  <c r="Z383" i="17" s="1"/>
  <c r="AV383" i="17"/>
  <c r="AT383" i="17" s="1"/>
  <c r="AX383" i="17"/>
  <c r="AY383" i="17"/>
  <c r="AZ383" i="17" s="1"/>
  <c r="BB383" i="17" s="1"/>
  <c r="BX383" i="17"/>
  <c r="BV383" i="17" s="1"/>
  <c r="CB383" i="17"/>
  <c r="CC383" i="17"/>
  <c r="CD383" i="17" s="1"/>
  <c r="CJ383" i="17"/>
  <c r="CH383" i="17" s="1"/>
  <c r="CL383" i="17"/>
  <c r="CM383" i="17"/>
  <c r="CN383" i="17"/>
  <c r="CO383" i="17" s="1"/>
  <c r="DK383" i="17"/>
  <c r="O384" i="17"/>
  <c r="T384" i="17"/>
  <c r="R384" i="17" s="1"/>
  <c r="V384" i="17"/>
  <c r="W384" i="17"/>
  <c r="X384" i="17" s="1"/>
  <c r="AV384" i="17"/>
  <c r="AT384" i="17" s="1"/>
  <c r="AX384" i="17"/>
  <c r="AY384" i="17"/>
  <c r="AZ384" i="17" s="1"/>
  <c r="BB384" i="17"/>
  <c r="BX384" i="17"/>
  <c r="BV384" i="17" s="1"/>
  <c r="CB384" i="17"/>
  <c r="CC384" i="17"/>
  <c r="CD384" i="17" s="1"/>
  <c r="CJ384" i="17"/>
  <c r="CH384" i="17" s="1"/>
  <c r="CL384" i="17"/>
  <c r="CM384" i="17"/>
  <c r="CN384" i="17"/>
  <c r="CO384" i="17" s="1"/>
  <c r="DK384" i="17"/>
  <c r="O385" i="17"/>
  <c r="T385" i="17"/>
  <c r="V385" i="17"/>
  <c r="W385" i="17"/>
  <c r="X385" i="17" s="1"/>
  <c r="AV385" i="17"/>
  <c r="AT385" i="17" s="1"/>
  <c r="AX385" i="17"/>
  <c r="AY385" i="17"/>
  <c r="AZ385" i="17" s="1"/>
  <c r="BB385" i="17"/>
  <c r="BX385" i="17"/>
  <c r="BV385" i="17" s="1"/>
  <c r="CB385" i="17"/>
  <c r="CC385" i="17"/>
  <c r="CJ385" i="17"/>
  <c r="CH385" i="17" s="1"/>
  <c r="CL385" i="17"/>
  <c r="CM385" i="17"/>
  <c r="CN385" i="17"/>
  <c r="CO385" i="17" s="1"/>
  <c r="DK385" i="17"/>
  <c r="O386" i="17"/>
  <c r="T386" i="17"/>
  <c r="R386" i="17" s="1"/>
  <c r="V386" i="17"/>
  <c r="W386" i="17"/>
  <c r="X386" i="17" s="1"/>
  <c r="Z386" i="17"/>
  <c r="AV386" i="17"/>
  <c r="AT386" i="17" s="1"/>
  <c r="AX386" i="17"/>
  <c r="AY386" i="17"/>
  <c r="AZ386" i="17" s="1"/>
  <c r="BB386" i="17"/>
  <c r="BX386" i="17"/>
  <c r="BV386" i="17" s="1"/>
  <c r="CB386" i="17"/>
  <c r="CC386" i="17"/>
  <c r="CD386" i="17" s="1"/>
  <c r="CF386" i="17"/>
  <c r="CJ386" i="17"/>
  <c r="CH386" i="17" s="1"/>
  <c r="CL386" i="17"/>
  <c r="CM386" i="17"/>
  <c r="CN386" i="17"/>
  <c r="DK386" i="17"/>
  <c r="O387" i="17"/>
  <c r="T387" i="17"/>
  <c r="V387" i="17"/>
  <c r="W387" i="17"/>
  <c r="X387" i="17" s="1"/>
  <c r="AV387" i="17"/>
  <c r="AT387" i="17" s="1"/>
  <c r="AX387" i="17"/>
  <c r="AY387" i="17"/>
  <c r="AZ387" i="17" s="1"/>
  <c r="BB387" i="17"/>
  <c r="BX387" i="17"/>
  <c r="BV387" i="17" s="1"/>
  <c r="CB387" i="17"/>
  <c r="CC387" i="17"/>
  <c r="CD387" i="17" s="1"/>
  <c r="CF387" i="17"/>
  <c r="CJ387" i="17"/>
  <c r="CH387" i="17" s="1"/>
  <c r="CL387" i="17"/>
  <c r="CM387" i="17"/>
  <c r="CN387" i="17"/>
  <c r="CO387" i="17" s="1"/>
  <c r="DK387" i="17"/>
  <c r="O388" i="17"/>
  <c r="T388" i="17"/>
  <c r="R388" i="17" s="1"/>
  <c r="V388" i="17"/>
  <c r="W388" i="17"/>
  <c r="X388" i="17" s="1"/>
  <c r="AV388" i="17"/>
  <c r="AT388" i="17" s="1"/>
  <c r="AX388" i="17"/>
  <c r="AY388" i="17"/>
  <c r="AZ388" i="17" s="1"/>
  <c r="BB388" i="17"/>
  <c r="BX388" i="17"/>
  <c r="BV388" i="17" s="1"/>
  <c r="CB388" i="17"/>
  <c r="CC388" i="17"/>
  <c r="CD388" i="17" s="1"/>
  <c r="CF388" i="17"/>
  <c r="CJ388" i="17"/>
  <c r="CH388" i="17" s="1"/>
  <c r="CL388" i="17"/>
  <c r="CM388" i="17"/>
  <c r="CN388" i="17"/>
  <c r="CO388" i="17" s="1"/>
  <c r="DK388" i="17"/>
  <c r="O389" i="17"/>
  <c r="T389" i="17"/>
  <c r="V389" i="17"/>
  <c r="W389" i="17"/>
  <c r="X389" i="17" s="1"/>
  <c r="AV389" i="17"/>
  <c r="AT389" i="17" s="1"/>
  <c r="AX389" i="17"/>
  <c r="AY389" i="17"/>
  <c r="AZ389" i="17" s="1"/>
  <c r="BB389" i="17"/>
  <c r="BX389" i="17"/>
  <c r="BV389" i="17" s="1"/>
  <c r="CB389" i="17"/>
  <c r="CC389" i="17"/>
  <c r="CF389" i="17"/>
  <c r="CJ389" i="17"/>
  <c r="CH389" i="17" s="1"/>
  <c r="CL389" i="17"/>
  <c r="CM389" i="17"/>
  <c r="CN389" i="17"/>
  <c r="DK389" i="17"/>
  <c r="O390" i="17"/>
  <c r="T390" i="17"/>
  <c r="V390" i="17"/>
  <c r="W390" i="17"/>
  <c r="X390" i="17" s="1"/>
  <c r="Z390" i="17" s="1"/>
  <c r="AV390" i="17"/>
  <c r="AT390" i="17" s="1"/>
  <c r="AX390" i="17"/>
  <c r="AY390" i="17"/>
  <c r="AZ390" i="17" s="1"/>
  <c r="BB390" i="17"/>
  <c r="BX390" i="17"/>
  <c r="BV390" i="17" s="1"/>
  <c r="CB390" i="17"/>
  <c r="CC390" i="17"/>
  <c r="CF390" i="17"/>
  <c r="CJ390" i="17"/>
  <c r="CH390" i="17" s="1"/>
  <c r="CL390" i="17"/>
  <c r="CM390" i="17"/>
  <c r="CN390" i="17"/>
  <c r="CO390" i="17" s="1"/>
  <c r="DK390" i="17"/>
  <c r="O391" i="17"/>
  <c r="T391" i="17"/>
  <c r="R391" i="17" s="1"/>
  <c r="V391" i="17"/>
  <c r="W391" i="17"/>
  <c r="X391" i="17" s="1"/>
  <c r="Z391" i="17"/>
  <c r="AV391" i="17"/>
  <c r="AT391" i="17" s="1"/>
  <c r="AX391" i="17"/>
  <c r="AY391" i="17"/>
  <c r="AZ391" i="17" s="1"/>
  <c r="BB391" i="17"/>
  <c r="BX391" i="17"/>
  <c r="CB391" i="17"/>
  <c r="CC391" i="17"/>
  <c r="CD391" i="17" s="1"/>
  <c r="CJ391" i="17"/>
  <c r="CH391" i="17" s="1"/>
  <c r="CL391" i="17"/>
  <c r="CM391" i="17"/>
  <c r="CN391" i="17"/>
  <c r="CO391" i="17" s="1"/>
  <c r="DK391" i="17"/>
  <c r="O392" i="17"/>
  <c r="T392" i="17"/>
  <c r="R392" i="17" s="1"/>
  <c r="V392" i="17"/>
  <c r="W392" i="17"/>
  <c r="X392" i="17" s="1"/>
  <c r="Z392" i="17"/>
  <c r="AV392" i="17"/>
  <c r="AT392" i="17" s="1"/>
  <c r="AX392" i="17"/>
  <c r="AY392" i="17"/>
  <c r="AZ392" i="17" s="1"/>
  <c r="BB392" i="17"/>
  <c r="BX392" i="17"/>
  <c r="CB392" i="17"/>
  <c r="CC392" i="17"/>
  <c r="CD392" i="17" s="1"/>
  <c r="CJ392" i="17"/>
  <c r="CH392" i="17" s="1"/>
  <c r="CL392" i="17"/>
  <c r="CM392" i="17"/>
  <c r="CN392" i="17"/>
  <c r="CO392" i="17" s="1"/>
  <c r="DK392" i="17"/>
  <c r="T393" i="17"/>
  <c r="R393" i="17" s="1"/>
  <c r="V393" i="17"/>
  <c r="W393" i="17"/>
  <c r="X393" i="17" s="1"/>
  <c r="Z393" i="17"/>
  <c r="AV393" i="17"/>
  <c r="AT393" i="17" s="1"/>
  <c r="AX393" i="17"/>
  <c r="AY393" i="17"/>
  <c r="AZ393" i="17" s="1"/>
  <c r="BB393" i="17" s="1"/>
  <c r="BX393" i="17"/>
  <c r="BV393" i="17" s="1"/>
  <c r="CB393" i="17"/>
  <c r="CC393" i="17"/>
  <c r="CJ393" i="17"/>
  <c r="CH393" i="17" s="1"/>
  <c r="CL393" i="17"/>
  <c r="CM393" i="17"/>
  <c r="CN393" i="17"/>
  <c r="CO393" i="17" s="1"/>
  <c r="DK393" i="17"/>
  <c r="O394" i="17"/>
  <c r="T394" i="17"/>
  <c r="R394" i="17" s="1"/>
  <c r="V394" i="17"/>
  <c r="W394" i="17"/>
  <c r="X394" i="17" s="1"/>
  <c r="AV394" i="17"/>
  <c r="AT394" i="17" s="1"/>
  <c r="AX394" i="17"/>
  <c r="AY394" i="17"/>
  <c r="AZ394" i="17" s="1"/>
  <c r="BX394" i="17"/>
  <c r="BV394" i="17" s="1"/>
  <c r="CB394" i="17"/>
  <c r="CC394" i="17"/>
  <c r="CJ394" i="17"/>
  <c r="CL394" i="17"/>
  <c r="CM394" i="17"/>
  <c r="CN394" i="17"/>
  <c r="CO394" i="17" s="1"/>
  <c r="DK394" i="17"/>
  <c r="O395" i="17"/>
  <c r="T395" i="17"/>
  <c r="R395" i="17" s="1"/>
  <c r="V395" i="17"/>
  <c r="W395" i="17"/>
  <c r="X395" i="17" s="1"/>
  <c r="Z395" i="17"/>
  <c r="AV395" i="17"/>
  <c r="AT395" i="17" s="1"/>
  <c r="AX395" i="17"/>
  <c r="AY395" i="17"/>
  <c r="AZ395" i="17" s="1"/>
  <c r="BB395" i="17"/>
  <c r="BX395" i="17"/>
  <c r="BV395" i="17" s="1"/>
  <c r="CB395" i="17"/>
  <c r="CC395" i="17"/>
  <c r="CD395" i="17" s="1"/>
  <c r="CJ395" i="17"/>
  <c r="CH395" i="17" s="1"/>
  <c r="CL395" i="17"/>
  <c r="CM395" i="17"/>
  <c r="CN395" i="17"/>
  <c r="DK395" i="17"/>
  <c r="O396" i="17"/>
  <c r="T396" i="17"/>
  <c r="V396" i="17"/>
  <c r="W396" i="17"/>
  <c r="X396" i="17" s="1"/>
  <c r="AV396" i="17"/>
  <c r="AT396" i="17" s="1"/>
  <c r="AX396" i="17"/>
  <c r="AY396" i="17"/>
  <c r="AZ396" i="17" s="1"/>
  <c r="BX396" i="17"/>
  <c r="BV396" i="17" s="1"/>
  <c r="CB396" i="17"/>
  <c r="CC396" i="17"/>
  <c r="CD396" i="17" s="1"/>
  <c r="CJ396" i="17"/>
  <c r="CH396" i="17" s="1"/>
  <c r="CL396" i="17"/>
  <c r="CM396" i="17"/>
  <c r="CN396" i="17"/>
  <c r="CO396" i="17" s="1"/>
  <c r="DK396" i="17"/>
  <c r="O397" i="17"/>
  <c r="T397" i="17"/>
  <c r="R397" i="17" s="1"/>
  <c r="V397" i="17"/>
  <c r="W397" i="17"/>
  <c r="X397" i="17" s="1"/>
  <c r="Z397" i="17" s="1"/>
  <c r="AV397" i="17"/>
  <c r="AX397" i="17"/>
  <c r="AY397" i="17"/>
  <c r="AZ397" i="17" s="1"/>
  <c r="BX397" i="17"/>
  <c r="BV397" i="17" s="1"/>
  <c r="CB397" i="17"/>
  <c r="CC397" i="17"/>
  <c r="CD397" i="17" s="1"/>
  <c r="CF397" i="17"/>
  <c r="CJ397" i="17"/>
  <c r="CH397" i="17" s="1"/>
  <c r="CL397" i="17"/>
  <c r="CM397" i="17"/>
  <c r="CN397" i="17"/>
  <c r="DK397" i="17"/>
  <c r="S398" i="17"/>
  <c r="U398" i="17"/>
  <c r="V398" i="17" s="1"/>
  <c r="AU398" i="17"/>
  <c r="AX398" i="17"/>
  <c r="CB398" i="17"/>
  <c r="CM398" i="17"/>
  <c r="DK398" i="17"/>
  <c r="O399" i="17"/>
  <c r="T399" i="17"/>
  <c r="R399" i="17" s="1"/>
  <c r="V399" i="17"/>
  <c r="W399" i="17"/>
  <c r="X399" i="17" s="1"/>
  <c r="AV399" i="17"/>
  <c r="AX399" i="17"/>
  <c r="AY399" i="17"/>
  <c r="AZ399" i="17" s="1"/>
  <c r="BB399" i="17" s="1"/>
  <c r="BX399" i="17"/>
  <c r="BV399" i="17" s="1"/>
  <c r="CB399" i="17"/>
  <c r="CC399" i="17"/>
  <c r="CD399" i="17" s="1"/>
  <c r="CF399" i="17"/>
  <c r="CJ399" i="17"/>
  <c r="CH399" i="17" s="1"/>
  <c r="CL399" i="17"/>
  <c r="CM399" i="17"/>
  <c r="CN399" i="17"/>
  <c r="CO399" i="17" s="1"/>
  <c r="DK399" i="17"/>
  <c r="O400" i="17"/>
  <c r="T400" i="17"/>
  <c r="R400" i="17" s="1"/>
  <c r="V400" i="17"/>
  <c r="W400" i="17"/>
  <c r="X400" i="17" s="1"/>
  <c r="Z400" i="17" s="1"/>
  <c r="AV400" i="17"/>
  <c r="AT400" i="17" s="1"/>
  <c r="AX400" i="17"/>
  <c r="AY400" i="17"/>
  <c r="AZ400" i="17" s="1"/>
  <c r="BB400" i="17" s="1"/>
  <c r="BX400" i="17"/>
  <c r="CB400" i="17"/>
  <c r="CC400" i="17"/>
  <c r="CD400" i="17" s="1"/>
  <c r="CF400" i="17"/>
  <c r="CJ400" i="17"/>
  <c r="CH400" i="17" s="1"/>
  <c r="CL400" i="17"/>
  <c r="CM400" i="17"/>
  <c r="CN400" i="17"/>
  <c r="CO400" i="17" s="1"/>
  <c r="DK400" i="17"/>
  <c r="O401" i="17"/>
  <c r="T401" i="17"/>
  <c r="V401" i="17"/>
  <c r="W401" i="17"/>
  <c r="X401" i="17" s="1"/>
  <c r="Z401" i="17" s="1"/>
  <c r="AV401" i="17"/>
  <c r="AT401" i="17" s="1"/>
  <c r="AX401" i="17"/>
  <c r="AY401" i="17"/>
  <c r="AZ401" i="17" s="1"/>
  <c r="BX401" i="17"/>
  <c r="BV401" i="17" s="1"/>
  <c r="CB401" i="17"/>
  <c r="CC401" i="17"/>
  <c r="CD401" i="17" s="1"/>
  <c r="CJ401" i="17"/>
  <c r="CH401" i="17" s="1"/>
  <c r="CL401" i="17"/>
  <c r="CM401" i="17"/>
  <c r="CN401" i="17"/>
  <c r="CO401" i="17" s="1"/>
  <c r="DK401" i="17"/>
  <c r="O402" i="17"/>
  <c r="T402" i="17"/>
  <c r="R402" i="17" s="1"/>
  <c r="V402" i="17"/>
  <c r="W402" i="17"/>
  <c r="X402" i="17" s="1"/>
  <c r="Z402" i="17" s="1"/>
  <c r="AV402" i="17"/>
  <c r="AT402" i="17" s="1"/>
  <c r="AX402" i="17"/>
  <c r="AY402" i="17"/>
  <c r="AZ402" i="17" s="1"/>
  <c r="BX402" i="17"/>
  <c r="BV402" i="17" s="1"/>
  <c r="CB402" i="17"/>
  <c r="CC402" i="17"/>
  <c r="CD402" i="17" s="1"/>
  <c r="CF402" i="17" s="1"/>
  <c r="CJ402" i="17"/>
  <c r="CH402" i="17" s="1"/>
  <c r="CL402" i="17"/>
  <c r="CM402" i="17"/>
  <c r="CN402" i="17"/>
  <c r="CO402" i="17" s="1"/>
  <c r="DK402" i="17"/>
  <c r="O403" i="17"/>
  <c r="T403" i="17"/>
  <c r="R403" i="17" s="1"/>
  <c r="V403" i="17"/>
  <c r="W403" i="17"/>
  <c r="X403" i="17" s="1"/>
  <c r="AV403" i="17"/>
  <c r="AT403" i="17" s="1"/>
  <c r="AX403" i="17"/>
  <c r="AY403" i="17"/>
  <c r="AZ403" i="17" s="1"/>
  <c r="BB403" i="17"/>
  <c r="BX403" i="17"/>
  <c r="BV403" i="17" s="1"/>
  <c r="CB403" i="17"/>
  <c r="CC403" i="17"/>
  <c r="CD403" i="17" s="1"/>
  <c r="CF403" i="17"/>
  <c r="CJ403" i="17"/>
  <c r="CH403" i="17" s="1"/>
  <c r="CL403" i="17"/>
  <c r="CM403" i="17"/>
  <c r="CN403" i="17"/>
  <c r="DK403" i="17"/>
  <c r="O404" i="17"/>
  <c r="T404" i="17"/>
  <c r="V404" i="17"/>
  <c r="W404" i="17"/>
  <c r="X404" i="17" s="1"/>
  <c r="AV404" i="17"/>
  <c r="AT404" i="17" s="1"/>
  <c r="AX404" i="17"/>
  <c r="AY404" i="17"/>
  <c r="AZ404" i="17" s="1"/>
  <c r="BX404" i="17"/>
  <c r="BV404" i="17" s="1"/>
  <c r="CB404" i="17"/>
  <c r="CC404" i="17"/>
  <c r="CJ404" i="17"/>
  <c r="CH404" i="17" s="1"/>
  <c r="CL404" i="17"/>
  <c r="CM404" i="17"/>
  <c r="CN404" i="17"/>
  <c r="CO404" i="17" s="1"/>
  <c r="DK404" i="17"/>
  <c r="O405" i="17"/>
  <c r="T405" i="17"/>
  <c r="R405" i="17" s="1"/>
  <c r="V405" i="17"/>
  <c r="W405" i="17"/>
  <c r="X405" i="17" s="1"/>
  <c r="Z405" i="17"/>
  <c r="AV405" i="17"/>
  <c r="AX405" i="17"/>
  <c r="AY405" i="17"/>
  <c r="AZ405" i="17" s="1"/>
  <c r="BB405" i="17"/>
  <c r="BX405" i="17"/>
  <c r="BV405" i="17" s="1"/>
  <c r="CB405" i="17"/>
  <c r="CC405" i="17"/>
  <c r="CD405" i="17" s="1"/>
  <c r="CJ405" i="17"/>
  <c r="CH405" i="17" s="1"/>
  <c r="CL405" i="17"/>
  <c r="CM405" i="17"/>
  <c r="CN405" i="17"/>
  <c r="CO405" i="17" s="1"/>
  <c r="DK405" i="17"/>
  <c r="O406" i="17"/>
  <c r="T406" i="17"/>
  <c r="R406" i="17" s="1"/>
  <c r="V406" i="17"/>
  <c r="W406" i="17"/>
  <c r="X406" i="17" s="1"/>
  <c r="AV406" i="17"/>
  <c r="AT406" i="17" s="1"/>
  <c r="AX406" i="17"/>
  <c r="AY406" i="17"/>
  <c r="AZ406" i="17" s="1"/>
  <c r="BB406" i="17"/>
  <c r="BX406" i="17"/>
  <c r="BV406" i="17" s="1"/>
  <c r="CB406" i="17"/>
  <c r="CC406" i="17"/>
  <c r="CF406" i="17"/>
  <c r="CJ406" i="17"/>
  <c r="CH406" i="17" s="1"/>
  <c r="CL406" i="17"/>
  <c r="CM406" i="17"/>
  <c r="CN406" i="17"/>
  <c r="CO406" i="17" s="1"/>
  <c r="DK406" i="17"/>
  <c r="O407" i="17"/>
  <c r="T407" i="17"/>
  <c r="R407" i="17" s="1"/>
  <c r="V407" i="17"/>
  <c r="W407" i="17"/>
  <c r="X407" i="17" s="1"/>
  <c r="AV407" i="17"/>
  <c r="AX407" i="17"/>
  <c r="AY407" i="17"/>
  <c r="AZ407" i="17" s="1"/>
  <c r="BB407" i="17" s="1"/>
  <c r="BX407" i="17"/>
  <c r="BV407" i="17" s="1"/>
  <c r="CB407" i="17"/>
  <c r="CC407" i="17"/>
  <c r="CD407" i="17" s="1"/>
  <c r="CF407" i="17"/>
  <c r="CJ407" i="17"/>
  <c r="CH407" i="17" s="1"/>
  <c r="CL407" i="17"/>
  <c r="CM407" i="17"/>
  <c r="CN407" i="17"/>
  <c r="CO407" i="17" s="1"/>
  <c r="DK407" i="17"/>
  <c r="O408" i="17"/>
  <c r="T408" i="17"/>
  <c r="R408" i="17" s="1"/>
  <c r="V408" i="17"/>
  <c r="W408" i="17"/>
  <c r="X408" i="17" s="1"/>
  <c r="AV408" i="17"/>
  <c r="AT408" i="17" s="1"/>
  <c r="AX408" i="17"/>
  <c r="AY408" i="17"/>
  <c r="AZ408" i="17" s="1"/>
  <c r="BB408" i="17"/>
  <c r="BX408" i="17"/>
  <c r="CB408" i="17"/>
  <c r="CC408" i="17"/>
  <c r="CD408" i="17" s="1"/>
  <c r="CF408" i="17" s="1"/>
  <c r="CJ408" i="17"/>
  <c r="CH408" i="17" s="1"/>
  <c r="CL408" i="17"/>
  <c r="CM408" i="17"/>
  <c r="CN408" i="17"/>
  <c r="CO408" i="17" s="1"/>
  <c r="DK408" i="17"/>
  <c r="O409" i="17"/>
  <c r="T409" i="17"/>
  <c r="V409" i="17"/>
  <c r="W409" i="17"/>
  <c r="X409" i="17" s="1"/>
  <c r="AV409" i="17"/>
  <c r="AT409" i="17" s="1"/>
  <c r="AX409" i="17"/>
  <c r="AY409" i="17"/>
  <c r="AZ409" i="17" s="1"/>
  <c r="BX409" i="17"/>
  <c r="BV409" i="17" s="1"/>
  <c r="CB409" i="17"/>
  <c r="CC409" i="17"/>
  <c r="CD409" i="17" s="1"/>
  <c r="CJ409" i="17"/>
  <c r="CH409" i="17" s="1"/>
  <c r="CL409" i="17"/>
  <c r="CM409" i="17"/>
  <c r="CN409" i="17"/>
  <c r="CO409" i="17" s="1"/>
  <c r="DK409" i="17"/>
  <c r="O410" i="17"/>
  <c r="T410" i="17"/>
  <c r="R410" i="17" s="1"/>
  <c r="V410" i="17"/>
  <c r="W410" i="17"/>
  <c r="X410" i="17" s="1"/>
  <c r="Z410" i="17" s="1"/>
  <c r="AV410" i="17"/>
  <c r="AT410" i="17" s="1"/>
  <c r="AX410" i="17"/>
  <c r="AY410" i="17"/>
  <c r="AZ410" i="17" s="1"/>
  <c r="BX410" i="17"/>
  <c r="BV410" i="17" s="1"/>
  <c r="CB410" i="17"/>
  <c r="CC410" i="17"/>
  <c r="CJ410" i="17"/>
  <c r="CH410" i="17" s="1"/>
  <c r="CL410" i="17"/>
  <c r="CM410" i="17"/>
  <c r="CN410" i="17"/>
  <c r="CO410" i="17" s="1"/>
  <c r="DK410" i="17"/>
  <c r="O411" i="17"/>
  <c r="T411" i="17"/>
  <c r="R411" i="17" s="1"/>
  <c r="V411" i="17"/>
  <c r="W411" i="17"/>
  <c r="X411" i="17" s="1"/>
  <c r="AV411" i="17"/>
  <c r="AT411" i="17" s="1"/>
  <c r="AX411" i="17"/>
  <c r="AY411" i="17"/>
  <c r="AZ411" i="17" s="1"/>
  <c r="BB411" i="17" s="1"/>
  <c r="BX411" i="17"/>
  <c r="BV411" i="17" s="1"/>
  <c r="CB411" i="17"/>
  <c r="CC411" i="17"/>
  <c r="CJ411" i="17"/>
  <c r="CH411" i="17" s="1"/>
  <c r="CL411" i="17"/>
  <c r="CM411" i="17"/>
  <c r="CN411" i="17"/>
  <c r="DK411" i="17"/>
  <c r="O412" i="17"/>
  <c r="T412" i="17"/>
  <c r="V412" i="17"/>
  <c r="W412" i="17"/>
  <c r="X412" i="17" s="1"/>
  <c r="Z412" i="17" s="1"/>
  <c r="AV412" i="17"/>
  <c r="AT412" i="17" s="1"/>
  <c r="AX412" i="17"/>
  <c r="AY412" i="17"/>
  <c r="AZ412" i="17" s="1"/>
  <c r="BX412" i="17"/>
  <c r="BV412" i="17" s="1"/>
  <c r="CB412" i="17"/>
  <c r="CC412" i="17"/>
  <c r="CJ412" i="17"/>
  <c r="CH412" i="17" s="1"/>
  <c r="CL412" i="17"/>
  <c r="CM412" i="17"/>
  <c r="CN412" i="17"/>
  <c r="CO412" i="17" s="1"/>
  <c r="DK412" i="17"/>
  <c r="O413" i="17"/>
  <c r="T413" i="17"/>
  <c r="R413" i="17" s="1"/>
  <c r="V413" i="17"/>
  <c r="W413" i="17"/>
  <c r="X413" i="17" s="1"/>
  <c r="Z413" i="17" s="1"/>
  <c r="AV413" i="17"/>
  <c r="AX413" i="17"/>
  <c r="AY413" i="17"/>
  <c r="AZ413" i="17" s="1"/>
  <c r="BB413" i="17" s="1"/>
  <c r="BX413" i="17"/>
  <c r="BV413" i="17" s="1"/>
  <c r="CB413" i="17"/>
  <c r="CC413" i="17"/>
  <c r="CD413" i="17" s="1"/>
  <c r="CF413" i="17"/>
  <c r="CJ413" i="17"/>
  <c r="CH413" i="17" s="1"/>
  <c r="CL413" i="17"/>
  <c r="CM413" i="17"/>
  <c r="CN413" i="17"/>
  <c r="CO413" i="17" s="1"/>
  <c r="DK413" i="17"/>
  <c r="O414" i="17"/>
  <c r="T414" i="17"/>
  <c r="R414" i="17" s="1"/>
  <c r="V414" i="17"/>
  <c r="W414" i="17"/>
  <c r="X414" i="17" s="1"/>
  <c r="AV414" i="17"/>
  <c r="AT414" i="17" s="1"/>
  <c r="AX414" i="17"/>
  <c r="AY414" i="17"/>
  <c r="AZ414" i="17" s="1"/>
  <c r="BB414" i="17" s="1"/>
  <c r="BX414" i="17"/>
  <c r="BV414" i="17" s="1"/>
  <c r="CB414" i="17"/>
  <c r="CC414" i="17"/>
  <c r="CJ414" i="17"/>
  <c r="CH414" i="17" s="1"/>
  <c r="CL414" i="17"/>
  <c r="CM414" i="17"/>
  <c r="CN414" i="17"/>
  <c r="CO414" i="17" s="1"/>
  <c r="DK414" i="17"/>
  <c r="O415" i="17"/>
  <c r="T415" i="17"/>
  <c r="R415" i="17" s="1"/>
  <c r="V415" i="17"/>
  <c r="W415" i="17"/>
  <c r="X415" i="17" s="1"/>
  <c r="AV415" i="17"/>
  <c r="AX415" i="17"/>
  <c r="AY415" i="17"/>
  <c r="AZ415" i="17" s="1"/>
  <c r="BB415" i="17" s="1"/>
  <c r="BX415" i="17"/>
  <c r="BV415" i="17" s="1"/>
  <c r="CB415" i="17"/>
  <c r="CC415" i="17"/>
  <c r="CD415" i="17" s="1"/>
  <c r="CF415" i="17" s="1"/>
  <c r="CJ415" i="17"/>
  <c r="CH415" i="17" s="1"/>
  <c r="CL415" i="17"/>
  <c r="CM415" i="17"/>
  <c r="CN415" i="17"/>
  <c r="CO415" i="17" s="1"/>
  <c r="DK415" i="17"/>
  <c r="O416" i="17"/>
  <c r="T416" i="17"/>
  <c r="R416" i="17" s="1"/>
  <c r="V416" i="17"/>
  <c r="W416" i="17"/>
  <c r="X416" i="17" s="1"/>
  <c r="Z416" i="17" s="1"/>
  <c r="AV416" i="17"/>
  <c r="AT416" i="17" s="1"/>
  <c r="AX416" i="17"/>
  <c r="AY416" i="17"/>
  <c r="AZ416" i="17" s="1"/>
  <c r="BB416" i="17"/>
  <c r="BX416" i="17"/>
  <c r="CB416" i="17"/>
  <c r="CC416" i="17"/>
  <c r="CD416" i="17" s="1"/>
  <c r="CF416" i="17" s="1"/>
  <c r="CJ416" i="17"/>
  <c r="CH416" i="17" s="1"/>
  <c r="CL416" i="17"/>
  <c r="CM416" i="17"/>
  <c r="CN416" i="17"/>
  <c r="CO416" i="17" s="1"/>
  <c r="DK416" i="17"/>
  <c r="O417" i="17"/>
  <c r="T417" i="17"/>
  <c r="V417" i="17"/>
  <c r="W417" i="17"/>
  <c r="X417" i="17" s="1"/>
  <c r="Z417" i="17" s="1"/>
  <c r="AV417" i="17"/>
  <c r="AT417" i="17" s="1"/>
  <c r="AX417" i="17"/>
  <c r="AY417" i="17"/>
  <c r="AZ417" i="17" s="1"/>
  <c r="BX417" i="17"/>
  <c r="BV417" i="17" s="1"/>
  <c r="CB417" i="17"/>
  <c r="CC417" i="17"/>
  <c r="CD417" i="17" s="1"/>
  <c r="CJ417" i="17"/>
  <c r="CH417" i="17" s="1"/>
  <c r="CL417" i="17"/>
  <c r="CM417" i="17"/>
  <c r="CN417" i="17"/>
  <c r="CO417" i="17" s="1"/>
  <c r="DK417" i="17"/>
  <c r="O418" i="17"/>
  <c r="T418" i="17"/>
  <c r="R418" i="17" s="1"/>
  <c r="V418" i="17"/>
  <c r="W418" i="17"/>
  <c r="X418" i="17" s="1"/>
  <c r="Z418" i="17" s="1"/>
  <c r="AV418" i="17"/>
  <c r="AT418" i="17" s="1"/>
  <c r="AX418" i="17"/>
  <c r="AY418" i="17"/>
  <c r="AZ418" i="17" s="1"/>
  <c r="BX418" i="17"/>
  <c r="BV418" i="17" s="1"/>
  <c r="CB418" i="17"/>
  <c r="CC418" i="17"/>
  <c r="CJ418" i="17"/>
  <c r="CH418" i="17" s="1"/>
  <c r="CL418" i="17"/>
  <c r="CM418" i="17"/>
  <c r="CN418" i="17"/>
  <c r="CO418" i="17" s="1"/>
  <c r="DK418" i="17"/>
  <c r="O419" i="17"/>
  <c r="T419" i="17"/>
  <c r="R419" i="17" s="1"/>
  <c r="V419" i="17"/>
  <c r="W419" i="17"/>
  <c r="X419" i="17" s="1"/>
  <c r="AV419" i="17"/>
  <c r="AT419" i="17" s="1"/>
  <c r="AX419" i="17"/>
  <c r="AY419" i="17"/>
  <c r="AZ419" i="17" s="1"/>
  <c r="BB419" i="17"/>
  <c r="BX419" i="17"/>
  <c r="BV419" i="17" s="1"/>
  <c r="CB419" i="17"/>
  <c r="CC419" i="17"/>
  <c r="CD419" i="17" s="1"/>
  <c r="CJ419" i="17"/>
  <c r="CH419" i="17" s="1"/>
  <c r="CL419" i="17"/>
  <c r="CM419" i="17"/>
  <c r="CN419" i="17"/>
  <c r="DK419" i="17"/>
  <c r="O420" i="17"/>
  <c r="T420" i="17"/>
  <c r="V420" i="17"/>
  <c r="W420" i="17"/>
  <c r="X420" i="17" s="1"/>
  <c r="AV420" i="17"/>
  <c r="AT420" i="17" s="1"/>
  <c r="AX420" i="17"/>
  <c r="AY420" i="17"/>
  <c r="AZ420" i="17" s="1"/>
  <c r="BX420" i="17"/>
  <c r="BV420" i="17" s="1"/>
  <c r="CB420" i="17"/>
  <c r="CC420" i="17"/>
  <c r="CJ420" i="17"/>
  <c r="CH420" i="17" s="1"/>
  <c r="CL420" i="17"/>
  <c r="CM420" i="17"/>
  <c r="CN420" i="17"/>
  <c r="CO420" i="17" s="1"/>
  <c r="DK420" i="17"/>
  <c r="O421" i="17"/>
  <c r="T421" i="17"/>
  <c r="R421" i="17" s="1"/>
  <c r="V421" i="17"/>
  <c r="W421" i="17"/>
  <c r="X421" i="17" s="1"/>
  <c r="Z421" i="17" s="1"/>
  <c r="AV421" i="17"/>
  <c r="AX421" i="17"/>
  <c r="AY421" i="17"/>
  <c r="AZ421" i="17" s="1"/>
  <c r="BB421" i="17"/>
  <c r="BX421" i="17"/>
  <c r="BV421" i="17" s="1"/>
  <c r="CB421" i="17"/>
  <c r="CC421" i="17"/>
  <c r="CD421" i="17" s="1"/>
  <c r="CJ421" i="17"/>
  <c r="CH421" i="17" s="1"/>
  <c r="CL421" i="17"/>
  <c r="CM421" i="17"/>
  <c r="CN421" i="17"/>
  <c r="CO421" i="17" s="1"/>
  <c r="DK421" i="17"/>
  <c r="O422" i="17"/>
  <c r="T422" i="17"/>
  <c r="R422" i="17" s="1"/>
  <c r="V422" i="17"/>
  <c r="W422" i="17"/>
  <c r="X422" i="17" s="1"/>
  <c r="AV422" i="17"/>
  <c r="AT422" i="17" s="1"/>
  <c r="AX422" i="17"/>
  <c r="AY422" i="17"/>
  <c r="AZ422" i="17" s="1"/>
  <c r="BB422" i="17" s="1"/>
  <c r="BX422" i="17"/>
  <c r="BV422" i="17" s="1"/>
  <c r="CB422" i="17"/>
  <c r="CC422" i="17"/>
  <c r="CJ422" i="17"/>
  <c r="CH422" i="17" s="1"/>
  <c r="CL422" i="17"/>
  <c r="CM422" i="17"/>
  <c r="CN422" i="17"/>
  <c r="CO422" i="17" s="1"/>
  <c r="DK422" i="17"/>
  <c r="O423" i="17"/>
  <c r="T423" i="17"/>
  <c r="R423" i="17" s="1"/>
  <c r="V423" i="17"/>
  <c r="W423" i="17"/>
  <c r="X423" i="17" s="1"/>
  <c r="AV423" i="17"/>
  <c r="AT423" i="17" s="1"/>
  <c r="AX423" i="17"/>
  <c r="AY423" i="17"/>
  <c r="AZ423" i="17" s="1"/>
  <c r="BB423" i="17"/>
  <c r="BX423" i="17"/>
  <c r="BV423" i="17" s="1"/>
  <c r="CB423" i="17"/>
  <c r="CC423" i="17"/>
  <c r="CD423" i="17" s="1"/>
  <c r="CF423" i="17" s="1"/>
  <c r="CJ423" i="17"/>
  <c r="CH423" i="17" s="1"/>
  <c r="CL423" i="17"/>
  <c r="CM423" i="17"/>
  <c r="CN423" i="17"/>
  <c r="CO423" i="17" s="1"/>
  <c r="DK423" i="17"/>
  <c r="O424" i="17"/>
  <c r="T424" i="17"/>
  <c r="R424" i="17" s="1"/>
  <c r="V424" i="17"/>
  <c r="W424" i="17"/>
  <c r="X424" i="17" s="1"/>
  <c r="Z424" i="17"/>
  <c r="AV424" i="17"/>
  <c r="AT424" i="17" s="1"/>
  <c r="AX424" i="17"/>
  <c r="AY424" i="17"/>
  <c r="AZ424" i="17" s="1"/>
  <c r="BX424" i="17"/>
  <c r="BV424" i="17" s="1"/>
  <c r="CB424" i="17"/>
  <c r="CC424" i="17"/>
  <c r="CD424" i="17" s="1"/>
  <c r="CJ424" i="17"/>
  <c r="CH424" i="17" s="1"/>
  <c r="CL424" i="17"/>
  <c r="CM424" i="17"/>
  <c r="CN424" i="17"/>
  <c r="CO424" i="17" s="1"/>
  <c r="DK424" i="17"/>
  <c r="O425" i="17"/>
  <c r="T425" i="17"/>
  <c r="R425" i="17" s="1"/>
  <c r="V425" i="17"/>
  <c r="W425" i="17"/>
  <c r="X425" i="17" s="1"/>
  <c r="Z425" i="17"/>
  <c r="AV425" i="17"/>
  <c r="AT425" i="17" s="1"/>
  <c r="AX425" i="17"/>
  <c r="AY425" i="17"/>
  <c r="AZ425" i="17" s="1"/>
  <c r="BB425" i="17"/>
  <c r="BX425" i="17"/>
  <c r="BV425" i="17" s="1"/>
  <c r="CB425" i="17"/>
  <c r="CC425" i="17"/>
  <c r="CJ425" i="17"/>
  <c r="CH425" i="17" s="1"/>
  <c r="CL425" i="17"/>
  <c r="CM425" i="17"/>
  <c r="CN425" i="17"/>
  <c r="DK425" i="17"/>
  <c r="O426" i="17"/>
  <c r="T426" i="17"/>
  <c r="R426" i="17" s="1"/>
  <c r="V426" i="17"/>
  <c r="W426" i="17"/>
  <c r="X426" i="17" s="1"/>
  <c r="Z426" i="17" s="1"/>
  <c r="AV426" i="17"/>
  <c r="AT426" i="17" s="1"/>
  <c r="AX426" i="17"/>
  <c r="AY426" i="17"/>
  <c r="AZ426" i="17" s="1"/>
  <c r="BB426" i="17"/>
  <c r="BX426" i="17"/>
  <c r="BV426" i="17" s="1"/>
  <c r="CB426" i="17"/>
  <c r="CC426" i="17"/>
  <c r="CD426" i="17" s="1"/>
  <c r="CF426" i="17"/>
  <c r="CJ426" i="17"/>
  <c r="CH426" i="17" s="1"/>
  <c r="CL426" i="17"/>
  <c r="CM426" i="17"/>
  <c r="CN426" i="17"/>
  <c r="CO426" i="17" s="1"/>
  <c r="DK426" i="17"/>
  <c r="O427" i="17"/>
  <c r="T427" i="17"/>
  <c r="R427" i="17" s="1"/>
  <c r="V427" i="17"/>
  <c r="W427" i="17"/>
  <c r="X427" i="17" s="1"/>
  <c r="Z427" i="17"/>
  <c r="AV427" i="17"/>
  <c r="AT427" i="17" s="1"/>
  <c r="AX427" i="17"/>
  <c r="AY427" i="17"/>
  <c r="AZ427" i="17" s="1"/>
  <c r="BX427" i="17"/>
  <c r="BV427" i="17" s="1"/>
  <c r="CB427" i="17"/>
  <c r="CC427" i="17"/>
  <c r="CD427" i="17" s="1"/>
  <c r="CF427" i="17"/>
  <c r="CJ427" i="17"/>
  <c r="CH427" i="17" s="1"/>
  <c r="CL427" i="17"/>
  <c r="CM427" i="17"/>
  <c r="CN427" i="17"/>
  <c r="CO427" i="17" s="1"/>
  <c r="DK427" i="17"/>
  <c r="O428" i="17"/>
  <c r="T428" i="17"/>
  <c r="V428" i="17"/>
  <c r="W428" i="17"/>
  <c r="X428" i="17" s="1"/>
  <c r="AV428" i="17"/>
  <c r="AT428" i="17" s="1"/>
  <c r="AX428" i="17"/>
  <c r="AY428" i="17"/>
  <c r="AZ428" i="17" s="1"/>
  <c r="BX428" i="17"/>
  <c r="BV428" i="17" s="1"/>
  <c r="CB428" i="17"/>
  <c r="CC428" i="17"/>
  <c r="CD428" i="17" s="1"/>
  <c r="CF428" i="17" s="1"/>
  <c r="CJ428" i="17"/>
  <c r="CH428" i="17" s="1"/>
  <c r="CL428" i="17"/>
  <c r="CM428" i="17"/>
  <c r="CN428" i="17"/>
  <c r="CO428" i="17" s="1"/>
  <c r="DK428" i="17"/>
  <c r="O429" i="17"/>
  <c r="T429" i="17"/>
  <c r="R429" i="17" s="1"/>
  <c r="V429" i="17"/>
  <c r="W429" i="17"/>
  <c r="X429" i="17" s="1"/>
  <c r="Z429" i="17"/>
  <c r="AV429" i="17"/>
  <c r="AT429" i="17" s="1"/>
  <c r="AX429" i="17"/>
  <c r="AY429" i="17"/>
  <c r="AZ429" i="17" s="1"/>
  <c r="BB429" i="17"/>
  <c r="BX429" i="17"/>
  <c r="BV429" i="17" s="1"/>
  <c r="CB429" i="17"/>
  <c r="CC429" i="17"/>
  <c r="CD429" i="17" s="1"/>
  <c r="CF429" i="17" s="1"/>
  <c r="CJ429" i="17"/>
  <c r="CH429" i="17" s="1"/>
  <c r="CL429" i="17"/>
  <c r="CM429" i="17"/>
  <c r="CN429" i="17"/>
  <c r="CO429" i="17" s="1"/>
  <c r="DK429" i="17"/>
  <c r="O430" i="17"/>
  <c r="T430" i="17"/>
  <c r="V430" i="17"/>
  <c r="W430" i="17"/>
  <c r="X430" i="17" s="1"/>
  <c r="AV430" i="17"/>
  <c r="AT430" i="17" s="1"/>
  <c r="AX430" i="17"/>
  <c r="AY430" i="17"/>
  <c r="AZ430" i="17" s="1"/>
  <c r="BX430" i="17"/>
  <c r="BV430" i="17" s="1"/>
  <c r="CB430" i="17"/>
  <c r="CC430" i="17"/>
  <c r="CD430" i="17" s="1"/>
  <c r="CF430" i="17"/>
  <c r="CJ430" i="17"/>
  <c r="CH430" i="17" s="1"/>
  <c r="CL430" i="17"/>
  <c r="CM430" i="17"/>
  <c r="CN430" i="17"/>
  <c r="CO430" i="17" s="1"/>
  <c r="DK430" i="17"/>
  <c r="O431" i="17"/>
  <c r="T431" i="17"/>
  <c r="V431" i="17"/>
  <c r="W431" i="17"/>
  <c r="X431" i="17" s="1"/>
  <c r="AV431" i="17"/>
  <c r="AT431" i="17" s="1"/>
  <c r="AX431" i="17"/>
  <c r="AY431" i="17"/>
  <c r="AZ431" i="17" s="1"/>
  <c r="BX431" i="17"/>
  <c r="BV431" i="17" s="1"/>
  <c r="CB431" i="17"/>
  <c r="CC431" i="17"/>
  <c r="CJ431" i="17"/>
  <c r="CH431" i="17" s="1"/>
  <c r="CL431" i="17"/>
  <c r="CM431" i="17"/>
  <c r="CN431" i="17"/>
  <c r="CO431" i="17" s="1"/>
  <c r="DK431" i="17"/>
  <c r="O432" i="17"/>
  <c r="T432" i="17"/>
  <c r="V432" i="17"/>
  <c r="W432" i="17"/>
  <c r="X432" i="17" s="1"/>
  <c r="AV432" i="17"/>
  <c r="AT432" i="17" s="1"/>
  <c r="AX432" i="17"/>
  <c r="AY432" i="17"/>
  <c r="AZ432" i="17" s="1"/>
  <c r="BX432" i="17"/>
  <c r="BV432" i="17" s="1"/>
  <c r="CB432" i="17"/>
  <c r="CC432" i="17"/>
  <c r="CJ432" i="17"/>
  <c r="CH432" i="17" s="1"/>
  <c r="CL432" i="17"/>
  <c r="CM432" i="17"/>
  <c r="CN432" i="17"/>
  <c r="DK432" i="17"/>
  <c r="O433" i="17"/>
  <c r="T433" i="17"/>
  <c r="V433" i="17"/>
  <c r="W433" i="17"/>
  <c r="X433" i="17" s="1"/>
  <c r="Z433" i="17"/>
  <c r="AV433" i="17"/>
  <c r="AT433" i="17" s="1"/>
  <c r="AX433" i="17"/>
  <c r="AY433" i="17"/>
  <c r="AZ433" i="17" s="1"/>
  <c r="BX433" i="17"/>
  <c r="BV433" i="17" s="1"/>
  <c r="CB433" i="17"/>
  <c r="CC433" i="17"/>
  <c r="CJ433" i="17"/>
  <c r="CH433" i="17" s="1"/>
  <c r="CL433" i="17"/>
  <c r="CM433" i="17"/>
  <c r="CN433" i="17"/>
  <c r="CO433" i="17" s="1"/>
  <c r="DK433" i="17"/>
  <c r="O434" i="17"/>
  <c r="T434" i="17"/>
  <c r="R434" i="17" s="1"/>
  <c r="V434" i="17"/>
  <c r="W434" i="17"/>
  <c r="X434" i="17" s="1"/>
  <c r="Z434" i="17" s="1"/>
  <c r="AV434" i="17"/>
  <c r="AX434" i="17"/>
  <c r="AY434" i="17"/>
  <c r="AZ434" i="17" s="1"/>
  <c r="BX434" i="17"/>
  <c r="BV434" i="17" s="1"/>
  <c r="CB434" i="17"/>
  <c r="CC434" i="17"/>
  <c r="CD434" i="17" s="1"/>
  <c r="CJ434" i="17"/>
  <c r="CH434" i="17" s="1"/>
  <c r="CL434" i="17"/>
  <c r="CM434" i="17"/>
  <c r="CN434" i="17"/>
  <c r="CO434" i="17" s="1"/>
  <c r="DK434" i="17"/>
  <c r="O435" i="17"/>
  <c r="T435" i="17"/>
  <c r="R435" i="17" s="1"/>
  <c r="V435" i="17"/>
  <c r="W435" i="17"/>
  <c r="X435" i="17" s="1"/>
  <c r="AV435" i="17"/>
  <c r="AT435" i="17" s="1"/>
  <c r="AX435" i="17"/>
  <c r="AY435" i="17"/>
  <c r="AZ435" i="17" s="1"/>
  <c r="BB435" i="17"/>
  <c r="BX435" i="17"/>
  <c r="BV435" i="17" s="1"/>
  <c r="CB435" i="17"/>
  <c r="CC435" i="17"/>
  <c r="CD435" i="17" s="1"/>
  <c r="CJ435" i="17"/>
  <c r="CH435" i="17" s="1"/>
  <c r="CL435" i="17"/>
  <c r="CM435" i="17"/>
  <c r="CN435" i="17"/>
  <c r="CO435" i="17" s="1"/>
  <c r="DK435" i="17"/>
  <c r="O436" i="17"/>
  <c r="T436" i="17"/>
  <c r="R436" i="17" s="1"/>
  <c r="V436" i="17"/>
  <c r="W436" i="17"/>
  <c r="X436" i="17" s="1"/>
  <c r="AV436" i="17"/>
  <c r="AT436" i="17" s="1"/>
  <c r="AX436" i="17"/>
  <c r="AY436" i="17"/>
  <c r="AZ436" i="17" s="1"/>
  <c r="BX436" i="17"/>
  <c r="BV436" i="17" s="1"/>
  <c r="CB436" i="17"/>
  <c r="CC436" i="17"/>
  <c r="CD436" i="17" s="1"/>
  <c r="CF436" i="17" s="1"/>
  <c r="CJ436" i="17"/>
  <c r="CH436" i="17" s="1"/>
  <c r="CL436" i="17"/>
  <c r="CM436" i="17"/>
  <c r="CN436" i="17"/>
  <c r="CO436" i="17" s="1"/>
  <c r="DK436" i="17"/>
  <c r="O437" i="17"/>
  <c r="T437" i="17"/>
  <c r="R437" i="17" s="1"/>
  <c r="V437" i="17"/>
  <c r="W437" i="17"/>
  <c r="X437" i="17" s="1"/>
  <c r="Z437" i="17" s="1"/>
  <c r="AV437" i="17"/>
  <c r="AT437" i="17" s="1"/>
  <c r="AX437" i="17"/>
  <c r="AY437" i="17"/>
  <c r="AZ437" i="17" s="1"/>
  <c r="BB437" i="17"/>
  <c r="BX437" i="17"/>
  <c r="BV437" i="17" s="1"/>
  <c r="CB437" i="17"/>
  <c r="CC437" i="17"/>
  <c r="CD437" i="17" s="1"/>
  <c r="CF437" i="17" s="1"/>
  <c r="CJ437" i="17"/>
  <c r="CH437" i="17" s="1"/>
  <c r="CL437" i="17"/>
  <c r="CM437" i="17"/>
  <c r="CN437" i="17"/>
  <c r="CO437" i="17" s="1"/>
  <c r="DK437" i="17"/>
  <c r="O438" i="17"/>
  <c r="T438" i="17"/>
  <c r="V438" i="17"/>
  <c r="W438" i="17"/>
  <c r="X438" i="17" s="1"/>
  <c r="AV438" i="17"/>
  <c r="AT438" i="17" s="1"/>
  <c r="AX438" i="17"/>
  <c r="AY438" i="17"/>
  <c r="AZ438" i="17" s="1"/>
  <c r="BB438" i="17"/>
  <c r="BX438" i="17"/>
  <c r="BV438" i="17" s="1"/>
  <c r="CB438" i="17"/>
  <c r="CC438" i="17"/>
  <c r="CD438" i="17" s="1"/>
  <c r="CF438" i="17"/>
  <c r="CJ438" i="17"/>
  <c r="CH438" i="17" s="1"/>
  <c r="CL438" i="17"/>
  <c r="CM438" i="17"/>
  <c r="CN438" i="17"/>
  <c r="DK438" i="17"/>
  <c r="O439" i="17"/>
  <c r="T439" i="17"/>
  <c r="V439" i="17"/>
  <c r="W439" i="17"/>
  <c r="X439" i="17" s="1"/>
  <c r="AV439" i="17"/>
  <c r="AT439" i="17" s="1"/>
  <c r="AX439" i="17"/>
  <c r="AY439" i="17"/>
  <c r="AZ439" i="17" s="1"/>
  <c r="BX439" i="17"/>
  <c r="BV439" i="17" s="1"/>
  <c r="CB439" i="17"/>
  <c r="CC439" i="17"/>
  <c r="CF439" i="17"/>
  <c r="CJ439" i="17"/>
  <c r="CH439" i="17" s="1"/>
  <c r="CL439" i="17"/>
  <c r="CM439" i="17"/>
  <c r="CN439" i="17"/>
  <c r="DK439" i="17"/>
  <c r="O440" i="17"/>
  <c r="T440" i="17"/>
  <c r="V440" i="17"/>
  <c r="W440" i="17"/>
  <c r="X440" i="17" s="1"/>
  <c r="AV440" i="17"/>
  <c r="AT440" i="17" s="1"/>
  <c r="AX440" i="17"/>
  <c r="AY440" i="17"/>
  <c r="AZ440" i="17" s="1"/>
  <c r="BX440" i="17"/>
  <c r="BV440" i="17" s="1"/>
  <c r="CB440" i="17"/>
  <c r="CC440" i="17"/>
  <c r="CD440" i="17" s="1"/>
  <c r="CJ440" i="17"/>
  <c r="CH440" i="17" s="1"/>
  <c r="CL440" i="17"/>
  <c r="CM440" i="17"/>
  <c r="CN440" i="17"/>
  <c r="DK440" i="17"/>
  <c r="O441" i="17"/>
  <c r="T441" i="17"/>
  <c r="V441" i="17"/>
  <c r="W441" i="17"/>
  <c r="X441" i="17" s="1"/>
  <c r="AV441" i="17"/>
  <c r="AT441" i="17" s="1"/>
  <c r="AX441" i="17"/>
  <c r="AY441" i="17"/>
  <c r="AZ441" i="17" s="1"/>
  <c r="BX441" i="17"/>
  <c r="BV441" i="17" s="1"/>
  <c r="CB441" i="17"/>
  <c r="CC441" i="17"/>
  <c r="CF441" i="17"/>
  <c r="CJ441" i="17"/>
  <c r="CH441" i="17" s="1"/>
  <c r="CL441" i="17"/>
  <c r="CM441" i="17"/>
  <c r="CN441" i="17"/>
  <c r="CO441" i="17" s="1"/>
  <c r="DK441" i="17"/>
  <c r="P442" i="17"/>
  <c r="V442" i="17"/>
  <c r="W442" i="17"/>
  <c r="X442" i="17" s="1"/>
  <c r="Z442" i="17"/>
  <c r="AX442" i="17"/>
  <c r="AY442" i="17"/>
  <c r="AZ442" i="17" s="1"/>
  <c r="BB442" i="17"/>
  <c r="CB442" i="17"/>
  <c r="CC442" i="17"/>
  <c r="CD442" i="17" s="1"/>
  <c r="CF442" i="17"/>
  <c r="CL442" i="17"/>
  <c r="CM442" i="17"/>
  <c r="CN442" i="17"/>
  <c r="CO442" i="17" s="1"/>
  <c r="DK442" i="17"/>
  <c r="O443" i="17"/>
  <c r="T443" i="17"/>
  <c r="V443" i="17"/>
  <c r="W443" i="17"/>
  <c r="X443" i="17" s="1"/>
  <c r="Z443" i="17" s="1"/>
  <c r="AV443" i="17"/>
  <c r="AT443" i="17" s="1"/>
  <c r="AX443" i="17"/>
  <c r="AY443" i="17"/>
  <c r="AZ443" i="17" s="1"/>
  <c r="BB443" i="17"/>
  <c r="BX443" i="17"/>
  <c r="BV443" i="17" s="1"/>
  <c r="CB443" i="17"/>
  <c r="CC443" i="17"/>
  <c r="CD443" i="17" s="1"/>
  <c r="CF443" i="17" s="1"/>
  <c r="CJ443" i="17"/>
  <c r="CH443" i="17" s="1"/>
  <c r="CL443" i="17"/>
  <c r="CM443" i="17"/>
  <c r="CN443" i="17"/>
  <c r="CO443" i="17" s="1"/>
  <c r="DK443" i="17"/>
  <c r="O444" i="17"/>
  <c r="T444" i="17"/>
  <c r="V444" i="17"/>
  <c r="W444" i="17"/>
  <c r="X444" i="17" s="1"/>
  <c r="AV444" i="17"/>
  <c r="AT444" i="17" s="1"/>
  <c r="AX444" i="17"/>
  <c r="AY444" i="17"/>
  <c r="AZ444" i="17" s="1"/>
  <c r="BB444" i="17" s="1"/>
  <c r="BX444" i="17"/>
  <c r="BV444" i="17" s="1"/>
  <c r="CB444" i="17"/>
  <c r="CC444" i="17"/>
  <c r="CD444" i="17" s="1"/>
  <c r="CJ444" i="17"/>
  <c r="CH444" i="17" s="1"/>
  <c r="CL444" i="17"/>
  <c r="CM444" i="17"/>
  <c r="CN444" i="17"/>
  <c r="CO444" i="17" s="1"/>
  <c r="DK444" i="17"/>
  <c r="O445" i="17"/>
  <c r="T445" i="17"/>
  <c r="V445" i="17"/>
  <c r="W445" i="17"/>
  <c r="X445" i="17" s="1"/>
  <c r="AV445" i="17"/>
  <c r="AT445" i="17" s="1"/>
  <c r="AX445" i="17"/>
  <c r="AY445" i="17"/>
  <c r="AZ445" i="17" s="1"/>
  <c r="BB445" i="17" s="1"/>
  <c r="BX445" i="17"/>
  <c r="BV445" i="17" s="1"/>
  <c r="CB445" i="17"/>
  <c r="CC445" i="17"/>
  <c r="CD445" i="17" s="1"/>
  <c r="CF445" i="17"/>
  <c r="CJ445" i="17"/>
  <c r="CH445" i="17" s="1"/>
  <c r="CL445" i="17"/>
  <c r="CM445" i="17"/>
  <c r="CN445" i="17"/>
  <c r="DK445" i="17"/>
  <c r="O446" i="17"/>
  <c r="T446" i="17"/>
  <c r="V446" i="17"/>
  <c r="W446" i="17"/>
  <c r="X446" i="17" s="1"/>
  <c r="Z446" i="17"/>
  <c r="AV446" i="17"/>
  <c r="AT446" i="17" s="1"/>
  <c r="AX446" i="17"/>
  <c r="AY446" i="17"/>
  <c r="AZ446" i="17" s="1"/>
  <c r="BB446" i="17"/>
  <c r="BX446" i="17"/>
  <c r="BV446" i="17" s="1"/>
  <c r="CB446" i="17"/>
  <c r="CC446" i="17"/>
  <c r="CJ446" i="17"/>
  <c r="CH446" i="17" s="1"/>
  <c r="CL446" i="17"/>
  <c r="CM446" i="17"/>
  <c r="CN446" i="17"/>
  <c r="CO446" i="17" s="1"/>
  <c r="DK446" i="17"/>
  <c r="O447" i="17"/>
  <c r="T447" i="17"/>
  <c r="V447" i="17"/>
  <c r="W447" i="17"/>
  <c r="X447" i="17" s="1"/>
  <c r="AV447" i="17"/>
  <c r="AT447" i="17" s="1"/>
  <c r="AX447" i="17"/>
  <c r="AY447" i="17"/>
  <c r="AZ447" i="17" s="1"/>
  <c r="BB447" i="17"/>
  <c r="BX447" i="17"/>
  <c r="BV447" i="17" s="1"/>
  <c r="CB447" i="17"/>
  <c r="CC447" i="17"/>
  <c r="CJ447" i="17"/>
  <c r="CH447" i="17" s="1"/>
  <c r="CL447" i="17"/>
  <c r="CM447" i="17"/>
  <c r="CN447" i="17"/>
  <c r="DK447" i="17"/>
  <c r="O448" i="17"/>
  <c r="T448" i="17"/>
  <c r="R448" i="17" s="1"/>
  <c r="V448" i="17"/>
  <c r="W448" i="17"/>
  <c r="X448" i="17" s="1"/>
  <c r="AV448" i="17"/>
  <c r="AT448" i="17" s="1"/>
  <c r="AX448" i="17"/>
  <c r="AY448" i="17"/>
  <c r="AZ448" i="17" s="1"/>
  <c r="BX448" i="17"/>
  <c r="BV448" i="17" s="1"/>
  <c r="CB448" i="17"/>
  <c r="CC448" i="17"/>
  <c r="CF448" i="17"/>
  <c r="CJ448" i="17"/>
  <c r="CH448" i="17" s="1"/>
  <c r="CL448" i="17"/>
  <c r="CM448" i="17"/>
  <c r="CN448" i="17"/>
  <c r="CO448" i="17" s="1"/>
  <c r="DK448" i="17"/>
  <c r="O449" i="17"/>
  <c r="T449" i="17"/>
  <c r="R449" i="17" s="1"/>
  <c r="V449" i="17"/>
  <c r="W449" i="17"/>
  <c r="X449" i="17" s="1"/>
  <c r="AV449" i="17"/>
  <c r="AT449" i="17" s="1"/>
  <c r="AX449" i="17"/>
  <c r="AY449" i="17"/>
  <c r="AZ449" i="17" s="1"/>
  <c r="BX449" i="17"/>
  <c r="BV449" i="17" s="1"/>
  <c r="CB449" i="17"/>
  <c r="CC449" i="17"/>
  <c r="CD449" i="17" s="1"/>
  <c r="CF449" i="17"/>
  <c r="CJ449" i="17"/>
  <c r="CH449" i="17" s="1"/>
  <c r="CL449" i="17"/>
  <c r="CM449" i="17"/>
  <c r="CN449" i="17"/>
  <c r="CO449" i="17" s="1"/>
  <c r="DK449" i="17"/>
  <c r="O450" i="17"/>
  <c r="T450" i="17"/>
  <c r="R450" i="17" s="1"/>
  <c r="V450" i="17"/>
  <c r="W450" i="17"/>
  <c r="X450" i="17" s="1"/>
  <c r="Z450" i="17" s="1"/>
  <c r="AV450" i="17"/>
  <c r="AT450" i="17" s="1"/>
  <c r="AX450" i="17"/>
  <c r="AY450" i="17"/>
  <c r="AZ450" i="17" s="1"/>
  <c r="BX450" i="17"/>
  <c r="BV450" i="17" s="1"/>
  <c r="CB450" i="17"/>
  <c r="CC450" i="17"/>
  <c r="CD450" i="17" s="1"/>
  <c r="CJ450" i="17"/>
  <c r="CH450" i="17" s="1"/>
  <c r="CL450" i="17"/>
  <c r="CM450" i="17"/>
  <c r="CN450" i="17"/>
  <c r="CO450" i="17" s="1"/>
  <c r="DK450" i="17"/>
  <c r="O451" i="17"/>
  <c r="T451" i="17"/>
  <c r="V451" i="17"/>
  <c r="W451" i="17"/>
  <c r="X451" i="17" s="1"/>
  <c r="Z451" i="17" s="1"/>
  <c r="AV451" i="17"/>
  <c r="AT451" i="17" s="1"/>
  <c r="AX451" i="17"/>
  <c r="AY451" i="17"/>
  <c r="AZ451" i="17" s="1"/>
  <c r="BX451" i="17"/>
  <c r="BV451" i="17" s="1"/>
  <c r="CB451" i="17"/>
  <c r="CC451" i="17"/>
  <c r="CD451" i="17" s="1"/>
  <c r="CF451" i="17"/>
  <c r="CJ451" i="17"/>
  <c r="CH451" i="17" s="1"/>
  <c r="CL451" i="17"/>
  <c r="CM451" i="17"/>
  <c r="CN451" i="17"/>
  <c r="CO451" i="17" s="1"/>
  <c r="DK451" i="17"/>
  <c r="O452" i="17"/>
  <c r="T452" i="17"/>
  <c r="R452" i="17" s="1"/>
  <c r="V452" i="17"/>
  <c r="W452" i="17"/>
  <c r="X452" i="17" s="1"/>
  <c r="Z452" i="17" s="1"/>
  <c r="AV452" i="17"/>
  <c r="AT452" i="17" s="1"/>
  <c r="AX452" i="17"/>
  <c r="AY452" i="17"/>
  <c r="AZ452" i="17" s="1"/>
  <c r="BX452" i="17"/>
  <c r="BV452" i="17" s="1"/>
  <c r="CB452" i="17"/>
  <c r="CC452" i="17"/>
  <c r="CD452" i="17" s="1"/>
  <c r="CF452" i="17"/>
  <c r="CJ452" i="17"/>
  <c r="CH452" i="17" s="1"/>
  <c r="CL452" i="17"/>
  <c r="CM452" i="17"/>
  <c r="CN452" i="17"/>
  <c r="CO452" i="17" s="1"/>
  <c r="DK452" i="17"/>
  <c r="O453" i="17"/>
  <c r="T453" i="17"/>
  <c r="V453" i="17"/>
  <c r="W453" i="17"/>
  <c r="X453" i="17" s="1"/>
  <c r="Z453" i="17"/>
  <c r="AV453" i="17"/>
  <c r="AT453" i="17" s="1"/>
  <c r="AX453" i="17"/>
  <c r="AY453" i="17"/>
  <c r="AZ453" i="17" s="1"/>
  <c r="BB453" i="17" s="1"/>
  <c r="BC453" i="17"/>
  <c r="BX453" i="17"/>
  <c r="BV453" i="17" s="1"/>
  <c r="CB453" i="17"/>
  <c r="CC453" i="17"/>
  <c r="CJ453" i="17"/>
  <c r="CH453" i="17" s="1"/>
  <c r="CL453" i="17"/>
  <c r="CM453" i="17"/>
  <c r="CN453" i="17"/>
  <c r="CO453" i="17" s="1"/>
  <c r="DK453" i="17"/>
  <c r="O454" i="17"/>
  <c r="T454" i="17"/>
  <c r="R454" i="17" s="1"/>
  <c r="V454" i="17"/>
  <c r="W454" i="17"/>
  <c r="X454" i="17" s="1"/>
  <c r="Z454" i="17"/>
  <c r="AV454" i="17"/>
  <c r="AT454" i="17" s="1"/>
  <c r="AX454" i="17"/>
  <c r="AY454" i="17"/>
  <c r="AZ454" i="17" s="1"/>
  <c r="BB454" i="17"/>
  <c r="BX454" i="17"/>
  <c r="BV454" i="17" s="1"/>
  <c r="CB454" i="17"/>
  <c r="CC454" i="17"/>
  <c r="CD454" i="17" s="1"/>
  <c r="CF454" i="17"/>
  <c r="CJ454" i="17"/>
  <c r="CH454" i="17" s="1"/>
  <c r="CL454" i="17"/>
  <c r="CM454" i="17"/>
  <c r="CN454" i="17"/>
  <c r="DK454" i="17"/>
  <c r="O455" i="17"/>
  <c r="T455" i="17"/>
  <c r="V455" i="17"/>
  <c r="W455" i="17"/>
  <c r="X455" i="17" s="1"/>
  <c r="Z455" i="17"/>
  <c r="AV455" i="17"/>
  <c r="AT455" i="17" s="1"/>
  <c r="AX455" i="17"/>
  <c r="AY455" i="17"/>
  <c r="AZ455" i="17" s="1"/>
  <c r="BB455" i="17"/>
  <c r="BX455" i="17"/>
  <c r="BV455" i="17" s="1"/>
  <c r="CB455" i="17"/>
  <c r="CC455" i="17"/>
  <c r="CJ455" i="17"/>
  <c r="CH455" i="17" s="1"/>
  <c r="CL455" i="17"/>
  <c r="CM455" i="17"/>
  <c r="CN455" i="17"/>
  <c r="CO455" i="17" s="1"/>
  <c r="DK455" i="17"/>
  <c r="O456" i="17"/>
  <c r="T456" i="17"/>
  <c r="R456" i="17" s="1"/>
  <c r="V456" i="17"/>
  <c r="W456" i="17"/>
  <c r="X456" i="17" s="1"/>
  <c r="Z456" i="17" s="1"/>
  <c r="AV456" i="17"/>
  <c r="AX456" i="17"/>
  <c r="AY456" i="17"/>
  <c r="AZ456" i="17" s="1"/>
  <c r="BB456" i="17"/>
  <c r="BX456" i="17"/>
  <c r="BV456" i="17" s="1"/>
  <c r="CB456" i="17"/>
  <c r="CC456" i="17"/>
  <c r="CD456" i="17" s="1"/>
  <c r="CJ456" i="17"/>
  <c r="CH456" i="17" s="1"/>
  <c r="CL456" i="17"/>
  <c r="CM456" i="17"/>
  <c r="CN456" i="17"/>
  <c r="CO456" i="17" s="1"/>
  <c r="DK456" i="17"/>
  <c r="O457" i="17"/>
  <c r="T457" i="17"/>
  <c r="V457" i="17"/>
  <c r="W457" i="17"/>
  <c r="X457" i="17" s="1"/>
  <c r="AV457" i="17"/>
  <c r="AT457" i="17" s="1"/>
  <c r="AX457" i="17"/>
  <c r="AY457" i="17"/>
  <c r="AZ457" i="17" s="1"/>
  <c r="BB457" i="17"/>
  <c r="BX457" i="17"/>
  <c r="BV457" i="17" s="1"/>
  <c r="CB457" i="17"/>
  <c r="CC457" i="17"/>
  <c r="CD457" i="17" s="1"/>
  <c r="CF457" i="17" s="1"/>
  <c r="CJ457" i="17"/>
  <c r="CH457" i="17" s="1"/>
  <c r="CL457" i="17"/>
  <c r="CM457" i="17"/>
  <c r="CN457" i="17"/>
  <c r="CO457" i="17" s="1"/>
  <c r="DK457" i="17"/>
  <c r="O458" i="17"/>
  <c r="T458" i="17"/>
  <c r="R458" i="17" s="1"/>
  <c r="V458" i="17"/>
  <c r="W458" i="17"/>
  <c r="X458" i="17" s="1"/>
  <c r="AV458" i="17"/>
  <c r="AX458" i="17"/>
  <c r="AY458" i="17"/>
  <c r="AZ458" i="17" s="1"/>
  <c r="BB458" i="17" s="1"/>
  <c r="BX458" i="17"/>
  <c r="BV458" i="17" s="1"/>
  <c r="CB458" i="17"/>
  <c r="CC458" i="17"/>
  <c r="CD458" i="17" s="1"/>
  <c r="CF458" i="17" s="1"/>
  <c r="CJ458" i="17"/>
  <c r="CH458" i="17" s="1"/>
  <c r="CL458" i="17"/>
  <c r="CM458" i="17"/>
  <c r="CN458" i="17"/>
  <c r="CO458" i="17" s="1"/>
  <c r="DK458" i="17"/>
  <c r="O459" i="17"/>
  <c r="T459" i="17"/>
  <c r="R459" i="17" s="1"/>
  <c r="V459" i="17"/>
  <c r="W459" i="17"/>
  <c r="X459" i="17" s="1"/>
  <c r="AV459" i="17"/>
  <c r="AX459" i="17"/>
  <c r="AY459" i="17"/>
  <c r="AZ459" i="17" s="1"/>
  <c r="BB459" i="17"/>
  <c r="BX459" i="17"/>
  <c r="BV459" i="17" s="1"/>
  <c r="CB459" i="17"/>
  <c r="CC459" i="17"/>
  <c r="CD459" i="17" s="1"/>
  <c r="CF459" i="17" s="1"/>
  <c r="CJ459" i="17"/>
  <c r="CH459" i="17" s="1"/>
  <c r="CL459" i="17"/>
  <c r="CM459" i="17"/>
  <c r="CN459" i="17"/>
  <c r="CO459" i="17" s="1"/>
  <c r="DK459" i="17"/>
  <c r="T460" i="17"/>
  <c r="V460" i="17"/>
  <c r="W460" i="17"/>
  <c r="X460" i="17" s="1"/>
  <c r="Z460" i="17"/>
  <c r="AV460" i="17"/>
  <c r="AT460" i="17" s="1"/>
  <c r="AX460" i="17"/>
  <c r="AY460" i="17"/>
  <c r="AZ460" i="17" s="1"/>
  <c r="BB460" i="17" s="1"/>
  <c r="BX460" i="17"/>
  <c r="BV460" i="17" s="1"/>
  <c r="CB460" i="17"/>
  <c r="CC460" i="17"/>
  <c r="CD460" i="17" s="1"/>
  <c r="CJ460" i="17"/>
  <c r="CH460" i="17" s="1"/>
  <c r="CL460" i="17"/>
  <c r="CM460" i="17"/>
  <c r="CN460" i="17"/>
  <c r="CO460" i="17" s="1"/>
  <c r="DK460" i="17"/>
  <c r="O461" i="17"/>
  <c r="T461" i="17"/>
  <c r="V461" i="17"/>
  <c r="W461" i="17"/>
  <c r="X461" i="17" s="1"/>
  <c r="AV461" i="17"/>
  <c r="AT461" i="17" s="1"/>
  <c r="AX461" i="17"/>
  <c r="AY461" i="17"/>
  <c r="AZ461" i="17" s="1"/>
  <c r="BX461" i="17"/>
  <c r="BV461" i="17" s="1"/>
  <c r="CB461" i="17"/>
  <c r="CC461" i="17"/>
  <c r="CJ461" i="17"/>
  <c r="CH461" i="17" s="1"/>
  <c r="CL461" i="17"/>
  <c r="CM461" i="17"/>
  <c r="CN461" i="17"/>
  <c r="CO461" i="17" s="1"/>
  <c r="DK461" i="17"/>
  <c r="O462" i="17"/>
  <c r="T462" i="17"/>
  <c r="W462" i="17"/>
  <c r="X462" i="17" s="1"/>
  <c r="Z462" i="17"/>
  <c r="AV462" i="17"/>
  <c r="AT462" i="17" s="1"/>
  <c r="AX462" i="17"/>
  <c r="AY462" i="17"/>
  <c r="AZ462" i="17" s="1"/>
  <c r="BB462" i="17" s="1"/>
  <c r="BX462" i="17"/>
  <c r="BV462" i="17" s="1"/>
  <c r="CB462" i="17"/>
  <c r="CC462" i="17"/>
  <c r="CD462" i="17" s="1"/>
  <c r="CJ462" i="17"/>
  <c r="CH462" i="17" s="1"/>
  <c r="CL462" i="17"/>
  <c r="CM462" i="17"/>
  <c r="CN462" i="17"/>
  <c r="CO462" i="17" s="1"/>
  <c r="DK462" i="17"/>
  <c r="O463" i="17"/>
  <c r="T463" i="17"/>
  <c r="V463" i="17"/>
  <c r="W463" i="17"/>
  <c r="X463" i="17" s="1"/>
  <c r="Z463" i="17"/>
  <c r="AV463" i="17"/>
  <c r="AT463" i="17" s="1"/>
  <c r="AX463" i="17"/>
  <c r="AY463" i="17"/>
  <c r="AZ463" i="17" s="1"/>
  <c r="BB463" i="17"/>
  <c r="BX463" i="17"/>
  <c r="BV463" i="17" s="1"/>
  <c r="CB463" i="17"/>
  <c r="CC463" i="17"/>
  <c r="CD463" i="17" s="1"/>
  <c r="CJ463" i="17"/>
  <c r="CH463" i="17" s="1"/>
  <c r="CL463" i="17"/>
  <c r="CM463" i="17"/>
  <c r="CN463" i="17"/>
  <c r="DK463" i="17"/>
  <c r="O464" i="17"/>
  <c r="T464" i="17"/>
  <c r="V464" i="17"/>
  <c r="W464" i="17"/>
  <c r="X464" i="17" s="1"/>
  <c r="AV464" i="17"/>
  <c r="AT464" i="17" s="1"/>
  <c r="AX464" i="17"/>
  <c r="AY464" i="17"/>
  <c r="AZ464" i="17" s="1"/>
  <c r="BX464" i="17"/>
  <c r="BV464" i="17" s="1"/>
  <c r="CB464" i="17"/>
  <c r="CC464" i="17"/>
  <c r="CD464" i="17" s="1"/>
  <c r="CJ464" i="17"/>
  <c r="CH464" i="17" s="1"/>
  <c r="CL464" i="17"/>
  <c r="CM464" i="17"/>
  <c r="CN464" i="17"/>
  <c r="DK464" i="17"/>
  <c r="O465" i="17"/>
  <c r="T465" i="17"/>
  <c r="V465" i="17"/>
  <c r="W465" i="17"/>
  <c r="X465" i="17" s="1"/>
  <c r="Z465" i="17"/>
  <c r="AV465" i="17"/>
  <c r="AT465" i="17" s="1"/>
  <c r="AX465" i="17"/>
  <c r="AY465" i="17"/>
  <c r="AZ465" i="17" s="1"/>
  <c r="BB465" i="17"/>
  <c r="BX465" i="17"/>
  <c r="BV465" i="17" s="1"/>
  <c r="CB465" i="17"/>
  <c r="CC465" i="17"/>
  <c r="CJ465" i="17"/>
  <c r="CH465" i="17" s="1"/>
  <c r="CL465" i="17"/>
  <c r="CM465" i="17"/>
  <c r="CN465" i="17"/>
  <c r="CO465" i="17" s="1"/>
  <c r="DK465" i="17"/>
  <c r="O466" i="17"/>
  <c r="T466" i="17"/>
  <c r="R466" i="17" s="1"/>
  <c r="V466" i="17"/>
  <c r="W466" i="17"/>
  <c r="X466" i="17" s="1"/>
  <c r="AV466" i="17"/>
  <c r="AX466" i="17"/>
  <c r="AY466" i="17"/>
  <c r="AZ466" i="17" s="1"/>
  <c r="BX466" i="17"/>
  <c r="BV466" i="17" s="1"/>
  <c r="CB466" i="17"/>
  <c r="CC466" i="17"/>
  <c r="CJ466" i="17"/>
  <c r="CH466" i="17" s="1"/>
  <c r="CL466" i="17"/>
  <c r="CM466" i="17"/>
  <c r="CN466" i="17"/>
  <c r="CO466" i="17" s="1"/>
  <c r="DK466" i="17"/>
  <c r="O467" i="17"/>
  <c r="T467" i="17"/>
  <c r="V467" i="17"/>
  <c r="W467" i="17"/>
  <c r="X467" i="17" s="1"/>
  <c r="AV467" i="17"/>
  <c r="AT467" i="17" s="1"/>
  <c r="AX467" i="17"/>
  <c r="AY467" i="17"/>
  <c r="AZ467" i="17" s="1"/>
  <c r="BB467" i="17"/>
  <c r="BX467" i="17"/>
  <c r="BV467" i="17" s="1"/>
  <c r="CB467" i="17"/>
  <c r="CC467" i="17"/>
  <c r="CD467" i="17" s="1"/>
  <c r="CF467" i="17" s="1"/>
  <c r="CJ467" i="17"/>
  <c r="CH467" i="17" s="1"/>
  <c r="CL467" i="17"/>
  <c r="CM467" i="17"/>
  <c r="CN467" i="17"/>
  <c r="CO467" i="17" s="1"/>
  <c r="DK467" i="17"/>
  <c r="O468" i="17"/>
  <c r="T468" i="17"/>
  <c r="R468" i="17" s="1"/>
  <c r="V468" i="17"/>
  <c r="W468" i="17"/>
  <c r="X468" i="17" s="1"/>
  <c r="Z468" i="17" s="1"/>
  <c r="AV468" i="17"/>
  <c r="AX468" i="17"/>
  <c r="AY468" i="17"/>
  <c r="AZ468" i="17" s="1"/>
  <c r="BB468" i="17" s="1"/>
  <c r="BX468" i="17"/>
  <c r="BV468" i="17" s="1"/>
  <c r="CB468" i="17"/>
  <c r="CC468" i="17"/>
  <c r="CD468" i="17" s="1"/>
  <c r="CF468" i="17" s="1"/>
  <c r="CJ468" i="17"/>
  <c r="CH468" i="17" s="1"/>
  <c r="CL468" i="17"/>
  <c r="CM468" i="17"/>
  <c r="CN468" i="17"/>
  <c r="CO468" i="17" s="1"/>
  <c r="DK468" i="17"/>
  <c r="O469" i="17"/>
  <c r="T469" i="17"/>
  <c r="R469" i="17" s="1"/>
  <c r="V469" i="17"/>
  <c r="W469" i="17"/>
  <c r="X469" i="17" s="1"/>
  <c r="Z469" i="17" s="1"/>
  <c r="AV469" i="17"/>
  <c r="AX469" i="17"/>
  <c r="AY469" i="17"/>
  <c r="AZ469" i="17" s="1"/>
  <c r="BB469" i="17" s="1"/>
  <c r="BX469" i="17"/>
  <c r="BV469" i="17" s="1"/>
  <c r="CB469" i="17"/>
  <c r="CC469" i="17"/>
  <c r="CD469" i="17" s="1"/>
  <c r="CF469" i="17" s="1"/>
  <c r="CJ469" i="17"/>
  <c r="CH469" i="17" s="1"/>
  <c r="CL469" i="17"/>
  <c r="CM469" i="17"/>
  <c r="CN469" i="17"/>
  <c r="CO469" i="17" s="1"/>
  <c r="DK469" i="17"/>
  <c r="O470" i="17"/>
  <c r="T470" i="17"/>
  <c r="V470" i="17"/>
  <c r="W470" i="17"/>
  <c r="X470" i="17" s="1"/>
  <c r="AV470" i="17"/>
  <c r="AT470" i="17" s="1"/>
  <c r="AX470" i="17"/>
  <c r="AY470" i="17"/>
  <c r="AZ470" i="17" s="1"/>
  <c r="BB470" i="17" s="1"/>
  <c r="BX470" i="17"/>
  <c r="BV470" i="17" s="1"/>
  <c r="CB470" i="17"/>
  <c r="CC470" i="17"/>
  <c r="CJ470" i="17"/>
  <c r="CH470" i="17" s="1"/>
  <c r="CL470" i="17"/>
  <c r="CM470" i="17"/>
  <c r="CN470" i="17"/>
  <c r="CO470" i="17" s="1"/>
  <c r="DK470" i="17"/>
  <c r="O471" i="17"/>
  <c r="T471" i="17"/>
  <c r="R471" i="17" s="1"/>
  <c r="V471" i="17"/>
  <c r="W471" i="17"/>
  <c r="X471" i="17" s="1"/>
  <c r="AV471" i="17"/>
  <c r="AT471" i="17" s="1"/>
  <c r="AX471" i="17"/>
  <c r="AY471" i="17"/>
  <c r="AZ471" i="17" s="1"/>
  <c r="BX471" i="17"/>
  <c r="BV471" i="17" s="1"/>
  <c r="CB471" i="17"/>
  <c r="CC471" i="17"/>
  <c r="CD471" i="17" s="1"/>
  <c r="CF471" i="17" s="1"/>
  <c r="CJ471" i="17"/>
  <c r="CH471" i="17" s="1"/>
  <c r="CL471" i="17"/>
  <c r="CM471" i="17"/>
  <c r="CN471" i="17"/>
  <c r="DK471" i="17"/>
  <c r="U472" i="17"/>
  <c r="AU472" i="17"/>
  <c r="AX472" i="17"/>
  <c r="CB472" i="17"/>
  <c r="DK472" i="17"/>
  <c r="O473" i="17"/>
  <c r="T473" i="17"/>
  <c r="V473" i="17"/>
  <c r="W473" i="17"/>
  <c r="X473" i="17" s="1"/>
  <c r="AV473" i="17"/>
  <c r="AT473" i="17" s="1"/>
  <c r="AX473" i="17"/>
  <c r="AY473" i="17"/>
  <c r="AZ473" i="17" s="1"/>
  <c r="BX473" i="17"/>
  <c r="BV473" i="17" s="1"/>
  <c r="CB473" i="17"/>
  <c r="CC473" i="17"/>
  <c r="CJ473" i="17"/>
  <c r="CH473" i="17" s="1"/>
  <c r="CL473" i="17"/>
  <c r="CM473" i="17"/>
  <c r="CN473" i="17"/>
  <c r="CO473" i="17" s="1"/>
  <c r="DK473" i="17"/>
  <c r="O474" i="17"/>
  <c r="T474" i="17"/>
  <c r="V474" i="17"/>
  <c r="W474" i="17"/>
  <c r="X474" i="17" s="1"/>
  <c r="AV474" i="17"/>
  <c r="AT474" i="17" s="1"/>
  <c r="AX474" i="17"/>
  <c r="AY474" i="17"/>
  <c r="AZ474" i="17" s="1"/>
  <c r="BX474" i="17"/>
  <c r="BV474" i="17" s="1"/>
  <c r="CB474" i="17"/>
  <c r="CC474" i="17"/>
  <c r="CD474" i="17" s="1"/>
  <c r="CJ474" i="17"/>
  <c r="CH474" i="17" s="1"/>
  <c r="CL474" i="17"/>
  <c r="CM474" i="17"/>
  <c r="CN474" i="17"/>
  <c r="DK474" i="17"/>
  <c r="O475" i="17"/>
  <c r="T475" i="17"/>
  <c r="R475" i="17" s="1"/>
  <c r="V475" i="17"/>
  <c r="W475" i="17"/>
  <c r="X475" i="17" s="1"/>
  <c r="Z475" i="17"/>
  <c r="AV475" i="17"/>
  <c r="AT475" i="17" s="1"/>
  <c r="AX475" i="17"/>
  <c r="AY475" i="17"/>
  <c r="AZ475" i="17" s="1"/>
  <c r="BB475" i="17"/>
  <c r="BX475" i="17"/>
  <c r="BV475" i="17" s="1"/>
  <c r="CB475" i="17"/>
  <c r="CC475" i="17"/>
  <c r="CJ475" i="17"/>
  <c r="CH475" i="17" s="1"/>
  <c r="CL475" i="17"/>
  <c r="CM475" i="17"/>
  <c r="CN475" i="17"/>
  <c r="CO475" i="17" s="1"/>
  <c r="DK475" i="17"/>
  <c r="O476" i="17"/>
  <c r="T476" i="17"/>
  <c r="R476" i="17" s="1"/>
  <c r="V476" i="17"/>
  <c r="W476" i="17"/>
  <c r="X476" i="17" s="1"/>
  <c r="Z476" i="17" s="1"/>
  <c r="AV476" i="17"/>
  <c r="AT476" i="17" s="1"/>
  <c r="AX476" i="17"/>
  <c r="AY476" i="17"/>
  <c r="AZ476" i="17" s="1"/>
  <c r="BB476" i="17" s="1"/>
  <c r="BX476" i="17"/>
  <c r="BV476" i="17" s="1"/>
  <c r="CB476" i="17"/>
  <c r="CC476" i="17"/>
  <c r="CD476" i="17" s="1"/>
  <c r="CJ476" i="17"/>
  <c r="CH476" i="17" s="1"/>
  <c r="CL476" i="17"/>
  <c r="CM476" i="17"/>
  <c r="CN476" i="17"/>
  <c r="CO476" i="17" s="1"/>
  <c r="DK476" i="17"/>
  <c r="O477" i="17"/>
  <c r="T477" i="17"/>
  <c r="R477" i="17" s="1"/>
  <c r="V477" i="17"/>
  <c r="W477" i="17"/>
  <c r="X477" i="17" s="1"/>
  <c r="Z477" i="17"/>
  <c r="AV477" i="17"/>
  <c r="AT477" i="17" s="1"/>
  <c r="AX477" i="17"/>
  <c r="AY477" i="17"/>
  <c r="AZ477" i="17" s="1"/>
  <c r="BB477" i="17"/>
  <c r="BX477" i="17"/>
  <c r="BV477" i="17" s="1"/>
  <c r="CB477" i="17"/>
  <c r="CC477" i="17"/>
  <c r="CD477" i="17" s="1"/>
  <c r="CJ477" i="17"/>
  <c r="CH477" i="17" s="1"/>
  <c r="CL477" i="17"/>
  <c r="CM477" i="17"/>
  <c r="CN477" i="17"/>
  <c r="CO477" i="17" s="1"/>
  <c r="DK477" i="17"/>
  <c r="O478" i="17"/>
  <c r="T478" i="17"/>
  <c r="R478" i="17" s="1"/>
  <c r="V478" i="17"/>
  <c r="W478" i="17"/>
  <c r="X478" i="17" s="1"/>
  <c r="Z478" i="17"/>
  <c r="AV478" i="17"/>
  <c r="AT478" i="17" s="1"/>
  <c r="AX478" i="17"/>
  <c r="AY478" i="17"/>
  <c r="AZ478" i="17" s="1"/>
  <c r="BB478" i="17"/>
  <c r="BX478" i="17"/>
  <c r="BV478" i="17" s="1"/>
  <c r="CB478" i="17"/>
  <c r="CC478" i="17"/>
  <c r="CD478" i="17" s="1"/>
  <c r="CJ478" i="17"/>
  <c r="CH478" i="17" s="1"/>
  <c r="CL478" i="17"/>
  <c r="CM478" i="17"/>
  <c r="CN478" i="17"/>
  <c r="CO478" i="17" s="1"/>
  <c r="DK478" i="17"/>
  <c r="O479" i="17"/>
  <c r="T479" i="17"/>
  <c r="R479" i="17" s="1"/>
  <c r="V479" i="17"/>
  <c r="W479" i="17"/>
  <c r="X479" i="17" s="1"/>
  <c r="Z479" i="17" s="1"/>
  <c r="AV479" i="17"/>
  <c r="AT479" i="17" s="1"/>
  <c r="AX479" i="17"/>
  <c r="AY479" i="17"/>
  <c r="AZ479" i="17" s="1"/>
  <c r="BX479" i="17"/>
  <c r="BV479" i="17" s="1"/>
  <c r="CB479" i="17"/>
  <c r="CC479" i="17"/>
  <c r="CD479" i="17" s="1"/>
  <c r="CJ479" i="17"/>
  <c r="CH479" i="17" s="1"/>
  <c r="CL479" i="17"/>
  <c r="CM479" i="17"/>
  <c r="CN479" i="17"/>
  <c r="CO479" i="17" s="1"/>
  <c r="DK479" i="17"/>
  <c r="O480" i="17"/>
  <c r="T480" i="17"/>
  <c r="V480" i="17"/>
  <c r="W480" i="17"/>
  <c r="X480" i="17" s="1"/>
  <c r="AV480" i="17"/>
  <c r="AT480" i="17" s="1"/>
  <c r="AX480" i="17"/>
  <c r="AY480" i="17"/>
  <c r="AZ480" i="17" s="1"/>
  <c r="BX480" i="17"/>
  <c r="BV480" i="17" s="1"/>
  <c r="CB480" i="17"/>
  <c r="CC480" i="17"/>
  <c r="CD480" i="17" s="1"/>
  <c r="CF480" i="17"/>
  <c r="CJ480" i="17"/>
  <c r="CH480" i="17" s="1"/>
  <c r="CL480" i="17"/>
  <c r="CM480" i="17"/>
  <c r="CN480" i="17"/>
  <c r="CO480" i="17" s="1"/>
  <c r="DK480" i="17"/>
  <c r="O481" i="17"/>
  <c r="T481" i="17"/>
  <c r="V481" i="17"/>
  <c r="W481" i="17"/>
  <c r="X481" i="17" s="1"/>
  <c r="AV481" i="17"/>
  <c r="AT481" i="17" s="1"/>
  <c r="AX481" i="17"/>
  <c r="AY481" i="17"/>
  <c r="AZ481" i="17" s="1"/>
  <c r="BB481" i="17"/>
  <c r="BX481" i="17"/>
  <c r="BV481" i="17" s="1"/>
  <c r="CB481" i="17"/>
  <c r="CC481" i="17"/>
  <c r="CD481" i="17" s="1"/>
  <c r="CF481" i="17" s="1"/>
  <c r="CJ481" i="17"/>
  <c r="CH481" i="17" s="1"/>
  <c r="CL481" i="17"/>
  <c r="CM481" i="17"/>
  <c r="CN481" i="17"/>
  <c r="DK481" i="17"/>
  <c r="O482" i="17"/>
  <c r="T482" i="17"/>
  <c r="V482" i="17"/>
  <c r="W482" i="17"/>
  <c r="X482" i="17" s="1"/>
  <c r="AV482" i="17"/>
  <c r="AT482" i="17" s="1"/>
  <c r="AX482" i="17"/>
  <c r="AY482" i="17"/>
  <c r="AZ482" i="17" s="1"/>
  <c r="BX482" i="17"/>
  <c r="BV482" i="17" s="1"/>
  <c r="CB482" i="17"/>
  <c r="CC482" i="17"/>
  <c r="CJ482" i="17"/>
  <c r="CH482" i="17" s="1"/>
  <c r="CL482" i="17"/>
  <c r="CM482" i="17"/>
  <c r="CN482" i="17"/>
  <c r="DK482" i="17"/>
  <c r="T483" i="17"/>
  <c r="R483" i="17" s="1"/>
  <c r="V483" i="17"/>
  <c r="W483" i="17"/>
  <c r="X483" i="17" s="1"/>
  <c r="Z483" i="17" s="1"/>
  <c r="AV483" i="17"/>
  <c r="AT483" i="17" s="1"/>
  <c r="AX483" i="17"/>
  <c r="AY483" i="17"/>
  <c r="AZ483" i="17" s="1"/>
  <c r="BB483" i="17"/>
  <c r="BX483" i="17"/>
  <c r="BV483" i="17" s="1"/>
  <c r="CB483" i="17"/>
  <c r="CC483" i="17"/>
  <c r="CF483" i="17"/>
  <c r="CJ483" i="17"/>
  <c r="CH483" i="17" s="1"/>
  <c r="CL483" i="17"/>
  <c r="CM483" i="17"/>
  <c r="CN483" i="17"/>
  <c r="CO483" i="17" s="1"/>
  <c r="DK483" i="17"/>
  <c r="O484" i="17"/>
  <c r="T484" i="17"/>
  <c r="R484" i="17" s="1"/>
  <c r="V484" i="17"/>
  <c r="W484" i="17"/>
  <c r="X484" i="17" s="1"/>
  <c r="Z484" i="17" s="1"/>
  <c r="AV484" i="17"/>
  <c r="AT484" i="17" s="1"/>
  <c r="AX484" i="17"/>
  <c r="AY484" i="17"/>
  <c r="AZ484" i="17" s="1"/>
  <c r="BB484" i="17" s="1"/>
  <c r="BX484" i="17"/>
  <c r="CB484" i="17"/>
  <c r="CC484" i="17"/>
  <c r="CD484" i="17" s="1"/>
  <c r="CJ484" i="17"/>
  <c r="CH484" i="17" s="1"/>
  <c r="CL484" i="17"/>
  <c r="CM484" i="17"/>
  <c r="CN484" i="17"/>
  <c r="CO484" i="17" s="1"/>
  <c r="DK484" i="17"/>
  <c r="O485" i="17"/>
  <c r="T485" i="17"/>
  <c r="R485" i="17" s="1"/>
  <c r="V485" i="17"/>
  <c r="W485" i="17"/>
  <c r="X485" i="17" s="1"/>
  <c r="Z485" i="17"/>
  <c r="AV485" i="17"/>
  <c r="AT485" i="17" s="1"/>
  <c r="AX485" i="17"/>
  <c r="AY485" i="17"/>
  <c r="AZ485" i="17" s="1"/>
  <c r="BX485" i="17"/>
  <c r="BV485" i="17" s="1"/>
  <c r="CB485" i="17"/>
  <c r="CC485" i="17"/>
  <c r="CD485" i="17" s="1"/>
  <c r="CF485" i="17" s="1"/>
  <c r="CJ485" i="17"/>
  <c r="CH485" i="17" s="1"/>
  <c r="CL485" i="17"/>
  <c r="CM485" i="17"/>
  <c r="CN485" i="17"/>
  <c r="CO485" i="17" s="1"/>
  <c r="DK485" i="17"/>
  <c r="O486" i="17"/>
  <c r="T486" i="17"/>
  <c r="V486" i="17"/>
  <c r="W486" i="17"/>
  <c r="X486" i="17" s="1"/>
  <c r="Z486" i="17"/>
  <c r="AV486" i="17"/>
  <c r="AT486" i="17" s="1"/>
  <c r="AX486" i="17"/>
  <c r="AY486" i="17"/>
  <c r="AZ486" i="17" s="1"/>
  <c r="BB486" i="17"/>
  <c r="BX486" i="17"/>
  <c r="BV486" i="17" s="1"/>
  <c r="CB486" i="17"/>
  <c r="CC486" i="17"/>
  <c r="CD486" i="17" s="1"/>
  <c r="CJ486" i="17"/>
  <c r="CH486" i="17" s="1"/>
  <c r="CL486" i="17"/>
  <c r="CM486" i="17"/>
  <c r="CN486" i="17"/>
  <c r="CO486" i="17" s="1"/>
  <c r="DK486" i="17"/>
  <c r="O487" i="17"/>
  <c r="T487" i="17"/>
  <c r="V487" i="17"/>
  <c r="W487" i="17"/>
  <c r="X487" i="17" s="1"/>
  <c r="Z487" i="17"/>
  <c r="AV487" i="17"/>
  <c r="AT487" i="17" s="1"/>
  <c r="AX487" i="17"/>
  <c r="AY487" i="17"/>
  <c r="AZ487" i="17" s="1"/>
  <c r="BX487" i="17"/>
  <c r="BV487" i="17" s="1"/>
  <c r="CB487" i="17"/>
  <c r="CC487" i="17"/>
  <c r="CD487" i="17" s="1"/>
  <c r="CF487" i="17" s="1"/>
  <c r="CJ487" i="17"/>
  <c r="CH487" i="17" s="1"/>
  <c r="CL487" i="17"/>
  <c r="CM487" i="17"/>
  <c r="CN487" i="17"/>
  <c r="CO487" i="17" s="1"/>
  <c r="DK487" i="17"/>
  <c r="O488" i="17"/>
  <c r="T488" i="17"/>
  <c r="V488" i="17"/>
  <c r="W488" i="17"/>
  <c r="X488" i="17" s="1"/>
  <c r="AV488" i="17"/>
  <c r="AT488" i="17" s="1"/>
  <c r="AX488" i="17"/>
  <c r="AY488" i="17"/>
  <c r="AZ488" i="17" s="1"/>
  <c r="BB488" i="17"/>
  <c r="BX488" i="17"/>
  <c r="BV488" i="17" s="1"/>
  <c r="CB488" i="17"/>
  <c r="CC488" i="17"/>
  <c r="CD488" i="17" s="1"/>
  <c r="CF488" i="17"/>
  <c r="CJ488" i="17"/>
  <c r="CH488" i="17" s="1"/>
  <c r="CL488" i="17"/>
  <c r="CM488" i="17"/>
  <c r="CN488" i="17"/>
  <c r="CO488" i="17" s="1"/>
  <c r="DK488" i="17"/>
  <c r="O489" i="17"/>
  <c r="T489" i="17"/>
  <c r="V489" i="17"/>
  <c r="W489" i="17"/>
  <c r="X489" i="17" s="1"/>
  <c r="Z489" i="17"/>
  <c r="AV489" i="17"/>
  <c r="AT489" i="17" s="1"/>
  <c r="AX489" i="17"/>
  <c r="AY489" i="17"/>
  <c r="AZ489" i="17" s="1"/>
  <c r="BB489" i="17"/>
  <c r="BX489" i="17"/>
  <c r="BV489" i="17" s="1"/>
  <c r="CB489" i="17"/>
  <c r="CC489" i="17"/>
  <c r="CD489" i="17" s="1"/>
  <c r="CJ489" i="17"/>
  <c r="CH489" i="17" s="1"/>
  <c r="CL489" i="17"/>
  <c r="CM489" i="17"/>
  <c r="CN489" i="17"/>
  <c r="CO489" i="17" s="1"/>
  <c r="DK489" i="17"/>
  <c r="O490" i="17"/>
  <c r="T490" i="17"/>
  <c r="R490" i="17" s="1"/>
  <c r="V490" i="17"/>
  <c r="W490" i="17"/>
  <c r="X490" i="17" s="1"/>
  <c r="Z490" i="17"/>
  <c r="AV490" i="17"/>
  <c r="AT490" i="17" s="1"/>
  <c r="AX490" i="17"/>
  <c r="AY490" i="17"/>
  <c r="AZ490" i="17" s="1"/>
  <c r="BX490" i="17"/>
  <c r="BV490" i="17" s="1"/>
  <c r="CB490" i="17"/>
  <c r="CC490" i="17"/>
  <c r="CD490" i="17" s="1"/>
  <c r="CJ490" i="17"/>
  <c r="CH490" i="17" s="1"/>
  <c r="CL490" i="17"/>
  <c r="CM490" i="17"/>
  <c r="CN490" i="17"/>
  <c r="DK490" i="17"/>
  <c r="O491" i="17"/>
  <c r="T491" i="17"/>
  <c r="V491" i="17"/>
  <c r="W491" i="17"/>
  <c r="X491" i="17" s="1"/>
  <c r="Z491" i="17"/>
  <c r="AV491" i="17"/>
  <c r="AT491" i="17" s="1"/>
  <c r="AX491" i="17"/>
  <c r="AY491" i="17"/>
  <c r="AZ491" i="17" s="1"/>
  <c r="BX491" i="17"/>
  <c r="BV491" i="17" s="1"/>
  <c r="CB491" i="17"/>
  <c r="CC491" i="17"/>
  <c r="CJ491" i="17"/>
  <c r="CH491" i="17" s="1"/>
  <c r="CL491" i="17"/>
  <c r="CM491" i="17"/>
  <c r="CN491" i="17"/>
  <c r="CO491" i="17" s="1"/>
  <c r="DK491" i="17"/>
  <c r="O492" i="17"/>
  <c r="T492" i="17"/>
  <c r="R492" i="17" s="1"/>
  <c r="V492" i="17"/>
  <c r="W492" i="17"/>
  <c r="X492" i="17" s="1"/>
  <c r="Z492" i="17"/>
  <c r="AV492" i="17"/>
  <c r="AT492" i="17" s="1"/>
  <c r="AX492" i="17"/>
  <c r="AY492" i="17"/>
  <c r="AZ492" i="17" s="1"/>
  <c r="BB492" i="17"/>
  <c r="BX492" i="17"/>
  <c r="BV492" i="17" s="1"/>
  <c r="CB492" i="17"/>
  <c r="CC492" i="17"/>
  <c r="CD492" i="17" s="1"/>
  <c r="CJ492" i="17"/>
  <c r="CH492" i="17" s="1"/>
  <c r="CL492" i="17"/>
  <c r="CM492" i="17"/>
  <c r="CN492" i="17"/>
  <c r="CO492" i="17" s="1"/>
  <c r="DK492" i="17"/>
  <c r="O493" i="17"/>
  <c r="T493" i="17"/>
  <c r="R493" i="17" s="1"/>
  <c r="V493" i="17"/>
  <c r="W493" i="17"/>
  <c r="X493" i="17" s="1"/>
  <c r="Z493" i="17"/>
  <c r="AV493" i="17"/>
  <c r="AT493" i="17" s="1"/>
  <c r="AX493" i="17"/>
  <c r="AY493" i="17"/>
  <c r="AZ493" i="17" s="1"/>
  <c r="BB493" i="17"/>
  <c r="BX493" i="17"/>
  <c r="BV493" i="17" s="1"/>
  <c r="CB493" i="17"/>
  <c r="CC493" i="17"/>
  <c r="CD493" i="17" s="1"/>
  <c r="CF493" i="17"/>
  <c r="CJ493" i="17"/>
  <c r="CH493" i="17" s="1"/>
  <c r="CL493" i="17"/>
  <c r="CM493" i="17"/>
  <c r="CN493" i="17"/>
  <c r="CO493" i="17" s="1"/>
  <c r="DK493" i="17"/>
  <c r="O494" i="17"/>
  <c r="T494" i="17"/>
  <c r="R494" i="17" s="1"/>
  <c r="V494" i="17"/>
  <c r="W494" i="17"/>
  <c r="X494" i="17" s="1"/>
  <c r="AV494" i="17"/>
  <c r="AT494" i="17" s="1"/>
  <c r="AX494" i="17"/>
  <c r="AY494" i="17"/>
  <c r="AZ494" i="17" s="1"/>
  <c r="BX494" i="17"/>
  <c r="BV494" i="17" s="1"/>
  <c r="CB494" i="17"/>
  <c r="CC494" i="17"/>
  <c r="CD494" i="17" s="1"/>
  <c r="CF494" i="17" s="1"/>
  <c r="CJ494" i="17"/>
  <c r="CH494" i="17" s="1"/>
  <c r="CL494" i="17"/>
  <c r="CM494" i="17"/>
  <c r="CN494" i="17"/>
  <c r="CO494" i="17" s="1"/>
  <c r="DK494" i="17"/>
  <c r="O495" i="17"/>
  <c r="T495" i="17"/>
  <c r="R495" i="17" s="1"/>
  <c r="V495" i="17"/>
  <c r="W495" i="17"/>
  <c r="X495" i="17" s="1"/>
  <c r="Z495" i="17" s="1"/>
  <c r="AV495" i="17"/>
  <c r="AX495" i="17"/>
  <c r="AY495" i="17"/>
  <c r="AZ495" i="17" s="1"/>
  <c r="BX495" i="17"/>
  <c r="BV495" i="17" s="1"/>
  <c r="CB495" i="17"/>
  <c r="CC495" i="17"/>
  <c r="CJ495" i="17"/>
  <c r="CH495" i="17" s="1"/>
  <c r="CL495" i="17"/>
  <c r="CM495" i="17"/>
  <c r="CN495" i="17"/>
  <c r="DK495" i="17"/>
  <c r="O496" i="17"/>
  <c r="T496" i="17"/>
  <c r="V496" i="17"/>
  <c r="W496" i="17"/>
  <c r="X496" i="17" s="1"/>
  <c r="AV496" i="17"/>
  <c r="AT496" i="17" s="1"/>
  <c r="AX496" i="17"/>
  <c r="AY496" i="17"/>
  <c r="AZ496" i="17" s="1"/>
  <c r="BX496" i="17"/>
  <c r="BV496" i="17" s="1"/>
  <c r="CB496" i="17"/>
  <c r="CC496" i="17"/>
  <c r="CF496" i="17"/>
  <c r="CJ496" i="17"/>
  <c r="CH496" i="17" s="1"/>
  <c r="CL496" i="17"/>
  <c r="CM496" i="17"/>
  <c r="CN496" i="17"/>
  <c r="DK496" i="17"/>
  <c r="O497" i="17"/>
  <c r="T497" i="17"/>
  <c r="V497" i="17"/>
  <c r="W497" i="17"/>
  <c r="X497" i="17" s="1"/>
  <c r="AV497" i="17"/>
  <c r="AT497" i="17" s="1"/>
  <c r="AX497" i="17"/>
  <c r="AY497" i="17"/>
  <c r="AZ497" i="17" s="1"/>
  <c r="BX497" i="17"/>
  <c r="BV497" i="17" s="1"/>
  <c r="CB497" i="17"/>
  <c r="CC497" i="17"/>
  <c r="CD497" i="17" s="1"/>
  <c r="CF497" i="17"/>
  <c r="CJ497" i="17"/>
  <c r="CH497" i="17" s="1"/>
  <c r="CL497" i="17"/>
  <c r="CM497" i="17"/>
  <c r="CN497" i="17"/>
  <c r="DK497" i="17"/>
  <c r="O498" i="17"/>
  <c r="T498" i="17"/>
  <c r="V498" i="17"/>
  <c r="W498" i="17"/>
  <c r="X498" i="17" s="1"/>
  <c r="AV498" i="17"/>
  <c r="AT498" i="17" s="1"/>
  <c r="AX498" i="17"/>
  <c r="AY498" i="17"/>
  <c r="AZ498" i="17" s="1"/>
  <c r="BB498" i="17"/>
  <c r="BX498" i="17"/>
  <c r="BV498" i="17" s="1"/>
  <c r="CB498" i="17"/>
  <c r="CC498" i="17"/>
  <c r="CF498" i="17"/>
  <c r="CJ498" i="17"/>
  <c r="CH498" i="17" s="1"/>
  <c r="CL498" i="17"/>
  <c r="CM498" i="17"/>
  <c r="CN498" i="17"/>
  <c r="DK498" i="17"/>
  <c r="O499" i="17"/>
  <c r="T499" i="17"/>
  <c r="R499" i="17" s="1"/>
  <c r="V499" i="17"/>
  <c r="W499" i="17"/>
  <c r="X499" i="17" s="1"/>
  <c r="Z499" i="17" s="1"/>
  <c r="AV499" i="17"/>
  <c r="AT499" i="17" s="1"/>
  <c r="AX499" i="17"/>
  <c r="AY499" i="17"/>
  <c r="AZ499" i="17" s="1"/>
  <c r="BB499" i="17"/>
  <c r="BX499" i="17"/>
  <c r="BV499" i="17" s="1"/>
  <c r="CB499" i="17"/>
  <c r="CC499" i="17"/>
  <c r="CF499" i="17"/>
  <c r="CJ499" i="17"/>
  <c r="CH499" i="17" s="1"/>
  <c r="CL499" i="17"/>
  <c r="CM499" i="17"/>
  <c r="CN499" i="17"/>
  <c r="CO499" i="17" s="1"/>
  <c r="DK499" i="17"/>
  <c r="O500" i="17"/>
  <c r="T500" i="17"/>
  <c r="R500" i="17" s="1"/>
  <c r="V500" i="17"/>
  <c r="W500" i="17"/>
  <c r="X500" i="17" s="1"/>
  <c r="Z500" i="17"/>
  <c r="AV500" i="17"/>
  <c r="AT500" i="17" s="1"/>
  <c r="AX500" i="17"/>
  <c r="AY500" i="17"/>
  <c r="AZ500" i="17" s="1"/>
  <c r="BB500" i="17" s="1"/>
  <c r="BX500" i="17"/>
  <c r="BV500" i="17" s="1"/>
  <c r="CB500" i="17"/>
  <c r="CC500" i="17"/>
  <c r="CD500" i="17" s="1"/>
  <c r="CJ500" i="17"/>
  <c r="CH500" i="17" s="1"/>
  <c r="CL500" i="17"/>
  <c r="CM500" i="17"/>
  <c r="CN500" i="17"/>
  <c r="CO500" i="17" s="1"/>
  <c r="DK500" i="17"/>
  <c r="O501" i="17"/>
  <c r="T501" i="17"/>
  <c r="R501" i="17" s="1"/>
  <c r="V501" i="17"/>
  <c r="W501" i="17"/>
  <c r="X501" i="17" s="1"/>
  <c r="Z501" i="17"/>
  <c r="AV501" i="17"/>
  <c r="AT501" i="17" s="1"/>
  <c r="AX501" i="17"/>
  <c r="AY501" i="17"/>
  <c r="AZ501" i="17" s="1"/>
  <c r="BB501" i="17" s="1"/>
  <c r="BX501" i="17"/>
  <c r="CB501" i="17"/>
  <c r="CC501" i="17"/>
  <c r="CD501" i="17" s="1"/>
  <c r="CF501" i="17"/>
  <c r="CJ501" i="17"/>
  <c r="CH501" i="17" s="1"/>
  <c r="CL501" i="17"/>
  <c r="CM501" i="17"/>
  <c r="CN501" i="17"/>
  <c r="CO501" i="17" s="1"/>
  <c r="DK501" i="17"/>
  <c r="O502" i="17"/>
  <c r="T502" i="17"/>
  <c r="R502" i="17" s="1"/>
  <c r="V502" i="17"/>
  <c r="W502" i="17"/>
  <c r="X502" i="17" s="1"/>
  <c r="AV502" i="17"/>
  <c r="AT502" i="17" s="1"/>
  <c r="AX502" i="17"/>
  <c r="AY502" i="17"/>
  <c r="AZ502" i="17" s="1"/>
  <c r="BB502" i="17"/>
  <c r="BX502" i="17"/>
  <c r="BV502" i="17" s="1"/>
  <c r="CB502" i="17"/>
  <c r="CC502" i="17"/>
  <c r="CD502" i="17" s="1"/>
  <c r="CF502" i="17" s="1"/>
  <c r="CJ502" i="17"/>
  <c r="CH502" i="17" s="1"/>
  <c r="CL502" i="17"/>
  <c r="CM502" i="17"/>
  <c r="CN502" i="17"/>
  <c r="CO502" i="17" s="1"/>
  <c r="DK502" i="17"/>
  <c r="O503" i="17"/>
  <c r="T503" i="17"/>
  <c r="R503" i="17" s="1"/>
  <c r="V503" i="17"/>
  <c r="W503" i="17"/>
  <c r="X503" i="17" s="1"/>
  <c r="AV503" i="17"/>
  <c r="AT503" i="17" s="1"/>
  <c r="AX503" i="17"/>
  <c r="AY503" i="17"/>
  <c r="AZ503" i="17" s="1"/>
  <c r="BB503" i="17"/>
  <c r="BX503" i="17"/>
  <c r="BV503" i="17" s="1"/>
  <c r="CB503" i="17"/>
  <c r="CC503" i="17"/>
  <c r="CD503" i="17" s="1"/>
  <c r="CF503" i="17" s="1"/>
  <c r="CJ503" i="17"/>
  <c r="CH503" i="17" s="1"/>
  <c r="CL503" i="17"/>
  <c r="CM503" i="17"/>
  <c r="CN503" i="17"/>
  <c r="CO503" i="17" s="1"/>
  <c r="DK503" i="17"/>
  <c r="P504" i="17"/>
  <c r="AV504" i="17" s="1"/>
  <c r="AT504" i="17" s="1"/>
  <c r="V504" i="17"/>
  <c r="W504" i="17"/>
  <c r="X504" i="17" s="1"/>
  <c r="Z504" i="17"/>
  <c r="AX504" i="17"/>
  <c r="AY504" i="17"/>
  <c r="AZ504" i="17" s="1"/>
  <c r="CB504" i="17"/>
  <c r="CC504" i="17"/>
  <c r="CD504" i="17" s="1"/>
  <c r="CF504" i="17" s="1"/>
  <c r="CL504" i="17"/>
  <c r="CM504" i="17"/>
  <c r="CN504" i="17"/>
  <c r="CO504" i="17" s="1"/>
  <c r="DK504" i="17"/>
  <c r="O505" i="17"/>
  <c r="T505" i="17"/>
  <c r="R505" i="17" s="1"/>
  <c r="V505" i="17"/>
  <c r="W505" i="17"/>
  <c r="X505" i="17" s="1"/>
  <c r="AV505" i="17"/>
  <c r="AT505" i="17" s="1"/>
  <c r="AX505" i="17"/>
  <c r="AY505" i="17"/>
  <c r="AZ505" i="17" s="1"/>
  <c r="BX505" i="17"/>
  <c r="BV505" i="17" s="1"/>
  <c r="CB505" i="17"/>
  <c r="CC505" i="17"/>
  <c r="CD505" i="17" s="1"/>
  <c r="CJ505" i="17"/>
  <c r="CH505" i="17" s="1"/>
  <c r="CL505" i="17"/>
  <c r="CM505" i="17"/>
  <c r="CN505" i="17"/>
  <c r="DK505" i="17"/>
  <c r="O506" i="17"/>
  <c r="T506" i="17"/>
  <c r="V506" i="17"/>
  <c r="W506" i="17"/>
  <c r="X506" i="17" s="1"/>
  <c r="Z506" i="17" s="1"/>
  <c r="AV506" i="17"/>
  <c r="AT506" i="17" s="1"/>
  <c r="AX506" i="17"/>
  <c r="AY506" i="17"/>
  <c r="AZ506" i="17" s="1"/>
  <c r="BX506" i="17"/>
  <c r="BV506" i="17" s="1"/>
  <c r="CB506" i="17"/>
  <c r="CC506" i="17"/>
  <c r="CJ506" i="17"/>
  <c r="CH506" i="17" s="1"/>
  <c r="CL506" i="17"/>
  <c r="CM506" i="17"/>
  <c r="CN506" i="17"/>
  <c r="CO506" i="17" s="1"/>
  <c r="DK506" i="17"/>
  <c r="O507" i="17"/>
  <c r="T507" i="17"/>
  <c r="V507" i="17"/>
  <c r="W507" i="17"/>
  <c r="X507" i="17" s="1"/>
  <c r="Z507" i="17"/>
  <c r="AV507" i="17"/>
  <c r="AX507" i="17"/>
  <c r="AY507" i="17"/>
  <c r="AZ507" i="17" s="1"/>
  <c r="BB507" i="17" s="1"/>
  <c r="BX507" i="17"/>
  <c r="CB507" i="17"/>
  <c r="CC507" i="17"/>
  <c r="CD507" i="17" s="1"/>
  <c r="CJ507" i="17"/>
  <c r="CL507" i="17"/>
  <c r="CM507" i="17"/>
  <c r="CN507" i="17"/>
  <c r="CO507" i="17" s="1"/>
  <c r="DK507" i="17"/>
  <c r="O508" i="17"/>
  <c r="T508" i="17"/>
  <c r="R508" i="17" s="1"/>
  <c r="V508" i="17"/>
  <c r="W508" i="17"/>
  <c r="X508" i="17" s="1"/>
  <c r="Z508" i="17" s="1"/>
  <c r="AV508" i="17"/>
  <c r="AT508" i="17" s="1"/>
  <c r="AX508" i="17"/>
  <c r="AY508" i="17"/>
  <c r="AZ508" i="17" s="1"/>
  <c r="BB508" i="17"/>
  <c r="BX508" i="17"/>
  <c r="CB508" i="17"/>
  <c r="CC508" i="17"/>
  <c r="CD508" i="17" s="1"/>
  <c r="CF508" i="17"/>
  <c r="CJ508" i="17"/>
  <c r="CH508" i="17" s="1"/>
  <c r="CL508" i="17"/>
  <c r="CM508" i="17"/>
  <c r="CN508" i="17"/>
  <c r="CO508" i="17" s="1"/>
  <c r="DK508" i="17"/>
  <c r="O509" i="17"/>
  <c r="T509" i="17"/>
  <c r="R509" i="17" s="1"/>
  <c r="V509" i="17"/>
  <c r="W509" i="17"/>
  <c r="X509" i="17" s="1"/>
  <c r="Z509" i="17"/>
  <c r="AV509" i="17"/>
  <c r="AT509" i="17" s="1"/>
  <c r="AX509" i="17"/>
  <c r="AY509" i="17"/>
  <c r="AZ509" i="17" s="1"/>
  <c r="BB509" i="17" s="1"/>
  <c r="BX509" i="17"/>
  <c r="BV509" i="17" s="1"/>
  <c r="CB509" i="17"/>
  <c r="CC509" i="17"/>
  <c r="CD509" i="17" s="1"/>
  <c r="CF509" i="17" s="1"/>
  <c r="CJ509" i="17"/>
  <c r="CL509" i="17"/>
  <c r="CM509" i="17"/>
  <c r="CN509" i="17"/>
  <c r="CO509" i="17" s="1"/>
  <c r="DK509" i="17"/>
  <c r="O510" i="17"/>
  <c r="T510" i="17"/>
  <c r="R510" i="17" s="1"/>
  <c r="V510" i="17"/>
  <c r="W510" i="17"/>
  <c r="X510" i="17" s="1"/>
  <c r="AV510" i="17"/>
  <c r="AT510" i="17" s="1"/>
  <c r="AX510" i="17"/>
  <c r="AY510" i="17"/>
  <c r="AZ510" i="17" s="1"/>
  <c r="BB510" i="17"/>
  <c r="BX510" i="17"/>
  <c r="BV510" i="17" s="1"/>
  <c r="CB510" i="17"/>
  <c r="CC510" i="17"/>
  <c r="CD510" i="17" s="1"/>
  <c r="CJ510" i="17"/>
  <c r="CH510" i="17" s="1"/>
  <c r="CL510" i="17"/>
  <c r="CM510" i="17"/>
  <c r="CN510" i="17"/>
  <c r="CO510" i="17" s="1"/>
  <c r="DK510" i="17"/>
  <c r="O511" i="17"/>
  <c r="T511" i="17"/>
  <c r="V511" i="17"/>
  <c r="W511" i="17"/>
  <c r="X511" i="17" s="1"/>
  <c r="Z511" i="17"/>
  <c r="AV511" i="17"/>
  <c r="AT511" i="17" s="1"/>
  <c r="AX511" i="17"/>
  <c r="AY511" i="17"/>
  <c r="AZ511" i="17" s="1"/>
  <c r="BB511" i="17"/>
  <c r="BX511" i="17"/>
  <c r="BV511" i="17" s="1"/>
  <c r="CB511" i="17"/>
  <c r="CC511" i="17"/>
  <c r="CD511" i="17" s="1"/>
  <c r="CJ511" i="17"/>
  <c r="CH511" i="17" s="1"/>
  <c r="CL511" i="17"/>
  <c r="CM511" i="17"/>
  <c r="CN511" i="17"/>
  <c r="DK511" i="17"/>
  <c r="O512" i="17"/>
  <c r="T512" i="17"/>
  <c r="V512" i="17"/>
  <c r="W512" i="17"/>
  <c r="X512" i="17" s="1"/>
  <c r="AV512" i="17"/>
  <c r="AT512" i="17" s="1"/>
  <c r="AX512" i="17"/>
  <c r="AY512" i="17"/>
  <c r="AZ512" i="17" s="1"/>
  <c r="BX512" i="17"/>
  <c r="BV512" i="17" s="1"/>
  <c r="CB512" i="17"/>
  <c r="CC512" i="17"/>
  <c r="CD512" i="17" s="1"/>
  <c r="CJ512" i="17"/>
  <c r="CH512" i="17" s="1"/>
  <c r="CL512" i="17"/>
  <c r="CM512" i="17"/>
  <c r="CN512" i="17"/>
  <c r="CO512" i="17" s="1"/>
  <c r="DK512" i="17"/>
  <c r="O513" i="17"/>
  <c r="T513" i="17"/>
  <c r="R513" i="17" s="1"/>
  <c r="V513" i="17"/>
  <c r="W513" i="17"/>
  <c r="X513" i="17" s="1"/>
  <c r="Z513" i="17"/>
  <c r="AV513" i="17"/>
  <c r="AT513" i="17" s="1"/>
  <c r="AX513" i="17"/>
  <c r="AY513" i="17"/>
  <c r="AZ513" i="17" s="1"/>
  <c r="BX513" i="17"/>
  <c r="BV513" i="17" s="1"/>
  <c r="CB513" i="17"/>
  <c r="CC513" i="17"/>
  <c r="CD513" i="17" s="1"/>
  <c r="CJ513" i="17"/>
  <c r="CH513" i="17" s="1"/>
  <c r="CL513" i="17"/>
  <c r="CM513" i="17"/>
  <c r="CN513" i="17"/>
  <c r="DK513" i="17"/>
  <c r="O514" i="17"/>
  <c r="T514" i="17"/>
  <c r="V514" i="17"/>
  <c r="W514" i="17"/>
  <c r="X514" i="17" s="1"/>
  <c r="Z514" i="17" s="1"/>
  <c r="AV514" i="17"/>
  <c r="AT514" i="17" s="1"/>
  <c r="AX514" i="17"/>
  <c r="AY514" i="17"/>
  <c r="AZ514" i="17" s="1"/>
  <c r="BX514" i="17"/>
  <c r="BV514" i="17" s="1"/>
  <c r="CB514" i="17"/>
  <c r="CC514" i="17"/>
  <c r="CJ514" i="17"/>
  <c r="CH514" i="17" s="1"/>
  <c r="CL514" i="17"/>
  <c r="CM514" i="17"/>
  <c r="CN514" i="17"/>
  <c r="CO514" i="17" s="1"/>
  <c r="DK514" i="17"/>
  <c r="O515" i="17"/>
  <c r="T515" i="17"/>
  <c r="R515" i="17" s="1"/>
  <c r="V515" i="17"/>
  <c r="W515" i="17"/>
  <c r="X515" i="17" s="1"/>
  <c r="Z515" i="17" s="1"/>
  <c r="AV515" i="17"/>
  <c r="AX515" i="17"/>
  <c r="AY515" i="17"/>
  <c r="AZ515" i="17" s="1"/>
  <c r="BB515" i="17"/>
  <c r="BX515" i="17"/>
  <c r="BV515" i="17" s="1"/>
  <c r="CB515" i="17"/>
  <c r="CC515" i="17"/>
  <c r="CD515" i="17" s="1"/>
  <c r="CJ515" i="17"/>
  <c r="CH515" i="17" s="1"/>
  <c r="CL515" i="17"/>
  <c r="CM515" i="17"/>
  <c r="CN515" i="17"/>
  <c r="CO515" i="17" s="1"/>
  <c r="DK515" i="17"/>
  <c r="O516" i="17"/>
  <c r="T516" i="17"/>
  <c r="R516" i="17" s="1"/>
  <c r="V516" i="17"/>
  <c r="W516" i="17"/>
  <c r="X516" i="17" s="1"/>
  <c r="Z516" i="17"/>
  <c r="AV516" i="17"/>
  <c r="AT516" i="17" s="1"/>
  <c r="AX516" i="17"/>
  <c r="AY516" i="17"/>
  <c r="AZ516" i="17" s="1"/>
  <c r="BX516" i="17"/>
  <c r="BV516" i="17" s="1"/>
  <c r="CB516" i="17"/>
  <c r="CC516" i="17"/>
  <c r="CD516" i="17" s="1"/>
  <c r="CF516" i="17"/>
  <c r="CJ516" i="17"/>
  <c r="CL516" i="17"/>
  <c r="CM516" i="17"/>
  <c r="CN516" i="17"/>
  <c r="CO516" i="17" s="1"/>
  <c r="DK516" i="17"/>
  <c r="O517" i="17"/>
  <c r="T517" i="17"/>
  <c r="R517" i="17" s="1"/>
  <c r="V517" i="17"/>
  <c r="W517" i="17"/>
  <c r="X517" i="17" s="1"/>
  <c r="Z517" i="17"/>
  <c r="AV517" i="17"/>
  <c r="AT517" i="17" s="1"/>
  <c r="AX517" i="17"/>
  <c r="AY517" i="17"/>
  <c r="AZ517" i="17" s="1"/>
  <c r="BX517" i="17"/>
  <c r="BV517" i="17" s="1"/>
  <c r="CB517" i="17"/>
  <c r="CC517" i="17"/>
  <c r="CD517" i="17" s="1"/>
  <c r="CJ517" i="17"/>
  <c r="CH517" i="17" s="1"/>
  <c r="CL517" i="17"/>
  <c r="CM517" i="17"/>
  <c r="CN517" i="17"/>
  <c r="CO517" i="17" s="1"/>
  <c r="DK517" i="17"/>
  <c r="O518" i="17"/>
  <c r="T518" i="17"/>
  <c r="V518" i="17"/>
  <c r="W518" i="17"/>
  <c r="X518" i="17" s="1"/>
  <c r="Z518" i="17"/>
  <c r="AV518" i="17"/>
  <c r="AT518" i="17" s="1"/>
  <c r="AX518" i="17"/>
  <c r="AY518" i="17"/>
  <c r="AZ518" i="17" s="1"/>
  <c r="BX518" i="17"/>
  <c r="BV518" i="17" s="1"/>
  <c r="CB518" i="17"/>
  <c r="CC518" i="17"/>
  <c r="CD518" i="17" s="1"/>
  <c r="CJ518" i="17"/>
  <c r="CH518" i="17" s="1"/>
  <c r="CL518" i="17"/>
  <c r="CM518" i="17"/>
  <c r="CN518" i="17"/>
  <c r="CO518" i="17" s="1"/>
  <c r="DK518" i="17"/>
  <c r="O519" i="17"/>
  <c r="T519" i="17"/>
  <c r="V519" i="17"/>
  <c r="W519" i="17"/>
  <c r="X519" i="17" s="1"/>
  <c r="AV519" i="17"/>
  <c r="AT519" i="17" s="1"/>
  <c r="AX519" i="17"/>
  <c r="AY519" i="17"/>
  <c r="AZ519" i="17" s="1"/>
  <c r="BB519" i="17"/>
  <c r="BX519" i="17"/>
  <c r="BV519" i="17" s="1"/>
  <c r="CB519" i="17"/>
  <c r="CC519" i="17"/>
  <c r="CJ519" i="17"/>
  <c r="CH519" i="17" s="1"/>
  <c r="CL519" i="17"/>
  <c r="CM519" i="17"/>
  <c r="CN519" i="17"/>
  <c r="DK519" i="17"/>
  <c r="O520" i="17"/>
  <c r="T520" i="17"/>
  <c r="V520" i="17"/>
  <c r="W520" i="17"/>
  <c r="X520" i="17" s="1"/>
  <c r="AV520" i="17"/>
  <c r="AT520" i="17" s="1"/>
  <c r="AX520" i="17"/>
  <c r="AY520" i="17"/>
  <c r="AZ520" i="17" s="1"/>
  <c r="BX520" i="17"/>
  <c r="BV520" i="17" s="1"/>
  <c r="CB520" i="17"/>
  <c r="CC520" i="17"/>
  <c r="CD520" i="17" s="1"/>
  <c r="CF520" i="17" s="1"/>
  <c r="CJ520" i="17"/>
  <c r="CH520" i="17" s="1"/>
  <c r="CL520" i="17"/>
  <c r="CM520" i="17"/>
  <c r="CN520" i="17"/>
  <c r="DK520" i="17"/>
  <c r="O521" i="17"/>
  <c r="T521" i="17"/>
  <c r="V521" i="17"/>
  <c r="W521" i="17"/>
  <c r="X521" i="17" s="1"/>
  <c r="AV521" i="17"/>
  <c r="AT521" i="17" s="1"/>
  <c r="AX521" i="17"/>
  <c r="AY521" i="17"/>
  <c r="AZ521" i="17" s="1"/>
  <c r="BX521" i="17"/>
  <c r="BV521" i="17" s="1"/>
  <c r="CB521" i="17"/>
  <c r="CC521" i="17"/>
  <c r="CD521" i="17" s="1"/>
  <c r="CF521" i="17"/>
  <c r="CJ521" i="17"/>
  <c r="CH521" i="17" s="1"/>
  <c r="CL521" i="17"/>
  <c r="CM521" i="17"/>
  <c r="CN521" i="17"/>
  <c r="DK521" i="17"/>
  <c r="O522" i="17"/>
  <c r="T522" i="17"/>
  <c r="R522" i="17" s="1"/>
  <c r="V522" i="17"/>
  <c r="W522" i="17"/>
  <c r="X522" i="17" s="1"/>
  <c r="Z522" i="17"/>
  <c r="AV522" i="17"/>
  <c r="AT522" i="17" s="1"/>
  <c r="AX522" i="17"/>
  <c r="AY522" i="17"/>
  <c r="AZ522" i="17" s="1"/>
  <c r="BX522" i="17"/>
  <c r="BV522" i="17" s="1"/>
  <c r="CB522" i="17"/>
  <c r="CC522" i="17"/>
  <c r="CJ522" i="17"/>
  <c r="CH522" i="17" s="1"/>
  <c r="CL522" i="17"/>
  <c r="CM522" i="17"/>
  <c r="CN522" i="17"/>
  <c r="CO522" i="17" s="1"/>
  <c r="DK522" i="17"/>
  <c r="O523" i="17"/>
  <c r="T523" i="17"/>
  <c r="R523" i="17" s="1"/>
  <c r="V523" i="17"/>
  <c r="W523" i="17"/>
  <c r="X523" i="17" s="1"/>
  <c r="Z523" i="17" s="1"/>
  <c r="AV523" i="17"/>
  <c r="AT523" i="17" s="1"/>
  <c r="AX523" i="17"/>
  <c r="AY523" i="17"/>
  <c r="AZ523" i="17" s="1"/>
  <c r="BB523" i="17" s="1"/>
  <c r="BX523" i="17"/>
  <c r="CB523" i="17"/>
  <c r="CC523" i="17"/>
  <c r="CD523" i="17" s="1"/>
  <c r="CF523" i="17"/>
  <c r="CJ523" i="17"/>
  <c r="CH523" i="17" s="1"/>
  <c r="CL523" i="17"/>
  <c r="CM523" i="17"/>
  <c r="CN523" i="17"/>
  <c r="CO523" i="17" s="1"/>
  <c r="DK523" i="17"/>
  <c r="O524" i="17"/>
  <c r="T524" i="17"/>
  <c r="R524" i="17" s="1"/>
  <c r="V524" i="17"/>
  <c r="W524" i="17"/>
  <c r="X524" i="17" s="1"/>
  <c r="AV524" i="17"/>
  <c r="AT524" i="17" s="1"/>
  <c r="AX524" i="17"/>
  <c r="AY524" i="17"/>
  <c r="AZ524" i="17" s="1"/>
  <c r="BB524" i="17" s="1"/>
  <c r="BX524" i="17"/>
  <c r="CB524" i="17"/>
  <c r="CC524" i="17"/>
  <c r="CD524" i="17" s="1"/>
  <c r="CF524" i="17" s="1"/>
  <c r="CJ524" i="17"/>
  <c r="CH524" i="17" s="1"/>
  <c r="CL524" i="17"/>
  <c r="CM524" i="17"/>
  <c r="CN524" i="17"/>
  <c r="CO524" i="17" s="1"/>
  <c r="DK524" i="17"/>
  <c r="P525" i="17"/>
  <c r="V525" i="17"/>
  <c r="W525" i="17"/>
  <c r="X525" i="17" s="1"/>
  <c r="Z525" i="17" s="1"/>
  <c r="AX525" i="17"/>
  <c r="AY525" i="17"/>
  <c r="AZ525" i="17" s="1"/>
  <c r="BB525" i="17"/>
  <c r="CB525" i="17"/>
  <c r="CC525" i="17"/>
  <c r="CL525" i="17"/>
  <c r="CM525" i="17"/>
  <c r="CN525" i="17"/>
  <c r="DK525" i="17"/>
  <c r="O526" i="17"/>
  <c r="T526" i="17"/>
  <c r="V526" i="17"/>
  <c r="W526" i="17"/>
  <c r="X526" i="17" s="1"/>
  <c r="AV526" i="17"/>
  <c r="AT526" i="17" s="1"/>
  <c r="AX526" i="17"/>
  <c r="AY526" i="17"/>
  <c r="AZ526" i="17" s="1"/>
  <c r="BB526" i="17" s="1"/>
  <c r="BX526" i="17"/>
  <c r="BV526" i="17" s="1"/>
  <c r="CB526" i="17"/>
  <c r="CC526" i="17"/>
  <c r="CD526" i="17" s="1"/>
  <c r="CJ526" i="17"/>
  <c r="CH526" i="17" s="1"/>
  <c r="CL526" i="17"/>
  <c r="CM526" i="17"/>
  <c r="CN526" i="17"/>
  <c r="CO526" i="17" s="1"/>
  <c r="DK526" i="17"/>
  <c r="O527" i="17"/>
  <c r="T527" i="17"/>
  <c r="V527" i="17"/>
  <c r="W527" i="17"/>
  <c r="X527" i="17" s="1"/>
  <c r="AV527" i="17"/>
  <c r="AT527" i="17" s="1"/>
  <c r="AX527" i="17"/>
  <c r="AY527" i="17"/>
  <c r="AZ527" i="17" s="1"/>
  <c r="BX527" i="17"/>
  <c r="BV527" i="17" s="1"/>
  <c r="CB527" i="17"/>
  <c r="CC527" i="17"/>
  <c r="CD527" i="17" s="1"/>
  <c r="CF527" i="17" s="1"/>
  <c r="CJ527" i="17"/>
  <c r="CH527" i="17" s="1"/>
  <c r="CL527" i="17"/>
  <c r="CM527" i="17"/>
  <c r="CN527" i="17"/>
  <c r="DK527" i="17"/>
  <c r="O528" i="17"/>
  <c r="T528" i="17"/>
  <c r="V528" i="17"/>
  <c r="W528" i="17"/>
  <c r="X528" i="17" s="1"/>
  <c r="AV528" i="17"/>
  <c r="AT528" i="17" s="1"/>
  <c r="AX528" i="17"/>
  <c r="AY528" i="17"/>
  <c r="AZ528" i="17" s="1"/>
  <c r="BX528" i="17"/>
  <c r="BV528" i="17" s="1"/>
  <c r="CB528" i="17"/>
  <c r="CC528" i="17"/>
  <c r="CD528" i="17" s="1"/>
  <c r="CJ528" i="17"/>
  <c r="CH528" i="17" s="1"/>
  <c r="CL528" i="17"/>
  <c r="CM528" i="17"/>
  <c r="CN528" i="17"/>
  <c r="DK528" i="17"/>
  <c r="P529" i="17"/>
  <c r="V529" i="17"/>
  <c r="W529" i="17"/>
  <c r="X529" i="17" s="1"/>
  <c r="Z529" i="17" s="1"/>
  <c r="AX529" i="17"/>
  <c r="AY529" i="17"/>
  <c r="AZ529" i="17" s="1"/>
  <c r="CB529" i="17"/>
  <c r="CC529" i="17"/>
  <c r="CD529" i="17" s="1"/>
  <c r="CL529" i="17"/>
  <c r="CM529" i="17"/>
  <c r="CN529" i="17"/>
  <c r="CO529" i="17" s="1"/>
  <c r="DK529" i="17"/>
  <c r="O530" i="17"/>
  <c r="T530" i="17"/>
  <c r="R530" i="17" s="1"/>
  <c r="V530" i="17"/>
  <c r="W530" i="17"/>
  <c r="X530" i="17" s="1"/>
  <c r="AV530" i="17"/>
  <c r="AT530" i="17" s="1"/>
  <c r="AX530" i="17"/>
  <c r="AY530" i="17"/>
  <c r="AZ530" i="17" s="1"/>
  <c r="BB530" i="17" s="1"/>
  <c r="BX530" i="17"/>
  <c r="BV530" i="17" s="1"/>
  <c r="CB530" i="17"/>
  <c r="CC530" i="17"/>
  <c r="CD530" i="17" s="1"/>
  <c r="CF530" i="17" s="1"/>
  <c r="CJ530" i="17"/>
  <c r="CH530" i="17" s="1"/>
  <c r="CL530" i="17"/>
  <c r="CM530" i="17"/>
  <c r="CN530" i="17"/>
  <c r="CO530" i="17" s="1"/>
  <c r="DK530" i="17"/>
  <c r="O531" i="17"/>
  <c r="T531" i="17"/>
  <c r="R531" i="17" s="1"/>
  <c r="V531" i="17"/>
  <c r="W531" i="17"/>
  <c r="X531" i="17" s="1"/>
  <c r="Z531" i="17" s="1"/>
  <c r="AV531" i="17"/>
  <c r="AT531" i="17" s="1"/>
  <c r="AX531" i="17"/>
  <c r="AY531" i="17"/>
  <c r="AZ531" i="17" s="1"/>
  <c r="BX531" i="17"/>
  <c r="BV531" i="17" s="1"/>
  <c r="CB531" i="17"/>
  <c r="CC531" i="17"/>
  <c r="CD531" i="17" s="1"/>
  <c r="CF531" i="17" s="1"/>
  <c r="CJ531" i="17"/>
  <c r="CH531" i="17" s="1"/>
  <c r="CL531" i="17"/>
  <c r="CM531" i="17"/>
  <c r="CN531" i="17"/>
  <c r="CO531" i="17" s="1"/>
  <c r="DK531" i="17"/>
  <c r="O532" i="17"/>
  <c r="T532" i="17"/>
  <c r="V532" i="17"/>
  <c r="W532" i="17"/>
  <c r="X532" i="17" s="1"/>
  <c r="AV532" i="17"/>
  <c r="AT532" i="17" s="1"/>
  <c r="AX532" i="17"/>
  <c r="AY532" i="17"/>
  <c r="AZ532" i="17" s="1"/>
  <c r="BX532" i="17"/>
  <c r="BV532" i="17" s="1"/>
  <c r="CB532" i="17"/>
  <c r="CC532" i="17"/>
  <c r="CD532" i="17" s="1"/>
  <c r="CF532" i="17" s="1"/>
  <c r="CJ532" i="17"/>
  <c r="CH532" i="17" s="1"/>
  <c r="CL532" i="17"/>
  <c r="CN532" i="17"/>
  <c r="CO532" i="17" s="1"/>
  <c r="DK532" i="17"/>
  <c r="O533" i="17"/>
  <c r="T533" i="17"/>
  <c r="R533" i="17" s="1"/>
  <c r="V533" i="17"/>
  <c r="W533" i="17"/>
  <c r="X533" i="17" s="1"/>
  <c r="Z533" i="17" s="1"/>
  <c r="AV533" i="17"/>
  <c r="AT533" i="17" s="1"/>
  <c r="AX533" i="17"/>
  <c r="AY533" i="17"/>
  <c r="AZ533" i="17" s="1"/>
  <c r="BB533" i="17"/>
  <c r="BX533" i="17"/>
  <c r="BV533" i="17" s="1"/>
  <c r="CB533" i="17"/>
  <c r="CC533" i="17"/>
  <c r="CD533" i="17" s="1"/>
  <c r="CF533" i="17"/>
  <c r="CJ533" i="17"/>
  <c r="CH533" i="17" s="1"/>
  <c r="CL533" i="17"/>
  <c r="CN533" i="17"/>
  <c r="CO533" i="17" s="1"/>
  <c r="DK533" i="17"/>
  <c r="O534" i="17"/>
  <c r="T534" i="17"/>
  <c r="R534" i="17" s="1"/>
  <c r="V534" i="17"/>
  <c r="W534" i="17"/>
  <c r="X534" i="17" s="1"/>
  <c r="AV534" i="17"/>
  <c r="AT534" i="17" s="1"/>
  <c r="AX534" i="17"/>
  <c r="AY534" i="17"/>
  <c r="AZ534" i="17" s="1"/>
  <c r="BB534" i="17" s="1"/>
  <c r="BX534" i="17"/>
  <c r="BV534" i="17" s="1"/>
  <c r="CB534" i="17"/>
  <c r="CC534" i="17"/>
  <c r="CD534" i="17" s="1"/>
  <c r="CF534" i="17" s="1"/>
  <c r="CJ534" i="17"/>
  <c r="CH534" i="17" s="1"/>
  <c r="CL534" i="17"/>
  <c r="CN534" i="17"/>
  <c r="CO534" i="17" s="1"/>
  <c r="DK534" i="17"/>
  <c r="O535" i="17"/>
  <c r="T535" i="17"/>
  <c r="R535" i="17" s="1"/>
  <c r="V535" i="17"/>
  <c r="W535" i="17"/>
  <c r="X535" i="17" s="1"/>
  <c r="AV535" i="17"/>
  <c r="AT535" i="17" s="1"/>
  <c r="AX535" i="17"/>
  <c r="AY535" i="17"/>
  <c r="AZ535" i="17" s="1"/>
  <c r="BB535" i="17" s="1"/>
  <c r="BX535" i="17"/>
  <c r="BV535" i="17" s="1"/>
  <c r="CB535" i="17"/>
  <c r="CC535" i="17"/>
  <c r="CD535" i="17" s="1"/>
  <c r="CJ535" i="17"/>
  <c r="CH535" i="17" s="1"/>
  <c r="CL535" i="17"/>
  <c r="CM535" i="17"/>
  <c r="CN535" i="17"/>
  <c r="CO535" i="17" s="1"/>
  <c r="DK535" i="17"/>
  <c r="O536" i="17"/>
  <c r="T536" i="17"/>
  <c r="V536" i="17"/>
  <c r="W536" i="17"/>
  <c r="X536" i="17" s="1"/>
  <c r="AV536" i="17"/>
  <c r="AT536" i="17" s="1"/>
  <c r="AX536" i="17"/>
  <c r="AY536" i="17"/>
  <c r="AZ536" i="17" s="1"/>
  <c r="BX536" i="17"/>
  <c r="BV536" i="17" s="1"/>
  <c r="CB536" i="17"/>
  <c r="CC536" i="17"/>
  <c r="CJ536" i="17"/>
  <c r="CH536" i="17" s="1"/>
  <c r="CL536" i="17"/>
  <c r="CM536" i="17"/>
  <c r="CN536" i="17"/>
  <c r="DK536" i="17"/>
  <c r="O537" i="17"/>
  <c r="T537" i="17"/>
  <c r="V537" i="17"/>
  <c r="W537" i="17"/>
  <c r="X537" i="17" s="1"/>
  <c r="AV537" i="17"/>
  <c r="AT537" i="17" s="1"/>
  <c r="AX537" i="17"/>
  <c r="AY537" i="17"/>
  <c r="AZ537" i="17" s="1"/>
  <c r="BB537" i="17"/>
  <c r="BX537" i="17"/>
  <c r="BV537" i="17" s="1"/>
  <c r="CB537" i="17"/>
  <c r="CC537" i="17"/>
  <c r="CD537" i="17" s="1"/>
  <c r="CJ537" i="17"/>
  <c r="CH537" i="17" s="1"/>
  <c r="CL537" i="17"/>
  <c r="CM537" i="17"/>
  <c r="CN537" i="17"/>
  <c r="DK537" i="17"/>
  <c r="O538" i="17"/>
  <c r="T538" i="17"/>
  <c r="V538" i="17"/>
  <c r="W538" i="17"/>
  <c r="X538" i="17" s="1"/>
  <c r="AV538" i="17"/>
  <c r="AT538" i="17" s="1"/>
  <c r="AX538" i="17"/>
  <c r="AY538" i="17"/>
  <c r="AZ538" i="17" s="1"/>
  <c r="BC538" i="17"/>
  <c r="BX538" i="17"/>
  <c r="BV538" i="17" s="1"/>
  <c r="CB538" i="17"/>
  <c r="CC538" i="17"/>
  <c r="CH538" i="17"/>
  <c r="CL538" i="17"/>
  <c r="CM538" i="17"/>
  <c r="CN538" i="17"/>
  <c r="CO538" i="17" s="1"/>
  <c r="CR538" i="17"/>
  <c r="DM538" i="17"/>
  <c r="DN538" i="17" s="1"/>
  <c r="O539" i="17"/>
  <c r="T539" i="17"/>
  <c r="R539" i="17" s="1"/>
  <c r="V539" i="17"/>
  <c r="W539" i="17"/>
  <c r="X539" i="17" s="1"/>
  <c r="Z539" i="17" s="1"/>
  <c r="AV539" i="17"/>
  <c r="AX539" i="17"/>
  <c r="AY539" i="17"/>
  <c r="AZ539" i="17" s="1"/>
  <c r="BB539" i="17" s="1"/>
  <c r="BC539" i="17"/>
  <c r="BX539" i="17"/>
  <c r="BV539" i="17" s="1"/>
  <c r="CB539" i="17"/>
  <c r="CC539" i="17"/>
  <c r="CD539" i="17" s="1"/>
  <c r="CF539" i="17" s="1"/>
  <c r="CJ539" i="17"/>
  <c r="CH539" i="17" s="1"/>
  <c r="CL539" i="17"/>
  <c r="CM539" i="17"/>
  <c r="CN539" i="17"/>
  <c r="CO539" i="17" s="1"/>
  <c r="CR539" i="17"/>
  <c r="DM539" i="17"/>
  <c r="DN539" i="17" s="1"/>
  <c r="O540" i="17"/>
  <c r="T540" i="17"/>
  <c r="R540" i="17" s="1"/>
  <c r="V540" i="17"/>
  <c r="W540" i="17"/>
  <c r="X540" i="17" s="1"/>
  <c r="AV540" i="17"/>
  <c r="AT540" i="17" s="1"/>
  <c r="AX540" i="17"/>
  <c r="AY540" i="17"/>
  <c r="AZ540" i="17" s="1"/>
  <c r="BB540" i="17" s="1"/>
  <c r="BC540" i="17"/>
  <c r="BX540" i="17"/>
  <c r="BV540" i="17" s="1"/>
  <c r="CB540" i="17"/>
  <c r="CC540" i="17"/>
  <c r="CD540" i="17" s="1"/>
  <c r="CF540" i="17" s="1"/>
  <c r="CJ540" i="17"/>
  <c r="CH540" i="17" s="1"/>
  <c r="CL540" i="17"/>
  <c r="CM540" i="17"/>
  <c r="CN540" i="17"/>
  <c r="CO540" i="17" s="1"/>
  <c r="CR540" i="17"/>
  <c r="DM540" i="17"/>
  <c r="DN540" i="17" s="1"/>
  <c r="DO540" i="17" s="1"/>
  <c r="O541" i="17"/>
  <c r="T541" i="17"/>
  <c r="V541" i="17"/>
  <c r="W541" i="17"/>
  <c r="X541" i="17" s="1"/>
  <c r="AV541" i="17"/>
  <c r="AT541" i="17" s="1"/>
  <c r="AX541" i="17"/>
  <c r="AY541" i="17"/>
  <c r="AZ541" i="17" s="1"/>
  <c r="BC541" i="17"/>
  <c r="BX541" i="17"/>
  <c r="BV541" i="17" s="1"/>
  <c r="CB541" i="17"/>
  <c r="CC541" i="17"/>
  <c r="CJ541" i="17"/>
  <c r="CH541" i="17" s="1"/>
  <c r="CL541" i="17"/>
  <c r="CM541" i="17"/>
  <c r="CN541" i="17"/>
  <c r="CR541" i="17"/>
  <c r="DM541" i="17"/>
  <c r="DN541" i="17" s="1"/>
  <c r="DO541" i="17" s="1"/>
  <c r="BW472" i="17" l="1"/>
  <c r="BX472" i="17" s="1"/>
  <c r="BV472" i="17" s="1"/>
  <c r="AV472" i="17"/>
  <c r="V179" i="17"/>
  <c r="U542" i="17"/>
  <c r="P542" i="17"/>
  <c r="BX179" i="17"/>
  <c r="BV179" i="17" s="1"/>
  <c r="T398" i="17"/>
  <c r="R398" i="17" s="1"/>
  <c r="AV398" i="17"/>
  <c r="AT398" i="17" s="1"/>
  <c r="T179" i="17"/>
  <c r="AV179" i="17"/>
  <c r="AT179" i="17" s="1"/>
  <c r="DM503" i="17"/>
  <c r="DN503" i="17" s="1"/>
  <c r="DO503" i="17" s="1"/>
  <c r="DM451" i="17"/>
  <c r="DN451" i="17" s="1"/>
  <c r="DP451" i="17" s="1"/>
  <c r="DM416" i="17"/>
  <c r="DN416" i="17" s="1"/>
  <c r="DP416" i="17" s="1"/>
  <c r="DM395" i="17"/>
  <c r="DN395" i="17" s="1"/>
  <c r="DO395" i="17" s="1"/>
  <c r="DM369" i="17"/>
  <c r="DN369" i="17" s="1"/>
  <c r="DO369" i="17" s="1"/>
  <c r="DM468" i="17"/>
  <c r="DN468" i="17" s="1"/>
  <c r="DO468" i="17" s="1"/>
  <c r="DM427" i="17"/>
  <c r="DN427" i="17" s="1"/>
  <c r="DP427" i="17" s="1"/>
  <c r="DM353" i="17"/>
  <c r="DN353" i="17" s="1"/>
  <c r="DO353" i="17" s="1"/>
  <c r="DM306" i="17"/>
  <c r="DN306" i="17" s="1"/>
  <c r="DO306" i="17" s="1"/>
  <c r="DM305" i="17"/>
  <c r="DN305" i="17" s="1"/>
  <c r="DP305" i="17" s="1"/>
  <c r="DM297" i="17"/>
  <c r="DN297" i="17" s="1"/>
  <c r="DO297" i="17" s="1"/>
  <c r="DM208" i="17"/>
  <c r="DN208" i="17" s="1"/>
  <c r="DO208" i="17" s="1"/>
  <c r="O89" i="25" s="1"/>
  <c r="P89" i="25" s="1"/>
  <c r="DM155" i="17"/>
  <c r="DN155" i="17" s="1"/>
  <c r="DO155" i="17" s="1"/>
  <c r="DP155" i="17" s="1"/>
  <c r="DM533" i="17"/>
  <c r="DN533" i="17" s="1"/>
  <c r="DO533" i="17" s="1"/>
  <c r="DM247" i="17"/>
  <c r="DN247" i="17" s="1"/>
  <c r="DO247" i="17" s="1"/>
  <c r="DM145" i="17"/>
  <c r="DN145" i="17" s="1"/>
  <c r="DO145" i="17" s="1"/>
  <c r="DM132" i="17"/>
  <c r="DN132" i="17" s="1"/>
  <c r="DO132" i="17" s="1"/>
  <c r="DP132" i="17" s="1"/>
  <c r="DM127" i="17"/>
  <c r="DN127" i="17" s="1"/>
  <c r="DO127" i="17" s="1"/>
  <c r="DP127" i="17" s="1"/>
  <c r="DM104" i="17"/>
  <c r="DN104" i="17" s="1"/>
  <c r="DO104" i="17" s="1"/>
  <c r="DM500" i="17"/>
  <c r="DN500" i="17" s="1"/>
  <c r="DO500" i="17" s="1"/>
  <c r="DM493" i="17"/>
  <c r="DN493" i="17" s="1"/>
  <c r="DO493" i="17" s="1"/>
  <c r="DM535" i="17"/>
  <c r="DN535" i="17" s="1"/>
  <c r="DO535" i="17" s="1"/>
  <c r="DM494" i="17"/>
  <c r="DN494" i="17" s="1"/>
  <c r="DO494" i="17" s="1"/>
  <c r="DM428" i="17"/>
  <c r="DN428" i="17" s="1"/>
  <c r="DO428" i="17" s="1"/>
  <c r="DM408" i="17"/>
  <c r="DN408" i="17" s="1"/>
  <c r="DO408" i="17" s="1"/>
  <c r="DM360" i="17"/>
  <c r="DN360" i="17" s="1"/>
  <c r="DO360" i="17" s="1"/>
  <c r="DM279" i="17"/>
  <c r="DN279" i="17" s="1"/>
  <c r="DP279" i="17" s="1"/>
  <c r="DM260" i="17"/>
  <c r="DN260" i="17" s="1"/>
  <c r="DO260" i="17" s="1"/>
  <c r="DP260" i="17" s="1"/>
  <c r="DM239" i="17"/>
  <c r="DN239" i="17" s="1"/>
  <c r="DO239" i="17" s="1"/>
  <c r="DM230" i="17"/>
  <c r="DN230" i="17" s="1"/>
  <c r="DO230" i="17" s="1"/>
  <c r="DM218" i="17"/>
  <c r="DN218" i="17" s="1"/>
  <c r="DP218" i="17" s="1"/>
  <c r="DM210" i="17"/>
  <c r="DN210" i="17" s="1"/>
  <c r="DO210" i="17" s="1"/>
  <c r="O90" i="25" s="1"/>
  <c r="P90" i="25" s="1"/>
  <c r="DM187" i="17"/>
  <c r="DN187" i="17" s="1"/>
  <c r="DO187" i="17" s="1"/>
  <c r="O81" i="25" s="1"/>
  <c r="P81" i="25" s="1"/>
  <c r="DM173" i="17"/>
  <c r="DN173" i="17" s="1"/>
  <c r="DO173" i="17" s="1"/>
  <c r="DM103" i="17"/>
  <c r="DN103" i="17" s="1"/>
  <c r="DO103" i="17" s="1"/>
  <c r="DP103" i="17" s="1"/>
  <c r="DM453" i="17"/>
  <c r="DN453" i="17" s="1"/>
  <c r="DP453" i="17" s="1"/>
  <c r="DM443" i="17"/>
  <c r="DN443" i="17" s="1"/>
  <c r="DP443" i="17" s="1"/>
  <c r="DM259" i="17"/>
  <c r="DN259" i="17" s="1"/>
  <c r="DO259" i="17" s="1"/>
  <c r="DM252" i="17"/>
  <c r="DN252" i="17" s="1"/>
  <c r="DO252" i="17" s="1"/>
  <c r="DM202" i="17"/>
  <c r="DN202" i="17" s="1"/>
  <c r="DP202" i="17" s="1"/>
  <c r="DM200" i="17"/>
  <c r="DN200" i="17" s="1"/>
  <c r="DO200" i="17" s="1"/>
  <c r="DP200" i="17" s="1"/>
  <c r="DM114" i="17"/>
  <c r="DN114" i="17" s="1"/>
  <c r="DO114" i="17" s="1"/>
  <c r="DM97" i="17"/>
  <c r="DN97" i="17" s="1"/>
  <c r="DP97" i="17" s="1"/>
  <c r="DM71" i="17"/>
  <c r="DN71" i="17" s="1"/>
  <c r="DO71" i="17" s="1"/>
  <c r="DM51" i="17"/>
  <c r="DN51" i="17" s="1"/>
  <c r="DO51" i="17" s="1"/>
  <c r="DM26" i="17"/>
  <c r="DN26" i="17" s="1"/>
  <c r="DO26" i="17" s="1"/>
  <c r="DM22" i="17"/>
  <c r="DN22" i="17" s="1"/>
  <c r="DO22" i="17" s="1"/>
  <c r="DP22" i="17" s="1"/>
  <c r="DM82" i="17"/>
  <c r="DN82" i="17" s="1"/>
  <c r="DO82" i="17" s="1"/>
  <c r="DP82" i="17" s="1"/>
  <c r="DM502" i="17"/>
  <c r="DN502" i="17" s="1"/>
  <c r="DO502" i="17" s="1"/>
  <c r="DM357" i="17"/>
  <c r="DN357" i="17" s="1"/>
  <c r="DP357" i="17" s="1"/>
  <c r="DM352" i="17"/>
  <c r="DN352" i="17" s="1"/>
  <c r="DP352" i="17" s="1"/>
  <c r="DM422" i="17"/>
  <c r="DN422" i="17" s="1"/>
  <c r="DO422" i="17" s="1"/>
  <c r="DM314" i="17"/>
  <c r="DN314" i="17" s="1"/>
  <c r="DO314" i="17" s="1"/>
  <c r="DM312" i="17"/>
  <c r="DN312" i="17" s="1"/>
  <c r="DO312" i="17" s="1"/>
  <c r="DM213" i="17"/>
  <c r="DN213" i="17" s="1"/>
  <c r="DO213" i="17" s="1"/>
  <c r="O93" i="25" s="1"/>
  <c r="P93" i="25" s="1"/>
  <c r="DM484" i="17"/>
  <c r="DN484" i="17" s="1"/>
  <c r="DO484" i="17" s="1"/>
  <c r="DM482" i="17"/>
  <c r="DN482" i="17" s="1"/>
  <c r="DO482" i="17" s="1"/>
  <c r="DM476" i="17"/>
  <c r="DN476" i="17" s="1"/>
  <c r="DO476" i="17" s="1"/>
  <c r="DM383" i="17"/>
  <c r="DN383" i="17" s="1"/>
  <c r="DP383" i="17" s="1"/>
  <c r="DM373" i="17"/>
  <c r="DN373" i="17" s="1"/>
  <c r="DP373" i="17" s="1"/>
  <c r="DM367" i="17"/>
  <c r="DN367" i="17" s="1"/>
  <c r="DO367" i="17" s="1"/>
  <c r="DM356" i="17"/>
  <c r="DN356" i="17" s="1"/>
  <c r="DO356" i="17" s="1"/>
  <c r="DM126" i="17"/>
  <c r="DN126" i="17" s="1"/>
  <c r="DO126" i="17" s="1"/>
  <c r="DP126" i="17" s="1"/>
  <c r="DM501" i="17"/>
  <c r="DN501" i="17" s="1"/>
  <c r="DO501" i="17" s="1"/>
  <c r="DM467" i="17"/>
  <c r="DN467" i="17" s="1"/>
  <c r="DO467" i="17" s="1"/>
  <c r="BX442" i="17"/>
  <c r="BV442" i="17" s="1"/>
  <c r="CE442" i="17" s="1"/>
  <c r="DM439" i="17"/>
  <c r="DN439" i="17" s="1"/>
  <c r="DP439" i="17" s="1"/>
  <c r="DM362" i="17"/>
  <c r="DN362" i="17" s="1"/>
  <c r="DO362" i="17" s="1"/>
  <c r="DM282" i="17"/>
  <c r="DN282" i="17" s="1"/>
  <c r="DO282" i="17" s="1"/>
  <c r="DM267" i="17"/>
  <c r="DN267" i="17" s="1"/>
  <c r="DO267" i="17" s="1"/>
  <c r="DM251" i="17"/>
  <c r="DN251" i="17" s="1"/>
  <c r="DO251" i="17" s="1"/>
  <c r="DP251" i="17" s="1"/>
  <c r="DM242" i="17"/>
  <c r="DN242" i="17" s="1"/>
  <c r="DO242" i="17" s="1"/>
  <c r="DM241" i="17"/>
  <c r="DN241" i="17" s="1"/>
  <c r="DO241" i="17" s="1"/>
  <c r="DM178" i="17"/>
  <c r="DN178" i="17" s="1"/>
  <c r="DO178" i="17" s="1"/>
  <c r="DM531" i="17"/>
  <c r="DN531" i="17" s="1"/>
  <c r="DP531" i="17" s="1"/>
  <c r="DM527" i="17"/>
  <c r="DN527" i="17" s="1"/>
  <c r="DO527" i="17" s="1"/>
  <c r="DM518" i="17"/>
  <c r="DN518" i="17" s="1"/>
  <c r="DO518" i="17" s="1"/>
  <c r="DM517" i="17"/>
  <c r="DN517" i="17" s="1"/>
  <c r="DO517" i="17" s="1"/>
  <c r="DM516" i="17"/>
  <c r="DN516" i="17" s="1"/>
  <c r="DP516" i="17" s="1"/>
  <c r="DM512" i="17"/>
  <c r="DN512" i="17" s="1"/>
  <c r="DO512" i="17" s="1"/>
  <c r="DP512" i="17" s="1"/>
  <c r="DM510" i="17"/>
  <c r="DN510" i="17" s="1"/>
  <c r="DP510" i="17" s="1"/>
  <c r="DM478" i="17"/>
  <c r="DN478" i="17" s="1"/>
  <c r="DO478" i="17" s="1"/>
  <c r="DM459" i="17"/>
  <c r="DN459" i="17" s="1"/>
  <c r="DP459" i="17" s="1"/>
  <c r="DM458" i="17"/>
  <c r="DN458" i="17" s="1"/>
  <c r="DO458" i="17" s="1"/>
  <c r="DM454" i="17"/>
  <c r="DN454" i="17" s="1"/>
  <c r="DP454" i="17" s="1"/>
  <c r="DM440" i="17"/>
  <c r="DN440" i="17" s="1"/>
  <c r="DP440" i="17" s="1"/>
  <c r="DM436" i="17"/>
  <c r="DN436" i="17" s="1"/>
  <c r="DO436" i="17" s="1"/>
  <c r="DM381" i="17"/>
  <c r="DN381" i="17" s="1"/>
  <c r="DP381" i="17" s="1"/>
  <c r="DM344" i="17"/>
  <c r="DN344" i="17" s="1"/>
  <c r="DO344" i="17" s="1"/>
  <c r="DM340" i="17"/>
  <c r="DN340" i="17" s="1"/>
  <c r="DO340" i="17" s="1"/>
  <c r="DM337" i="17"/>
  <c r="DN337" i="17" s="1"/>
  <c r="DP337" i="17" s="1"/>
  <c r="DM315" i="17"/>
  <c r="DN315" i="17" s="1"/>
  <c r="DO315" i="17" s="1"/>
  <c r="DM258" i="17"/>
  <c r="DN258" i="17" s="1"/>
  <c r="DO258" i="17" s="1"/>
  <c r="DP258" i="17" s="1"/>
  <c r="DM116" i="17"/>
  <c r="DN116" i="17" s="1"/>
  <c r="DP116" i="17" s="1"/>
  <c r="DM54" i="17"/>
  <c r="DN54" i="17" s="1"/>
  <c r="DO54" i="17" s="1"/>
  <c r="DM5" i="17"/>
  <c r="DN5" i="17" s="1"/>
  <c r="DP5" i="17" s="1"/>
  <c r="DM532" i="17"/>
  <c r="DN532" i="17" s="1"/>
  <c r="DO532" i="17" s="1"/>
  <c r="DM485" i="17"/>
  <c r="DN485" i="17" s="1"/>
  <c r="DO485" i="17" s="1"/>
  <c r="O104" i="25" s="1"/>
  <c r="P104" i="25" s="1"/>
  <c r="DM463" i="17"/>
  <c r="DN463" i="17" s="1"/>
  <c r="DO463" i="17" s="1"/>
  <c r="DP463" i="17" s="1"/>
  <c r="DM414" i="17"/>
  <c r="DN414" i="17" s="1"/>
  <c r="DP414" i="17" s="1"/>
  <c r="DM372" i="17"/>
  <c r="DN372" i="17" s="1"/>
  <c r="DO372" i="17" s="1"/>
  <c r="DM365" i="17"/>
  <c r="DN365" i="17" s="1"/>
  <c r="DP365" i="17" s="1"/>
  <c r="DM289" i="17"/>
  <c r="DN289" i="17" s="1"/>
  <c r="DO289" i="17" s="1"/>
  <c r="DP289" i="17" s="1"/>
  <c r="DM265" i="17"/>
  <c r="DN265" i="17" s="1"/>
  <c r="DO265" i="17" s="1"/>
  <c r="DM109" i="17"/>
  <c r="DN109" i="17" s="1"/>
  <c r="DO109" i="17" s="1"/>
  <c r="DM452" i="17"/>
  <c r="DN452" i="17" s="1"/>
  <c r="DO452" i="17" s="1"/>
  <c r="DM444" i="17"/>
  <c r="DN444" i="17" s="1"/>
  <c r="DO444" i="17" s="1"/>
  <c r="DM391" i="17"/>
  <c r="DN391" i="17" s="1"/>
  <c r="DO391" i="17" s="1"/>
  <c r="DM291" i="17"/>
  <c r="DN291" i="17" s="1"/>
  <c r="DO291" i="17" s="1"/>
  <c r="DM275" i="17"/>
  <c r="DN275" i="17" s="1"/>
  <c r="DO275" i="17" s="1"/>
  <c r="DM222" i="17"/>
  <c r="DN222" i="17" s="1"/>
  <c r="DP222" i="17" s="1"/>
  <c r="DM492" i="17"/>
  <c r="DN492" i="17" s="1"/>
  <c r="DO492" i="17" s="1"/>
  <c r="F17" i="18"/>
  <c r="DM388" i="17"/>
  <c r="DN388" i="17" s="1"/>
  <c r="DP388" i="17" s="1"/>
  <c r="DM489" i="17"/>
  <c r="DN489" i="17" s="1"/>
  <c r="DP489" i="17" s="1"/>
  <c r="DM457" i="17"/>
  <c r="DN457" i="17" s="1"/>
  <c r="DP457" i="17" s="1"/>
  <c r="DM456" i="17"/>
  <c r="DN456" i="17" s="1"/>
  <c r="DO456" i="17" s="1"/>
  <c r="DM14" i="17"/>
  <c r="DN14" i="17" s="1"/>
  <c r="DO14" i="17" s="1"/>
  <c r="DM528" i="17"/>
  <c r="DN528" i="17" s="1"/>
  <c r="DP528" i="17" s="1"/>
  <c r="BX525" i="17"/>
  <c r="BV525" i="17" s="1"/>
  <c r="CG525" i="17" s="1"/>
  <c r="DM523" i="17"/>
  <c r="DN523" i="17" s="1"/>
  <c r="DO523" i="17" s="1"/>
  <c r="DM515" i="17"/>
  <c r="DN515" i="17" s="1"/>
  <c r="DO515" i="17" s="1"/>
  <c r="DM487" i="17"/>
  <c r="DN487" i="17" s="1"/>
  <c r="DO487" i="17" s="1"/>
  <c r="DM486" i="17"/>
  <c r="DN486" i="17" s="1"/>
  <c r="DO486" i="17" s="1"/>
  <c r="O105" i="25" s="1"/>
  <c r="P105" i="25" s="1"/>
  <c r="DM477" i="17"/>
  <c r="DN477" i="17" s="1"/>
  <c r="DP477" i="17" s="1"/>
  <c r="DM473" i="17"/>
  <c r="DN473" i="17" s="1"/>
  <c r="DO473" i="17" s="1"/>
  <c r="DM412" i="17"/>
  <c r="DN412" i="17" s="1"/>
  <c r="DO412" i="17" s="1"/>
  <c r="DM377" i="17"/>
  <c r="DN377" i="17" s="1"/>
  <c r="DP377" i="17" s="1"/>
  <c r="DM341" i="17"/>
  <c r="DN341" i="17" s="1"/>
  <c r="DP341" i="17" s="1"/>
  <c r="DM318" i="17"/>
  <c r="DN318" i="17" s="1"/>
  <c r="DP318" i="17" s="1"/>
  <c r="DM273" i="17"/>
  <c r="DN273" i="17" s="1"/>
  <c r="DP273" i="17" s="1"/>
  <c r="DM83" i="17"/>
  <c r="DN83" i="17" s="1"/>
  <c r="DP83" i="17" s="1"/>
  <c r="DM78" i="17"/>
  <c r="DN78" i="17" s="1"/>
  <c r="DO78" i="17" s="1"/>
  <c r="DP78" i="17" s="1"/>
  <c r="DM55" i="17"/>
  <c r="DN55" i="17" s="1"/>
  <c r="DO55" i="17" s="1"/>
  <c r="DP55" i="17" s="1"/>
  <c r="CE480" i="17"/>
  <c r="BA516" i="17"/>
  <c r="CE456" i="17"/>
  <c r="CP460" i="17"/>
  <c r="CP424" i="17"/>
  <c r="CE219" i="17"/>
  <c r="Y216" i="17"/>
  <c r="R472" i="17"/>
  <c r="C22" i="18"/>
  <c r="D22" i="18" s="1"/>
  <c r="D23" i="18" s="1"/>
  <c r="V472" i="17"/>
  <c r="H22" i="18"/>
  <c r="Y493" i="17"/>
  <c r="CE438" i="17"/>
  <c r="CE403" i="17"/>
  <c r="CG27" i="17"/>
  <c r="BV507" i="17"/>
  <c r="CG507" i="17" s="1"/>
  <c r="AT507" i="17"/>
  <c r="BA507" i="17" s="1"/>
  <c r="R507" i="17"/>
  <c r="Y507" i="17" s="1"/>
  <c r="CP539" i="17"/>
  <c r="CP390" i="17"/>
  <c r="CP377" i="17"/>
  <c r="BA494" i="17"/>
  <c r="CG466" i="17"/>
  <c r="BA128" i="17"/>
  <c r="CP486" i="17"/>
  <c r="CP143" i="17"/>
  <c r="Y423" i="17"/>
  <c r="CP268" i="17"/>
  <c r="O23" i="18"/>
  <c r="O24" i="18" s="1"/>
  <c r="O25" i="18" s="1"/>
  <c r="CQ62" i="17"/>
  <c r="CE21" i="17"/>
  <c r="Y19" i="17"/>
  <c r="CG149" i="17"/>
  <c r="CP427" i="17"/>
  <c r="CQ415" i="17"/>
  <c r="BA206" i="17"/>
  <c r="CG178" i="17"/>
  <c r="Y429" i="17"/>
  <c r="CP119" i="17"/>
  <c r="CG84" i="17"/>
  <c r="CP517" i="17"/>
  <c r="CP388" i="17"/>
  <c r="BA319" i="17"/>
  <c r="CP532" i="17"/>
  <c r="BA355" i="17"/>
  <c r="BA328" i="17"/>
  <c r="CE252" i="17"/>
  <c r="CP78" i="17"/>
  <c r="CP101" i="17"/>
  <c r="Y72" i="17"/>
  <c r="Y54" i="17"/>
  <c r="CE19" i="17"/>
  <c r="CG20" i="17"/>
  <c r="Y516" i="17"/>
  <c r="Y478" i="17"/>
  <c r="CQ429" i="17"/>
  <c r="Y322" i="17"/>
  <c r="CP176" i="17"/>
  <c r="CQ118" i="17"/>
  <c r="CQ423" i="17"/>
  <c r="CE57" i="17"/>
  <c r="CE533" i="17"/>
  <c r="CE479" i="17"/>
  <c r="CP414" i="17"/>
  <c r="Y351" i="17"/>
  <c r="CI179" i="17"/>
  <c r="CN179" i="17" s="1"/>
  <c r="Y299" i="17"/>
  <c r="CE215" i="17"/>
  <c r="DM84" i="17"/>
  <c r="DN84" i="17" s="1"/>
  <c r="DO84" i="17" s="1"/>
  <c r="DP84" i="17" s="1"/>
  <c r="CP60" i="17"/>
  <c r="CE217" i="17"/>
  <c r="CG124" i="17"/>
  <c r="Y468" i="17"/>
  <c r="CD466" i="17"/>
  <c r="CE466" i="17" s="1"/>
  <c r="CG436" i="17"/>
  <c r="CQ407" i="17"/>
  <c r="CG320" i="17"/>
  <c r="CE134" i="17"/>
  <c r="CG75" i="17"/>
  <c r="DM58" i="17"/>
  <c r="DN58" i="17" s="1"/>
  <c r="DO58" i="17" s="1"/>
  <c r="DP58" i="17" s="1"/>
  <c r="BA43" i="17"/>
  <c r="CQ16" i="17"/>
  <c r="CQ273" i="17"/>
  <c r="CE268" i="17"/>
  <c r="CQ227" i="17"/>
  <c r="CP226" i="17"/>
  <c r="CP180" i="17"/>
  <c r="CP145" i="17"/>
  <c r="CP35" i="17"/>
  <c r="CP469" i="17"/>
  <c r="CP459" i="17"/>
  <c r="BA537" i="17"/>
  <c r="DM529" i="17"/>
  <c r="DN529" i="17" s="1"/>
  <c r="DO529" i="17" s="1"/>
  <c r="CE379" i="17"/>
  <c r="BA356" i="17"/>
  <c r="Y336" i="17"/>
  <c r="CG304" i="17"/>
  <c r="CQ290" i="17"/>
  <c r="Y251" i="17"/>
  <c r="CQ236" i="17"/>
  <c r="CQ233" i="17"/>
  <c r="Y192" i="17"/>
  <c r="CQ148" i="17"/>
  <c r="DR124" i="17"/>
  <c r="CP76" i="17"/>
  <c r="CP31" i="17"/>
  <c r="CG492" i="17"/>
  <c r="DM490" i="17"/>
  <c r="DN490" i="17" s="1"/>
  <c r="DO490" i="17" s="1"/>
  <c r="CE481" i="17"/>
  <c r="CP479" i="17"/>
  <c r="DM471" i="17"/>
  <c r="DN471" i="17" s="1"/>
  <c r="DP471" i="17" s="1"/>
  <c r="DR268" i="17"/>
  <c r="DM182" i="17"/>
  <c r="DN182" i="17" s="1"/>
  <c r="DO182" i="17" s="1"/>
  <c r="CG182" i="17"/>
  <c r="CG79" i="17"/>
  <c r="CG70" i="17"/>
  <c r="CG66" i="17"/>
  <c r="CP51" i="17"/>
  <c r="BA46" i="17"/>
  <c r="DM43" i="17"/>
  <c r="DN43" i="17" s="1"/>
  <c r="DP43" i="17" s="1"/>
  <c r="CP27" i="17"/>
  <c r="CP242" i="17"/>
  <c r="DM505" i="17"/>
  <c r="DN505" i="17" s="1"/>
  <c r="DP505" i="17" s="1"/>
  <c r="Y501" i="17"/>
  <c r="CG495" i="17"/>
  <c r="CG468" i="17"/>
  <c r="DM446" i="17"/>
  <c r="DN446" i="17" s="1"/>
  <c r="DO446" i="17" s="1"/>
  <c r="CE427" i="17"/>
  <c r="CQ351" i="17"/>
  <c r="DM270" i="17"/>
  <c r="DN270" i="17" s="1"/>
  <c r="DO270" i="17" s="1"/>
  <c r="BA234" i="17"/>
  <c r="CQ125" i="17"/>
  <c r="CG117" i="17"/>
  <c r="Y95" i="17"/>
  <c r="DM85" i="17"/>
  <c r="DN85" i="17" s="1"/>
  <c r="DP85" i="17" s="1"/>
  <c r="CQ31" i="17"/>
  <c r="CG21" i="17"/>
  <c r="DS21" i="17"/>
  <c r="BA17" i="17"/>
  <c r="CQ460" i="17"/>
  <c r="DR11" i="17"/>
  <c r="CQ10" i="17"/>
  <c r="DS386" i="17"/>
  <c r="CQ436" i="17"/>
  <c r="CP503" i="17"/>
  <c r="CP480" i="17"/>
  <c r="CQ467" i="17"/>
  <c r="BA345" i="17"/>
  <c r="CP47" i="17"/>
  <c r="DM522" i="17"/>
  <c r="DN522" i="17" s="1"/>
  <c r="DO522" i="17" s="1"/>
  <c r="DM520" i="17"/>
  <c r="DN520" i="17" s="1"/>
  <c r="DO520" i="17" s="1"/>
  <c r="CP487" i="17"/>
  <c r="Y469" i="17"/>
  <c r="CP396" i="17"/>
  <c r="CG386" i="17"/>
  <c r="DM333" i="17"/>
  <c r="DN333" i="17" s="1"/>
  <c r="DO333" i="17" s="1"/>
  <c r="DP333" i="17" s="1"/>
  <c r="Y281" i="17"/>
  <c r="CQ266" i="17"/>
  <c r="BA266" i="17"/>
  <c r="Y258" i="17"/>
  <c r="CP243" i="17"/>
  <c r="Y226" i="17"/>
  <c r="CG206" i="17"/>
  <c r="DK179" i="17"/>
  <c r="CE155" i="17"/>
  <c r="CP72" i="17"/>
  <c r="BA65" i="17"/>
  <c r="CG49" i="17"/>
  <c r="BA24" i="17"/>
  <c r="BA416" i="17"/>
  <c r="BA467" i="17"/>
  <c r="CE460" i="17"/>
  <c r="CE386" i="17"/>
  <c r="CP111" i="17"/>
  <c r="CQ523" i="17"/>
  <c r="CQ514" i="17"/>
  <c r="CE488" i="17"/>
  <c r="DM460" i="17"/>
  <c r="DN460" i="17" s="1"/>
  <c r="DP460" i="17" s="1"/>
  <c r="CP444" i="17"/>
  <c r="DR443" i="17"/>
  <c r="CP437" i="17"/>
  <c r="CG348" i="17"/>
  <c r="CQ345" i="17"/>
  <c r="BA339" i="17"/>
  <c r="BA327" i="17"/>
  <c r="Y207" i="17"/>
  <c r="DR200" i="17"/>
  <c r="CL179" i="17"/>
  <c r="BA169" i="17"/>
  <c r="Y165" i="17"/>
  <c r="CG163" i="17"/>
  <c r="CD84" i="17"/>
  <c r="CE84" i="17" s="1"/>
  <c r="BA18" i="17"/>
  <c r="CF512" i="17"/>
  <c r="CE512" i="17"/>
  <c r="Z502" i="17"/>
  <c r="Y502" i="17"/>
  <c r="CE510" i="17"/>
  <c r="DM481" i="17"/>
  <c r="DN481" i="17" s="1"/>
  <c r="DO481" i="17" s="1"/>
  <c r="Y477" i="17"/>
  <c r="DM466" i="17"/>
  <c r="DN466" i="17" s="1"/>
  <c r="DO466" i="17" s="1"/>
  <c r="DP466" i="17" s="1"/>
  <c r="CF460" i="17"/>
  <c r="BA446" i="17"/>
  <c r="Y437" i="17"/>
  <c r="DM432" i="17"/>
  <c r="DN432" i="17" s="1"/>
  <c r="BA408" i="17"/>
  <c r="Y407" i="17"/>
  <c r="BA395" i="17"/>
  <c r="DL383" i="17"/>
  <c r="BA329" i="17"/>
  <c r="DM294" i="17"/>
  <c r="DN294" i="17" s="1"/>
  <c r="DO294" i="17" s="1"/>
  <c r="DM285" i="17"/>
  <c r="DN285" i="17" s="1"/>
  <c r="DP285" i="17" s="1"/>
  <c r="DM225" i="17"/>
  <c r="DN225" i="17" s="1"/>
  <c r="DP225" i="17" s="1"/>
  <c r="CP170" i="17"/>
  <c r="CG156" i="17"/>
  <c r="DM139" i="17"/>
  <c r="DN139" i="17" s="1"/>
  <c r="DO139" i="17" s="1"/>
  <c r="DP139" i="17" s="1"/>
  <c r="CD75" i="17"/>
  <c r="CF75" i="17" s="1"/>
  <c r="CO21" i="17"/>
  <c r="CP21" i="17" s="1"/>
  <c r="CQ21" i="17"/>
  <c r="DM203" i="17"/>
  <c r="DN203" i="17" s="1"/>
  <c r="DO203" i="17" s="1"/>
  <c r="DP203" i="17" s="1"/>
  <c r="DR395" i="17"/>
  <c r="DM375" i="17"/>
  <c r="DN375" i="17" s="1"/>
  <c r="DP375" i="17" s="1"/>
  <c r="CQ426" i="17"/>
  <c r="CG289" i="17"/>
  <c r="DM278" i="17"/>
  <c r="DN278" i="17" s="1"/>
  <c r="DO278" i="17" s="1"/>
  <c r="DP278" i="17" s="1"/>
  <c r="DM206" i="17"/>
  <c r="DN206" i="17" s="1"/>
  <c r="DP206" i="17" s="1"/>
  <c r="DL164" i="17"/>
  <c r="DM156" i="17"/>
  <c r="DN156" i="17" s="1"/>
  <c r="DO156" i="17" s="1"/>
  <c r="DP156" i="17" s="1"/>
  <c r="DM141" i="17"/>
  <c r="DN141" i="17" s="1"/>
  <c r="DO141" i="17" s="1"/>
  <c r="DP141" i="17" s="1"/>
  <c r="BB82" i="17"/>
  <c r="BA82" i="17"/>
  <c r="CQ74" i="17"/>
  <c r="R63" i="17"/>
  <c r="Y63" i="17" s="1"/>
  <c r="DR63" i="17"/>
  <c r="DR12" i="17"/>
  <c r="DM301" i="17"/>
  <c r="DN301" i="17" s="1"/>
  <c r="DO301" i="17" s="1"/>
  <c r="CO107" i="17"/>
  <c r="CP107" i="17" s="1"/>
  <c r="CQ107" i="17"/>
  <c r="CE527" i="17"/>
  <c r="DR394" i="17"/>
  <c r="CQ288" i="17"/>
  <c r="CQ468" i="17"/>
  <c r="DM537" i="17"/>
  <c r="DN537" i="17" s="1"/>
  <c r="DO537" i="17" s="1"/>
  <c r="CP535" i="17"/>
  <c r="CQ533" i="17"/>
  <c r="CQ527" i="17"/>
  <c r="BA519" i="17"/>
  <c r="BB516" i="17"/>
  <c r="DM514" i="17"/>
  <c r="DN514" i="17" s="1"/>
  <c r="DO514" i="17" s="1"/>
  <c r="DR509" i="17"/>
  <c r="CQ506" i="17"/>
  <c r="BA493" i="17"/>
  <c r="DM479" i="17"/>
  <c r="DN479" i="17" s="1"/>
  <c r="DP479" i="17" s="1"/>
  <c r="DR463" i="17"/>
  <c r="CG458" i="17"/>
  <c r="BA436" i="17"/>
  <c r="CG411" i="17"/>
  <c r="CP385" i="17"/>
  <c r="BA371" i="17"/>
  <c r="CD362" i="17"/>
  <c r="CG362" i="17"/>
  <c r="DM345" i="17"/>
  <c r="DN345" i="17" s="1"/>
  <c r="DO345" i="17" s="1"/>
  <c r="BB328" i="17"/>
  <c r="Z307" i="17"/>
  <c r="Y307" i="17"/>
  <c r="CQ297" i="17"/>
  <c r="CG283" i="17"/>
  <c r="CQ278" i="17"/>
  <c r="BA267" i="17"/>
  <c r="CG132" i="17"/>
  <c r="DM115" i="17"/>
  <c r="DN115" i="17" s="1"/>
  <c r="DO115" i="17" s="1"/>
  <c r="DR110" i="17"/>
  <c r="DM42" i="17"/>
  <c r="DN42" i="17" s="1"/>
  <c r="DO42" i="17" s="1"/>
  <c r="DP42" i="17" s="1"/>
  <c r="DM29" i="17"/>
  <c r="DN29" i="17" s="1"/>
  <c r="CO312" i="17"/>
  <c r="CP312" i="17" s="1"/>
  <c r="CQ312" i="17"/>
  <c r="CE98" i="17"/>
  <c r="CF98" i="17"/>
  <c r="DM89" i="17"/>
  <c r="DN89" i="17" s="1"/>
  <c r="DO89" i="17" s="1"/>
  <c r="R38" i="17"/>
  <c r="Y38" i="17" s="1"/>
  <c r="DR38" i="17"/>
  <c r="CQ494" i="17"/>
  <c r="CG449" i="17"/>
  <c r="DM332" i="17"/>
  <c r="DN332" i="17" s="1"/>
  <c r="DO332" i="17" s="1"/>
  <c r="DP332" i="17" s="1"/>
  <c r="CG535" i="17"/>
  <c r="CQ534" i="17"/>
  <c r="DR540" i="17"/>
  <c r="BA540" i="17"/>
  <c r="CP533" i="17"/>
  <c r="CG513" i="17"/>
  <c r="BA511" i="17"/>
  <c r="BA510" i="17"/>
  <c r="BA481" i="17"/>
  <c r="CG456" i="17"/>
  <c r="DM455" i="17"/>
  <c r="DN455" i="17" s="1"/>
  <c r="DO455" i="17" s="1"/>
  <c r="BA444" i="17"/>
  <c r="CP428" i="17"/>
  <c r="CE424" i="17"/>
  <c r="BA423" i="17"/>
  <c r="CQ422" i="17"/>
  <c r="CQ406" i="17"/>
  <c r="BA406" i="17"/>
  <c r="CQ402" i="17"/>
  <c r="CP401" i="17"/>
  <c r="CE388" i="17"/>
  <c r="CE387" i="17"/>
  <c r="R337" i="17"/>
  <c r="Y337" i="17" s="1"/>
  <c r="DR337" i="17"/>
  <c r="CQ331" i="17"/>
  <c r="CO320" i="17"/>
  <c r="CP320" i="17" s="1"/>
  <c r="CQ320" i="17"/>
  <c r="CP293" i="17"/>
  <c r="DM283" i="17"/>
  <c r="DN283" i="17" s="1"/>
  <c r="DO283" i="17" s="1"/>
  <c r="CQ225" i="17"/>
  <c r="BA204" i="17"/>
  <c r="CQ188" i="17"/>
  <c r="BA173" i="17"/>
  <c r="CP134" i="17"/>
  <c r="Y133" i="17"/>
  <c r="CQ114" i="17"/>
  <c r="DM13" i="17"/>
  <c r="DN13" i="17" s="1"/>
  <c r="DP13" i="17" s="1"/>
  <c r="CG500" i="17"/>
  <c r="DM49" i="17"/>
  <c r="DN49" i="17" s="1"/>
  <c r="DO49" i="17" s="1"/>
  <c r="DP49" i="17" s="1"/>
  <c r="CQ456" i="17"/>
  <c r="CQ537" i="17"/>
  <c r="BA530" i="17"/>
  <c r="CQ522" i="17"/>
  <c r="CD495" i="17"/>
  <c r="CF495" i="17" s="1"/>
  <c r="Y466" i="17"/>
  <c r="BA463" i="17"/>
  <c r="CP452" i="17"/>
  <c r="DM448" i="17"/>
  <c r="DN448" i="17" s="1"/>
  <c r="DP448" i="17" s="1"/>
  <c r="BA445" i="17"/>
  <c r="CQ444" i="17"/>
  <c r="CG427" i="17"/>
  <c r="CP380" i="17"/>
  <c r="DM335" i="17"/>
  <c r="DN335" i="17" s="1"/>
  <c r="DO335" i="17" s="1"/>
  <c r="DM330" i="17"/>
  <c r="DN330" i="17" s="1"/>
  <c r="DO330" i="17" s="1"/>
  <c r="DP330" i="17" s="1"/>
  <c r="DM310" i="17"/>
  <c r="DN310" i="17" s="1"/>
  <c r="DO310" i="17" s="1"/>
  <c r="DP310" i="17" s="1"/>
  <c r="DM290" i="17"/>
  <c r="DN290" i="17" s="1"/>
  <c r="DP290" i="17" s="1"/>
  <c r="DM221" i="17"/>
  <c r="DN221" i="17" s="1"/>
  <c r="DO221" i="17" s="1"/>
  <c r="CG135" i="17"/>
  <c r="DM31" i="17"/>
  <c r="DN31" i="17" s="1"/>
  <c r="DP31" i="17" s="1"/>
  <c r="BA22" i="17"/>
  <c r="BB22" i="17"/>
  <c r="Y313" i="17"/>
  <c r="Y290" i="17"/>
  <c r="BA200" i="17"/>
  <c r="CE170" i="17"/>
  <c r="CG94" i="17"/>
  <c r="BA35" i="17"/>
  <c r="CQ257" i="17"/>
  <c r="BA252" i="17"/>
  <c r="CP192" i="17"/>
  <c r="CG112" i="17"/>
  <c r="CQ77" i="17"/>
  <c r="CQ35" i="17"/>
  <c r="CQ17" i="17"/>
  <c r="CP13" i="17"/>
  <c r="CG12" i="17"/>
  <c r="CQ392" i="17"/>
  <c r="CG388" i="17"/>
  <c r="CQ375" i="17"/>
  <c r="CG359" i="17"/>
  <c r="CG343" i="17"/>
  <c r="CP336" i="17"/>
  <c r="BA324" i="17"/>
  <c r="CP322" i="17"/>
  <c r="BA318" i="17"/>
  <c r="CG315" i="17"/>
  <c r="CG276" i="17"/>
  <c r="BA274" i="17"/>
  <c r="CQ265" i="17"/>
  <c r="BA261" i="17"/>
  <c r="CQ251" i="17"/>
  <c r="CQ243" i="17"/>
  <c r="CQ218" i="17"/>
  <c r="Y211" i="17"/>
  <c r="BA207" i="17"/>
  <c r="CQ198" i="17"/>
  <c r="BA152" i="17"/>
  <c r="CQ151" i="17"/>
  <c r="CP142" i="17"/>
  <c r="CQ131" i="17"/>
  <c r="CG126" i="17"/>
  <c r="DM121" i="17"/>
  <c r="DN121" i="17" s="1"/>
  <c r="DP121" i="17" s="1"/>
  <c r="CQ117" i="17"/>
  <c r="CP85" i="17"/>
  <c r="DM70" i="17"/>
  <c r="DN70" i="17" s="1"/>
  <c r="DP70" i="17" s="1"/>
  <c r="BA59" i="17"/>
  <c r="CG46" i="17"/>
  <c r="DR35" i="17"/>
  <c r="CG273" i="17"/>
  <c r="CQ258" i="17"/>
  <c r="Y257" i="17"/>
  <c r="CG242" i="17"/>
  <c r="CG231" i="17"/>
  <c r="CQ213" i="17"/>
  <c r="Y180" i="17"/>
  <c r="CG171" i="17"/>
  <c r="CP167" i="17"/>
  <c r="CQ147" i="17"/>
  <c r="BA140" i="17"/>
  <c r="DM138" i="17"/>
  <c r="DN138" i="17" s="1"/>
  <c r="DO138" i="17" s="1"/>
  <c r="DP138" i="17" s="1"/>
  <c r="CQ135" i="17"/>
  <c r="DM93" i="17"/>
  <c r="DN93" i="17" s="1"/>
  <c r="DP93" i="17" s="1"/>
  <c r="CE61" i="17"/>
  <c r="CQ59" i="17"/>
  <c r="CE354" i="17"/>
  <c r="CG291" i="17"/>
  <c r="CP254" i="17"/>
  <c r="BA254" i="17"/>
  <c r="CP240" i="17"/>
  <c r="CP235" i="17"/>
  <c r="BA199" i="17"/>
  <c r="CQ189" i="17"/>
  <c r="CP152" i="17"/>
  <c r="Y89" i="17"/>
  <c r="CQ79" i="17"/>
  <c r="CG58" i="17"/>
  <c r="BA41" i="17"/>
  <c r="BB531" i="17"/>
  <c r="BA531" i="17"/>
  <c r="Y524" i="17"/>
  <c r="Z524" i="17"/>
  <c r="DM17" i="17"/>
  <c r="DN17" i="17" s="1"/>
  <c r="DR537" i="17"/>
  <c r="DR520" i="17"/>
  <c r="DM361" i="17"/>
  <c r="DN361" i="17" s="1"/>
  <c r="DO361" i="17" s="1"/>
  <c r="R200" i="17"/>
  <c r="DL200" i="17" s="1"/>
  <c r="Y540" i="17"/>
  <c r="Z540" i="17"/>
  <c r="Y391" i="17"/>
  <c r="DR386" i="17"/>
  <c r="AT307" i="17"/>
  <c r="DL307" i="17" s="1"/>
  <c r="DR307" i="17"/>
  <c r="DM223" i="17"/>
  <c r="DN223" i="17" s="1"/>
  <c r="DO223" i="17" s="1"/>
  <c r="DM175" i="17"/>
  <c r="DN175" i="17" s="1"/>
  <c r="DM368" i="17"/>
  <c r="DN368" i="17" s="1"/>
  <c r="DP368" i="17" s="1"/>
  <c r="DM152" i="17"/>
  <c r="DN152" i="17" s="1"/>
  <c r="DO152" i="17" s="1"/>
  <c r="CE540" i="17"/>
  <c r="CH509" i="17"/>
  <c r="CQ509" i="17" s="1"/>
  <c r="Y508" i="17"/>
  <c r="DM464" i="17"/>
  <c r="DN464" i="17" s="1"/>
  <c r="DO464" i="17" s="1"/>
  <c r="CG439" i="17"/>
  <c r="CD439" i="17"/>
  <c r="CE439" i="17" s="1"/>
  <c r="DM271" i="17"/>
  <c r="DN271" i="17" s="1"/>
  <c r="DO271" i="17" s="1"/>
  <c r="CQ471" i="17"/>
  <c r="CO471" i="17"/>
  <c r="CP471" i="17" s="1"/>
  <c r="DM418" i="17"/>
  <c r="DN418" i="17" s="1"/>
  <c r="DO418" i="17" s="1"/>
  <c r="CP409" i="17"/>
  <c r="DM384" i="17"/>
  <c r="DN384" i="17" s="1"/>
  <c r="DO384" i="17" s="1"/>
  <c r="DL334" i="17"/>
  <c r="DM525" i="17"/>
  <c r="DN525" i="17" s="1"/>
  <c r="CF463" i="17"/>
  <c r="CE463" i="17"/>
  <c r="DM262" i="17"/>
  <c r="DN262" i="17" s="1"/>
  <c r="DO262" i="17" s="1"/>
  <c r="DS503" i="17"/>
  <c r="DM497" i="17"/>
  <c r="DN497" i="17" s="1"/>
  <c r="DO497" i="17" s="1"/>
  <c r="CG432" i="17"/>
  <c r="CD432" i="17"/>
  <c r="CE432" i="17" s="1"/>
  <c r="DM402" i="17"/>
  <c r="DN402" i="17" s="1"/>
  <c r="DP402" i="17" s="1"/>
  <c r="DR456" i="17"/>
  <c r="DR346" i="17"/>
  <c r="DM322" i="17"/>
  <c r="DN322" i="17" s="1"/>
  <c r="DP322" i="17" s="1"/>
  <c r="CQ283" i="17"/>
  <c r="CO283" i="17"/>
  <c r="CP283" i="17" s="1"/>
  <c r="BA462" i="17"/>
  <c r="Z459" i="17"/>
  <c r="Y459" i="17"/>
  <c r="DM447" i="17"/>
  <c r="DN447" i="17" s="1"/>
  <c r="DP447" i="17" s="1"/>
  <c r="CQ438" i="17"/>
  <c r="CO438" i="17"/>
  <c r="CP438" i="17" s="1"/>
  <c r="DR495" i="17"/>
  <c r="AT495" i="17"/>
  <c r="DS495" i="17" s="1"/>
  <c r="Y435" i="17"/>
  <c r="Z435" i="17"/>
  <c r="CQ520" i="17"/>
  <c r="CO520" i="17"/>
  <c r="CP520" i="17" s="1"/>
  <c r="Y476" i="17"/>
  <c r="DP541" i="17"/>
  <c r="CE521" i="17"/>
  <c r="CP518" i="17"/>
  <c r="CQ510" i="17"/>
  <c r="Y509" i="17"/>
  <c r="DR508" i="17"/>
  <c r="DM507" i="17"/>
  <c r="DN507" i="17" s="1"/>
  <c r="DO507" i="17" s="1"/>
  <c r="BA502" i="17"/>
  <c r="CP499" i="17"/>
  <c r="CG478" i="17"/>
  <c r="DR466" i="17"/>
  <c r="CP462" i="17"/>
  <c r="Z458" i="17"/>
  <c r="Y458" i="17"/>
  <c r="BA452" i="17"/>
  <c r="BA450" i="17"/>
  <c r="CQ439" i="17"/>
  <c r="CO439" i="17"/>
  <c r="CP439" i="17" s="1"/>
  <c r="DM431" i="17"/>
  <c r="DN431" i="17" s="1"/>
  <c r="DM400" i="17"/>
  <c r="DN400" i="17" s="1"/>
  <c r="DP400" i="17" s="1"/>
  <c r="DR370" i="17"/>
  <c r="AT370" i="17"/>
  <c r="DL370" i="17" s="1"/>
  <c r="CP325" i="17"/>
  <c r="DM317" i="17"/>
  <c r="DN317" i="17" s="1"/>
  <c r="DO317" i="17" s="1"/>
  <c r="DP317" i="17" s="1"/>
  <c r="DM309" i="17"/>
  <c r="DN309" i="17" s="1"/>
  <c r="DO309" i="17" s="1"/>
  <c r="CG275" i="17"/>
  <c r="Z503" i="17"/>
  <c r="Y503" i="17"/>
  <c r="O525" i="17"/>
  <c r="I17" i="18" s="1"/>
  <c r="CJ525" i="17"/>
  <c r="CH525" i="17" s="1"/>
  <c r="CQ525" i="17" s="1"/>
  <c r="CG510" i="17"/>
  <c r="CG498" i="17"/>
  <c r="CD498" i="17"/>
  <c r="CE498" i="17" s="1"/>
  <c r="CG539" i="17"/>
  <c r="DM491" i="17"/>
  <c r="DN491" i="17" s="1"/>
  <c r="DO491" i="17" s="1"/>
  <c r="DR524" i="17"/>
  <c r="DR516" i="17"/>
  <c r="DL452" i="17"/>
  <c r="CQ540" i="17"/>
  <c r="CE532" i="17"/>
  <c r="CQ531" i="17"/>
  <c r="CO527" i="17"/>
  <c r="CP527" i="17" s="1"/>
  <c r="CF511" i="17"/>
  <c r="CE511" i="17"/>
  <c r="DM474" i="17"/>
  <c r="DN474" i="17" s="1"/>
  <c r="DP474" i="17" s="1"/>
  <c r="CM472" i="17"/>
  <c r="Z466" i="17"/>
  <c r="DM441" i="17"/>
  <c r="DN441" i="17" s="1"/>
  <c r="DP441" i="17" s="1"/>
  <c r="BA429" i="17"/>
  <c r="CP412" i="17"/>
  <c r="DM398" i="17"/>
  <c r="DN398" i="17" s="1"/>
  <c r="CP392" i="17"/>
  <c r="DS354" i="17"/>
  <c r="CD346" i="17"/>
  <c r="CF346" i="17" s="1"/>
  <c r="CG346" i="17"/>
  <c r="Y310" i="17"/>
  <c r="DM286" i="17"/>
  <c r="DN286" i="17" s="1"/>
  <c r="DO286" i="17" s="1"/>
  <c r="DM188" i="17"/>
  <c r="DN188" i="17" s="1"/>
  <c r="DP188" i="17" s="1"/>
  <c r="DM186" i="17"/>
  <c r="DN186" i="17" s="1"/>
  <c r="DO186" i="17" s="1"/>
  <c r="O80" i="25" s="1"/>
  <c r="P80" i="25" s="1"/>
  <c r="BA517" i="17"/>
  <c r="BA503" i="17"/>
  <c r="DS502" i="17"/>
  <c r="CG493" i="17"/>
  <c r="DL493" i="17"/>
  <c r="CG490" i="17"/>
  <c r="Y490" i="17"/>
  <c r="Y485" i="17"/>
  <c r="DL479" i="17"/>
  <c r="CQ457" i="17"/>
  <c r="BA457" i="17"/>
  <c r="CG450" i="17"/>
  <c r="DR445" i="17"/>
  <c r="DM429" i="17"/>
  <c r="DN429" i="17" s="1"/>
  <c r="DP429" i="17" s="1"/>
  <c r="DM426" i="17"/>
  <c r="DN426" i="17" s="1"/>
  <c r="DP426" i="17" s="1"/>
  <c r="CG395" i="17"/>
  <c r="CD394" i="17"/>
  <c r="CF394" i="17" s="1"/>
  <c r="CG394" i="17"/>
  <c r="Y354" i="17"/>
  <c r="CH329" i="17"/>
  <c r="CP329" i="17" s="1"/>
  <c r="DR329" i="17"/>
  <c r="CD288" i="17"/>
  <c r="CE288" i="17" s="1"/>
  <c r="CG288" i="17"/>
  <c r="CG246" i="17"/>
  <c r="CD246" i="17"/>
  <c r="CF246" i="17" s="1"/>
  <c r="DM235" i="17"/>
  <c r="DN235" i="17" s="1"/>
  <c r="DO235" i="17" s="1"/>
  <c r="CD231" i="17"/>
  <c r="CF231" i="17" s="1"/>
  <c r="CE191" i="17"/>
  <c r="CF191" i="17"/>
  <c r="CQ434" i="17"/>
  <c r="CP406" i="17"/>
  <c r="Y397" i="17"/>
  <c r="CP379" i="17"/>
  <c r="DM364" i="17"/>
  <c r="DN364" i="17" s="1"/>
  <c r="DP364" i="17" s="1"/>
  <c r="CG335" i="17"/>
  <c r="DM298" i="17"/>
  <c r="DN298" i="17" s="1"/>
  <c r="CG298" i="17"/>
  <c r="DM197" i="17"/>
  <c r="DN197" i="17" s="1"/>
  <c r="DO197" i="17" s="1"/>
  <c r="DM174" i="17"/>
  <c r="DN174" i="17" s="1"/>
  <c r="BB53" i="17"/>
  <c r="BA53" i="17"/>
  <c r="DR37" i="17"/>
  <c r="CH37" i="17"/>
  <c r="CQ37" i="17" s="1"/>
  <c r="BA447" i="17"/>
  <c r="CP433" i="17"/>
  <c r="CP429" i="17"/>
  <c r="CQ424" i="17"/>
  <c r="CG418" i="17"/>
  <c r="CD418" i="17"/>
  <c r="CF418" i="17" s="1"/>
  <c r="BA414" i="17"/>
  <c r="CQ393" i="17"/>
  <c r="CG380" i="17"/>
  <c r="CQ350" i="17"/>
  <c r="CE336" i="17"/>
  <c r="DM304" i="17"/>
  <c r="DN304" i="17" s="1"/>
  <c r="DP304" i="17" s="1"/>
  <c r="DM296" i="17"/>
  <c r="DN296" i="17" s="1"/>
  <c r="DP296" i="17" s="1"/>
  <c r="Y215" i="17"/>
  <c r="BV167" i="17"/>
  <c r="CE167" i="17" s="1"/>
  <c r="DR167" i="17"/>
  <c r="CQ539" i="17"/>
  <c r="CG534" i="17"/>
  <c r="CG515" i="17"/>
  <c r="BA488" i="17"/>
  <c r="DM483" i="17"/>
  <c r="DN483" i="17" s="1"/>
  <c r="DO483" i="17" s="1"/>
  <c r="DM469" i="17"/>
  <c r="DN469" i="17" s="1"/>
  <c r="DP469" i="17" s="1"/>
  <c r="CG462" i="17"/>
  <c r="DR460" i="17"/>
  <c r="CE451" i="17"/>
  <c r="CQ435" i="17"/>
  <c r="CQ414" i="17"/>
  <c r="Y414" i="17"/>
  <c r="DM407" i="17"/>
  <c r="DN407" i="17" s="1"/>
  <c r="DO407" i="17" s="1"/>
  <c r="BA352" i="17"/>
  <c r="DM351" i="17"/>
  <c r="DN351" i="17" s="1"/>
  <c r="DO351" i="17" s="1"/>
  <c r="CQ343" i="17"/>
  <c r="Y338" i="17"/>
  <c r="DR315" i="17"/>
  <c r="R315" i="17"/>
  <c r="DS315" i="17" s="1"/>
  <c r="DM215" i="17"/>
  <c r="DN215" i="17" s="1"/>
  <c r="DR208" i="17"/>
  <c r="AT208" i="17"/>
  <c r="DL208" i="17" s="1"/>
  <c r="DM192" i="17"/>
  <c r="DN192" i="17" s="1"/>
  <c r="DP192" i="17" s="1"/>
  <c r="BA533" i="17"/>
  <c r="BA524" i="17"/>
  <c r="BA523" i="17"/>
  <c r="CG496" i="17"/>
  <c r="CQ495" i="17"/>
  <c r="CE494" i="17"/>
  <c r="BA489" i="17"/>
  <c r="DS477" i="17"/>
  <c r="CQ466" i="17"/>
  <c r="DR451" i="17"/>
  <c r="CQ448" i="17"/>
  <c r="CG446" i="17"/>
  <c r="CE444" i="17"/>
  <c r="CP430" i="17"/>
  <c r="CG424" i="17"/>
  <c r="Y424" i="17"/>
  <c r="CQ421" i="17"/>
  <c r="DM370" i="17"/>
  <c r="DN370" i="17" s="1"/>
  <c r="DP370" i="17" s="1"/>
  <c r="Y302" i="17"/>
  <c r="Y273" i="17"/>
  <c r="CG402" i="17"/>
  <c r="CQ388" i="17"/>
  <c r="CQ376" i="17"/>
  <c r="BA367" i="17"/>
  <c r="CP361" i="17"/>
  <c r="DM307" i="17"/>
  <c r="DN307" i="17" s="1"/>
  <c r="DO307" i="17" s="1"/>
  <c r="CP305" i="17"/>
  <c r="CD291" i="17"/>
  <c r="CF291" i="17" s="1"/>
  <c r="BA217" i="17"/>
  <c r="CO191" i="17"/>
  <c r="CP191" i="17" s="1"/>
  <c r="CQ191" i="17"/>
  <c r="DM180" i="17"/>
  <c r="DN180" i="17" s="1"/>
  <c r="DP180" i="17" s="1"/>
  <c r="CD108" i="17"/>
  <c r="CE108" i="17" s="1"/>
  <c r="CG108" i="17"/>
  <c r="CO89" i="17"/>
  <c r="CP89" i="17" s="1"/>
  <c r="CQ89" i="17"/>
  <c r="DM86" i="17"/>
  <c r="DN86" i="17" s="1"/>
  <c r="DO86" i="17" s="1"/>
  <c r="DM30" i="17"/>
  <c r="DN30" i="17" s="1"/>
  <c r="DP30" i="17" s="1"/>
  <c r="CG329" i="17"/>
  <c r="CP321" i="17"/>
  <c r="CQ296" i="17"/>
  <c r="DM293" i="17"/>
  <c r="DN293" i="17" s="1"/>
  <c r="DO293" i="17" s="1"/>
  <c r="CQ272" i="17"/>
  <c r="CG259" i="17"/>
  <c r="DR252" i="17"/>
  <c r="DR249" i="17"/>
  <c r="DM238" i="17"/>
  <c r="DN238" i="17" s="1"/>
  <c r="DO238" i="17" s="1"/>
  <c r="DM211" i="17"/>
  <c r="DN211" i="17" s="1"/>
  <c r="DP211" i="17" s="1"/>
  <c r="Y206" i="17"/>
  <c r="DM176" i="17"/>
  <c r="DN176" i="17" s="1"/>
  <c r="DO176" i="17" s="1"/>
  <c r="DP176" i="17" s="1"/>
  <c r="CG176" i="17"/>
  <c r="DM159" i="17"/>
  <c r="DN159" i="17" s="1"/>
  <c r="DO159" i="17" s="1"/>
  <c r="DP159" i="17" s="1"/>
  <c r="DM157" i="17"/>
  <c r="DN157" i="17" s="1"/>
  <c r="DP157" i="17" s="1"/>
  <c r="DS156" i="17"/>
  <c r="DM153" i="17"/>
  <c r="DN153" i="17" s="1"/>
  <c r="DO153" i="17" s="1"/>
  <c r="CQ82" i="17"/>
  <c r="CP82" i="17"/>
  <c r="CD37" i="17"/>
  <c r="CE37" i="17" s="1"/>
  <c r="CG37" i="17"/>
  <c r="DL224" i="17"/>
  <c r="CD200" i="17"/>
  <c r="CE200" i="17" s="1"/>
  <c r="CG200" i="17"/>
  <c r="BA192" i="17"/>
  <c r="DM100" i="17"/>
  <c r="DN100" i="17" s="1"/>
  <c r="DM56" i="17"/>
  <c r="DN56" i="17" s="1"/>
  <c r="DP56" i="17" s="1"/>
  <c r="CP22" i="17"/>
  <c r="DS422" i="17"/>
  <c r="CG413" i="17"/>
  <c r="CQ390" i="17"/>
  <c r="CP352" i="17"/>
  <c r="CE343" i="17"/>
  <c r="CG326" i="17"/>
  <c r="CQ317" i="17"/>
  <c r="DM299" i="17"/>
  <c r="DN299" i="17" s="1"/>
  <c r="DP299" i="17" s="1"/>
  <c r="DM288" i="17"/>
  <c r="DN288" i="17" s="1"/>
  <c r="DP288" i="17" s="1"/>
  <c r="DM274" i="17"/>
  <c r="DN274" i="17" s="1"/>
  <c r="DO274" i="17" s="1"/>
  <c r="DR265" i="17"/>
  <c r="CP262" i="17"/>
  <c r="BA259" i="17"/>
  <c r="DM254" i="17"/>
  <c r="DN254" i="17" s="1"/>
  <c r="DO254" i="17" s="1"/>
  <c r="CG241" i="17"/>
  <c r="CG233" i="17"/>
  <c r="DS232" i="17"/>
  <c r="AT227" i="17"/>
  <c r="DS227" i="17" s="1"/>
  <c r="DR227" i="17"/>
  <c r="CE194" i="17"/>
  <c r="DR174" i="17"/>
  <c r="BA163" i="17"/>
  <c r="CG115" i="17"/>
  <c r="DM92" i="17"/>
  <c r="DN92" i="17" s="1"/>
  <c r="DP92" i="17" s="1"/>
  <c r="DM75" i="17"/>
  <c r="DN75" i="17" s="1"/>
  <c r="CD62" i="17"/>
  <c r="CE62" i="17" s="1"/>
  <c r="CG62" i="17"/>
  <c r="DM59" i="17"/>
  <c r="DN59" i="17" s="1"/>
  <c r="DO59" i="17" s="1"/>
  <c r="DP59" i="17" s="1"/>
  <c r="CD17" i="17"/>
  <c r="CE17" i="17" s="1"/>
  <c r="CG17" i="17"/>
  <c r="DR421" i="17"/>
  <c r="CQ399" i="17"/>
  <c r="CE384" i="17"/>
  <c r="CG383" i="17"/>
  <c r="BA381" i="17"/>
  <c r="BA378" i="17"/>
  <c r="CG376" i="17"/>
  <c r="CG369" i="17"/>
  <c r="DR354" i="17"/>
  <c r="CG349" i="17"/>
  <c r="CG347" i="17"/>
  <c r="BA325" i="17"/>
  <c r="CG316" i="17"/>
  <c r="CQ314" i="17"/>
  <c r="CG302" i="17"/>
  <c r="DS295" i="17"/>
  <c r="DM280" i="17"/>
  <c r="DN280" i="17" s="1"/>
  <c r="DP280" i="17" s="1"/>
  <c r="Y265" i="17"/>
  <c r="DM214" i="17"/>
  <c r="DN214" i="17" s="1"/>
  <c r="DO214" i="17" s="1"/>
  <c r="O94" i="25" s="1"/>
  <c r="P94" i="25" s="1"/>
  <c r="DM183" i="17"/>
  <c r="DN183" i="17" s="1"/>
  <c r="DO183" i="17" s="1"/>
  <c r="Z157" i="17"/>
  <c r="Y157" i="17"/>
  <c r="CO129" i="17"/>
  <c r="CP129" i="17" s="1"/>
  <c r="CQ129" i="17"/>
  <c r="Y102" i="17"/>
  <c r="DM20" i="17"/>
  <c r="DN20" i="17" s="1"/>
  <c r="DP20" i="17" s="1"/>
  <c r="Y263" i="17"/>
  <c r="CG253" i="17"/>
  <c r="CQ252" i="17"/>
  <c r="CG208" i="17"/>
  <c r="CG191" i="17"/>
  <c r="CG180" i="17"/>
  <c r="DR169" i="17"/>
  <c r="DS130" i="17"/>
  <c r="BB117" i="17"/>
  <c r="BA117" i="17"/>
  <c r="CP114" i="17"/>
  <c r="DM105" i="17"/>
  <c r="DN105" i="17" s="1"/>
  <c r="DP105" i="17" s="1"/>
  <c r="AT80" i="17"/>
  <c r="BA80" i="17" s="1"/>
  <c r="DR80" i="17"/>
  <c r="BA76" i="17"/>
  <c r="CP59" i="17"/>
  <c r="CQ54" i="17"/>
  <c r="DM35" i="17"/>
  <c r="DN35" i="17" s="1"/>
  <c r="DO35" i="17" s="1"/>
  <c r="DP35" i="17" s="1"/>
  <c r="CQ22" i="17"/>
  <c r="R17" i="17"/>
  <c r="DS17" i="17" s="1"/>
  <c r="DR17" i="17"/>
  <c r="CQ214" i="17"/>
  <c r="CQ201" i="17"/>
  <c r="CQ168" i="17"/>
  <c r="DM146" i="17"/>
  <c r="DN146" i="17" s="1"/>
  <c r="DO146" i="17" s="1"/>
  <c r="DP146" i="17" s="1"/>
  <c r="CP144" i="17"/>
  <c r="CG131" i="17"/>
  <c r="CP128" i="17"/>
  <c r="CG113" i="17"/>
  <c r="CO97" i="17"/>
  <c r="CP97" i="17" s="1"/>
  <c r="CQ97" i="17"/>
  <c r="CE97" i="17"/>
  <c r="BA73" i="17"/>
  <c r="CP64" i="17"/>
  <c r="DM52" i="17"/>
  <c r="DN52" i="17" s="1"/>
  <c r="DP52" i="17" s="1"/>
  <c r="DM44" i="17"/>
  <c r="DN44" i="17" s="1"/>
  <c r="DO44" i="17" s="1"/>
  <c r="DP44" i="17" s="1"/>
  <c r="Y16" i="17"/>
  <c r="DM15" i="17"/>
  <c r="DN15" i="17" s="1"/>
  <c r="DO15" i="17" s="1"/>
  <c r="CQ181" i="17"/>
  <c r="Y170" i="17"/>
  <c r="CQ167" i="17"/>
  <c r="Y164" i="17"/>
  <c r="DM148" i="17"/>
  <c r="DN148" i="17" s="1"/>
  <c r="DO148" i="17" s="1"/>
  <c r="CQ145" i="17"/>
  <c r="CO141" i="17"/>
  <c r="CP141" i="17" s="1"/>
  <c r="CQ141" i="17"/>
  <c r="CD129" i="17"/>
  <c r="CE129" i="17" s="1"/>
  <c r="CG129" i="17"/>
  <c r="CP126" i="17"/>
  <c r="CP74" i="17"/>
  <c r="DM68" i="17"/>
  <c r="DN68" i="17" s="1"/>
  <c r="DO68" i="17" s="1"/>
  <c r="CQ58" i="17"/>
  <c r="CG282" i="17"/>
  <c r="CP259" i="17"/>
  <c r="CG254" i="17"/>
  <c r="CP251" i="17"/>
  <c r="BA243" i="17"/>
  <c r="CP236" i="17"/>
  <c r="DR228" i="17"/>
  <c r="CQ222" i="17"/>
  <c r="Y214" i="17"/>
  <c r="CG211" i="17"/>
  <c r="CQ197" i="17"/>
  <c r="CP171" i="17"/>
  <c r="DM113" i="17"/>
  <c r="DN113" i="17" s="1"/>
  <c r="DM111" i="17"/>
  <c r="DN111" i="17" s="1"/>
  <c r="DM94" i="17"/>
  <c r="DN94" i="17" s="1"/>
  <c r="DO94" i="17" s="1"/>
  <c r="BA66" i="17"/>
  <c r="BB66" i="17"/>
  <c r="DM47" i="17"/>
  <c r="DN47" i="17" s="1"/>
  <c r="DO47" i="17" s="1"/>
  <c r="DP47" i="17" s="1"/>
  <c r="DM28" i="17"/>
  <c r="DN28" i="17" s="1"/>
  <c r="DO28" i="17" s="1"/>
  <c r="DP28" i="17" s="1"/>
  <c r="CP5" i="17"/>
  <c r="CG310" i="17"/>
  <c r="BA260" i="17"/>
  <c r="Y247" i="17"/>
  <c r="Y231" i="17"/>
  <c r="CG230" i="17"/>
  <c r="R228" i="17"/>
  <c r="Y228" i="17" s="1"/>
  <c r="CQ207" i="17"/>
  <c r="BA123" i="17"/>
  <c r="CG96" i="17"/>
  <c r="CG83" i="17"/>
  <c r="CG141" i="17"/>
  <c r="Y139" i="17"/>
  <c r="CQ137" i="17"/>
  <c r="BA137" i="17"/>
  <c r="DL131" i="17"/>
  <c r="CP124" i="17"/>
  <c r="CG87" i="17"/>
  <c r="CE71" i="17"/>
  <c r="CQ42" i="17"/>
  <c r="Y40" i="17"/>
  <c r="CQ8" i="17"/>
  <c r="DR166" i="17"/>
  <c r="CE163" i="17"/>
  <c r="CG155" i="17"/>
  <c r="CG152" i="17"/>
  <c r="BA144" i="17"/>
  <c r="CE128" i="17"/>
  <c r="CQ122" i="17"/>
  <c r="CG120" i="17"/>
  <c r="BV110" i="17"/>
  <c r="CG110" i="17" s="1"/>
  <c r="CQ105" i="17"/>
  <c r="CG102" i="17"/>
  <c r="DR51" i="17"/>
  <c r="Y30" i="17"/>
  <c r="CQ153" i="17"/>
  <c r="CQ143" i="17"/>
  <c r="CP120" i="17"/>
  <c r="CE119" i="17"/>
  <c r="CQ93" i="17"/>
  <c r="BA85" i="17"/>
  <c r="BA61" i="17"/>
  <c r="DM53" i="17"/>
  <c r="DN53" i="17" s="1"/>
  <c r="DO53" i="17" s="1"/>
  <c r="DP53" i="17" s="1"/>
  <c r="CE41" i="17"/>
  <c r="BA13" i="17"/>
  <c r="Y12" i="17"/>
  <c r="Y142" i="17"/>
  <c r="BA132" i="17"/>
  <c r="DR126" i="17"/>
  <c r="DR107" i="17"/>
  <c r="CG103" i="17"/>
  <c r="CQ101" i="17"/>
  <c r="Y97" i="17"/>
  <c r="CG92" i="17"/>
  <c r="BA84" i="17"/>
  <c r="BA71" i="17"/>
  <c r="CG31" i="17"/>
  <c r="CG28" i="17"/>
  <c r="CQ9" i="17"/>
  <c r="CE517" i="17"/>
  <c r="CF517" i="17"/>
  <c r="CF518" i="17"/>
  <c r="CE518" i="17"/>
  <c r="Y530" i="17"/>
  <c r="Z530" i="17"/>
  <c r="Z436" i="17"/>
  <c r="Y436" i="17"/>
  <c r="Y494" i="17"/>
  <c r="Z494" i="17"/>
  <c r="BB536" i="17"/>
  <c r="BA536" i="17"/>
  <c r="Z535" i="17"/>
  <c r="Y535" i="17"/>
  <c r="DS531" i="17"/>
  <c r="CE417" i="17"/>
  <c r="DM530" i="17"/>
  <c r="DN530" i="17" s="1"/>
  <c r="DO530" i="17" s="1"/>
  <c r="Z510" i="17"/>
  <c r="Y510" i="17"/>
  <c r="BB480" i="17"/>
  <c r="BA480" i="17"/>
  <c r="CE478" i="17"/>
  <c r="CP451" i="17"/>
  <c r="DL448" i="17"/>
  <c r="CP446" i="17"/>
  <c r="DM415" i="17"/>
  <c r="DN415" i="17" s="1"/>
  <c r="BA394" i="17"/>
  <c r="BB394" i="17"/>
  <c r="CQ327" i="17"/>
  <c r="CO327" i="17"/>
  <c r="CP327" i="17" s="1"/>
  <c r="BX504" i="17"/>
  <c r="BV504" i="17" s="1"/>
  <c r="CG504" i="17" s="1"/>
  <c r="BA479" i="17"/>
  <c r="BB479" i="17"/>
  <c r="DM423" i="17"/>
  <c r="DN423" i="17" s="1"/>
  <c r="DP423" i="17" s="1"/>
  <c r="DM406" i="17"/>
  <c r="DN406" i="17" s="1"/>
  <c r="DO406" i="17" s="1"/>
  <c r="CD393" i="17"/>
  <c r="CG393" i="17"/>
  <c r="CQ372" i="17"/>
  <c r="CO372" i="17"/>
  <c r="CP372" i="17" s="1"/>
  <c r="BB346" i="17"/>
  <c r="BA346" i="17"/>
  <c r="DM244" i="17"/>
  <c r="DN244" i="17" s="1"/>
  <c r="DO244" i="17" s="1"/>
  <c r="CG540" i="17"/>
  <c r="DL494" i="17"/>
  <c r="Z467" i="17"/>
  <c r="CP461" i="17"/>
  <c r="DR450" i="17"/>
  <c r="DR444" i="17"/>
  <c r="R444" i="17"/>
  <c r="DS444" i="17" s="1"/>
  <c r="DM378" i="17"/>
  <c r="DN378" i="17" s="1"/>
  <c r="DR378" i="17"/>
  <c r="R378" i="17"/>
  <c r="DS378" i="17" s="1"/>
  <c r="Y287" i="17"/>
  <c r="Z287" i="17"/>
  <c r="DM255" i="17"/>
  <c r="DN255" i="17" s="1"/>
  <c r="DO255" i="17" s="1"/>
  <c r="DP255" i="17" s="1"/>
  <c r="R252" i="17"/>
  <c r="DS252" i="17" s="1"/>
  <c r="DR539" i="17"/>
  <c r="DR535" i="17"/>
  <c r="DR507" i="17"/>
  <c r="CQ491" i="17"/>
  <c r="CQ484" i="17"/>
  <c r="DR474" i="17"/>
  <c r="CP473" i="17"/>
  <c r="DM450" i="17"/>
  <c r="DN450" i="17" s="1"/>
  <c r="DO450" i="17" s="1"/>
  <c r="DR437" i="17"/>
  <c r="DL437" i="17"/>
  <c r="BB430" i="17"/>
  <c r="BA430" i="17"/>
  <c r="DM424" i="17"/>
  <c r="DN424" i="17" s="1"/>
  <c r="CQ418" i="17"/>
  <c r="DR413" i="17"/>
  <c r="CF395" i="17"/>
  <c r="CE395" i="17"/>
  <c r="DM389" i="17"/>
  <c r="DN389" i="17" s="1"/>
  <c r="DP389" i="17" s="1"/>
  <c r="DM376" i="17"/>
  <c r="DN376" i="17" s="1"/>
  <c r="DP376" i="17" s="1"/>
  <c r="CD325" i="17"/>
  <c r="CG325" i="17"/>
  <c r="DM264" i="17"/>
  <c r="DN264" i="17" s="1"/>
  <c r="DP264" i="17" s="1"/>
  <c r="CG261" i="17"/>
  <c r="CD261" i="17"/>
  <c r="CE261" i="17" s="1"/>
  <c r="Y186" i="17"/>
  <c r="Z186" i="17"/>
  <c r="CP540" i="17"/>
  <c r="DR534" i="17"/>
  <c r="DR533" i="17"/>
  <c r="CQ532" i="17"/>
  <c r="CE526" i="17"/>
  <c r="DM521" i="17"/>
  <c r="DN521" i="17" s="1"/>
  <c r="DP521" i="17" s="1"/>
  <c r="CG521" i="17"/>
  <c r="DR521" i="17"/>
  <c r="CQ517" i="17"/>
  <c r="Y517" i="17"/>
  <c r="CQ511" i="17"/>
  <c r="CO511" i="17"/>
  <c r="CP511" i="17" s="1"/>
  <c r="CF510" i="17"/>
  <c r="CG509" i="17"/>
  <c r="DM508" i="17"/>
  <c r="DN508" i="17" s="1"/>
  <c r="DO508" i="17" s="1"/>
  <c r="CJ504" i="17"/>
  <c r="CH504" i="17" s="1"/>
  <c r="CP504" i="17" s="1"/>
  <c r="DR502" i="17"/>
  <c r="CP502" i="17"/>
  <c r="BA501" i="17"/>
  <c r="CQ499" i="17"/>
  <c r="DM495" i="17"/>
  <c r="DN495" i="17" s="1"/>
  <c r="DS494" i="17"/>
  <c r="Y492" i="17"/>
  <c r="CF489" i="17"/>
  <c r="CE489" i="17"/>
  <c r="R487" i="17"/>
  <c r="Y487" i="17" s="1"/>
  <c r="DR487" i="17"/>
  <c r="Y484" i="17"/>
  <c r="CG482" i="17"/>
  <c r="CD482" i="17"/>
  <c r="CE482" i="17" s="1"/>
  <c r="CG480" i="17"/>
  <c r="DR479" i="17"/>
  <c r="CG477" i="17"/>
  <c r="CQ473" i="17"/>
  <c r="DM465" i="17"/>
  <c r="DN465" i="17" s="1"/>
  <c r="DO465" i="17" s="1"/>
  <c r="DP465" i="17" s="1"/>
  <c r="CQ463" i="17"/>
  <c r="CQ462" i="17"/>
  <c r="Y456" i="17"/>
  <c r="CG453" i="17"/>
  <c r="R451" i="17"/>
  <c r="DS451" i="17" s="1"/>
  <c r="BB450" i="17"/>
  <c r="Y450" i="17"/>
  <c r="CE445" i="17"/>
  <c r="R443" i="17"/>
  <c r="DL443" i="17" s="1"/>
  <c r="CG438" i="17"/>
  <c r="DR436" i="17"/>
  <c r="DM435" i="17"/>
  <c r="DN435" i="17" s="1"/>
  <c r="DO435" i="17" s="1"/>
  <c r="DR432" i="17"/>
  <c r="CE426" i="17"/>
  <c r="CP417" i="17"/>
  <c r="CE413" i="17"/>
  <c r="CD410" i="17"/>
  <c r="CG410" i="17"/>
  <c r="CQ404" i="17"/>
  <c r="Y399" i="17"/>
  <c r="Y395" i="17"/>
  <c r="BA369" i="17"/>
  <c r="BB369" i="17"/>
  <c r="BB329" i="17"/>
  <c r="Z198" i="17"/>
  <c r="Y198" i="17"/>
  <c r="DR197" i="17"/>
  <c r="CQ497" i="17"/>
  <c r="CO497" i="17"/>
  <c r="CP497" i="17" s="1"/>
  <c r="DL490" i="17"/>
  <c r="DS479" i="17"/>
  <c r="Z457" i="17"/>
  <c r="DR473" i="17"/>
  <c r="DM534" i="17"/>
  <c r="DN534" i="17" s="1"/>
  <c r="Z534" i="17"/>
  <c r="Y534" i="17"/>
  <c r="Z532" i="17"/>
  <c r="DR531" i="17"/>
  <c r="CD525" i="17"/>
  <c r="DM524" i="17"/>
  <c r="DN524" i="17" s="1"/>
  <c r="DO524" i="17" s="1"/>
  <c r="DP524" i="17" s="1"/>
  <c r="Y523" i="17"/>
  <c r="Y522" i="17"/>
  <c r="CG517" i="17"/>
  <c r="DM513" i="17"/>
  <c r="DN513" i="17" s="1"/>
  <c r="BA509" i="17"/>
  <c r="DR503" i="17"/>
  <c r="CO495" i="17"/>
  <c r="CP495" i="17" s="1"/>
  <c r="DR494" i="17"/>
  <c r="BA486" i="17"/>
  <c r="R486" i="17"/>
  <c r="DR486" i="17"/>
  <c r="CQ481" i="17"/>
  <c r="CO481" i="17"/>
  <c r="CP481" i="17" s="1"/>
  <c r="CQ480" i="17"/>
  <c r="BA478" i="17"/>
  <c r="CG470" i="17"/>
  <c r="CD470" i="17"/>
  <c r="CE470" i="17" s="1"/>
  <c r="R467" i="17"/>
  <c r="DS467" i="17" s="1"/>
  <c r="DR467" i="17"/>
  <c r="DR465" i="17"/>
  <c r="R457" i="17"/>
  <c r="DL457" i="17" s="1"/>
  <c r="DR457" i="17"/>
  <c r="DR452" i="17"/>
  <c r="BA451" i="17"/>
  <c r="BB451" i="17"/>
  <c r="BA437" i="17"/>
  <c r="DR433" i="17"/>
  <c r="R428" i="17"/>
  <c r="DS428" i="17" s="1"/>
  <c r="DR428" i="17"/>
  <c r="DL425" i="17"/>
  <c r="DR405" i="17"/>
  <c r="AT405" i="17"/>
  <c r="DL405" i="17" s="1"/>
  <c r="CE401" i="17"/>
  <c r="DM399" i="17"/>
  <c r="DN399" i="17" s="1"/>
  <c r="CE396" i="17"/>
  <c r="CF396" i="17"/>
  <c r="DM380" i="17"/>
  <c r="DN380" i="17" s="1"/>
  <c r="DO380" i="17" s="1"/>
  <c r="DM358" i="17"/>
  <c r="DN358" i="17" s="1"/>
  <c r="DO358" i="17" s="1"/>
  <c r="DR353" i="17"/>
  <c r="R353" i="17"/>
  <c r="DS353" i="17" s="1"/>
  <c r="DR338" i="17"/>
  <c r="AT188" i="17"/>
  <c r="DS188" i="17" s="1"/>
  <c r="DR188" i="17"/>
  <c r="DM509" i="17"/>
  <c r="DN509" i="17" s="1"/>
  <c r="BA508" i="17"/>
  <c r="CP488" i="17"/>
  <c r="CQ486" i="17"/>
  <c r="DR469" i="17"/>
  <c r="BA465" i="17"/>
  <c r="DR459" i="17"/>
  <c r="DR455" i="17"/>
  <c r="CP453" i="17"/>
  <c r="CE452" i="17"/>
  <c r="DR447" i="17"/>
  <c r="CP443" i="17"/>
  <c r="DS429" i="17"/>
  <c r="BA428" i="17"/>
  <c r="BB428" i="17"/>
  <c r="BA425" i="17"/>
  <c r="BA422" i="17"/>
  <c r="DL411" i="17"/>
  <c r="Y392" i="17"/>
  <c r="CG353" i="17"/>
  <c r="CE353" i="17"/>
  <c r="DR345" i="17"/>
  <c r="BA330" i="17"/>
  <c r="BB330" i="17"/>
  <c r="CP314" i="17"/>
  <c r="DL314" i="17"/>
  <c r="DS314" i="17"/>
  <c r="CQ275" i="17"/>
  <c r="CO275" i="17"/>
  <c r="CP275" i="17" s="1"/>
  <c r="DR271" i="17"/>
  <c r="R271" i="17"/>
  <c r="DL271" i="17" s="1"/>
  <c r="O504" i="17"/>
  <c r="T504" i="17"/>
  <c r="R504" i="17" s="1"/>
  <c r="Y504" i="17" s="1"/>
  <c r="CE486" i="17"/>
  <c r="CF486" i="17"/>
  <c r="AT468" i="17"/>
  <c r="DL468" i="17" s="1"/>
  <c r="DR468" i="17"/>
  <c r="CE462" i="17"/>
  <c r="CF462" i="17"/>
  <c r="AT458" i="17"/>
  <c r="DL458" i="17" s="1"/>
  <c r="DR458" i="17"/>
  <c r="DR517" i="17"/>
  <c r="CG461" i="17"/>
  <c r="CD461" i="17"/>
  <c r="R460" i="17"/>
  <c r="Y460" i="17" s="1"/>
  <c r="CG332" i="17"/>
  <c r="CD332" i="17"/>
  <c r="CF332" i="17" s="1"/>
  <c r="CH516" i="17"/>
  <c r="CP516" i="17" s="1"/>
  <c r="DL503" i="17"/>
  <c r="CG485" i="17"/>
  <c r="DR464" i="17"/>
  <c r="CO397" i="17"/>
  <c r="CP397" i="17" s="1"/>
  <c r="CQ397" i="17"/>
  <c r="CH394" i="17"/>
  <c r="CQ394" i="17" s="1"/>
  <c r="R518" i="17"/>
  <c r="Y518" i="17" s="1"/>
  <c r="DR518" i="17"/>
  <c r="DR510" i="17"/>
  <c r="CG541" i="17"/>
  <c r="CD541" i="17"/>
  <c r="CF541" i="17" s="1"/>
  <c r="CQ535" i="17"/>
  <c r="CG533" i="17"/>
  <c r="CE531" i="17"/>
  <c r="CP526" i="17"/>
  <c r="DR514" i="17"/>
  <c r="CG488" i="17"/>
  <c r="Y479" i="17"/>
  <c r="DL478" i="17"/>
  <c r="DS478" i="17"/>
  <c r="BA455" i="17"/>
  <c r="BA535" i="17"/>
  <c r="BA534" i="17"/>
  <c r="R532" i="17"/>
  <c r="DS532" i="17" s="1"/>
  <c r="DR532" i="17"/>
  <c r="Y531" i="17"/>
  <c r="CO525" i="17"/>
  <c r="DL517" i="17"/>
  <c r="DS517" i="17"/>
  <c r="CP510" i="17"/>
  <c r="DM504" i="17"/>
  <c r="DN504" i="17" s="1"/>
  <c r="Y499" i="17"/>
  <c r="DM498" i="17"/>
  <c r="DN498" i="17" s="1"/>
  <c r="DP498" i="17" s="1"/>
  <c r="CE497" i="17"/>
  <c r="CQ496" i="17"/>
  <c r="CP494" i="17"/>
  <c r="CQ488" i="17"/>
  <c r="CE487" i="17"/>
  <c r="CG486" i="17"/>
  <c r="DR484" i="17"/>
  <c r="CP478" i="17"/>
  <c r="BA476" i="17"/>
  <c r="AT469" i="17"/>
  <c r="BA469" i="17" s="1"/>
  <c r="BA460" i="17"/>
  <c r="AT459" i="17"/>
  <c r="BA459" i="17" s="1"/>
  <c r="CP458" i="17"/>
  <c r="BA454" i="17"/>
  <c r="Y452" i="17"/>
  <c r="CF444" i="17"/>
  <c r="BB436" i="17"/>
  <c r="Y434" i="17"/>
  <c r="DM433" i="17"/>
  <c r="DN433" i="17" s="1"/>
  <c r="DP433" i="17" s="1"/>
  <c r="CE430" i="17"/>
  <c r="DR429" i="17"/>
  <c r="DR424" i="17"/>
  <c r="Y422" i="17"/>
  <c r="Y415" i="17"/>
  <c r="Z415" i="17"/>
  <c r="DM410" i="17"/>
  <c r="DN410" i="17" s="1"/>
  <c r="DP410" i="17" s="1"/>
  <c r="BA400" i="17"/>
  <c r="BA386" i="17"/>
  <c r="CG377" i="17"/>
  <c r="CE377" i="17"/>
  <c r="CH369" i="17"/>
  <c r="DR369" i="17"/>
  <c r="CQ361" i="17"/>
  <c r="CO317" i="17"/>
  <c r="CP317" i="17" s="1"/>
  <c r="AT304" i="17"/>
  <c r="DS304" i="17" s="1"/>
  <c r="DR304" i="17"/>
  <c r="CQ235" i="17"/>
  <c r="BA443" i="17"/>
  <c r="DR430" i="17"/>
  <c r="DL419" i="17"/>
  <c r="DL403" i="17"/>
  <c r="DR392" i="17"/>
  <c r="CP387" i="17"/>
  <c r="R385" i="17"/>
  <c r="DS385" i="17" s="1"/>
  <c r="DR385" i="17"/>
  <c r="R377" i="17"/>
  <c r="Y377" i="17" s="1"/>
  <c r="DR377" i="17"/>
  <c r="BB362" i="17"/>
  <c r="BA362" i="17"/>
  <c r="BB361" i="17"/>
  <c r="BA361" i="17"/>
  <c r="CO338" i="17"/>
  <c r="CP338" i="17" s="1"/>
  <c r="CQ338" i="17"/>
  <c r="DM328" i="17"/>
  <c r="DN328" i="17" s="1"/>
  <c r="DO328" i="17" s="1"/>
  <c r="DM326" i="17"/>
  <c r="DN326" i="17" s="1"/>
  <c r="DO326" i="17" s="1"/>
  <c r="DR325" i="17"/>
  <c r="R325" i="17"/>
  <c r="Y325" i="17" s="1"/>
  <c r="BA290" i="17"/>
  <c r="BB290" i="17"/>
  <c r="DR286" i="17"/>
  <c r="CG236" i="17"/>
  <c r="DM227" i="17"/>
  <c r="DN227" i="17" s="1"/>
  <c r="DO227" i="17" s="1"/>
  <c r="DP227" i="17" s="1"/>
  <c r="CQ80" i="17"/>
  <c r="CP80" i="17"/>
  <c r="CF77" i="17"/>
  <c r="CE77" i="17"/>
  <c r="DM163" i="17"/>
  <c r="DN163" i="17" s="1"/>
  <c r="DO163" i="17" s="1"/>
  <c r="CP140" i="17"/>
  <c r="CQ140" i="17"/>
  <c r="Z10" i="17"/>
  <c r="Y10" i="17"/>
  <c r="CG536" i="17"/>
  <c r="CG526" i="17"/>
  <c r="CG519" i="17"/>
  <c r="CQ518" i="17"/>
  <c r="CG518" i="17"/>
  <c r="CG516" i="17"/>
  <c r="CQ503" i="17"/>
  <c r="CG494" i="17"/>
  <c r="CQ492" i="17"/>
  <c r="CQ487" i="17"/>
  <c r="BA485" i="17"/>
  <c r="CQ479" i="17"/>
  <c r="CQ476" i="17"/>
  <c r="DL475" i="17"/>
  <c r="CQ453" i="17"/>
  <c r="BB452" i="17"/>
  <c r="CQ445" i="17"/>
  <c r="CG445" i="17"/>
  <c r="BA435" i="17"/>
  <c r="CP434" i="17"/>
  <c r="CG434" i="17"/>
  <c r="CG431" i="17"/>
  <c r="Z428" i="17"/>
  <c r="CG425" i="17"/>
  <c r="CQ420" i="17"/>
  <c r="CG419" i="17"/>
  <c r="CQ416" i="17"/>
  <c r="CQ413" i="17"/>
  <c r="CD411" i="17"/>
  <c r="CQ410" i="17"/>
  <c r="CQ408" i="17"/>
  <c r="Z407" i="17"/>
  <c r="CQ405" i="17"/>
  <c r="DM403" i="17"/>
  <c r="DN403" i="17" s="1"/>
  <c r="DP403" i="17" s="1"/>
  <c r="CG403" i="17"/>
  <c r="CQ400" i="17"/>
  <c r="Z399" i="17"/>
  <c r="DM386" i="17"/>
  <c r="DN386" i="17" s="1"/>
  <c r="DO386" i="17" s="1"/>
  <c r="CQ385" i="17"/>
  <c r="Z375" i="17"/>
  <c r="Y375" i="17"/>
  <c r="CD370" i="17"/>
  <c r="CE370" i="17" s="1"/>
  <c r="CG370" i="17"/>
  <c r="DS368" i="17"/>
  <c r="BB367" i="17"/>
  <c r="DS362" i="17"/>
  <c r="CQ344" i="17"/>
  <c r="CP337" i="17"/>
  <c r="CQ305" i="17"/>
  <c r="Y304" i="17"/>
  <c r="DM302" i="17"/>
  <c r="DN302" i="17" s="1"/>
  <c r="CO298" i="17"/>
  <c r="CP298" i="17" s="1"/>
  <c r="CQ298" i="17"/>
  <c r="M25" i="18" s="1"/>
  <c r="DR258" i="17"/>
  <c r="DM198" i="17"/>
  <c r="DN198" i="17" s="1"/>
  <c r="DO198" i="17" s="1"/>
  <c r="DM136" i="17"/>
  <c r="DN136" i="17" s="1"/>
  <c r="DO136" i="17" s="1"/>
  <c r="DP136" i="17" s="1"/>
  <c r="R135" i="17"/>
  <c r="DL135" i="17" s="1"/>
  <c r="DR135" i="17"/>
  <c r="CO132" i="17"/>
  <c r="CP132" i="17" s="1"/>
  <c r="CQ132" i="17"/>
  <c r="R132" i="17"/>
  <c r="DS132" i="17" s="1"/>
  <c r="DR132" i="17"/>
  <c r="Z100" i="17"/>
  <c r="CO45" i="17"/>
  <c r="CP45" i="17" s="1"/>
  <c r="CQ45" i="17"/>
  <c r="CQ12" i="17"/>
  <c r="CO12" i="17"/>
  <c r="CP12" i="17" s="1"/>
  <c r="CQ449" i="17"/>
  <c r="CQ446" i="17"/>
  <c r="CG443" i="17"/>
  <c r="DR438" i="17"/>
  <c r="DM437" i="17"/>
  <c r="DN437" i="17" s="1"/>
  <c r="CE436" i="17"/>
  <c r="CQ433" i="17"/>
  <c r="CG428" i="17"/>
  <c r="DM419" i="17"/>
  <c r="DN419" i="17" s="1"/>
  <c r="DP419" i="17" s="1"/>
  <c r="CP413" i="17"/>
  <c r="CQ412" i="17"/>
  <c r="DM411" i="17"/>
  <c r="DN411" i="17" s="1"/>
  <c r="DP411" i="17" s="1"/>
  <c r="CP405" i="17"/>
  <c r="CG405" i="17"/>
  <c r="CE402" i="17"/>
  <c r="DM397" i="17"/>
  <c r="DN397" i="17" s="1"/>
  <c r="Y386" i="17"/>
  <c r="CG384" i="17"/>
  <c r="DM382" i="17"/>
  <c r="DN382" i="17" s="1"/>
  <c r="DO382" i="17" s="1"/>
  <c r="CQ377" i="17"/>
  <c r="BA376" i="17"/>
  <c r="BA368" i="17"/>
  <c r="CQ364" i="17"/>
  <c r="CO364" i="17"/>
  <c r="CP364" i="17" s="1"/>
  <c r="Z361" i="17"/>
  <c r="BA360" i="17"/>
  <c r="Y344" i="17"/>
  <c r="BA337" i="17"/>
  <c r="CP332" i="17"/>
  <c r="DR330" i="17"/>
  <c r="CD322" i="17"/>
  <c r="CG322" i="17"/>
  <c r="BB316" i="17"/>
  <c r="BA316" i="17"/>
  <c r="CO306" i="17"/>
  <c r="CP306" i="17" s="1"/>
  <c r="CQ306" i="17"/>
  <c r="DR306" i="17"/>
  <c r="R305" i="17"/>
  <c r="DS305" i="17" s="1"/>
  <c r="DR305" i="17"/>
  <c r="CP303" i="17"/>
  <c r="CQ282" i="17"/>
  <c r="Y279" i="17"/>
  <c r="CG258" i="17"/>
  <c r="CH215" i="17"/>
  <c r="CQ215" i="17" s="1"/>
  <c r="DR215" i="17"/>
  <c r="BB208" i="17"/>
  <c r="DM199" i="17"/>
  <c r="DN199" i="17" s="1"/>
  <c r="BA187" i="17"/>
  <c r="BB187" i="17"/>
  <c r="CO183" i="17"/>
  <c r="CP183" i="17" s="1"/>
  <c r="CQ183" i="17"/>
  <c r="CF171" i="17"/>
  <c r="CE171" i="17"/>
  <c r="BB167" i="17"/>
  <c r="BA167" i="17"/>
  <c r="CE535" i="17"/>
  <c r="CE516" i="17"/>
  <c r="DR515" i="17"/>
  <c r="CP489" i="17"/>
  <c r="CG489" i="17"/>
  <c r="Y475" i="17"/>
  <c r="CG473" i="17"/>
  <c r="CP470" i="17"/>
  <c r="CQ469" i="17"/>
  <c r="DR462" i="17"/>
  <c r="CQ461" i="17"/>
  <c r="CQ459" i="17"/>
  <c r="CQ452" i="17"/>
  <c r="BA438" i="17"/>
  <c r="DS436" i="17"/>
  <c r="CP431" i="17"/>
  <c r="CQ430" i="17"/>
  <c r="CG430" i="17"/>
  <c r="DL429" i="17"/>
  <c r="CP426" i="17"/>
  <c r="CG426" i="17"/>
  <c r="DS423" i="17"/>
  <c r="CP422" i="17"/>
  <c r="W398" i="17"/>
  <c r="X398" i="17" s="1"/>
  <c r="Z398" i="17" s="1"/>
  <c r="CE397" i="17"/>
  <c r="DS395" i="17"/>
  <c r="CQ391" i="17"/>
  <c r="CG389" i="17"/>
  <c r="BA388" i="17"/>
  <c r="CO369" i="17"/>
  <c r="CD361" i="17"/>
  <c r="CF361" i="17" s="1"/>
  <c r="CG361" i="17"/>
  <c r="DM354" i="17"/>
  <c r="DN354" i="17" s="1"/>
  <c r="CG336" i="17"/>
  <c r="CQ334" i="17"/>
  <c r="CO334" i="17"/>
  <c r="CP334" i="17" s="1"/>
  <c r="DS334" i="17"/>
  <c r="DM323" i="17"/>
  <c r="DN323" i="17" s="1"/>
  <c r="DL306" i="17"/>
  <c r="DM276" i="17"/>
  <c r="DN276" i="17" s="1"/>
  <c r="DR259" i="17"/>
  <c r="R259" i="17"/>
  <c r="DL259" i="17" s="1"/>
  <c r="CO250" i="17"/>
  <c r="CP250" i="17" s="1"/>
  <c r="CQ250" i="17"/>
  <c r="Y227" i="17"/>
  <c r="Z227" i="17"/>
  <c r="DM194" i="17"/>
  <c r="DN194" i="17" s="1"/>
  <c r="Y185" i="17"/>
  <c r="Z185" i="17"/>
  <c r="R147" i="17"/>
  <c r="DS147" i="17" s="1"/>
  <c r="DR147" i="17"/>
  <c r="DM144" i="17"/>
  <c r="DN144" i="17" s="1"/>
  <c r="DP144" i="17" s="1"/>
  <c r="CP534" i="17"/>
  <c r="CG528" i="17"/>
  <c r="CQ526" i="17"/>
  <c r="CQ515" i="17"/>
  <c r="CP506" i="17"/>
  <c r="CE503" i="17"/>
  <c r="DR501" i="17"/>
  <c r="CQ500" i="17"/>
  <c r="CG497" i="17"/>
  <c r="CQ541" i="17"/>
  <c r="CQ536" i="17"/>
  <c r="DL533" i="17"/>
  <c r="CG527" i="17"/>
  <c r="DR523" i="17"/>
  <c r="CQ519" i="17"/>
  <c r="CG512" i="17"/>
  <c r="CG511" i="17"/>
  <c r="CE502" i="17"/>
  <c r="DR497" i="17"/>
  <c r="CQ489" i="17"/>
  <c r="CG481" i="17"/>
  <c r="DR478" i="17"/>
  <c r="BA477" i="17"/>
  <c r="CG474" i="17"/>
  <c r="CG471" i="17"/>
  <c r="CQ470" i="17"/>
  <c r="CG463" i="17"/>
  <c r="Y449" i="17"/>
  <c r="CG447" i="17"/>
  <c r="CQ431" i="17"/>
  <c r="DS427" i="17"/>
  <c r="CQ425" i="17"/>
  <c r="CP421" i="17"/>
  <c r="CG421" i="17"/>
  <c r="CG397" i="17"/>
  <c r="CQ395" i="17"/>
  <c r="BA387" i="17"/>
  <c r="CD385" i="17"/>
  <c r="CG385" i="17"/>
  <c r="CG381" i="17"/>
  <c r="CD381" i="17"/>
  <c r="CE381" i="17" s="1"/>
  <c r="DR361" i="17"/>
  <c r="R361" i="17"/>
  <c r="Y361" i="17" s="1"/>
  <c r="CP345" i="17"/>
  <c r="DS342" i="17"/>
  <c r="CG338" i="17"/>
  <c r="CD330" i="17"/>
  <c r="CF330" i="17" s="1"/>
  <c r="CG330" i="17"/>
  <c r="CQ323" i="17"/>
  <c r="CO323" i="17"/>
  <c r="CP323" i="17" s="1"/>
  <c r="DR314" i="17"/>
  <c r="CQ292" i="17"/>
  <c r="CO292" i="17"/>
  <c r="CP292" i="17" s="1"/>
  <c r="AT291" i="17"/>
  <c r="DS291" i="17" s="1"/>
  <c r="DR291" i="17"/>
  <c r="CG251" i="17"/>
  <c r="CE251" i="17"/>
  <c r="DM246" i="17"/>
  <c r="DN246" i="17" s="1"/>
  <c r="DO246" i="17" s="1"/>
  <c r="CE236" i="17"/>
  <c r="DM226" i="17"/>
  <c r="DN226" i="17" s="1"/>
  <c r="DO226" i="17" s="1"/>
  <c r="DR225" i="17"/>
  <c r="R218" i="17"/>
  <c r="DL218" i="17" s="1"/>
  <c r="DR218" i="17"/>
  <c r="Z199" i="17"/>
  <c r="DS187" i="17"/>
  <c r="Z183" i="17"/>
  <c r="R168" i="17"/>
  <c r="DS168" i="17" s="1"/>
  <c r="DR168" i="17"/>
  <c r="DM39" i="17"/>
  <c r="DN39" i="17" s="1"/>
  <c r="DO39" i="17" s="1"/>
  <c r="DM7" i="17"/>
  <c r="DN7" i="17" s="1"/>
  <c r="DO7" i="17" s="1"/>
  <c r="CQ386" i="17"/>
  <c r="CQ383" i="17"/>
  <c r="CQ380" i="17"/>
  <c r="CQ379" i="17"/>
  <c r="CG379" i="17"/>
  <c r="CQ367" i="17"/>
  <c r="CP351" i="17"/>
  <c r="DM348" i="17"/>
  <c r="DN348" i="17" s="1"/>
  <c r="DP348" i="17" s="1"/>
  <c r="CD348" i="17"/>
  <c r="CE348" i="17" s="1"/>
  <c r="CG344" i="17"/>
  <c r="DR343" i="17"/>
  <c r="Y335" i="17"/>
  <c r="DR327" i="17"/>
  <c r="CD315" i="17"/>
  <c r="CG314" i="17"/>
  <c r="CD313" i="17"/>
  <c r="CE313" i="17" s="1"/>
  <c r="CG313" i="17"/>
  <c r="CD310" i="17"/>
  <c r="CE310" i="17" s="1"/>
  <c r="DS306" i="17"/>
  <c r="AT298" i="17"/>
  <c r="BA298" i="17" s="1"/>
  <c r="DR298" i="17"/>
  <c r="Y297" i="17"/>
  <c r="DR283" i="17"/>
  <c r="DR282" i="17"/>
  <c r="R282" i="17"/>
  <c r="Y282" i="17" s="1"/>
  <c r="DR270" i="17"/>
  <c r="DM266" i="17"/>
  <c r="DN266" i="17" s="1"/>
  <c r="DO266" i="17" s="1"/>
  <c r="CP258" i="17"/>
  <c r="CD250" i="17"/>
  <c r="CF250" i="17" s="1"/>
  <c r="CG250" i="17"/>
  <c r="DM249" i="17"/>
  <c r="DN249" i="17" s="1"/>
  <c r="DP249" i="17" s="1"/>
  <c r="DM243" i="17"/>
  <c r="DN243" i="17" s="1"/>
  <c r="CQ240" i="17"/>
  <c r="CG238" i="17"/>
  <c r="DS220" i="17"/>
  <c r="DM216" i="17"/>
  <c r="DN216" i="17" s="1"/>
  <c r="DP216" i="17" s="1"/>
  <c r="CD211" i="17"/>
  <c r="CE211" i="17" s="1"/>
  <c r="CD208" i="17"/>
  <c r="CE208" i="17" s="1"/>
  <c r="DR187" i="17"/>
  <c r="CD187" i="17"/>
  <c r="CE187" i="17" s="1"/>
  <c r="CG187" i="17"/>
  <c r="Y173" i="17"/>
  <c r="R171" i="17"/>
  <c r="DL171" i="17" s="1"/>
  <c r="DR171" i="17"/>
  <c r="BA155" i="17"/>
  <c r="DM122" i="17"/>
  <c r="DN122" i="17" s="1"/>
  <c r="DR117" i="17"/>
  <c r="R117" i="17"/>
  <c r="DL117" i="17" s="1"/>
  <c r="CO96" i="17"/>
  <c r="CP96" i="17" s="1"/>
  <c r="CQ96" i="17"/>
  <c r="DL386" i="17"/>
  <c r="DR383" i="17"/>
  <c r="CQ370" i="17"/>
  <c r="DR362" i="17"/>
  <c r="CG356" i="17"/>
  <c r="CG355" i="17"/>
  <c r="CD355" i="17"/>
  <c r="CQ353" i="17"/>
  <c r="CQ352" i="17"/>
  <c r="DR351" i="17"/>
  <c r="CO350" i="17"/>
  <c r="CP350" i="17" s="1"/>
  <c r="DM349" i="17"/>
  <c r="DN349" i="17" s="1"/>
  <c r="DO349" i="17" s="1"/>
  <c r="CQ347" i="17"/>
  <c r="DM346" i="17"/>
  <c r="DN346" i="17" s="1"/>
  <c r="DO346" i="17" s="1"/>
  <c r="DP346" i="17" s="1"/>
  <c r="Y345" i="17"/>
  <c r="DM343" i="17"/>
  <c r="DN343" i="17" s="1"/>
  <c r="DO343" i="17" s="1"/>
  <c r="DM338" i="17"/>
  <c r="DN338" i="17" s="1"/>
  <c r="DL336" i="17"/>
  <c r="CQ335" i="17"/>
  <c r="DM334" i="17"/>
  <c r="DN334" i="17" s="1"/>
  <c r="DO334" i="17" s="1"/>
  <c r="DM329" i="17"/>
  <c r="DN329" i="17" s="1"/>
  <c r="DO329" i="17" s="1"/>
  <c r="DP329" i="17" s="1"/>
  <c r="CQ326" i="17"/>
  <c r="DM325" i="17"/>
  <c r="DN325" i="17" s="1"/>
  <c r="DO325" i="17" s="1"/>
  <c r="DR320" i="17"/>
  <c r="CE314" i="17"/>
  <c r="Y314" i="17"/>
  <c r="Y312" i="17"/>
  <c r="CG309" i="17"/>
  <c r="CQ308" i="17"/>
  <c r="CO308" i="17"/>
  <c r="CP308" i="17" s="1"/>
  <c r="Y298" i="17"/>
  <c r="Z298" i="17"/>
  <c r="BV290" i="17"/>
  <c r="CG290" i="17" s="1"/>
  <c r="DR290" i="17"/>
  <c r="Z289" i="17"/>
  <c r="Y289" i="17"/>
  <c r="DS283" i="17"/>
  <c r="CP282" i="17"/>
  <c r="DL273" i="17"/>
  <c r="DS273" i="17"/>
  <c r="CP265" i="17"/>
  <c r="DM257" i="17"/>
  <c r="DN257" i="17" s="1"/>
  <c r="DO257" i="17" s="1"/>
  <c r="CQ253" i="17"/>
  <c r="CQ248" i="17"/>
  <c r="R234" i="17"/>
  <c r="DL234" i="17" s="1"/>
  <c r="DR234" i="17"/>
  <c r="DR199" i="17"/>
  <c r="R199" i="17"/>
  <c r="DS199" i="17" s="1"/>
  <c r="CG193" i="17"/>
  <c r="CD193" i="17"/>
  <c r="BV192" i="17"/>
  <c r="CE192" i="17" s="1"/>
  <c r="DR192" i="17"/>
  <c r="DM191" i="17"/>
  <c r="DN191" i="17" s="1"/>
  <c r="DO191" i="17" s="1"/>
  <c r="DR178" i="17"/>
  <c r="R178" i="17"/>
  <c r="DL178" i="17" s="1"/>
  <c r="DM171" i="17"/>
  <c r="DN171" i="17" s="1"/>
  <c r="DO171" i="17" s="1"/>
  <c r="DP171" i="17" s="1"/>
  <c r="CD151" i="17"/>
  <c r="CF151" i="17" s="1"/>
  <c r="CG151" i="17"/>
  <c r="DM149" i="17"/>
  <c r="DN149" i="17" s="1"/>
  <c r="BB126" i="17"/>
  <c r="BA126" i="17"/>
  <c r="CQ371" i="17"/>
  <c r="CQ362" i="17"/>
  <c r="DL362" i="17"/>
  <c r="CP360" i="17"/>
  <c r="CP355" i="17"/>
  <c r="BA354" i="17"/>
  <c r="CP348" i="17"/>
  <c r="CE338" i="17"/>
  <c r="CQ337" i="17"/>
  <c r="CQ336" i="17"/>
  <c r="CP335" i="17"/>
  <c r="CG331" i="17"/>
  <c r="CQ330" i="17"/>
  <c r="CQ321" i="17"/>
  <c r="CG317" i="17"/>
  <c r="CQ316" i="17"/>
  <c r="Y306" i="17"/>
  <c r="CQ304" i="17"/>
  <c r="CQ300" i="17"/>
  <c r="CO300" i="17"/>
  <c r="CP300" i="17" s="1"/>
  <c r="DS299" i="17"/>
  <c r="DR297" i="17"/>
  <c r="BV297" i="17"/>
  <c r="CG297" i="17" s="1"/>
  <c r="CQ295" i="17"/>
  <c r="CP290" i="17"/>
  <c r="BA282" i="17"/>
  <c r="CD281" i="17"/>
  <c r="CF281" i="17" s="1"/>
  <c r="CG281" i="17"/>
  <c r="DR276" i="17"/>
  <c r="AT276" i="17"/>
  <c r="DL276" i="17" s="1"/>
  <c r="CO274" i="17"/>
  <c r="CP274" i="17" s="1"/>
  <c r="CQ274" i="17"/>
  <c r="CE271" i="17"/>
  <c r="DL263" i="17"/>
  <c r="DR260" i="17"/>
  <c r="BA258" i="17"/>
  <c r="DS256" i="17"/>
  <c r="DL256" i="17"/>
  <c r="Y233" i="17"/>
  <c r="Z233" i="17"/>
  <c r="DM228" i="17"/>
  <c r="DN228" i="17" s="1"/>
  <c r="DO228" i="17" s="1"/>
  <c r="DP228" i="17" s="1"/>
  <c r="CQ220" i="17"/>
  <c r="CQ204" i="17"/>
  <c r="CO204" i="17"/>
  <c r="CP204" i="17" s="1"/>
  <c r="Z189" i="17"/>
  <c r="Y189" i="17"/>
  <c r="CP187" i="17"/>
  <c r="CE180" i="17"/>
  <c r="DR173" i="17"/>
  <c r="BV173" i="17"/>
  <c r="DL173" i="17" s="1"/>
  <c r="CE168" i="17"/>
  <c r="CF168" i="17"/>
  <c r="CE160" i="17"/>
  <c r="CQ157" i="17"/>
  <c r="CP157" i="17"/>
  <c r="DM131" i="17"/>
  <c r="DN131" i="17" s="1"/>
  <c r="CG396" i="17"/>
  <c r="DL395" i="17"/>
  <c r="CP393" i="17"/>
  <c r="DR391" i="17"/>
  <c r="CQ387" i="17"/>
  <c r="CG387" i="17"/>
  <c r="BA384" i="17"/>
  <c r="DL376" i="17"/>
  <c r="DR375" i="17"/>
  <c r="Y369" i="17"/>
  <c r="Y368" i="17"/>
  <c r="DR364" i="17"/>
  <c r="CQ356" i="17"/>
  <c r="CQ355" i="17"/>
  <c r="CQ348" i="17"/>
  <c r="DR340" i="17"/>
  <c r="DR336" i="17"/>
  <c r="Y329" i="17"/>
  <c r="Y328" i="17"/>
  <c r="CG327" i="17"/>
  <c r="CQ322" i="17"/>
  <c r="DR317" i="17"/>
  <c r="CP307" i="17"/>
  <c r="BA299" i="17"/>
  <c r="BA297" i="17"/>
  <c r="BB284" i="17"/>
  <c r="BA284" i="17"/>
  <c r="R275" i="17"/>
  <c r="Y275" i="17" s="1"/>
  <c r="DR275" i="17"/>
  <c r="CG271" i="17"/>
  <c r="CO267" i="17"/>
  <c r="CP267" i="17" s="1"/>
  <c r="CQ267" i="17"/>
  <c r="R267" i="17"/>
  <c r="Y267" i="17" s="1"/>
  <c r="DR267" i="17"/>
  <c r="DM263" i="17"/>
  <c r="DN263" i="17" s="1"/>
  <c r="DO263" i="17" s="1"/>
  <c r="DP263" i="17" s="1"/>
  <c r="R260" i="17"/>
  <c r="DL260" i="17" s="1"/>
  <c r="DS258" i="17"/>
  <c r="Y256" i="17"/>
  <c r="Z256" i="17"/>
  <c r="BV244" i="17"/>
  <c r="DS244" i="17" s="1"/>
  <c r="DR244" i="17"/>
  <c r="CG237" i="17"/>
  <c r="CD237" i="17"/>
  <c r="CE237" i="17" s="1"/>
  <c r="DM236" i="17"/>
  <c r="DN236" i="17" s="1"/>
  <c r="DO236" i="17" s="1"/>
  <c r="CD235" i="17"/>
  <c r="CG235" i="17"/>
  <c r="R235" i="17"/>
  <c r="Y235" i="17" s="1"/>
  <c r="DR235" i="17"/>
  <c r="BA228" i="17"/>
  <c r="DM205" i="17"/>
  <c r="DN205" i="17" s="1"/>
  <c r="DO205" i="17" s="1"/>
  <c r="CQ196" i="17"/>
  <c r="CO196" i="17"/>
  <c r="CP196" i="17" s="1"/>
  <c r="DM154" i="17"/>
  <c r="DN154" i="17" s="1"/>
  <c r="DO154" i="17" s="1"/>
  <c r="CG371" i="17"/>
  <c r="Y359" i="17"/>
  <c r="DR352" i="17"/>
  <c r="CQ332" i="17"/>
  <c r="CQ325" i="17"/>
  <c r="CQ307" i="17"/>
  <c r="CG306" i="17"/>
  <c r="CQ301" i="17"/>
  <c r="CO301" i="17"/>
  <c r="CP301" i="17" s="1"/>
  <c r="BA296" i="17"/>
  <c r="DR296" i="17"/>
  <c r="R296" i="17"/>
  <c r="DL296" i="17" s="1"/>
  <c r="CQ287" i="17"/>
  <c r="CO287" i="17"/>
  <c r="CP287" i="17" s="1"/>
  <c r="CG284" i="17"/>
  <c r="DL279" i="17"/>
  <c r="DM268" i="17"/>
  <c r="DN268" i="17" s="1"/>
  <c r="CE259" i="17"/>
  <c r="R243" i="17"/>
  <c r="Y243" i="17" s="1"/>
  <c r="DR243" i="17"/>
  <c r="DM232" i="17"/>
  <c r="DN232" i="17" s="1"/>
  <c r="DO232" i="17" s="1"/>
  <c r="DP232" i="17" s="1"/>
  <c r="CP227" i="17"/>
  <c r="Y225" i="17"/>
  <c r="Y221" i="17"/>
  <c r="DL211" i="17"/>
  <c r="DM207" i="17"/>
  <c r="DN207" i="17" s="1"/>
  <c r="DO207" i="17" s="1"/>
  <c r="O88" i="25" s="1"/>
  <c r="P88" i="25" s="1"/>
  <c r="DR207" i="17"/>
  <c r="DS206" i="17"/>
  <c r="CP198" i="17"/>
  <c r="DM195" i="17"/>
  <c r="DN195" i="17" s="1"/>
  <c r="DP195" i="17" s="1"/>
  <c r="DM185" i="17"/>
  <c r="DN185" i="17" s="1"/>
  <c r="CG174" i="17"/>
  <c r="DS174" i="17"/>
  <c r="CQ171" i="17"/>
  <c r="CG165" i="17"/>
  <c r="CO160" i="17"/>
  <c r="CP160" i="17" s="1"/>
  <c r="CQ160" i="17"/>
  <c r="CP154" i="17"/>
  <c r="DS150" i="17"/>
  <c r="CQ149" i="17"/>
  <c r="CO149" i="17"/>
  <c r="CP149" i="17" s="1"/>
  <c r="CO139" i="17"/>
  <c r="CP139" i="17" s="1"/>
  <c r="CQ139" i="17"/>
  <c r="BA134" i="17"/>
  <c r="DM129" i="17"/>
  <c r="DN129" i="17" s="1"/>
  <c r="DP129" i="17" s="1"/>
  <c r="BA111" i="17"/>
  <c r="CD107" i="17"/>
  <c r="CE107" i="17" s="1"/>
  <c r="CG107" i="17"/>
  <c r="BA253" i="17"/>
  <c r="DR238" i="17"/>
  <c r="CD234" i="17"/>
  <c r="CE234" i="17" s="1"/>
  <c r="CG234" i="17"/>
  <c r="DM231" i="17"/>
  <c r="DN231" i="17" s="1"/>
  <c r="CQ230" i="17"/>
  <c r="CQ224" i="17"/>
  <c r="CO224" i="17"/>
  <c r="CP224" i="17" s="1"/>
  <c r="CG218" i="17"/>
  <c r="CP207" i="17"/>
  <c r="CP200" i="17"/>
  <c r="CQ199" i="17"/>
  <c r="CP188" i="17"/>
  <c r="CQ187" i="17"/>
  <c r="CP185" i="17"/>
  <c r="DL180" i="17"/>
  <c r="CP175" i="17"/>
  <c r="CG168" i="17"/>
  <c r="Y166" i="17"/>
  <c r="DR165" i="17"/>
  <c r="Z162" i="17"/>
  <c r="Y162" i="17"/>
  <c r="CG159" i="17"/>
  <c r="CD159" i="17"/>
  <c r="CE159" i="17" s="1"/>
  <c r="CG154" i="17"/>
  <c r="CE152" i="17"/>
  <c r="CF138" i="17"/>
  <c r="CE138" i="17"/>
  <c r="DM137" i="17"/>
  <c r="DN137" i="17" s="1"/>
  <c r="DO137" i="17" s="1"/>
  <c r="DL123" i="17"/>
  <c r="AT109" i="17"/>
  <c r="BA109" i="17" s="1"/>
  <c r="DR109" i="17"/>
  <c r="CG89" i="17"/>
  <c r="CD89" i="17"/>
  <c r="CE89" i="17" s="1"/>
  <c r="CF14" i="17"/>
  <c r="CE14" i="17"/>
  <c r="CG285" i="17"/>
  <c r="CQ280" i="17"/>
  <c r="BA275" i="17"/>
  <c r="CQ268" i="17"/>
  <c r="CG262" i="17"/>
  <c r="CQ259" i="17"/>
  <c r="CP252" i="17"/>
  <c r="DR251" i="17"/>
  <c r="AT249" i="17"/>
  <c r="DS249" i="17" s="1"/>
  <c r="CQ242" i="17"/>
  <c r="DS239" i="17"/>
  <c r="R238" i="17"/>
  <c r="DS238" i="17" s="1"/>
  <c r="DM219" i="17"/>
  <c r="DN219" i="17" s="1"/>
  <c r="DP219" i="17" s="1"/>
  <c r="CP217" i="17"/>
  <c r="CP213" i="17"/>
  <c r="DR206" i="17"/>
  <c r="DL186" i="17"/>
  <c r="BA184" i="17"/>
  <c r="R183" i="17"/>
  <c r="Y183" i="17" s="1"/>
  <c r="DR183" i="17"/>
  <c r="CQ175" i="17"/>
  <c r="CE172" i="17"/>
  <c r="DM168" i="17"/>
  <c r="DN168" i="17" s="1"/>
  <c r="DM166" i="17"/>
  <c r="DN166" i="17" s="1"/>
  <c r="DP166" i="17" s="1"/>
  <c r="CO156" i="17"/>
  <c r="CP156" i="17" s="1"/>
  <c r="CQ156" i="17"/>
  <c r="BA153" i="17"/>
  <c r="CP137" i="17"/>
  <c r="DR299" i="17"/>
  <c r="Y295" i="17"/>
  <c r="Z295" i="17"/>
  <c r="BA289" i="17"/>
  <c r="CQ284" i="17"/>
  <c r="CE276" i="17"/>
  <c r="CF275" i="17"/>
  <c r="CE275" i="17"/>
  <c r="CD267" i="17"/>
  <c r="CE267" i="17" s="1"/>
  <c r="CG267" i="17"/>
  <c r="Y262" i="17"/>
  <c r="DS251" i="17"/>
  <c r="Y249" i="17"/>
  <c r="DM248" i="17"/>
  <c r="DN248" i="17" s="1"/>
  <c r="DO248" i="17" s="1"/>
  <c r="Y242" i="17"/>
  <c r="DR236" i="17"/>
  <c r="R236" i="17"/>
  <c r="DS236" i="17" s="1"/>
  <c r="CG229" i="17"/>
  <c r="BA189" i="17"/>
  <c r="DM167" i="17"/>
  <c r="DN167" i="17" s="1"/>
  <c r="DO167" i="17" s="1"/>
  <c r="CQ165" i="17"/>
  <c r="CO165" i="17"/>
  <c r="CP165" i="17" s="1"/>
  <c r="BA151" i="17"/>
  <c r="Z147" i="17"/>
  <c r="CG138" i="17"/>
  <c r="DM133" i="17"/>
  <c r="DN133" i="17" s="1"/>
  <c r="BA130" i="17"/>
  <c r="BB130" i="17"/>
  <c r="R126" i="17"/>
  <c r="DS126" i="17" s="1"/>
  <c r="CO113" i="17"/>
  <c r="CP113" i="17" s="1"/>
  <c r="CQ113" i="17"/>
  <c r="CQ71" i="17"/>
  <c r="CP71" i="17"/>
  <c r="BB31" i="17"/>
  <c r="CP194" i="17"/>
  <c r="CG194" i="17"/>
  <c r="Y194" i="17"/>
  <c r="BB191" i="17"/>
  <c r="BA191" i="17"/>
  <c r="DR185" i="17"/>
  <c r="DR182" i="17"/>
  <c r="BA174" i="17"/>
  <c r="CP172" i="17"/>
  <c r="BA172" i="17"/>
  <c r="CP168" i="17"/>
  <c r="DR158" i="17"/>
  <c r="CD148" i="17"/>
  <c r="CF148" i="17" s="1"/>
  <c r="CG148" i="17"/>
  <c r="R136" i="17"/>
  <c r="DL136" i="17" s="1"/>
  <c r="DR136" i="17"/>
  <c r="CP122" i="17"/>
  <c r="Z102" i="17"/>
  <c r="CF94" i="17"/>
  <c r="CE94" i="17"/>
  <c r="CD81" i="17"/>
  <c r="CE81" i="17" s="1"/>
  <c r="CG81" i="17"/>
  <c r="DM80" i="17"/>
  <c r="DN80" i="17" s="1"/>
  <c r="DM72" i="17"/>
  <c r="DN72" i="17" s="1"/>
  <c r="DO72" i="17" s="1"/>
  <c r="DP72" i="17" s="1"/>
  <c r="R46" i="17"/>
  <c r="DL46" i="17" s="1"/>
  <c r="DR46" i="17"/>
  <c r="BA103" i="17"/>
  <c r="R100" i="17"/>
  <c r="Y100" i="17" s="1"/>
  <c r="DR100" i="17"/>
  <c r="CG72" i="17"/>
  <c r="DM69" i="17"/>
  <c r="DN69" i="17" s="1"/>
  <c r="DO69" i="17" s="1"/>
  <c r="DP69" i="17" s="1"/>
  <c r="DR31" i="17"/>
  <c r="AT31" i="17"/>
  <c r="DL31" i="17" s="1"/>
  <c r="DM27" i="17"/>
  <c r="DN27" i="17" s="1"/>
  <c r="CQ315" i="17"/>
  <c r="CG305" i="17"/>
  <c r="CQ293" i="17"/>
  <c r="BA292" i="17"/>
  <c r="CQ262" i="17"/>
  <c r="CQ254" i="17"/>
  <c r="CO249" i="17"/>
  <c r="CP249" i="17" s="1"/>
  <c r="CQ249" i="17"/>
  <c r="CQ246" i="17"/>
  <c r="BA241" i="17"/>
  <c r="CP233" i="17"/>
  <c r="CQ226" i="17"/>
  <c r="CG209" i="17"/>
  <c r="DR198" i="17"/>
  <c r="CQ192" i="17"/>
  <c r="Z188" i="17"/>
  <c r="Y188" i="17"/>
  <c r="CP184" i="17"/>
  <c r="Y161" i="17"/>
  <c r="BA135" i="17"/>
  <c r="DL134" i="17"/>
  <c r="AT124" i="17"/>
  <c r="DS124" i="17" s="1"/>
  <c r="CE123" i="17"/>
  <c r="Z95" i="17"/>
  <c r="DS94" i="17"/>
  <c r="CP79" i="17"/>
  <c r="BA67" i="17"/>
  <c r="DM66" i="17"/>
  <c r="DN66" i="17" s="1"/>
  <c r="DP66" i="17" s="1"/>
  <c r="DR66" i="17"/>
  <c r="R66" i="17"/>
  <c r="DL66" i="17" s="1"/>
  <c r="CE64" i="17"/>
  <c r="CF64" i="17"/>
  <c r="BA52" i="17"/>
  <c r="BB52" i="17"/>
  <c r="BA133" i="17"/>
  <c r="DM123" i="17"/>
  <c r="DN123" i="17" s="1"/>
  <c r="DO123" i="17" s="1"/>
  <c r="DR122" i="17"/>
  <c r="CE121" i="17"/>
  <c r="DM118" i="17"/>
  <c r="DN118" i="17" s="1"/>
  <c r="DO118" i="17" s="1"/>
  <c r="DP118" i="17" s="1"/>
  <c r="CG104" i="17"/>
  <c r="CD104" i="17"/>
  <c r="CE104" i="17" s="1"/>
  <c r="Y104" i="17"/>
  <c r="DR101" i="17"/>
  <c r="R101" i="17"/>
  <c r="DS101" i="17" s="1"/>
  <c r="BB80" i="17"/>
  <c r="DR79" i="17"/>
  <c r="R79" i="17"/>
  <c r="Y79" i="17" s="1"/>
  <c r="CO50" i="17"/>
  <c r="CP50" i="17" s="1"/>
  <c r="CQ50" i="17"/>
  <c r="CG26" i="17"/>
  <c r="CD26" i="17"/>
  <c r="CE26" i="17" s="1"/>
  <c r="BA12" i="17"/>
  <c r="DM8" i="17"/>
  <c r="DN8" i="17" s="1"/>
  <c r="DO8" i="17" s="1"/>
  <c r="CG160" i="17"/>
  <c r="CP153" i="17"/>
  <c r="DM147" i="17"/>
  <c r="DN147" i="17" s="1"/>
  <c r="DP147" i="17" s="1"/>
  <c r="CE144" i="17"/>
  <c r="DS142" i="17"/>
  <c r="Y130" i="17"/>
  <c r="CG121" i="17"/>
  <c r="DR119" i="17"/>
  <c r="R119" i="17"/>
  <c r="DS119" i="17" s="1"/>
  <c r="DR89" i="17"/>
  <c r="AT89" i="17"/>
  <c r="DS89" i="17" s="1"/>
  <c r="CD88" i="17"/>
  <c r="CE88" i="17" s="1"/>
  <c r="CG88" i="17"/>
  <c r="R83" i="17"/>
  <c r="DS83" i="17" s="1"/>
  <c r="DR83" i="17"/>
  <c r="CD67" i="17"/>
  <c r="CF67" i="17" s="1"/>
  <c r="CG67" i="17"/>
  <c r="CG65" i="17"/>
  <c r="CD65" i="17"/>
  <c r="CF65" i="17" s="1"/>
  <c r="BB51" i="17"/>
  <c r="BA51" i="17"/>
  <c r="CE39" i="17"/>
  <c r="CF28" i="17"/>
  <c r="CE28" i="17"/>
  <c r="BA308" i="17"/>
  <c r="BA300" i="17"/>
  <c r="CP297" i="17"/>
  <c r="DR285" i="17"/>
  <c r="CG278" i="17"/>
  <c r="CG268" i="17"/>
  <c r="CP266" i="17"/>
  <c r="DR242" i="17"/>
  <c r="CQ237" i="17"/>
  <c r="CO237" i="17"/>
  <c r="CP237" i="17" s="1"/>
  <c r="BA219" i="17"/>
  <c r="CP214" i="17"/>
  <c r="BV169" i="17"/>
  <c r="DS169" i="17" s="1"/>
  <c r="CQ161" i="17"/>
  <c r="CO161" i="17"/>
  <c r="CP161" i="17" s="1"/>
  <c r="CG150" i="17"/>
  <c r="CG144" i="17"/>
  <c r="BA136" i="17"/>
  <c r="CQ126" i="17"/>
  <c r="DM125" i="17"/>
  <c r="DN125" i="17" s="1"/>
  <c r="CE120" i="17"/>
  <c r="DM112" i="17"/>
  <c r="DN112" i="17" s="1"/>
  <c r="DP112" i="17" s="1"/>
  <c r="R51" i="17"/>
  <c r="Y51" i="17" s="1"/>
  <c r="R49" i="17"/>
  <c r="Y49" i="17" s="1"/>
  <c r="DR49" i="17"/>
  <c r="R42" i="17"/>
  <c r="DL42" i="17" s="1"/>
  <c r="DR42" i="17"/>
  <c r="CD35" i="17"/>
  <c r="CF35" i="17" s="1"/>
  <c r="CG35" i="17"/>
  <c r="CO34" i="17"/>
  <c r="CP34" i="17" s="1"/>
  <c r="CQ34" i="17"/>
  <c r="DM19" i="17"/>
  <c r="DN19" i="17" s="1"/>
  <c r="DM18" i="17"/>
  <c r="DN18" i="17" s="1"/>
  <c r="DO18" i="17" s="1"/>
  <c r="DP18" i="17" s="1"/>
  <c r="BA244" i="17"/>
  <c r="CG215" i="17"/>
  <c r="CG210" i="17"/>
  <c r="CQ202" i="17"/>
  <c r="BA201" i="17"/>
  <c r="BA198" i="17"/>
  <c r="BA182" i="17"/>
  <c r="CQ173" i="17"/>
  <c r="BA164" i="17"/>
  <c r="CG162" i="17"/>
  <c r="CE149" i="17"/>
  <c r="CG143" i="17"/>
  <c r="CG142" i="17"/>
  <c r="CO130" i="17"/>
  <c r="CP130" i="17" s="1"/>
  <c r="CQ130" i="17"/>
  <c r="CQ120" i="17"/>
  <c r="DM99" i="17"/>
  <c r="DN99" i="17" s="1"/>
  <c r="DR97" i="17"/>
  <c r="AT97" i="17"/>
  <c r="DL97" i="17" s="1"/>
  <c r="DM96" i="17"/>
  <c r="DN96" i="17" s="1"/>
  <c r="DO96" i="17" s="1"/>
  <c r="DM95" i="17"/>
  <c r="DN95" i="17" s="1"/>
  <c r="DP95" i="17" s="1"/>
  <c r="DL94" i="17"/>
  <c r="CE90" i="17"/>
  <c r="BA88" i="17"/>
  <c r="DS68" i="17"/>
  <c r="CE50" i="17"/>
  <c r="CF50" i="17"/>
  <c r="DM40" i="17"/>
  <c r="DN40" i="17" s="1"/>
  <c r="DO40" i="17" s="1"/>
  <c r="DP40" i="17" s="1"/>
  <c r="CG40" i="17"/>
  <c r="DL40" i="17"/>
  <c r="BA11" i="17"/>
  <c r="BB11" i="17"/>
  <c r="Y220" i="17"/>
  <c r="BA205" i="17"/>
  <c r="CG201" i="17"/>
  <c r="BA197" i="17"/>
  <c r="CQ194" i="17"/>
  <c r="CQ193" i="17"/>
  <c r="DL187" i="17"/>
  <c r="CQ185" i="17"/>
  <c r="CG185" i="17"/>
  <c r="CQ170" i="17"/>
  <c r="BA166" i="17"/>
  <c r="CP151" i="17"/>
  <c r="CP148" i="17"/>
  <c r="CQ142" i="17"/>
  <c r="DR142" i="17"/>
  <c r="BA131" i="17"/>
  <c r="CP125" i="17"/>
  <c r="BA116" i="17"/>
  <c r="CP93" i="17"/>
  <c r="CP90" i="17"/>
  <c r="DR82" i="17"/>
  <c r="R82" i="17"/>
  <c r="Y82" i="17" s="1"/>
  <c r="DM64" i="17"/>
  <c r="DN64" i="17" s="1"/>
  <c r="DP64" i="17" s="1"/>
  <c r="DM61" i="17"/>
  <c r="DN61" i="17" s="1"/>
  <c r="CO43" i="17"/>
  <c r="CP43" i="17" s="1"/>
  <c r="CQ43" i="17"/>
  <c r="Z31" i="17"/>
  <c r="Y31" i="17"/>
  <c r="CG19" i="17"/>
  <c r="CE141" i="17"/>
  <c r="CG130" i="17"/>
  <c r="CQ124" i="17"/>
  <c r="CQ116" i="17"/>
  <c r="CQ111" i="17"/>
  <c r="BA106" i="17"/>
  <c r="CO99" i="17"/>
  <c r="CP99" i="17" s="1"/>
  <c r="CQ99" i="17"/>
  <c r="CQ52" i="17"/>
  <c r="CO52" i="17"/>
  <c r="CP52" i="17" s="1"/>
  <c r="CD51" i="17"/>
  <c r="CE51" i="17" s="1"/>
  <c r="CG51" i="17"/>
  <c r="CQ27" i="17"/>
  <c r="DM23" i="17"/>
  <c r="DN23" i="17" s="1"/>
  <c r="DR22" i="17"/>
  <c r="R22" i="17"/>
  <c r="DS22" i="17" s="1"/>
  <c r="DS9" i="17"/>
  <c r="BA9" i="17"/>
  <c r="CE103" i="17"/>
  <c r="BA99" i="17"/>
  <c r="DM87" i="17"/>
  <c r="DN87" i="17" s="1"/>
  <c r="DO87" i="17" s="1"/>
  <c r="BA79" i="17"/>
  <c r="DM67" i="17"/>
  <c r="DN67" i="17" s="1"/>
  <c r="DO67" i="17" s="1"/>
  <c r="DM63" i="17"/>
  <c r="DN63" i="17" s="1"/>
  <c r="BA60" i="17"/>
  <c r="Y58" i="17"/>
  <c r="CD47" i="17"/>
  <c r="CG47" i="17"/>
  <c r="CE46" i="17"/>
  <c r="DM45" i="17"/>
  <c r="DN45" i="17" s="1"/>
  <c r="DO45" i="17" s="1"/>
  <c r="DP45" i="17" s="1"/>
  <c r="CQ18" i="17"/>
  <c r="CP15" i="17"/>
  <c r="DR113" i="17"/>
  <c r="CP109" i="17"/>
  <c r="Y107" i="17"/>
  <c r="DS106" i="17"/>
  <c r="CP98" i="17"/>
  <c r="CG97" i="17"/>
  <c r="DR88" i="17"/>
  <c r="Y80" i="17"/>
  <c r="CG78" i="17"/>
  <c r="R69" i="17"/>
  <c r="DL69" i="17" s="1"/>
  <c r="DR69" i="17"/>
  <c r="DM46" i="17"/>
  <c r="DN46" i="17" s="1"/>
  <c r="DO46" i="17" s="1"/>
  <c r="DP46" i="17" s="1"/>
  <c r="BA39" i="17"/>
  <c r="DR25" i="17"/>
  <c r="AT25" i="17"/>
  <c r="DS25" i="17" s="1"/>
  <c r="CQ19" i="17"/>
  <c r="CG16" i="17"/>
  <c r="DL9" i="17"/>
  <c r="CG116" i="17"/>
  <c r="CG61" i="17"/>
  <c r="CP54" i="17"/>
  <c r="DR39" i="17"/>
  <c r="CG36" i="17"/>
  <c r="CD36" i="17"/>
  <c r="DR16" i="17"/>
  <c r="DM12" i="17"/>
  <c r="DN12" i="17" s="1"/>
  <c r="CE12" i="17"/>
  <c r="CG8" i="17"/>
  <c r="Y103" i="17"/>
  <c r="CE96" i="17"/>
  <c r="CQ85" i="17"/>
  <c r="BA81" i="17"/>
  <c r="CQ78" i="17"/>
  <c r="BA78" i="17"/>
  <c r="CO66" i="17"/>
  <c r="CP66" i="17" s="1"/>
  <c r="CQ66" i="17"/>
  <c r="CQ63" i="17"/>
  <c r="CP62" i="17"/>
  <c r="CQ55" i="17"/>
  <c r="CQ36" i="17"/>
  <c r="CO36" i="17"/>
  <c r="CP36" i="17" s="1"/>
  <c r="Y34" i="17"/>
  <c r="CO30" i="17"/>
  <c r="CP30" i="17" s="1"/>
  <c r="CQ30" i="17"/>
  <c r="DR26" i="17"/>
  <c r="DM25" i="17"/>
  <c r="DN25" i="17" s="1"/>
  <c r="CP18" i="17"/>
  <c r="DM16" i="17"/>
  <c r="DN16" i="17" s="1"/>
  <c r="DO16" i="17" s="1"/>
  <c r="AT10" i="17"/>
  <c r="BA10" i="17" s="1"/>
  <c r="DR10" i="17"/>
  <c r="CP9" i="17"/>
  <c r="BA113" i="17"/>
  <c r="DS104" i="17"/>
  <c r="Y86" i="17"/>
  <c r="CP33" i="17"/>
  <c r="R26" i="17"/>
  <c r="Y26" i="17" s="1"/>
  <c r="Y74" i="17"/>
  <c r="CG71" i="17"/>
  <c r="DL68" i="17"/>
  <c r="CG64" i="17"/>
  <c r="DR50" i="17"/>
  <c r="CE44" i="17"/>
  <c r="DR18" i="17"/>
  <c r="CP58" i="17"/>
  <c r="DR54" i="17"/>
  <c r="R50" i="17"/>
  <c r="Y50" i="17" s="1"/>
  <c r="CG48" i="17"/>
  <c r="CQ47" i="17"/>
  <c r="CG43" i="17"/>
  <c r="BA40" i="17"/>
  <c r="DR33" i="17"/>
  <c r="CG30" i="17"/>
  <c r="BA26" i="17"/>
  <c r="R18" i="17"/>
  <c r="Y18" i="17" s="1"/>
  <c r="CG13" i="17"/>
  <c r="DM9" i="17"/>
  <c r="DN9" i="17" s="1"/>
  <c r="DO9" i="17" s="1"/>
  <c r="DP9" i="17" s="1"/>
  <c r="CG9" i="17"/>
  <c r="BA77" i="17"/>
  <c r="CE68" i="17"/>
  <c r="BA57" i="17"/>
  <c r="CE30" i="17"/>
  <c r="DL21" i="17"/>
  <c r="CQ13" i="17"/>
  <c r="CE9" i="17"/>
  <c r="CG5" i="17"/>
  <c r="CP538" i="17"/>
  <c r="CQ538" i="17"/>
  <c r="DL485" i="17"/>
  <c r="CE464" i="17"/>
  <c r="CF464" i="17"/>
  <c r="DL499" i="17"/>
  <c r="DS492" i="17"/>
  <c r="BA487" i="17"/>
  <c r="BB487" i="17"/>
  <c r="CP450" i="17"/>
  <c r="DS450" i="17"/>
  <c r="CQ450" i="17"/>
  <c r="CQ289" i="17"/>
  <c r="DS289" i="17"/>
  <c r="CP530" i="17"/>
  <c r="CQ530" i="17"/>
  <c r="CP508" i="17"/>
  <c r="CQ508" i="17"/>
  <c r="BA504" i="17"/>
  <c r="BB504" i="17"/>
  <c r="DL500" i="17"/>
  <c r="DS483" i="17"/>
  <c r="DL483" i="17"/>
  <c r="BA439" i="17"/>
  <c r="BB439" i="17"/>
  <c r="BB532" i="17"/>
  <c r="BA532" i="17"/>
  <c r="Z488" i="17"/>
  <c r="BA518" i="17"/>
  <c r="BB518" i="17"/>
  <c r="CQ493" i="17"/>
  <c r="CP493" i="17"/>
  <c r="CF537" i="17"/>
  <c r="CE537" i="17"/>
  <c r="CP524" i="17"/>
  <c r="CQ524" i="17"/>
  <c r="DS522" i="17"/>
  <c r="DL522" i="17"/>
  <c r="BB496" i="17"/>
  <c r="BA496" i="17"/>
  <c r="CP485" i="17"/>
  <c r="CQ485" i="17"/>
  <c r="Z444" i="17"/>
  <c r="DS505" i="17"/>
  <c r="DL505" i="17"/>
  <c r="DL449" i="17"/>
  <c r="Z536" i="17"/>
  <c r="DS499" i="17"/>
  <c r="DL477" i="17"/>
  <c r="DS476" i="17"/>
  <c r="CG476" i="17"/>
  <c r="DL476" i="17"/>
  <c r="DS471" i="17"/>
  <c r="DL471" i="17"/>
  <c r="CP467" i="17"/>
  <c r="CP457" i="17"/>
  <c r="Z430" i="17"/>
  <c r="BB541" i="17"/>
  <c r="BA541" i="17"/>
  <c r="BA527" i="17"/>
  <c r="BB527" i="17"/>
  <c r="CP501" i="17"/>
  <c r="CQ501" i="17"/>
  <c r="CQ477" i="17"/>
  <c r="CP477" i="17"/>
  <c r="CG435" i="17"/>
  <c r="DL435" i="17"/>
  <c r="DS435" i="17"/>
  <c r="BA471" i="17"/>
  <c r="BB471" i="17"/>
  <c r="DS454" i="17"/>
  <c r="DL454" i="17"/>
  <c r="DS500" i="17"/>
  <c r="DL530" i="17"/>
  <c r="DS530" i="17"/>
  <c r="CG530" i="17"/>
  <c r="CE505" i="17"/>
  <c r="CF505" i="17"/>
  <c r="DS475" i="17"/>
  <c r="BB461" i="17"/>
  <c r="BA461" i="17"/>
  <c r="Z408" i="17"/>
  <c r="Y408" i="17"/>
  <c r="CD499" i="17"/>
  <c r="CE499" i="17" s="1"/>
  <c r="CG499" i="17"/>
  <c r="Y454" i="17"/>
  <c r="CP449" i="17"/>
  <c r="BA410" i="17"/>
  <c r="BB410" i="17"/>
  <c r="DS388" i="17"/>
  <c r="DL388" i="17"/>
  <c r="Z385" i="17"/>
  <c r="T529" i="17"/>
  <c r="CD522" i="17"/>
  <c r="CG522" i="17"/>
  <c r="CO505" i="17"/>
  <c r="CP505" i="17" s="1"/>
  <c r="CQ505" i="17"/>
  <c r="O442" i="17"/>
  <c r="R433" i="17"/>
  <c r="Y433" i="17" s="1"/>
  <c r="AT421" i="17"/>
  <c r="DS421" i="17" s="1"/>
  <c r="Y411" i="17"/>
  <c r="Z411" i="17"/>
  <c r="DR404" i="17"/>
  <c r="R404" i="17"/>
  <c r="Y404" i="17" s="1"/>
  <c r="BA402" i="17"/>
  <c r="BB402" i="17"/>
  <c r="CD382" i="17"/>
  <c r="CG382" i="17"/>
  <c r="Y350" i="17"/>
  <c r="Z350" i="17"/>
  <c r="Z346" i="17"/>
  <c r="Y346" i="17"/>
  <c r="Z316" i="17"/>
  <c r="DS225" i="17"/>
  <c r="DL225" i="17"/>
  <c r="CG225" i="17"/>
  <c r="DR223" i="17"/>
  <c r="R223" i="17"/>
  <c r="Y223" i="17" s="1"/>
  <c r="DR538" i="17"/>
  <c r="DR536" i="17"/>
  <c r="R536" i="17"/>
  <c r="Y536" i="17" s="1"/>
  <c r="R514" i="17"/>
  <c r="Y514" i="17" s="1"/>
  <c r="Z512" i="17"/>
  <c r="CG459" i="17"/>
  <c r="CQ458" i="17"/>
  <c r="Z441" i="17"/>
  <c r="CP436" i="17"/>
  <c r="BA431" i="17"/>
  <c r="BB431" i="17"/>
  <c r="CG423" i="17"/>
  <c r="DL406" i="17"/>
  <c r="BA404" i="17"/>
  <c r="BB404" i="17"/>
  <c r="Z282" i="17"/>
  <c r="CO112" i="17"/>
  <c r="CP112" i="17" s="1"/>
  <c r="CQ112" i="17"/>
  <c r="BA538" i="17"/>
  <c r="BB538" i="17"/>
  <c r="CE528" i="17"/>
  <c r="CF528" i="17"/>
  <c r="DR527" i="17"/>
  <c r="DR506" i="17"/>
  <c r="CG503" i="17"/>
  <c r="CQ502" i="17"/>
  <c r="CO498" i="17"/>
  <c r="CP498" i="17" s="1"/>
  <c r="CQ498" i="17"/>
  <c r="R497" i="17"/>
  <c r="Y497" i="17" s="1"/>
  <c r="BV484" i="17"/>
  <c r="CG484" i="17" s="1"/>
  <c r="DR477" i="17"/>
  <c r="CQ475" i="17"/>
  <c r="Z470" i="17"/>
  <c r="CG467" i="17"/>
  <c r="AT456" i="17"/>
  <c r="DL456" i="17" s="1"/>
  <c r="CG452" i="17"/>
  <c r="CQ451" i="17"/>
  <c r="R447" i="17"/>
  <c r="Y447" i="17" s="1"/>
  <c r="CQ437" i="17"/>
  <c r="DS425" i="17"/>
  <c r="DL414" i="17"/>
  <c r="DS406" i="17"/>
  <c r="BB396" i="17"/>
  <c r="BA396" i="17"/>
  <c r="BV375" i="17"/>
  <c r="DL375" i="17" s="1"/>
  <c r="Y364" i="17"/>
  <c r="Z364" i="17"/>
  <c r="Z339" i="17"/>
  <c r="DR331" i="17"/>
  <c r="R331" i="17"/>
  <c r="Y331" i="17" s="1"/>
  <c r="CE283" i="17"/>
  <c r="CF283" i="17"/>
  <c r="CD248" i="17"/>
  <c r="CG248" i="17"/>
  <c r="DO539" i="17"/>
  <c r="DP539" i="17"/>
  <c r="DL534" i="17"/>
  <c r="CP531" i="17"/>
  <c r="R527" i="17"/>
  <c r="Y527" i="17" s="1"/>
  <c r="BA521" i="17"/>
  <c r="BB521" i="17"/>
  <c r="R521" i="17"/>
  <c r="Y521" i="17" s="1"/>
  <c r="Y515" i="17"/>
  <c r="Y513" i="17"/>
  <c r="CP512" i="17"/>
  <c r="DR512" i="17"/>
  <c r="CE509" i="17"/>
  <c r="R506" i="17"/>
  <c r="DR498" i="17"/>
  <c r="BA497" i="17"/>
  <c r="BB497" i="17"/>
  <c r="DR496" i="17"/>
  <c r="R496" i="17"/>
  <c r="Y496" i="17" s="1"/>
  <c r="DS493" i="17"/>
  <c r="DR492" i="17"/>
  <c r="CP491" i="17"/>
  <c r="DS485" i="17"/>
  <c r="CP483" i="17"/>
  <c r="Z481" i="17"/>
  <c r="CO474" i="17"/>
  <c r="CP474" i="17" s="1"/>
  <c r="CQ474" i="17"/>
  <c r="BA474" i="17"/>
  <c r="BB474" i="17"/>
  <c r="R474" i="17"/>
  <c r="Y474" i="17" s="1"/>
  <c r="BA473" i="17"/>
  <c r="BB473" i="17"/>
  <c r="AT472" i="17"/>
  <c r="W472" i="17"/>
  <c r="X472" i="17" s="1"/>
  <c r="CE469" i="17"/>
  <c r="CE468" i="17"/>
  <c r="CP466" i="17"/>
  <c r="Z461" i="17"/>
  <c r="CE459" i="17"/>
  <c r="CE458" i="17"/>
  <c r="CP456" i="17"/>
  <c r="DS449" i="17"/>
  <c r="CP441" i="17"/>
  <c r="DR441" i="17"/>
  <c r="CE440" i="17"/>
  <c r="CF440" i="17"/>
  <c r="Z438" i="17"/>
  <c r="CE437" i="17"/>
  <c r="BB434" i="17"/>
  <c r="CO432" i="17"/>
  <c r="CP432" i="17" s="1"/>
  <c r="CQ432" i="17"/>
  <c r="BA432" i="17"/>
  <c r="BB432" i="17"/>
  <c r="CG429" i="17"/>
  <c r="CQ428" i="17"/>
  <c r="BA424" i="17"/>
  <c r="BB424" i="17"/>
  <c r="DS424" i="17"/>
  <c r="DL424" i="17"/>
  <c r="CE423" i="17"/>
  <c r="DR422" i="17"/>
  <c r="CP415" i="17"/>
  <c r="AT415" i="17"/>
  <c r="DS415" i="17" s="1"/>
  <c r="DR415" i="17"/>
  <c r="DS414" i="17"/>
  <c r="BB409" i="17"/>
  <c r="BA409" i="17"/>
  <c r="DR406" i="17"/>
  <c r="CP399" i="17"/>
  <c r="AT399" i="17"/>
  <c r="DS399" i="17" s="1"/>
  <c r="DR399" i="17"/>
  <c r="BW398" i="17"/>
  <c r="AY398" i="17"/>
  <c r="AZ398" i="17" s="1"/>
  <c r="DM396" i="17"/>
  <c r="DN396" i="17" s="1"/>
  <c r="DL384" i="17"/>
  <c r="DS384" i="17"/>
  <c r="BA377" i="17"/>
  <c r="DS376" i="17"/>
  <c r="BA373" i="17"/>
  <c r="BB373" i="17"/>
  <c r="DR373" i="17"/>
  <c r="R373" i="17"/>
  <c r="Y373" i="17" s="1"/>
  <c r="CO365" i="17"/>
  <c r="CP365" i="17" s="1"/>
  <c r="CQ365" i="17"/>
  <c r="BA365" i="17"/>
  <c r="BB365" i="17"/>
  <c r="DS356" i="17"/>
  <c r="DL356" i="17"/>
  <c r="Y352" i="17"/>
  <c r="Z352" i="17"/>
  <c r="Z348" i="17"/>
  <c r="BA338" i="17"/>
  <c r="BB338" i="17"/>
  <c r="BA335" i="17"/>
  <c r="BB335" i="17"/>
  <c r="BB331" i="17"/>
  <c r="BA331" i="17"/>
  <c r="CE329" i="17"/>
  <c r="CF329" i="17"/>
  <c r="BA317" i="17"/>
  <c r="BB317" i="17"/>
  <c r="CD311" i="17"/>
  <c r="CG311" i="17"/>
  <c r="DR301" i="17"/>
  <c r="R301" i="17"/>
  <c r="Y301" i="17" s="1"/>
  <c r="CQ285" i="17"/>
  <c r="CO285" i="17"/>
  <c r="CP285" i="17" s="1"/>
  <c r="DS285" i="17"/>
  <c r="DL285" i="17"/>
  <c r="BB276" i="17"/>
  <c r="CG249" i="17"/>
  <c r="CQ229" i="17"/>
  <c r="CO229" i="17"/>
  <c r="CP229" i="17" s="1"/>
  <c r="BV226" i="17"/>
  <c r="CG226" i="17" s="1"/>
  <c r="DR226" i="17"/>
  <c r="DS513" i="17"/>
  <c r="DR511" i="17"/>
  <c r="R511" i="17"/>
  <c r="Y511" i="17" s="1"/>
  <c r="Z497" i="17"/>
  <c r="BA483" i="17"/>
  <c r="CE477" i="17"/>
  <c r="CQ455" i="17"/>
  <c r="Z445" i="17"/>
  <c r="CO440" i="17"/>
  <c r="CP440" i="17" s="1"/>
  <c r="CQ440" i="17"/>
  <c r="DM393" i="17"/>
  <c r="DN393" i="17" s="1"/>
  <c r="CQ328" i="17"/>
  <c r="CP328" i="17"/>
  <c r="CP281" i="17"/>
  <c r="CQ281" i="17"/>
  <c r="BA268" i="17"/>
  <c r="BB268" i="17"/>
  <c r="Z204" i="17"/>
  <c r="CE539" i="17"/>
  <c r="DR530" i="17"/>
  <c r="BV524" i="17"/>
  <c r="CE524" i="17" s="1"/>
  <c r="BV523" i="17"/>
  <c r="CE523" i="17" s="1"/>
  <c r="BA514" i="17"/>
  <c r="BV508" i="17"/>
  <c r="CE508" i="17" s="1"/>
  <c r="CP484" i="17"/>
  <c r="DR480" i="17"/>
  <c r="R480" i="17"/>
  <c r="CO464" i="17"/>
  <c r="CP464" i="17" s="1"/>
  <c r="CQ464" i="17"/>
  <c r="DM392" i="17"/>
  <c r="DN392" i="17" s="1"/>
  <c r="CO341" i="17"/>
  <c r="CP341" i="17" s="1"/>
  <c r="CQ341" i="17"/>
  <c r="AT539" i="17"/>
  <c r="DS539" i="17" s="1"/>
  <c r="AV529" i="17"/>
  <c r="AT529" i="17" s="1"/>
  <c r="BA529" i="17" s="1"/>
  <c r="Z526" i="17"/>
  <c r="AT515" i="17"/>
  <c r="DL515" i="17" s="1"/>
  <c r="CE493" i="17"/>
  <c r="CE485" i="17"/>
  <c r="DR476" i="17"/>
  <c r="DR446" i="17"/>
  <c r="R446" i="17"/>
  <c r="Y446" i="17" s="1"/>
  <c r="DR420" i="17"/>
  <c r="R420" i="17"/>
  <c r="Y420" i="17" s="1"/>
  <c r="Y419" i="17"/>
  <c r="Z419" i="17"/>
  <c r="Y403" i="17"/>
  <c r="Z403" i="17"/>
  <c r="BV392" i="17"/>
  <c r="CE392" i="17" s="1"/>
  <c r="DS383" i="17"/>
  <c r="CE345" i="17"/>
  <c r="CG345" i="17"/>
  <c r="DS328" i="17"/>
  <c r="CQ309" i="17"/>
  <c r="CO309" i="17"/>
  <c r="CP309" i="17" s="1"/>
  <c r="DR293" i="17"/>
  <c r="R293" i="17"/>
  <c r="Y293" i="17" s="1"/>
  <c r="BA225" i="17"/>
  <c r="BB225" i="17"/>
  <c r="CG502" i="17"/>
  <c r="CE500" i="17"/>
  <c r="R473" i="17"/>
  <c r="Y473" i="17" s="1"/>
  <c r="DR471" i="17"/>
  <c r="CP468" i="17"/>
  <c r="AT466" i="17"/>
  <c r="DL466" i="17" s="1"/>
  <c r="R465" i="17"/>
  <c r="CG460" i="17"/>
  <c r="CG457" i="17"/>
  <c r="DL450" i="17"/>
  <c r="BA449" i="17"/>
  <c r="BB449" i="17"/>
  <c r="CO447" i="17"/>
  <c r="CP447" i="17" s="1"/>
  <c r="CQ447" i="17"/>
  <c r="Z439" i="17"/>
  <c r="BA380" i="17"/>
  <c r="M23" i="18" s="1"/>
  <c r="BB380" i="17"/>
  <c r="Z370" i="17"/>
  <c r="Y370" i="17"/>
  <c r="DS365" i="17"/>
  <c r="DL365" i="17"/>
  <c r="CG301" i="17"/>
  <c r="CD301" i="17"/>
  <c r="Y539" i="17"/>
  <c r="DO538" i="17"/>
  <c r="O106" i="25" s="1"/>
  <c r="P106" i="25" s="1"/>
  <c r="DP538" i="17"/>
  <c r="CE534" i="17"/>
  <c r="DS533" i="17"/>
  <c r="CG532" i="17"/>
  <c r="DR541" i="17"/>
  <c r="R541" i="17"/>
  <c r="Y541" i="17" s="1"/>
  <c r="CO536" i="17"/>
  <c r="CP536" i="17" s="1"/>
  <c r="CD536" i="17"/>
  <c r="Y533" i="17"/>
  <c r="BX529" i="17"/>
  <c r="BV529" i="17" s="1"/>
  <c r="CG529" i="17" s="1"/>
  <c r="BA526" i="17"/>
  <c r="DR526" i="17"/>
  <c r="R526" i="17"/>
  <c r="BA522" i="17"/>
  <c r="DR522" i="17"/>
  <c r="CE520" i="17"/>
  <c r="CO519" i="17"/>
  <c r="CP519" i="17" s="1"/>
  <c r="CD519" i="17"/>
  <c r="CD514" i="17"/>
  <c r="CG514" i="17"/>
  <c r="DL513" i="17"/>
  <c r="CQ512" i="17"/>
  <c r="R512" i="17"/>
  <c r="DS510" i="17"/>
  <c r="DL510" i="17"/>
  <c r="Y505" i="17"/>
  <c r="CP500" i="17"/>
  <c r="BA499" i="17"/>
  <c r="DR499" i="17"/>
  <c r="BA498" i="17"/>
  <c r="R498" i="17"/>
  <c r="Y498" i="17" s="1"/>
  <c r="Y495" i="17"/>
  <c r="DR493" i="17"/>
  <c r="BA492" i="17"/>
  <c r="CO490" i="17"/>
  <c r="CP490" i="17" s="1"/>
  <c r="CQ490" i="17"/>
  <c r="BA490" i="17"/>
  <c r="BB490" i="17"/>
  <c r="DR490" i="17"/>
  <c r="DR485" i="17"/>
  <c r="BA484" i="17"/>
  <c r="CQ483" i="17"/>
  <c r="CG479" i="17"/>
  <c r="CQ478" i="17"/>
  <c r="CE476" i="17"/>
  <c r="BA475" i="17"/>
  <c r="DR475" i="17"/>
  <c r="AY472" i="17"/>
  <c r="AZ472" i="17" s="1"/>
  <c r="CC472" i="17"/>
  <c r="BA470" i="17"/>
  <c r="CE467" i="17"/>
  <c r="CD465" i="17"/>
  <c r="CG465" i="17"/>
  <c r="CO463" i="17"/>
  <c r="CP463" i="17" s="1"/>
  <c r="R462" i="17"/>
  <c r="Y462" i="17" s="1"/>
  <c r="CE457" i="17"/>
  <c r="CD455" i="17"/>
  <c r="CG455" i="17"/>
  <c r="BA453" i="17"/>
  <c r="CE450" i="17"/>
  <c r="CF450" i="17"/>
  <c r="DM449" i="17"/>
  <c r="DN449" i="17" s="1"/>
  <c r="DR449" i="17"/>
  <c r="CD448" i="17"/>
  <c r="CE448" i="17" s="1"/>
  <c r="CG448" i="17"/>
  <c r="Y448" i="17"/>
  <c r="Z448" i="17"/>
  <c r="CD446" i="17"/>
  <c r="CO445" i="17"/>
  <c r="CP445" i="17" s="1"/>
  <c r="CQ443" i="17"/>
  <c r="CQ441" i="17"/>
  <c r="BA441" i="17"/>
  <c r="R441" i="17"/>
  <c r="Y441" i="17" s="1"/>
  <c r="CG440" i="17"/>
  <c r="DR439" i="17"/>
  <c r="R439" i="17"/>
  <c r="DS437" i="17"/>
  <c r="DR435" i="17"/>
  <c r="CD433" i="17"/>
  <c r="CG433" i="17"/>
  <c r="CD431" i="17"/>
  <c r="DS426" i="17"/>
  <c r="DL426" i="17"/>
  <c r="CD425" i="17"/>
  <c r="CP423" i="17"/>
  <c r="Z423" i="17"/>
  <c r="BB417" i="17"/>
  <c r="BA417" i="17"/>
  <c r="DR414" i="17"/>
  <c r="CP408" i="17"/>
  <c r="BB401" i="17"/>
  <c r="BA401" i="17"/>
  <c r="Z387" i="17"/>
  <c r="DR376" i="17"/>
  <c r="Y376" i="17"/>
  <c r="CO373" i="17"/>
  <c r="CP373" i="17" s="1"/>
  <c r="CQ373" i="17"/>
  <c r="BA363" i="17"/>
  <c r="DR363" i="17"/>
  <c r="R363" i="17"/>
  <c r="Y363" i="17" s="1"/>
  <c r="BA326" i="17"/>
  <c r="BB291" i="17"/>
  <c r="DR289" i="17"/>
  <c r="BA285" i="17"/>
  <c r="BB285" i="17"/>
  <c r="DS448" i="17"/>
  <c r="AV442" i="17"/>
  <c r="AT442" i="17" s="1"/>
  <c r="BA442" i="17" s="1"/>
  <c r="T442" i="17"/>
  <c r="BA440" i="17"/>
  <c r="BB440" i="17"/>
  <c r="BA433" i="17"/>
  <c r="Z420" i="17"/>
  <c r="CQ340" i="17"/>
  <c r="CO340" i="17"/>
  <c r="CP340" i="17" s="1"/>
  <c r="CG339" i="17"/>
  <c r="CD339" i="17"/>
  <c r="CQ324" i="17"/>
  <c r="CO324" i="17"/>
  <c r="CP324" i="17" s="1"/>
  <c r="Z269" i="17"/>
  <c r="DS268" i="17"/>
  <c r="DL268" i="17"/>
  <c r="DR257" i="17"/>
  <c r="BV257" i="17"/>
  <c r="CE76" i="17"/>
  <c r="Z527" i="17"/>
  <c r="CE515" i="17"/>
  <c r="CH507" i="17"/>
  <c r="CQ507" i="17" s="1"/>
  <c r="BV501" i="17"/>
  <c r="CE501" i="17" s="1"/>
  <c r="BA500" i="17"/>
  <c r="Z496" i="17"/>
  <c r="CE490" i="17"/>
  <c r="CF490" i="17"/>
  <c r="BA464" i="17"/>
  <c r="BB464" i="17"/>
  <c r="BA418" i="17"/>
  <c r="BB418" i="17"/>
  <c r="DR355" i="17"/>
  <c r="R355" i="17"/>
  <c r="Y355" i="17" s="1"/>
  <c r="R340" i="17"/>
  <c r="Y340" i="17" s="1"/>
  <c r="DR333" i="17"/>
  <c r="R333" i="17"/>
  <c r="Y333" i="17" s="1"/>
  <c r="CQ241" i="17"/>
  <c r="DS241" i="17"/>
  <c r="DL241" i="17"/>
  <c r="DM217" i="17"/>
  <c r="DN217" i="17" s="1"/>
  <c r="Y197" i="17"/>
  <c r="Z197" i="17"/>
  <c r="Z541" i="17"/>
  <c r="DR488" i="17"/>
  <c r="R488" i="17"/>
  <c r="CP475" i="17"/>
  <c r="R463" i="17"/>
  <c r="Y463" i="17" s="1"/>
  <c r="DM421" i="17"/>
  <c r="DN421" i="17" s="1"/>
  <c r="BA344" i="17"/>
  <c r="BB344" i="17"/>
  <c r="CO294" i="17"/>
  <c r="CP294" i="17" s="1"/>
  <c r="CQ294" i="17"/>
  <c r="DL281" i="17"/>
  <c r="CG263" i="17"/>
  <c r="CD263" i="17"/>
  <c r="R538" i="17"/>
  <c r="Y538" i="17" s="1"/>
  <c r="CG531" i="17"/>
  <c r="CP515" i="17"/>
  <c r="DR454" i="17"/>
  <c r="CG451" i="17"/>
  <c r="R432" i="17"/>
  <c r="Y432" i="17" s="1"/>
  <c r="DL422" i="17"/>
  <c r="BA420" i="17"/>
  <c r="BB420" i="17"/>
  <c r="CP407" i="17"/>
  <c r="DM394" i="17"/>
  <c r="DN394" i="17" s="1"/>
  <c r="DO394" i="17" s="1"/>
  <c r="DP394" i="17" s="1"/>
  <c r="CG372" i="17"/>
  <c r="CD372" i="17"/>
  <c r="CQ368" i="17"/>
  <c r="CP368" i="17"/>
  <c r="Z363" i="17"/>
  <c r="Y360" i="17"/>
  <c r="CE337" i="17"/>
  <c r="CG337" i="17"/>
  <c r="CG328" i="17"/>
  <c r="DL328" i="17"/>
  <c r="DS317" i="17"/>
  <c r="DL317" i="17"/>
  <c r="CQ276" i="17"/>
  <c r="CO276" i="17"/>
  <c r="CP276" i="17" s="1"/>
  <c r="CG265" i="17"/>
  <c r="DS265" i="17"/>
  <c r="CE227" i="17"/>
  <c r="CG227" i="17"/>
  <c r="DP540" i="17"/>
  <c r="CD538" i="17"/>
  <c r="CG538" i="17"/>
  <c r="CG537" i="17"/>
  <c r="DL531" i="17"/>
  <c r="CE530" i="17"/>
  <c r="DR528" i="17"/>
  <c r="CF526" i="17"/>
  <c r="CP523" i="17"/>
  <c r="Z520" i="17"/>
  <c r="BB517" i="17"/>
  <c r="BA512" i="17"/>
  <c r="BB512" i="17"/>
  <c r="DM506" i="17"/>
  <c r="DN506" i="17" s="1"/>
  <c r="CG505" i="17"/>
  <c r="DL502" i="17"/>
  <c r="Y500" i="17"/>
  <c r="DM499" i="17"/>
  <c r="DN499" i="17" s="1"/>
  <c r="BB495" i="17"/>
  <c r="BB494" i="17"/>
  <c r="DL492" i="17"/>
  <c r="BA491" i="17"/>
  <c r="DR491" i="17"/>
  <c r="DS490" i="17"/>
  <c r="DR489" i="17"/>
  <c r="CG487" i="17"/>
  <c r="BB485" i="17"/>
  <c r="Y483" i="17"/>
  <c r="DR482" i="17"/>
  <c r="DR481" i="17"/>
  <c r="Z480" i="17"/>
  <c r="CF479" i="17"/>
  <c r="CF478" i="17"/>
  <c r="DR470" i="17"/>
  <c r="R470" i="17"/>
  <c r="Y470" i="17" s="1"/>
  <c r="CG464" i="17"/>
  <c r="CE454" i="17"/>
  <c r="DS452" i="17"/>
  <c r="CE449" i="17"/>
  <c r="CG444" i="17"/>
  <c r="DR440" i="17"/>
  <c r="DR434" i="17"/>
  <c r="Z431" i="17"/>
  <c r="CE429" i="17"/>
  <c r="CE428" i="17"/>
  <c r="DR427" i="17"/>
  <c r="CF424" i="17"/>
  <c r="BA419" i="17"/>
  <c r="CP416" i="17"/>
  <c r="CP410" i="17"/>
  <c r="BV408" i="17"/>
  <c r="CE408" i="17" s="1"/>
  <c r="DR408" i="17"/>
  <c r="CG407" i="17"/>
  <c r="CE407" i="17"/>
  <c r="CD406" i="17"/>
  <c r="CE406" i="17" s="1"/>
  <c r="CG406" i="17"/>
  <c r="Y405" i="17"/>
  <c r="BA403" i="17"/>
  <c r="CP400" i="17"/>
  <c r="Y383" i="17"/>
  <c r="BB379" i="17"/>
  <c r="BA379" i="17"/>
  <c r="DR368" i="17"/>
  <c r="CG368" i="17"/>
  <c r="DL368" i="17"/>
  <c r="CG352" i="17"/>
  <c r="DS352" i="17"/>
  <c r="DL344" i="17"/>
  <c r="AT322" i="17"/>
  <c r="DL322" i="17" s="1"/>
  <c r="DR322" i="17"/>
  <c r="DL319" i="17"/>
  <c r="DS319" i="17"/>
  <c r="DR318" i="17"/>
  <c r="R318" i="17"/>
  <c r="Y318" i="17" s="1"/>
  <c r="CP313" i="17"/>
  <c r="CQ313" i="17"/>
  <c r="CG312" i="17"/>
  <c r="DS312" i="17"/>
  <c r="BA286" i="17"/>
  <c r="BB286" i="17"/>
  <c r="CD256" i="17"/>
  <c r="CG256" i="17"/>
  <c r="CG255" i="17"/>
  <c r="CD255" i="17"/>
  <c r="DS254" i="17"/>
  <c r="DL254" i="17"/>
  <c r="BB235" i="17"/>
  <c r="BA235" i="17"/>
  <c r="Z519" i="17"/>
  <c r="DR505" i="17"/>
  <c r="DR500" i="17"/>
  <c r="DR483" i="17"/>
  <c r="CD475" i="17"/>
  <c r="CG475" i="17"/>
  <c r="CE474" i="17"/>
  <c r="CF474" i="17"/>
  <c r="Z473" i="17"/>
  <c r="CQ465" i="17"/>
  <c r="BA448" i="17"/>
  <c r="R431" i="17"/>
  <c r="DR431" i="17"/>
  <c r="DS418" i="17"/>
  <c r="DL418" i="17"/>
  <c r="CE405" i="17"/>
  <c r="CF405" i="17"/>
  <c r="DS402" i="17"/>
  <c r="DL402" i="17"/>
  <c r="AT397" i="17"/>
  <c r="BA397" i="17" s="1"/>
  <c r="DR397" i="17"/>
  <c r="BV367" i="17"/>
  <c r="CG367" i="17" s="1"/>
  <c r="DR367" i="17"/>
  <c r="Y332" i="17"/>
  <c r="Z332" i="17"/>
  <c r="Z330" i="17"/>
  <c r="Y330" i="17"/>
  <c r="CG296" i="17"/>
  <c r="AT288" i="17"/>
  <c r="DL288" i="17" s="1"/>
  <c r="DR288" i="17"/>
  <c r="R537" i="17"/>
  <c r="Y537" i="17" s="1"/>
  <c r="R520" i="17"/>
  <c r="Y520" i="17" s="1"/>
  <c r="BA505" i="17"/>
  <c r="BB505" i="17"/>
  <c r="CP492" i="17"/>
  <c r="Y471" i="17"/>
  <c r="Z471" i="17"/>
  <c r="R464" i="17"/>
  <c r="Y464" i="17" s="1"/>
  <c r="CO454" i="17"/>
  <c r="CP454" i="17" s="1"/>
  <c r="CQ454" i="17"/>
  <c r="CP435" i="17"/>
  <c r="CE421" i="17"/>
  <c r="CF421" i="17"/>
  <c r="CE419" i="17"/>
  <c r="CF419" i="17"/>
  <c r="Y413" i="17"/>
  <c r="DM405" i="17"/>
  <c r="DN405" i="17" s="1"/>
  <c r="Y367" i="17"/>
  <c r="O529" i="17"/>
  <c r="BA520" i="17"/>
  <c r="BB520" i="17"/>
  <c r="CD491" i="17"/>
  <c r="CG491" i="17"/>
  <c r="CG469" i="17"/>
  <c r="DM442" i="17"/>
  <c r="DN442" i="17" s="1"/>
  <c r="CD441" i="17"/>
  <c r="CE441" i="17" s="1"/>
  <c r="CG441" i="17"/>
  <c r="CG437" i="17"/>
  <c r="DM413" i="17"/>
  <c r="DN413" i="17" s="1"/>
  <c r="DR389" i="17"/>
  <c r="R389" i="17"/>
  <c r="Y389" i="17" s="1"/>
  <c r="CQ270" i="17"/>
  <c r="CO270" i="17"/>
  <c r="CP270" i="17" s="1"/>
  <c r="CO108" i="17"/>
  <c r="CP108" i="17" s="1"/>
  <c r="CQ108" i="17"/>
  <c r="BA21" i="17"/>
  <c r="BB21" i="17"/>
  <c r="CP522" i="17"/>
  <c r="CO521" i="17"/>
  <c r="CP521" i="17" s="1"/>
  <c r="CQ521" i="17"/>
  <c r="DR519" i="17"/>
  <c r="R519" i="17"/>
  <c r="CE513" i="17"/>
  <c r="CF513" i="17"/>
  <c r="BA506" i="17"/>
  <c r="CD483" i="17"/>
  <c r="CE483" i="17" s="1"/>
  <c r="CG483" i="17"/>
  <c r="R455" i="17"/>
  <c r="Y455" i="17" s="1"/>
  <c r="DL436" i="17"/>
  <c r="AT413" i="17"/>
  <c r="DL413" i="17" s="1"/>
  <c r="AT407" i="17"/>
  <c r="DS407" i="17" s="1"/>
  <c r="DR407" i="17"/>
  <c r="CG364" i="17"/>
  <c r="CD364" i="17"/>
  <c r="DR328" i="17"/>
  <c r="DM281" i="17"/>
  <c r="DN281" i="17" s="1"/>
  <c r="BV274" i="17"/>
  <c r="CG274" i="17" s="1"/>
  <c r="DR274" i="17"/>
  <c r="DL250" i="17"/>
  <c r="DS250" i="17"/>
  <c r="Z537" i="17"/>
  <c r="CF535" i="17"/>
  <c r="CO541" i="17"/>
  <c r="CP541" i="17" s="1"/>
  <c r="DS540" i="17"/>
  <c r="DL540" i="17"/>
  <c r="CO537" i="17"/>
  <c r="CP537" i="17" s="1"/>
  <c r="DS535" i="17"/>
  <c r="DL535" i="17"/>
  <c r="DS534" i="17"/>
  <c r="CJ529" i="17"/>
  <c r="CH529" i="17" s="1"/>
  <c r="CQ529" i="17" s="1"/>
  <c r="BB529" i="17"/>
  <c r="CO528" i="17"/>
  <c r="CP528" i="17" s="1"/>
  <c r="CQ528" i="17"/>
  <c r="BA528" i="17"/>
  <c r="BB528" i="17"/>
  <c r="R528" i="17"/>
  <c r="Y528" i="17" s="1"/>
  <c r="CG520" i="17"/>
  <c r="CP514" i="17"/>
  <c r="CO513" i="17"/>
  <c r="CP513" i="17" s="1"/>
  <c r="CQ513" i="17"/>
  <c r="BA513" i="17"/>
  <c r="BB513" i="17"/>
  <c r="DR513" i="17"/>
  <c r="CD506" i="17"/>
  <c r="CG506" i="17"/>
  <c r="CO496" i="17"/>
  <c r="CP496" i="17" s="1"/>
  <c r="CD496" i="17"/>
  <c r="CE496" i="17" s="1"/>
  <c r="CE492" i="17"/>
  <c r="R491" i="17"/>
  <c r="Y491" i="17" s="1"/>
  <c r="R489" i="17"/>
  <c r="Y489" i="17" s="1"/>
  <c r="CO482" i="17"/>
  <c r="CP482" i="17" s="1"/>
  <c r="CQ482" i="17"/>
  <c r="BA482" i="17"/>
  <c r="BB482" i="17"/>
  <c r="R482" i="17"/>
  <c r="Y482" i="17" s="1"/>
  <c r="R481" i="17"/>
  <c r="Y481" i="17" s="1"/>
  <c r="CF477" i="17"/>
  <c r="CP476" i="17"/>
  <c r="DM475" i="17"/>
  <c r="DN475" i="17" s="1"/>
  <c r="CD473" i="17"/>
  <c r="CE471" i="17"/>
  <c r="BB466" i="17"/>
  <c r="CP465" i="17"/>
  <c r="DR461" i="17"/>
  <c r="R461" i="17"/>
  <c r="Y461" i="17" s="1"/>
  <c r="CP455" i="17"/>
  <c r="CG454" i="17"/>
  <c r="CD453" i="17"/>
  <c r="DR453" i="17"/>
  <c r="R453" i="17"/>
  <c r="Z449" i="17"/>
  <c r="CP448" i="17"/>
  <c r="DR448" i="17"/>
  <c r="CD447" i="17"/>
  <c r="CE443" i="17"/>
  <c r="CJ442" i="17"/>
  <c r="CH442" i="17" s="1"/>
  <c r="CQ442" i="17" s="1"/>
  <c r="R440" i="17"/>
  <c r="CF435" i="17"/>
  <c r="CE435" i="17"/>
  <c r="DM434" i="17"/>
  <c r="DN434" i="17" s="1"/>
  <c r="DO434" i="17" s="1"/>
  <c r="DP434" i="17" s="1"/>
  <c r="CE434" i="17"/>
  <c r="AT434" i="17"/>
  <c r="DL434" i="17" s="1"/>
  <c r="BB427" i="17"/>
  <c r="BA427" i="17"/>
  <c r="DL427" i="17"/>
  <c r="DR426" i="17"/>
  <c r="BA426" i="17"/>
  <c r="CO425" i="17"/>
  <c r="CP425" i="17" s="1"/>
  <c r="Y425" i="17"/>
  <c r="CD422" i="17"/>
  <c r="CG422" i="17"/>
  <c r="Y421" i="17"/>
  <c r="CP418" i="17"/>
  <c r="BV416" i="17"/>
  <c r="CE416" i="17" s="1"/>
  <c r="DR416" i="17"/>
  <c r="Y416" i="17"/>
  <c r="CE415" i="17"/>
  <c r="CG415" i="17"/>
  <c r="CD414" i="17"/>
  <c r="CG414" i="17"/>
  <c r="DS410" i="17"/>
  <c r="DL410" i="17"/>
  <c r="CE409" i="17"/>
  <c r="Z409" i="17"/>
  <c r="Y406" i="17"/>
  <c r="Z404" i="17"/>
  <c r="CP402" i="17"/>
  <c r="BV400" i="17"/>
  <c r="DS400" i="17" s="1"/>
  <c r="DR400" i="17"/>
  <c r="Y400" i="17"/>
  <c r="CE399" i="17"/>
  <c r="CG399" i="17"/>
  <c r="DM390" i="17"/>
  <c r="DN390" i="17" s="1"/>
  <c r="DR387" i="17"/>
  <c r="R387" i="17"/>
  <c r="CP384" i="17"/>
  <c r="CQ384" i="17"/>
  <c r="DR371" i="17"/>
  <c r="R371" i="17"/>
  <c r="CE369" i="17"/>
  <c r="CF369" i="17"/>
  <c r="CH359" i="17"/>
  <c r="CP359" i="17" s="1"/>
  <c r="DR359" i="17"/>
  <c r="CG357" i="17"/>
  <c r="CD357" i="17"/>
  <c r="BA347" i="17"/>
  <c r="DS345" i="17"/>
  <c r="BA315" i="17"/>
  <c r="BB315" i="17"/>
  <c r="CF314" i="17"/>
  <c r="CG308" i="17"/>
  <c r="CD308" i="17"/>
  <c r="Z277" i="17"/>
  <c r="CO239" i="17"/>
  <c r="CP239" i="17" s="1"/>
  <c r="CQ239" i="17"/>
  <c r="BB236" i="17"/>
  <c r="BA236" i="17"/>
  <c r="Z213" i="17"/>
  <c r="Y213" i="17"/>
  <c r="CG203" i="17"/>
  <c r="CD203" i="17"/>
  <c r="DR412" i="17"/>
  <c r="DR390" i="17"/>
  <c r="R390" i="17"/>
  <c r="Y390" i="17" s="1"/>
  <c r="CO378" i="17"/>
  <c r="CP378" i="17" s="1"/>
  <c r="CQ378" i="17"/>
  <c r="CD374" i="17"/>
  <c r="CG374" i="17"/>
  <c r="DS350" i="17"/>
  <c r="DS344" i="17"/>
  <c r="DS326" i="17"/>
  <c r="CO318" i="17"/>
  <c r="CP318" i="17" s="1"/>
  <c r="CQ318" i="17"/>
  <c r="DM313" i="17"/>
  <c r="DN313" i="17" s="1"/>
  <c r="DR203" i="17"/>
  <c r="R203" i="17"/>
  <c r="Y203" i="17" s="1"/>
  <c r="Z538" i="17"/>
  <c r="DM536" i="17"/>
  <c r="DN536" i="17" s="1"/>
  <c r="CF529" i="17"/>
  <c r="Z528" i="17"/>
  <c r="DM526" i="17"/>
  <c r="DN526" i="17" s="1"/>
  <c r="T525" i="17"/>
  <c r="BB522" i="17"/>
  <c r="Z521" i="17"/>
  <c r="DM519" i="17"/>
  <c r="DN519" i="17" s="1"/>
  <c r="CF515" i="17"/>
  <c r="BB514" i="17"/>
  <c r="DM511" i="17"/>
  <c r="DN511" i="17" s="1"/>
  <c r="CF507" i="17"/>
  <c r="BB506" i="17"/>
  <c r="Z505" i="17"/>
  <c r="CF500" i="17"/>
  <c r="Z498" i="17"/>
  <c r="DM496" i="17"/>
  <c r="DN496" i="17" s="1"/>
  <c r="CF492" i="17"/>
  <c r="BB491" i="17"/>
  <c r="DM488" i="17"/>
  <c r="DN488" i="17" s="1"/>
  <c r="CF484" i="17"/>
  <c r="Z482" i="17"/>
  <c r="DM480" i="17"/>
  <c r="DN480" i="17" s="1"/>
  <c r="CF476" i="17"/>
  <c r="Z474" i="17"/>
  <c r="DM472" i="17"/>
  <c r="DN472" i="17" s="1"/>
  <c r="DM470" i="17"/>
  <c r="DN470" i="17" s="1"/>
  <c r="Z464" i="17"/>
  <c r="DM462" i="17"/>
  <c r="DN462" i="17" s="1"/>
  <c r="DM461" i="17"/>
  <c r="DN461" i="17" s="1"/>
  <c r="CF456" i="17"/>
  <c r="BB448" i="17"/>
  <c r="Z447" i="17"/>
  <c r="DM445" i="17"/>
  <c r="DN445" i="17" s="1"/>
  <c r="R445" i="17"/>
  <c r="BB441" i="17"/>
  <c r="Z440" i="17"/>
  <c r="DM438" i="17"/>
  <c r="DN438" i="17" s="1"/>
  <c r="R438" i="17"/>
  <c r="Y438" i="17" s="1"/>
  <c r="CF434" i="17"/>
  <c r="BB433" i="17"/>
  <c r="Z432" i="17"/>
  <c r="DM430" i="17"/>
  <c r="DN430" i="17" s="1"/>
  <c r="R430" i="17"/>
  <c r="Y430" i="17" s="1"/>
  <c r="Y426" i="17"/>
  <c r="DR423" i="17"/>
  <c r="Z422" i="17"/>
  <c r="DM420" i="17"/>
  <c r="DN420" i="17" s="1"/>
  <c r="Y418" i="17"/>
  <c r="DM417" i="17"/>
  <c r="DN417" i="17" s="1"/>
  <c r="CF417" i="17"/>
  <c r="DR417" i="17"/>
  <c r="R417" i="17"/>
  <c r="Y417" i="17" s="1"/>
  <c r="Z414" i="17"/>
  <c r="R412" i="17"/>
  <c r="CO411" i="17"/>
  <c r="CP411" i="17" s="1"/>
  <c r="CQ411" i="17"/>
  <c r="Y410" i="17"/>
  <c r="DM409" i="17"/>
  <c r="DN409" i="17" s="1"/>
  <c r="CF409" i="17"/>
  <c r="DR409" i="17"/>
  <c r="R409" i="17"/>
  <c r="Z406" i="17"/>
  <c r="DM404" i="17"/>
  <c r="DN404" i="17" s="1"/>
  <c r="Y402" i="17"/>
  <c r="DM401" i="17"/>
  <c r="DN401" i="17" s="1"/>
  <c r="CF401" i="17"/>
  <c r="DR401" i="17"/>
  <c r="R401" i="17"/>
  <c r="Y401" i="17" s="1"/>
  <c r="CO395" i="17"/>
  <c r="CP395" i="17" s="1"/>
  <c r="Y393" i="17"/>
  <c r="BA392" i="17"/>
  <c r="BV391" i="17"/>
  <c r="CG391" i="17" s="1"/>
  <c r="DM385" i="17"/>
  <c r="DN385" i="17" s="1"/>
  <c r="BA385" i="17"/>
  <c r="CF384" i="17"/>
  <c r="CP383" i="17"/>
  <c r="CD380" i="17"/>
  <c r="Z379" i="17"/>
  <c r="Z376" i="17"/>
  <c r="BA375" i="17"/>
  <c r="CD371" i="17"/>
  <c r="CE368" i="17"/>
  <c r="CF368" i="17"/>
  <c r="CP366" i="17"/>
  <c r="Y365" i="17"/>
  <c r="DM359" i="17"/>
  <c r="DN359" i="17" s="1"/>
  <c r="Z359" i="17"/>
  <c r="CO356" i="17"/>
  <c r="CP356" i="17" s="1"/>
  <c r="CD356" i="17"/>
  <c r="CE356" i="17" s="1"/>
  <c r="CO354" i="17"/>
  <c r="CP354" i="17" s="1"/>
  <c r="CQ354" i="17"/>
  <c r="CP353" i="17"/>
  <c r="Z353" i="17"/>
  <c r="BV351" i="17"/>
  <c r="CG351" i="17" s="1"/>
  <c r="CD347" i="17"/>
  <c r="CQ346" i="17"/>
  <c r="AT343" i="17"/>
  <c r="DL343" i="17" s="1"/>
  <c r="CG341" i="17"/>
  <c r="CD341" i="17"/>
  <c r="CQ339" i="17"/>
  <c r="CO339" i="17"/>
  <c r="CP339" i="17" s="1"/>
  <c r="BA336" i="17"/>
  <c r="DR335" i="17"/>
  <c r="DS332" i="17"/>
  <c r="DL332" i="17"/>
  <c r="CE328" i="17"/>
  <c r="CF328" i="17"/>
  <c r="R327" i="17"/>
  <c r="Y327" i="17" s="1"/>
  <c r="DR312" i="17"/>
  <c r="CE306" i="17"/>
  <c r="CF306" i="17"/>
  <c r="DL299" i="17"/>
  <c r="CE299" i="17"/>
  <c r="CG299" i="17"/>
  <c r="CD295" i="17"/>
  <c r="CG295" i="17"/>
  <c r="Y291" i="17"/>
  <c r="DL289" i="17"/>
  <c r="Z278" i="17"/>
  <c r="CD272" i="17"/>
  <c r="CG272" i="17"/>
  <c r="CO260" i="17"/>
  <c r="CP260" i="17" s="1"/>
  <c r="CQ260" i="17"/>
  <c r="CE260" i="17"/>
  <c r="CG260" i="17"/>
  <c r="CP234" i="17"/>
  <c r="CQ234" i="17"/>
  <c r="DR221" i="17"/>
  <c r="AT221" i="17"/>
  <c r="DS221" i="17" s="1"/>
  <c r="CG205" i="17"/>
  <c r="DM196" i="17"/>
  <c r="DN196" i="17" s="1"/>
  <c r="Y167" i="17"/>
  <c r="Z167" i="17"/>
  <c r="CO419" i="17"/>
  <c r="CP419" i="17" s="1"/>
  <c r="CQ419" i="17"/>
  <c r="BA412" i="17"/>
  <c r="BB412" i="17"/>
  <c r="CO403" i="17"/>
  <c r="CP403" i="17" s="1"/>
  <c r="CQ403" i="17"/>
  <c r="BA390" i="17"/>
  <c r="CE305" i="17"/>
  <c r="CF305" i="17"/>
  <c r="BA203" i="17"/>
  <c r="BB203" i="17"/>
  <c r="AV525" i="17"/>
  <c r="AT525" i="17" s="1"/>
  <c r="BA525" i="17" s="1"/>
  <c r="Y427" i="17"/>
  <c r="DM425" i="17"/>
  <c r="DN425" i="17" s="1"/>
  <c r="DR419" i="17"/>
  <c r="DR418" i="17"/>
  <c r="BA411" i="17"/>
  <c r="DR411" i="17"/>
  <c r="DR410" i="17"/>
  <c r="DR403" i="17"/>
  <c r="DR402" i="17"/>
  <c r="Z396" i="17"/>
  <c r="CD389" i="17"/>
  <c r="CE389" i="17" s="1"/>
  <c r="CO386" i="17"/>
  <c r="CP386" i="17" s="1"/>
  <c r="Y384" i="17"/>
  <c r="Z384" i="17"/>
  <c r="BA382" i="17"/>
  <c r="DR382" i="17"/>
  <c r="R382" i="17"/>
  <c r="DM374" i="17"/>
  <c r="DN374" i="17" s="1"/>
  <c r="DO374" i="17" s="1"/>
  <c r="DP374" i="17" s="1"/>
  <c r="CG373" i="17"/>
  <c r="CD373" i="17"/>
  <c r="CO371" i="17"/>
  <c r="CP371" i="17" s="1"/>
  <c r="CP370" i="17"/>
  <c r="CQ366" i="17"/>
  <c r="DR366" i="17"/>
  <c r="R366" i="17"/>
  <c r="CE365" i="17"/>
  <c r="CF365" i="17"/>
  <c r="DS364" i="17"/>
  <c r="DL364" i="17"/>
  <c r="CG363" i="17"/>
  <c r="CD363" i="17"/>
  <c r="CO362" i="17"/>
  <c r="CP362" i="17" s="1"/>
  <c r="Z362" i="17"/>
  <c r="Y362" i="17"/>
  <c r="CQ360" i="17"/>
  <c r="Y356" i="17"/>
  <c r="Z356" i="17"/>
  <c r="Z355" i="17"/>
  <c r="DL354" i="17"/>
  <c r="CG354" i="17"/>
  <c r="CD350" i="17"/>
  <c r="CG350" i="17"/>
  <c r="CD349" i="17"/>
  <c r="CO347" i="17"/>
  <c r="CP347" i="17" s="1"/>
  <c r="CP346" i="17"/>
  <c r="CQ342" i="17"/>
  <c r="DR342" i="17"/>
  <c r="DR341" i="17"/>
  <c r="DL335" i="17"/>
  <c r="DS335" i="17"/>
  <c r="CE333" i="17"/>
  <c r="CF333" i="17"/>
  <c r="CO331" i="17"/>
  <c r="CP331" i="17" s="1"/>
  <c r="CD331" i="17"/>
  <c r="CP330" i="17"/>
  <c r="DS330" i="17"/>
  <c r="CD327" i="17"/>
  <c r="DL326" i="17"/>
  <c r="CE326" i="17"/>
  <c r="Y323" i="17"/>
  <c r="CO315" i="17"/>
  <c r="CP315" i="17" s="1"/>
  <c r="CF309" i="17"/>
  <c r="CE309" i="17"/>
  <c r="DR308" i="17"/>
  <c r="R308" i="17"/>
  <c r="Y308" i="17" s="1"/>
  <c r="CE307" i="17"/>
  <c r="CF307" i="17"/>
  <c r="DM303" i="17"/>
  <c r="DN303" i="17" s="1"/>
  <c r="DL302" i="17"/>
  <c r="CO299" i="17"/>
  <c r="CP299" i="17" s="1"/>
  <c r="CQ299" i="17"/>
  <c r="DL295" i="17"/>
  <c r="DL287" i="17"/>
  <c r="DS287" i="17"/>
  <c r="BA283" i="17"/>
  <c r="DS281" i="17"/>
  <c r="CD278" i="17"/>
  <c r="CG277" i="17"/>
  <c r="CD277" i="17"/>
  <c r="CE277" i="17" s="1"/>
  <c r="DR245" i="17"/>
  <c r="R245" i="17"/>
  <c r="Z222" i="17"/>
  <c r="CG189" i="17"/>
  <c r="DS189" i="17"/>
  <c r="CG378" i="17"/>
  <c r="BA353" i="17"/>
  <c r="DL352" i="17"/>
  <c r="Y342" i="17"/>
  <c r="Z342" i="17"/>
  <c r="BB321" i="17"/>
  <c r="BA321" i="17"/>
  <c r="BA230" i="17"/>
  <c r="BB230" i="17"/>
  <c r="BB229" i="17"/>
  <c r="BA229" i="17"/>
  <c r="CE228" i="17"/>
  <c r="CG228" i="17"/>
  <c r="CO178" i="17"/>
  <c r="CP178" i="17" s="1"/>
  <c r="CQ178" i="17"/>
  <c r="Z169" i="17"/>
  <c r="Y169" i="17"/>
  <c r="DL423" i="17"/>
  <c r="CD420" i="17"/>
  <c r="CG420" i="17"/>
  <c r="DS419" i="17"/>
  <c r="DS411" i="17"/>
  <c r="CD404" i="17"/>
  <c r="CG404" i="17"/>
  <c r="DS403" i="17"/>
  <c r="BB397" i="17"/>
  <c r="Y394" i="17"/>
  <c r="Z394" i="17"/>
  <c r="BA391" i="17"/>
  <c r="CP376" i="17"/>
  <c r="CP374" i="17"/>
  <c r="BA372" i="17"/>
  <c r="BA366" i="17"/>
  <c r="BA364" i="17"/>
  <c r="BB364" i="17"/>
  <c r="BA358" i="17"/>
  <c r="DR358" i="17"/>
  <c r="R358" i="17"/>
  <c r="Y358" i="17" s="1"/>
  <c r="BA351" i="17"/>
  <c r="DL350" i="17"/>
  <c r="BA348" i="17"/>
  <c r="DL346" i="17"/>
  <c r="Y343" i="17"/>
  <c r="BA342" i="17"/>
  <c r="DL342" i="17"/>
  <c r="DS341" i="17"/>
  <c r="DL341" i="17"/>
  <c r="DM336" i="17"/>
  <c r="DN336" i="17" s="1"/>
  <c r="DS336" i="17"/>
  <c r="CE335" i="17"/>
  <c r="CD334" i="17"/>
  <c r="CG334" i="17"/>
  <c r="BA332" i="17"/>
  <c r="BB332" i="17"/>
  <c r="DL330" i="17"/>
  <c r="CG324" i="17"/>
  <c r="CD324" i="17"/>
  <c r="BV323" i="17"/>
  <c r="CG323" i="17" s="1"/>
  <c r="DR323" i="17"/>
  <c r="BA305" i="17"/>
  <c r="CE302" i="17"/>
  <c r="CF302" i="17"/>
  <c r="CG292" i="17"/>
  <c r="CD292" i="17"/>
  <c r="CG286" i="17"/>
  <c r="CD286" i="17"/>
  <c r="Z284" i="17"/>
  <c r="BB281" i="17"/>
  <c r="BA281" i="17"/>
  <c r="CD280" i="17"/>
  <c r="CG280" i="17"/>
  <c r="CG279" i="17"/>
  <c r="CD279" i="17"/>
  <c r="DR278" i="17"/>
  <c r="R278" i="17"/>
  <c r="Y278" i="17" s="1"/>
  <c r="CG270" i="17"/>
  <c r="CD270" i="17"/>
  <c r="CQ269" i="17"/>
  <c r="CO269" i="17"/>
  <c r="CP269" i="17" s="1"/>
  <c r="Y250" i="17"/>
  <c r="CQ245" i="17"/>
  <c r="CO245" i="17"/>
  <c r="CP245" i="17" s="1"/>
  <c r="CF229" i="17"/>
  <c r="CE229" i="17"/>
  <c r="Y224" i="17"/>
  <c r="Z224" i="17"/>
  <c r="CG223" i="17"/>
  <c r="CD223" i="17"/>
  <c r="CQ210" i="17"/>
  <c r="CO210" i="17"/>
  <c r="CP210" i="17" s="1"/>
  <c r="Z208" i="17"/>
  <c r="Y208" i="17"/>
  <c r="CH205" i="17"/>
  <c r="CQ205" i="17" s="1"/>
  <c r="DR205" i="17"/>
  <c r="CD175" i="17"/>
  <c r="CG175" i="17"/>
  <c r="Z175" i="17"/>
  <c r="Y175" i="17"/>
  <c r="CP174" i="17"/>
  <c r="CQ174" i="17"/>
  <c r="CQ427" i="17"/>
  <c r="DR381" i="17"/>
  <c r="R381" i="17"/>
  <c r="Y381" i="17" s="1"/>
  <c r="CD358" i="17"/>
  <c r="CG358" i="17"/>
  <c r="CP344" i="17"/>
  <c r="DM342" i="17"/>
  <c r="DN342" i="17" s="1"/>
  <c r="BA340" i="17"/>
  <c r="BB340" i="17"/>
  <c r="Z283" i="17"/>
  <c r="Y283" i="17"/>
  <c r="CG247" i="17"/>
  <c r="CD247" i="17"/>
  <c r="BB237" i="17"/>
  <c r="BA237" i="17"/>
  <c r="CO228" i="17"/>
  <c r="CP228" i="17" s="1"/>
  <c r="CQ228" i="17"/>
  <c r="DR425" i="17"/>
  <c r="CP420" i="17"/>
  <c r="CQ417" i="17"/>
  <c r="CG417" i="17"/>
  <c r="CD412" i="17"/>
  <c r="CG412" i="17"/>
  <c r="CQ409" i="17"/>
  <c r="CG409" i="17"/>
  <c r="CP404" i="17"/>
  <c r="CQ401" i="17"/>
  <c r="CG401" i="17"/>
  <c r="DR396" i="17"/>
  <c r="R396" i="17"/>
  <c r="Y396" i="17" s="1"/>
  <c r="BA393" i="17"/>
  <c r="DL393" i="17"/>
  <c r="DS393" i="17"/>
  <c r="CF392" i="17"/>
  <c r="CD390" i="17"/>
  <c r="CE390" i="17" s="1"/>
  <c r="CG390" i="17"/>
  <c r="DR380" i="17"/>
  <c r="R380" i="17"/>
  <c r="Y380" i="17" s="1"/>
  <c r="DR379" i="17"/>
  <c r="R379" i="17"/>
  <c r="Y379" i="17" s="1"/>
  <c r="CE378" i="17"/>
  <c r="CP375" i="17"/>
  <c r="CQ374" i="17"/>
  <c r="Z371" i="17"/>
  <c r="DR365" i="17"/>
  <c r="CQ363" i="17"/>
  <c r="CO363" i="17"/>
  <c r="CP363" i="17" s="1"/>
  <c r="BV360" i="17"/>
  <c r="CE360" i="17" s="1"/>
  <c r="DR360" i="17"/>
  <c r="DM350" i="17"/>
  <c r="DN350" i="17" s="1"/>
  <c r="DR344" i="17"/>
  <c r="BA341" i="17"/>
  <c r="BB341" i="17"/>
  <c r="CG340" i="17"/>
  <c r="CD340" i="17"/>
  <c r="CE340" i="17" s="1"/>
  <c r="Z340" i="17"/>
  <c r="Z331" i="17"/>
  <c r="Y326" i="17"/>
  <c r="CD321" i="17"/>
  <c r="CG321" i="17"/>
  <c r="CG300" i="17"/>
  <c r="CD300" i="17"/>
  <c r="Z292" i="17"/>
  <c r="CE282" i="17"/>
  <c r="CF282" i="17"/>
  <c r="R270" i="17"/>
  <c r="Y270" i="17" s="1"/>
  <c r="BB269" i="17"/>
  <c r="BA269" i="17"/>
  <c r="CQ261" i="17"/>
  <c r="CO261" i="17"/>
  <c r="CP261" i="17" s="1"/>
  <c r="BB245" i="17"/>
  <c r="BA245" i="17"/>
  <c r="DR222" i="17"/>
  <c r="R222" i="17"/>
  <c r="CP382" i="17"/>
  <c r="BA374" i="17"/>
  <c r="DR374" i="17"/>
  <c r="DR372" i="17"/>
  <c r="CP358" i="17"/>
  <c r="DR357" i="17"/>
  <c r="DR349" i="17"/>
  <c r="DR348" i="17"/>
  <c r="Z347" i="17"/>
  <c r="CP343" i="17"/>
  <c r="DR339" i="17"/>
  <c r="R339" i="17"/>
  <c r="DS338" i="17"/>
  <c r="CG333" i="17"/>
  <c r="BA323" i="17"/>
  <c r="CE320" i="17"/>
  <c r="CF320" i="17"/>
  <c r="BA314" i="17"/>
  <c r="BB314" i="17"/>
  <c r="CG307" i="17"/>
  <c r="BA301" i="17"/>
  <c r="BB301" i="17"/>
  <c r="DR300" i="17"/>
  <c r="R300" i="17"/>
  <c r="DM295" i="17"/>
  <c r="DN295" i="17" s="1"/>
  <c r="CG294" i="17"/>
  <c r="CD294" i="17"/>
  <c r="BA293" i="17"/>
  <c r="Z275" i="17"/>
  <c r="DR261" i="17"/>
  <c r="R261" i="17"/>
  <c r="Y261" i="17" s="1"/>
  <c r="CE243" i="17"/>
  <c r="CG243" i="17"/>
  <c r="Y241" i="17"/>
  <c r="Z241" i="17"/>
  <c r="DM234" i="17"/>
  <c r="DN234" i="17" s="1"/>
  <c r="DL232" i="17"/>
  <c r="BV214" i="17"/>
  <c r="CG214" i="17" s="1"/>
  <c r="DR214" i="17"/>
  <c r="DR213" i="17"/>
  <c r="BV213" i="17"/>
  <c r="DL213" i="17" s="1"/>
  <c r="DM204" i="17"/>
  <c r="DN204" i="17" s="1"/>
  <c r="CE201" i="17"/>
  <c r="CF201" i="17"/>
  <c r="DL197" i="17"/>
  <c r="CG197" i="17"/>
  <c r="DS197" i="17"/>
  <c r="DM184" i="17"/>
  <c r="DN184" i="17" s="1"/>
  <c r="AY179" i="17"/>
  <c r="AZ179" i="17" s="1"/>
  <c r="W179" i="17"/>
  <c r="X179" i="17" s="1"/>
  <c r="Z179" i="17" s="1"/>
  <c r="CF177" i="17"/>
  <c r="CE177" i="17"/>
  <c r="DL154" i="17"/>
  <c r="DS154" i="17"/>
  <c r="CQ150" i="17"/>
  <c r="CO150" i="17"/>
  <c r="CP150" i="17" s="1"/>
  <c r="Y64" i="17"/>
  <c r="Z64" i="17"/>
  <c r="BA62" i="17"/>
  <c r="BB62" i="17"/>
  <c r="DM21" i="17"/>
  <c r="DN21" i="17" s="1"/>
  <c r="CQ396" i="17"/>
  <c r="DR393" i="17"/>
  <c r="CO389" i="17"/>
  <c r="CP389" i="17" s="1"/>
  <c r="CQ389" i="17"/>
  <c r="Y388" i="17"/>
  <c r="Z388" i="17"/>
  <c r="DR384" i="17"/>
  <c r="BA383" i="17"/>
  <c r="CQ382" i="17"/>
  <c r="CO381" i="17"/>
  <c r="CP381" i="17" s="1"/>
  <c r="CQ381" i="17"/>
  <c r="R374" i="17"/>
  <c r="R372" i="17"/>
  <c r="Y372" i="17" s="1"/>
  <c r="CP367" i="17"/>
  <c r="DM366" i="17"/>
  <c r="DN366" i="17" s="1"/>
  <c r="BA359" i="17"/>
  <c r="CQ358" i="17"/>
  <c r="CO357" i="17"/>
  <c r="CP357" i="17" s="1"/>
  <c r="CQ357" i="17"/>
  <c r="BA357" i="17"/>
  <c r="BB357" i="17"/>
  <c r="R357" i="17"/>
  <c r="DR356" i="17"/>
  <c r="BA350" i="17"/>
  <c r="DR350" i="17"/>
  <c r="CO349" i="17"/>
  <c r="CP349" i="17" s="1"/>
  <c r="CQ349" i="17"/>
  <c r="BA349" i="17"/>
  <c r="BB349" i="17"/>
  <c r="R349" i="17"/>
  <c r="R348" i="17"/>
  <c r="Y348" i="17" s="1"/>
  <c r="DL345" i="17"/>
  <c r="CE344" i="17"/>
  <c r="CD342" i="17"/>
  <c r="CG342" i="17"/>
  <c r="Y341" i="17"/>
  <c r="DL338" i="17"/>
  <c r="Y334" i="17"/>
  <c r="DR332" i="17"/>
  <c r="CP326" i="17"/>
  <c r="R321" i="17"/>
  <c r="DR321" i="17"/>
  <c r="DM320" i="17"/>
  <c r="DN320" i="17" s="1"/>
  <c r="DO320" i="17" s="1"/>
  <c r="DP320" i="17" s="1"/>
  <c r="AT320" i="17"/>
  <c r="DS320" i="17" s="1"/>
  <c r="DR316" i="17"/>
  <c r="R316" i="17"/>
  <c r="Y316" i="17" s="1"/>
  <c r="DM311" i="17"/>
  <c r="DN311" i="17" s="1"/>
  <c r="CP295" i="17"/>
  <c r="CP289" i="17"/>
  <c r="Y288" i="17"/>
  <c r="R286" i="17"/>
  <c r="Y286" i="17" s="1"/>
  <c r="DM272" i="17"/>
  <c r="DN272" i="17" s="1"/>
  <c r="BA270" i="17"/>
  <c r="BB270" i="17"/>
  <c r="DM256" i="17"/>
  <c r="DN256" i="17" s="1"/>
  <c r="DO256" i="17" s="1"/>
  <c r="DP256" i="17" s="1"/>
  <c r="Z253" i="17"/>
  <c r="BA251" i="17"/>
  <c r="BB251" i="17"/>
  <c r="DL251" i="17"/>
  <c r="BA246" i="17"/>
  <c r="CO244" i="17"/>
  <c r="CP244" i="17" s="1"/>
  <c r="CQ244" i="17"/>
  <c r="DS242" i="17"/>
  <c r="BA215" i="17"/>
  <c r="DR204" i="17"/>
  <c r="R204" i="17"/>
  <c r="CG202" i="17"/>
  <c r="CD202" i="17"/>
  <c r="Z202" i="17"/>
  <c r="CE188" i="17"/>
  <c r="CG188" i="17"/>
  <c r="R155" i="17"/>
  <c r="DR155" i="17"/>
  <c r="CP391" i="17"/>
  <c r="BA389" i="17"/>
  <c r="DR388" i="17"/>
  <c r="CE383" i="17"/>
  <c r="CE376" i="17"/>
  <c r="CD366" i="17"/>
  <c r="CE366" i="17" s="1"/>
  <c r="CG366" i="17"/>
  <c r="CG365" i="17"/>
  <c r="CE359" i="17"/>
  <c r="CE352" i="17"/>
  <c r="DR347" i="17"/>
  <c r="R347" i="17"/>
  <c r="Y347" i="17" s="1"/>
  <c r="DS346" i="17"/>
  <c r="CP342" i="17"/>
  <c r="BA334" i="17"/>
  <c r="DR334" i="17"/>
  <c r="CO333" i="17"/>
  <c r="CP333" i="17" s="1"/>
  <c r="CQ333" i="17"/>
  <c r="BA333" i="17"/>
  <c r="BB333" i="17"/>
  <c r="CF323" i="17"/>
  <c r="BB322" i="17"/>
  <c r="DM321" i="17"/>
  <c r="DN321" i="17" s="1"/>
  <c r="DO321" i="17" s="1"/>
  <c r="DP321" i="17" s="1"/>
  <c r="Y320" i="17"/>
  <c r="CQ319" i="17"/>
  <c r="DR319" i="17"/>
  <c r="CE318" i="17"/>
  <c r="CF318" i="17"/>
  <c r="BA313" i="17"/>
  <c r="BB313" i="17"/>
  <c r="DL313" i="17"/>
  <c r="DS313" i="17"/>
  <c r="DL312" i="17"/>
  <c r="DL310" i="17"/>
  <c r="Y309" i="17"/>
  <c r="Z309" i="17"/>
  <c r="BA306" i="17"/>
  <c r="CD303" i="17"/>
  <c r="CG303" i="17"/>
  <c r="Z301" i="17"/>
  <c r="CE298" i="17"/>
  <c r="CF298" i="17"/>
  <c r="CF297" i="17"/>
  <c r="DR294" i="17"/>
  <c r="R294" i="17"/>
  <c r="Y294" i="17" s="1"/>
  <c r="CG293" i="17"/>
  <c r="CD293" i="17"/>
  <c r="Z293" i="17"/>
  <c r="CP291" i="17"/>
  <c r="CO286" i="17"/>
  <c r="CP286" i="17" s="1"/>
  <c r="CQ286" i="17"/>
  <c r="DR253" i="17"/>
  <c r="R253" i="17"/>
  <c r="Y253" i="17" s="1"/>
  <c r="CG245" i="17"/>
  <c r="CD245" i="17"/>
  <c r="Z245" i="17"/>
  <c r="CQ238" i="17"/>
  <c r="CO238" i="17"/>
  <c r="CP238" i="17" s="1"/>
  <c r="DM233" i="17"/>
  <c r="DN233" i="17" s="1"/>
  <c r="DO233" i="17" s="1"/>
  <c r="DP233" i="17" s="1"/>
  <c r="Z229" i="17"/>
  <c r="DM224" i="17"/>
  <c r="DN224" i="17" s="1"/>
  <c r="CG222" i="17"/>
  <c r="CD222" i="17"/>
  <c r="R191" i="17"/>
  <c r="Y191" i="17" s="1"/>
  <c r="DR191" i="17"/>
  <c r="BA177" i="17"/>
  <c r="BB177" i="17"/>
  <c r="CF391" i="17"/>
  <c r="Z389" i="17"/>
  <c r="DM387" i="17"/>
  <c r="DN387" i="17" s="1"/>
  <c r="CF383" i="17"/>
  <c r="BB382" i="17"/>
  <c r="DM379" i="17"/>
  <c r="DN379" i="17" s="1"/>
  <c r="BB374" i="17"/>
  <c r="DM371" i="17"/>
  <c r="DN371" i="17" s="1"/>
  <c r="CF367" i="17"/>
  <c r="BB366" i="17"/>
  <c r="Z365" i="17"/>
  <c r="DM363" i="17"/>
  <c r="DN363" i="17" s="1"/>
  <c r="BB358" i="17"/>
  <c r="Z357" i="17"/>
  <c r="DM355" i="17"/>
  <c r="DN355" i="17" s="1"/>
  <c r="Z349" i="17"/>
  <c r="DM347" i="17"/>
  <c r="DN347" i="17" s="1"/>
  <c r="DO347" i="17" s="1"/>
  <c r="DP347" i="17" s="1"/>
  <c r="CF343" i="17"/>
  <c r="Z341" i="17"/>
  <c r="DM339" i="17"/>
  <c r="DN339" i="17" s="1"/>
  <c r="CF335" i="17"/>
  <c r="BB334" i="17"/>
  <c r="Z333" i="17"/>
  <c r="DM331" i="17"/>
  <c r="DN331" i="17" s="1"/>
  <c r="DO331" i="17" s="1"/>
  <c r="DP331" i="17" s="1"/>
  <c r="DR326" i="17"/>
  <c r="CF326" i="17"/>
  <c r="Z322" i="17"/>
  <c r="DM319" i="17"/>
  <c r="DN319" i="17" s="1"/>
  <c r="DO319" i="17" s="1"/>
  <c r="DP319" i="17" s="1"/>
  <c r="Z314" i="17"/>
  <c r="CP311" i="17"/>
  <c r="DR309" i="17"/>
  <c r="BB307" i="17"/>
  <c r="BB305" i="17"/>
  <c r="CQ303" i="17"/>
  <c r="DR302" i="17"/>
  <c r="BB297" i="17"/>
  <c r="BA295" i="17"/>
  <c r="DR295" i="17"/>
  <c r="BA294" i="17"/>
  <c r="CQ291" i="17"/>
  <c r="CF290" i="17"/>
  <c r="BA287" i="17"/>
  <c r="DR287" i="17"/>
  <c r="DR284" i="17"/>
  <c r="R284" i="17"/>
  <c r="Y284" i="17" s="1"/>
  <c r="CO278" i="17"/>
  <c r="CP278" i="17" s="1"/>
  <c r="CQ277" i="17"/>
  <c r="CO277" i="17"/>
  <c r="CP277" i="17" s="1"/>
  <c r="DR273" i="17"/>
  <c r="Y266" i="17"/>
  <c r="CD264" i="17"/>
  <c r="CG264" i="17"/>
  <c r="CD262" i="17"/>
  <c r="CE262" i="17" s="1"/>
  <c r="CE258" i="17"/>
  <c r="DL258" i="17"/>
  <c r="CP256" i="17"/>
  <c r="CD254" i="17"/>
  <c r="BA250" i="17"/>
  <c r="BB250" i="17"/>
  <c r="DL247" i="17"/>
  <c r="CO246" i="17"/>
  <c r="CP246" i="17" s="1"/>
  <c r="Y246" i="17"/>
  <c r="Z246" i="17"/>
  <c r="BA242" i="17"/>
  <c r="DM240" i="17"/>
  <c r="DN240" i="17" s="1"/>
  <c r="DO240" i="17" s="1"/>
  <c r="CG239" i="17"/>
  <c r="CD239" i="17"/>
  <c r="BA238" i="17"/>
  <c r="BB238" i="17"/>
  <c r="CO223" i="17"/>
  <c r="CP223" i="17" s="1"/>
  <c r="CQ223" i="17"/>
  <c r="CO222" i="17"/>
  <c r="CP222" i="17" s="1"/>
  <c r="DR219" i="17"/>
  <c r="BA216" i="17"/>
  <c r="BA210" i="17"/>
  <c r="BB210" i="17"/>
  <c r="BB193" i="17"/>
  <c r="BA193" i="17"/>
  <c r="BA180" i="17"/>
  <c r="CF163" i="17"/>
  <c r="Z145" i="17"/>
  <c r="DR144" i="17"/>
  <c r="R144" i="17"/>
  <c r="Z122" i="17"/>
  <c r="Y122" i="17"/>
  <c r="DM327" i="17"/>
  <c r="DN327" i="17" s="1"/>
  <c r="DM324" i="17"/>
  <c r="DN324" i="17" s="1"/>
  <c r="CD319" i="17"/>
  <c r="CG319" i="17"/>
  <c r="CG318" i="17"/>
  <c r="CD317" i="17"/>
  <c r="CO316" i="17"/>
  <c r="CP316" i="17" s="1"/>
  <c r="CD316" i="17"/>
  <c r="DR313" i="17"/>
  <c r="BA312" i="17"/>
  <c r="CQ311" i="17"/>
  <c r="DR310" i="17"/>
  <c r="DS309" i="17"/>
  <c r="DL309" i="17"/>
  <c r="CO302" i="17"/>
  <c r="CP302" i="17" s="1"/>
  <c r="CQ302" i="17"/>
  <c r="BA302" i="17"/>
  <c r="BB302" i="17"/>
  <c r="DS302" i="17"/>
  <c r="CE296" i="17"/>
  <c r="CP288" i="17"/>
  <c r="DM287" i="17"/>
  <c r="DN287" i="17" s="1"/>
  <c r="BA278" i="17"/>
  <c r="BB278" i="17"/>
  <c r="BV266" i="17"/>
  <c r="CE266" i="17" s="1"/>
  <c r="DR266" i="17"/>
  <c r="Z249" i="17"/>
  <c r="DL242" i="17"/>
  <c r="Z237" i="17"/>
  <c r="DR233" i="17"/>
  <c r="DR229" i="17"/>
  <c r="R229" i="17"/>
  <c r="BA226" i="17"/>
  <c r="DS219" i="17"/>
  <c r="DL219" i="17"/>
  <c r="CF218" i="17"/>
  <c r="CE218" i="17"/>
  <c r="CP206" i="17"/>
  <c r="CQ206" i="17"/>
  <c r="DR160" i="17"/>
  <c r="R160" i="17"/>
  <c r="Y160" i="17" s="1"/>
  <c r="AT121" i="17"/>
  <c r="DS121" i="17" s="1"/>
  <c r="DR121" i="17"/>
  <c r="Y317" i="17"/>
  <c r="Z317" i="17"/>
  <c r="BA311" i="17"/>
  <c r="DR311" i="17"/>
  <c r="CO310" i="17"/>
  <c r="CP310" i="17" s="1"/>
  <c r="CQ310" i="17"/>
  <c r="BA310" i="17"/>
  <c r="BB310" i="17"/>
  <c r="DS310" i="17"/>
  <c r="BA309" i="17"/>
  <c r="BB309" i="17"/>
  <c r="CE304" i="17"/>
  <c r="BA303" i="17"/>
  <c r="DR303" i="17"/>
  <c r="CE289" i="17"/>
  <c r="CD285" i="17"/>
  <c r="CO284" i="17"/>
  <c r="CP284" i="17" s="1"/>
  <c r="CD284" i="17"/>
  <c r="DL283" i="17"/>
  <c r="DR281" i="17"/>
  <c r="BB277" i="17"/>
  <c r="BA277" i="17"/>
  <c r="CP273" i="17"/>
  <c r="Z270" i="17"/>
  <c r="CP264" i="17"/>
  <c r="Y244" i="17"/>
  <c r="DR241" i="17"/>
  <c r="DR240" i="17"/>
  <c r="R240" i="17"/>
  <c r="Y240" i="17" s="1"/>
  <c r="DL239" i="17"/>
  <c r="DR239" i="17"/>
  <c r="Z236" i="17"/>
  <c r="AT233" i="17"/>
  <c r="DL233" i="17" s="1"/>
  <c r="CD232" i="17"/>
  <c r="CG232" i="17"/>
  <c r="DL231" i="17"/>
  <c r="CO230" i="17"/>
  <c r="CP230" i="17" s="1"/>
  <c r="CD230" i="17"/>
  <c r="CE230" i="17" s="1"/>
  <c r="Y230" i="17"/>
  <c r="Z230" i="17"/>
  <c r="CD224" i="17"/>
  <c r="CG224" i="17"/>
  <c r="DS224" i="17"/>
  <c r="BA222" i="17"/>
  <c r="BB222" i="17"/>
  <c r="CF219" i="17"/>
  <c r="Z217" i="17"/>
  <c r="CO195" i="17"/>
  <c r="CP195" i="17" s="1"/>
  <c r="CQ195" i="17"/>
  <c r="CD183" i="17"/>
  <c r="CG183" i="17"/>
  <c r="DM165" i="17"/>
  <c r="DN165" i="17" s="1"/>
  <c r="CF165" i="17"/>
  <c r="CE165" i="17"/>
  <c r="CO127" i="17"/>
  <c r="CP127" i="17" s="1"/>
  <c r="CQ127" i="17"/>
  <c r="CE126" i="17"/>
  <c r="CF126" i="17"/>
  <c r="DR324" i="17"/>
  <c r="R324" i="17"/>
  <c r="CP319" i="17"/>
  <c r="Y319" i="17"/>
  <c r="CE312" i="17"/>
  <c r="R311" i="17"/>
  <c r="Y311" i="17" s="1"/>
  <c r="CP304" i="17"/>
  <c r="R303" i="17"/>
  <c r="Y303" i="17" s="1"/>
  <c r="CP296" i="17"/>
  <c r="DR292" i="17"/>
  <c r="R292" i="17"/>
  <c r="Y292" i="17" s="1"/>
  <c r="CD287" i="17"/>
  <c r="CE287" i="17" s="1"/>
  <c r="CG287" i="17"/>
  <c r="Y285" i="17"/>
  <c r="Z285" i="17"/>
  <c r="Y274" i="17"/>
  <c r="CG269" i="17"/>
  <c r="CD269" i="17"/>
  <c r="DL265" i="17"/>
  <c r="DM250" i="17"/>
  <c r="DN250" i="17" s="1"/>
  <c r="DO250" i="17" s="1"/>
  <c r="DP250" i="17" s="1"/>
  <c r="BA240" i="17"/>
  <c r="BA239" i="17"/>
  <c r="BB239" i="17"/>
  <c r="Z235" i="17"/>
  <c r="CE233" i="17"/>
  <c r="BA214" i="17"/>
  <c r="CQ209" i="17"/>
  <c r="CO209" i="17"/>
  <c r="CP209" i="17" s="1"/>
  <c r="DS207" i="17"/>
  <c r="CG207" i="17"/>
  <c r="DL206" i="17"/>
  <c r="BA202" i="17"/>
  <c r="BV198" i="17"/>
  <c r="CG198" i="17" s="1"/>
  <c r="Z191" i="17"/>
  <c r="Y187" i="17"/>
  <c r="Z187" i="17"/>
  <c r="Z163" i="17"/>
  <c r="Y163" i="17"/>
  <c r="DM161" i="17"/>
  <c r="DN161" i="17" s="1"/>
  <c r="BB319" i="17"/>
  <c r="DM316" i="17"/>
  <c r="DN316" i="17" s="1"/>
  <c r="CF312" i="17"/>
  <c r="BB311" i="17"/>
  <c r="Z310" i="17"/>
  <c r="DM308" i="17"/>
  <c r="DN308" i="17" s="1"/>
  <c r="Z302" i="17"/>
  <c r="DM300" i="17"/>
  <c r="DN300" i="17" s="1"/>
  <c r="CF296" i="17"/>
  <c r="BB295" i="17"/>
  <c r="Z294" i="17"/>
  <c r="DM292" i="17"/>
  <c r="DN292" i="17" s="1"/>
  <c r="Z286" i="17"/>
  <c r="DM284" i="17"/>
  <c r="DN284" i="17" s="1"/>
  <c r="CP280" i="17"/>
  <c r="DR277" i="17"/>
  <c r="R277" i="17"/>
  <c r="BA273" i="17"/>
  <c r="CP272" i="17"/>
  <c r="CO271" i="17"/>
  <c r="CP271" i="17" s="1"/>
  <c r="CQ271" i="17"/>
  <c r="DR269" i="17"/>
  <c r="R269" i="17"/>
  <c r="BA265" i="17"/>
  <c r="CQ264" i="17"/>
  <c r="BA257" i="17"/>
  <c r="CQ256" i="17"/>
  <c r="CO253" i="17"/>
  <c r="CP253" i="17" s="1"/>
  <c r="CD253" i="17"/>
  <c r="CE253" i="17" s="1"/>
  <c r="Z251" i="17"/>
  <c r="Z250" i="17"/>
  <c r="CP248" i="17"/>
  <c r="CE241" i="17"/>
  <c r="DR237" i="17"/>
  <c r="R237" i="17"/>
  <c r="Y237" i="17" s="1"/>
  <c r="BA224" i="17"/>
  <c r="DR224" i="17"/>
  <c r="BA223" i="17"/>
  <c r="DM212" i="17"/>
  <c r="DN212" i="17" s="1"/>
  <c r="DO212" i="17" s="1"/>
  <c r="CO203" i="17"/>
  <c r="CP203" i="17" s="1"/>
  <c r="CQ203" i="17"/>
  <c r="CQ200" i="17"/>
  <c r="BB197" i="17"/>
  <c r="CO193" i="17"/>
  <c r="CP193" i="17" s="1"/>
  <c r="Z193" i="17"/>
  <c r="DL189" i="17"/>
  <c r="CD184" i="17"/>
  <c r="CE184" i="17" s="1"/>
  <c r="CG184" i="17"/>
  <c r="CG181" i="17"/>
  <c r="CD181" i="17"/>
  <c r="DR175" i="17"/>
  <c r="DM172" i="17"/>
  <c r="DN172" i="17" s="1"/>
  <c r="DM158" i="17"/>
  <c r="DN158" i="17" s="1"/>
  <c r="DO158" i="17" s="1"/>
  <c r="DP158" i="17" s="1"/>
  <c r="CO279" i="17"/>
  <c r="CP279" i="17" s="1"/>
  <c r="CQ279" i="17"/>
  <c r="DR279" i="17"/>
  <c r="Y276" i="17"/>
  <c r="BA271" i="17"/>
  <c r="BB271" i="17"/>
  <c r="Y268" i="17"/>
  <c r="CO263" i="17"/>
  <c r="CP263" i="17" s="1"/>
  <c r="CQ263" i="17"/>
  <c r="DR263" i="17"/>
  <c r="DR262" i="17"/>
  <c r="BA256" i="17"/>
  <c r="DR256" i="17"/>
  <c r="CO255" i="17"/>
  <c r="CP255" i="17" s="1"/>
  <c r="CQ255" i="17"/>
  <c r="Y254" i="17"/>
  <c r="DR250" i="17"/>
  <c r="DR247" i="17"/>
  <c r="DR246" i="17"/>
  <c r="CE238" i="17"/>
  <c r="CP232" i="17"/>
  <c r="Y232" i="17"/>
  <c r="DR231" i="17"/>
  <c r="DR230" i="17"/>
  <c r="CE225" i="17"/>
  <c r="DL220" i="17"/>
  <c r="CO218" i="17"/>
  <c r="CP218" i="17" s="1"/>
  <c r="CP216" i="17"/>
  <c r="CD212" i="17"/>
  <c r="CG212" i="17"/>
  <c r="CD210" i="17"/>
  <c r="Z210" i="17"/>
  <c r="CD209" i="17"/>
  <c r="CO202" i="17"/>
  <c r="CP202" i="17" s="1"/>
  <c r="DR202" i="17"/>
  <c r="R202" i="17"/>
  <c r="Y202" i="17" s="1"/>
  <c r="CO201" i="17"/>
  <c r="CP201" i="17" s="1"/>
  <c r="Z201" i="17"/>
  <c r="CP199" i="17"/>
  <c r="DR196" i="17"/>
  <c r="R196" i="17"/>
  <c r="Y196" i="17" s="1"/>
  <c r="CG195" i="17"/>
  <c r="CD195" i="17"/>
  <c r="CE195" i="17" s="1"/>
  <c r="BA194" i="17"/>
  <c r="BB194" i="17"/>
  <c r="DR189" i="17"/>
  <c r="Y184" i="17"/>
  <c r="Z184" i="17"/>
  <c r="DS175" i="17"/>
  <c r="DL175" i="17"/>
  <c r="CE166" i="17"/>
  <c r="CF166" i="17"/>
  <c r="DR161" i="17"/>
  <c r="BV161" i="17"/>
  <c r="CG161" i="17" s="1"/>
  <c r="CG158" i="17"/>
  <c r="CD158" i="17"/>
  <c r="BA280" i="17"/>
  <c r="DR280" i="17"/>
  <c r="BA279" i="17"/>
  <c r="DS279" i="17"/>
  <c r="CE273" i="17"/>
  <c r="BA272" i="17"/>
  <c r="DR272" i="17"/>
  <c r="CE265" i="17"/>
  <c r="BA264" i="17"/>
  <c r="DR264" i="17"/>
  <c r="BA263" i="17"/>
  <c r="DS263" i="17"/>
  <c r="BA262" i="17"/>
  <c r="DS262" i="17"/>
  <c r="DL262" i="17"/>
  <c r="BA255" i="17"/>
  <c r="DR255" i="17"/>
  <c r="BA248" i="17"/>
  <c r="DR248" i="17"/>
  <c r="CO247" i="17"/>
  <c r="CP247" i="17" s="1"/>
  <c r="CQ247" i="17"/>
  <c r="BA247" i="17"/>
  <c r="BB247" i="17"/>
  <c r="DS247" i="17"/>
  <c r="DS246" i="17"/>
  <c r="DL246" i="17"/>
  <c r="CP241" i="17"/>
  <c r="CQ232" i="17"/>
  <c r="CO231" i="17"/>
  <c r="CP231" i="17" s="1"/>
  <c r="CQ231" i="17"/>
  <c r="BA231" i="17"/>
  <c r="BB231" i="17"/>
  <c r="DS231" i="17"/>
  <c r="DS230" i="17"/>
  <c r="DL230" i="17"/>
  <c r="CP225" i="17"/>
  <c r="CO221" i="17"/>
  <c r="CP221" i="17" s="1"/>
  <c r="CQ221" i="17"/>
  <c r="CE221" i="17"/>
  <c r="CG221" i="17"/>
  <c r="CQ216" i="17"/>
  <c r="BV216" i="17"/>
  <c r="DS216" i="17" s="1"/>
  <c r="DR216" i="17"/>
  <c r="CP208" i="17"/>
  <c r="Y205" i="17"/>
  <c r="Z205" i="17"/>
  <c r="BA196" i="17"/>
  <c r="Y190" i="17"/>
  <c r="CF185" i="17"/>
  <c r="CE185" i="17"/>
  <c r="AT185" i="17"/>
  <c r="DS185" i="17" s="1"/>
  <c r="DL182" i="17"/>
  <c r="DS182" i="17"/>
  <c r="Y182" i="17"/>
  <c r="Y174" i="17"/>
  <c r="Z174" i="17"/>
  <c r="DR140" i="17"/>
  <c r="R140" i="17"/>
  <c r="Y140" i="17" s="1"/>
  <c r="DR139" i="17"/>
  <c r="BV139" i="17"/>
  <c r="DS139" i="17" s="1"/>
  <c r="CE131" i="17"/>
  <c r="CF131" i="17"/>
  <c r="BB105" i="17"/>
  <c r="CO104" i="17"/>
  <c r="CP104" i="17" s="1"/>
  <c r="CQ104" i="17"/>
  <c r="R280" i="17"/>
  <c r="Y280" i="17" s="1"/>
  <c r="R272" i="17"/>
  <c r="Y272" i="17" s="1"/>
  <c r="R264" i="17"/>
  <c r="CP257" i="17"/>
  <c r="R255" i="17"/>
  <c r="Y255" i="17" s="1"/>
  <c r="DR254" i="17"/>
  <c r="CG252" i="17"/>
  <c r="CE249" i="17"/>
  <c r="R248" i="17"/>
  <c r="Y248" i="17" s="1"/>
  <c r="CE242" i="17"/>
  <c r="CD240" i="17"/>
  <c r="CG240" i="17"/>
  <c r="Y239" i="17"/>
  <c r="Z238" i="17"/>
  <c r="BA232" i="17"/>
  <c r="DR232" i="17"/>
  <c r="DR210" i="17"/>
  <c r="R210" i="17"/>
  <c r="CQ208" i="17"/>
  <c r="CE207" i="17"/>
  <c r="CE199" i="17"/>
  <c r="CG199" i="17"/>
  <c r="DR195" i="17"/>
  <c r="R195" i="17"/>
  <c r="CP189" i="17"/>
  <c r="CG186" i="17"/>
  <c r="DS186" i="17"/>
  <c r="BA168" i="17"/>
  <c r="DR159" i="17"/>
  <c r="AT159" i="17"/>
  <c r="DS159" i="17" s="1"/>
  <c r="BB146" i="17"/>
  <c r="DM134" i="17"/>
  <c r="DN134" i="17" s="1"/>
  <c r="BV133" i="17"/>
  <c r="DS133" i="17" s="1"/>
  <c r="DR133" i="17"/>
  <c r="CE130" i="17"/>
  <c r="CF130" i="17"/>
  <c r="DM124" i="17"/>
  <c r="DN124" i="17" s="1"/>
  <c r="BB119" i="17"/>
  <c r="BA119" i="17"/>
  <c r="Y109" i="17"/>
  <c r="Z109" i="17"/>
  <c r="BB280" i="17"/>
  <c r="Z279" i="17"/>
  <c r="DM277" i="17"/>
  <c r="DN277" i="17" s="1"/>
  <c r="CF273" i="17"/>
  <c r="BB272" i="17"/>
  <c r="DM269" i="17"/>
  <c r="DN269" i="17" s="1"/>
  <c r="CF265" i="17"/>
  <c r="Z263" i="17"/>
  <c r="DM261" i="17"/>
  <c r="DN261" i="17" s="1"/>
  <c r="BB256" i="17"/>
  <c r="DM253" i="17"/>
  <c r="DN253" i="17" s="1"/>
  <c r="CF249" i="17"/>
  <c r="BB248" i="17"/>
  <c r="Z247" i="17"/>
  <c r="DM245" i="17"/>
  <c r="DN245" i="17" s="1"/>
  <c r="DO245" i="17" s="1"/>
  <c r="CF241" i="17"/>
  <c r="BB240" i="17"/>
  <c r="Z239" i="17"/>
  <c r="DM237" i="17"/>
  <c r="DN237" i="17" s="1"/>
  <c r="DO237" i="17" s="1"/>
  <c r="CF233" i="17"/>
  <c r="BB232" i="17"/>
  <c r="Z231" i="17"/>
  <c r="DM229" i="17"/>
  <c r="DN229" i="17" s="1"/>
  <c r="DO229" i="17" s="1"/>
  <c r="DP229" i="17" s="1"/>
  <c r="BB224" i="17"/>
  <c r="Z223" i="17"/>
  <c r="DM220" i="17"/>
  <c r="DN220" i="17" s="1"/>
  <c r="BA220" i="17"/>
  <c r="DR220" i="17"/>
  <c r="CG219" i="17"/>
  <c r="DR217" i="17"/>
  <c r="R217" i="17"/>
  <c r="Y217" i="17" s="1"/>
  <c r="CF216" i="17"/>
  <c r="CP212" i="17"/>
  <c r="DR211" i="17"/>
  <c r="CF207" i="17"/>
  <c r="CE205" i="17"/>
  <c r="CE197" i="17"/>
  <c r="BA195" i="17"/>
  <c r="DR194" i="17"/>
  <c r="CF192" i="17"/>
  <c r="DM190" i="17"/>
  <c r="DN190" i="17" s="1"/>
  <c r="CD190" i="17"/>
  <c r="CG190" i="17"/>
  <c r="AT190" i="17"/>
  <c r="DS190" i="17" s="1"/>
  <c r="DR190" i="17"/>
  <c r="BB188" i="17"/>
  <c r="CQ184" i="17"/>
  <c r="CO181" i="17"/>
  <c r="CP181" i="17" s="1"/>
  <c r="DS180" i="17"/>
  <c r="DR177" i="17"/>
  <c r="R177" i="17"/>
  <c r="Y177" i="17" s="1"/>
  <c r="Y172" i="17"/>
  <c r="Z171" i="17"/>
  <c r="BA160" i="17"/>
  <c r="BB160" i="17"/>
  <c r="BB150" i="17"/>
  <c r="BA150" i="17"/>
  <c r="BB142" i="17"/>
  <c r="BA142" i="17"/>
  <c r="AT141" i="17"/>
  <c r="BA141" i="17" s="1"/>
  <c r="DR141" i="17"/>
  <c r="DR112" i="17"/>
  <c r="R112" i="17"/>
  <c r="DR95" i="17"/>
  <c r="BV95" i="17"/>
  <c r="CE95" i="17" s="1"/>
  <c r="CQ217" i="17"/>
  <c r="CG217" i="17"/>
  <c r="BA213" i="17"/>
  <c r="CQ212" i="17"/>
  <c r="CO211" i="17"/>
  <c r="CP211" i="17" s="1"/>
  <c r="CQ211" i="17"/>
  <c r="BA211" i="17"/>
  <c r="BB211" i="17"/>
  <c r="DS211" i="17"/>
  <c r="BA209" i="17"/>
  <c r="DS194" i="17"/>
  <c r="DL194" i="17"/>
  <c r="DM189" i="17"/>
  <c r="DN189" i="17" s="1"/>
  <c r="BA186" i="17"/>
  <c r="DR184" i="17"/>
  <c r="BA183" i="17"/>
  <c r="BA175" i="17"/>
  <c r="BB175" i="17"/>
  <c r="DM170" i="17"/>
  <c r="DN170" i="17" s="1"/>
  <c r="AT170" i="17"/>
  <c r="BA170" i="17" s="1"/>
  <c r="DR170" i="17"/>
  <c r="CQ164" i="17"/>
  <c r="CO164" i="17"/>
  <c r="CP164" i="17" s="1"/>
  <c r="CD162" i="17"/>
  <c r="AT149" i="17"/>
  <c r="BA149" i="17" s="1"/>
  <c r="DR149" i="17"/>
  <c r="DL148" i="17"/>
  <c r="DS148" i="17"/>
  <c r="CF141" i="17"/>
  <c r="Y134" i="17"/>
  <c r="Z134" i="17"/>
  <c r="DM128" i="17"/>
  <c r="DN128" i="17" s="1"/>
  <c r="AT92" i="17"/>
  <c r="BA92" i="17" s="1"/>
  <c r="DR92" i="17"/>
  <c r="CO219" i="17"/>
  <c r="CP219" i="17" s="1"/>
  <c r="CQ219" i="17"/>
  <c r="Y219" i="17"/>
  <c r="BA218" i="17"/>
  <c r="BA212" i="17"/>
  <c r="DR212" i="17"/>
  <c r="DL207" i="17"/>
  <c r="CE206" i="17"/>
  <c r="CP197" i="17"/>
  <c r="CP190" i="17"/>
  <c r="CP186" i="17"/>
  <c r="CQ186" i="17"/>
  <c r="DL184" i="17"/>
  <c r="BA181" i="17"/>
  <c r="BB181" i="17"/>
  <c r="CQ177" i="17"/>
  <c r="CO177" i="17"/>
  <c r="CP177" i="17" s="1"/>
  <c r="CE176" i="17"/>
  <c r="DM169" i="17"/>
  <c r="DN169" i="17" s="1"/>
  <c r="CO166" i="17"/>
  <c r="CP166" i="17" s="1"/>
  <c r="CQ166" i="17"/>
  <c r="CH163" i="17"/>
  <c r="CQ163" i="17" s="1"/>
  <c r="DR163" i="17"/>
  <c r="Z152" i="17"/>
  <c r="CF143" i="17"/>
  <c r="CE143" i="17"/>
  <c r="DM135" i="17"/>
  <c r="DN135" i="17" s="1"/>
  <c r="Z127" i="17"/>
  <c r="BB97" i="17"/>
  <c r="AT96" i="17"/>
  <c r="DL96" i="17" s="1"/>
  <c r="DR96" i="17"/>
  <c r="DM91" i="17"/>
  <c r="DN91" i="17" s="1"/>
  <c r="CP220" i="17"/>
  <c r="CD220" i="17"/>
  <c r="CE220" i="17" s="1"/>
  <c r="CG220" i="17"/>
  <c r="R212" i="17"/>
  <c r="Y212" i="17" s="1"/>
  <c r="DR209" i="17"/>
  <c r="R209" i="17"/>
  <c r="Y209" i="17" s="1"/>
  <c r="CD204" i="17"/>
  <c r="CG204" i="17"/>
  <c r="DR201" i="17"/>
  <c r="R201" i="17"/>
  <c r="Y201" i="17" s="1"/>
  <c r="CD196" i="17"/>
  <c r="CG196" i="17"/>
  <c r="DR193" i="17"/>
  <c r="R193" i="17"/>
  <c r="CQ190" i="17"/>
  <c r="CE189" i="17"/>
  <c r="DS184" i="17"/>
  <c r="CE182" i="17"/>
  <c r="CF182" i="17"/>
  <c r="DL172" i="17"/>
  <c r="DS172" i="17"/>
  <c r="CP169" i="17"/>
  <c r="DM162" i="17"/>
  <c r="DN162" i="17" s="1"/>
  <c r="BA161" i="17"/>
  <c r="DM160" i="17"/>
  <c r="DN160" i="17" s="1"/>
  <c r="DO160" i="17" s="1"/>
  <c r="DP160" i="17" s="1"/>
  <c r="DM151" i="17"/>
  <c r="DN151" i="17" s="1"/>
  <c r="BB212" i="17"/>
  <c r="Z211" i="17"/>
  <c r="DM209" i="17"/>
  <c r="DN209" i="17" s="1"/>
  <c r="BB204" i="17"/>
  <c r="DM201" i="17"/>
  <c r="DN201" i="17" s="1"/>
  <c r="CF197" i="17"/>
  <c r="BB196" i="17"/>
  <c r="Z195" i="17"/>
  <c r="DM193" i="17"/>
  <c r="DN193" i="17" s="1"/>
  <c r="DO193" i="17" s="1"/>
  <c r="DP193" i="17" s="1"/>
  <c r="BB183" i="17"/>
  <c r="DR181" i="17"/>
  <c r="R181" i="17"/>
  <c r="Y181" i="17" s="1"/>
  <c r="DR180" i="17"/>
  <c r="BA178" i="17"/>
  <c r="CQ169" i="17"/>
  <c r="DS164" i="17"/>
  <c r="CO162" i="17"/>
  <c r="CP162" i="17" s="1"/>
  <c r="CQ162" i="17"/>
  <c r="CF160" i="17"/>
  <c r="CQ159" i="17"/>
  <c r="CQ158" i="17"/>
  <c r="CO158" i="17"/>
  <c r="CP158" i="17" s="1"/>
  <c r="CD157" i="17"/>
  <c r="CG157" i="17"/>
  <c r="BA148" i="17"/>
  <c r="CD147" i="17"/>
  <c r="CG147" i="17"/>
  <c r="CD140" i="17"/>
  <c r="CG140" i="17"/>
  <c r="CP135" i="17"/>
  <c r="CG127" i="17"/>
  <c r="CD127" i="17"/>
  <c r="CP123" i="17"/>
  <c r="BA114" i="17"/>
  <c r="DM107" i="17"/>
  <c r="DN107" i="17" s="1"/>
  <c r="DL103" i="17"/>
  <c r="Z67" i="17"/>
  <c r="CQ182" i="17"/>
  <c r="CC179" i="17"/>
  <c r="DR176" i="17"/>
  <c r="AT176" i="17"/>
  <c r="BA176" i="17" s="1"/>
  <c r="CP173" i="17"/>
  <c r="DS166" i="17"/>
  <c r="DL166" i="17"/>
  <c r="DR162" i="17"/>
  <c r="CP159" i="17"/>
  <c r="CP155" i="17"/>
  <c r="DR153" i="17"/>
  <c r="R153" i="17"/>
  <c r="Y153" i="17" s="1"/>
  <c r="Y150" i="17"/>
  <c r="Z150" i="17"/>
  <c r="BA143" i="17"/>
  <c r="BB143" i="17"/>
  <c r="BB138" i="17"/>
  <c r="DS137" i="17"/>
  <c r="DL137" i="17"/>
  <c r="CP133" i="17"/>
  <c r="CQ133" i="17"/>
  <c r="R127" i="17"/>
  <c r="Y127" i="17" s="1"/>
  <c r="DR127" i="17"/>
  <c r="Z118" i="17"/>
  <c r="Y118" i="17"/>
  <c r="Z111" i="17"/>
  <c r="Y111" i="17"/>
  <c r="DM110" i="17"/>
  <c r="DN110" i="17" s="1"/>
  <c r="DO110" i="17" s="1"/>
  <c r="DP110" i="17" s="1"/>
  <c r="CP103" i="17"/>
  <c r="BA87" i="17"/>
  <c r="BB87" i="17"/>
  <c r="R87" i="17"/>
  <c r="DR87" i="17"/>
  <c r="CE186" i="17"/>
  <c r="CP182" i="17"/>
  <c r="CQ180" i="17"/>
  <c r="CE178" i="17"/>
  <c r="CF178" i="17"/>
  <c r="CG177" i="17"/>
  <c r="Z177" i="17"/>
  <c r="Y176" i="17"/>
  <c r="Z176" i="17"/>
  <c r="CE174" i="17"/>
  <c r="DL174" i="17"/>
  <c r="CQ172" i="17"/>
  <c r="BA171" i="17"/>
  <c r="BB171" i="17"/>
  <c r="CG166" i="17"/>
  <c r="BA165" i="17"/>
  <c r="DS165" i="17"/>
  <c r="BA162" i="17"/>
  <c r="BB162" i="17"/>
  <c r="DL162" i="17"/>
  <c r="DS162" i="17"/>
  <c r="BB158" i="17"/>
  <c r="BA158" i="17"/>
  <c r="DS157" i="17"/>
  <c r="DL157" i="17"/>
  <c r="CE156" i="17"/>
  <c r="CF156" i="17"/>
  <c r="CQ155" i="17"/>
  <c r="CD136" i="17"/>
  <c r="CG136" i="17"/>
  <c r="Z135" i="17"/>
  <c r="Y123" i="17"/>
  <c r="Z123" i="17"/>
  <c r="Z113" i="17"/>
  <c r="Y113" i="17"/>
  <c r="CQ110" i="17"/>
  <c r="CO110" i="17"/>
  <c r="CP110" i="17" s="1"/>
  <c r="Y110" i="17"/>
  <c r="Z110" i="17"/>
  <c r="CO102" i="17"/>
  <c r="CP102" i="17" s="1"/>
  <c r="CQ102" i="17"/>
  <c r="DM88" i="17"/>
  <c r="DN88" i="17" s="1"/>
  <c r="DO88" i="17" s="1"/>
  <c r="DP88" i="17" s="1"/>
  <c r="DM73" i="17"/>
  <c r="DN73" i="17" s="1"/>
  <c r="DR186" i="17"/>
  <c r="DM181" i="17"/>
  <c r="DN181" i="17" s="1"/>
  <c r="CQ176" i="17"/>
  <c r="DL165" i="17"/>
  <c r="CG164" i="17"/>
  <c r="CD164" i="17"/>
  <c r="Y159" i="17"/>
  <c r="R158" i="17"/>
  <c r="Y158" i="17" s="1"/>
  <c r="DR157" i="17"/>
  <c r="BA157" i="17"/>
  <c r="BB157" i="17"/>
  <c r="DR156" i="17"/>
  <c r="R151" i="17"/>
  <c r="DR151" i="17"/>
  <c r="Y149" i="17"/>
  <c r="Y148" i="17"/>
  <c r="Z148" i="17"/>
  <c r="CP146" i="17"/>
  <c r="CG146" i="17"/>
  <c r="CE146" i="17"/>
  <c r="DR138" i="17"/>
  <c r="AT138" i="17"/>
  <c r="DL138" i="17" s="1"/>
  <c r="CG125" i="17"/>
  <c r="CD125" i="17"/>
  <c r="CE125" i="17" s="1"/>
  <c r="CE124" i="17"/>
  <c r="CF124" i="17"/>
  <c r="DM119" i="17"/>
  <c r="DN119" i="17" s="1"/>
  <c r="R116" i="17"/>
  <c r="Y116" i="17" s="1"/>
  <c r="DR116" i="17"/>
  <c r="BA115" i="17"/>
  <c r="BB115" i="17"/>
  <c r="CQ109" i="17"/>
  <c r="Y88" i="17"/>
  <c r="Z88" i="17"/>
  <c r="DR85" i="17"/>
  <c r="R85" i="17"/>
  <c r="Y85" i="17" s="1"/>
  <c r="R67" i="17"/>
  <c r="Y67" i="17" s="1"/>
  <c r="DR67" i="17"/>
  <c r="DM177" i="17"/>
  <c r="DN177" i="17" s="1"/>
  <c r="DR172" i="17"/>
  <c r="CG170" i="17"/>
  <c r="DM164" i="17"/>
  <c r="DN164" i="17" s="1"/>
  <c r="Y156" i="17"/>
  <c r="CE154" i="17"/>
  <c r="DR154" i="17"/>
  <c r="DR150" i="17"/>
  <c r="CE135" i="17"/>
  <c r="Y131" i="17"/>
  <c r="Z131" i="17"/>
  <c r="DL130" i="17"/>
  <c r="BA127" i="17"/>
  <c r="BB127" i="17"/>
  <c r="BA125" i="17"/>
  <c r="BB125" i="17"/>
  <c r="R125" i="17"/>
  <c r="Y125" i="17" s="1"/>
  <c r="DR125" i="17"/>
  <c r="CG123" i="17"/>
  <c r="DS123" i="17"/>
  <c r="DL115" i="17"/>
  <c r="DS115" i="17"/>
  <c r="CE113" i="17"/>
  <c r="CF113" i="17"/>
  <c r="BA112" i="17"/>
  <c r="BB112" i="17"/>
  <c r="R99" i="17"/>
  <c r="Y99" i="17" s="1"/>
  <c r="DR99" i="17"/>
  <c r="Z93" i="17"/>
  <c r="BA83" i="17"/>
  <c r="BB83" i="17"/>
  <c r="DM77" i="17"/>
  <c r="DN77" i="17" s="1"/>
  <c r="CG10" i="17"/>
  <c r="CE10" i="17"/>
  <c r="CQ154" i="17"/>
  <c r="DR152" i="17"/>
  <c r="R152" i="17"/>
  <c r="Y152" i="17" s="1"/>
  <c r="CP147" i="17"/>
  <c r="DR146" i="17"/>
  <c r="AT146" i="17"/>
  <c r="BA146" i="17" s="1"/>
  <c r="CP138" i="17"/>
  <c r="CG137" i="17"/>
  <c r="CD137" i="17"/>
  <c r="CE137" i="17" s="1"/>
  <c r="DS131" i="17"/>
  <c r="Z121" i="17"/>
  <c r="Y121" i="17"/>
  <c r="BV118" i="17"/>
  <c r="CG118" i="17" s="1"/>
  <c r="DR118" i="17"/>
  <c r="Z114" i="17"/>
  <c r="BV111" i="17"/>
  <c r="DR111" i="17"/>
  <c r="CG106" i="17"/>
  <c r="CD106" i="17"/>
  <c r="Y106" i="17"/>
  <c r="Z106" i="17"/>
  <c r="DR105" i="17"/>
  <c r="AT105" i="17"/>
  <c r="DL105" i="17" s="1"/>
  <c r="CF95" i="17"/>
  <c r="Y92" i="17"/>
  <c r="R84" i="17"/>
  <c r="DR84" i="17"/>
  <c r="R59" i="17"/>
  <c r="Y59" i="17" s="1"/>
  <c r="DR59" i="17"/>
  <c r="DM57" i="17"/>
  <c r="DN57" i="17" s="1"/>
  <c r="DM34" i="17"/>
  <c r="DN34" i="17" s="1"/>
  <c r="CG172" i="17"/>
  <c r="CE150" i="17"/>
  <c r="BA147" i="17"/>
  <c r="BB147" i="17"/>
  <c r="Z144" i="17"/>
  <c r="R143" i="17"/>
  <c r="DR143" i="17"/>
  <c r="CE142" i="17"/>
  <c r="DM140" i="17"/>
  <c r="DN140" i="17" s="1"/>
  <c r="CD122" i="17"/>
  <c r="CE122" i="17" s="1"/>
  <c r="CG122" i="17"/>
  <c r="AT122" i="17"/>
  <c r="DL122" i="17" s="1"/>
  <c r="BA120" i="17"/>
  <c r="BB120" i="17"/>
  <c r="BA118" i="17"/>
  <c r="DM106" i="17"/>
  <c r="DN106" i="17" s="1"/>
  <c r="DO106" i="17" s="1"/>
  <c r="DP106" i="17" s="1"/>
  <c r="DM101" i="17"/>
  <c r="DN101" i="17" s="1"/>
  <c r="DO101" i="17" s="1"/>
  <c r="DP101" i="17" s="1"/>
  <c r="BA93" i="17"/>
  <c r="R91" i="17"/>
  <c r="DR91" i="17"/>
  <c r="CO84" i="17"/>
  <c r="CP84" i="17" s="1"/>
  <c r="CQ84" i="17"/>
  <c r="CQ73" i="17"/>
  <c r="CP73" i="17"/>
  <c r="R73" i="17"/>
  <c r="DR73" i="17"/>
  <c r="AT72" i="17"/>
  <c r="DS72" i="17" s="1"/>
  <c r="DR72" i="17"/>
  <c r="CE60" i="17"/>
  <c r="DS60" i="17"/>
  <c r="CG56" i="17"/>
  <c r="CE56" i="17"/>
  <c r="DR164" i="17"/>
  <c r="BA156" i="17"/>
  <c r="DL156" i="17"/>
  <c r="DL150" i="17"/>
  <c r="BB149" i="17"/>
  <c r="DR148" i="17"/>
  <c r="CG145" i="17"/>
  <c r="CD145" i="17"/>
  <c r="DM143" i="17"/>
  <c r="DN143" i="17" s="1"/>
  <c r="DL142" i="17"/>
  <c r="BB141" i="17"/>
  <c r="Y141" i="17"/>
  <c r="CD139" i="17"/>
  <c r="Y137" i="17"/>
  <c r="CO136" i="17"/>
  <c r="CP136" i="17" s="1"/>
  <c r="CQ136" i="17"/>
  <c r="DS134" i="17"/>
  <c r="DR131" i="17"/>
  <c r="BA129" i="17"/>
  <c r="DR128" i="17"/>
  <c r="R128" i="17"/>
  <c r="DR114" i="17"/>
  <c r="R114" i="17"/>
  <c r="BB98" i="17"/>
  <c r="BA98" i="17"/>
  <c r="DS98" i="17"/>
  <c r="DL98" i="17"/>
  <c r="CO92" i="17"/>
  <c r="CP92" i="17" s="1"/>
  <c r="CQ92" i="17"/>
  <c r="CQ86" i="17"/>
  <c r="CO86" i="17"/>
  <c r="CP86" i="17" s="1"/>
  <c r="CG86" i="17"/>
  <c r="CE86" i="17"/>
  <c r="DL86" i="17"/>
  <c r="DS86" i="17"/>
  <c r="DM65" i="17"/>
  <c r="DN65" i="17" s="1"/>
  <c r="BB63" i="17"/>
  <c r="BA63" i="17"/>
  <c r="Y154" i="17"/>
  <c r="CQ152" i="17"/>
  <c r="BA145" i="17"/>
  <c r="CQ144" i="17"/>
  <c r="CF144" i="17"/>
  <c r="Z142" i="17"/>
  <c r="DR134" i="17"/>
  <c r="Y124" i="17"/>
  <c r="CO121" i="17"/>
  <c r="CP121" i="17" s="1"/>
  <c r="CQ121" i="17"/>
  <c r="Z119" i="17"/>
  <c r="DM117" i="17"/>
  <c r="DN117" i="17" s="1"/>
  <c r="CD116" i="17"/>
  <c r="BA110" i="17"/>
  <c r="DR108" i="17"/>
  <c r="AT108" i="17"/>
  <c r="DL108" i="17" s="1"/>
  <c r="CD105" i="17"/>
  <c r="CG105" i="17"/>
  <c r="Z105" i="17"/>
  <c r="Y105" i="17"/>
  <c r="Y96" i="17"/>
  <c r="Z96" i="17"/>
  <c r="CD92" i="17"/>
  <c r="BB81" i="17"/>
  <c r="CE78" i="17"/>
  <c r="Z75" i="17"/>
  <c r="DM33" i="17"/>
  <c r="DN33" i="17" s="1"/>
  <c r="CG32" i="17"/>
  <c r="CD32" i="17"/>
  <c r="Z32" i="17"/>
  <c r="CD23" i="17"/>
  <c r="CG23" i="17"/>
  <c r="CQ146" i="17"/>
  <c r="DR145" i="17"/>
  <c r="BA139" i="17"/>
  <c r="CQ138" i="17"/>
  <c r="CQ134" i="17"/>
  <c r="CG134" i="17"/>
  <c r="CQ123" i="17"/>
  <c r="CG100" i="17"/>
  <c r="DR93" i="17"/>
  <c r="R93" i="17"/>
  <c r="Y93" i="17" s="1"/>
  <c r="BB90" i="17"/>
  <c r="BA90" i="17"/>
  <c r="BB89" i="17"/>
  <c r="CD74" i="17"/>
  <c r="CG74" i="17"/>
  <c r="CP67" i="17"/>
  <c r="CQ67" i="17"/>
  <c r="CD59" i="17"/>
  <c r="CG59" i="17"/>
  <c r="CP53" i="17"/>
  <c r="BB49" i="17"/>
  <c r="BA49" i="17"/>
  <c r="BA154" i="17"/>
  <c r="Y146" i="17"/>
  <c r="R145" i="17"/>
  <c r="Y145" i="17" s="1"/>
  <c r="Y138" i="17"/>
  <c r="CP131" i="17"/>
  <c r="CP115" i="17"/>
  <c r="CE112" i="17"/>
  <c r="CF112" i="17"/>
  <c r="Y108" i="17"/>
  <c r="DR104" i="17"/>
  <c r="CD99" i="17"/>
  <c r="CE99" i="17" s="1"/>
  <c r="CG99" i="17"/>
  <c r="CQ94" i="17"/>
  <c r="CO94" i="17"/>
  <c r="CP94" i="17" s="1"/>
  <c r="CD91" i="17"/>
  <c r="CG91" i="17"/>
  <c r="CP88" i="17"/>
  <c r="CQ88" i="17"/>
  <c r="CE80" i="17"/>
  <c r="CG80" i="17"/>
  <c r="DR75" i="17"/>
  <c r="R75" i="17"/>
  <c r="Y75" i="17" s="1"/>
  <c r="AT74" i="17"/>
  <c r="DL74" i="17" s="1"/>
  <c r="DR74" i="17"/>
  <c r="CE70" i="17"/>
  <c r="CF70" i="17"/>
  <c r="BB64" i="17"/>
  <c r="BA64" i="17"/>
  <c r="DS64" i="17"/>
  <c r="DL64" i="17"/>
  <c r="CH61" i="17"/>
  <c r="CQ61" i="17" s="1"/>
  <c r="DR61" i="17"/>
  <c r="CG153" i="17"/>
  <c r="CD153" i="17"/>
  <c r="DM150" i="17"/>
  <c r="DN150" i="17" s="1"/>
  <c r="DM142" i="17"/>
  <c r="DN142" i="17" s="1"/>
  <c r="DR137" i="17"/>
  <c r="CE132" i="17"/>
  <c r="DM130" i="17"/>
  <c r="DN130" i="17" s="1"/>
  <c r="DR130" i="17"/>
  <c r="R129" i="17"/>
  <c r="Y129" i="17" s="1"/>
  <c r="DR129" i="17"/>
  <c r="DM120" i="17"/>
  <c r="DN120" i="17" s="1"/>
  <c r="R120" i="17"/>
  <c r="DR120" i="17"/>
  <c r="CP118" i="17"/>
  <c r="CP117" i="17"/>
  <c r="CP116" i="17"/>
  <c r="CQ115" i="17"/>
  <c r="CG114" i="17"/>
  <c r="CD114" i="17"/>
  <c r="BA104" i="17"/>
  <c r="CO100" i="17"/>
  <c r="CP100" i="17" s="1"/>
  <c r="CQ100" i="17"/>
  <c r="CO75" i="17"/>
  <c r="CP75" i="17" s="1"/>
  <c r="CQ75" i="17"/>
  <c r="DL71" i="17"/>
  <c r="DS71" i="17"/>
  <c r="CQ69" i="17"/>
  <c r="CO69" i="17"/>
  <c r="CP69" i="17" s="1"/>
  <c r="Y115" i="17"/>
  <c r="DM108" i="17"/>
  <c r="DN108" i="17" s="1"/>
  <c r="DO108" i="17" s="1"/>
  <c r="DP108" i="17" s="1"/>
  <c r="CQ106" i="17"/>
  <c r="CO106" i="17"/>
  <c r="CP106" i="17" s="1"/>
  <c r="BA100" i="17"/>
  <c r="BB100" i="17"/>
  <c r="DM98" i="17"/>
  <c r="DN98" i="17" s="1"/>
  <c r="Y94" i="17"/>
  <c r="CO91" i="17"/>
  <c r="CP91" i="17" s="1"/>
  <c r="CQ91" i="17"/>
  <c r="Y90" i="17"/>
  <c r="BA86" i="17"/>
  <c r="BB86" i="17"/>
  <c r="R81" i="17"/>
  <c r="DR81" i="17"/>
  <c r="DM79" i="17"/>
  <c r="DN79" i="17" s="1"/>
  <c r="R78" i="17"/>
  <c r="Y78" i="17" s="1"/>
  <c r="DR78" i="17"/>
  <c r="CD73" i="17"/>
  <c r="CG73" i="17"/>
  <c r="CQ65" i="17"/>
  <c r="CO65" i="17"/>
  <c r="CP65" i="17" s="1"/>
  <c r="CP63" i="17"/>
  <c r="DS53" i="17"/>
  <c r="DL53" i="17"/>
  <c r="AT23" i="17"/>
  <c r="BA23" i="17" s="1"/>
  <c r="DR23" i="17"/>
  <c r="CQ103" i="17"/>
  <c r="BA94" i="17"/>
  <c r="BB94" i="17"/>
  <c r="BA91" i="17"/>
  <c r="DS90" i="17"/>
  <c r="DL90" i="17"/>
  <c r="CE83" i="17"/>
  <c r="CG82" i="17"/>
  <c r="CD82" i="17"/>
  <c r="DM81" i="17"/>
  <c r="DN81" i="17" s="1"/>
  <c r="Z46" i="17"/>
  <c r="DR43" i="17"/>
  <c r="R43" i="17"/>
  <c r="Y43" i="17" s="1"/>
  <c r="CE42" i="17"/>
  <c r="CP39" i="17"/>
  <c r="CQ39" i="17"/>
  <c r="DS39" i="17"/>
  <c r="DL39" i="17"/>
  <c r="CQ128" i="17"/>
  <c r="CG128" i="17"/>
  <c r="DR123" i="17"/>
  <c r="CQ119" i="17"/>
  <c r="CG119" i="17"/>
  <c r="CE117" i="17"/>
  <c r="CE115" i="17"/>
  <c r="AT107" i="17"/>
  <c r="BA107" i="17" s="1"/>
  <c r="DL106" i="17"/>
  <c r="CP105" i="17"/>
  <c r="DS103" i="17"/>
  <c r="Y98" i="17"/>
  <c r="BA95" i="17"/>
  <c r="BB95" i="17"/>
  <c r="DM90" i="17"/>
  <c r="DN90" i="17" s="1"/>
  <c r="DS88" i="17"/>
  <c r="CE87" i="17"/>
  <c r="CF87" i="17"/>
  <c r="Z86" i="17"/>
  <c r="Z85" i="17"/>
  <c r="CO83" i="17"/>
  <c r="CP83" i="17" s="1"/>
  <c r="CQ83" i="17"/>
  <c r="BB75" i="17"/>
  <c r="BA75" i="17"/>
  <c r="Z71" i="17"/>
  <c r="Y71" i="17"/>
  <c r="DR115" i="17"/>
  <c r="DS113" i="17"/>
  <c r="DL113" i="17"/>
  <c r="CD109" i="17"/>
  <c r="CG109" i="17"/>
  <c r="DL104" i="17"/>
  <c r="DR103" i="17"/>
  <c r="DM102" i="17"/>
  <c r="DN102" i="17" s="1"/>
  <c r="CE102" i="17"/>
  <c r="CF102" i="17"/>
  <c r="DR102" i="17"/>
  <c r="AT102" i="17"/>
  <c r="DS102" i="17" s="1"/>
  <c r="CE100" i="17"/>
  <c r="CE79" i="17"/>
  <c r="DL77" i="17"/>
  <c r="Y77" i="17"/>
  <c r="DS77" i="17"/>
  <c r="Z63" i="17"/>
  <c r="R62" i="17"/>
  <c r="DR62" i="17"/>
  <c r="Y60" i="17"/>
  <c r="Z60" i="17"/>
  <c r="Y53" i="17"/>
  <c r="Z53" i="17"/>
  <c r="CF45" i="17"/>
  <c r="CE45" i="17"/>
  <c r="CG34" i="17"/>
  <c r="CD34" i="17"/>
  <c r="BB27" i="17"/>
  <c r="BA27" i="17"/>
  <c r="DR106" i="17"/>
  <c r="CG101" i="17"/>
  <c r="CD101" i="17"/>
  <c r="DR94" i="17"/>
  <c r="DR86" i="17"/>
  <c r="DR77" i="17"/>
  <c r="CQ72" i="17"/>
  <c r="DR71" i="17"/>
  <c r="BA69" i="17"/>
  <c r="BB69" i="17"/>
  <c r="BA68" i="17"/>
  <c r="CO61" i="17"/>
  <c r="AT58" i="17"/>
  <c r="DL58" i="17" s="1"/>
  <c r="DR58" i="17"/>
  <c r="DS52" i="17"/>
  <c r="DL52" i="17"/>
  <c r="CQ48" i="17"/>
  <c r="CO48" i="17"/>
  <c r="CP48" i="17" s="1"/>
  <c r="BB48" i="17"/>
  <c r="CG38" i="17"/>
  <c r="CD38" i="17"/>
  <c r="CE38" i="17" s="1"/>
  <c r="DS35" i="17"/>
  <c r="DL35" i="17"/>
  <c r="BA101" i="17"/>
  <c r="CQ98" i="17"/>
  <c r="CG98" i="17"/>
  <c r="CF96" i="17"/>
  <c r="CQ95" i="17"/>
  <c r="CQ90" i="17"/>
  <c r="CG90" i="17"/>
  <c r="CQ87" i="17"/>
  <c r="CQ81" i="17"/>
  <c r="CG77" i="17"/>
  <c r="DM76" i="17"/>
  <c r="DN76" i="17" s="1"/>
  <c r="DO76" i="17" s="1"/>
  <c r="DP76" i="17" s="1"/>
  <c r="DM74" i="17"/>
  <c r="DN74" i="17" s="1"/>
  <c r="DO74" i="17" s="1"/>
  <c r="DP74" i="17" s="1"/>
  <c r="Y70" i="17"/>
  <c r="Z70" i="17"/>
  <c r="CG69" i="17"/>
  <c r="CD69" i="17"/>
  <c r="Z69" i="17"/>
  <c r="CP68" i="17"/>
  <c r="CG68" i="17"/>
  <c r="DR65" i="17"/>
  <c r="R65" i="17"/>
  <c r="Y65" i="17" s="1"/>
  <c r="CD63" i="17"/>
  <c r="CG63" i="17"/>
  <c r="DL60" i="17"/>
  <c r="CE54" i="17"/>
  <c r="DS54" i="17"/>
  <c r="Y44" i="17"/>
  <c r="Z44" i="17"/>
  <c r="CQ29" i="17"/>
  <c r="CO29" i="17"/>
  <c r="CP29" i="17" s="1"/>
  <c r="CP95" i="17"/>
  <c r="CG93" i="17"/>
  <c r="CD93" i="17"/>
  <c r="CE93" i="17" s="1"/>
  <c r="DL88" i="17"/>
  <c r="CP87" i="17"/>
  <c r="CG85" i="17"/>
  <c r="CD85" i="17"/>
  <c r="CE85" i="17" s="1"/>
  <c r="CP81" i="17"/>
  <c r="CP77" i="17"/>
  <c r="CF72" i="17"/>
  <c r="CE72" i="17"/>
  <c r="CQ68" i="17"/>
  <c r="BA45" i="17"/>
  <c r="BB45" i="17"/>
  <c r="CP44" i="17"/>
  <c r="DL36" i="17"/>
  <c r="DS36" i="17"/>
  <c r="AT34" i="17"/>
  <c r="DL34" i="17" s="1"/>
  <c r="DR34" i="17"/>
  <c r="AT30" i="17"/>
  <c r="DS30" i="17" s="1"/>
  <c r="DR30" i="17"/>
  <c r="CD22" i="17"/>
  <c r="CG22" i="17"/>
  <c r="CE20" i="17"/>
  <c r="CF20" i="17"/>
  <c r="DR98" i="17"/>
  <c r="DR90" i="17"/>
  <c r="DM62" i="17"/>
  <c r="DN62" i="17" s="1"/>
  <c r="CE58" i="17"/>
  <c r="CF58" i="17"/>
  <c r="CG54" i="17"/>
  <c r="DR52" i="17"/>
  <c r="CO38" i="17"/>
  <c r="CP38" i="17" s="1"/>
  <c r="CQ38" i="17"/>
  <c r="BA37" i="17"/>
  <c r="Y36" i="17"/>
  <c r="Z36" i="17"/>
  <c r="CF5" i="17"/>
  <c r="CE5" i="17"/>
  <c r="DR76" i="17"/>
  <c r="AT70" i="17"/>
  <c r="DR70" i="17"/>
  <c r="DR68" i="17"/>
  <c r="Y56" i="17"/>
  <c r="Z56" i="17"/>
  <c r="CP55" i="17"/>
  <c r="Z49" i="17"/>
  <c r="BA44" i="17"/>
  <c r="DL44" i="17"/>
  <c r="Y39" i="17"/>
  <c r="Y37" i="17"/>
  <c r="Z37" i="17"/>
  <c r="BB36" i="17"/>
  <c r="BA36" i="17"/>
  <c r="CE25" i="17"/>
  <c r="BA20" i="17"/>
  <c r="CQ76" i="17"/>
  <c r="CG76" i="17"/>
  <c r="R76" i="17"/>
  <c r="Y76" i="17" s="1"/>
  <c r="CO70" i="17"/>
  <c r="CP70" i="17" s="1"/>
  <c r="CQ70" i="17"/>
  <c r="CQ56" i="17"/>
  <c r="CO56" i="17"/>
  <c r="CP56" i="17" s="1"/>
  <c r="DS55" i="17"/>
  <c r="DL55" i="17"/>
  <c r="Y55" i="17"/>
  <c r="CD52" i="17"/>
  <c r="CE52" i="17" s="1"/>
  <c r="CG52" i="17"/>
  <c r="DM48" i="17"/>
  <c r="DN48" i="17" s="1"/>
  <c r="DO48" i="17" s="1"/>
  <c r="DP48" i="17" s="1"/>
  <c r="R45" i="17"/>
  <c r="DR45" i="17"/>
  <c r="DL13" i="17"/>
  <c r="DS13" i="17"/>
  <c r="Y68" i="17"/>
  <c r="CE66" i="17"/>
  <c r="CF66" i="17"/>
  <c r="CQ64" i="17"/>
  <c r="CQ60" i="17"/>
  <c r="CG60" i="17"/>
  <c r="Z59" i="17"/>
  <c r="DR57" i="17"/>
  <c r="R57" i="17"/>
  <c r="Y57" i="17" s="1"/>
  <c r="BA55" i="17"/>
  <c r="BB55" i="17"/>
  <c r="DR55" i="17"/>
  <c r="Z52" i="17"/>
  <c r="Y52" i="17"/>
  <c r="BA50" i="17"/>
  <c r="BB50" i="17"/>
  <c r="CE49" i="17"/>
  <c r="BB47" i="17"/>
  <c r="BA47" i="17"/>
  <c r="CE40" i="17"/>
  <c r="DM38" i="17"/>
  <c r="DN38" i="17" s="1"/>
  <c r="BA38" i="17"/>
  <c r="DM36" i="17"/>
  <c r="DN36" i="17" s="1"/>
  <c r="DO36" i="17" s="1"/>
  <c r="DP36" i="17" s="1"/>
  <c r="BA29" i="17"/>
  <c r="BB29" i="17"/>
  <c r="R29" i="17"/>
  <c r="DR29" i="17"/>
  <c r="Y20" i="17"/>
  <c r="Z20" i="17"/>
  <c r="CQ57" i="17"/>
  <c r="CO57" i="17"/>
  <c r="CP57" i="17" s="1"/>
  <c r="DR56" i="17"/>
  <c r="CG55" i="17"/>
  <c r="CD55" i="17"/>
  <c r="DL54" i="17"/>
  <c r="CG50" i="17"/>
  <c r="CQ49" i="17"/>
  <c r="CO49" i="17"/>
  <c r="CP49" i="17" s="1"/>
  <c r="Z47" i="17"/>
  <c r="DS27" i="17"/>
  <c r="DL27" i="17"/>
  <c r="Z11" i="17"/>
  <c r="Y11" i="17"/>
  <c r="DR64" i="17"/>
  <c r="Y61" i="17"/>
  <c r="DM60" i="17"/>
  <c r="DN60" i="17" s="1"/>
  <c r="DR60" i="17"/>
  <c r="BB58" i="17"/>
  <c r="AT56" i="17"/>
  <c r="BA56" i="17" s="1"/>
  <c r="CG53" i="17"/>
  <c r="CD53" i="17"/>
  <c r="CE53" i="17" s="1"/>
  <c r="CF48" i="17"/>
  <c r="CE48" i="17"/>
  <c r="Y48" i="17"/>
  <c r="DM41" i="17"/>
  <c r="DN41" i="17" s="1"/>
  <c r="CG41" i="17"/>
  <c r="DM37" i="17"/>
  <c r="DN37" i="17" s="1"/>
  <c r="CG33" i="17"/>
  <c r="CD33" i="17"/>
  <c r="CQ32" i="17"/>
  <c r="CO32" i="17"/>
  <c r="CP32" i="17" s="1"/>
  <c r="BB32" i="17"/>
  <c r="BA32" i="17"/>
  <c r="CH20" i="17"/>
  <c r="DS20" i="17" s="1"/>
  <c r="DR20" i="17"/>
  <c r="DL11" i="17"/>
  <c r="DS11" i="17"/>
  <c r="CG11" i="17"/>
  <c r="CG57" i="17"/>
  <c r="CO46" i="17"/>
  <c r="CP46" i="17" s="1"/>
  <c r="CQ46" i="17"/>
  <c r="CP41" i="17"/>
  <c r="CQ40" i="17"/>
  <c r="CO40" i="17"/>
  <c r="CP40" i="17" s="1"/>
  <c r="CO25" i="17"/>
  <c r="CP25" i="17" s="1"/>
  <c r="CQ25" i="17"/>
  <c r="Z25" i="17"/>
  <c r="Y25" i="17"/>
  <c r="CO23" i="17"/>
  <c r="CP23" i="17" s="1"/>
  <c r="CQ23" i="17"/>
  <c r="DS16" i="17"/>
  <c r="DL16" i="17"/>
  <c r="Z6" i="17"/>
  <c r="CQ53" i="17"/>
  <c r="CQ51" i="17"/>
  <c r="CG45" i="17"/>
  <c r="DR44" i="17"/>
  <c r="CG42" i="17"/>
  <c r="DS33" i="17"/>
  <c r="DL33" i="17"/>
  <c r="CE29" i="17"/>
  <c r="CP28" i="17"/>
  <c r="AT19" i="17"/>
  <c r="DR19" i="17"/>
  <c r="DM10" i="17"/>
  <c r="DN10" i="17" s="1"/>
  <c r="DO10" i="17" s="1"/>
  <c r="DP10" i="17" s="1"/>
  <c r="BA54" i="17"/>
  <c r="DM50" i="17"/>
  <c r="DN50" i="17" s="1"/>
  <c r="DR48" i="17"/>
  <c r="AT48" i="17"/>
  <c r="BA48" i="17" s="1"/>
  <c r="R47" i="17"/>
  <c r="Y47" i="17" s="1"/>
  <c r="DR47" i="17"/>
  <c r="DS44" i="17"/>
  <c r="DR36" i="17"/>
  <c r="CG29" i="17"/>
  <c r="Y28" i="17"/>
  <c r="CE27" i="17"/>
  <c r="CF27" i="17"/>
  <c r="CF16" i="17"/>
  <c r="CE16" i="17"/>
  <c r="CE11" i="17"/>
  <c r="CF11" i="17"/>
  <c r="BA42" i="17"/>
  <c r="CQ41" i="17"/>
  <c r="CG39" i="17"/>
  <c r="DR32" i="17"/>
  <c r="R32" i="17"/>
  <c r="Y32" i="17" s="1"/>
  <c r="CP19" i="17"/>
  <c r="CQ15" i="17"/>
  <c r="Z14" i="17"/>
  <c r="CO11" i="17"/>
  <c r="CP11" i="17" s="1"/>
  <c r="CQ11" i="17"/>
  <c r="CE7" i="17"/>
  <c r="CF7" i="17"/>
  <c r="CQ44" i="17"/>
  <c r="CG44" i="17"/>
  <c r="CE43" i="17"/>
  <c r="CP42" i="17"/>
  <c r="DS40" i="17"/>
  <c r="Y35" i="17"/>
  <c r="CQ33" i="17"/>
  <c r="Y33" i="17"/>
  <c r="Y27" i="17"/>
  <c r="Z22" i="17"/>
  <c r="Y21" i="17"/>
  <c r="Z21" i="17"/>
  <c r="CQ14" i="17"/>
  <c r="CO14" i="17"/>
  <c r="CP14" i="17" s="1"/>
  <c r="DR53" i="17"/>
  <c r="DR41" i="17"/>
  <c r="R41" i="17"/>
  <c r="Y41" i="17" s="1"/>
  <c r="DR40" i="17"/>
  <c r="DM32" i="17"/>
  <c r="DN32" i="17" s="1"/>
  <c r="CE31" i="17"/>
  <c r="CO26" i="17"/>
  <c r="CP26" i="17" s="1"/>
  <c r="CQ26" i="17"/>
  <c r="CG25" i="17"/>
  <c r="DM24" i="17"/>
  <c r="DN24" i="17" s="1"/>
  <c r="DO24" i="17" s="1"/>
  <c r="DP24" i="17" s="1"/>
  <c r="Z24" i="17"/>
  <c r="CD18" i="17"/>
  <c r="CG18" i="17"/>
  <c r="CE13" i="17"/>
  <c r="CF13" i="17"/>
  <c r="Y9" i="17"/>
  <c r="Z9" i="17"/>
  <c r="DR7" i="17"/>
  <c r="R7" i="17"/>
  <c r="Z23" i="17"/>
  <c r="Y23" i="17"/>
  <c r="CG15" i="17"/>
  <c r="CD15" i="17"/>
  <c r="DR14" i="17"/>
  <c r="R14" i="17"/>
  <c r="Y14" i="17" s="1"/>
  <c r="DR9" i="17"/>
  <c r="CQ7" i="17"/>
  <c r="CO7" i="17"/>
  <c r="CP7" i="17" s="1"/>
  <c r="BA33" i="17"/>
  <c r="CQ28" i="17"/>
  <c r="DR28" i="17"/>
  <c r="CG24" i="17"/>
  <c r="CD24" i="17"/>
  <c r="BB15" i="17"/>
  <c r="BA15" i="17"/>
  <c r="DR15" i="17"/>
  <c r="BA14" i="17"/>
  <c r="DM11" i="17"/>
  <c r="DN11" i="17" s="1"/>
  <c r="DO11" i="17" s="1"/>
  <c r="DP11" i="17" s="1"/>
  <c r="CP10" i="17"/>
  <c r="CP8" i="17"/>
  <c r="DR8" i="17"/>
  <c r="DM6" i="17"/>
  <c r="DN6" i="17" s="1"/>
  <c r="DR6" i="17"/>
  <c r="R6" i="17"/>
  <c r="Y6" i="17" s="1"/>
  <c r="BA5" i="17"/>
  <c r="DR5" i="17"/>
  <c r="R5" i="17"/>
  <c r="Y5" i="17" s="1"/>
  <c r="AT28" i="17"/>
  <c r="BA28" i="17" s="1"/>
  <c r="DR27" i="17"/>
  <c r="CQ24" i="17"/>
  <c r="CO24" i="17"/>
  <c r="CP24" i="17" s="1"/>
  <c r="R15" i="17"/>
  <c r="Y15" i="17" s="1"/>
  <c r="DR13" i="17"/>
  <c r="BA8" i="17"/>
  <c r="BB8" i="17"/>
  <c r="R8" i="17"/>
  <c r="CQ6" i="17"/>
  <c r="CO6" i="17"/>
  <c r="CP6" i="17" s="1"/>
  <c r="DR21" i="17"/>
  <c r="BA16" i="17"/>
  <c r="DS12" i="17"/>
  <c r="DL12" i="17"/>
  <c r="CF8" i="17"/>
  <c r="CE8" i="17"/>
  <c r="BA7" i="17"/>
  <c r="BB6" i="17"/>
  <c r="BA6" i="17"/>
  <c r="CQ5" i="17"/>
  <c r="DR24" i="17"/>
  <c r="Y13" i="17"/>
  <c r="CG7" i="17"/>
  <c r="CE6" i="17"/>
  <c r="CF6" i="17"/>
  <c r="R24" i="17"/>
  <c r="CP17" i="17"/>
  <c r="CP16" i="17"/>
  <c r="CG14" i="17"/>
  <c r="CG6" i="17"/>
  <c r="DP248" i="17" l="1"/>
  <c r="O101" i="25"/>
  <c r="P101" i="25" s="1"/>
  <c r="DP239" i="17"/>
  <c r="DQ239" i="17" s="1"/>
  <c r="O98" i="25"/>
  <c r="P98" i="25" s="1"/>
  <c r="DP240" i="17"/>
  <c r="O99" i="25"/>
  <c r="P99" i="25" s="1"/>
  <c r="DP235" i="17"/>
  <c r="O95" i="25"/>
  <c r="P95" i="25" s="1"/>
  <c r="DP238" i="17"/>
  <c r="O97" i="25"/>
  <c r="P97" i="25" s="1"/>
  <c r="DP236" i="17"/>
  <c r="O96" i="25"/>
  <c r="P96" i="25" s="1"/>
  <c r="DP212" i="17"/>
  <c r="O92" i="25"/>
  <c r="P92" i="25" s="1"/>
  <c r="DP274" i="17"/>
  <c r="O103" i="25"/>
  <c r="P103" i="25" s="1"/>
  <c r="DP247" i="17"/>
  <c r="O100" i="25"/>
  <c r="P100" i="25" s="1"/>
  <c r="CI472" i="17"/>
  <c r="CJ472" i="17" s="1"/>
  <c r="DR472" i="17" s="1"/>
  <c r="DP237" i="17"/>
  <c r="DP198" i="17"/>
  <c r="DP349" i="17"/>
  <c r="DP244" i="17"/>
  <c r="DP241" i="17"/>
  <c r="DQ241" i="17" s="1"/>
  <c r="DP245" i="17"/>
  <c r="DP7" i="17"/>
  <c r="DP197" i="17"/>
  <c r="DQ197" i="17" s="1"/>
  <c r="DP182" i="17"/>
  <c r="DQ182" i="17" s="1"/>
  <c r="O542" i="17"/>
  <c r="DP111" i="17"/>
  <c r="DP306" i="17"/>
  <c r="DQ306" i="17" s="1"/>
  <c r="DO341" i="17"/>
  <c r="DP344" i="17"/>
  <c r="DQ344" i="17" s="1"/>
  <c r="DP467" i="17"/>
  <c r="DP523" i="17"/>
  <c r="DP187" i="17"/>
  <c r="DQ187" i="17" s="1"/>
  <c r="CJ179" i="17"/>
  <c r="CH179" i="17" s="1"/>
  <c r="CQ179" i="17" s="1"/>
  <c r="BX398" i="17"/>
  <c r="BV398" i="17" s="1"/>
  <c r="DP482" i="17"/>
  <c r="DP408" i="17"/>
  <c r="DP502" i="17"/>
  <c r="DQ502" i="17" s="1"/>
  <c r="DO510" i="17"/>
  <c r="DP503" i="17"/>
  <c r="DQ503" i="17" s="1"/>
  <c r="DP360" i="17"/>
  <c r="DP476" i="17"/>
  <c r="DQ476" i="17" s="1"/>
  <c r="DP178" i="17"/>
  <c r="DQ178" i="17" s="1"/>
  <c r="DO305" i="17"/>
  <c r="DO460" i="17"/>
  <c r="DP114" i="17"/>
  <c r="DP532" i="17"/>
  <c r="DP367" i="17"/>
  <c r="DP493" i="17"/>
  <c r="DQ493" i="17" s="1"/>
  <c r="DO451" i="17"/>
  <c r="DP312" i="17"/>
  <c r="DQ312" i="17" s="1"/>
  <c r="DP340" i="17"/>
  <c r="DO477" i="17"/>
  <c r="DP372" i="17"/>
  <c r="DO97" i="17"/>
  <c r="DP26" i="17"/>
  <c r="DO383" i="17"/>
  <c r="DP267" i="17"/>
  <c r="DO352" i="17"/>
  <c r="DP356" i="17"/>
  <c r="DQ356" i="17" s="1"/>
  <c r="DP51" i="17"/>
  <c r="DP535" i="17"/>
  <c r="DQ535" i="17" s="1"/>
  <c r="DP104" i="17"/>
  <c r="DQ104" i="17" s="1"/>
  <c r="DP230" i="17"/>
  <c r="DQ230" i="17" s="1"/>
  <c r="DP275" i="17"/>
  <c r="DP291" i="17"/>
  <c r="DP533" i="17"/>
  <c r="DQ533" i="17" s="1"/>
  <c r="DP369" i="17"/>
  <c r="DP213" i="17"/>
  <c r="DQ213" i="17" s="1"/>
  <c r="DO443" i="17"/>
  <c r="DP518" i="17"/>
  <c r="DO427" i="17"/>
  <c r="DO531" i="17"/>
  <c r="DP54" i="17"/>
  <c r="DQ54" i="17" s="1"/>
  <c r="DP282" i="17"/>
  <c r="DP314" i="17"/>
  <c r="DQ314" i="17" s="1"/>
  <c r="DO279" i="17"/>
  <c r="DP109" i="17"/>
  <c r="DP252" i="17"/>
  <c r="DP456" i="17"/>
  <c r="DQ456" i="17" s="1"/>
  <c r="DO454" i="17"/>
  <c r="DO439" i="17"/>
  <c r="DP259" i="17"/>
  <c r="DQ259" i="17" s="1"/>
  <c r="DO318" i="17"/>
  <c r="DP494" i="17"/>
  <c r="DQ494" i="17" s="1"/>
  <c r="DO416" i="17"/>
  <c r="DO218" i="17"/>
  <c r="DP242" i="17"/>
  <c r="DQ242" i="17" s="1"/>
  <c r="DP297" i="17"/>
  <c r="DP14" i="17"/>
  <c r="DP412" i="17"/>
  <c r="DO516" i="17"/>
  <c r="O76" i="25" s="1"/>
  <c r="P76" i="25" s="1"/>
  <c r="DP436" i="17"/>
  <c r="DQ436" i="17" s="1"/>
  <c r="DP444" i="17"/>
  <c r="DO377" i="17"/>
  <c r="DO337" i="17"/>
  <c r="DP362" i="17"/>
  <c r="DQ362" i="17" s="1"/>
  <c r="DO388" i="17"/>
  <c r="DP515" i="17"/>
  <c r="DQ515" i="17" s="1"/>
  <c r="DO489" i="17"/>
  <c r="DO273" i="17"/>
  <c r="DP422" i="17"/>
  <c r="DQ422" i="17" s="1"/>
  <c r="DO222" i="17"/>
  <c r="DP501" i="17"/>
  <c r="DO440" i="17"/>
  <c r="DP473" i="17"/>
  <c r="DO459" i="17"/>
  <c r="DP391" i="17"/>
  <c r="DP458" i="17"/>
  <c r="DQ458" i="17" s="1"/>
  <c r="DP265" i="17"/>
  <c r="DQ265" i="17" s="1"/>
  <c r="DO457" i="17"/>
  <c r="DP486" i="17"/>
  <c r="DO5" i="17"/>
  <c r="DP395" i="17"/>
  <c r="DQ395" i="17" s="1"/>
  <c r="DP71" i="17"/>
  <c r="DQ71" i="17" s="1"/>
  <c r="DP173" i="17"/>
  <c r="DQ173" i="17" s="1"/>
  <c r="DP500" i="17"/>
  <c r="DQ500" i="17" s="1"/>
  <c r="DP484" i="17"/>
  <c r="DP492" i="17"/>
  <c r="DQ492" i="17" s="1"/>
  <c r="DP353" i="17"/>
  <c r="CG442" i="17"/>
  <c r="DO528" i="17"/>
  <c r="DO381" i="17"/>
  <c r="DO202" i="17"/>
  <c r="DO83" i="17"/>
  <c r="DP428" i="17"/>
  <c r="DP210" i="17"/>
  <c r="DP315" i="17"/>
  <c r="DO116" i="17"/>
  <c r="DO365" i="17"/>
  <c r="DO414" i="17"/>
  <c r="DO357" i="17"/>
  <c r="DP485" i="17"/>
  <c r="DQ485" i="17" s="1"/>
  <c r="DO453" i="17"/>
  <c r="DP208" i="17"/>
  <c r="DQ208" i="17" s="1"/>
  <c r="DP452" i="17"/>
  <c r="DQ452" i="17" s="1"/>
  <c r="DP468" i="17"/>
  <c r="DQ468" i="17" s="1"/>
  <c r="DP487" i="17"/>
  <c r="DP145" i="17"/>
  <c r="DP527" i="17"/>
  <c r="DO373" i="17"/>
  <c r="DP517" i="17"/>
  <c r="DQ517" i="17" s="1"/>
  <c r="DM179" i="17"/>
  <c r="DN179" i="17" s="1"/>
  <c r="DO179" i="17" s="1"/>
  <c r="DP478" i="17"/>
  <c r="DQ478" i="17" s="1"/>
  <c r="C24" i="18"/>
  <c r="D24" i="18" s="1"/>
  <c r="J24" i="18"/>
  <c r="K24" i="18" s="1"/>
  <c r="L24" i="18" s="1"/>
  <c r="J23" i="18"/>
  <c r="K23" i="18" s="1"/>
  <c r="L23" i="18" s="1"/>
  <c r="J25" i="18"/>
  <c r="DP39" i="17"/>
  <c r="DQ39" i="17" s="1"/>
  <c r="BA124" i="17"/>
  <c r="DP361" i="17"/>
  <c r="F22" i="18"/>
  <c r="CE173" i="17"/>
  <c r="DO166" i="17"/>
  <c r="Y472" i="17"/>
  <c r="DL22" i="17"/>
  <c r="DQ22" i="17" s="1"/>
  <c r="DL243" i="17"/>
  <c r="Y218" i="17"/>
  <c r="F23" i="18"/>
  <c r="J22" i="18"/>
  <c r="K22" i="18" s="1"/>
  <c r="L22" i="18" s="1"/>
  <c r="F24" i="18"/>
  <c r="DP301" i="17"/>
  <c r="CE151" i="17"/>
  <c r="CE507" i="17"/>
  <c r="DO225" i="17"/>
  <c r="O46" i="25" s="1"/>
  <c r="P46" i="25" s="1"/>
  <c r="Y259" i="17"/>
  <c r="BA322" i="17"/>
  <c r="BA208" i="17"/>
  <c r="DS37" i="17"/>
  <c r="DP148" i="17"/>
  <c r="DQ148" i="17" s="1"/>
  <c r="DP490" i="17"/>
  <c r="DQ490" i="17" s="1"/>
  <c r="DL25" i="17"/>
  <c r="BA25" i="17"/>
  <c r="DO192" i="17"/>
  <c r="Y22" i="17"/>
  <c r="CF84" i="17"/>
  <c r="DL101" i="17"/>
  <c r="DQ101" i="17" s="1"/>
  <c r="DP286" i="17"/>
  <c r="DL353" i="17"/>
  <c r="DO290" i="17"/>
  <c r="DP529" i="17"/>
  <c r="DS276" i="17"/>
  <c r="DP152" i="17"/>
  <c r="DL37" i="17"/>
  <c r="DO105" i="17"/>
  <c r="DS171" i="17"/>
  <c r="DS218" i="17"/>
  <c r="DL249" i="17"/>
  <c r="DQ249" i="17" s="1"/>
  <c r="DP345" i="17"/>
  <c r="DQ345" i="17" s="1"/>
  <c r="DO121" i="17"/>
  <c r="DO505" i="17"/>
  <c r="DP522" i="17"/>
  <c r="DQ522" i="17" s="1"/>
  <c r="DL121" i="17"/>
  <c r="DQ121" i="17" s="1"/>
  <c r="DS69" i="17"/>
  <c r="CE291" i="17"/>
  <c r="DL79" i="17"/>
  <c r="CE110" i="17"/>
  <c r="CG192" i="17"/>
  <c r="CE351" i="17"/>
  <c r="CF466" i="17"/>
  <c r="DO433" i="17"/>
  <c r="DO471" i="17"/>
  <c r="DP15" i="17"/>
  <c r="Y234" i="17"/>
  <c r="DQ383" i="17"/>
  <c r="DP16" i="17"/>
  <c r="DQ16" i="17" s="1"/>
  <c r="CE65" i="17"/>
  <c r="CF37" i="17"/>
  <c r="DO264" i="17"/>
  <c r="DP154" i="17"/>
  <c r="DQ154" i="17" s="1"/>
  <c r="DL199" i="17"/>
  <c r="DP214" i="17"/>
  <c r="DS208" i="17"/>
  <c r="DP223" i="17"/>
  <c r="CE391" i="17"/>
  <c r="Y305" i="17"/>
  <c r="DL428" i="17"/>
  <c r="CF129" i="17"/>
  <c r="CE246" i="17"/>
  <c r="DS110" i="17"/>
  <c r="Y171" i="17"/>
  <c r="DO304" i="17"/>
  <c r="DO402" i="17"/>
  <c r="DO299" i="17"/>
  <c r="CE495" i="17"/>
  <c r="DQ403" i="17"/>
  <c r="CF208" i="17"/>
  <c r="DO20" i="17"/>
  <c r="DS457" i="17"/>
  <c r="DS97" i="17"/>
  <c r="Y46" i="17"/>
  <c r="DS416" i="17"/>
  <c r="DO288" i="17"/>
  <c r="DP507" i="17"/>
  <c r="DL110" i="17"/>
  <c r="DQ110" i="17" s="1"/>
  <c r="DO13" i="17"/>
  <c r="DO85" i="17"/>
  <c r="BA97" i="17"/>
  <c r="DO280" i="17"/>
  <c r="DS46" i="17"/>
  <c r="DS136" i="17"/>
  <c r="DP283" i="17"/>
  <c r="DQ283" i="17" s="1"/>
  <c r="DO296" i="17"/>
  <c r="DP343" i="17"/>
  <c r="DQ343" i="17" s="1"/>
  <c r="DO30" i="17"/>
  <c r="BA188" i="17"/>
  <c r="DL38" i="17"/>
  <c r="DS38" i="17"/>
  <c r="DO93" i="17"/>
  <c r="DO43" i="17"/>
  <c r="DO188" i="17"/>
  <c r="O82" i="25" s="1"/>
  <c r="P82" i="25" s="1"/>
  <c r="DP207" i="17"/>
  <c r="DQ207" i="17" s="1"/>
  <c r="DL188" i="17"/>
  <c r="BA291" i="17"/>
  <c r="DL518" i="17"/>
  <c r="DP520" i="17"/>
  <c r="Y199" i="17"/>
  <c r="DS370" i="17"/>
  <c r="DP351" i="17"/>
  <c r="DL509" i="17"/>
  <c r="DP514" i="17"/>
  <c r="DQ419" i="17"/>
  <c r="BA249" i="17"/>
  <c r="CG244" i="17"/>
  <c r="DO375" i="17"/>
  <c r="DP435" i="17"/>
  <c r="DQ435" i="17" s="1"/>
  <c r="DO448" i="17"/>
  <c r="DP334" i="17"/>
  <c r="DQ334" i="17" s="1"/>
  <c r="DP270" i="17"/>
  <c r="DP382" i="17"/>
  <c r="DO370" i="17"/>
  <c r="DL351" i="17"/>
  <c r="CF62" i="17"/>
  <c r="Y136" i="17"/>
  <c r="DL89" i="17"/>
  <c r="DS95" i="17"/>
  <c r="DL305" i="17"/>
  <c r="DQ305" i="17" s="1"/>
  <c r="DL297" i="17"/>
  <c r="DS297" i="17"/>
  <c r="DP481" i="17"/>
  <c r="CF348" i="17"/>
  <c r="BA307" i="17"/>
  <c r="Y353" i="17"/>
  <c r="DQ479" i="17"/>
  <c r="DO195" i="17"/>
  <c r="O85" i="25" s="1"/>
  <c r="P85" i="25" s="1"/>
  <c r="DL63" i="17"/>
  <c r="DS63" i="17"/>
  <c r="CF261" i="17"/>
  <c r="DO322" i="17"/>
  <c r="DP464" i="17"/>
  <c r="DS100" i="17"/>
  <c r="DP96" i="17"/>
  <c r="DQ96" i="17" s="1"/>
  <c r="CF211" i="17"/>
  <c r="DP246" i="17"/>
  <c r="DQ246" i="17" s="1"/>
  <c r="DL392" i="17"/>
  <c r="DL495" i="17"/>
  <c r="DO441" i="17"/>
  <c r="BA398" i="17"/>
  <c r="DP450" i="17"/>
  <c r="DQ450" i="17" s="1"/>
  <c r="DO31" i="17"/>
  <c r="DQ211" i="17"/>
  <c r="CF88" i="17"/>
  <c r="BA89" i="17"/>
  <c r="DL100" i="17"/>
  <c r="DL141" i="17"/>
  <c r="DQ141" i="17" s="1"/>
  <c r="Y135" i="17"/>
  <c r="DO147" i="17"/>
  <c r="DS192" i="17"/>
  <c r="BA121" i="17"/>
  <c r="DL190" i="17"/>
  <c r="DP309" i="17"/>
  <c r="DQ309" i="17" s="1"/>
  <c r="Y126" i="17"/>
  <c r="DS290" i="17"/>
  <c r="Y398" i="17"/>
  <c r="BA495" i="17"/>
  <c r="DO479" i="17"/>
  <c r="DP446" i="17"/>
  <c r="Y378" i="17"/>
  <c r="DO376" i="17"/>
  <c r="DQ180" i="17"/>
  <c r="DL126" i="17"/>
  <c r="DQ126" i="17" s="1"/>
  <c r="DP89" i="17"/>
  <c r="DP183" i="17"/>
  <c r="CE346" i="17"/>
  <c r="CF381" i="17"/>
  <c r="DP254" i="17"/>
  <c r="DQ254" i="17" s="1"/>
  <c r="DP406" i="17"/>
  <c r="DQ406" i="17" s="1"/>
  <c r="DO389" i="17"/>
  <c r="DP508" i="17"/>
  <c r="DQ69" i="17"/>
  <c r="DS307" i="17"/>
  <c r="DO364" i="17"/>
  <c r="DL192" i="17"/>
  <c r="DQ192" i="17" s="1"/>
  <c r="DQ9" i="17"/>
  <c r="BA233" i="17"/>
  <c r="CE231" i="17"/>
  <c r="DS49" i="17"/>
  <c r="DS18" i="17"/>
  <c r="Y101" i="17"/>
  <c r="DO111" i="17"/>
  <c r="DS135" i="17"/>
  <c r="DO180" i="17"/>
  <c r="DO206" i="17"/>
  <c r="O87" i="25" s="1"/>
  <c r="P87" i="25" s="1"/>
  <c r="CG173" i="17"/>
  <c r="DL378" i="17"/>
  <c r="CE332" i="17"/>
  <c r="DS329" i="17"/>
  <c r="DO400" i="17"/>
  <c r="DO429" i="17"/>
  <c r="CF432" i="17"/>
  <c r="DO56" i="17"/>
  <c r="CE75" i="17"/>
  <c r="DL51" i="17"/>
  <c r="DS79" i="17"/>
  <c r="DO70" i="17"/>
  <c r="BA159" i="17"/>
  <c r="DL167" i="17"/>
  <c r="DL266" i="17"/>
  <c r="DP205" i="17"/>
  <c r="DP294" i="17"/>
  <c r="DP271" i="17"/>
  <c r="DQ271" i="17" s="1"/>
  <c r="DS469" i="17"/>
  <c r="DP455" i="17"/>
  <c r="DS377" i="17"/>
  <c r="CP529" i="17"/>
  <c r="DP483" i="17"/>
  <c r="DQ483" i="17" s="1"/>
  <c r="Y200" i="17"/>
  <c r="CP369" i="17"/>
  <c r="DQ376" i="17"/>
  <c r="DP537" i="17"/>
  <c r="DO285" i="17"/>
  <c r="DL169" i="17"/>
  <c r="CP61" i="17"/>
  <c r="CE169" i="17"/>
  <c r="CG167" i="17"/>
  <c r="CF237" i="17"/>
  <c r="Y236" i="17"/>
  <c r="CE375" i="17"/>
  <c r="BA413" i="17"/>
  <c r="DP335" i="17"/>
  <c r="DQ335" i="17" s="1"/>
  <c r="DO419" i="17"/>
  <c r="CE330" i="17"/>
  <c r="DL451" i="17"/>
  <c r="DQ451" i="17" s="1"/>
  <c r="DO423" i="17"/>
  <c r="DL49" i="17"/>
  <c r="DQ49" i="17" s="1"/>
  <c r="DS337" i="17"/>
  <c r="BA370" i="17"/>
  <c r="DP497" i="17"/>
  <c r="DP115" i="17"/>
  <c r="DQ115" i="17" s="1"/>
  <c r="DP29" i="17"/>
  <c r="DO29" i="17"/>
  <c r="DS200" i="17"/>
  <c r="Y260" i="17"/>
  <c r="DP432" i="17"/>
  <c r="DO432" i="17"/>
  <c r="DL159" i="17"/>
  <c r="DQ159" i="17" s="1"/>
  <c r="DP87" i="17"/>
  <c r="DL17" i="17"/>
  <c r="DS92" i="17"/>
  <c r="DP8" i="17"/>
  <c r="DP94" i="17"/>
  <c r="DQ94" i="17" s="1"/>
  <c r="DL168" i="17"/>
  <c r="DS167" i="17"/>
  <c r="CF288" i="17"/>
  <c r="DO348" i="17"/>
  <c r="DL415" i="17"/>
  <c r="DL337" i="17"/>
  <c r="DQ337" i="17" s="1"/>
  <c r="CG169" i="17"/>
  <c r="DP384" i="17"/>
  <c r="DQ384" i="17" s="1"/>
  <c r="DO447" i="17"/>
  <c r="Y168" i="17"/>
  <c r="DL487" i="17"/>
  <c r="DS487" i="17"/>
  <c r="Y457" i="17"/>
  <c r="CF362" i="17"/>
  <c r="CE362" i="17"/>
  <c r="DS173" i="17"/>
  <c r="DL377" i="17"/>
  <c r="DQ377" i="17" s="1"/>
  <c r="DO474" i="17"/>
  <c r="DQ448" i="17"/>
  <c r="BB398" i="17"/>
  <c r="DS516" i="17"/>
  <c r="DP221" i="17"/>
  <c r="CE394" i="17"/>
  <c r="CE35" i="17"/>
  <c r="CF51" i="17"/>
  <c r="DP67" i="17"/>
  <c r="DS51" i="17"/>
  <c r="DO64" i="17"/>
  <c r="O51" i="25" s="1"/>
  <c r="P51" i="25" s="1"/>
  <c r="DL80" i="17"/>
  <c r="DL18" i="17"/>
  <c r="DQ18" i="17" s="1"/>
  <c r="BA108" i="17"/>
  <c r="CE118" i="17"/>
  <c r="DL227" i="17"/>
  <c r="DQ227" i="17" s="1"/>
  <c r="BA190" i="17"/>
  <c r="DO249" i="17"/>
  <c r="DO211" i="17"/>
  <c r="O91" i="25" s="1"/>
  <c r="P91" i="25" s="1"/>
  <c r="CE244" i="17"/>
  <c r="CE216" i="17"/>
  <c r="DS460" i="17"/>
  <c r="CE529" i="17"/>
  <c r="DL484" i="17"/>
  <c r="DR504" i="17"/>
  <c r="DO411" i="17"/>
  <c r="DP191" i="17"/>
  <c r="DP418" i="17"/>
  <c r="DQ418" i="17" s="1"/>
  <c r="DL394" i="17"/>
  <c r="CP37" i="17"/>
  <c r="DO52" i="17"/>
  <c r="DP186" i="17"/>
  <c r="DQ186" i="17" s="1"/>
  <c r="DP307" i="17"/>
  <c r="DQ307" i="17" s="1"/>
  <c r="DS509" i="17"/>
  <c r="DP100" i="17"/>
  <c r="DO100" i="17"/>
  <c r="DP174" i="17"/>
  <c r="DQ174" i="17" s="1"/>
  <c r="DO174" i="17"/>
  <c r="O77" i="25" s="1"/>
  <c r="P77" i="25" s="1"/>
  <c r="DO398" i="17"/>
  <c r="DP398" i="17"/>
  <c r="DP17" i="17"/>
  <c r="DO17" i="17"/>
  <c r="DO298" i="17"/>
  <c r="DP298" i="17"/>
  <c r="CE297" i="17"/>
  <c r="DO219" i="17"/>
  <c r="DS323" i="17"/>
  <c r="DL215" i="17"/>
  <c r="DO410" i="17"/>
  <c r="O68" i="25" s="1"/>
  <c r="P68" i="25" s="1"/>
  <c r="BA276" i="17"/>
  <c r="CP215" i="17"/>
  <c r="DQ411" i="17"/>
  <c r="BA34" i="17"/>
  <c r="DS31" i="17"/>
  <c r="DO66" i="17"/>
  <c r="DS80" i="17"/>
  <c r="DO92" i="17"/>
  <c r="DS10" i="17"/>
  <c r="DO129" i="17"/>
  <c r="O42" i="25" s="1"/>
  <c r="P42" i="25" s="1"/>
  <c r="DP163" i="17"/>
  <c r="DL183" i="17"/>
  <c r="DS228" i="17"/>
  <c r="DL198" i="17"/>
  <c r="DO216" i="17"/>
  <c r="DS243" i="17"/>
  <c r="DS233" i="17"/>
  <c r="DL244" i="17"/>
  <c r="DQ256" i="17"/>
  <c r="DL228" i="17"/>
  <c r="DP325" i="17"/>
  <c r="DO403" i="17"/>
  <c r="DS351" i="17"/>
  <c r="CQ504" i="17"/>
  <c r="DP262" i="17"/>
  <c r="DQ262" i="17" s="1"/>
  <c r="DP358" i="17"/>
  <c r="Y69" i="17"/>
  <c r="DS260" i="17"/>
  <c r="DQ263" i="17"/>
  <c r="DO469" i="17"/>
  <c r="CP525" i="17"/>
  <c r="DL516" i="17"/>
  <c r="DP293" i="17"/>
  <c r="DP113" i="17"/>
  <c r="DQ113" i="17" s="1"/>
  <c r="DO113" i="17"/>
  <c r="DO175" i="17"/>
  <c r="DP175" i="17"/>
  <c r="DQ175" i="17" s="1"/>
  <c r="DO368" i="17"/>
  <c r="CF482" i="17"/>
  <c r="DL10" i="17"/>
  <c r="DL298" i="17"/>
  <c r="DQ40" i="17"/>
  <c r="DS484" i="17"/>
  <c r="Y271" i="17"/>
  <c r="DL28" i="17"/>
  <c r="DQ28" i="17" s="1"/>
  <c r="BA122" i="17"/>
  <c r="DL391" i="17"/>
  <c r="DS459" i="17"/>
  <c r="DO426" i="17"/>
  <c r="DP491" i="17"/>
  <c r="DO498" i="17"/>
  <c r="Y444" i="17"/>
  <c r="DP68" i="17"/>
  <c r="DQ68" i="17" s="1"/>
  <c r="DS259" i="17"/>
  <c r="DP407" i="17"/>
  <c r="CP509" i="17"/>
  <c r="DO157" i="17"/>
  <c r="DP525" i="17"/>
  <c r="DO525" i="17"/>
  <c r="DL124" i="17"/>
  <c r="BA227" i="17"/>
  <c r="DS298" i="17"/>
  <c r="D13" i="18" s="1"/>
  <c r="DO431" i="17"/>
  <c r="DP431" i="17"/>
  <c r="BA30" i="17"/>
  <c r="DL118" i="17"/>
  <c r="DQ118" i="17" s="1"/>
  <c r="DP153" i="17"/>
  <c r="DS183" i="17"/>
  <c r="CE274" i="17"/>
  <c r="DP328" i="17"/>
  <c r="DQ328" i="17" s="1"/>
  <c r="DL532" i="17"/>
  <c r="CE418" i="17"/>
  <c r="DL147" i="17"/>
  <c r="DQ147" i="17" s="1"/>
  <c r="DP86" i="17"/>
  <c r="DQ86" i="17" s="1"/>
  <c r="DS161" i="17"/>
  <c r="CF200" i="17"/>
  <c r="DS271" i="17"/>
  <c r="Y315" i="17"/>
  <c r="DP386" i="17"/>
  <c r="DQ386" i="17" s="1"/>
  <c r="DS122" i="17"/>
  <c r="DS82" i="17"/>
  <c r="DL132" i="17"/>
  <c r="DQ273" i="17"/>
  <c r="DL315" i="17"/>
  <c r="DL291" i="17"/>
  <c r="DS215" i="17"/>
  <c r="BA288" i="17"/>
  <c r="DS234" i="17"/>
  <c r="DS408" i="17"/>
  <c r="DL367" i="17"/>
  <c r="CQ329" i="17"/>
  <c r="DL329" i="17"/>
  <c r="DL460" i="17"/>
  <c r="Y532" i="17"/>
  <c r="Y428" i="17"/>
  <c r="DO75" i="17"/>
  <c r="DP75" i="17"/>
  <c r="DO215" i="17"/>
  <c r="DP215" i="17"/>
  <c r="Y119" i="17"/>
  <c r="CF193" i="17"/>
  <c r="CE193" i="17"/>
  <c r="DS434" i="17"/>
  <c r="DP25" i="17"/>
  <c r="DO25" i="17"/>
  <c r="DP131" i="17"/>
  <c r="DQ131" i="17" s="1"/>
  <c r="DO131" i="17"/>
  <c r="DP302" i="17"/>
  <c r="DQ302" i="17" s="1"/>
  <c r="DO302" i="17"/>
  <c r="DS468" i="17"/>
  <c r="BA468" i="17"/>
  <c r="DO378" i="17"/>
  <c r="DP378" i="17"/>
  <c r="CE250" i="17"/>
  <c r="Y385" i="17"/>
  <c r="DO521" i="17"/>
  <c r="CE47" i="17"/>
  <c r="CF47" i="17"/>
  <c r="DO19" i="17"/>
  <c r="DP19" i="17"/>
  <c r="DP168" i="17"/>
  <c r="DO168" i="17"/>
  <c r="DO185" i="17"/>
  <c r="O79" i="25" s="1"/>
  <c r="P79" i="25" s="1"/>
  <c r="DP185" i="17"/>
  <c r="DO268" i="17"/>
  <c r="DP268" i="17"/>
  <c r="DQ268" i="17" s="1"/>
  <c r="CF355" i="17"/>
  <c r="CE355" i="17"/>
  <c r="DO122" i="17"/>
  <c r="DP122" i="17"/>
  <c r="DQ122" i="17" s="1"/>
  <c r="Y296" i="17"/>
  <c r="DO199" i="17"/>
  <c r="DP199" i="17"/>
  <c r="DO397" i="17"/>
  <c r="DP397" i="17"/>
  <c r="DL236" i="17"/>
  <c r="CF325" i="17"/>
  <c r="CE325" i="17"/>
  <c r="Y467" i="17"/>
  <c r="CE393" i="17"/>
  <c r="CF393" i="17"/>
  <c r="DO415" i="17"/>
  <c r="DP415" i="17"/>
  <c r="DP12" i="17"/>
  <c r="DQ12" i="17" s="1"/>
  <c r="DO12" i="17"/>
  <c r="DO504" i="17"/>
  <c r="DP504" i="17"/>
  <c r="DO509" i="17"/>
  <c r="DP509" i="17"/>
  <c r="DS50" i="17"/>
  <c r="DL82" i="17"/>
  <c r="DQ82" i="17" s="1"/>
  <c r="DS518" i="17"/>
  <c r="CF235" i="17"/>
  <c r="CE235" i="17"/>
  <c r="CE411" i="17"/>
  <c r="CF411" i="17"/>
  <c r="DS42" i="17"/>
  <c r="DS108" i="17"/>
  <c r="DS117" i="17"/>
  <c r="Y42" i="17"/>
  <c r="DL407" i="17"/>
  <c r="DS274" i="17"/>
  <c r="DL421" i="17"/>
  <c r="DS413" i="17"/>
  <c r="DS443" i="17"/>
  <c r="DL539" i="17"/>
  <c r="DQ539" i="17" s="1"/>
  <c r="DP23" i="17"/>
  <c r="DO23" i="17"/>
  <c r="DS369" i="17"/>
  <c r="CQ369" i="17"/>
  <c r="DQ429" i="17"/>
  <c r="CF322" i="17"/>
  <c r="CE322" i="17"/>
  <c r="DS34" i="17"/>
  <c r="BA58" i="17"/>
  <c r="DS61" i="17"/>
  <c r="DL83" i="17"/>
  <c r="DQ83" i="17" s="1"/>
  <c r="DL119" i="17"/>
  <c r="DO112" i="17"/>
  <c r="DS141" i="17"/>
  <c r="CE213" i="17"/>
  <c r="DL146" i="17"/>
  <c r="DQ146" i="17" s="1"/>
  <c r="DP266" i="17"/>
  <c r="Y252" i="17"/>
  <c r="DL290" i="17"/>
  <c r="DQ290" i="17" s="1"/>
  <c r="DQ279" i="17"/>
  <c r="BA421" i="17"/>
  <c r="DL320" i="17"/>
  <c r="DQ320" i="17" s="1"/>
  <c r="DL274" i="17"/>
  <c r="CF310" i="17"/>
  <c r="CE484" i="17"/>
  <c r="DS296" i="17"/>
  <c r="BA456" i="17"/>
  <c r="DS456" i="17"/>
  <c r="Y83" i="17"/>
  <c r="CE36" i="17"/>
  <c r="CF36" i="17"/>
  <c r="DO61" i="17"/>
  <c r="DP61" i="17"/>
  <c r="DP125" i="17"/>
  <c r="DO125" i="17"/>
  <c r="Y132" i="17"/>
  <c r="DS66" i="17"/>
  <c r="Y66" i="17"/>
  <c r="Y147" i="17"/>
  <c r="DL275" i="17"/>
  <c r="DS275" i="17"/>
  <c r="DO149" i="17"/>
  <c r="DP149" i="17"/>
  <c r="DO243" i="17"/>
  <c r="DP243" i="17"/>
  <c r="DL369" i="17"/>
  <c r="DO399" i="17"/>
  <c r="DP399" i="17"/>
  <c r="Y443" i="17"/>
  <c r="DL459" i="17"/>
  <c r="CF26" i="17"/>
  <c r="CE67" i="17"/>
  <c r="DL61" i="17"/>
  <c r="DO95" i="17"/>
  <c r="DS178" i="17"/>
  <c r="DS146" i="17"/>
  <c r="Y238" i="17"/>
  <c r="DP226" i="17"/>
  <c r="DL252" i="17"/>
  <c r="DP123" i="17"/>
  <c r="DQ123" i="17" s="1"/>
  <c r="CE281" i="17"/>
  <c r="CQ516" i="17"/>
  <c r="DS405" i="17"/>
  <c r="CF470" i="17"/>
  <c r="BA407" i="17"/>
  <c r="DL467" i="17"/>
  <c r="DL507" i="17"/>
  <c r="DO63" i="17"/>
  <c r="DP63" i="17"/>
  <c r="DO27" i="17"/>
  <c r="DP27" i="17"/>
  <c r="DQ27" i="17" s="1"/>
  <c r="DP338" i="17"/>
  <c r="DQ338" i="17" s="1"/>
  <c r="DO338" i="17"/>
  <c r="DL282" i="17"/>
  <c r="DS282" i="17"/>
  <c r="DP323" i="17"/>
  <c r="DO323" i="17"/>
  <c r="DS458" i="17"/>
  <c r="BA458" i="17"/>
  <c r="CE504" i="17"/>
  <c r="DP495" i="17"/>
  <c r="DO495" i="17"/>
  <c r="DO424" i="17"/>
  <c r="DP424" i="17"/>
  <c r="DQ424" i="17" s="1"/>
  <c r="Y451" i="17"/>
  <c r="Y117" i="17"/>
  <c r="DO276" i="17"/>
  <c r="DP276" i="17"/>
  <c r="DQ276" i="17" s="1"/>
  <c r="DL50" i="17"/>
  <c r="DL149" i="17"/>
  <c r="DS109" i="17"/>
  <c r="DL109" i="17"/>
  <c r="DP257" i="17"/>
  <c r="DO144" i="17"/>
  <c r="BA304" i="17"/>
  <c r="DL304" i="17"/>
  <c r="DQ304" i="17" s="1"/>
  <c r="DP326" i="17"/>
  <c r="DQ326" i="17" s="1"/>
  <c r="CF370" i="17"/>
  <c r="DL238" i="17"/>
  <c r="BA539" i="17"/>
  <c r="DL360" i="17"/>
  <c r="CP394" i="17"/>
  <c r="CE541" i="17"/>
  <c r="DP530" i="17"/>
  <c r="DQ530" i="17" s="1"/>
  <c r="DS515" i="17"/>
  <c r="DL26" i="17"/>
  <c r="DS26" i="17"/>
  <c r="DP80" i="17"/>
  <c r="DO80" i="17"/>
  <c r="BA31" i="17"/>
  <c r="CF315" i="17"/>
  <c r="CE315" i="17"/>
  <c r="DO194" i="17"/>
  <c r="DP194" i="17"/>
  <c r="DQ194" i="17" s="1"/>
  <c r="DO354" i="17"/>
  <c r="DP354" i="17"/>
  <c r="DQ354" i="17" s="1"/>
  <c r="DL325" i="17"/>
  <c r="DS325" i="17"/>
  <c r="DL444" i="17"/>
  <c r="DL469" i="17"/>
  <c r="DL486" i="17"/>
  <c r="DS486" i="17"/>
  <c r="CF525" i="17"/>
  <c r="CE525" i="17"/>
  <c r="DO534" i="17"/>
  <c r="DP534" i="17"/>
  <c r="DQ534" i="17" s="1"/>
  <c r="CF410" i="17"/>
  <c r="CE410" i="17"/>
  <c r="Y486" i="17"/>
  <c r="DS394" i="17"/>
  <c r="DO99" i="17"/>
  <c r="DP99" i="17"/>
  <c r="CE385" i="17"/>
  <c r="CF385" i="17"/>
  <c r="DO437" i="17"/>
  <c r="DP437" i="17"/>
  <c r="DQ437" i="17" s="1"/>
  <c r="DL133" i="17"/>
  <c r="DS149" i="17"/>
  <c r="BA320" i="17"/>
  <c r="DS466" i="17"/>
  <c r="DL30" i="17"/>
  <c r="DQ30" i="17" s="1"/>
  <c r="DP137" i="17"/>
  <c r="DQ137" i="17" s="1"/>
  <c r="DP167" i="17"/>
  <c r="CE148" i="17"/>
  <c r="CP205" i="17"/>
  <c r="CE226" i="17"/>
  <c r="DL226" i="17"/>
  <c r="CE290" i="17"/>
  <c r="CE323" i="17"/>
  <c r="DS226" i="17"/>
  <c r="DL399" i="17"/>
  <c r="BA405" i="17"/>
  <c r="DL323" i="17"/>
  <c r="CE361" i="17"/>
  <c r="DL385" i="17"/>
  <c r="Z472" i="17"/>
  <c r="I22" i="18" s="1"/>
  <c r="DS391" i="17"/>
  <c r="DP380" i="17"/>
  <c r="BA415" i="17"/>
  <c r="Y178" i="17"/>
  <c r="DO133" i="17"/>
  <c r="DP133" i="17"/>
  <c r="DP231" i="17"/>
  <c r="DQ231" i="17" s="1"/>
  <c r="DO231" i="17"/>
  <c r="DL235" i="17"/>
  <c r="DS235" i="17"/>
  <c r="DL267" i="17"/>
  <c r="DS267" i="17"/>
  <c r="DL361" i="17"/>
  <c r="DS361" i="17"/>
  <c r="CF461" i="17"/>
  <c r="CE461" i="17"/>
  <c r="DP513" i="17"/>
  <c r="DQ513" i="17" s="1"/>
  <c r="DO513" i="17"/>
  <c r="DQ58" i="17"/>
  <c r="DQ322" i="17"/>
  <c r="DQ138" i="17"/>
  <c r="DQ375" i="17"/>
  <c r="DP130" i="17"/>
  <c r="DQ130" i="17" s="1"/>
  <c r="DO130" i="17"/>
  <c r="DL91" i="17"/>
  <c r="DS91" i="17"/>
  <c r="DP134" i="17"/>
  <c r="DQ134" i="17" s="1"/>
  <c r="DO134" i="17"/>
  <c r="DS144" i="17"/>
  <c r="DL144" i="17"/>
  <c r="DL191" i="17"/>
  <c r="DS191" i="17"/>
  <c r="DQ310" i="17"/>
  <c r="DS349" i="17"/>
  <c r="DL349" i="17"/>
  <c r="CF175" i="17"/>
  <c r="CE175" i="17"/>
  <c r="CF420" i="17"/>
  <c r="CE420" i="17"/>
  <c r="DO404" i="17"/>
  <c r="DP404" i="17"/>
  <c r="R525" i="17"/>
  <c r="DR525" i="17"/>
  <c r="DS371" i="17"/>
  <c r="DL371" i="17"/>
  <c r="CF364" i="17"/>
  <c r="CE364" i="17"/>
  <c r="DS431" i="17"/>
  <c r="DL431" i="17"/>
  <c r="DO499" i="17"/>
  <c r="DP499" i="17"/>
  <c r="DQ499" i="17" s="1"/>
  <c r="DS512" i="17"/>
  <c r="DL512" i="17"/>
  <c r="DQ225" i="17"/>
  <c r="DQ388" i="17"/>
  <c r="DQ31" i="17"/>
  <c r="BA19" i="17"/>
  <c r="DL19" i="17"/>
  <c r="DS28" i="17"/>
  <c r="DQ106" i="17"/>
  <c r="DO79" i="17"/>
  <c r="DP79" i="17"/>
  <c r="DP77" i="17"/>
  <c r="DQ77" i="17" s="1"/>
  <c r="DO77" i="17"/>
  <c r="DQ171" i="17"/>
  <c r="DO300" i="17"/>
  <c r="DP300" i="17"/>
  <c r="CE269" i="17"/>
  <c r="CF269" i="17"/>
  <c r="DP387" i="17"/>
  <c r="DO387" i="17"/>
  <c r="DO295" i="17"/>
  <c r="DP295" i="17"/>
  <c r="DQ295" i="17" s="1"/>
  <c r="CE247" i="17"/>
  <c r="CF247" i="17"/>
  <c r="DS382" i="17"/>
  <c r="DL382" i="17"/>
  <c r="DQ299" i="17"/>
  <c r="CE414" i="17"/>
  <c r="CF414" i="17"/>
  <c r="DQ288" i="17"/>
  <c r="CI398" i="17"/>
  <c r="CN398" i="17" s="1"/>
  <c r="DL24" i="17"/>
  <c r="DS24" i="17"/>
  <c r="DL120" i="17"/>
  <c r="DS120" i="17"/>
  <c r="DO140" i="17"/>
  <c r="DP140" i="17"/>
  <c r="CD179" i="17"/>
  <c r="CG179" i="17"/>
  <c r="DL161" i="17"/>
  <c r="DS193" i="17"/>
  <c r="DL193" i="17"/>
  <c r="DO284" i="17"/>
  <c r="DP284" i="17"/>
  <c r="DO350" i="17"/>
  <c r="DP350" i="17"/>
  <c r="DQ350" i="17" s="1"/>
  <c r="DQ423" i="17"/>
  <c r="DS366" i="17"/>
  <c r="DL366" i="17"/>
  <c r="DQ260" i="17"/>
  <c r="CF473" i="17"/>
  <c r="CE473" i="17"/>
  <c r="DS355" i="17"/>
  <c r="DL355" i="17"/>
  <c r="CG257" i="17"/>
  <c r="DS257" i="17"/>
  <c r="DQ426" i="17"/>
  <c r="DR529" i="17"/>
  <c r="R529" i="17"/>
  <c r="BA70" i="17"/>
  <c r="DS70" i="17"/>
  <c r="DO57" i="17"/>
  <c r="DP57" i="17"/>
  <c r="DS153" i="17"/>
  <c r="DL153" i="17"/>
  <c r="DS195" i="17"/>
  <c r="DL195" i="17"/>
  <c r="DS214" i="17"/>
  <c r="DP327" i="17"/>
  <c r="DO327" i="17"/>
  <c r="DS357" i="17"/>
  <c r="DL357" i="17"/>
  <c r="BA221" i="17"/>
  <c r="DS322" i="17"/>
  <c r="Y371" i="17"/>
  <c r="CF404" i="17"/>
  <c r="CE404" i="17"/>
  <c r="DL409" i="17"/>
  <c r="DS409" i="17"/>
  <c r="DL412" i="17"/>
  <c r="DS412" i="17"/>
  <c r="DP472" i="17"/>
  <c r="DO472" i="17"/>
  <c r="DS453" i="17"/>
  <c r="DL453" i="17"/>
  <c r="DS464" i="17"/>
  <c r="DL464" i="17"/>
  <c r="DS318" i="17"/>
  <c r="DL318" i="17"/>
  <c r="R442" i="17"/>
  <c r="DR442" i="17"/>
  <c r="DQ466" i="17"/>
  <c r="DS446" i="17"/>
  <c r="DL446" i="17"/>
  <c r="CG524" i="17"/>
  <c r="DS524" i="17"/>
  <c r="DQ285" i="17"/>
  <c r="DS474" i="17"/>
  <c r="DL474" i="17"/>
  <c r="DS496" i="17"/>
  <c r="DL496" i="17"/>
  <c r="DL506" i="17"/>
  <c r="DS506" i="17"/>
  <c r="CE214" i="17"/>
  <c r="DS15" i="17"/>
  <c r="DL15" i="17"/>
  <c r="Y24" i="17"/>
  <c r="DP32" i="17"/>
  <c r="DO32" i="17"/>
  <c r="DS56" i="17"/>
  <c r="DQ13" i="17"/>
  <c r="DS58" i="17"/>
  <c r="BA72" i="17"/>
  <c r="DQ88" i="17"/>
  <c r="CF63" i="17"/>
  <c r="CE63" i="17"/>
  <c r="CE34" i="17"/>
  <c r="CF34" i="17"/>
  <c r="CF82" i="17"/>
  <c r="CE82" i="17"/>
  <c r="Y81" i="17"/>
  <c r="DS81" i="17"/>
  <c r="DL81" i="17"/>
  <c r="DO120" i="17"/>
  <c r="DP120" i="17"/>
  <c r="DQ46" i="17"/>
  <c r="CE32" i="17"/>
  <c r="CF32" i="17"/>
  <c r="DS138" i="17"/>
  <c r="DL102" i="17"/>
  <c r="DL92" i="17"/>
  <c r="CF106" i="17"/>
  <c r="CE106" i="17"/>
  <c r="DL125" i="17"/>
  <c r="DS125" i="17"/>
  <c r="DO164" i="17"/>
  <c r="DP164" i="17"/>
  <c r="DQ164" i="17" s="1"/>
  <c r="DO73" i="17"/>
  <c r="DP73" i="17"/>
  <c r="BA138" i="17"/>
  <c r="CO179" i="17"/>
  <c r="DL181" i="17"/>
  <c r="DS181" i="17"/>
  <c r="DO151" i="17"/>
  <c r="DP151" i="17"/>
  <c r="DS96" i="17"/>
  <c r="BA96" i="17"/>
  <c r="CE162" i="17"/>
  <c r="CF162" i="17"/>
  <c r="DL176" i="17"/>
  <c r="CE257" i="17"/>
  <c r="CF210" i="17"/>
  <c r="CE210" i="17"/>
  <c r="Y193" i="17"/>
  <c r="DS269" i="17"/>
  <c r="DL269" i="17"/>
  <c r="DQ206" i="17"/>
  <c r="DS303" i="17"/>
  <c r="DL303" i="17"/>
  <c r="DL240" i="17"/>
  <c r="DS240" i="17"/>
  <c r="DO287" i="17"/>
  <c r="DP287" i="17"/>
  <c r="DQ287" i="17" s="1"/>
  <c r="DS205" i="17"/>
  <c r="DQ247" i="17"/>
  <c r="DS284" i="17"/>
  <c r="DL284" i="17"/>
  <c r="DO371" i="17"/>
  <c r="DP371" i="17"/>
  <c r="DQ251" i="17"/>
  <c r="DS316" i="17"/>
  <c r="DL316" i="17"/>
  <c r="CE342" i="17"/>
  <c r="CF342" i="17"/>
  <c r="DO366" i="17"/>
  <c r="DP366" i="17"/>
  <c r="DO21" i="17"/>
  <c r="DP21" i="17"/>
  <c r="DQ21" i="17" s="1"/>
  <c r="BB179" i="17"/>
  <c r="BA179" i="17"/>
  <c r="DO204" i="17"/>
  <c r="DP204" i="17"/>
  <c r="DS261" i="17"/>
  <c r="DL261" i="17"/>
  <c r="DS300" i="17"/>
  <c r="DL300" i="17"/>
  <c r="Y357" i="17"/>
  <c r="DL396" i="17"/>
  <c r="DS396" i="17"/>
  <c r="CE286" i="17"/>
  <c r="CF286" i="17"/>
  <c r="DS358" i="17"/>
  <c r="DL358" i="17"/>
  <c r="DL397" i="17"/>
  <c r="DQ352" i="17"/>
  <c r="DQ364" i="17"/>
  <c r="DO425" i="17"/>
  <c r="DP425" i="17"/>
  <c r="DQ425" i="17" s="1"/>
  <c r="CE295" i="17"/>
  <c r="CF295" i="17"/>
  <c r="CF380" i="17"/>
  <c r="CE380" i="17"/>
  <c r="DO385" i="17"/>
  <c r="DP385" i="17"/>
  <c r="DO420" i="17"/>
  <c r="DP420" i="17"/>
  <c r="DP496" i="17"/>
  <c r="DO496" i="17"/>
  <c r="DS390" i="17"/>
  <c r="DL390" i="17"/>
  <c r="DS387" i="17"/>
  <c r="DL387" i="17"/>
  <c r="CE422" i="17"/>
  <c r="CF422" i="17"/>
  <c r="DO475" i="17"/>
  <c r="DP475" i="17"/>
  <c r="DQ475" i="17" s="1"/>
  <c r="DS504" i="17"/>
  <c r="DL504" i="17"/>
  <c r="DS455" i="17"/>
  <c r="DL455" i="17"/>
  <c r="DS367" i="17"/>
  <c r="DS520" i="17"/>
  <c r="DL520" i="17"/>
  <c r="CE538" i="17"/>
  <c r="CF538" i="17"/>
  <c r="DQ317" i="17"/>
  <c r="CE339" i="17"/>
  <c r="CF339" i="17"/>
  <c r="Y409" i="17"/>
  <c r="Y387" i="17"/>
  <c r="CF431" i="17"/>
  <c r="CE431" i="17"/>
  <c r="DS441" i="17"/>
  <c r="DL441" i="17"/>
  <c r="CE455" i="17"/>
  <c r="CF455" i="17"/>
  <c r="CE465" i="17"/>
  <c r="CF465" i="17"/>
  <c r="DS498" i="17"/>
  <c r="DL498" i="17"/>
  <c r="CP507" i="17"/>
  <c r="CE514" i="17"/>
  <c r="CF514" i="17"/>
  <c r="DS526" i="17"/>
  <c r="DL526" i="17"/>
  <c r="DS541" i="17"/>
  <c r="DL541" i="17"/>
  <c r="DQ541" i="17" s="1"/>
  <c r="Y526" i="17"/>
  <c r="CE311" i="17"/>
  <c r="CF311" i="17"/>
  <c r="DP396" i="17"/>
  <c r="DO396" i="17"/>
  <c r="BA434" i="17"/>
  <c r="DS521" i="17"/>
  <c r="DL521" i="17"/>
  <c r="BA399" i="17"/>
  <c r="DQ454" i="17"/>
  <c r="DS507" i="17"/>
  <c r="DS8" i="17"/>
  <c r="Y8" i="17"/>
  <c r="DL8" i="17"/>
  <c r="DP150" i="17"/>
  <c r="DQ150" i="17" s="1"/>
  <c r="DO150" i="17"/>
  <c r="CF145" i="17"/>
  <c r="CE145" i="17"/>
  <c r="DS84" i="17"/>
  <c r="DL84" i="17"/>
  <c r="Y84" i="17"/>
  <c r="DO181" i="17"/>
  <c r="DP181" i="17"/>
  <c r="CE136" i="17"/>
  <c r="CF136" i="17"/>
  <c r="CE183" i="17"/>
  <c r="CF183" i="17"/>
  <c r="DS229" i="17"/>
  <c r="DL229" i="17"/>
  <c r="CF254" i="17"/>
  <c r="CE254" i="17"/>
  <c r="DS374" i="17"/>
  <c r="DL374" i="17"/>
  <c r="DO393" i="17"/>
  <c r="DP393" i="17"/>
  <c r="DQ393" i="17" s="1"/>
  <c r="CE248" i="17"/>
  <c r="CF248" i="17"/>
  <c r="CE522" i="17"/>
  <c r="CF522" i="17"/>
  <c r="DS43" i="17"/>
  <c r="DL43" i="17"/>
  <c r="DQ166" i="17"/>
  <c r="DO170" i="17"/>
  <c r="O44" i="25" s="1"/>
  <c r="P44" i="25" s="1"/>
  <c r="DP170" i="17"/>
  <c r="CE161" i="17"/>
  <c r="DQ296" i="17"/>
  <c r="DS222" i="17"/>
  <c r="DL222" i="17"/>
  <c r="DQ289" i="17"/>
  <c r="DS445" i="17"/>
  <c r="DL445" i="17"/>
  <c r="CF372" i="17"/>
  <c r="CE372" i="17"/>
  <c r="DL538" i="17"/>
  <c r="DS538" i="17"/>
  <c r="CE425" i="17"/>
  <c r="CF425" i="17"/>
  <c r="CG392" i="17"/>
  <c r="DS392" i="17"/>
  <c r="CE55" i="17"/>
  <c r="CF55" i="17"/>
  <c r="DS105" i="17"/>
  <c r="Y91" i="17"/>
  <c r="CE114" i="17"/>
  <c r="CF114" i="17"/>
  <c r="DL170" i="17"/>
  <c r="DP91" i="17"/>
  <c r="DO91" i="17"/>
  <c r="DO128" i="17"/>
  <c r="DP128" i="17"/>
  <c r="BA105" i="17"/>
  <c r="DQ200" i="17"/>
  <c r="DL221" i="17"/>
  <c r="Y321" i="17"/>
  <c r="DS321" i="17"/>
  <c r="DL321" i="17"/>
  <c r="CE373" i="17"/>
  <c r="CF373" i="17"/>
  <c r="CF347" i="17"/>
  <c r="CE347" i="17"/>
  <c r="DO511" i="17"/>
  <c r="DP511" i="17"/>
  <c r="CE357" i="17"/>
  <c r="CF357" i="17"/>
  <c r="DQ427" i="17"/>
  <c r="DS461" i="17"/>
  <c r="DL461" i="17"/>
  <c r="CE256" i="17"/>
  <c r="CF256" i="17"/>
  <c r="DP217" i="17"/>
  <c r="DO217" i="17"/>
  <c r="DL465" i="17"/>
  <c r="DS465" i="17"/>
  <c r="DS523" i="17"/>
  <c r="CG523" i="17"/>
  <c r="DL523" i="17"/>
  <c r="DS447" i="17"/>
  <c r="DL447" i="17"/>
  <c r="CE382" i="17"/>
  <c r="CF382" i="17"/>
  <c r="DL7" i="17"/>
  <c r="DS7" i="17"/>
  <c r="CE105" i="17"/>
  <c r="CF105" i="17"/>
  <c r="DO201" i="17"/>
  <c r="DP201" i="17"/>
  <c r="DS248" i="17"/>
  <c r="DL248" i="17"/>
  <c r="DO161" i="17"/>
  <c r="DP161" i="17"/>
  <c r="DL324" i="17"/>
  <c r="DS324" i="17"/>
  <c r="CE239" i="17"/>
  <c r="CF239" i="17"/>
  <c r="DS253" i="17"/>
  <c r="DL253" i="17"/>
  <c r="CE303" i="17"/>
  <c r="CF303" i="17"/>
  <c r="DS347" i="17"/>
  <c r="DL347" i="17"/>
  <c r="CF202" i="17"/>
  <c r="CE202" i="17"/>
  <c r="DO303" i="17"/>
  <c r="DP303" i="17"/>
  <c r="DL6" i="17"/>
  <c r="DS6" i="17"/>
  <c r="CF15" i="17"/>
  <c r="CE15" i="17"/>
  <c r="DS47" i="17"/>
  <c r="DL47" i="17"/>
  <c r="Y7" i="17"/>
  <c r="DL23" i="17"/>
  <c r="DO37" i="17"/>
  <c r="DP37" i="17"/>
  <c r="DO60" i="17"/>
  <c r="DP60" i="17"/>
  <c r="DQ60" i="17" s="1"/>
  <c r="DQ74" i="17"/>
  <c r="CF69" i="17"/>
  <c r="CE69" i="17"/>
  <c r="DL48" i="17"/>
  <c r="DL70" i="17"/>
  <c r="DL62" i="17"/>
  <c r="Y62" i="17"/>
  <c r="DS62" i="17"/>
  <c r="BA102" i="17"/>
  <c r="DQ53" i="17"/>
  <c r="CE73" i="17"/>
  <c r="CF73" i="17"/>
  <c r="CE92" i="17"/>
  <c r="CF92" i="17"/>
  <c r="DP65" i="17"/>
  <c r="DO65" i="17"/>
  <c r="CG139" i="17"/>
  <c r="DL143" i="17"/>
  <c r="Y143" i="17"/>
  <c r="DS143" i="17"/>
  <c r="DL139" i="17"/>
  <c r="DP119" i="17"/>
  <c r="DO119" i="17"/>
  <c r="DL151" i="17"/>
  <c r="Y151" i="17"/>
  <c r="DS151" i="17"/>
  <c r="DS158" i="17"/>
  <c r="DL158" i="17"/>
  <c r="DS170" i="17"/>
  <c r="CP163" i="17"/>
  <c r="DO209" i="17"/>
  <c r="DP209" i="17"/>
  <c r="DL163" i="17"/>
  <c r="CG95" i="17"/>
  <c r="DL95" i="17"/>
  <c r="CE190" i="17"/>
  <c r="CF190" i="17"/>
  <c r="DP253" i="17"/>
  <c r="DO253" i="17"/>
  <c r="DO277" i="17"/>
  <c r="DP277" i="17"/>
  <c r="DS272" i="17"/>
  <c r="DL272" i="17"/>
  <c r="DL140" i="17"/>
  <c r="DS140" i="17"/>
  <c r="DS176" i="17"/>
  <c r="DS202" i="17"/>
  <c r="DL202" i="17"/>
  <c r="CF181" i="17"/>
  <c r="CE181" i="17"/>
  <c r="DS237" i="17"/>
  <c r="DL237" i="17"/>
  <c r="DO292" i="17"/>
  <c r="DP292" i="17"/>
  <c r="DO165" i="17"/>
  <c r="DP165" i="17"/>
  <c r="DQ165" i="17" s="1"/>
  <c r="DQ219" i="17"/>
  <c r="DP355" i="17"/>
  <c r="DO355" i="17"/>
  <c r="DO224" i="17"/>
  <c r="DP224" i="17"/>
  <c r="DQ224" i="17" s="1"/>
  <c r="CF293" i="17"/>
  <c r="CE293" i="17"/>
  <c r="DL204" i="17"/>
  <c r="DS204" i="17"/>
  <c r="DO184" i="17"/>
  <c r="DP184" i="17"/>
  <c r="DQ184" i="17" s="1"/>
  <c r="DQ232" i="17"/>
  <c r="DS339" i="17"/>
  <c r="DL339" i="17"/>
  <c r="Y382" i="17"/>
  <c r="DS270" i="17"/>
  <c r="DL270" i="17"/>
  <c r="CE358" i="17"/>
  <c r="CF358" i="17"/>
  <c r="CE280" i="17"/>
  <c r="CF280" i="17"/>
  <c r="DO336" i="17"/>
  <c r="DP336" i="17"/>
  <c r="DQ336" i="17" s="1"/>
  <c r="DS397" i="17"/>
  <c r="CF331" i="17"/>
  <c r="CE331" i="17"/>
  <c r="CE350" i="17"/>
  <c r="CF350" i="17"/>
  <c r="CE367" i="17"/>
  <c r="Y374" i="17"/>
  <c r="DL205" i="17"/>
  <c r="DQ332" i="17"/>
  <c r="CF371" i="17"/>
  <c r="CE371" i="17"/>
  <c r="DP401" i="17"/>
  <c r="DO401" i="17"/>
  <c r="DS438" i="17"/>
  <c r="DL438" i="17"/>
  <c r="DO519" i="17"/>
  <c r="DP519" i="17"/>
  <c r="DO536" i="17"/>
  <c r="DP536" i="17"/>
  <c r="DO313" i="17"/>
  <c r="DP313" i="17"/>
  <c r="DQ313" i="17" s="1"/>
  <c r="BA343" i="17"/>
  <c r="CQ359" i="17"/>
  <c r="DS359" i="17"/>
  <c r="DQ410" i="17"/>
  <c r="CE447" i="17"/>
  <c r="CF447" i="17"/>
  <c r="CF453" i="17"/>
  <c r="CE453" i="17"/>
  <c r="DS389" i="17"/>
  <c r="DL389" i="17"/>
  <c r="DO442" i="17"/>
  <c r="DP442" i="17"/>
  <c r="DS537" i="17"/>
  <c r="DL537" i="17"/>
  <c r="DS432" i="17"/>
  <c r="DL432" i="17"/>
  <c r="DQ510" i="17"/>
  <c r="CF519" i="17"/>
  <c r="CE519" i="17"/>
  <c r="CF301" i="17"/>
  <c r="CE301" i="17"/>
  <c r="Y506" i="17"/>
  <c r="DS511" i="17"/>
  <c r="DL511" i="17"/>
  <c r="Y453" i="17"/>
  <c r="DS497" i="17"/>
  <c r="DL497" i="17"/>
  <c r="DL524" i="17"/>
  <c r="DS223" i="17"/>
  <c r="DL223" i="17"/>
  <c r="DS433" i="17"/>
  <c r="DL433" i="17"/>
  <c r="DQ457" i="17"/>
  <c r="DQ55" i="17"/>
  <c r="DO98" i="17"/>
  <c r="DP98" i="17"/>
  <c r="DQ98" i="17" s="1"/>
  <c r="DS114" i="17"/>
  <c r="DL114" i="17"/>
  <c r="DP34" i="17"/>
  <c r="DQ34" i="17" s="1"/>
  <c r="DO34" i="17"/>
  <c r="DO324" i="17"/>
  <c r="DP324" i="17"/>
  <c r="DP363" i="17"/>
  <c r="DO363" i="17"/>
  <c r="DS379" i="17"/>
  <c r="DL379" i="17"/>
  <c r="DS381" i="17"/>
  <c r="DL381" i="17"/>
  <c r="DS278" i="17"/>
  <c r="DL278" i="17"/>
  <c r="DS482" i="17"/>
  <c r="DL482" i="17"/>
  <c r="DP413" i="17"/>
  <c r="DQ413" i="17" s="1"/>
  <c r="DO413" i="17"/>
  <c r="Y431" i="17"/>
  <c r="DS462" i="17"/>
  <c r="DL462" i="17"/>
  <c r="DQ66" i="17"/>
  <c r="DQ35" i="17"/>
  <c r="CF23" i="17"/>
  <c r="CE23" i="17"/>
  <c r="CE116" i="17"/>
  <c r="CF116" i="17"/>
  <c r="CE164" i="17"/>
  <c r="CF164" i="17"/>
  <c r="DL87" i="17"/>
  <c r="Y87" i="17"/>
  <c r="DS87" i="17"/>
  <c r="DS212" i="17"/>
  <c r="DL212" i="17"/>
  <c r="DQ136" i="17"/>
  <c r="DO124" i="17"/>
  <c r="DP124" i="17"/>
  <c r="DS264" i="17"/>
  <c r="DL264" i="17"/>
  <c r="DS292" i="17"/>
  <c r="DL292" i="17"/>
  <c r="CF222" i="17"/>
  <c r="CE222" i="17"/>
  <c r="DP430" i="17"/>
  <c r="DO430" i="17"/>
  <c r="DS439" i="17"/>
  <c r="DL439" i="17"/>
  <c r="CF446" i="17"/>
  <c r="CE446" i="17"/>
  <c r="CE536" i="17"/>
  <c r="CF536" i="17"/>
  <c r="CG375" i="17"/>
  <c r="DS375" i="17"/>
  <c r="DL514" i="17"/>
  <c r="DS514" i="17"/>
  <c r="DQ471" i="17"/>
  <c r="DS343" i="17"/>
  <c r="CE24" i="17"/>
  <c r="CF24" i="17"/>
  <c r="CE18" i="17"/>
  <c r="CF18" i="17"/>
  <c r="CP20" i="17"/>
  <c r="DP38" i="17"/>
  <c r="DO38" i="17"/>
  <c r="DL72" i="17"/>
  <c r="DQ97" i="17"/>
  <c r="DO117" i="17"/>
  <c r="DP117" i="17"/>
  <c r="DQ117" i="17" s="1"/>
  <c r="DL128" i="17"/>
  <c r="DS128" i="17"/>
  <c r="DL73" i="17"/>
  <c r="DS73" i="17"/>
  <c r="Y73" i="17"/>
  <c r="DS210" i="17"/>
  <c r="DL210" i="17"/>
  <c r="DL160" i="17"/>
  <c r="DS160" i="17"/>
  <c r="DQ330" i="17"/>
  <c r="DQ370" i="17"/>
  <c r="DS245" i="17"/>
  <c r="DL245" i="17"/>
  <c r="CF327" i="17"/>
  <c r="CE327" i="17"/>
  <c r="CE363" i="17"/>
  <c r="CF363" i="17"/>
  <c r="DL327" i="17"/>
  <c r="DS327" i="17"/>
  <c r="DP470" i="17"/>
  <c r="DO470" i="17"/>
  <c r="DQ540" i="17"/>
  <c r="BA472" i="17"/>
  <c r="BB472" i="17"/>
  <c r="DO392" i="17"/>
  <c r="DP392" i="17"/>
  <c r="DQ42" i="17"/>
  <c r="DQ52" i="17"/>
  <c r="CE109" i="17"/>
  <c r="CF109" i="17"/>
  <c r="DS116" i="17"/>
  <c r="DL116" i="17"/>
  <c r="DP107" i="17"/>
  <c r="DO107" i="17"/>
  <c r="DO162" i="17"/>
  <c r="DP162" i="17"/>
  <c r="DQ162" i="17" s="1"/>
  <c r="DO308" i="17"/>
  <c r="DP308" i="17"/>
  <c r="DS198" i="17"/>
  <c r="CE349" i="17"/>
  <c r="CF349" i="17"/>
  <c r="DS331" i="17"/>
  <c r="DL331" i="17"/>
  <c r="CQ20" i="17"/>
  <c r="DS23" i="17"/>
  <c r="DP62" i="17"/>
  <c r="DO62" i="17"/>
  <c r="DS48" i="17"/>
  <c r="CE101" i="17"/>
  <c r="CF101" i="17"/>
  <c r="DO102" i="17"/>
  <c r="DP102" i="17"/>
  <c r="DS118" i="17"/>
  <c r="DL129" i="17"/>
  <c r="DS129" i="17"/>
  <c r="DO142" i="17"/>
  <c r="DP142" i="17"/>
  <c r="DQ142" i="17" s="1"/>
  <c r="DS74" i="17"/>
  <c r="BA74" i="17"/>
  <c r="DP33" i="17"/>
  <c r="DQ33" i="17" s="1"/>
  <c r="DO33" i="17"/>
  <c r="CE139" i="17"/>
  <c r="CF139" i="17"/>
  <c r="DO143" i="17"/>
  <c r="DP143" i="17"/>
  <c r="DQ156" i="17"/>
  <c r="Y144" i="17"/>
  <c r="DS59" i="17"/>
  <c r="DL59" i="17"/>
  <c r="Y128" i="17"/>
  <c r="DS152" i="17"/>
  <c r="DL152" i="17"/>
  <c r="DQ157" i="17"/>
  <c r="DS127" i="17"/>
  <c r="DL127" i="17"/>
  <c r="CE157" i="17"/>
  <c r="CF157" i="17"/>
  <c r="CE196" i="17"/>
  <c r="CF196" i="17"/>
  <c r="CE204" i="17"/>
  <c r="CF204" i="17"/>
  <c r="DL185" i="17"/>
  <c r="DO189" i="17"/>
  <c r="O83" i="25" s="1"/>
  <c r="P83" i="25" s="1"/>
  <c r="DP189" i="17"/>
  <c r="DQ189" i="17" s="1"/>
  <c r="DP190" i="17"/>
  <c r="DO190" i="17"/>
  <c r="O84" i="25" s="1"/>
  <c r="P84" i="25" s="1"/>
  <c r="DO220" i="17"/>
  <c r="DP220" i="17"/>
  <c r="DQ220" i="17" s="1"/>
  <c r="CE133" i="17"/>
  <c r="CG133" i="17"/>
  <c r="CE158" i="17"/>
  <c r="CF158" i="17"/>
  <c r="CE212" i="17"/>
  <c r="CF212" i="17"/>
  <c r="Y195" i="17"/>
  <c r="Y264" i="17"/>
  <c r="DS277" i="17"/>
  <c r="DL277" i="17"/>
  <c r="DS311" i="17"/>
  <c r="DL311" i="17"/>
  <c r="CE224" i="17"/>
  <c r="CF224" i="17"/>
  <c r="CE232" i="17"/>
  <c r="CF232" i="17"/>
  <c r="CG266" i="17"/>
  <c r="DS266" i="17"/>
  <c r="CE319" i="17"/>
  <c r="CF319" i="17"/>
  <c r="CE264" i="17"/>
  <c r="CF264" i="17"/>
  <c r="DO379" i="17"/>
  <c r="DP379" i="17"/>
  <c r="Y245" i="17"/>
  <c r="DL155" i="17"/>
  <c r="Y155" i="17"/>
  <c r="DS155" i="17"/>
  <c r="CG213" i="17"/>
  <c r="DS213" i="17"/>
  <c r="CE300" i="17"/>
  <c r="CF300" i="17"/>
  <c r="CG360" i="17"/>
  <c r="DS360" i="17"/>
  <c r="CF412" i="17"/>
  <c r="CE412" i="17"/>
  <c r="Y366" i="17"/>
  <c r="CF270" i="17"/>
  <c r="CE270" i="17"/>
  <c r="DS288" i="17"/>
  <c r="DQ341" i="17"/>
  <c r="DQ346" i="17"/>
  <c r="DS308" i="17"/>
  <c r="DL308" i="17"/>
  <c r="CE341" i="17"/>
  <c r="CF341" i="17"/>
  <c r="DO409" i="17"/>
  <c r="DP409" i="17"/>
  <c r="DL417" i="17"/>
  <c r="DS417" i="17"/>
  <c r="DO438" i="17"/>
  <c r="DP438" i="17"/>
  <c r="DO461" i="17"/>
  <c r="DP461" i="17"/>
  <c r="DO480" i="17"/>
  <c r="DP480" i="17"/>
  <c r="Y277" i="17"/>
  <c r="DO390" i="17"/>
  <c r="DP390" i="17"/>
  <c r="CG400" i="17"/>
  <c r="DL400" i="17"/>
  <c r="CG416" i="17"/>
  <c r="DL416" i="17"/>
  <c r="CE506" i="17"/>
  <c r="CF506" i="17"/>
  <c r="BA515" i="17"/>
  <c r="DO281" i="17"/>
  <c r="DP281" i="17"/>
  <c r="DQ281" i="17" s="1"/>
  <c r="DS519" i="17"/>
  <c r="DL519" i="17"/>
  <c r="DP405" i="17"/>
  <c r="DQ405" i="17" s="1"/>
  <c r="DO405" i="17"/>
  <c r="DQ319" i="17"/>
  <c r="DL359" i="17"/>
  <c r="DS470" i="17"/>
  <c r="DL470" i="17"/>
  <c r="DP421" i="17"/>
  <c r="DO421" i="17"/>
  <c r="CE433" i="17"/>
  <c r="CF433" i="17"/>
  <c r="Y439" i="17"/>
  <c r="DL420" i="17"/>
  <c r="DS420" i="17"/>
  <c r="DL508" i="17"/>
  <c r="DS508" i="17"/>
  <c r="CG508" i="17"/>
  <c r="Y324" i="17"/>
  <c r="DS373" i="17"/>
  <c r="DL373" i="17"/>
  <c r="CC398" i="17"/>
  <c r="CE400" i="17"/>
  <c r="CP442" i="17"/>
  <c r="Y339" i="17"/>
  <c r="DQ414" i="17"/>
  <c r="Y412" i="17"/>
  <c r="DQ477" i="17"/>
  <c r="DQ505" i="17"/>
  <c r="DQ11" i="17"/>
  <c r="DS45" i="17"/>
  <c r="DL45" i="17"/>
  <c r="Y45" i="17"/>
  <c r="DQ105" i="17"/>
  <c r="CE127" i="17"/>
  <c r="CF127" i="17"/>
  <c r="DQ218" i="17"/>
  <c r="CE284" i="17"/>
  <c r="CF284" i="17"/>
  <c r="CE316" i="17"/>
  <c r="CF316" i="17"/>
  <c r="DO339" i="17"/>
  <c r="DP339" i="17"/>
  <c r="Y229" i="17"/>
  <c r="DO272" i="17"/>
  <c r="DP272" i="17"/>
  <c r="R179" i="17"/>
  <c r="Y179" i="17" s="1"/>
  <c r="CE324" i="17"/>
  <c r="CF324" i="17"/>
  <c r="CF278" i="17"/>
  <c r="CE278" i="17"/>
  <c r="CE272" i="17"/>
  <c r="CF272" i="17"/>
  <c r="DS430" i="17"/>
  <c r="DL430" i="17"/>
  <c r="DS491" i="17"/>
  <c r="DL491" i="17"/>
  <c r="Y512" i="17"/>
  <c r="DL41" i="17"/>
  <c r="DS41" i="17"/>
  <c r="CF33" i="17"/>
  <c r="CE33" i="17"/>
  <c r="DQ44" i="17"/>
  <c r="DL56" i="17"/>
  <c r="DO90" i="17"/>
  <c r="DP90" i="17"/>
  <c r="DQ90" i="17" s="1"/>
  <c r="CE153" i="17"/>
  <c r="CF153" i="17"/>
  <c r="Y114" i="17"/>
  <c r="DQ108" i="17"/>
  <c r="DS67" i="17"/>
  <c r="DL67" i="17"/>
  <c r="CE147" i="17"/>
  <c r="CF147" i="17"/>
  <c r="DL217" i="17"/>
  <c r="DS217" i="17"/>
  <c r="CE209" i="17"/>
  <c r="CF209" i="17"/>
  <c r="DS286" i="17"/>
  <c r="DL286" i="17"/>
  <c r="DO342" i="17"/>
  <c r="DP342" i="17"/>
  <c r="DQ342" i="17" s="1"/>
  <c r="DP417" i="17"/>
  <c r="DO417" i="17"/>
  <c r="DO488" i="17"/>
  <c r="DP488" i="17"/>
  <c r="DQ443" i="17"/>
  <c r="DS528" i="17"/>
  <c r="DL528" i="17"/>
  <c r="CE491" i="17"/>
  <c r="CF491" i="17"/>
  <c r="DQ402" i="17"/>
  <c r="DS340" i="17"/>
  <c r="DL340" i="17"/>
  <c r="CD472" i="17"/>
  <c r="CG472" i="17"/>
  <c r="DS293" i="17"/>
  <c r="DL293" i="17"/>
  <c r="DS5" i="17"/>
  <c r="DL5" i="17"/>
  <c r="DO50" i="17"/>
  <c r="DP50" i="17"/>
  <c r="DS29" i="17"/>
  <c r="DL29" i="17"/>
  <c r="DS76" i="17"/>
  <c r="DL76" i="17"/>
  <c r="DS107" i="17"/>
  <c r="DL107" i="17"/>
  <c r="DS85" i="17"/>
  <c r="DL85" i="17"/>
  <c r="BA185" i="17"/>
  <c r="DQ103" i="17"/>
  <c r="DS201" i="17"/>
  <c r="DL201" i="17"/>
  <c r="DP269" i="17"/>
  <c r="DO269" i="17"/>
  <c r="O102" i="25" s="1"/>
  <c r="P102" i="25" s="1"/>
  <c r="DO172" i="17"/>
  <c r="O75" i="25" s="1"/>
  <c r="P75" i="25" s="1"/>
  <c r="DP172" i="17"/>
  <c r="DQ172" i="17" s="1"/>
  <c r="CF285" i="17"/>
  <c r="CE285" i="17"/>
  <c r="DQ258" i="17"/>
  <c r="CE321" i="17"/>
  <c r="CF321" i="17"/>
  <c r="DS380" i="17"/>
  <c r="E13" i="18" s="1"/>
  <c r="DL380" i="17"/>
  <c r="K26" i="18" s="1"/>
  <c r="CE279" i="17"/>
  <c r="CF279" i="17"/>
  <c r="Y349" i="17"/>
  <c r="DO196" i="17"/>
  <c r="O86" i="25" s="1"/>
  <c r="P86" i="25" s="1"/>
  <c r="DP196" i="17"/>
  <c r="DL401" i="17"/>
  <c r="DS401" i="17"/>
  <c r="DO445" i="17"/>
  <c r="DP445" i="17"/>
  <c r="DP526" i="17"/>
  <c r="DO526" i="17"/>
  <c r="CE203" i="17"/>
  <c r="CF203" i="17"/>
  <c r="DQ250" i="17"/>
  <c r="CE475" i="17"/>
  <c r="CF475" i="17"/>
  <c r="CE263" i="17"/>
  <c r="CF263" i="17"/>
  <c r="DS488" i="17"/>
  <c r="DL488" i="17"/>
  <c r="DS501" i="17"/>
  <c r="CG501" i="17"/>
  <c r="DL501" i="17"/>
  <c r="DS480" i="17"/>
  <c r="DL480" i="17"/>
  <c r="DS536" i="17"/>
  <c r="DL536" i="17"/>
  <c r="DS14" i="17"/>
  <c r="DL14" i="17"/>
  <c r="DL32" i="17"/>
  <c r="DS32" i="17"/>
  <c r="DP81" i="17"/>
  <c r="DO81" i="17"/>
  <c r="O60" i="25" s="1"/>
  <c r="P60" i="25" s="1"/>
  <c r="Y210" i="17"/>
  <c r="CF317" i="17"/>
  <c r="CE317" i="17"/>
  <c r="DO311" i="17"/>
  <c r="DP311" i="17"/>
  <c r="DP6" i="17"/>
  <c r="DO6" i="17"/>
  <c r="DS19" i="17"/>
  <c r="Y29" i="17"/>
  <c r="DO41" i="17"/>
  <c r="DP41" i="17"/>
  <c r="DL57" i="17"/>
  <c r="DS57" i="17"/>
  <c r="DL20" i="17"/>
  <c r="CE22" i="17"/>
  <c r="CF22" i="17"/>
  <c r="DQ36" i="17"/>
  <c r="DS65" i="17"/>
  <c r="DL65" i="17"/>
  <c r="DS78" i="17"/>
  <c r="DL78" i="17"/>
  <c r="DQ64" i="17"/>
  <c r="DS75" i="17"/>
  <c r="DL75" i="17"/>
  <c r="CF91" i="17"/>
  <c r="CE91" i="17"/>
  <c r="DS145" i="17"/>
  <c r="DL145" i="17"/>
  <c r="CE59" i="17"/>
  <c r="CF59" i="17"/>
  <c r="CE74" i="17"/>
  <c r="CF74" i="17"/>
  <c r="DS93" i="17"/>
  <c r="DL93" i="17"/>
  <c r="Y120" i="17"/>
  <c r="CG111" i="17"/>
  <c r="CE111" i="17"/>
  <c r="DL111" i="17"/>
  <c r="DS111" i="17"/>
  <c r="DL99" i="17"/>
  <c r="DS99" i="17"/>
  <c r="DO177" i="17"/>
  <c r="DP177" i="17"/>
  <c r="CE140" i="17"/>
  <c r="CF140" i="17"/>
  <c r="CE198" i="17"/>
  <c r="DS209" i="17"/>
  <c r="DL209" i="17"/>
  <c r="DP135" i="17"/>
  <c r="DQ135" i="17" s="1"/>
  <c r="DO135" i="17"/>
  <c r="DS163" i="17"/>
  <c r="DO169" i="17"/>
  <c r="DP169" i="17"/>
  <c r="DL112" i="17"/>
  <c r="DS112" i="17"/>
  <c r="Y112" i="17"/>
  <c r="DS177" i="17"/>
  <c r="DL177" i="17"/>
  <c r="DO261" i="17"/>
  <c r="DP261" i="17"/>
  <c r="CE240" i="17"/>
  <c r="CF240" i="17"/>
  <c r="DS255" i="17"/>
  <c r="DL255" i="17"/>
  <c r="DS280" i="17"/>
  <c r="DL280" i="17"/>
  <c r="CG216" i="17"/>
  <c r="DL216" i="17"/>
  <c r="DL196" i="17"/>
  <c r="DS196" i="17"/>
  <c r="DL214" i="17"/>
  <c r="DO316" i="17"/>
  <c r="DP316" i="17"/>
  <c r="DQ233" i="17"/>
  <c r="CE245" i="17"/>
  <c r="CF245" i="17"/>
  <c r="DS294" i="17"/>
  <c r="DL294" i="17"/>
  <c r="DS348" i="17"/>
  <c r="DL348" i="17"/>
  <c r="DS372" i="17"/>
  <c r="DL372" i="17"/>
  <c r="DO234" i="17"/>
  <c r="DP234" i="17"/>
  <c r="DQ234" i="17" s="1"/>
  <c r="CE294" i="17"/>
  <c r="CF294" i="17"/>
  <c r="CE223" i="17"/>
  <c r="CF223" i="17"/>
  <c r="CE292" i="17"/>
  <c r="CF292" i="17"/>
  <c r="CE334" i="17"/>
  <c r="CF334" i="17"/>
  <c r="DL257" i="17"/>
  <c r="Y222" i="17"/>
  <c r="DO359" i="17"/>
  <c r="DP359" i="17"/>
  <c r="DO462" i="17"/>
  <c r="DP462" i="17"/>
  <c r="DS203" i="17"/>
  <c r="DL203" i="17"/>
  <c r="CE374" i="17"/>
  <c r="CF374" i="17"/>
  <c r="CF308" i="17"/>
  <c r="CE308" i="17"/>
  <c r="DQ434" i="17"/>
  <c r="DS440" i="17"/>
  <c r="DL440" i="17"/>
  <c r="DS481" i="17"/>
  <c r="DL481" i="17"/>
  <c r="DS489" i="17"/>
  <c r="DL489" i="17"/>
  <c r="Y519" i="17"/>
  <c r="CE255" i="17"/>
  <c r="CF255" i="17"/>
  <c r="DQ368" i="17"/>
  <c r="CG408" i="17"/>
  <c r="DL408" i="17"/>
  <c r="Y480" i="17"/>
  <c r="DO506" i="17"/>
  <c r="DP506" i="17"/>
  <c r="DQ531" i="17"/>
  <c r="DS463" i="17"/>
  <c r="DL463" i="17"/>
  <c r="DS333" i="17"/>
  <c r="DL333" i="17"/>
  <c r="Y269" i="17"/>
  <c r="Y465" i="17"/>
  <c r="DS363" i="17"/>
  <c r="DL363" i="17"/>
  <c r="DO449" i="17"/>
  <c r="DP449" i="17"/>
  <c r="DQ449" i="17" s="1"/>
  <c r="DQ365" i="17"/>
  <c r="Y440" i="17"/>
  <c r="DS473" i="17"/>
  <c r="DL473" i="17"/>
  <c r="Y204" i="17"/>
  <c r="Y445" i="17"/>
  <c r="DS301" i="17"/>
  <c r="DL301" i="17"/>
  <c r="DS527" i="17"/>
  <c r="DL527" i="17"/>
  <c r="Y300" i="17"/>
  <c r="DL404" i="17"/>
  <c r="DS404" i="17"/>
  <c r="BA466" i="17"/>
  <c r="Y488" i="17"/>
  <c r="O64" i="25" l="1"/>
  <c r="P64" i="25" s="1"/>
  <c r="O58" i="25"/>
  <c r="P58" i="25" s="1"/>
  <c r="DQ238" i="17"/>
  <c r="O39" i="25"/>
  <c r="P39" i="25" s="1"/>
  <c r="O40" i="25"/>
  <c r="P40" i="25" s="1"/>
  <c r="O54" i="25"/>
  <c r="P54" i="25" s="1"/>
  <c r="CL472" i="17"/>
  <c r="O57" i="25"/>
  <c r="P57" i="25" s="1"/>
  <c r="O37" i="25"/>
  <c r="P37" i="25" s="1"/>
  <c r="O47" i="25"/>
  <c r="P47" i="25" s="1"/>
  <c r="O50" i="25"/>
  <c r="P50" i="25" s="1"/>
  <c r="O62" i="25"/>
  <c r="P62" i="25" s="1"/>
  <c r="O33" i="25"/>
  <c r="P33" i="25" s="1"/>
  <c r="O52" i="25"/>
  <c r="P52" i="25" s="1"/>
  <c r="O49" i="25"/>
  <c r="P49" i="25" s="1"/>
  <c r="O59" i="25"/>
  <c r="P59" i="25" s="1"/>
  <c r="O69" i="25"/>
  <c r="P69" i="25" s="1"/>
  <c r="O36" i="25"/>
  <c r="P36" i="25" s="1"/>
  <c r="O70" i="25"/>
  <c r="P70" i="25" s="1"/>
  <c r="O53" i="25"/>
  <c r="P53" i="25" s="1"/>
  <c r="O45" i="25"/>
  <c r="P45" i="25" s="1"/>
  <c r="O66" i="25"/>
  <c r="P66" i="25" s="1"/>
  <c r="O63" i="25"/>
  <c r="P63" i="25" s="1"/>
  <c r="CN472" i="17"/>
  <c r="CO472" i="17" s="1"/>
  <c r="O78" i="25"/>
  <c r="P78" i="25" s="1"/>
  <c r="O38" i="25"/>
  <c r="P38" i="25" s="1"/>
  <c r="O48" i="25"/>
  <c r="P48" i="25" s="1"/>
  <c r="O61" i="25"/>
  <c r="P61" i="25" s="1"/>
  <c r="O35" i="25"/>
  <c r="P35" i="25" s="1"/>
  <c r="O71" i="25"/>
  <c r="P71" i="25" s="1"/>
  <c r="O34" i="25"/>
  <c r="P34" i="25" s="1"/>
  <c r="O65" i="25"/>
  <c r="P65" i="25" s="1"/>
  <c r="O56" i="25"/>
  <c r="P56" i="25" s="1"/>
  <c r="O67" i="25"/>
  <c r="P67" i="25" s="1"/>
  <c r="O72" i="25"/>
  <c r="P72" i="25" s="1"/>
  <c r="O41" i="25"/>
  <c r="P41" i="25" s="1"/>
  <c r="O74" i="25"/>
  <c r="P74" i="25" s="1"/>
  <c r="O73" i="25"/>
  <c r="P73" i="25" s="1"/>
  <c r="O43" i="25"/>
  <c r="P43" i="25" s="1"/>
  <c r="O55" i="25"/>
  <c r="P55" i="25" s="1"/>
  <c r="O32" i="25"/>
  <c r="P32" i="25" s="1"/>
  <c r="O31" i="25"/>
  <c r="P31" i="25" s="1"/>
  <c r="DQ467" i="17"/>
  <c r="G22" i="18"/>
  <c r="G23" i="18" s="1"/>
  <c r="G24" i="18" s="1"/>
  <c r="CJ398" i="17"/>
  <c r="K25" i="18"/>
  <c r="L25" i="18" s="1"/>
  <c r="L17" i="18"/>
  <c r="DQ532" i="17"/>
  <c r="DQ149" i="17"/>
  <c r="DQ353" i="17"/>
  <c r="DQ51" i="17"/>
  <c r="CP179" i="17"/>
  <c r="DQ518" i="17"/>
  <c r="DQ252" i="17"/>
  <c r="DR179" i="17"/>
  <c r="DQ297" i="17"/>
  <c r="DQ391" i="17"/>
  <c r="DQ428" i="17"/>
  <c r="DP179" i="17"/>
  <c r="DQ17" i="17"/>
  <c r="C25" i="18"/>
  <c r="D25" i="18" s="1"/>
  <c r="DQ243" i="17"/>
  <c r="I23" i="18"/>
  <c r="DQ507" i="17"/>
  <c r="DQ25" i="17"/>
  <c r="DQ190" i="17"/>
  <c r="DQ199" i="17"/>
  <c r="DQ351" i="17"/>
  <c r="CH472" i="17"/>
  <c r="DQ392" i="17"/>
  <c r="DQ495" i="17"/>
  <c r="DQ415" i="17"/>
  <c r="DQ79" i="17"/>
  <c r="DQ89" i="17"/>
  <c r="DQ37" i="17"/>
  <c r="DQ183" i="17"/>
  <c r="DQ63" i="17"/>
  <c r="DQ38" i="17"/>
  <c r="DQ385" i="17"/>
  <c r="DQ169" i="17"/>
  <c r="DQ484" i="17"/>
  <c r="DQ298" i="17"/>
  <c r="DQ188" i="17"/>
  <c r="DQ119" i="17"/>
  <c r="DQ509" i="17"/>
  <c r="DQ378" i="17"/>
  <c r="DQ132" i="17"/>
  <c r="DQ198" i="17"/>
  <c r="DQ487" i="17"/>
  <c r="DQ167" i="17"/>
  <c r="DQ228" i="17"/>
  <c r="DQ124" i="17"/>
  <c r="DQ215" i="17"/>
  <c r="DQ100" i="17"/>
  <c r="DQ266" i="17"/>
  <c r="DQ61" i="17"/>
  <c r="DQ407" i="17"/>
  <c r="DQ168" i="17"/>
  <c r="DQ10" i="17"/>
  <c r="DQ460" i="17"/>
  <c r="DQ516" i="17"/>
  <c r="DQ274" i="17"/>
  <c r="DQ133" i="17"/>
  <c r="DQ367" i="17"/>
  <c r="DQ291" i="17"/>
  <c r="DQ323" i="17"/>
  <c r="DQ315" i="17"/>
  <c r="DQ226" i="17"/>
  <c r="DQ329" i="17"/>
  <c r="DQ109" i="17"/>
  <c r="DQ421" i="17"/>
  <c r="DQ244" i="17"/>
  <c r="DQ394" i="17"/>
  <c r="DQ275" i="17"/>
  <c r="DQ486" i="17"/>
  <c r="DQ50" i="17"/>
  <c r="DQ399" i="17"/>
  <c r="DQ80" i="17"/>
  <c r="DQ459" i="17"/>
  <c r="DQ235" i="17"/>
  <c r="DQ236" i="17"/>
  <c r="DQ469" i="17"/>
  <c r="DQ26" i="17"/>
  <c r="DQ267" i="17"/>
  <c r="DQ361" i="17"/>
  <c r="DQ282" i="17"/>
  <c r="DQ360" i="17"/>
  <c r="DQ444" i="17"/>
  <c r="DQ325" i="17"/>
  <c r="DQ369" i="17"/>
  <c r="CO398" i="17"/>
  <c r="DQ209" i="17"/>
  <c r="DQ65" i="17"/>
  <c r="DQ327" i="17"/>
  <c r="DQ339" i="17"/>
  <c r="DQ316" i="17"/>
  <c r="DQ116" i="17"/>
  <c r="DQ292" i="17"/>
  <c r="DQ170" i="17"/>
  <c r="DQ8" i="17"/>
  <c r="DQ441" i="17"/>
  <c r="DQ358" i="17"/>
  <c r="DQ269" i="17"/>
  <c r="DQ216" i="17"/>
  <c r="CE472" i="17"/>
  <c r="CF472" i="17"/>
  <c r="DQ240" i="17"/>
  <c r="DQ409" i="17"/>
  <c r="F25" i="18"/>
  <c r="DQ431" i="17"/>
  <c r="DQ349" i="17"/>
  <c r="DQ280" i="17"/>
  <c r="DQ177" i="17"/>
  <c r="DQ145" i="17"/>
  <c r="DQ76" i="17"/>
  <c r="DQ217" i="17"/>
  <c r="DS179" i="17"/>
  <c r="DL179" i="17"/>
  <c r="CD398" i="17"/>
  <c r="CG398" i="17"/>
  <c r="DQ420" i="17"/>
  <c r="DQ155" i="17"/>
  <c r="DQ277" i="17"/>
  <c r="DQ185" i="17"/>
  <c r="DQ59" i="17"/>
  <c r="DQ497" i="17"/>
  <c r="DQ432" i="17"/>
  <c r="DQ237" i="17"/>
  <c r="DQ151" i="17"/>
  <c r="DQ23" i="17"/>
  <c r="DQ523" i="17"/>
  <c r="DQ445" i="17"/>
  <c r="DQ521" i="17"/>
  <c r="DQ504" i="17"/>
  <c r="DQ390" i="17"/>
  <c r="DQ15" i="17"/>
  <c r="DQ474" i="17"/>
  <c r="DQ464" i="17"/>
  <c r="DQ453" i="17"/>
  <c r="DQ153" i="17"/>
  <c r="DQ257" i="17"/>
  <c r="DQ99" i="17"/>
  <c r="DQ488" i="17"/>
  <c r="DQ160" i="17"/>
  <c r="DQ158" i="17"/>
  <c r="DQ465" i="17"/>
  <c r="DQ527" i="17"/>
  <c r="DQ489" i="17"/>
  <c r="DQ536" i="17"/>
  <c r="DQ201" i="17"/>
  <c r="DQ67" i="17"/>
  <c r="DQ152" i="17"/>
  <c r="DQ379" i="17"/>
  <c r="DQ176" i="17"/>
  <c r="DQ506" i="17"/>
  <c r="DS442" i="17"/>
  <c r="DL442" i="17"/>
  <c r="Y442" i="17"/>
  <c r="DQ412" i="17"/>
  <c r="DQ408" i="17"/>
  <c r="DQ111" i="17"/>
  <c r="DQ107" i="17"/>
  <c r="DQ311" i="17"/>
  <c r="DQ462" i="17"/>
  <c r="DQ537" i="17"/>
  <c r="DQ321" i="17"/>
  <c r="DQ496" i="17"/>
  <c r="DQ91" i="17"/>
  <c r="DQ340" i="17"/>
  <c r="DQ286" i="17"/>
  <c r="DQ127" i="17"/>
  <c r="DQ210" i="17"/>
  <c r="DQ278" i="17"/>
  <c r="DQ301" i="17"/>
  <c r="DQ440" i="17"/>
  <c r="DQ203" i="17"/>
  <c r="DQ348" i="17"/>
  <c r="DQ501" i="17"/>
  <c r="DQ380" i="17"/>
  <c r="DQ373" i="17"/>
  <c r="DQ417" i="17"/>
  <c r="DQ264" i="17"/>
  <c r="DQ381" i="17"/>
  <c r="DQ433" i="17"/>
  <c r="DQ270" i="17"/>
  <c r="DQ62" i="17"/>
  <c r="DQ6" i="17"/>
  <c r="DQ7" i="17"/>
  <c r="DQ221" i="17"/>
  <c r="DQ303" i="17"/>
  <c r="DQ181" i="17"/>
  <c r="DQ92" i="17"/>
  <c r="DQ357" i="17"/>
  <c r="DQ430" i="17"/>
  <c r="DQ397" i="17"/>
  <c r="DQ24" i="17"/>
  <c r="DQ191" i="17"/>
  <c r="DQ463" i="17"/>
  <c r="DQ196" i="17"/>
  <c r="DQ528" i="17"/>
  <c r="DQ439" i="17"/>
  <c r="DQ511" i="17"/>
  <c r="CL398" i="17"/>
  <c r="DQ144" i="17"/>
  <c r="DQ363" i="17"/>
  <c r="DQ308" i="17"/>
  <c r="DQ202" i="17"/>
  <c r="DQ143" i="17"/>
  <c r="DQ447" i="17"/>
  <c r="DQ455" i="17"/>
  <c r="DQ387" i="17"/>
  <c r="DQ261" i="17"/>
  <c r="DQ125" i="17"/>
  <c r="DQ81" i="17"/>
  <c r="DQ446" i="17"/>
  <c r="DQ318" i="17"/>
  <c r="CE179" i="17"/>
  <c r="CF179" i="17"/>
  <c r="DS525" i="17"/>
  <c r="DL525" i="17"/>
  <c r="Y525" i="17"/>
  <c r="DQ372" i="17"/>
  <c r="DQ480" i="17"/>
  <c r="DQ5" i="17"/>
  <c r="DQ255" i="17"/>
  <c r="DQ93" i="17"/>
  <c r="DQ78" i="17"/>
  <c r="DQ32" i="17"/>
  <c r="DQ85" i="17"/>
  <c r="DQ29" i="17"/>
  <c r="DQ56" i="17"/>
  <c r="DQ41" i="17"/>
  <c r="DQ491" i="17"/>
  <c r="DQ45" i="17"/>
  <c r="DQ129" i="17"/>
  <c r="DQ72" i="17"/>
  <c r="DQ389" i="17"/>
  <c r="DQ140" i="17"/>
  <c r="DQ70" i="17"/>
  <c r="DQ47" i="17"/>
  <c r="DQ253" i="17"/>
  <c r="DQ248" i="17"/>
  <c r="DQ229" i="17"/>
  <c r="DQ526" i="17"/>
  <c r="DQ396" i="17"/>
  <c r="DQ102" i="17"/>
  <c r="DL529" i="17"/>
  <c r="DS529" i="17"/>
  <c r="Y529" i="17"/>
  <c r="DQ355" i="17"/>
  <c r="DQ193" i="17"/>
  <c r="DQ120" i="17"/>
  <c r="DQ112" i="17"/>
  <c r="DQ75" i="17"/>
  <c r="DQ470" i="17"/>
  <c r="DQ374" i="17"/>
  <c r="DQ300" i="17"/>
  <c r="DQ284" i="17"/>
  <c r="DQ366" i="17"/>
  <c r="DQ161" i="17"/>
  <c r="DQ57" i="17"/>
  <c r="DQ400" i="17"/>
  <c r="DQ128" i="17"/>
  <c r="DQ43" i="17"/>
  <c r="DQ508" i="17"/>
  <c r="DQ359" i="17"/>
  <c r="DQ331" i="17"/>
  <c r="DQ514" i="17"/>
  <c r="DQ347" i="17"/>
  <c r="DQ222" i="17"/>
  <c r="DQ195" i="17"/>
  <c r="DQ19" i="17"/>
  <c r="DQ473" i="17"/>
  <c r="DQ481" i="17"/>
  <c r="DQ212" i="17"/>
  <c r="DQ524" i="17"/>
  <c r="DQ163" i="17"/>
  <c r="DQ324" i="17"/>
  <c r="DQ498" i="17"/>
  <c r="DQ404" i="17"/>
  <c r="DQ333" i="17"/>
  <c r="DQ294" i="17"/>
  <c r="DQ214" i="17"/>
  <c r="DQ20" i="17"/>
  <c r="DQ14" i="17"/>
  <c r="DQ401" i="17"/>
  <c r="DQ293" i="17"/>
  <c r="DQ519" i="17"/>
  <c r="DQ416" i="17"/>
  <c r="DQ245" i="17"/>
  <c r="DQ73" i="17"/>
  <c r="DQ87" i="17"/>
  <c r="DQ482" i="17"/>
  <c r="DQ114" i="17"/>
  <c r="DQ223" i="17"/>
  <c r="DQ438" i="17"/>
  <c r="DQ205" i="17"/>
  <c r="DQ204" i="17"/>
  <c r="DQ272" i="17"/>
  <c r="DQ95" i="17"/>
  <c r="DQ139" i="17"/>
  <c r="DQ48" i="17"/>
  <c r="DQ461" i="17"/>
  <c r="DQ538" i="17"/>
  <c r="DQ84" i="17"/>
  <c r="DQ520" i="17"/>
  <c r="DQ382" i="17"/>
  <c r="DQ512" i="17"/>
  <c r="DQ371" i="17"/>
  <c r="CC31" i="16"/>
  <c r="CQ472" i="17" l="1"/>
  <c r="D22" i="25"/>
  <c r="D21" i="25"/>
  <c r="D23" i="25"/>
  <c r="G25" i="18"/>
  <c r="T4" i="18" s="1"/>
  <c r="CP472" i="17"/>
  <c r="I25" i="18"/>
  <c r="DL472" i="17"/>
  <c r="DQ472" i="17" s="1"/>
  <c r="DS472" i="17"/>
  <c r="CH398" i="17"/>
  <c r="DR398" i="17"/>
  <c r="DQ442" i="17"/>
  <c r="DQ179" i="17"/>
  <c r="DQ529" i="17"/>
  <c r="DQ525" i="17"/>
  <c r="CE398" i="17"/>
  <c r="CF398" i="17"/>
  <c r="I24" i="18" s="1"/>
  <c r="D24" i="25" l="1"/>
  <c r="R3" i="18"/>
  <c r="DS398" i="17"/>
  <c r="CQ398" i="17"/>
  <c r="DL398" i="17"/>
  <c r="CP398" i="17"/>
  <c r="DQ398" i="17" l="1"/>
  <c r="H25" i="9"/>
  <c r="G25" i="9"/>
  <c r="H34" i="9"/>
  <c r="G34" i="9"/>
  <c r="F34" i="9"/>
  <c r="E34" i="9"/>
  <c r="H33" i="9"/>
  <c r="G33" i="9"/>
  <c r="F33" i="9"/>
  <c r="E33" i="9"/>
  <c r="H32" i="9"/>
  <c r="G32" i="9"/>
  <c r="F32" i="9"/>
  <c r="E32" i="9"/>
  <c r="H31" i="9"/>
  <c r="G31" i="9"/>
  <c r="F31" i="9"/>
  <c r="E31" i="9"/>
  <c r="H30" i="9"/>
  <c r="G30" i="9"/>
  <c r="F30" i="9"/>
  <c r="E30" i="9"/>
  <c r="H29" i="9"/>
  <c r="G29" i="9"/>
  <c r="F29" i="9"/>
  <c r="E29" i="9"/>
  <c r="H28" i="9"/>
  <c r="G28" i="9"/>
  <c r="F28" i="9"/>
  <c r="E28" i="9"/>
  <c r="H27" i="9"/>
  <c r="G27" i="9"/>
  <c r="F27" i="9"/>
  <c r="E27" i="9"/>
  <c r="D27" i="9"/>
  <c r="E20" i="9"/>
  <c r="P19" i="9"/>
  <c r="J19" i="9"/>
  <c r="D19" i="9"/>
  <c r="N18" i="9"/>
  <c r="K18" i="9"/>
  <c r="H18" i="9"/>
  <c r="D18" i="9"/>
  <c r="D26" i="9" s="1"/>
  <c r="Q17" i="9"/>
  <c r="O17" i="9"/>
  <c r="D17" i="9"/>
  <c r="Q14" i="9"/>
  <c r="P14" i="9"/>
  <c r="O14" i="9"/>
  <c r="N14" i="9"/>
  <c r="M14" i="9"/>
  <c r="L14" i="9"/>
  <c r="K14" i="9"/>
  <c r="J14" i="9"/>
  <c r="I14" i="9"/>
  <c r="H14" i="9"/>
  <c r="G14" i="9"/>
  <c r="F14" i="9"/>
  <c r="E14" i="9"/>
  <c r="D13" i="9"/>
  <c r="D12" i="9"/>
  <c r="Q11" i="9"/>
  <c r="D11" i="9"/>
  <c r="E8" i="9"/>
  <c r="G26" i="9" l="1"/>
  <c r="E26" i="9"/>
  <c r="F26" i="9"/>
  <c r="H26" i="9"/>
  <c r="DQ542" i="17"/>
  <c r="C17" i="25"/>
  <c r="F13" i="25"/>
  <c r="F14" i="25" l="1"/>
  <c r="F15" i="25" s="1"/>
  <c r="F16" i="25" s="1"/>
  <c r="D13" i="25"/>
  <c r="D14" i="25" s="1"/>
  <c r="D15" i="25" s="1"/>
  <c r="D16" i="25" s="1"/>
  <c r="G16" i="25"/>
  <c r="G15" i="25"/>
  <c r="G14" i="25"/>
  <c r="G13" i="25"/>
  <c r="G17" i="25"/>
</calcChain>
</file>

<file path=xl/sharedStrings.xml><?xml version="1.0" encoding="utf-8"?>
<sst xmlns="http://schemas.openxmlformats.org/spreadsheetml/2006/main" count="8727" uniqueCount="3268">
  <si>
    <t>SECRETARIA DE PLANEACIÓN DE CUNDINAMARCA</t>
  </si>
  <si>
    <t>PROGRAMA</t>
  </si>
  <si>
    <t>OBJETIVO</t>
  </si>
  <si>
    <t>INDEPORTES</t>
  </si>
  <si>
    <t>DESARROLLO INTEGRAL DEL SER HUMANO</t>
  </si>
  <si>
    <t>SOSTENIBILIDAD Y RURALIDAD</t>
  </si>
  <si>
    <t>META CUATRIENIO</t>
  </si>
  <si>
    <t>SECRETARIA DE DESARROLLO SOCIAL</t>
  </si>
  <si>
    <t>SECRETARIA DE EDUCACION</t>
  </si>
  <si>
    <t>SECRETARIA DE GOBIERNO</t>
  </si>
  <si>
    <t>SECRETARIA DE SALUD</t>
  </si>
  <si>
    <t>BENEFICENCIA</t>
  </si>
  <si>
    <t>INSTITUTO DE ACCION COMUNAL</t>
  </si>
  <si>
    <t xml:space="preserve">SECRETARIA DE AMBIENTE </t>
  </si>
  <si>
    <t>INSTITUTO DE VIVIENDA</t>
  </si>
  <si>
    <t>ICCU</t>
  </si>
  <si>
    <t>SECRETARIA DE AGRICULTURA</t>
  </si>
  <si>
    <t>SECRETARIA DE COMPETITIVIDAD</t>
  </si>
  <si>
    <t>SECRETARIA DE INTEGRACION REGIONAL</t>
  </si>
  <si>
    <t>SECRETARIA DE PLANEACION</t>
  </si>
  <si>
    <t>UAEPRAE</t>
  </si>
  <si>
    <t>SECRETARIA DE MINAS</t>
  </si>
  <si>
    <t>SECRETARIA DE MOVILIDAD</t>
  </si>
  <si>
    <t>SECRETARIA DE CIENCIA Y TECNOLOGÍA</t>
  </si>
  <si>
    <t>CORSOCUN / SERVICIOS CORPORATIVOS</t>
  </si>
  <si>
    <t xml:space="preserve">SECRETARIA DE COOPERACION </t>
  </si>
  <si>
    <t>SECRETARIA DE FUNCION PUBLICA</t>
  </si>
  <si>
    <t>SECRETARIA DE GENERAL</t>
  </si>
  <si>
    <t>SECRETARIA DE HACIENDA</t>
  </si>
  <si>
    <t xml:space="preserve">SECRETARIA DE PRENSA </t>
  </si>
  <si>
    <t>SECRETARIA DE LAS TICS</t>
  </si>
  <si>
    <t>AVANCE REAL 2015</t>
  </si>
  <si>
    <t>AVANCE REAL 2014</t>
  </si>
  <si>
    <t>PROGRAMACIÓN</t>
  </si>
  <si>
    <t>EJECUCIÓN FÍSICA</t>
  </si>
  <si>
    <t>Año</t>
  </si>
  <si>
    <t>TODOS</t>
  </si>
  <si>
    <t>COMPETITIVIDAD, INNOVACIÓN, MOVILIDAD Y REGIÓN</t>
  </si>
  <si>
    <t>FORTALECIMIENTO INSTITUCIONAL PARA GENERAR VALOR DE LO PÚBLICO</t>
  </si>
  <si>
    <t>SECRETARIA DE AMBIENTE</t>
  </si>
  <si>
    <t>Programado</t>
  </si>
  <si>
    <t>Dirección de Seguiemiento y Evaluación</t>
  </si>
  <si>
    <t>Ejecutado</t>
  </si>
  <si>
    <t>1-DESARROLLO INTEGRAL DEL SER HUMANO</t>
  </si>
  <si>
    <t>2-SOSTENIBILIDAD Y RURALIDAD</t>
  </si>
  <si>
    <t>3-COMPETITIVIDAD, INNOVACION, MOVILIDAD Y REGION</t>
  </si>
  <si>
    <t>4-FORTALECIMIENTO INSTITUCIONAL PARA GENERAR VALOR DE LO PUBLICO</t>
  </si>
  <si>
    <t>Volver</t>
  </si>
  <si>
    <t>Breve Análisis del Comportamiento del Indicador:</t>
  </si>
  <si>
    <t>VALLE</t>
  </si>
  <si>
    <t>SANTANDER</t>
  </si>
  <si>
    <t>BOYACÁ</t>
  </si>
  <si>
    <t>BOGOTÁ D.C.</t>
  </si>
  <si>
    <t>ATLÁNTICO</t>
  </si>
  <si>
    <t>ANTIOQUIA</t>
  </si>
  <si>
    <t>NACIÓN</t>
  </si>
  <si>
    <t>CUNDINAMARCA</t>
  </si>
  <si>
    <t>ENTIDAD TERRITORIAL</t>
  </si>
  <si>
    <t>PROGRESIÓN</t>
  </si>
  <si>
    <t>3. COMPORTAMIENTO DEL INDICADOR</t>
  </si>
  <si>
    <t>Dificultad para la Actualización</t>
  </si>
  <si>
    <t>Fecha última Actualización</t>
  </si>
  <si>
    <t>Responsable de actualizar el Indicador:</t>
  </si>
  <si>
    <t>Periodicidad de Medida:</t>
  </si>
  <si>
    <t>Fuente:</t>
  </si>
  <si>
    <t>Indicador para el Cuatrenio</t>
  </si>
  <si>
    <t>Año de Cálculo</t>
  </si>
  <si>
    <t>Indicador Base</t>
  </si>
  <si>
    <t>Tipo</t>
  </si>
  <si>
    <t>Und. Medida</t>
  </si>
  <si>
    <t>Nombre del indicador:</t>
  </si>
  <si>
    <t>2. CARACTERIZACION DEL INDICADOR</t>
  </si>
  <si>
    <t>METAS DE PRODUCTO ASOCIADAS</t>
  </si>
  <si>
    <t>PROGRAMA:</t>
  </si>
  <si>
    <t xml:space="preserve">OBJETIVO: </t>
  </si>
  <si>
    <t xml:space="preserve">No. META </t>
  </si>
  <si>
    <t>1. DENOMINACIÓN DE ORÍGEN</t>
  </si>
  <si>
    <t>ENTIDAD RESPONSABLE:</t>
  </si>
  <si>
    <t>SELECCIONE LA META</t>
  </si>
  <si>
    <t>SELECCIONE LA ENTIDAD RESPONSABLE DEL INDICADOR</t>
  </si>
  <si>
    <t>VIVIENDA</t>
  </si>
  <si>
    <t>IDECUT</t>
  </si>
  <si>
    <t>EPC</t>
  </si>
  <si>
    <t>TODAS</t>
  </si>
  <si>
    <t/>
  </si>
  <si>
    <t>INCREMENTO</t>
  </si>
  <si>
    <t>MANTENIMIENTO</t>
  </si>
  <si>
    <t xml:space="preserve">100% ENTIDADES MEJORAN EL RESULTADO DE LA GESTIÓN CON HERRAMIENTAS GERENCIALES S Y E </t>
  </si>
  <si>
    <t>INFORMACIÓN PARA LA TOMA DE DECISIONES DISPONIBLE Y CONFIABLE EN CUALQUIER MOMENTO A TRAVÉS DE UNA PLATAFORMA TECNOLÓGICA</t>
  </si>
  <si>
    <t>ALCANZAR EN CUNDINAMARCA EL PROMEDIO NACIONAL DE PENETRACIÓN DE INTERNET (12,8%)</t>
  </si>
  <si>
    <t>GENERAR QUE UN 10% DE LOS CUNDINAMARQUESES IDENTIFIQUEN, APROPIEN Y DIFUNDAN SUS VALORES PATRIMONIALES PARA LOGRAR LA IDENTIDAD CUNDINAMARQUESA.</t>
  </si>
  <si>
    <t>LOGRAR QUE EL 100 % DE LOS MUNICIPIOS DEL DEPARTAMENTO (116) SUPEREN LA CALIFICACIÓN DEL 60% EN EL ÍNDICE DE DESEMPEÑO MUNICIPAL</t>
  </si>
  <si>
    <t>LOGRAR QUE EL 73 % DE LOS MUNICIPIOS DEL DEPARTAMENTO (92) MEJOREN SU CALIFICACIÓN EN EL ÍNDICE DE GOBIERNO ABIERTO</t>
  </si>
  <si>
    <t>LOGRAR QUE EL 19% DE LOS MUNICIPIOS DEL DEPARTAMENTO (22), CON MÁS BAJA CALIFICACIÓN, MEJOREN EN EL ÍNDICE DE DESEMPEÑO FISCAL NACIONAL</t>
  </si>
  <si>
    <t>SUBIR UN PUESTO EN EL RANKING DEL DESEMPEÑO A NIVEL NACIONAL DEL DEPARTAMENTO.</t>
  </si>
  <si>
    <t xml:space="preserve"> 3,8 CALIFICACIÓN EN CAPACIDAD DE GESTIÓN PARA RESULTADOS DE DESARROLLO</t>
  </si>
  <si>
    <t>INCREMENTAR AL 80% EL GRADO DE SATISFACCIÓN DE LOS CLIENTES DE LA GOBERNACIÓN DE CUNDINAMARCA</t>
  </si>
  <si>
    <t>ASCENDER DOS PUESTOS EN EL RANKING NACIONAL DE TRANSPARENCIA</t>
  </si>
  <si>
    <t xml:space="preserve">REDUCIR EN UN 20% LA FRECUENCIA DE LOS DELITOS QUE ATENTEN LA SEGURIDAD CIUDADANA Y DEMOCRÁTICA, EN EL DEPARTAMENTO DURANTE EL PERIODO DE GOBIERNO. </t>
  </si>
  <si>
    <t>DURANTE EL CUATRIENIO CERTIFICAR ANTE EL MINISTERIO DE EDUCACIÓN NACIONAL 5 PROCESOS DE LA SECRETARIA DE EDUCACIÓN DEPARTAMENTAL (GESTIÓN DE CALIDAD, CALIDAD EDUCATIVA, COBERTURA, TALENTO HUMANO Y ATENCIÓN AL CIUDADANO</t>
  </si>
  <si>
    <t>UN (1) ESQUEMA ASOCIATIVO CONSTITUIDO INTEGRA RECURSOS Y FORTALECE UNIDAD REGIONAL</t>
  </si>
  <si>
    <t>POSICIONAR 4 DESTINOS TURÍSTICOS DE CUNDINAMARCA</t>
  </si>
  <si>
    <t xml:space="preserve">CUNDINAMARCA, DURANTE EL PERIODO DE GOBIERNO, ASCIENDE 1 PUESTO EN EL FACTOR DE CTI DEL ESCALAFÓN DEPARTAMENTAL DE COMPETITIVIDAD </t>
  </si>
  <si>
    <t>AL FINALIZAR EL PERÍODO DE GOBIERNO, EL DEPARTAMENTO DE CUNDINAMARCA, ALCANZARÁ EXPORTACIONES POR UN VALOR DE 2.500 MILLONES DE DÓLARES.</t>
  </si>
  <si>
    <t>ASCENDER, DURANTE EL PERIODO DE GOBIERNO, UN PUESTO EN EL ESCALAFÓN DE FORTALEZA ECONÓMICA EN EL RANKING DE COMPETITIVIDAD DEPARTAMENTAL EN COLOMBIA</t>
  </si>
  <si>
    <t xml:space="preserve">INCREMENTAR EL ÁREA DE PLANTACIONES FORESTALES PRODUCTIVAS A 10.132 HECTÁREAS EN EL PERIODO DE GOBIERNO. </t>
  </si>
  <si>
    <t>AUMENTO EN UN 10% DE LA CAPACIDAD DE ADAPTACIÓN AL CAMBIO Y VARIABILIDAD CLIMÁTICA</t>
  </si>
  <si>
    <t>7 PROVINCIAS CON MANEJO EN LA GESTIÓN INTEGRAL DEL RIESGO</t>
  </si>
  <si>
    <t>REDUCIR EN 50 EL NÚMERO DE TONELADAS DE RESIDUOS SÓLIDOS DIARIAS QUE VAN A SITIOS DE DISPOSICIÓN FINAL EN EL DEPARTAMENTO.</t>
  </si>
  <si>
    <t>PASAR DE 13.926 FAMILIAS CON ACCESO A BIENES Y SERVICIOS PRODUCTIVOS, A BENEFICIAR 19.041 FAMILIAS EN EL PERIODO DE GOBIERNO</t>
  </si>
  <si>
    <t>INCREMENTAR EN 10% LAS TONELADAS ANUALES DE LA PRODUCCIÓN DE ALIMENTOS LLEGANDO A 4.400.000 TONELADAS PRODUCIDAS.</t>
  </si>
  <si>
    <t xml:space="preserve">ESPECIALIZAR Y/O RENOVAR EN CULTIVOS RELACIONADOS CON LAS CADENAS PRODUCTIVAS AGROPECUARIAS COMO MÍNIMO UN 5% (13.200 HAS) DEL TOTAL DE HECTÁREAS CULTIVADAS (264.098HAS). </t>
  </si>
  <si>
    <t>INCREMENTAR COBERTURA ALCANTARILLADO A 150.000 HABITANTES NUEVOS CON CALIDAD Y CONTINUIDAD EN ZONAS URBANAS Y CENTROS POBLADOS</t>
  </si>
  <si>
    <t>INCREMENTAR COBERTURA AGUA POTABLE A 202.000 HABITANTES NUEVOS CON CALIDAD Y CONTINUIDAD EN ZONAS URBANAS, RURALES Y CENTROS POBLADOS DURANTE EL PERIODO DE GOBIERNO.</t>
  </si>
  <si>
    <t>REDUCIR Y COMPENSAR 10.000 TONELADAS DE CO2 DE LA HUELLA DE CARBONO DEL DEPARTAMENTO EN EL CUATRIENIO, MEDIANTE LA IMPLEMENTACIÓN DE LA ESTRATEGIA CUNDINAMARCA NEUTRA.</t>
  </si>
  <si>
    <t xml:space="preserve">GARANTIZAR DISPONIBILIDAD DEL RECURSO HÍDRICO, CON LA CONSERVACIÓN DE 31.000 HECTÁREAS UBICADAS EN ZONAS DE IMPORTANCIA ESTRATÉGICA EN LAS ECO – REGIONES. </t>
  </si>
  <si>
    <t>CONSOLIDAR 4 INICIATIVAS DE INTEGRACIÓN REGIONAL QUE PERMITAN EL APROVECHAMIENTO DEL POTENCIAL DE LAS ECO REGIONES, PARA AVANZAR EN LA CONSTRUCCIÓN DE UN DEPARTAMENTO SOSTENIBLE, EQUITATIVO Y FUNCIONAL, DURANTE EL PRESENTE PERÍODO DE GOBIERNO.</t>
  </si>
  <si>
    <t>116 MUNICIPIOS RESTITUYEN DERECHOS Y MEJORAN CALIDAD DE VIDA DE LAS VÍCTIMAS DEL CONFLICTO ARMADO</t>
  </si>
  <si>
    <t>MEJORAR AMBIENTES FÍSICOS PARA LA PRESTACIÓN DE SERVICIOS SOCIALES EN LOS 116 MUNICIPIOS</t>
  </si>
  <si>
    <t>10% DE MUJERES CON LIDERAZGO Y EMPODERAMIENTO, POTENCIALIZAN HABILIDADES Y CAPACIDADES</t>
  </si>
  <si>
    <t>LOGAR QUE EL 80% DE LOS ENTES TERRITORIALES MUNICIPALES, LAS ENTIDADES RESPONSABLES DE PAGO Y LA RED CONTRATADA POR EL DEPARTAMENTO MEJOREN LOS RESULTADOS EN EL ASEGURAMIENTO Y LA PRESTACIÓN DE SERVICIOS DE SALUD</t>
  </si>
  <si>
    <t xml:space="preserve">30.000 FAMILIAS MAS SANAS Y FUERTES CON ACOMPAÑAMIENTO INSTITUCIONAL, FAMILIAR Y COMUNITARIO </t>
  </si>
  <si>
    <t>45.000 FAMILIAS MEJORAN SU CONVIVENCIA POR MEDIO DE LA INTERVENCIÓN DEL PROGRAMA "DEPORTE, CONVIVENCIA Y PAZ"</t>
  </si>
  <si>
    <t xml:space="preserve">INCREMENTAR EN EL CUATRIENIO EN 25.000 FAMILIAS, EL DERECHO DE HABITAR Y DISFRUTAR UNA VIVIENDA NUEVA O MEJORADA, CON PRIORIDAD EN LAS FAMILIAS DE POBREZA EXTREMA </t>
  </si>
  <si>
    <t>REDUCIR EN EL CUATRIENIO EN MÍNIMO 10% LAS MUERTES POR HOMICIDIO EN ADULTOS MAYORES</t>
  </si>
  <si>
    <t>AUMENTAR EN EL CUATRIENIO A 38% EL ÍNDICE DE FLORECIMIENTO JUVENIL</t>
  </si>
  <si>
    <t>LOGRAR QUE EN LAS 15 PROVINCIAS DEL DEPARTAMENTO EXISTAN JÓVENES CONSTRUCTORES DE PAZ - JCP DESARROLLANDO PROYECTOS DE INTERÉS PARA LA COMUNIDAD.</t>
  </si>
  <si>
    <t>REDUCIR EN EL CUATRIENIO EN MÍNIMO 10% LAS MUERTES POR HOMICIDIO EN JÓVENES</t>
  </si>
  <si>
    <t>LOGRAR QUE LOS ADOLESCENTES INFLUYAN EN LAS DESICIONES DE POLÍTICA SOCIAL DEPARTAMENTAL ASISTIENDO AL 100% DE LAS REUNIONES</t>
  </si>
  <si>
    <t>ALCANZAR EN EL CUATRIENIO UNA COBERTURA BRUTA EN EDUCACIÓN MEDIA DE 78,9%, PRIORIZANDO LA POBLACIÓN EN SITUACIÓN DE POBREZA EXTREMA QUE LO DEMANDE</t>
  </si>
  <si>
    <t>MEJORAR EN EL CUATRIENIO LOS PROCESOS EDUCATIVOS, FORMATIVOS, PEDAGÓGICOS E INSTITUCIONALES DEL 100% DE LAS INSTITUCIONES EDUCATIVAS DE LOS MUNICIPIOS NO CERTIFICADOS</t>
  </si>
  <si>
    <t>MEJORAR EN EL CUATRIENIO EL RESULTADO DE LAS PRUEBAS SABER DE GRADO 11° EN 2 PUNTOS EN 6 DE LAS ÁREAS EVALUADAS</t>
  </si>
  <si>
    <t>REDUCIR EN EL CUATRIENIO EN 20% LAS MUERTES POR ACCIDENTES DE TRÁNSITO EN ADOLESCENTES</t>
  </si>
  <si>
    <t>REDUCIR EN EL CUATRIENIO EN MÍNIMO 5% LAS MUERTES POR HOMICIDIO EN ADOLESCENTES</t>
  </si>
  <si>
    <t>LOGRAR QUE LAS Y LOS INFANTES INFLUYAN EN LAS DECISIONES DEL CONSEJO DE POLÍTICA SOCIAL DEPARTAMENTAL, COMO VOCEROS DE LA NIÑEZ ORGANIZADA ASISTIENDO AL 100% DE LAS REUNIONES</t>
  </si>
  <si>
    <t>REDUCIR EN EL CUATRIENIO LA TASA DE DESERCIÓN ESCOLAR AL 5.15%</t>
  </si>
  <si>
    <t>MANTENER CADA AÑO EN 100% LA COBERTURA BRUTA EN BÁSICA PRIMARIA, PRIORIZANDO LA POBLACIÓN EN POBREZA EXTREMA QUE DEMANDE EL SERVICIO</t>
  </si>
  <si>
    <t>ALCANZAR EN EL CUATRIENIO UNA COBERTURA BRUTA EN TRANSICIÓN DE 86.95%, PRIORIZANDO LA POBLACIÓN EN POBREZA EXTREMA QUE LO DEMANDE</t>
  </si>
  <si>
    <t>REDUCIR EN EL CUATRIENIO EN 20% LAS MUERTES POR ACCIDENTES DE TRÁNSITO EN NIÑOS Y NIÑAS DE 6 A 11 AÑOS</t>
  </si>
  <si>
    <t>REDUCIR EN EL CUATRIENIO EN 20% LAS MUERTES POR HOMICIDIO EN NIÑOS Y NIÑAS DE 6 A 11 AÑOS</t>
  </si>
  <si>
    <t>LOGRAR QUE LOS NIÑOS Y NIÑAS MENORES DE 6 AÑOS INFLUYAN EN LAS DECISIONES DEL CONSEJO DE POLÍTICA SOCIAL DEPARTAMENTAL COMO VOCEROS DE LOS NIÑOS ORGANIZADOS, ASISTIENDO AL 100% DE LAS REUNIONES</t>
  </si>
  <si>
    <t>REDUCIR LA PREVALENCIA DE DESNUTRICIÓN CRÓNICA EN NIÑOS Y NIÑAS MENORES DE 6 AÑOS A 9,5% EN EL CUATRIENIO</t>
  </si>
  <si>
    <t>REDUCIR LA PREVALENCIA DE DESNUTRICIÓN GLOBAL EN NIÑOS Y NIÑAS MENORES DE 6 AÑOS A 3.5% EN EL CUATRIENIO</t>
  </si>
  <si>
    <t>REDUCIR EN EL CUATRIENIO LA TASA DE MORTALIDAD DE NIÑOS Y NIÑAS DE 0 A 5 AÑOS A 14 POR MIL NACIDOS VIVOS</t>
  </si>
  <si>
    <t>REDUCIR EN EL CUATRIENIO A 40 POR 100.000 NACIDOS VIVOS LA RAZÓN DE MORTALIDAD MATERNA</t>
  </si>
  <si>
    <t>REDUCIR EN EL CUATRIENIO LA TASA DE MORTALIDAD INFANTIL (0 - 1 AÑO) A 11 POR 1.000 NACIDOS VIVOS</t>
  </si>
  <si>
    <t>ENTIDAD</t>
  </si>
  <si>
    <t>No. Meta</t>
  </si>
  <si>
    <t>Prog. Acumulado</t>
  </si>
  <si>
    <t>TODAS.</t>
  </si>
  <si>
    <t>Ponderador</t>
  </si>
  <si>
    <t>SUBPROGRAMA:</t>
  </si>
  <si>
    <t>3. COMPORTAMIENTO DE LA META</t>
  </si>
  <si>
    <t>Inversión Programada P.I</t>
  </si>
  <si>
    <t>Inversión Ejecutada</t>
  </si>
  <si>
    <t>Inversión Acumulada</t>
  </si>
  <si>
    <t>Principales Actividades Ejecutadas / Avance (Lo más relevante)</t>
  </si>
  <si>
    <t>Ejecución Física</t>
  </si>
  <si>
    <t>Ejecución Financiera</t>
  </si>
  <si>
    <t>SUBPROGRAMA</t>
  </si>
  <si>
    <t>DESCRIPCION META DE PRODUCTO</t>
  </si>
  <si>
    <t>NOMBRE DEL INDICADOR META DE PRODUCTO</t>
  </si>
  <si>
    <t>PONDERADOR META DE PRODUCTO CUATRIENIO (%)</t>
  </si>
  <si>
    <t>META_RESULTADO1</t>
  </si>
  <si>
    <t>Nombre MetaR1</t>
  </si>
  <si>
    <t>META_RESULTADO2</t>
  </si>
  <si>
    <t>Nombre MetaR2</t>
  </si>
  <si>
    <t>META_RESULTADO3</t>
  </si>
  <si>
    <t>META_RESULTADO4</t>
  </si>
  <si>
    <t>META_RESULTADO5</t>
  </si>
  <si>
    <t>META_RESULTADO6</t>
  </si>
  <si>
    <t>EXISTENCIA</t>
  </si>
  <si>
    <t>VACUNAR EN EL CUATRIENIO A 24.000 NIÑAS Y NIÑOS DE UN AÑO DE EDAD CON ESQUEMA DE VACUNACIÓN PAI PLUS (HEPATITIS A Y VARICELA).</t>
  </si>
  <si>
    <t>NO. DE NIÑOS DE 1 AÑO DE EDAD VACUNADOS CON PAI PLUS</t>
  </si>
  <si>
    <t>ATENDER CON LA ESTRATEGIA DE ATENCIÓN INTEGRAL PARA EL INICIO PAREJO DE LA VIDA EN EL 100% DE LOS HOSPITALES DE LA RED PÚBLICA A LOS NIÑOS Y NIÑAS DE 0 A 5 AÑOS.</t>
  </si>
  <si>
    <t>% DE HOSPITALES CON IMPLEMENTACIÓN DE LA ESTRATEGIA DE ATENCIÓN INTEGRAL PARA EL INICIO PAREJO DE LA VIDA</t>
  </si>
  <si>
    <t>LOGRAR ANUALMENTE COBERTURA ÚTIL DE VACUNACIÓN (95%) EN NIÑOS Y NIÑAS MENORES DE UN AÑO CON ESQUEMA COMPLETO SEGÚN NACIDOS VIVOS</t>
  </si>
  <si>
    <t>COBERTURA ANUAL DE VACUNACIÓN EN MENORES DE UN AÑO</t>
  </si>
  <si>
    <t>AUMENTAR EN EL CUATRIENIO LA MEDIANA DE LACTANCIA MATERNA EXCLUSIVA POR ENCIMA DE LOS 4.6 MESES.</t>
  </si>
  <si>
    <t>MEDIANA DE LACTANCIA MATERNA EXCLUSIVA</t>
  </si>
  <si>
    <t>MEJORAR LA CONDICIÓN NUTRICIONAL DE 4.000 NIÑOS Y NIÑAS DE PRIMERA INFANCIA, CADA AÑO, CON COMPLEMENTO ALIMENTARIO, CON PRIORIDAD EN LA POBLACIÓN DE POBREZA EXTREMA</t>
  </si>
  <si>
    <t>NO. DE NIÑOS DE PRIMERA INFANCIA ATENDIDOS ANUALMENTE CON COMPLEMENTO ALIMENTARIO</t>
  </si>
  <si>
    <t>MEJORAR LA CONDICIÓN NUTRICIONAL DE LOS NIÑOS, ATENDIENDO ANUALMENTE A 2.000 MADRES GESTANTES Y LACTANTES CON COMPLEMENTO ALIMENTARIO, CON PRIORIDAD EN LA POBLACIÓN DE POBREZA EXTREMA</t>
  </si>
  <si>
    <t>NO. DE MADRES GESTANTES Y LACTANTES ATENDIDAS ANUALMENTE CON COMPLEMENTO ALIMENTARIO</t>
  </si>
  <si>
    <t>RED DE ACTORES INSTITUCIONALES CON PROTOCOLO INTERVIENEN EN LOS 116 MUNICIPIOS PARA LA PROTECCIÓN DE LA VIDA Y LA INTEGRIDAD FÍSICA DE LOS NIÑOS Y NIÑAS DE 0 A 5 AÑOS</t>
  </si>
  <si>
    <t>NO. DE MUNICIPIOS CON PROTOCOLO DE INTERVENCIÓN PARA PROTECCIÓN DE LA VIDA Y LA INTEGRIDAD FÍSICA DE LO MENORES DE 5 AÑOS</t>
  </si>
  <si>
    <t>REDUCIR EN EL CUATRIENIO EN 50% LAS MUERTES POR HOMICIDIO EN NIÑOS Y NIÑAS DE 0 A 5 AÑOS</t>
  </si>
  <si>
    <t>DESARROLLO</t>
  </si>
  <si>
    <t>GARANTIZAR, EN EL CUATRIENIO 8.000 CUPOS PARA LA ATENCIÓN EN EDUCACIÓN INICIAL A NIÑOS Y NIÑAS MENORES DE 5 AÑOS, PRIORIZANDO LA POBLACIÓN EN POBREZA EXTREMA QUE LO DEMANDE.</t>
  </si>
  <si>
    <t>NO. DE CUPOS GENERADOS PARA LA ATENCIÓN EN EDUCACIÓN INICIAL EN EL CUATRIENIO</t>
  </si>
  <si>
    <t>NO. DE AGENTES EDUCATIVOS FORMADOS EN LOS PROCESOS PEDAGÓGICOS DE LA PRIMERA INFANCIA</t>
  </si>
  <si>
    <t>CONTRIBUIR AL DESARROLLO SICOMOTRIZ Y SOCIAL DE LOS NIÑOS FORTALECIENDO EN EL CUATRIENIO LA OPERACIÓN DE 160 LUDOTECAS CON AMBIENTE E IMPLEMENTOS ADECUADOS PARA LAS Y LOS NIÑOS DE 0 A 5 AÑOS</t>
  </si>
  <si>
    <t>NO DE LUDOTECAS CON SERVICIO ADECUADO PARA PRIMERA INFANCIA</t>
  </si>
  <si>
    <t>FOMENTAR HABILIDADES Y DESTREZAS CON ACTIVIDADES LÚDICAS Y CULTURALES EN EL 15% DE LOS NIÑOS Y NIÑAS DE PRIMERA INFANCIA CADA AÑO</t>
  </si>
  <si>
    <t>PROMOVER EN 35.000 NIÑAS Y NIÑOS EN EL CUATRIENIO EL JUEGO Y LA ACTIVIDAD FÍSICA A TRAVÉS DE LA MATROGIMNASIA</t>
  </si>
  <si>
    <t>NO. NIÑAS Y NIÑOS DESARROLLANDO HABILIDADES POR MEDIO DE LA MATROGIMNASIA EN EL CUATRIENIO</t>
  </si>
  <si>
    <t>NO. DE PARQUES INFANTILES PARA LA PRIMERA INFANCIA DOTADOS EN EL CUATRIENIO</t>
  </si>
  <si>
    <t>PROMOVER LA PARTICIPACIÓN ACTIVA DE 12.800 NIÑOS Y NIÑAS MENORES DE 6 AÑOS EN EVENTOS RECREATIVOS CON LA FAMILIA</t>
  </si>
  <si>
    <t>NO. DE NIÑOS PARTICIPANTES EN EVENTOS RECREATIVOS CON LA FAMILIA</t>
  </si>
  <si>
    <t>APOYAR EL DESARROLLO INTEGRAL A TRAVÉS DE PROCESOS DE FORMACIÓN ARTÍSTICA Y CULTURAL DE NIÑAS Y NIÑOS DE 0 A 5 AÑOS EN 12 MUNICIPIOS ANUALMENTE</t>
  </si>
  <si>
    <t>NO. DE MUNICIPIOS APOYADOS ANUALMENTE CON PROCESOS DE FORMACIÓN ARTÍSTICA Y CULTURAL PARA LA PRIMERA INFANCIA</t>
  </si>
  <si>
    <t>APOYAR EL PROCESO FORMATIVO DE LOS NIÑOS Y NIÑAS DE 0 A 5 AÑOS CON EL FORTALECIMIENTO DE 80 BIBLIOTECAS PÚBLICAS MUNICIPALES EN EL CUATRIENIO</t>
  </si>
  <si>
    <t>NO. DE BIBLIOTECAS EN EL CUATRIENIO QUE PROMUEVEN LA LECTURA EN LA PRIMERA INFANCIA</t>
  </si>
  <si>
    <t>DESARROLLAR INTELIGENCIAS MÚLTIPLES APOYANDO LA CONFORMACIÓN DE 12 AGRUPACIONES MUSICALES DE NIÑOS Y NIÑAS DE 0 A 5 AÑOS EN EL CUATRIENIO</t>
  </si>
  <si>
    <t>NO. DE AGRUPACIONES MUSICALES DE PRIMERA INFANCIA</t>
  </si>
  <si>
    <t>DESARROLLAR UNA CAMPAÑA EN EL CUATRIENIO PARA FOMENTAR QUE LAS NIÑAS Y NIÑOS INGRESEN AL SISTEMA EDUCATIVO AL GRADO TRANSICIÓN AL CUMPLIR 5 AÑOS</t>
  </si>
  <si>
    <t>CAMPAÑA DEPARTAMENTAL DE PROMOCIÓN DE INGRESO AL GRADO TRANSICIÓN</t>
  </si>
  <si>
    <t>CIUDADANIA</t>
  </si>
  <si>
    <t>PROMOVER Y DIVULGAR LA DEFENSA DE LOS DERECHOS DE LOS NIÑOS Y NIÑAS EN LOS 116 MUNICIPIOS CON ESTRATEGIAS IEC (INFORMACIÓN, EDUCACIÓN, COMUNICACIÓN)</t>
  </si>
  <si>
    <t>NO DE MUNICIPIOS CON ESTRATEGIAS IEC PARA LA DEFENSA DE LOS DERECHOS DE LOS NIÑOS</t>
  </si>
  <si>
    <t>PROTECCION</t>
  </si>
  <si>
    <t>CUNDINAMARQUESES UNIDOS EN CAMPAÑA DEPARTAMENTAL POR AÑO PARA LA PREVENCIÓN DEL MALTRATO Y/O ABUSO SEXUAL EN NIÑOS Y NIÑAS MENORES DE 6 AÑOS</t>
  </si>
  <si>
    <t>NO. DE CAMPAÑAS DEPARTAMENTALES PARA LA PREVENCIÓN DEL MALTRATO EN NIÑOS DE PRIMERA INFANCIA</t>
  </si>
  <si>
    <t>GARANTIZAR LA ATENCIÓN INTEGRAL AL 100% DE LAS VÍCTIMAS Y POSIBLES VÍCTIMAS DE TRATA DE PERSONAS QUE LO DEMANDEN</t>
  </si>
  <si>
    <t>% DE NIÑOS Y NIÑAS DE 0 A 5 AÑOS LIBRE DE TRATA DE PERSONAS</t>
  </si>
  <si>
    <t>LOGRAR NIÑOS Y NIÑAS DE 6 A 11 AÑOS MAS SALUDABLES CON LA IMPLEMENTACIÓN EN EL CUATRIENIO DE UN PROGRAMA INTEGRAL DE ESTILOS DE VIDA SALUDABLE A NIVEL COMUNITARIO EN EL 64% DE LOS MUNICIPIOS.</t>
  </si>
  <si>
    <t>% DE MUNICIPIOS QUE IMPLEMENTARON EL PROGRAM INTEGRAL DE SSTILOS DE VIDA SALUDABLE</t>
  </si>
  <si>
    <t>FOMENTAR HABILIDADES Y DESTREZAS CON ACTIVIDADES LÚDICAS, CULTURALES Y DEPORTIVAS EN EL 35% DE LOS NIÑOS Y NIÑAS DE 6 A 11 AÑOS</t>
  </si>
  <si>
    <t>IMPLEMENTAR EN 116 SEDES DE INSTITUCIONES EDUCATIVAS PÚBLICAS DURANTE EL CUATRIENIO LA ESTRATEGIA DE "ESCUELAS DE CALIDAD DE VIDA" EN EL MARCO DE LA TRANSECTORIALIDAD.</t>
  </si>
  <si>
    <t>NO. DE SEDES DE IE PÚBLICAS CON CUMPLIMIENTO DE TODOS LOS COMPONENTES DE LA ESTRATEGIA "ESCUELAS DE CALIDAD DE VIDA"</t>
  </si>
  <si>
    <t>CONTRIBUIR, EN EL CUATRIENIO CON LA PERMANENCIA DE 40.874 NIÑAS Y NIÑOS EN EL SISTEMA EDUCATIVO OFICIAL, MEDIANTE EL SUMINISTRO DE COMPLEMENTOS NUTRICIONALES.</t>
  </si>
  <si>
    <t>NO. DE INFANTES CON SUMINISTRO DE COMPLEMENTO NUTRICIONAL EN EL CUATRIENIO</t>
  </si>
  <si>
    <t>RED DE ACTORES INSTITUCIONALES CON PROTOCOLO INTERVIENEN EN LOS 116 MUNICIPIOS PARA LA PROTECCIÓN DE LA VIDA Y LA INTEGRIDAD FÍSICA DE LOS NIÑOS Y NIÑAS DE 6 A 11 AÑOS</t>
  </si>
  <si>
    <t>NO. DE MUNICIPIOS CON PROTOCOLO DE INTERVENCIÓN PARA PROTECCIÓN DE LA VIDA Y LA INTEGRIDAD FÍSICA DE LOS INFANTES</t>
  </si>
  <si>
    <t xml:space="preserve">IMPLEMENTAR DURANTE EL CUATRIENIO EN 35 MUNICIPIOS LA JORNADA COMPLEMENTARIA </t>
  </si>
  <si>
    <t>NO. DE MUNICIPIOS CON JORNADA COMPLEMENTARIA EN EL CUATRIENIO</t>
  </si>
  <si>
    <t>LOGRAR, EN EL CUATRIENIO, LA PERMANENCIA DE 34.560 NIÑAS Y NIÑOS MEDIANTE SUBSIDIO AL TRANSPORTE ESCOLAR INCREMENTANDO DE 62 A 90 DIAS LA COFINANCIACIÓN</t>
  </si>
  <si>
    <t>NO. DE NIÑOS ATENDIDOS EN EL CUATRIENIO CON SUBSIDIO DE TRANSPORTE ESCOLAR/ NO. DE DIAS SUBSIDIADOS</t>
  </si>
  <si>
    <t>FORTALECER EN EL CUATRIENIO AL 70% DE LAS Y LOS DOCENTES Y DIRECTIVOS DOCENTES EN GESTIÓN, LIDERAZGO, PROCESOS ACADÉMICOS, INVESTIGATIVOS, FORMATIVOS, PEDAGÓGICOS, CON UN ENFOQUE DE INCLUSIÓN.</t>
  </si>
  <si>
    <t>% DE DOCENTES Y DIRECTIVOS DOCENTES FORMADOS EN EL CUATRIENIO</t>
  </si>
  <si>
    <t>MEJORAR EN EL CUATRIENIO EL PROMEDIO DE DESEMPEÑO EN LAS PRUEBAS SABER DEL GRADO 5° DE LAS INSTITUCIONES EDUCATIVAS OFICIALES EN DOS PUNTOS POR CADA ÁREA EVALUADA</t>
  </si>
  <si>
    <t>MEJORAR EN EL CUATRIENIO, EL PROMEDIO DE DESEMPEÑO DE LAS PRUEBAS SABER DEL GRADO NOVENO DE LAS INSTITUCIONES EDUCATIVAS OFICIALES EN 2 PUNTOS EN CADA ÁREA EVALUADA</t>
  </si>
  <si>
    <t>INCENTIVAR EN EL CUATRIENIO A 200 DOCENTES Y/O PERSONAL DE APOYO QUE PARTICIPEN EN JORNADAS COMPLEMENTARIAS O QUE PRESENTEN PROYECTOS DE INVESTIGACIÓN</t>
  </si>
  <si>
    <t>NO. DE INCENTIVOS ENTREGADOS EN EL CUATRIENIO A DOCENTES Y/O PERSONAL DE APOYO</t>
  </si>
  <si>
    <t>MEJORAR EN EL CUATRIENIO EL FUNCIONAMIENTO DE LOS MODELOS FLEXIBLES DE APRENDIZAJE PARA PRIMARIA EN 76 SEDES EDUCATIVAS RURALES (ESCUELA NUEVA Y ACELERACIÓN DEL APRENDIZAJE)</t>
  </si>
  <si>
    <t>NO. DE SEDES EDUCATIVAS RURALES CON MODELOS FLEXIBLES DE APRENDIZAJE MEJORADOS EN EL CUATRIENIO</t>
  </si>
  <si>
    <t>IMPLEMENTAR DURANTE EL CUATRIENIO LA EDUCACIÓN INCLUSIVA PARA LA INFANCIA EN 100 INSTITUCIONES EDUCATIVAS DE LOS MUNICIPIOS NO CERTIFICADOS</t>
  </si>
  <si>
    <t>NO. DE IE CON EDUCACIÓN INCLUSIVA PARA LA INFANCIA</t>
  </si>
  <si>
    <t>ACOMPAÑAR DURANTE EL CUATRIENIO AL 100% DE LAS INSTITUCIONES EDUCATIVAS PÚBLICAS DE LOS MUNICIPIOS NO CERTIFICADOS EN LA REVISIÓN Y REELABORACIÓN DE SUS PEI, ARTICULACIÓN CON EL PLAN DE ESTUDIOS, MANUALES DE CONVIVENCIA CON ENFOQUE DE DERECHOS Y SISTEMAS</t>
  </si>
  <si>
    <t>% DE IE ACOMPAÑADAS PARA REVISIÓN Y REELABORACIÓN DE PEI</t>
  </si>
  <si>
    <t>ATENDER INTEGRALMENTE A 600 NIÑAS Y NIÑOS DE ESCASOS RECURSOS, CADA AÑO, EN LOS CENTROS DE PROTECCIÓN DE LA BENEFICENCIA DE CUNDINAMARCA</t>
  </si>
  <si>
    <t>NO. DE NIÑAS Y NIÑOS ATENDIDOS CADA AÑO EN LOS CENTROS DE LA BENEFICENCIA</t>
  </si>
  <si>
    <t>CONTRIBUIR AL DESARROLLO SICOMOTRIZ Y SOCIAL DE LOS NIÑOS FORTALECIENDO EN EL CUATRIENIO LA OPERACIÓN DE 160 LUDOTECAS CON AMBIENTE E IMPLEMENTOS ADECUADOS PARA LAS Y LOS NIÑOS DE 6 A 11 AÑOS</t>
  </si>
  <si>
    <t>NO. DE LUDOTECAS CON AMBIENTE Y DOTACIÓN ADECUADA PARA LOS INFANTES</t>
  </si>
  <si>
    <t>OFRECER FORMACIÓN DEPORTIVA INICIAL A 33.228 NIÑAS Y NIÑOS ENTRE 6 Y 11 AÑOS EN EL CUATRIENIO A TRAVÉS DE ESCUELAS DE FORMACIÓN ESPECIALIZADAS</t>
  </si>
  <si>
    <t>NO. DE INFANTES BENEFICIADOS CON ESCUELAS DE FORMACIÓN DEPORTIVA</t>
  </si>
  <si>
    <t>GARANTIZAR LA RESERVA DEPORTIVA CON LA IDENTIFICACIÓN Y SELECCIÓN EN EL CUATRIENIO DE 850 NUEVOS TALENTOS PARA DEPORTE CONVENCIONAL Y CON DISCAPACIDAD</t>
  </si>
  <si>
    <t>NO. DE NUEVOS TALENTOS IDENTIFICADOS</t>
  </si>
  <si>
    <t>PROMOVER LA PRÁCTICA DEL DEPORTE ESCOLAR EN LAS SEDES DE BÁSICA PRIMARIA DE LOS MUNICIPIOS CON LA PARTICIPACIÓN DE 24.000 NIÑOS Y NIÑAS CADA AÑO EN FESTIVALES ESCOLARES</t>
  </si>
  <si>
    <t>NO. DE NIÑOS PARTICIPANDO EN FESTIVALES ESCOLARES CADA AÑO</t>
  </si>
  <si>
    <t>PROMOVER LA ACTIVIDAD FÍSICA EN LOS ESTABLECIMIENTOS EDUCATIVOS A 12,180 NIÑOS Y NIÑAS CON EL PROGRAMA "SUPERATE"</t>
  </si>
  <si>
    <t>NO. DE NIÑOS Y NIÑAS UE PARTICIPAN EN EL PROGRAMA "SUPERATE" EN EL CUATRIENIO</t>
  </si>
  <si>
    <t>APOYAR EL DESARROLLO INTEGRAL DE NIÑAS Y NIÑOS DE 6 A 11 AÑOS A TRAVÉS DE PROCESOS DE FORMACIÓN ARTÍSTICA Y CULTURAL EN 35 MUNICIPIOS ANUALMENTE CON INTERVENCIÓN ARTICULADA CON LA JORNADA COMPLEMENTARIA</t>
  </si>
  <si>
    <t>NO. DE MUNICIPIOS APOYADOS ANUALMENTE CON PROCESOS DE FORMACIÓN ARTÍSTICA Y CULTURAL CON NIÑOS Y NIÑAS DE 6 A 11 AÑOS</t>
  </si>
  <si>
    <t>APOYAR EL PROCESO FORMATIVO DE HABILIDADES LECTORAS DE LOS NIÑOS Y NIÑAS DE 6 A 11 AÑOS CON EL FORTALECIMIENTO DE 92 BIBLIOTECAS PÚBLICAS MUNICIPALES EN EL CUATRIENIO</t>
  </si>
  <si>
    <t>NO. DE BIBLIOTECAS PÚBLICAS MUNICIPALES FORTALECIDAS QUE PROMUEVAN HABILIDADES LECTORAS DE NIÑOS Y NIÑAS DE 6 A 11 AÑOS</t>
  </si>
  <si>
    <t>GARANTIZAR MEJORES AMBIENTES EN EL 100% DE LAS INSTITUCIONES EDUCATIVAS DE LOS MUNICIPIOS NO CERTIFICADOS A TRAVÉS DE LA PRESTACIÓN DEL SERVICIO DE ASEO</t>
  </si>
  <si>
    <t>% DE IE CON PAGO DE SERVICIO DE ASEO</t>
  </si>
  <si>
    <t>GARANTIZAR MEJORES AMBIENTES EN EL 100% DE LAS INSTITUCIONES EDUCATIVAS DE LOS MUNICIPIOS NO CERTIFICADOS A TRAVÉS DE LA PRESTACIÓN DE LOS SERVICIOS PÚBLICOS DE ENERGÍA Y ACUEDUCTO</t>
  </si>
  <si>
    <t>% DE IE CON PAGO DE SERVICIOS PÚBLICOS</t>
  </si>
  <si>
    <t>APOYAR ANUALMENTE EL SERVICIO DE VIGILANCIA EN CUALQUIERA DE SUS MODALIDADES EN EL 52% DE LAS INSTITUCIONES EDUCATIVAS DE LOS MUNICIPIOS NO CERTIFICADOS</t>
  </si>
  <si>
    <t>% DE IE CON PAGO DE SERVICIO DE VIGILANCIA ANUALMENTE</t>
  </si>
  <si>
    <t>GARANTIZAR QUE EL 100% DE LAS PLANTAS DE DOCENTES DE LAS INSTITUCIONES EDUCATIVAS DE LOS MUNICIPIOS NO CERTIFICADOS ESTÉN COMPLETAS AL INICIO DE CADA AÑO LECTIVO</t>
  </si>
  <si>
    <t>% DE IE CON PLANTA DOCENTE COMPLETA AL INICIO DE CADA AÑO LECTIVO</t>
  </si>
  <si>
    <t>GARANTIZAR EL PAGO DEL 100% DE LOS APORTES DE PREVISIÓN SOCIAL DE LOS DOCENTES</t>
  </si>
  <si>
    <t>% DE PAGO DE LOS APORTES DE PREVISIÓN SOCIAL DE LOS DOCENTES</t>
  </si>
  <si>
    <t>LOGRAR EN EL CUATRIENIO QUE EL 100% DE LOS NIÑOS Y NIÑAS DE 6 A 11 AÑOS QUE LO DEMANDEN TENGAN REGISTRO CIVIL Y TARJETA DE IDENTIDAD, CON PRIORIDAD EN LA POBLACIÓN EN POBREZA EXTREMA.</t>
  </si>
  <si>
    <t>% DE NIÑOS Y NIÑAS CON DOCUMENTO DE IDENTIDAD</t>
  </si>
  <si>
    <t>IMPLEMENTAR DURANTE EL CUATRIENIO EN 35 MUNICIPIOS ESPACIOS DE PARTICIPACIÓN CIUDADANA CON NIÑOS Y NIÑAS DE 6 A 11 AÑOS (CONCEJALITOS Y COMUNALITOS, ENTRE OTROS)</t>
  </si>
  <si>
    <t>NO. DE MUNICIPIOS CON ESPACIOS DE PARTICIPACIÓN CIUDADANA EN NIÑOS Y NIÑAS DE 6 A 11 AÑOS</t>
  </si>
  <si>
    <t>PROMOVER DURANTE EL CUATRIENIO EN EL 100% DE LOS ORGANISMOS COMUNALES LA PARTICIPACIÓN DE NIÑAS Y NIÑOS DE 6 A 11 AÑOS</t>
  </si>
  <si>
    <t>% DE ORGANISMOS COMUNALES CON PROMOCIÓN DE LA PARTICIPACIÓN DE NIÑOS Y NIÑAS DE 6 A 11 AÑOS</t>
  </si>
  <si>
    <t>LA INSTITUCIÓN DEPARTAMENTAL, LOS GOBIERNOS TERRITORIALES Y LA COMUNIDAD INVOLUCRAN AL 100% DE LAS DIFERENTES INSTANCIAS DE PARTICIPACIÓN EN EL DESARROLLO DE SUS PROGRAMAS Y PROYECTOS GENERANDO CORRESPONSABILIDAD CON PARTICIPACIÓN REAL Y ACTIVA.</t>
  </si>
  <si>
    <t xml:space="preserve">ACOMPAÑAR Y ASISTIR TÉCNICAMENTE EN EL CUATRIENIO A LOS 116 MUNICIPIOS PARA LA EFECTIVA INCLUSIÓN DE TEMAS DE INFANCIA EN LA AGENDA DEL CONSEJO MUNICIPAL DE POLÍTICA SOCIAL - COMPOS </t>
  </si>
  <si>
    <t>NO. DE MUNICIPIOS CON ASISTENCIA TÉCNICA EN COMPOS Y AGENDA QUE INCLUYE TEMAS DE INFANCIA</t>
  </si>
  <si>
    <t xml:space="preserve">DESARROLLAR E IMPLEMENTAR EN LOS 116 MUNICIPIOS, ESTRATEGIAS DE INFORMACIÓN, EDUCACIÓN Y COMUNICACIÓN DIRIGIDAS A LA PREVENCIÓN DEL MALTRATO INFANTIL, EXPLOTACIÓN Y ABUSO SEXUAL DE LOS NIÑOS Y NIÑAS PROMOVIENDO CULTURA DE RESPONSABILIDAD DE TODAS Y TODOS </t>
  </si>
  <si>
    <t xml:space="preserve">NO. DE MUNICIPIOS IMPLEMENTANDO ESTRATEGIAS DE IEC EN PREVENCIÓN DEL MALTRATO INFANTIL, EXPLOTACIÓN Y EL ABUSO DE LOS NIÑOS Y NIÑAS </t>
  </si>
  <si>
    <t>IMPLEMENTAR DURANTE EL CUATRIENIO EL PLAN DEPARTAMENTAL DE ERRADICACIÓN DEL TRABAJO INFANTIL</t>
  </si>
  <si>
    <t>PLAN DEPARTAMENTAL DE ERRADICACIÓN DEL TRABAJO INFANTIL IMPLEMENTADO</t>
  </si>
  <si>
    <t>GARANTIZAR LA ATENCIÓN INTEGRAL AL 100% DE LAS Y LOS INFANTES VÍCTIMAS Y POSIBLES VÍCTIMAS DE TRATA DE PERSONAS QUE LO DEMANDEN</t>
  </si>
  <si>
    <t>% DE INFANTES VÍCTIMAS Y POSIBLES VÍCTIMAS DE TRATA D EPERSONAS CON ATENCIÓN INTEGRAL</t>
  </si>
  <si>
    <t>LOGRAR ADOLESCENTES MAS SALUDABLES CON LA IMPLEMENTACIÓN EN EL CUATRIENIO DE UN PROGRAMA INTEGRAL DE ESTILOS DE VIDA SALUDABLE A NIVEL COMUNITARIO EN EL 64% DE LOS MUNICIPIOS.</t>
  </si>
  <si>
    <t>% DE MUNICIPIOS QUE IMPLEMENTARON EL PROGRAMA INTEGRAL DE ESTILOS DE VIDA SALUDABLE</t>
  </si>
  <si>
    <t>FOMENTAR HABILIDADES Y DESTREZAS CON ACTIVIDADES LÚDICAS, CULTURALES Y DEPORTIVAS ANUALMENTE EN EL 60% DE LAS Y LOS ADOLESCENTES</t>
  </si>
  <si>
    <t>IMPLEMENTAR, DURANTE EL CUATRIENIO, EN 13 INSTITUCIONES DE EDUCACIÓN PÚBLICA DE BÁSICA SECUNDARIA LA ESTRATEGIA DE "COLEGIOS DE CALIDAD DE VIDA" EN EL MARCO DE LA TRANSECTORIALIDAD</t>
  </si>
  <si>
    <t>NO. DE IE DE BÁSICA SECUNDARIA QUE DAN CUMPLIMIENTO A TODOS LOS COMPONENTES DE LA ESTRATEGIA DE "COLEGIO DE CALIDAD DE VIDA"</t>
  </si>
  <si>
    <t>IMPLEMENTAR Y/O MANTENER DURANTE EL CUATRIENIO UNA ESTRATEGIA DEPARTAMENTAL DE SENSIBILIZACIÓN Y FOMENTO DE LA RESPONSABILIDAD FRENTE AL EMBARAZO TEMPRANO</t>
  </si>
  <si>
    <t>ESTRATEGIA DEPARTAMENTAL DE SENSIBILIZACIÓN FRENTE AL EMBARAZO TEMPRANO IMPLEMENTADA</t>
  </si>
  <si>
    <t>RED DE ACTORES INSTITUCIONALES CON PROTOCOLO INTERVIENEN EN LOS 116 MUNICIPIOS PARA LA PREVENCIÓN DE HOMICIDIOS Y LA COMISIÓN DE DELITOS EN ADOLESCENTES.</t>
  </si>
  <si>
    <t>NO. DE MUNICIPIOS CON PROTOCOLO DE INTERVENCIÓN PARA PREVENCIÓN DE LOS HOMICIDIOS Y LA COMISIÓN DE DELITOS EN ADOLESCENTES.</t>
  </si>
  <si>
    <t>MEJORAR EN EL CUATRIENIO EL FUNCIONAMIENTO DEL 25% DE LOS MODELOS FLEXIBLES DE APRENDIZAJE PARA ADOLESCENTES EN LAS ZONAS RURALES (POSTPRIMARIA, TELESECUNDARIA, MEDIA RURAL Y ESCUELA Y CAFÉ)</t>
  </si>
  <si>
    <t>% DE MODELOS FLEXIBLES DE APRENDIZAJE PARA ADOLESCENTES MEJORADOS</t>
  </si>
  <si>
    <t>CREAR EN EL CUATRIENIO EL OBSERVATORIO PEDAGÓGICO DE REDES SOCIALES EDUCATIVAS DEL DEPARTAMENTO</t>
  </si>
  <si>
    <t>OBSERVATORIO DE REDES SOCIALES EDUCATIVAS CREADO</t>
  </si>
  <si>
    <t>FORMAR EN EL CUATRIENIO A 3.000 DOCENTES EN PROGRAMAS DE INCORPORACIÓN DE LAS TIC EN LOS PROCESOS PEDAGÓGICOS</t>
  </si>
  <si>
    <t>NO. DE DOCENTES FORMADOS EN INCORPORACIÓN DE LAS TIC EN LOS PROCESOS PEDAGÓGICOS</t>
  </si>
  <si>
    <t>VINCULAR INSTITUCIONES EDUCATIVAS OFICIALES PARA ADELANTAR 350 PROYECTOS CON COMPONENTES DE CIENCIA Y TECNOLOGÍA EN EL CUATRIENIO</t>
  </si>
  <si>
    <t>NO. DE PROYECTOS CON COMPONENTE DE CT EN INSTITUCIONES EDUCATIVAS</t>
  </si>
  <si>
    <t>NO. DE IE CON FORMACIÓN EN EMPRENDIMIENTO ALREDEDOR DE PROCESOS PRODUCTIVOS MEJORADOS</t>
  </si>
  <si>
    <t>CREAR E IMPLEMENTAR DURANTE EL CUATRIENIO EN 15 INSTITUCIONES EDUCATIVAS OFICIALES NUEVAS UNIDADES PRODUCTIVAS PARA FORMACIÓN Y TRANSFERENCIA, CON COMPONENTES DE INVESTIGACIÓN EN CT&amp;I, ORIENTADAS A SOLUCIONAR PROBLEMÁTICAS IDENTIFICADAS EN CADENAS PRODU</t>
  </si>
  <si>
    <t xml:space="preserve">NO. DE IE CON NUEVAS UNIDADES PRODUCTIVAS </t>
  </si>
  <si>
    <t>NO. DE IE CON ARTICULACIÓN A LA EDUCACIÓN TÉCNICA, TECNOLÓGICA Y SUPERIOR</t>
  </si>
  <si>
    <t>IMPLEMENTAR LA EDUCACIÓN INCLUSIVA PARA LA ADOLESCENCIA EN 72 INSTITUCIONES EDUCATIVAS DE LOS MUNICIPIOS NO CERTIFICADOS DURANTE EL CUATRIENIO</t>
  </si>
  <si>
    <t>NO. DE IE CON EDUCACIÓN INCLUSIVA PARA LA ADOLESCENCIA</t>
  </si>
  <si>
    <t>NO. DE CONVENIOS SUSCRITOS PARA PRÁCTICAS DOCENTES EN LENGUAS EXTRANJERAS</t>
  </si>
  <si>
    <t>APOYAR ANUALMENTE AL 100% DE LAS Y LOS ESTUDIANTES DE GRADO 11 DE LAS INSTITUCIONES EDUCATIVAS UBICADAS POR DEBAJO DEL NIVEL MEDIO EN LAS PRUEBAS SABER, CON PROGRAMAS DE PREPARACIÓN PARA LAS PRUEBAS SABER PRO.</t>
  </si>
  <si>
    <t>% DE ESTUDIANTES DE GRADO 11 APOYADOS ANUALMENTE PARA LA PREPARACIÓN A LAS PRUEBAS SABER PRO</t>
  </si>
  <si>
    <t>CONTRIBUIR EN EL CUATRIENIO CON LA PERMANENCIA DE 57.000 ADOLESCENTES EN EL SISTEMA EDUCATIVO OFICIAL, MEDIANTE EL SUMINISTRO DE COMPLEMENTOS NUTRICIONALES.</t>
  </si>
  <si>
    <t>NO. DE ADOLESCENTES CON SUMINISTRO DE COMPLEMENTO NUTRICIONAL EN EL CUATRIENIO</t>
  </si>
  <si>
    <t>LOGRAR EN EL CUATRIENIO LA PERMANENCIA DE 221.817 ADOLESCENTES MEDIANTE ESTRATEGIAS COMO SUBSIDIO AL TRANSPORTE ESCOLAR, PASANDO DE 62 A 90 DÍAS Y ALOJAMIENTO, ENTRE OTROS.</t>
  </si>
  <si>
    <t>NO. DE ADOLESCENTES CON SUBSIDIO DE TRANSPORTE ESCOLAR DURANTE EL CUATRIENIO / NO. DE DIAS</t>
  </si>
  <si>
    <t>ATENDER INTEGRALMENTE A 500 ADOLESCENTES DE ESCASOS RECURSOS, CADA AÑO, EN LOS CENTROS DE PROTECCIÓN DE LA BENEFICENCIA DE CUNDINAMARCA</t>
  </si>
  <si>
    <t>NO. DE ADOLESCENTES ATENDIDOS CADA AÑO EN LOS CENTROS DE LA BENEFICENCIA</t>
  </si>
  <si>
    <t>FORTALECER EL DESARROLLO SICOMOTRIZ Y SOCIAL DE LAS Y LOS ADOLESCENTES MEJORANDO EN EL CUATRIENIO LA OPERACIÓN DE 160 LUDOTECAS CON AMBIENTE E IMPLEMENTOS ADECUADOS</t>
  </si>
  <si>
    <t>NO. DE LUDOTECAS CON AMBIENTE Y DOTACIÓN ADECUADA PARA LOS ADOLESCENTES</t>
  </si>
  <si>
    <t>FORTALECER LA ENSEÑANZA HACIA EL DEPORTE DE COMPETENCIA DE 49.844 ADOLESCENTES ANUALMENTE EN LAS ESCUELAS DE FORMACIÓN DEPORTIVA Y RECREATIVA, ARTICULADAS CON LA JORNADA COMPLEMENTARIA</t>
  </si>
  <si>
    <t>NO. DE ADOLESCENTES ATENDIDOS EN ESCUELAS DE FORMACIÓN DEPORTIVA Y RECREATIVA</t>
  </si>
  <si>
    <t>FORTALECER LA PRÁCTICA DEL DEPORTE ASOCIADO MEDIANTE LA ORGANIZACIÓN Y PARTICIPACIÓN DE LAS LIGAS EN TORNEOS Y EVENTOS DE LAS DIFERENTES DISCIPLINAS</t>
  </si>
  <si>
    <t>NO. DE AGENDAS ANUALES COMPETITIVAS DE INTERLIGAS</t>
  </si>
  <si>
    <t>LOGRAR QUE ANUALMENTE EL 35% DE LAS Y LOS JÓVENES PARTICIPEN DE DINÁMICAS INTEGRALES (CULTURALES, DEPORTIVAS, AMBIENTALES, EMPRENDIMIENTO, EDUCATIVAS)</t>
  </si>
  <si>
    <t>CONTRIBUIR A LA FORMACIÓN INTEGRAL Y AL USO ADECUADO DEL TIEMPO LIBRE CON LA PARTICIPACIÓN DE 80.000 ADOLESCENTES CADA AÑO CON JUEGOS INTERCOLEGIADOS EN TODAS SUS FASES.</t>
  </si>
  <si>
    <t>NO. DE ADOLESCENTES QUE PARTICIPAN ANUALMENTE EN JUEGOS INTERCOLEGIADOS EN EL CUATRIENIO</t>
  </si>
  <si>
    <t>PROMOVER LA ACTIVIDAD FÍSICA EN LOS ESTABLECIMIENTOS EDUCATIVOS A 17,400 ADOLESCENTES CON EL PROGRAMA "SUPERATE"</t>
  </si>
  <si>
    <t>NO. DE ADOLESCENTES QUE PARTICIPAN EN EL PROGRAMA "SUPERATE" DURANTE EL CUATRIENIO</t>
  </si>
  <si>
    <t>APOYAR EL DESARROLLO INTEGRAL DE LAS Y LOS ADOLESCENTES A TRAVÉS DE PROCESOS DE FORMACIÓN ARTÍSTICA Y CULTURAL EN 40 MUNICIPIOS ANUALMENTE CON INTERVENCIÓN ARTICULADA CON LA JORNADA COMPLEMENTARIA</t>
  </si>
  <si>
    <t>NO. DE MUNICIPIOS APOYADOS ANUALMENTE CON PROCESOS DE FORMACIÓN ARTÍSTICA Y CULTURAL CON ADOLESCENTES</t>
  </si>
  <si>
    <t>APOYAR EL PROCESO FORMATIVO DE LAS Y LOS ADOLESCENTES CON EL FORTALECIMIENTO DE 116 BIBLIOTECAS PÚBLICAS MUNICIPALES EN EL CUATRIENIO</t>
  </si>
  <si>
    <t>NO. DE BIBLIOTECAS PÚBLICAS MUNICIPALES DOTADAS PARA LA ATENCIÓN DE ADOLESCENTES</t>
  </si>
  <si>
    <t xml:space="preserve">REALIZAR DURANTE EL CUATRIENIO 5 CONVENIOS DE COLABORACIÓN CON COLEGIOS BILINGÜES UBICADOS EN EL DEPARTAMENTO. </t>
  </si>
  <si>
    <t>NO. DE CONVENIOS CON COLEGIOS BILINGÜES</t>
  </si>
  <si>
    <t>DESARROLLAR UNA CAMPAÑA EN EL CUATRIENIO PARA FOMENTAR QUE LAS Y LOS ADOLESCENTES CONTINUEN EN EL SISTEMA EDUCATIVO DESPUES DEL GRADO 9°</t>
  </si>
  <si>
    <t>CAMPAÑA DEPARTAMENTAL DE PROMOCIÓN DE INGRESO A EDUCACIÓN MEDIA</t>
  </si>
  <si>
    <t>LOGRAR LA PARTICIPACIÓN ACTIVA DE LAS Y LOS ADOLESCENTES EN LOS GOBIERNOS ESCOLARES DEL 100% DE LAS INSTITUCIONES EDUCATIVAS CADA AÑO</t>
  </si>
  <si>
    <t>% DE IE CON ADOLESCENTES ACTIVOS EN GOBIERNOS ESCOLARES CADA AÑO</t>
  </si>
  <si>
    <t>PROMOVER DURANTE EL CUATRIENIO EN EL 100% DE LOS ORGANISMOS COMUNALES LA PARTICIPACIÓN DE LOS ADOLESCENTES</t>
  </si>
  <si>
    <t>% DE ORGANISMOS COMUNALES CON PROMOCIÓN DE PARTICIPACIÓN DE LOS ADOLESCENTES</t>
  </si>
  <si>
    <t>GARANTIZAR ANUALMENTE QUE EN EL 50% DE LAS SESIONES DEL CONSEJO DE POLÍTICA SOCIAL DEPARTAMENTAL PARTICIPEN ADOLESCENTES</t>
  </si>
  <si>
    <t>% DE SESIONES DEL CODEPS CADA AÑO CON ASISTENCIA DE ADOLESCENTES</t>
  </si>
  <si>
    <t>SENSIBILIZAR EN EL CUATRIENIO A 2.000 PERSONAS EN PREVENCIÓN DEL MALTRATO EN ADOLESCENTES</t>
  </si>
  <si>
    <t>NO. DE PERSONAS SENSIBILIZADAS EN PREVENCIÓN DEL MALTRATO EN ADOLESCENTES</t>
  </si>
  <si>
    <t>IMPLEMENTAR DURANTE EL CUATRIENIO EL PLAN DEPARTAMENTAL DE ERRADICACIÓN DEL TRABAJO INFANTIL EN ADOLESCENTES</t>
  </si>
  <si>
    <t>IMPLEMENTAR EN EL CUATRIENIO LA ESTRATEGIA DE PROTECCIÓN AL ADOLESCENTE TRABAJADOR EN EL MARCO DEL PLAN DEPARTAMENTAL DE ERRADICACIÓN DEL TRABAJO INFANTIL</t>
  </si>
  <si>
    <t>ESTRATEGIA DE PROTECCIÓN AL ADOLESCENTE TRABAJADOR IMPLEMENTADA</t>
  </si>
  <si>
    <t>GARANTIZAR LA ATENCIÓN INTEGRAL AL 100% DE LAS Y LOS ADOLESCENTES VÍCTIMAS Y POSIBLES VÍCTIMAS DE TRATA DE PERSONAS QUE LO DEMANDEN</t>
  </si>
  <si>
    <t>% DE ADOLESCENTES VÍCTIMAS Y POSIBLES VÍCTIMAS DE TRATA DE PERSONAS CON ATENCIÓN INTEGRAL</t>
  </si>
  <si>
    <t>ARTICULAR CON LOS MUNICIPIOS EL CUMPLIMIENTO DEL SISTEMA DE RESPONSABILIDAD PENAL PARA ADOLESCENTES EN CUANTO AL FUNCIONAMIENTO DE 15 CENTROS DE SERVICIOS JUDICIALES PARA ADOLESCENTES (CETRAS)</t>
  </si>
  <si>
    <t>NO. DE CENTROS MEJORADOS EN SU FUNCIONAMIENTO</t>
  </si>
  <si>
    <t>LOGRAR JÓVENES MAS SALUDABLES CON LA IMPLEMENTACIÓN EN EL CUATRIENIO DE UN PROGRAMA INTEGRAL DE ESTILOS DE VIDA SALUDABLES A NIVEL COMUNITARIO EN EL 100% DE LOS MUNICIPIOS</t>
  </si>
  <si>
    <t>% DE MUNICIPIOS CON CUMPLIMIENTO DE TODOS LOS COMPONENTES DE ESTILOS DE VIDA SALUDABLE PARA LOS JÓVENES A NIVEL COMUNITARIO</t>
  </si>
  <si>
    <t>NO. DE ESTUDIANTES VINCULADOS A LA EDUCACIÓN SUPERIOR</t>
  </si>
  <si>
    <t>FORTALECER DURANTE EL CUATRIENIO 4 CERES PARA QUE OFREZCAN NUEVOS PROGRAMAS DE FORMACIÓN EN FUNCIÓN DEL DESARROLLO POTENCIAL, PERSONAL, PRODUCTIVO Y COMPETITIVO DE LOS TERRITORIOS.</t>
  </si>
  <si>
    <t>NO. DE CERES FORTALECIDOS PARA OFRECER NUEVOS PROGRAMAS</t>
  </si>
  <si>
    <t>CREAR DURANTE EL CUATRIENIO 4 CERES QUE OFREZCAN PROGRAMAS DE FORMACIÓN EN FUNCIÓN DEL DESARROLLO POTENCIAL, PERSONAL, PRODUCTIVO Y COMPETITIVO DE LOS TERRITORIOS.</t>
  </si>
  <si>
    <t>NO. DE CERES CREADOS</t>
  </si>
  <si>
    <t xml:space="preserve">ALFABETIZAR Y ELEVAR EL NIVEL EDUCATIVO A 3.723 JÓVENES, DURANTE EL CUATRIENIO, CON PRIORIDAD EN LA POBLACIÓN EN CONDICIÓN DE EXTREMA POBREZA. </t>
  </si>
  <si>
    <t>NO. DE JÓVENES ALFABETIZADOS EN EL CUATRIENIO</t>
  </si>
  <si>
    <t>NO. DE JÓVENES FORMADOS EN LIDERAZGO Y FORMACIÓN POLÍTICA.</t>
  </si>
  <si>
    <t>MEJORAR DINÁMICAS DE INTERACCIÓN SOCIAL DE LAS Y LOS JÓVENES, VINCULÁNDOLOS A 160 LUDOTECAS FORTALECIDAS EN SU CAPACIDAD DE SERVICIO</t>
  </si>
  <si>
    <t>NO. DE LUDOTECAS CON AMBIENTE Y DOTACIÓN ADECUADA PARA LOS JÓVENES</t>
  </si>
  <si>
    <t>MEJORAR LA CONVIVENCIA CON LA REALIZACIÓN DE 2 ENCUENTROS ANUALES INTERCULTURALES DE JÓVENES PERTENECIENTES A GRUPOS ÉTNICOS</t>
  </si>
  <si>
    <t>NO. DE ENCUENTROS INTERCULTURALES DE JÓVENES DE GRUPOS ÉTNICOS</t>
  </si>
  <si>
    <t>CONTRIBUIR AL DESARROLLO PERSONAL Y LA CONVIVENCIA A TRAVÉS DE LA PARTICIPACIÓN DE 9.600 JÓVENES DURANTE EL CUATRIENIO EN ACTIVIDADES DE COOPERACIÓN AL AIRE LIBRE CON TÉCNICAS CAMPAMENTILES JUVENILES</t>
  </si>
  <si>
    <t>NO. DE JÓVENES ASISTENTES A CAMPAMENTOS JUVENILES EN EL CUATRIENIO</t>
  </si>
  <si>
    <t>PROMOVER Y MASIFICAR LA PRÁCTICA DEPORTIVA CON LA PARTICIPACIÓN DE 15.000 JÓVENES EN EL CUATRIENIO EN ESPACIOS DE COMPETICIÓN A NIVEL MUNICIPAL, REGIONAL Y DEPARTAMENTAL</t>
  </si>
  <si>
    <t>NO. DE JÓVENES QUE PARTICIPAN EN JUEGOS DEPARTAMENTALES JUVENILES</t>
  </si>
  <si>
    <t>FORTALECER LA PRÁCTICA DE DEPORTES EXTREMOS EN EL DEPARTAMENTO CON LA REALIZACIÓN DE 3 FESTIVALES</t>
  </si>
  <si>
    <t>NO. DE FESTIVALES DE DEPORTE EXTREMO</t>
  </si>
  <si>
    <t>APOYAR LA PREPARACIÓN ANUAL DEL 100% DE LAS Y LOS DEPORTISTAS DE ALTO RENDIMIENTO CONVENCIONALES Y CON DISCAPACIDAD QUE PARTICIPARÁN EN LOS JUEGOS NACIONALES 2012 Y 2015</t>
  </si>
  <si>
    <t>% DE DEPORTISTAS DE ALTO RENDIMIENTO APOYADOS ANUALMENTE EN SU PREPARACIÓN A JUEGOS NACIONALES</t>
  </si>
  <si>
    <t>PARTICIPAR CON DEPORTISTAS DE ALTO RENDIMIENTO CONVENCIONALES Y CON DISCAPACIDAD A JUEGOS NACIONALES 2012 Y 2015</t>
  </si>
  <si>
    <t>NO. DE PARTICIPACIONES DEL DEPARTAMENTO EN JUEGOS NACIONALES EN EL CUATRIENIO</t>
  </si>
  <si>
    <t>ESTIMULAR LA EXCELENCIA DEPORTIVA CON APOYO ECONÓMICO A 100 DEPORTISTAS MEDALLISTAS CADA AÑO</t>
  </si>
  <si>
    <t>NO. DE DEPORTISTAS APOYADOS ECONÓMICAMENTE CADA AÑO</t>
  </si>
  <si>
    <t>PROMOVER LA ACTIVIDAD FÍSICA A 5.220 JÓVENES CON EL PROGRAMA "SUPERATE"</t>
  </si>
  <si>
    <t>NO. DE JÓVENES QUE PARTICIPAN EN EL PROGRAMA "SUPERATE"</t>
  </si>
  <si>
    <t>NO. DE CONCIERTOS DE LA BANDA SINFÓNICA DE CUNDINAMARCA EN EL CUATRIENIO</t>
  </si>
  <si>
    <t>APOYAR EL TALENTO DE JÓVENES ARTISTAS CON SU PARTICIPACIÓN EN 10 ENCUENTROS Y/O CONCURSOS ARTÍSTICOS Y CULTURALES ANUALMENTE</t>
  </si>
  <si>
    <t>NO. DE ENCUENTROS Y/O CONCURSOS ARTÍSTICOS Y CULTURALES FOCALIZADAS A JÓVENES CADA AÑO</t>
  </si>
  <si>
    <t>APOYAR EL PROCESO FORMATIVO DE LAS Y LOS JÓVENES CON EL FORTALECIMIENTO DE 100 BIBLIOTECAS PÚBLICAS MUNICIPALES EN EL CUATRIENIO</t>
  </si>
  <si>
    <t>NO. DE BIBLIOTECAS PÚBLICAS MUNICIPALES APOYADAS PARA LA ATENCIÓN DE JÓVENES</t>
  </si>
  <si>
    <t>FOMENTAR EL DESARROLLO INTEGRAL A TRAVÉS DE PROCESOS DE FORMACIÓN ARTÍSTICA Y CULTURAL DE LAS Y LOS JÓVENES EN 15 MUNICIPIOS ANUALMENTE</t>
  </si>
  <si>
    <t>MUNICIPIOS APOYADOS ANUALMENTE CON PROCESOS DE FORMACIÓN ARTÍSTICA Y CULTURAL CON JÓVENES</t>
  </si>
  <si>
    <t>PROMOVER CON CAPITAL SEMILLA 20 PROYECTOS PRODUCTIVOS Y DE EMPRENDIMIENTO VINCULANDO A JÓVENES DE EXTREMA POBREZA Y REINTEGRADOS</t>
  </si>
  <si>
    <t>NO. DE PROYECTOS PRODUCTIVOS DE EMPRENDIMIENTO JUVENIL APOYADOS</t>
  </si>
  <si>
    <t>CONFORMAR, OPERAR Y DESARROLLAR DURANTE EL CUATRIENIO UNA RED DEPARTAMENTAL DE COMUNICACIÓN POPULAR JUVENIL</t>
  </si>
  <si>
    <t>RED DEPARTAMENTAL DE COMUNICACIÓN POPULAR JUVENIL CREADA</t>
  </si>
  <si>
    <t>NO. DE INICIATIVAS DE PARTICIPACIÓN CIUDADANA APOYADAS</t>
  </si>
  <si>
    <t>APOYAR EN EL CUATRIENIO LA CREACIÓN Y FORTALECIMIENTO DE 40 CLUBES, ORGANIZACIONES Y ASOCIACIONES JUVENILES</t>
  </si>
  <si>
    <t>NO. DE CLUBES JUVENILES APOYADOS EN LA CREACIÓN Y DESARROLLO.</t>
  </si>
  <si>
    <t>ASISTIR TÉCNICAMENTE EN EL CUATRIENIO A 107 MUNICIPIOS PARA LA CREACIÓN DE LOS CONSEJOS MUNICIPALES DE JUVENTUD - CMJ</t>
  </si>
  <si>
    <t>NO. DE MUNICIPIOS ASISTIDOS TÉCNICAMENTE EN EL CUATRIENIO PARA LA CREACIÓN DE LOS CMJ</t>
  </si>
  <si>
    <t>CREAR DURANTE EL CUATRIENIO 5 VEEDURÍAS TEMÁTICAS CIUDADANAS CONFORMADAS POR JÓVENES POR MEDIO DE UNA RED SOCIAL VIRTUAL.</t>
  </si>
  <si>
    <t>NO. DE VEEDURÍAS CIUDADANAS DE JÓVENES DESARROLLADAS POR MEDIO DE UNA RED VIRTUAL.</t>
  </si>
  <si>
    <t>LOGRAR QUE EN EL CUATRIENIO 20 JÓVENES REALICEN INTERCAMBIOS ACADÉMICOS, SOCIALES Y LABORALES EN OTROS PAÍSES.</t>
  </si>
  <si>
    <t>NO. DE JÓVENES BENEFICIADOS CON PROGRAMA DE INTERCAMBIO EN OTROS PAÍSES</t>
  </si>
  <si>
    <t>% DE JÓVENES BENEFICIADOS CON DOCUMENTOS DE IDENTIFICACIÓN.</t>
  </si>
  <si>
    <t>NO. DE JÓVENES BENEFICIADOS CON LA EXPEDICIÓN DE LA LIBRETA MILITAR</t>
  </si>
  <si>
    <t>ATENDER EN EL CUATRIENIO A 21,000 FAMILIAS DE LA RED UNIDOS CON SINERGIA DE SECTORES</t>
  </si>
  <si>
    <t>PROMOVER EN EL 100% DE LOS ORGANISMOS COMUNALES LA PARTICIPACIÓN DE LAS Y LOS JÓVENES</t>
  </si>
  <si>
    <t>% DE ORGANISMOS COMUNALES CON PROMOCIÓN DE PARTICIPACIÓN DE LOS JÓVENES</t>
  </si>
  <si>
    <t xml:space="preserve">PROMOVER LA PARTICIPACIÓN DE LAS Y LOS JÓVENES EN ACTIVIDADES DE INVESTIGACIÓN, CONSERVACIÓN Y RESCATE DEL PATRIMONIO CULTURAL EN 5 MUNICIPIOS EN EL CUATRIENIO </t>
  </si>
  <si>
    <t>NO. DE MUNICIPIOS APOYADOS PARA LA PARTICIPACIÓN DE LOS JÓVENES EN RESCATE DEL PATRIMONIO CULTURAL</t>
  </si>
  <si>
    <t>APOYAR 5 INICIATIVAS DE EMPRENDIMIENTO E INDUSTRIA CULTURAL DE JÓVENES EN EL CUATRIENIO</t>
  </si>
  <si>
    <t>NO. DE INICIATIVAS DE EMPRENDIMIENTO CULTURAL DE JÓVENES APOYADOS</t>
  </si>
  <si>
    <t>PROMOVER LA PARTICIPACIÓN DE  1000 JÓVENES EN LOS PROCESOS DE  REVEGETALIZACION PROTECTORA, MANTENIMIENTO Y CONSERVACIÓN DEL RECURSO HÍDRICO, CONSERVACIÓN Y/O RECUPERACIÓN DE ECOSISTEMAS LENTICOS, EDUCACIÓN Y CONCIENTIZACIÓN AMBIENTAL.</t>
  </si>
  <si>
    <t>NO. DE JÓVENES VINCULADOS A PROGRAMAS AMBIENTALES</t>
  </si>
  <si>
    <t>LOGRAR EN LOS 116 MUNICIPIOS ENTORNOS LABORALES SALUDABLES PARA LAS Y LOS JÓVENES CON EL FOMENTO DE LA SALUD OCUPACIONAL PRIORITARIAMENTE EN EL SECTOR MINERO, TURISMO Y AGRICULTURA</t>
  </si>
  <si>
    <t>NO. DE MUNICIPIOS CON CUMPLIMIENTO DE TODOS LOS COMPONENTES DE LA POLÍTICA DE SALUD LABORAL EN EL DEPARTAMENTO</t>
  </si>
  <si>
    <t>APOYAR EN EL CUATRIENIO A 30 MUNICIPIOS FRENTE A LOS NUEVOS MODELOS DE ABORDAJE INTEGRAL SOCIAL EN LA PREVENCIÓN Y/O ATENCIÓN DE LAS ADICCIONES Y LA INDAGACIÓN DE LAS CAUSAS</t>
  </si>
  <si>
    <t>NO. DE MUNICIPIOS APOYADOS PARA ABORDAR LOS NUEVOS MODELOS DE PREVENCIÓN Y/O ATENCIÓN DE ADICCIONES</t>
  </si>
  <si>
    <t>GARANTIZAR LA ATENCIÓN INTEGRAL AL 100% DE LAS Y LOS JÓVENES VÍCTIMAS Y POSIBLES VÍCTIMAS DE TRATA DE PERSONAS QUE LO DEMANDEN</t>
  </si>
  <si>
    <t>% DE JÓVENES VÍCTIMAS Y POSIBLES VÍCTIMAS DE TRATA DE PERSONAS CON ATENCIÓN INTEGRAL</t>
  </si>
  <si>
    <t>RED DE ACTORES INSTITUCIONALES CON PROTOCOLO INTERVIENEN EN LOS 116 MUNICIPIOS PARA LA PREVENCIÓN DE HOMICIDIOS Y LA COMISIÓN DE DELITOS EN JÓVENES</t>
  </si>
  <si>
    <t>NO. DE MUNICIPIOS CON PROTOCOLO DE INTERVENCIÓN PARA PREVENCIÓN DE LOS HOMICIDIOS Y LA COMISIÓN DE DELITOS EN JÓVENES</t>
  </si>
  <si>
    <t>IMPLEMENTAR UN MODELO PARA LA GESTIÓN DE LOS PROGRAMAS DE CÁNCERES ASOCIADOS A SALUD SEXUAL Y REPRODUCTIVA (CÉRVIX, SENO Y PRÓSTATA), CON ENFOQUE DE RIESGO EN LOS 116 MUNICIPIOS</t>
  </si>
  <si>
    <t>NO. DE MUNICIPIOS CON MODELO PARA LA GESTIÓN DE PROGRAMAS DE CÁNCERES ASOCIADOS A SALUD SEXUAL IMPLEMENTADOS</t>
  </si>
  <si>
    <t>BENEFICIAR ANUALMENTE AL 30% DE LAS Y LOS ADULTOS CON ACTIVIDADES CULTURALES, LÚDICAS Y DEPORTIVAS</t>
  </si>
  <si>
    <t>LOGRAR ADULTAS Y ADULTOS MAS SALUDABLES CON LA IMPLEMENTACIÓN EN EL CUATRIENIO DE UN PROGRAMA INTEGRAL DE ESTILOS DE VIDA SALUDABLES A NIVEL COMUNITARIO EN EL 100% DE LOS MUNICIPIOS</t>
  </si>
  <si>
    <t>% DE MUNICIPIOS CON CUMPLIMIENTO DE TODOS LOS COMPONENTES DE ESTILOS DE VIDA SALUDABLE PARA LOS ADULTOS A NIVEL COMUNITARIO</t>
  </si>
  <si>
    <t>ALFABETIZAR Y ELEVAR EL NIVEL EDUCATIVO A 6.206 ADULTOS Y ADULTAS, DURANTE EL CUATRIENIO, CON PRIORIDAD EN LA POBLACIÓN EN EXTREMA POBREZA.</t>
  </si>
  <si>
    <t>NO. DE ADULTOS ALFABETIZADOS</t>
  </si>
  <si>
    <t>MEJORAR DINÁMICAS DE INTERACCIÓN SOCIAL DE LAS Y LOS ADULTOS, VINCULÁNDOLOS A 160 LUDOTECAS FORTALECIDAS EN SU CAPACIDAD DE SERVICIO</t>
  </si>
  <si>
    <t>NO. DE LUDOTECAS CON AMBIENTE Y DOTACIÓN ADECUADA PARA LOS ADULTOS</t>
  </si>
  <si>
    <t>PROPICIAR LA PARTICIPACIÓN E INTEGRACIÓN DE 25.000 ADULTAS Y ADULTOS ANUALMENTE EN SANA COMPETENCIA DEPORTIVA EN LOS JUEGOS COMUNALES</t>
  </si>
  <si>
    <t>NO. DE PARTICIPANTES CADA AÑO EN JUEGOS COMUNALES</t>
  </si>
  <si>
    <t>PROMOCIONAR ACTIVIDAD FÍSICA A 123.236 ADULTOS Y ADULTAS PARA MEJORAR ESTILOS DE VIDA SALUDABLE PARA LA COMUNIDAD DEL DEPARTAMENTO</t>
  </si>
  <si>
    <t>NO. DE ADULTOS PARTICIPANTES DE PROYECTO DE ACTIVIDAD FÍSICA</t>
  </si>
  <si>
    <t xml:space="preserve">DIFUNDIR LA MÚSICA FOLCLÓRICA COLOMBIANA Y UNIVERSAL A TRAVÉS DE LA REALIZACIÓN DE 80 ENCUENTROS Y/O CONCIERTOS DE EXPRESIONES MUSICALES, TRADICIONALES, FOLCLORICAS Y CORALES EN EL CUATRIENIO </t>
  </si>
  <si>
    <t>NO. DE CONCIERTOS Y/O ENCUENTROS DE AGRUPACIONES MUSICALES EN EL CUATRIENIO</t>
  </si>
  <si>
    <t>APOYAR 3 INICIATIVAS DE EMPRENDIMIENTO E INDUSTRIA CULTURAL DE ADULTOS EN EL CUATRIENIO</t>
  </si>
  <si>
    <t>NO. DE INICIATIVAS DE EMPRENDIMIENTO CULTURAL PRESENTADOS POR ADULTOS APOYADOS</t>
  </si>
  <si>
    <t>APOYAR EL DESARROLLO INTEGRAL A TRAVÉS DE PROCESOS DE FORMACIÓN ARTÍSTICA Y CULTURAL DE LAS Y LOS ADULTOS EN 5 MUNICIPIOS ANUALMENTE</t>
  </si>
  <si>
    <t>MUNICIPIOS APOYADOS ANUALMENTE CON PROCESOS DE FORMACIÓN ARTÍSTICA Y CULTURAL PARA ADULTOS</t>
  </si>
  <si>
    <t>APOYAR EL PROCESO FORMATIVO DE LAS Y LOS ADULTOS CON EL FORTALECIMIENTO DE 100 BIBLIOTECAS PÚBLICAS MUNICIPALES EN EL CUATRIENIO</t>
  </si>
  <si>
    <t>NO. DE BIBLIOTECAS PÚBLICAS MUNICIPALES APOYADAS EN EL CUATRIENIO PARA LA ATENCIÓN DE ADULTOS</t>
  </si>
  <si>
    <t>% DE ADULTOS CON DOCUMENTOS DE IDENTIFICACIÓN.</t>
  </si>
  <si>
    <t>GENERAR CAPACIDADES DE GESTIÓN LOCAL CON LA FORMACIÓN DE 6.500 DIGNATARIAS Y DIGNATARIOS DE LAS JUNTAS DE ACCIÓN COMUNAL EN EL CUATRIENIO</t>
  </si>
  <si>
    <t>NO. DE DIGNATARIOS DE LAS JAC FORMADOS</t>
  </si>
  <si>
    <t>GARANTIZAR LA ATENCIÓN INTEGRAL AL 100% DE LAS Y LOS ADULTOS VÍCTIMAS Y POSIBLES VÍCTIMAS DE TRATA DE PERSONAS QUE LO DEMANDEN</t>
  </si>
  <si>
    <t>% DE ADULTOS VÍCTIMAS Y POSIBLES VÍCTIMAS DE TRATA DE PERSONAS CON ATENCIÓN INTEGRAL</t>
  </si>
  <si>
    <t>REDUCIR EN EL CUATRIENIO EN MÍNIMO 10% LAS MUERTES POR HOMICIDIO EN ADULTOS</t>
  </si>
  <si>
    <t>RED DE ACTORES INSTITUCIONALES CON PROTOCOLO INTERVIENEN EN LOS 116 MUNICIPIOS PARA LA PREVENCIÓN DE HOMICIDIOS Y LA COMISIÓN DE DELITOS EN ADULTOS</t>
  </si>
  <si>
    <t>CONSOLIDAR EN EL CUATRIENIO 3 ALIANZAS CON ORGANISMOS PÚBLICOS O PRIVADOS, CON EL FIN DE ENCAMINAR ESFUERZOS HACIA LA PROTECCIÓN DE LOS DERECHOS HUMANOS, CIVILES Y POLÍTICOS DE LA POBLACIÓN ADULTA DEL DEPARTAMENTO.</t>
  </si>
  <si>
    <t>NO DE ALIANZAS PARA LA PROTECCIÓN DE LOS DERECHOS DE LOS ADULTOS</t>
  </si>
  <si>
    <t>LOGRAR ADULTAS Y ADULTOS MAYORES MAS SALUDABLES CON LA IMPLEMENTACIÓN EN EL CUATRIENIO DE UN PROGRAMA INTEGRAL DE ESTILOS DE VIDA SALUDABLE A NIVEL COMUNITARIO EN EL 100% DE LOS MUNICIPIOS</t>
  </si>
  <si>
    <t>% DE MUNICIPIOS CON CUMPLIMIENTO DE TODOS LOS COMPONENTES DE ESTILOS DE VIDA SALUDABLE PARA LOS ADULTOS MAYORES A NIVEL COMUNITARIO</t>
  </si>
  <si>
    <t>POTENCIALIZAR HABILIDADES Y DESTREZAS EN EL 5% DE LAS PERSONAS ADULTAS MAYORES CON Y SIN DISCAPACIDAD COMO USUARIOS DE PROGRAMAS CULTURALES, RECREATIVOS Y LÚDICOS CADA AÑO</t>
  </si>
  <si>
    <t>VACUNAR EN EL CUATRIENIO A 40.000 ADULTAS Y ADULTOS MAYORES DE 60 AÑOS CONTRA INFLUENZA Y NEUMOCOCO</t>
  </si>
  <si>
    <t>NO. DE ADULTOS MAYORES VACUNADOS CONTRA INFLUENZA Y NEUMOCOCO</t>
  </si>
  <si>
    <t>ATENDER ANUALMENTE A 400 ADULTAS Y ADULTOS MAYORES EN PROGRAMA DE SEGURIDAD ALIMENTARIA</t>
  </si>
  <si>
    <t>NO. DE ADULTOS MAYORES ATENDIDOS ANUALMENTE EN PROGRAMAS DE SEGURIDAD ALIMENTARIA</t>
  </si>
  <si>
    <t xml:space="preserve">ALFABETIZAR Y ELEVAR EL NIVEL EDUCATIVO A 3.817 ADULTOS Y ADULTAS MAYORES, DURANTE EL CUATRIENIO, CON PRIORIDAD EN LA POBLACIÓN EN CONDICIÓN DE EXTREMA POBREZA. </t>
  </si>
  <si>
    <t>NO. DE ADULTOS MAYORES ALFABETIZADOS EN EL CUATRIENIO</t>
  </si>
  <si>
    <t>NO. DE INICIATIVAS PRODUCTIVAS DE ADULTOS MAYORES APOYADAS</t>
  </si>
  <si>
    <t>CREAR EN LOS 2 PRIMEROS AÑOS EL BANCO DE SABERES Y TALENTOS DE PERSONAS ADULTAS MAYORES LIDERES EN LA TRANSMISIÓN DEL CONOCIMIENTO, HABILIDADES, EXPERIENCIA Y SABIDURÍA.</t>
  </si>
  <si>
    <t>BANCO DE SABERES Y TALENTOS CREADO</t>
  </si>
  <si>
    <t>CELEBRAR EN EL CUATRIENIO 6 ENCUENTROS DE ADULTAS Y ADULTOS MAYORES E INTERGENERACIONALES</t>
  </si>
  <si>
    <t>NO. DE ENCUENTROS INTERGENERACIONALES CELEBRADOS</t>
  </si>
  <si>
    <t>CONTRIBUÍR CON ESPACIOS DE INTEGRACIÓN PARA LOS ADULTOS MAYORES, FORTALECIENDO EN EL CUATRIENIO LA OPERACIÓN DE 160 LUDOTECAS CON AMBIENTE E IMPLEMENTOS ADECUADOS</t>
  </si>
  <si>
    <t>NO. DE LUDOTECAS CON AMBIENTE Y DOTACIÓN ADECUADA PARA LOS ADULTOS MAYORES</t>
  </si>
  <si>
    <t>CONTRIBUÍR AL FORTALECIMIENTO SOCIAL Y A LA CALIDAD DE VIDA DE 18.000 ADULTAS Y ADULTOS MAYORES MEDIANTE LA PARTICIPACIÓN EN ENCUENTROS DEPORTIVOS AUTOCTONOS, OLIMPIADAS DEPARTAMENTALES "VEJEZ DIVINO TESORO"</t>
  </si>
  <si>
    <t>NO. DE ADULTOS MAYORES QUE PARTICIPAN EN LAS OLIMPIADAS DEPARTAMENTALES "VEJEZ DIVINO TESORO"</t>
  </si>
  <si>
    <t>PROMOCIONAR EL PROYECTO DE ACTIVIDAD FÍSICA A 17.863 ADULTOS Y ADULTAS MAYORES PARA MEJORAR LOS ESTILOS DE VIDA SALUDABLE PARA LA COMUNIDAD DEL DEPARTAMENTO</t>
  </si>
  <si>
    <t>NO. DE ADULTOS MAYORES BENEFICIARIOS DEL PROGRAMA DE ACTIVIDAD FÍSICA</t>
  </si>
  <si>
    <t>APOYAR EL PROCESO FORMATIVO DE LAS Y LOS ADULTOS MAYORES CON EL FORTALECIMIENTO DE 100 BIBLIOTECAS PÚBLICAS MUNICIPALES EN EL CUATRIENIO</t>
  </si>
  <si>
    <t>NO. DE BILIOTECAS APOYADAS PARA LA ATENCIÓN DE ADULTOS MAYORES</t>
  </si>
  <si>
    <t>APOYAR EL DESARROLLO INTEGRAL A TRAVÉS DE PROCESOS DE FORMACIÓN ARTÍSTICA Y CULTURAL DE LAS Y LOS ADULTOS MAYORES EN 5 MUNICIPIOS ANUALMENTE</t>
  </si>
  <si>
    <t>MUNICIPIOS APOYADOS ANUALMENTE CON PROCESOS DE FORMACIÓN ARTÍSTICA Y CULTURAL PARA ADULTOS MAYORES</t>
  </si>
  <si>
    <t>GARANTIZAR ANUALMENTE EL PAGO DEL 100% DE LA NÓMINA DE PENSIONADOS Y SUSTITUTOS DEL MAGISTERIO DEL DEPARTAMENTO DE CUNDINAMARCA</t>
  </si>
  <si>
    <t>% DE PAGO DE NÓMINA DE PENSIONADOS Y SUSTITUTOS DEL MAGISTERIO</t>
  </si>
  <si>
    <t>TRES ESPACIOS Y/O DINAMICAS DE PARTICIPACIÒN PROMUEVEN CIUDADADANIA EN LOS Y LAS ADULLTAS MAYORES (CONSEJO DE POLITICA SOCIAL, COMITÉ DE ADULTO MAYOR, ENTRE OTROS)</t>
  </si>
  <si>
    <t>NO. DE ESPACIOS Y/O DINAMICAS QUE FORTALECEN EL DERECHO A LA PARTICIPACIÓN EN LOS Y LAS ADULTAS MAYORES</t>
  </si>
  <si>
    <t>% DE ADULTOS MAYORES BENEFICIADOS CON EXPEDICIÓN Y/O ACTUALIZACIÓN DE DOCUMENTOS DE IDENTIDAD</t>
  </si>
  <si>
    <t>PROTEGER INTEGRALMENTE A 630 ADULTAS Y ADULTOS MAYORES CADA AÑO EN LOS CENTROS DE PROTECCIÓN DE LA BENEFICENCIA DE CUNDINAMARCA</t>
  </si>
  <si>
    <t>NO. DE PERSONAS MAYORES ATENDIDOS CADA AÑO EN LOS CENTROS DE LA BENEFICENCIA</t>
  </si>
  <si>
    <t>GARANTIZAR LA ATENCIÓN INTEGRAL AL 100% DE LAS Y LOS ADULTOS MAYORES VÍCTIMAS Y POSIBLES VÍCTIMAS DE TRATA DE PERSONAS QUE LO DEMANDEN</t>
  </si>
  <si>
    <t>% DE ADULTOS MAYORES VÍCTIMAS Y POSIBLES VÍCTIMAS DE TRATA DE PERSONAS CON ATENCIÓN INTEGRAL</t>
  </si>
  <si>
    <t>IMPLEMENTAR EN EL CUATRIENIO EN 35 MUNICIPIOS EL PROGRAMA DE CUIDADORES DE PERSONAS ADULTAS MAYORES</t>
  </si>
  <si>
    <t>NO. DE MUNICIPIOS CON PROGRAMA DE CUIDADORES DE PERSONAS ADULTAS MAYORES</t>
  </si>
  <si>
    <t>RED DE ACTORES INSTITUCIONALES CON PROTOCOLO INTERVIENEN EN LOS 116 MUNICIPIOS PARA LA PREVENCIÓN DE HOMICIDIOS Y LA COMISION DE DELITOS EN LOS ADULTOS MAYORES</t>
  </si>
  <si>
    <t>NO. DE MUNICIPIOS CON PROTOCOLO DE INTERVENCIÓN PARA PREVENCIÓN DE LOS HOMICIDIOS Y LA COMISION DE DELITOS EN ADLTOS MAYORES</t>
  </si>
  <si>
    <t>CONTRIBUIR TÉCNICA Y FINANCIERAMENTE DURANTE EL CUATRIENIO PARA QUE 500 FAMILIAS URBANAS, ACCEDAN A VIVIENDAS NUEVAS (VIS Y VIP) Y REUBICACIÓN, A TRAVÉS DE PROGRAMAS DE CONSTRUCCIÓN DE INFRAESTRUCTURA URBANÍSTICA, EN CONJUNTO CON LAS DEMÁS ENTIDADES COOP</t>
  </si>
  <si>
    <t>NO. DE FAMILIAS APOYADAS CON INFRAESTRUCTURA URBANÍSTICA</t>
  </si>
  <si>
    <t>CONTRIBUIR TÉCNICA Y FINANCIERAMENTE DURANTE EL CUATRIENIO PARA QUE 3.000 FAMILIAS ACCEDAN A VIVIENDAS NUEVAS RURALES (VISR) Y REUBICACIÓN, A TRAVÉS DE PROGRAMAS DE CONSTRUCCIÓN EN CONJUNCIÓN CON LAS DEMÁS ENTIDADES COOPERANTES DEL SNV</t>
  </si>
  <si>
    <t>NO. DE FAMILIAS RURALES APOYADAS CON PROYECTOS DE CONSTRUCCIÓN DE VIVIENDA NUEVA EN EL CUATRIENIO</t>
  </si>
  <si>
    <t>APOYAR EN EL CUATRIENIO A 5.000 FAMILIAS URBANAS, TÉCNICA Y FINANCIERAMENTE, A TRAVÉS DE PROGRAMAS DE CONSTRUCCIÓN DE VIVIENDA NUEVA VIS Y VIP Y REUBICACIÓN EN CONJUNCIÓN CON LAS DEMÁS ENTIDADES COOPERANTES DEL SNV.</t>
  </si>
  <si>
    <t>NO. DE FAMILIAS URBANAS APOYADAS CON PROYECTOS DE CONSTRUCCIÓN DE VIVIENDA NUEVA EN EL CUATRIENIO</t>
  </si>
  <si>
    <t>NO. DE FAMILIAS RURALES APOYADAS CON PROYECTOS DE MEJORAMIENTO DE VIVIENDA EN EL CUATRIENIO</t>
  </si>
  <si>
    <t>APOYAR EN EL CUATRIENIO A 1.000 FAMILIAS URBANAS, TÉCNICA Y FINANCIERAMENTE, A TRAVÉS DE PROGRAMAS DE MEJORAMIENTO DE VIVIENDAS, EN CONJUNCIÓN CON LAS DEMÁS ENTIDADES COOPERANTES DEL SNV. CON PRIORIDAD EN LAS FAMILIAS DE POBREZA EXTREMA</t>
  </si>
  <si>
    <t>NO. DE FAMILIAS URBANAS APOYADAS CON PROYECTOS DE MEJORAMIENTO DE VIVIENDA EN EL CUATRIENIO</t>
  </si>
  <si>
    <t>NO. DE VIVIENDAS MEJORADAS CON PISOS EN CONCRETO ANTIBACTERIAL</t>
  </si>
  <si>
    <t>CONTRIBUIR AL BUEN HABITAT DE 500 FAMILIAS URBANAS CON PROGRAMAS DE MEJORAMIENTO BARRIAL INTEGRAL DURANTE EL CUATRIENIO</t>
  </si>
  <si>
    <t>NO. DE VIVIENDAS ATENDIDAS A TRAVÉS DE PROGRAMAS DE MEJORAMIENTO BARRIAL</t>
  </si>
  <si>
    <t>PROMOVER LA TITULACIÓN PREDIAL APOYANDO TÉCNICA, JURÍDICA Y SOCIALMENTE A 250 HOGARES URBANOS Y RURALES EN EL CUATRIENIO</t>
  </si>
  <si>
    <t>NO. PREDIOS TITULADOS EN EL CUATRIENIO</t>
  </si>
  <si>
    <t>FORTALECER INSTITUCIONALMENTE EN EL CUATRIENIO A LOS 116 MUNICIPIOS EN HERRAMIENTAS DE GESTIÓN DEL SUELO, FORMULACIÓN DE PROYECTOS DE VIVIENDA Y NORMATIVIDAD URBANA</t>
  </si>
  <si>
    <t>NO. DE MUNICIPIOS FORTALECIDOS EN GESTIÓN DEL SUELO, PROYECTOS DE VIVIENDA Y NORMATIVIDAD URBANA</t>
  </si>
  <si>
    <t>POBREZA</t>
  </si>
  <si>
    <t>NO. DE FAMILIAS DE LA RED UNIDOS ATENDIDAS CON ESTRATEGIAS DE RESPONSABILIDAD EMPRESARIAL Y COOPERACIÓN PUBLICA</t>
  </si>
  <si>
    <t>NO. DE NUEVAS FAMILIAS DE LA RED UNIDOS QUE AHORRAN A TRAVÉS DE MECANISMOS FORMALES Y NO FORMALES.</t>
  </si>
  <si>
    <t>BENEFICIAR EN EL CUATRIENIO A 11.000 FAMILIAS EN ESTADO DE INSEGURIDAD ALIMENTARIA A TRAVÉS DE LOS BANCOS DE ALIMENTOS.</t>
  </si>
  <si>
    <t>NO. DE FAMILIAS BENEFICIADAS CON BANCOS DE ALIMENTOS EN EL CUATRIENIO</t>
  </si>
  <si>
    <t>BENEFICIAR EN EL CUATRIENIO A 5.000 PERSONAS EN SITUACIÓN DE INSEGURIDAD ALIMENTARIA A TRAVÉS DE LAS PLANTAS DE SOYA.</t>
  </si>
  <si>
    <t>NO. DE PERSONAS BENEFICIADAS CON PLANTAS DE SOYA EN EL CUATRIENIO</t>
  </si>
  <si>
    <t>PROMOVER QUE EL 100% DE LAS FAMILIAS EN POBREZA EXTREMA CONOZCAN LAS RUTAS DE ATENCIÓN DE LOS SERVICIOS DE JUSTICIA Y ACCEDAN A ESTOS DE MANERA OPORTUNA Y EFICAZ.</t>
  </si>
  <si>
    <t>% DE FAMILIAS EN POBREZA EXTREMA QUE CONOCEN Y ACCEDEN DE MANERA OPORTUNA Y EFICAZ AL SISTEMA DE JUSTICIA.</t>
  </si>
  <si>
    <t xml:space="preserve">INCREMENTAR EN EL CUATRIENIO EL ÍNDICE DE CAPTACIÓN DE LOS PACIENTES SINTOMÁTICOS DE PIEL Y SISTEMA NERVIOSO PERIFÉRICO A 1 POR CADA 1.000 HABITANTES, </t>
  </si>
  <si>
    <t>ÍNDICE DE CAPTACIÓN DE PACIENTES SINTOMÁTICOS DE PIEL Y SISTEMA NERVIOSO PERIFÉRICO</t>
  </si>
  <si>
    <t>INCREMENTAR EN EL CUATRIENIO, EN 10 PUNTOS PORCENTUALES LA BÚSQUEDA DE LAS Y LOS PACIENTES SINTOMÁTICOS RESPIRATORIOS PARA EL DIAGNOSTICO DE LA TUBERCULOSIS PULMONAR</t>
  </si>
  <si>
    <t>ÍNDICE DE CAPTACIÓN DE PACIENTES SINTOMÁTICOS RESPIRATORIOS PARA EL DIAGNOSTICO DE LA TUBERCULOSIS PULMONAR</t>
  </si>
  <si>
    <t>REDUCIR EN EL CUATRENIO LOS ÍNDICES DE INFESTACIÓN LARVARIO AEDES AEGYPTI (DENGUE) AL 10%</t>
  </si>
  <si>
    <t xml:space="preserve"> ÍNDICE DE INFESTACIÓN LARVARIO AEDES AEGYPTI </t>
  </si>
  <si>
    <t>NO. DE COBERTURA DE PRUEBAS DE VIH</t>
  </si>
  <si>
    <t>IMPLEMENTAR LA ASISTENCIA TÉCNICA EN EL MARCO DE LA ATENCIÓN DEL SISTEMA GENERAL DE SEGURIDAD SOCIAL EN SALUD EN EL 50% DE LOS MUNICIPIOS Y LAS DEMÁS EMPRESAS ADMINISTRADORAS DE PLANES DE BENEFICIOS</t>
  </si>
  <si>
    <t>% DE ADMINISTRADORAS DE PLANES DE BENEFICIO Y MUNICIPIOS CON ASISTENCIA TÉCNICA IMPLEMENTADA</t>
  </si>
  <si>
    <t>GESTIONAR EL ACCESO A LA PRESTACIÓN DE SERVICIOS DE SALUD AL 100% DE LA POBLACIÓN POBRE NO ASEGURADA QUE DEMANDE LAS ATENCIONES EN SALUD Y AFILIADA AL RÉGIMEN SUBSIDIADO EN LO NO CUBIERTO POR SUBSIDIOS A LA DEMANDA DEL DEPARTAMENTO</t>
  </si>
  <si>
    <t>% DE PERSONAS ATENDIDAS DE LA POBLACIÓN POBRE NO ASEGURADA Y AFILIADA AL RÉGIMEN SUBSIDIADO EN LO NO CUBIERTO POR SUBSIDIOS QUE DEMANDAN SERVICIOS DE SALUD</t>
  </si>
  <si>
    <t>MONITOREAR EN EL 60% DE LAS EMPRESAS ADMINISTRADORAS DE PLANES DE BENEFICIO LA CALIDAD DE LA PRESTACIÓN DE LOS SERVICIOS DE SALUD A LA POBLACIÓN ASEGURADA</t>
  </si>
  <si>
    <t>% DE EMPRESAS ADMINISTRADORAS DE PLANES DE BENEFICIO MONITOREADAS</t>
  </si>
  <si>
    <t>ETNIAS</t>
  </si>
  <si>
    <t>APOYAR A LA POBLACIÓN PERTENECIENTES A GRUPOS ETNICOS, RESPETANDO SU COSMOVISION, SABERES, IDENTIDAD CULTURAL E IMAGINARIOS, CON 5 EVENTOS ARTÍSTICOS Y/O CULTURALES FOCALIZADOS DURANTE EL CUATRIENIO</t>
  </si>
  <si>
    <t>NO. DE EVENTOS ARTÍSTICOS Y/O CULTURALES FOCALIZADAS A LA POBLACIÓN PERTENECIENTE A GRUPOS ÉTNICOS</t>
  </si>
  <si>
    <t xml:space="preserve">NO. DE PLANES DE VIDA PARA GRUPOS INDÍGENAS CONSTRUIDOS </t>
  </si>
  <si>
    <t>IMPLEMENTAR Y EJECUTAR UN PROYECTO DE RECONOCIMIENTO Y AUTORRECONOCIMIENTO DE LA IDENTIDAD ETNICA.</t>
  </si>
  <si>
    <t>NO. DE PROYECTOS DE IDENTIDAD ETNICA IMPLEMENTADOS</t>
  </si>
  <si>
    <t>6 COMUNIDADES PERTENECIENTES A GRUPOS ETNICOS FORTALECIDAS Y ASESORADAS EN GESTION, AUTODETERMINACION, PRODUCTIVIDAD, INSTITUCIONALIDAD Y LIDERAZGO.</t>
  </si>
  <si>
    <t>NO DE COMUNIDADES ASESORADAS</t>
  </si>
  <si>
    <t>6 EVENTOS CONMEMORATIVOS DE LA DIVERSIDAD ETNICA REALIZADOS</t>
  </si>
  <si>
    <t>NO DE EVENTOS DE CONMEMORACIÓN DE LA DIVERSIDAD ETNICA REALIZADOS</t>
  </si>
  <si>
    <t>DISCAPACIDAD</t>
  </si>
  <si>
    <t>APOYAR EN EL CUATRIENIO A 2.000 PERSONAS CON DISCAPACIDAD, FAMILIAS Y/O CUIDADORES CON INGRESOS, POR EMPLEO, PROYECTOS PRODUCTIVOS</t>
  </si>
  <si>
    <t xml:space="preserve">NO. DE PERSONAS CON DISCPACIDAD PCD, FAMILIS Y/O CUIDADORES EN PROYECTOS AUTOSOSTENIBLES </t>
  </si>
  <si>
    <t>INCLUIR EN EL CUATRIENIO A 400 FAMILIAS Y/O CUIDADORES EN DINAMICAS SOCIALES, LUDICAS, COMUNITARIAS Y CON HERRAMIENTAS PARA EL MANEJO DE LA DISCAPACIDAD E INTEGRACIÒN FAMILIAR.</t>
  </si>
  <si>
    <t>NO. DE FAMILIAS Y/O CUIDADORES EN DINAMICAS SOCIALES, LUDICAS Y CON HERRAMIENATS PARA EL MANEJO DE LA DISCAPACIDAD</t>
  </si>
  <si>
    <t>APOYAR A LA POBLACIÓN EN CONDICIÓN DE DISCAPACIDAD CON 5 EVENTOS ARÍSTICOS Y/O CULTURALES FOCALIZADOS EN EL CUATRIENIO</t>
  </si>
  <si>
    <t>NO. DEEVENTOS ARTISTICOS Y/O CULTURALES PARA LA POBLACIÓN DISCAPACITADA</t>
  </si>
  <si>
    <t>AUMENTAR DURANTE EL CUATRIENIO AL 100% DE LOS MUNICIPIOS LA COBERTURA DE LOS PROGRAMAS EN SALUD PARA LA POBLACIÓN EN CONDICION DE DISCAPACIDAD (CENTROS DE VIDA SENSORIAL, AYUDAS TÉCNICAS Y/O REHABILITACIÓN BASADA EN COMUNIDAD)</t>
  </si>
  <si>
    <t>% DE MUNICIPIOS CON COBERTURA DE PROGRAMAS EN SALUD PARA POBLACIÓN EN CONDICIÓN DE DISCAPACIDAD</t>
  </si>
  <si>
    <t>ATENDER INTEGRALMENTE A 1.200 PERSONAS CON DISCAPACIDAD MENTAL, CADA AÑO, EN LOS CENTROS DE PROTECCIÓN DE LA BENEFICENCIA DE CUNDINAMARCA</t>
  </si>
  <si>
    <t>NO. DE PERSONAS EN SITUACION DE DISCAPACIDAD MENTAL ATENDIDOS CADA AÑO EN LOS CENTROS DE LA BENEFICENCIA</t>
  </si>
  <si>
    <t>DINAMICA FAMILIAR</t>
  </si>
  <si>
    <t>FORMAR EN EL CUATRIENIO A 120 ORIENTADORES Y ORIENTADORAS, PARA VINCULAR A 5.000 FAMILIAS EN LAS QUE LOS PADRES SEAN SUJETOS ACTIVOS DEL PROCESO FORMATIVO Y EDUCATIVO DE SUS HIJOS E HIJAS.</t>
  </si>
  <si>
    <t>NO. DE ORIENTADORES CAPACITADOS</t>
  </si>
  <si>
    <t>NO. DE FAMILIAS ATENDIDAS CON ESTRATEGIAS DE COMUNICACIÓN PARA PREVENIR LA VIOLENCIA INTRAFAMILIAR</t>
  </si>
  <si>
    <t>FORMULAR EN EL CUATRIENIO LAS POLÍTICAS PÚBLICAS POBLACIONALES DE POBLACIÓN EN CONDICIÓN DE DISCAPACIDAD; PRIMERA INFANCIA, INFANCIA Y ADOLESCENCIA; FAMILIA; SEGURIDAD ALIMENTARIA Y NUTRICIONAL , VEJEZ Y ENVEJECIMIENTO, ENTRE OTRAS. CON ENFOQUE DIFEREN</t>
  </si>
  <si>
    <t>NO. DE POLÍTICAS PÚBLICAS DEPARTAMENTALES POBLACIONALES FORMULADAS</t>
  </si>
  <si>
    <t>IMPLEMENTAR EN LOS 116 MUNICIPIOS UNA ESTRATEGIA DE MOVILIZACION SOCIAL Y GESTIÓN DEL PLAN DE INTERVENCIONES COLECTIVAS PARA FORTALECER LOS PROGRAMAS INTEGRALES DE LAS ETAPAS DEL CICLO VITAL</t>
  </si>
  <si>
    <t xml:space="preserve">NO. DE MUNICIPIOS CON ESTRATEGIA DE MOVILIZACIÓN SOCIAL Y GESTIÓN DEL PLAN DE INTERVENCIONES COLECTIVAS IMPLEMENTADA </t>
  </si>
  <si>
    <t>MANTENER CADA AÑO LA COFINANCIACIÓN DEL ASEGURAMIENTO AL RÉGIMEN SUBSIDIADO EN LOS 116 MUNICIPIOS DEL DEPARTAMENTO</t>
  </si>
  <si>
    <t>NO. DE MUNICIPIOS COFINANCIADOS PARA EL ASEGURAMIENTO AL RÉGIMEN SUBSIDIADO</t>
  </si>
  <si>
    <t>IMPLEMENTAR LA ESTRATEGIA "CUNDINAMARCA ASEGURADA Y SALUDABLE" EN LOS 116 MUNICIPIOS</t>
  </si>
  <si>
    <t>NO. DE MUNICIPIOS CON LA ESTRETEGIA "CUNDINAMARCA SEGURADA Y SALUDABLE" IMPLEMENTADA</t>
  </si>
  <si>
    <t>FOMENTAR LA TRADICIÓN, LA CULTURA Y LAS ARTES CON EVENTOS ARTÍSTICOS Y CULTURALES EN 90 MUNICIPIOS CADA AÑO</t>
  </si>
  <si>
    <t>NO. DE EVENTOS MUNICIPALES QUE FOMENTAN LA TRADICIÓN, LA CULTURA Y LAS ARTES CADA AÑO</t>
  </si>
  <si>
    <t xml:space="preserve">REALIZAR ACCIONES DE PREVENCIÓN PARA MEJORAR LA CONVIVENCIA EN LOS 116 MUNICIPIOS MEDIANTE LA IMPLEMENTACIÓN DE LA ESTRATEGIA "DEPORTE, CONVIVENCIA Y PAZ" </t>
  </si>
  <si>
    <t>NO. DE MUNICIPIOS CON IMPLEMENTACIÓN DE LA ESTRATEGIA "DEPORTE, CONVIVENCIA Y PAZ"</t>
  </si>
  <si>
    <t>FOMENTAR LA ACTIVIDAD FÍSICA Y LA INTEGRACIÓN SOCIAL MEDIANTE LA ADECUACIÓN EN EL CUATRIENIO DE 40 PARQUES BIOSALUDABLES</t>
  </si>
  <si>
    <t>NO. DE PARQUES BIOSALUDABLES INSTALADOS</t>
  </si>
  <si>
    <t>FORTALECER LA ACTIVIDAD FÍSICA EN 400.000 PERSONAS CADA AÑO MEDIANTE LA PARTICIPACIÓN EN LAS MARATONES DE AEROBICOS Y EN EL DÍA DEL DESAFIO</t>
  </si>
  <si>
    <t>NO. DE PERSONAS QUE PARTICIPAN EN EVENTOS MASIVOS DE ACTIVIDAD FÍSICA</t>
  </si>
  <si>
    <t>PROMOVER LA AFILIACIÓN AL 100% DE LA POBLACIÓN OBJETO DE ASEGURAMIENTO AL RÉGIMEN SUBSIDIADO EN EL DEPARTAMENTO</t>
  </si>
  <si>
    <t>% DE POBLACION OBJETO DE ASEGURAMIENTO AFILIADA</t>
  </si>
  <si>
    <t>INCREMENTAR EN EL DEPARTAMENTO EN 0.8 PUNTOS PORCENTUALES EL ASEGURAMIENTO AL RÉGIMEN CONTRIBUTIVO</t>
  </si>
  <si>
    <t>PUNTOS PORCENTUALES DE INCREMENTO DEL ASEGURAMIENTO AL RÉGIMEN CONTRIBUTIVO</t>
  </si>
  <si>
    <t>DESARROLLO INTEGRAL DE LA MUJER</t>
  </si>
  <si>
    <t>GENERAR EN LAS MUJERES MAYOR AUTONOMÍA ECONÓMICA, APOYANDO A 500 PROYECTOS PRODUCTIVOS, ENTRE OTROS CON EL FONDO EMPRESARIAL PARA LA MUJER CUNDINAMARQUESA Y LA RED DE EMPRESARIAS DEL DEPARTAMENTO</t>
  </si>
  <si>
    <t>NO. DE PROYECTOS PRODUCTIVOS LIDERADOS POR MUJERES APOYADOS</t>
  </si>
  <si>
    <t>TRANSFERIR CAPACIDADES Y HABILIDADES A 2.000 MUJERES EN EMPRENDIMIENTO, DESARROLLO EMPRESARIAL Y GESTIÓN DE PROYECTOS DURANTE EL CUATRIENIO</t>
  </si>
  <si>
    <t>NO DE MUJERES VINCULADAS AL MÓDULO DE CAPACITACIÓN EN EMPRESARISMO Y GESTIÓN DE PROYECTOS</t>
  </si>
  <si>
    <t>INSTITUCIONALIZAR E IMPLEMENTAR EN EL CUATRENIO UNA ESCUELA DE FORMACIÓN Y CAPACITACIÓN DE MUJERES EN LIDERAZGO, POLÍTICA Y GÉNERO EN EL DEPARTAMENTO, DE ACUERDO A LA ORDENANZA 99 DE 2011</t>
  </si>
  <si>
    <t>ESCUELA DE FORMACIÓN Y CAPACITACIÓN DE MUJERES OPERANDO</t>
  </si>
  <si>
    <t>PROMOVER EN EL CUATRIENIO LA PARTICIPACIÓN DE LAS MUJERES EN EL 100% DE LOS ORGANISMOS COMUNALES</t>
  </si>
  <si>
    <t>% DE ORGANIZACIONES DE MUJERES FORTALECIDAS</t>
  </si>
  <si>
    <t>FORTALECER EL 100% DE LAS ORGANIZACIONES DE MUJERES EXISTENTES EN EL DEPARTAMENTO</t>
  </si>
  <si>
    <t>CREAR EL 100% DE LAS INSTANCIAS DEPARTAMENTALES DE MUJER Y GÉNERO ESTABLECIDAS EN LA ORDENANZA 099 DE 2011</t>
  </si>
  <si>
    <t>% DE CREACIÓN DE INSTANCIAS DE MUJER Y GÉNERO ESTABLECIDAS EN LA ORDENANZA 099 DE 2011</t>
  </si>
  <si>
    <t>MUJER LIBRE DE VIOLENCIA</t>
  </si>
  <si>
    <t>IMPLEMENTAR EN EL CUATRIENIO LA RUTA DE ATENCIÓN Y PROTECCIÓN A LA MUJER</t>
  </si>
  <si>
    <t>RUTA DE ATENCIÓN Y PROTECCION A LA MUJER IMPLEMENTADA</t>
  </si>
  <si>
    <t>116 MUNICIPIOS APOYADOS PARA LA IMPLEMENTACIÓN DE ESTRATEGIAS DE PREVENCIÓN DE LA VIOLENCIA DE LA MUJER CON ENFOQUE MULTISECTORIAL Y TRANSVERSAL</t>
  </si>
  <si>
    <t>NO. DE MUNICIPIOS APOYADO CON ESTRATEGIAS PARA PREVENCIÓN DE LA VIOENCIA CONTRA LA MUJER</t>
  </si>
  <si>
    <t>CREAR EL COMITÉ DE SEGUIMIENTO A LA IMPLEMENTACIÓN Y SEGUIMIENTO DE LA LEY 1257 DE 2008, ARTÍCULO 35</t>
  </si>
  <si>
    <t>COMITÉ DE SEGUIMIENTO A LA LEY 1257 ACTIVO</t>
  </si>
  <si>
    <t>INFRAESTRUCTURA SOCIAL</t>
  </si>
  <si>
    <t>CONSTRUIR, ADECUAR Y/O MANTENER EN EL CUATRIENIO 500 SEDES EDUCATIVAS EN LOS MUNICIPIOS NO CERTIFICADOS DEL DEPARTAMENTO</t>
  </si>
  <si>
    <t>NO. DE SEDES EDUCATIVAS INTERVENIDAS EN EL CUATRIENIO</t>
  </si>
  <si>
    <t>CONSTRUIR, AMPLIAR, ADECUAR Y MANTENER LA INFRAESTRUCTURA FÍSICA DEL CENTRO REGULADOR DE URGENCIAS, EMERGENCIAS Y DESASTRES, QUE INCLUYA LA ADECUACIÓN DE LA SALA DE CRISIS DE EMERGENCIAS Y DESASTRES DEL DEPARTAMENTO.</t>
  </si>
  <si>
    <t>INTERVENCIÓN DEL CENTRO REGULADOR DE URGENCIAS, EMERGENCIAS Y DESASTRES.</t>
  </si>
  <si>
    <t>CONSTRUIR Y/O TERMINAR EN EL CUATRIENIO LA INFRAESTRUCTURA FÍSICA DE 6 IPS QUE CONFORMAN LA RED PÚBLICA DEL DEPARTAMENTO (HOSPITALES, CENTROS Y/O PUESTOS DE SALUD) PARA MEJORAR LA PRESTACIÓN DE SERVICIOS DE SALUD CON CALIDAD, ACCESO EFECTIVO Y OPORTUNIDA</t>
  </si>
  <si>
    <t>NO. DE IPS CONSTRUIDAS EN EL CUATRIENIO</t>
  </si>
  <si>
    <t xml:space="preserve"> MEJORAR DURANTE EL CUATRIENIO LAS CONDICIONES DE CAPACIDAD TECNOLÓGICA Y CIENTÍFICA DEL SISTEMA ÚNICO DE HABILITACIÓN EN EL COMPONENTE DE INFRAESTRUCTURA EN EL 25% DE LAS EMPRESAS SOCIALES DEL ESTADO CON ÉNFASIS EN LA BAJA COMPLEJIDAD.</t>
  </si>
  <si>
    <t>% DE EMPRESAS SOCIALES DEL ESTADO CON EL COMPONENTE DE INFRAESTRUCTURA MEJORADO.</t>
  </si>
  <si>
    <t>CONSTRUIR, ADECUAR Y MANTENER EN EL CUATRIENIO 50 ESPACIOS SOCIALES DE RECREACIÓN Y DEPORTE</t>
  </si>
  <si>
    <t xml:space="preserve">NO. DE ESPACIOS DE RECREACIÓN Y DEPORTE INTERVENIDOS EN EL CUATRIENIO </t>
  </si>
  <si>
    <t>ADECUAR, MANTENER Y CONSERVAR 8 BIENES INMUEBLES DE INTERÉS CULTURAL EN EL CUATRIENIO</t>
  </si>
  <si>
    <t>NO. DE BIENES DE INTERÉS CULTURAL APOYADOS PARA SU CONSERVACIÓN EN EL CUATRIENIO</t>
  </si>
  <si>
    <t>ADECUAR Y MANTENER 6 ESPACIOS CULTURALES EN EL CUATRIENIO</t>
  </si>
  <si>
    <t>NO. DE ESPACIOS DE INTERÉS CULTURAL APOYADOS PARA SU CONSERVACIÓN EN EL CUATRIENIO</t>
  </si>
  <si>
    <t>AUNAR ESFUERZOS PARA LA CONSTRUCCIÓN DE UNA UNIDAD BÁSICA DE REHABILITACIÓN INTEGRAL EN EL CUATRIENIO</t>
  </si>
  <si>
    <t>UNIDAD BÁSICA DE REHABILITACIÓN CONSTRUIDA</t>
  </si>
  <si>
    <t>CONSTRUIR EN EL CUATRIENIO UN CENTRO REGIONAL DE ATENCIÓN A VICTIMAS DEL CONFLICTO ARMADO - VCA EN EL MUNICIPIO DE SOACHA</t>
  </si>
  <si>
    <t>NO. CENTROS REGIONALES DE ATENCIÓN A VICTIMAS CONSTRUIDOS</t>
  </si>
  <si>
    <t>COFINANCIAR LA ELABORACIÓN DE 21 ESTUDIOS DE VULNERABILIDAD SÍSMICA Y REFORZAMIENTO ESTRUCTURAL ACTUALIZADOS A LA NORMA NSR 10 PARA HOSPITALES DE LA RED PÚBLICA, QUE PERMITIRÁN ESTABLECER LAS NECESIDADES DE INTERVENCIÓN A LAS EDIFICACIONES HOSPITALARIAS.</t>
  </si>
  <si>
    <t>NO. DE HOSPITALES QUE CUENTEN CON ESTUDIOS DE VULNERABILIDAD SÍSMICA Y DE REFORZAMIENTO ESTRUCTURAL.</t>
  </si>
  <si>
    <t>VIDA, INTEGRIDAD, LIBERTAD Y SEGURIDAD</t>
  </si>
  <si>
    <t>IMPLEMENTAR DURANTE EL CUATRIENIO 116 PLANES DE PREVENCIÓN MUNICIPAL Y UNO DEPARTAMENTAL</t>
  </si>
  <si>
    <t>NO. DE PLANES MUNICIPALES Y DEPATAMENTAL ACTIVAS</t>
  </si>
  <si>
    <t>ACTIVAR DURANTE EL CUATRIENIO 116 RUTAS DE PROTECCIÓN</t>
  </si>
  <si>
    <t>NO. DE RUTAS DE PROTECCIÓN MUNICIPALES ACTIVAS</t>
  </si>
  <si>
    <t xml:space="preserve">BRINDAR DURANTE EL CUATRIENIO ATENCIÓN HUMANITARIA DE EMERGENCIA AL 100% DE LAS VICTIMAS DEL CONFLICTO ARMADO QUE LO SOLICITEN A TRAVÉS DE LOS CTJT MUNICIPALES (GASTOS FUNERARIOS, ALOJAMIETO DE EMERGENCIA, TRANSPORTE DE VCA) </t>
  </si>
  <si>
    <t>% VÍCTIMAS DEL CONFLICTO ARMADO CON ATENCIÓN HUMANITARIA</t>
  </si>
  <si>
    <t>FORTALECER DURANTE EL CUATRIENIO 116 CTJT DE LOS 116 MUNICIPIOS Y LA COMUNIDAD CON ASISTENCIA TÉCNICA</t>
  </si>
  <si>
    <t>NO. DE CTJT FORTALECIDAS</t>
  </si>
  <si>
    <t>AVANZAR DURANTE EL CUATRIENIO EN LA RESTITUCIÓN, LEGALIZACIÓN Y TITULACIÓN DE PREDIOS DEL 100% DE LA POBLACIÓN VÍCTIMA DE CONFLICTO ARMADO QUE LO REQUIERA.</t>
  </si>
  <si>
    <t>% PREDIOS RESTITUIDOS, LEGALIZADOS Y TITULADOS.</t>
  </si>
  <si>
    <t>EJECUTAR DURANTE EL CUATRIENIO EN EL 100% DE LOS MUNICIPIOS DEFINIDOS POR EL PROGRAMA DE LA VICEPRESIDENCIA DE LA REPÚBLICA, PLAN ESTRATÉGICO, EN CONTRA DE MINAS ANTIPERSONAL Y MUNICIONES DE GUERRA ABANDONADAS SIN EXPLOTAR.</t>
  </si>
  <si>
    <t>% DE MUNICIPIOS IDENTIFICADOS CON EL PLAN ESTRATÉGICO EJECUTADO</t>
  </si>
  <si>
    <t>NO. DE CAMPAÑAS PREVENTIVAS DE ESCNNA REALIZADAS</t>
  </si>
  <si>
    <t>ATENCION HUMANITARIA</t>
  </si>
  <si>
    <t>ATENDER DURANTE EL CUATRIENIO AL 100% (2.841) DE LAS VCA QUE SOLICITEN A TRAVÉS DEL CTJT MERCADOS Y KIT DE ASEO.</t>
  </si>
  <si>
    <t>% DE PVCA QUE SOLICITEN EL SUMINISTRO DE MERCADOS Y KIT DE ASEO</t>
  </si>
  <si>
    <t>ATENDER DURANTE EL CUATRIENIO AL 100% DE LOS NIÑOS, NIÑAS Y ADOLESCENTES, ADULTO MAYOR Y PERSONAS CON DISCAPACIDAD MENTAL VÍCTIMAS DEL CONFLICTO ARMADO QUE LO REQUIERAN, EN LOS CENTROS DE PROTECCIÓN DE LA BENEFICENCIA DE CUNDINAMARCA.</t>
  </si>
  <si>
    <t>% DE PERSONAS ATENDIDAS</t>
  </si>
  <si>
    <t>ATENCION INTEGRAL BASICA</t>
  </si>
  <si>
    <t>FORTALECER DURANTE EL CUATRIENIO CINCO (5) PROYECTOS DE RETORNO EN EL DEPARTAMENTO DE CUNDINAMARCA EN EL PROCESO DE ARTICULACIÓN INTERINSTITUCIONAL, NACIÓN, DEPARTAMENTO Y MUNICIPIOS.</t>
  </si>
  <si>
    <t>NO. DE PROYECTOS DE RETORNO FORTALECIDOS</t>
  </si>
  <si>
    <t>CONTRIBUIR A LA IDENTIFICACIÓN, REGISTRO CIVIL, TARJETA DE IDENTIDAD, CEDULAS DE CIUDADANÍA Y (LIBRETA MILITAR MAYORES DE 25 AÑOS) AL 100% DE LA PVCA, FOCALIZADOS Y PRIORIZADOS A TRAVÉS DE LA RED UNIDOS.</t>
  </si>
  <si>
    <t>% DE PERSONAS VCA CON DOCUMENTO DE IDENTIDAD Y LIBRETA MILITAR</t>
  </si>
  <si>
    <t>% DE FAMILIAS VCA ATENDIDAS EN LA PROBLEMÁTICA DE VIOLENCIA INTRAFAMILIAR</t>
  </si>
  <si>
    <t>MANTENER EN EL CUATRIENIO LAS ACCIONES DE PROMOCIÓN Y PREVENCIÓN EN SALUD MENTAL AL 100% DE LAS PERSONAS VÍCTIMAS DEL CONFLICTO ARMADO IDENTIFICADAS.</t>
  </si>
  <si>
    <t>% DE POBLACIÓN ATENDIDA CON SALUD MENTAL</t>
  </si>
  <si>
    <t>ATENDER DURANTE EL CUATRIENIO AL 100% (73) DE LAS MUJERES GESTANTES, LACTANTES Y ADULTOS MAYORES EN RIESGO DE DESNUTRICIÓN VÍCTIMAS DEL CONFLICTO ARMADO, FOCALIZADAS Y PRIORIZADAS A TRAVÉS DE LA RED UNIDOS</t>
  </si>
  <si>
    <t>% DE MUJERES ATENDIDAS</t>
  </si>
  <si>
    <t>ATENDER DURANTE EL CUATRIENIO AL 100% (32) DE LOS NIÑOS Y NIÑAS MENORES DE CINCO AÑOS EN RIESGO DE DESNUTRICIÓN VÍCTIMAS DEL CONFLICTO ARMADO, FOCALIZADOS Y PRIORIZADOS A TRAVÉS DE LA RED UNIDOS.</t>
  </si>
  <si>
    <t>% DE NN ATENDIDOS</t>
  </si>
  <si>
    <t>% DE FAMILIAS VCA CON INTEGRANTES CON DISCAPACIDAD ATENDIDAS</t>
  </si>
  <si>
    <t>GESTIONAR EL ACCESO A LA PRESTACIÓN DE SERVICIOS DE SALUD AL 100% DE LA POBLACIÓN VÍCTIMA DEL CONFLICTO ARMADO QUE DEMANDE SERVICIOS DE URGENCIAS COMO NO ASEGURADOS Y LOS AFILIADOS AL RS EN LO NO CUBIERTO POR SUBSIDIOS A LA DEMANDA DEL DEPARTAMENTO</t>
  </si>
  <si>
    <t>% DE POBLACIÓN VINCULADA</t>
  </si>
  <si>
    <t>PROMOVER LA AFILIACIÓN AL SGSSS AL 100% DE LA POBLACIÓN VÍCTIMA DEL CONFLICTO ARMADO QUE RESIDE EN EL DEPARTAMENTO MEDIANTE LA ESTRATEGIA CUNDINAMARCA ASEGURADA Y SALUDABLE.</t>
  </si>
  <si>
    <t>% DE POBLACIÓN VCA AFILIADA AL SGSSS</t>
  </si>
  <si>
    <t>IMPLEMENTAR LA ASISTENCIA TÉCNICA EN EL MARCO DE LA ATENCIÓN DEL SISTEMA GENERAL DE SEGURIDAD SOCIAL EN SALUD EN EL 50% DE LOS MUNICIPIOS Y LAS EMPRESAS ADMINISTRADORAS DE PLANES DE BENEFICIOS.</t>
  </si>
  <si>
    <t>% ENTES TERRITORIALES Y APB CON ASISTENCIA TÉCNICA IMPLEMENTADA</t>
  </si>
  <si>
    <t>MANTENER EN EL CUATRIENIO LAS ACCIONES DE PROMOCIÓN Y PREVENCIÓN EN VACUNACIÓN AL 100% DE LAS PERSONAS VÍCTIMAS DEL CONFLICTO ARMADO IDENTIFICADAS.</t>
  </si>
  <si>
    <t>% DE POBLACIÓN VCA ATENDIDA CON VACUNACIÓN</t>
  </si>
  <si>
    <t>MANTENER EN EL CUATRIENIO LAS ACCIONES DE PROMOCIÓN Y PREVENCIÓN EN SALUD SEXUAL Y REPRODUCTIVA AL 100% DE LAS PERSONAS VÍCTIMAS DEL CONFLICTO ARMADO IDENTIFICADAS.</t>
  </si>
  <si>
    <t>% DE POBLACIÓN VCA ATENDIDA EN SALUD SEXUAL Y REPRODUCTIVA</t>
  </si>
  <si>
    <t>CONFERIR DURANTE EL CUATRIENIO 600 AYUDAS TÉCNICAS PARA PROMOVER LA INCLUSIÓN SOCIAL A LA POBLACIÓN VÍCTIMA DEL CONFLICTO ARMADO EN CONDICIÓN DE DISCAPACIDAD.</t>
  </si>
  <si>
    <t>NO. DE PERSONAS VCA DISCAPACITADAS CON AYUDAS TÉCNICAS</t>
  </si>
  <si>
    <t>LOGRAR DURANTE EL CUATRIENIO MEJORES HABILIDADES OCUPACIONALES EN EL 100% DE LOS JÓVENES CON Y SIN DISCAPACIDAD VCA QUE SOLICITEN PROGRAMA DE CAPACITACIÓN.</t>
  </si>
  <si>
    <t>% DE JÓVENES EN CON MEJORES HABILIDADES OCUPACIONALES</t>
  </si>
  <si>
    <t>GENERAR DURANTE EL CUATRIENIO OPORTUNIDADES DE DESARROLLO AL 100% DE LAS MUJERES CABEZA DE HOGAR VCA CON Y SIN DISCAPACIDAD, QUE SOLICITEN.</t>
  </si>
  <si>
    <t>% DE MUJERES VCA CON OPORTUNIDADES DE DESARROLLO INTEGRAL</t>
  </si>
  <si>
    <t>ATENDER DURANTE EL CUATRIENIO 3.000 ESTUDIANTES EN SITUACIÓN DE DESPLAZAMIENTO DEL SECTOR OFICIAL CON SUBSIDIO DE TRANSPORTE ESCOLAR.</t>
  </si>
  <si>
    <t>NO. DE ESTUDIANTES VCA ATENDIDOS CON SUBSIDIO DE TRANSPORTE ESCOLAR</t>
  </si>
  <si>
    <t>VINCULAR AL 100% (2.329) DE LA POBLACIÓN EN SITUACIÓN DE DESPLAZAMIENTO EN EDAD ESCOLAR DE CUNDINAMARCA QUE DEMANDE EL SERVICIO EDUCATIVO.</t>
  </si>
  <si>
    <t>% DE ESTUDIANTES VCA MATRICULADOS</t>
  </si>
  <si>
    <t>REALIZAR DURANTE EL CUATRIENIO SEGUIMIENTO DEL SUMINISTRO DEL COMPLEMENTO NUTRICIONAL AL 100% (1.392) DE LOS ESTUDIANTES VINCULADOS AL SISTEMA EDUCATIVO VCA A TRAVÉS DE LA ENTIDAD COMPETENTE.</t>
  </si>
  <si>
    <t>% DE ESTUDIANTES VCA CON SEGUIMIENTO AL SUMINISTRO DEL COMPLEMENTO NUTRICIONAL</t>
  </si>
  <si>
    <t>PROMOVER DURANTE EL CUATRIENIO, ACTIVIDAD FÍSICA, JUEGOS DIDÁCTICOS, LÚDICAS, PRE DEPORTIVA PEDAGÓGICA A 3.776 Y Y LAS NIÑAS Y LOS NIÑOS DE 0 A 6 AÑOS VÍCTIMAS DEL CONFLICTO ARMADO.</t>
  </si>
  <si>
    <t>NO. DE NIÑOS Y NIÑAS VCA INCORPORADAS EN ACTIVIDADES LÚDICAS Y PRE DEPORTIVAS</t>
  </si>
  <si>
    <t>FOMENTAR DURANTE EL CUATRIENIO EN 400 MADRES COMUNITARIAS, HABILIDADES PARA EL ADECUADO MANEJO DEL DESARROLLO MOTRIZ DE LAS Y LOS MENORES DE 0 A 6 AÑOS, VCA.</t>
  </si>
  <si>
    <t>NO. MADRES COMUNITARIAS QUE APLICAN HABILIDADES DESARROLLO MOTRIZ DE LOS MENORES DE 6 AÑOS VCA</t>
  </si>
  <si>
    <t>PROMOVER CON ESCUELA DE FORMACIÓN DURANTE EL CUATRIENIO HABILIDAD DEPORTIVA A 1.363 NIÑAS Y NIÑOS DE 6 A 11 AÑOS VCA.</t>
  </si>
  <si>
    <t>NO. DE NIÑOS Y NIÑAS DE 6 A 11 AÑOS VCA CON HABILIDAD DEPORTIVA ESCUELAS DE FORMACIÓN</t>
  </si>
  <si>
    <t>PROMOVER LA PARTICIPACIÓN DE 2.000 NIÑAS Y NIÑOS VÍCTIMAS DEL CONFLICTO ARMADO EN LOS FESTIVALES DEPORTIVOS ESCOLARES POR AÑO.</t>
  </si>
  <si>
    <t>NO. DE NIÑOS Y NIÑAS QUE PARTICIPAN EN FESTIVALES DEPORTIVOS ESCOLARES</t>
  </si>
  <si>
    <t>IDENTIFICAR EL 100 % DE TALENTOS PARA SEMILLEROS DE DEPORTISTAS E INCLUIRLOS EN ENTRENAMIENTO DE ALTO RENDIMIENTO DE LAS VÍCTIMAS DEL CONFLICTO ARMADO.</t>
  </si>
  <si>
    <t>% DE TALENTOS DEPORTIVOS IDENTIFICADOS E INCLUIDOS EN ENTRENAMIENTO DE ALTO RENDIMIENTO</t>
  </si>
  <si>
    <t>PROMOVER DURANTE EL CUATRIENIO HABILIDAD DEPORTIVA DE 1.500 ADOLESCENTES VÍCTIMAS DEL CONFLICTO ARMADO CON ESCUELAS DE FORMACIÓN</t>
  </si>
  <si>
    <t>NO. ADOLESCENTES VCA CON HABILIDAD DEPORTIVA EN ESCUELAS DE FORMACIÓN</t>
  </si>
  <si>
    <t>LOGRAR ANUALMENTE QUE 2.329 ESCOLARES VÍCTIMAS DEL CONFLICTO ARMADO PARTICIPEN EN LOS JUEGOS INTERCOLEGIADOS DEPARTAMENTALES.</t>
  </si>
  <si>
    <t>NO. DE NIÑOS Y NIÑAS VCA QUE PARTICIPAN ANUALMENTE EN LOS JUEGOS INTERCOLEGIADOS</t>
  </si>
  <si>
    <t>FOMENTAR DURANTE EL CUATRIENIO ACTIVIDAD FÍSICA EN 3.600 ADULTAS Y ADULTOS VÍCTIMAS DEL CONFLICTO ARMADO.</t>
  </si>
  <si>
    <t>NO. DE ADULTOS VCA QUE PARTICIPAN EN ACTIVIDAD FÍSICA</t>
  </si>
  <si>
    <t>PROMOVER ANUALMENTE INTEGRACIÓN FAMILIAR CON DE 2.000 PERSONAS VCA EN EVENTOS RECREATIVOS.</t>
  </si>
  <si>
    <t>NO. INTEGRANTES FAMILIAS VCA CON EVENTOS RECREATIVOS</t>
  </si>
  <si>
    <t>LOGRAR LA PARTICIPACIÓN DE 2.500 PERSONAS VCA EN LOS JUEGOS DEPORTIVOS COMUNALES DEPARTAMENTALES.</t>
  </si>
  <si>
    <t>NO. DE PVCA QUE PARTICIPAN EN LOS JUEGOS COMUNALES</t>
  </si>
  <si>
    <t>FOMENTAR DURANTE EL CUATRIENIO ACTIVIDAD FÍSICA ADECUADA A LA EDAD DE 2.800 ADULTAS Y ADULTOS MAYORES VÍCTIMAS DEL CONFLICTO ARMADO (GIMNASIA - AERÓBICOS).</t>
  </si>
  <si>
    <t>NO. DE ADULTOS MAYORES VCA CON ACTIVIDAD FÍSICA ESPECÍFICA</t>
  </si>
  <si>
    <t>PROMOVER LA PARTICIPACIÓN CADA AÑO DE 2500 PERSONAS, VÍCTIMAS DEL CONFLICTO ARMADO EN EVENTOS RECREATIVOS PARA ADULTAS Y ADULTOS MAYORES</t>
  </si>
  <si>
    <t>NO. DE ADULTOS MAYORES VCA QUE PARTICIPAN EN EVENTOS RECREATIVOS</t>
  </si>
  <si>
    <t>FOMENTAR EL EMPLEO Y EMPRENDIMIENTO EN 100% DE LA POBLACIÓN ECONÓMICAMENTE ACTIVA, VÍCTIMA DEL CONFLICTO ARMADO CON PROCESOS DE CONVOCATORIA COMPETENCIAS LABORALES, CAPACITACIÓN, CREACIÓN DE EMPRESA.</t>
  </si>
  <si>
    <t>% DE PVCA EN PROCESOS DE COMPETENCIA LABORAL Y DE EMPRENDIMIENTO</t>
  </si>
  <si>
    <t>APOYAR, VINCULAR AL 100% DE LA POBLACIÓN ECONÓMICAMENTE ACTIVA, VÍCTIMA DEL CONFLICTO ARMADO QUE PARTICIPE EN LA CONVOCATORIA EN PROCESOS DE COMPETENCIAS LABORALES, CAPACITACIÓN, CREACIÓN DE EMPRESA Y EMPLEABILIDAD. CON ENFOQUE DIFERENCIAL, AFRO DESCENDIE</t>
  </si>
  <si>
    <t>% DE PERSONAS FORMADAS Y FORTALECIDAS</t>
  </si>
  <si>
    <t>INCORPORAR DURANTE EL CUATRIENIO A 500 FAMILIAS VÍCTIMAS DEL CONFLICTO Y EN CONDICIÓN DE DESPLAZAMIENTO A PROYECTOS Y SISTEMA PRODUCTIVO.</t>
  </si>
  <si>
    <t>NO. DE FAMILIAS VCA REINCORPORADAS AL SISTEMA PRODUCTIVO</t>
  </si>
  <si>
    <t>INCORPORAR DURANTE EL CUATRIENIO A 150 MUJERES VÍCTIMAS DEL CONFLICTO Y EN CONDICIÓN DE DESPLAZAMIENTO A FINANCIACIÓN PROYECTOS Y SECTOR PRODUCTIVO.</t>
  </si>
  <si>
    <t>NO. DE MUJERES VCA REINCORPORADAS AL SISTEMA PRODUCTIVO</t>
  </si>
  <si>
    <t>INCORPORAR DURANTE EL CUATRIENIO A 50 FAMILIAS INDÍGENAS VÍCTIMAS DEL CONFLICTO Y EN CONDICIÓN DE DESPLAZAMIENTO A FINANCIACIÓN PROYECTOS Y SECTOR PRODUCTIVO.</t>
  </si>
  <si>
    <t>NO. DE FAMILIAS INDÍGENAS VCA REINCORPORADAS AL SISTEMA PRODUCTIVO</t>
  </si>
  <si>
    <t>PROMOVER HABILIDADES DE ASOCIATIVIDAD PARA EL TRABAJO Y GENERACIÓN DE FUENTES DE INGRESOS CON 3 CONVENIOS INTERINSTITUCIONALES PARA LAS VCA.</t>
  </si>
  <si>
    <t>NO. DE CONVENIOS QUE FOMENTAN HABILIDADES EN FUENTES DE INGRESO PARA LAS PVCA</t>
  </si>
  <si>
    <t>LOGRAR DURANTE EL CUATRIENIO QUE 20 EMPRENDIMIENTOS TURÍSTICOS BENEFICIEN A POBLACIÓN VCA.</t>
  </si>
  <si>
    <t>NO. DE EMPRENDIMIENTOS TURÍSTICOS QUE BENEFICIAN PVCA</t>
  </si>
  <si>
    <t>SENSIBILIZAR Y FORTALECER DURANTE EL CUATRIENIO EL ARRAIGO CULTURAL E INCLUSIÓN DE LA POBLACIÓN VÍCTIMA DEL CONFLICTO ARMADO, MEDIANTE SU PARTICIPACIÓN EN 8 ENCUENTROS Y/O TALLERES CULTURALES.</t>
  </si>
  <si>
    <t>NO. DE ENCUENTROS Y/O TALLERES REALIZADOS CON PVCA QUE FORTALECEN Y ARRAIGAN CULTURA</t>
  </si>
  <si>
    <t>REALIZAR 4 RECORRIDOS TURÍSTICOS DIRIGIDOS A LA PVCA CON EL OBJETO DE APROVECHAR EL USO DEL TIEMPO LIBRE DE LA PVCA DE LOS MUNICIPIOS DE SOACHA, LA PALMA Y VIOTÁ.</t>
  </si>
  <si>
    <t>NO. DE RECORRIDOS TURÍSTICOS REALIZADOS CON PVCA</t>
  </si>
  <si>
    <t>APOYAR DURANTE EL CUATRIENIO A 200 HOGARES VÍCTIMAS DEL CONFLICTO ARMADO EN LA ADQUISICIÓN DE VIVIENDA NUEVA O USADA, CONSTRUCCIÓN EN SITIO PROPIO O MEJORAMIENTO DE SU VIVIENDA.</t>
  </si>
  <si>
    <t>NO. DE HOGARES VCA CON UNA VIVIENDA DIGNA.</t>
  </si>
  <si>
    <t>ATENDER AL 100% DE LA POBLACIÓN EN CONDICIÓN DE DESPLAZAMIENTO DE GRUPOS ÉTNICOS EN TEMAS DE PREVENCIÓN, PROTECCIÓN, ATENCIÓN INTEGRAL, ACOMPAÑAMIENTO INTEGRAL A PROCESOS DE RETORNO Y VERDAD, QUE LO SOLICITEN.</t>
  </si>
  <si>
    <t>% DE PERSONAS VCA EN CONDICIÓN DE GRUPOS ÉTNICOS ATENDIDAS</t>
  </si>
  <si>
    <t>REALIZAR EL 100% DEL PROCESO DE IDENTIFICACIÓN Y CARACTERIZACIÓN DE LAS VÍCTIMAS DEL CONFLICTO ARMADO SEGÚN MODALIDAD Y EXCEPTUANDO EL DESPLAZAMIENTO FORZADO.</t>
  </si>
  <si>
    <t>% CARACTERIZACIÓN DE VÍCTIMAS DEL CONFLICTO</t>
  </si>
  <si>
    <t>% CARACTERIZACIÓN VÍCTIMAS DEL CONFLICTO</t>
  </si>
  <si>
    <t>BENEFICIAR DURANTE EL CUATRIENIO 5.000 PERSONAS EN SITUACIÓN DE CONFLICTO ARMADO CON EL SERVICIO DE ACUEDUCTO, EN EL PERIODO DE GOBIERNO.</t>
  </si>
  <si>
    <t>NO. DE PERSONAS VCA CON SERVICIO DE ACUEDUCTO</t>
  </si>
  <si>
    <t>BRINDAR HERRAMIENTAS PARA EL EMPODERAMIENTO Y LIDERAZGO COMUNITARIO EN CAPACITACIÓN, ACOMPAÑAMIENTO Y COMUNICACIONES AL 100% DE LAS PERSONAS VÍCTIMAS DEL CONFLICTO ARMADO QUE LO DEMANDEN.</t>
  </si>
  <si>
    <t>% DE PERSONAS QUE DEMANDEN EL SERVICIO QUE SON CAPACITADAS</t>
  </si>
  <si>
    <t>CONSTRUIR E IMPLEMENTAR DURANTE EL CUATRIENIO UN CENTRO REGIONAL DE ATENCIÓN A VÍCTIMAS DEL CONFLICTO ARMADO EN EL MUNICIPIO DE SOACHA.</t>
  </si>
  <si>
    <t>N° DE CENTROS REGIONALES IMPLEMENTADOS</t>
  </si>
  <si>
    <t>N° DE CENTROS IMPLEMENTADOS</t>
  </si>
  <si>
    <t>REALIZAR ANUALMENTE 1 RENDICIÓN DE CUENTAS DE VCA.</t>
  </si>
  <si>
    <t>N° RENDICIONES DE CUENTAS REALIZADAS</t>
  </si>
  <si>
    <t>DESARROLLO LOCAL TERRITORIAL</t>
  </si>
  <si>
    <t>APOYAR TÉCNICA Y FINANCIERAMENTE LA REVISIÓN DE 25 PLANES DE ORDENAMIENTO TERRITORIAL DURANTE EL CUATRIENIO.</t>
  </si>
  <si>
    <t>NO DE PLANES DE ORDENAMIENTO TERRITORIAL DURANTE EL CUATRIENIO</t>
  </si>
  <si>
    <t xml:space="preserve">APOYAR AL 50% DE LAS ENTIDADES TERRITORIALES DEL DEPARTAMENTO , CON HERRAMIENTAS QUE PERMITAN LA ADECUADA TOMA DE DECISIONES EN EL ORDENAMIENTO DE SU TERRITORIO, TALES COMO CARTOGRAFÍA, FOTOGRAFÍAS ESPACIALES, CLASIFICACIÓN DEL SUELO, INDICADORES BÁSICOS </t>
  </si>
  <si>
    <t>% DE ENTIDADES CON HERRAMIENTAS UTILIZADAS EN EL ORDENAMIENTO</t>
  </si>
  <si>
    <t>DESARROLLAR 1 PROYECTO PILOTO DE CAMBIO CLIMÁTICO Y ORDENAMIENTO TERRITORIAL COMO ACCIÓN DEMOSTRATIVA DE MANEJO ADAPTATIVO DEL TERRITORIO, EN EL PERIODO DE GOBIERNO.</t>
  </si>
  <si>
    <t>NO DE PROYECTOS DESARROLLADOS</t>
  </si>
  <si>
    <t>NO. DE INSTRUMENTOS DE GESTIÓN IMPLEMENTADOS</t>
  </si>
  <si>
    <t>CUNDINAMARCA HACIA LA CONSOLIDACIÓN E INTEGRACIÓN REGIONAL</t>
  </si>
  <si>
    <t>PROTECCIÓN Y ASEGURAMIENTO DEL RECURSO HÍDRICO</t>
  </si>
  <si>
    <t>INCREMENTAR A 31.000 LAS HECTÁREAS DE CONSERVACIÓN DEL RECURSO HÍDRICO DEL DEPARTAMENTO UBICADAS EN ZONAS DE IMPORTANCIA ESTRATÉGICA EN EL PERIODO DE GOBIERNO, MEDIANTE LA CONSOLIDACIÓN DE CORREDORES AMBIENTALES.</t>
  </si>
  <si>
    <t>NO. DE HECTÁREAS ADQUIRIDAS PARA GARANTIZAR LA CONSERVACIÓN DEL RECURSO HÍDRICO</t>
  </si>
  <si>
    <t xml:space="preserve">INCREMENTAR EN 500 LAS HECTÁREAS CONSERVADAS EN ECOSISTEMAS REGULADORES DEL RECURSO HÍDRICO EN EL PERIODO DE GOBIERNO, MEDIANTE LA ESTRATEGIA DE MANTENIMIENTO DE PREDIOS ADQUIRIDOS. </t>
  </si>
  <si>
    <t xml:space="preserve">NO. DE HECTÁREAS EN USO DE CONSERVACIÓN CON MANTENIMIENTO. </t>
  </si>
  <si>
    <t>CONSERVACIÓN Y MANEJO DE ECOSISTEMAS ESTRATÉGICOS</t>
  </si>
  <si>
    <t>RESTAURAR LA OFERTA AMBIENTAL DE 400 HECTÁREAS DE ECOSISTEMAS SENSIBLES, EN EL PERIODO DE GOBIERNO.</t>
  </si>
  <si>
    <t xml:space="preserve">CONSERVAR Y/O RECUPERAR ECOSISTEMAS LENTICOS EN EL PERIODO DE GOBIERNO MEDIANTE LA EJECUCIÓN DE 4 ACCIONES DE MEJORAMIENTO AMBIENTAL. </t>
  </si>
  <si>
    <t xml:space="preserve">NO. ACCIONES EJECUTADAS </t>
  </si>
  <si>
    <t>IMPULSAR 2 PROYECTOS DE DESCONTAMINACIÓN ALREDEDOR DEL RIO BOGOTÁ CON PARTICIPACIÓN COMUNITARIA E INSTITUCIONAL, EN EL PERIODO DE GOBIERNO.</t>
  </si>
  <si>
    <t>NO. DE PROYECTOS APOYADOS PARA LA DESCONTAMINACIÓN DEL RÍO BOGOTÁ.</t>
  </si>
  <si>
    <t>CUNDINAMARCA NEUTRA</t>
  </si>
  <si>
    <t xml:space="preserve">COMPENSAR 10.000 TONELADAS DE CO2 DE LA HUELLA DEL DEPARTAMENTO, MEDIANTE LA IMPLEMENTACIÓN DE 4 ESTRATEGIAS PARA LA REDUCCIÓN Y COMPENSACIÓN DE EMISIONES DE GASES EFECTO INVERNADERO EN CUNDINAMARCA EN EL PERIODO DE GOBIERNO. </t>
  </si>
  <si>
    <t>NO DE TONELADAS COMPENSADAS</t>
  </si>
  <si>
    <t>MEJORAR ENTORNOS AMBIENTALES COMUNITARIOS CON LA IMPLEMENTACIÓN DE 8 PROYECTOS DE INCIATIVA LOCAL</t>
  </si>
  <si>
    <t>NO DE PROYECTOS AMBIENTALES QUE INCIDEN EN ENTORNOS COMUNITARIOS</t>
  </si>
  <si>
    <t xml:space="preserve">PROMOVER 2 PROYECTOS AMBIENTALES BAJO ALIANZAS PÚBLICO-PRIVADAS EN EL MARCO DE LA RESPONSABILIDAD AMBIENTAL EMPRESARIAL EN EL PERIODO DE GOBIERNO. </t>
  </si>
  <si>
    <t>NO. DE PROYECTOS AMBIENTALES IMPLEMENTADOS MEDIANTE ALIANZAS PÚBLICO PRIVADAS </t>
  </si>
  <si>
    <t>VALORACIÓN DE BIENES Y SERVICIOS AMBIENTALES</t>
  </si>
  <si>
    <t>PROMOVER 1 PROYECTO DE INVESTIGACIÓN CIENTÍFICA APLICADA A LA CONSERVACIÓN DE LOS ECOSISTEMAS Y SU BIODIVERSIDAD Y A LA GENERACIÓN DE VALORES AGREGADOS PARA LA ECONOMÍA AMBIENTAL EN EL PERIODO DE GOBIERNO, MEDIANTE LA IMPLEMENTACIÓN DE UN PROYECTO PILOT</t>
  </si>
  <si>
    <t xml:space="preserve">NO DE PROYECTOS DE INVESTIGACIÓN IMPLEMENTADOS PARA LA CONSERVACIÓN. </t>
  </si>
  <si>
    <t xml:space="preserve">CONSOLIDAR EN 116 MUNICIPIOS LA INFORMACIÓN TEMÁTICA AMBIENTAL COMO INSUMO PARA LA CONSTRUCCIÓN DE UN SISTEMA DE INFORMACIÓN DEPARTAMENTAL, EN EL PERIODO DE GOBIERNO. </t>
  </si>
  <si>
    <t>NO DE MUNICIPIOS CON INFORMACIÓN TEMÁTICA AMBIENTAL CONSOLIDADA.</t>
  </si>
  <si>
    <t>INFRAESTRUCTURA DE AGUA POTABLE Y SANEAMIENTO BÁSICO</t>
  </si>
  <si>
    <t>BENEFICIAR A 202.000 HABITANTES NUEVOS CON SERVICIO DE ACUEDUCTO, PARA INCREMENTAR COBERTURA CON ESTE SERVICIO EN EL PERIODO DE GOBIERNO.</t>
  </si>
  <si>
    <t>NO.DE HABITANTES NUEVOS CON SERVICIOS DE ACUEDUCTO</t>
  </si>
  <si>
    <t>BENEFICIAR A 150.000 HABITANTES NUEVOS CON SERVICIO DE ALCANTARILLADO, EN EL PERIODO DE GOBIERNO, PARA INCREMENTAR COBERTURA CON ESTE SERVICIO.</t>
  </si>
  <si>
    <t>NO. DE HABITANTES NUEVOS CON SERVICIO DE ALCANTARILLADO</t>
  </si>
  <si>
    <t>NO. VIVIENDAS RURALES CON UNIDADES SANITARIAS CONSTRUIDAS</t>
  </si>
  <si>
    <t>NO. DE CONEXIONES INTRA DOMICILIARIAS CONSTRUIDAS PARA POBLACIÓN POBRE Y VULNERABLE</t>
  </si>
  <si>
    <t>CONSTRUIR OCHO (8) PTAR EN EL CUATRIENIO, PARA MEJORAR EL SANEAMIENTO AMBIENTAL Y LA CALIDAD DE AGUA DE LAS FUENTES RECEPTORAS</t>
  </si>
  <si>
    <t>NO. DE PTAR Y CONSTRUIDAS</t>
  </si>
  <si>
    <t>CALIDAD DE AGUA</t>
  </si>
  <si>
    <t>FOCALIZAR RECURSOS ECONÓMICOS Y/O TÉCNICOS PARA QUE EN LOS MUNICIPIOS DEL DEPARTAMENTO SE INCREMENTE UN 11% EN PROMEDIO EL SUMINISTRO CON AGUA POTABLE EN ZONAS URBANAS, PARA MEJORAR LAS CONDICIONES DE SALUBRIDAD DE LA POBLACIÓN, ESPECIALMENTE LA INFANT</t>
  </si>
  <si>
    <t>BENEFICIAR A 70.000 PERSONAS DE LA ZONA RURAL, EN EL PERIODO DE GOBIERNO, CON AGUA POTABLE PARA MEJORAR LAS CONDICIONES DE SALUBRIDAD DE LA POBLACIÓN, ESPECIALMENTE LA INFANTIL.</t>
  </si>
  <si>
    <t xml:space="preserve">No. DE PERSONAS CON AGUA POTABLE EN ZONAS RURALES </t>
  </si>
  <si>
    <t>FORTALECIMIENTO EMPRESARIAL</t>
  </si>
  <si>
    <t>APOYAR LA INICIATIVA DE ELABORAR UN ESTUDIO DE PREFACTIBILIDAD Y FACTIBILIDAD PARA RESOLVER A NIVEL EMPRESARIAL Y DE OPERACIÓN EL SUMINISTRO DE AGUA POTABLE A LOS MUNICIPIOS DE LA SABANA DE BOGOTÁ EN EL PERÍODO DE GOBIERNO</t>
  </si>
  <si>
    <t>NO. DE ESTUDIOS DE FACTIBILIDAD Y PREFACTIBILIDAD A NIVEL EMPRESARIAL Y DE OPERACIÓN</t>
  </si>
  <si>
    <t>ABASTECIMIENTO Y PREVENCIÓN</t>
  </si>
  <si>
    <t xml:space="preserve">ELABORAR UN (1) ESTUDIO DE IDENTIFICACIÓN DE EMBALSES A NIVEL DEPARTAMENTAL, EN EL PERÍODO DE GOBIERNO, PARA DETERMINAR LA PRIORIZACIÓN DE INVERSIONES EN CUANTO A ABASTECIMIENTO Y REGULACIÓN DE CAUDALES. </t>
  </si>
  <si>
    <t>NO. DE ESTUDIOS DE IDENTIFICACIÓN DE EMBALSES</t>
  </si>
  <si>
    <t xml:space="preserve">REALIZACIÓN PRIMERA FASE EMBALSE CALANDAIMA DURANTE EL PERÍODO DE GOBIERNO. </t>
  </si>
  <si>
    <t>NO. FASES REALIZADAS DURANTE EL CUATRIENIO</t>
  </si>
  <si>
    <t>PRODUCTIVIDAD AGROPECUARIA</t>
  </si>
  <si>
    <t xml:space="preserve">INCREMENTAR Y/O RENOVAR EN 10.000 HECTÁREAS EL ÁREA SEMBRADA DE 7 CADENAS PRODUCTIVAS PRIORIZADAS. (HORTALIZAS, FRUTAS, CAFÉ, CACAO, CAÑA PANELERA, PAPA Y CAUCHO) EN EL PERIODO DE GOBIERNO, ESPECIALIZÁNDOLAS DE ACUERDO A LAS POTENCIALIDADES DE LAS ECO – </t>
  </si>
  <si>
    <t>NO DE HECTÁREAS INCREMENTADAS Y/O RENOVADAS.</t>
  </si>
  <si>
    <t>FORTALECER 4 GRUPOS DE MINI CADENAS: BALANCEADOS (MAÍZ, YUCA Y SORGO), GRAMÍNEAS Y LEGUMINOSAS (FRIJOL, ARVEJA, HABICHUELA), CEREALES Y ESPECIES MENORES (CUNÍCOLA, OVINOS - CAPRINOS, PISCICULTURA Y APICULTURA, ENTRE OTROS) DE IMPORTANCIA SOCIOECONÓMICA Y</t>
  </si>
  <si>
    <t>NO DE GRUPOS DE MINI CADENAS FORTALECIDAS</t>
  </si>
  <si>
    <t>FORTALECER LAS 3 PRINCIPALES CADENAS PRODUCTIVAS PECUARIAS (BOVINA CARNE, LÁCTEA, PORCÍCOLA) EN EL PERIODO DE GOBIERNO</t>
  </si>
  <si>
    <t>NO DE CADENAS PRODUCTIVAS PECUARIAS FORTALECIDAS</t>
  </si>
  <si>
    <t>IMPLEMENTAR 20 BANCOS DE MAQUINARIA Y EQUIPOS AGRÍCOLAS EN EL DEPARTAMENTO EN EL PERIODO DE GOBIERNO.</t>
  </si>
  <si>
    <t>NO DE BANCOS DE MAQUINARIA Y EQUIPOS AGRÍCOLAS IMPLEMENTADOS</t>
  </si>
  <si>
    <t>FINANCIAMIENTO PARA EL SECTOR AGROPECUARIO</t>
  </si>
  <si>
    <t>VINCULAR 6000 PRODUCTORES AL SISTEMA FINANCIERO AGROPECUARIO CON GARANTÍAS, E INCENTIVOS COMPLEMENTARIOS EN EL PERIODO DE GOBIERNO.</t>
  </si>
  <si>
    <t>NO DE PRODUCTORES VINCULADOS AL SISTEMA FINANCIERO AGROPECUARIO CON GARANTÍAS E INCENTIVOS.</t>
  </si>
  <si>
    <t>COMPETITIVIDAD AGROPECUARIA</t>
  </si>
  <si>
    <t>POSICIONAR EN LOS MERCADOS REGIONALES Y NACIONALES 10 PRODUCTOS DE LAS CADENAS PRODUCTIVAS (LÁCTEOS, PORCÍCOLA CÁRNICOS, FRUTAS, PANELA, CAFÉ, PAPA, CACAO, CAUCHO Y HORTALIZAS) EN EL PERIODO DE GOBIERNO.</t>
  </si>
  <si>
    <t>NO DE PRODUCTOS POSICIONADOS EN MERCADOS REGIONALES Y NACIONALES DE LAS CADENAS PRODUCTIVAS.</t>
  </si>
  <si>
    <t>DESARROLLAR Y FORTALECER LAS CAPACIDADES EMPRESARIALES A 500 EMPRESAS DEL SECTOR AGROPECUARIO EN EL PERIODO DE GOBIERNO</t>
  </si>
  <si>
    <t>NO DE EMPRESAS AGROPECUARIAS CON CAPACIDADES EMPRESARIALES DESARROLLADAS Y FORTALECIDAS.</t>
  </si>
  <si>
    <t>DESARROLLO TECNOLÓGICO, TRANSFERENCIA DE TECNOLOGÍA, ASISTENCIA TÉCNICA Y PLANIFICACIÓN AGROPECUARIA</t>
  </si>
  <si>
    <t>CONSOLIDAR UNA EVALUACIÓN AGROPECUARIA ANUAL DE LOS 116 MUNICIPIOS EN COORDINACIÓN CON LAS EPSAGRO, MINISTERIO DE AGRICULTURA Y DESARROLLO RURAL Y CON PUBLICACIÓN ANUAL</t>
  </si>
  <si>
    <t>NO DE EVALUACIONES AGROPECUARIAS CONSOLIDADAS Y PUBLICADAS EN EL AÑO</t>
  </si>
  <si>
    <t>DESARROLLAR TRES (3) INSTRUMENTOS DE PLANIFICACIÓN AGROPECUARIA IMPLEMENTADOS Y SOCIALIZADOS (USO ACTUAL DEL SUELO - CONFLICTO POR USO DEL SUELO Y ZONIFICACIÓN DE CADENAS PRODUCTIVAS) EN EL PERIODO DE GOBIERNO</t>
  </si>
  <si>
    <t>NO DE INSTRUMENTOS DE PLANIFICACIÓN AGROPECUARIA DESARROLLADOS E IMPLEMENTADOS</t>
  </si>
  <si>
    <t>IMPLEMENTAR, OPERATIVIZAR, FORTALECER, SEGUIR Y EVALUAR EL SERVICIO PÚBLICO DE ASISTENCIA TÉCNICA DIRECTA RURAL AGROPECUARIA EN LOS 116 MUNICIPIOS</t>
  </si>
  <si>
    <t>NO DE MUNICIPIOS IMPLEMENTADOS, OPERATIVIZADOS, FORTALECIDOS Y CON SEGUIMIENTO Y EVALUACIÓN CON ASISTENCIA TÉCNICA</t>
  </si>
  <si>
    <t>IMPLEMENTAR 200 MODELOS INTEGRALES PARA EL FORTALECIMIENTO DEL SERVICIO DE ASISTENCIA TÉCNICA DIRECTA RURAL AGROPECUARIA</t>
  </si>
  <si>
    <t>NO DE MODELOS INTEGRALES IMPLEMENTADOS</t>
  </si>
  <si>
    <t>INCORPORAR EL SERVICIO PÚBLICO DE ASISTENCIA TÉCNICA AGROPECUARIA A LOS PROGRAMAS DE INNOVACIÓN, CIENCIA Y TECNOLOGÍA</t>
  </si>
  <si>
    <t>NO DE EPSA ACREDITADAS</t>
  </si>
  <si>
    <t>1 SISTEMA DE INFORMACIÓN AGROPECUARIO AL SERVICIO DEL SECTOR</t>
  </si>
  <si>
    <t>NO SISTEMAS DE INFORMACIÓN AGROPECUARIA EN SERVICIO.</t>
  </si>
  <si>
    <t>116 MUNICIPIOS ARTICULADOS AL SERVICIO PÚBLICO DE ASISTENCIA TÉCNICA AGROPECUARIA A LOS PROGRAMAS DE SOSTENIBILIDAD EN EL DEPARTAMENTO</t>
  </si>
  <si>
    <t>NO DE MUNICIPIOS ARTICULADOS</t>
  </si>
  <si>
    <t>ACCESO A LA TIERRA RURAL</t>
  </si>
  <si>
    <t xml:space="preserve">APOYAR 90 PROYECTOS PRODUCTIVOS DE FAMILIAS BENEFICIADAS POR LAS CONVOCATORIAS DE ACCESO A TIERRA EN EL PERIODO DE GOBIERNO. </t>
  </si>
  <si>
    <t>NO DE PROYECTOS PRODUCTIVOS DE FAMILIAS BENEFICIADAS EN CONVOCATORIAS DE ACCESO A TIERRA.</t>
  </si>
  <si>
    <t>APOYAR LA LEGALIZACIÓN Y/O LA ADJUDICACIÓN DE 600 PREDIOS RURALES BALDÍOS Y/O FALSA TRADICIÓN, DE ACUERDO A LA NORMATIVIDAD VIGENTE EN EL PERIODO DE GOBIERNO.</t>
  </si>
  <si>
    <t>NO DE PREDIOS RURALES BALDÍOS Y/O DE FALSA TRADICIÓN APOYADOS EN LEGALIZACIÓN Y/O ADJUDICACIÓN.</t>
  </si>
  <si>
    <t>ADECUACIÓN DE TIERRAS</t>
  </si>
  <si>
    <t>ADECUAR Y/O REHABILITAR 2025 HECTÁREAS MEDIANTE LA CONSTRUCCIÓN DE DISTRITOS DE RIEGO Y DRENAJE EN EL PERIODO DE GOBIERNO.</t>
  </si>
  <si>
    <t>NO DE HECTÁREAS ADECUADAS Y/O REHABILITADAS CON DISTRITOS DE RIEGO Y DRENAJE.</t>
  </si>
  <si>
    <t>EQUIDAD Y GENERO</t>
  </si>
  <si>
    <t>FORTALECER LAS CAPACIDADES DE LIDERAZGO Y ASOCIATIVISMO Y PROPENDER POR EL MEJORAMIENTO PRODUCTIVO Y COMPETITIVO DE 400 MUJERES Y/O JÓVENES Y/O GRUPOS ÉTNICOS RURALES DEL DEPARTAMENTO, MEDIANTE LA IMPLEMENTACIÓN DE PROYECTOS AGROPECUARIOS Y/O AGROINDUSTRI</t>
  </si>
  <si>
    <t xml:space="preserve">NO DE MUJERES Y/O JÓVENES Y/O GRUPOS ÉTNICOS RURALES FORTALECIDOS EN CAPACIDADES DE LIDERAZGO Y ASOCIATIVISMO IMPLEMENTANDO PROYECTOS AGROPECUARIOS Y/O AGROINDUSTRIALES. </t>
  </si>
  <si>
    <t>SEGURIDAD ALIMENTARIA Y NUTRICIONAL</t>
  </si>
  <si>
    <t>BENEFICIAR 5.000 FAMILIAS CON EL PROGRAMA DE SEGURIDAD ALIMENTARIA Y NUTRICIONAL EN EL PERIODO DE GOBIERNO, DE LAS CUALES 50 FAMILIAS DE GRUPOS ÉTNICOS.</t>
  </si>
  <si>
    <t>NO DE FAMILIAS BENEFICIADAS CON EL PROGRAMA DE SEGURIDAD ALIMENTARIA Y NUTRICIONAL.</t>
  </si>
  <si>
    <t>NO DE GRANJAS INTEGRALES DE AUTO ABASTECIMIENTO IMPLEMENTADAS.</t>
  </si>
  <si>
    <t xml:space="preserve">APOYAR EL DESARROLLO DE 35 PROYECTOS PRODUCTIVOS, PRESENTADOS Y APROBADOS MEDIANTE CONVOCATORIAS PÚBLICAS, DE LOS CUALES 2 DE ELLOS DIRIGIDOS A GRUPOS ÉTNICOS, EN EL PERIODO DE GOBIERNO. </t>
  </si>
  <si>
    <t>NO DE PROYECTOS PRODUCTIVOS APROBADOS E IMPLEMENTADOS.</t>
  </si>
  <si>
    <t>FORTALECER PROGRAMAS DE EXTENSIÓN RURAL Y ESTRATEGIAS QUE PROPENDAN POR DESARROLLO RURAL DE LAS COMUNIDADES CAMPESINAS CON LAS 116 ENTIDADES PRESTADORAS DEL SERVICIO DE ASISTENCIA TÉCNICA AGROPECUARIA, DURANTE EL PERIODO DE GOBIERNO.</t>
  </si>
  <si>
    <t>NO DE ENTIDADES PRESTADORAS DE ASISTENCIA TÉCNICA AGROPECUARIA FORTALECIDAS EN PROGRAMAS DE EXTENSIÓN RURAL.</t>
  </si>
  <si>
    <t>ARTICULAR Y APOYAR TÉCNICAMENTE CONVOCATORIAS PARA EL ACCESO A FACTORES PRODUCTIVOS</t>
  </si>
  <si>
    <t>NO DE CONVOCATORIAS APOYADAS Y ARTICULADAS</t>
  </si>
  <si>
    <t>ARTICULAR Y PROPENDER POR LA OPERATIVIZACIÓN DEL COMITÉ DEPARTAMENTAL DE DESARROLLO RURAL Y REFORMA AGRARIA EN EL DEPARTAMENTO</t>
  </si>
  <si>
    <t>NO DE COMITÉS ARTICULADOS Y OPERANDO</t>
  </si>
  <si>
    <t>ARTICULAR LOS 116 EPSA (SERVICIO PÚBLICO DE ASISTENCIA TÉCNICA AGROPECUARIA) A LOS PROGRAMAS DE GESTIÓN DEL RIESGO Y CAMBIO CLIMÁTICO</t>
  </si>
  <si>
    <t>NO DE EPSA ARTICULADOS</t>
  </si>
  <si>
    <t>ARTICULAR Y PROPENDER POR LA OPERATIVIZACIÓN DE LOS 116 CONSEJOS MUNICIPALES DE DESARROLLO RURAL - CMDR COMO INSTRUMENTO DE POLÍTICA PÚBLICA</t>
  </si>
  <si>
    <t>NO DE CMDR ARTICULADOS Y OPERANDO</t>
  </si>
  <si>
    <t>PLANIFICACIÓN INTEGRAL DE LA GESTIÓN</t>
  </si>
  <si>
    <t>FORMULAR Y PROMOVER LA IMPLEMENTACIÓN DE LOS LINEAMIENTOS LA POLÍTICA DEPARTAMENTAL DE RESIDUOS SÓLIDOS COMO ESTRATEGIA DE PLANIFICACIÓN REGIONAL EN EL PERIODO DE GOBIERNO.</t>
  </si>
  <si>
    <t>NO. DE LINEAMIENTOS DE POLITICAS FORMULADOS</t>
  </si>
  <si>
    <t>NO DE PGIRS ACTUALIZADOS EN COORDINACIÓN CON EL GESTOR DEL PDA</t>
  </si>
  <si>
    <t>CREAR Y/O FORTALECER 1 ASOCIACIÓN DE RECICLADORES Y/O RECUPERADORES EN CUNDINAMARCA, PARA PROMOVER LA PRODUCTIVIDAD DE LOS RESIDUOS SÓLIDOS EN EL DEPARTAMENTO EN EL PERIODO DE GOBIERNO.</t>
  </si>
  <si>
    <t>NO. DE ASOCIACIONES DE RECICLADORES Y/O RECUPERADORES EN FUNCIONAMIENTO</t>
  </si>
  <si>
    <t>ESTRATEGIAS PARA EL FORTALECIMIENTO DE LA GESTIÓN INTEGRAL</t>
  </si>
  <si>
    <t>DISEÑAR E IMPLEMENTAR 2 SISTEMAS REGIONALES DE RECOLECCIÓN Y TRANSPORTE EN EL DEPARTAMENTO DE MANERA COORDINADA ENTRE EL GESTOR DEL PDA Y LAS ENTIDADES DEL NIVEL CENTRAL, PARA LA OPTIMIZACIÓN DE LA GESTIÓN INTEGRAL DE RESIDUOS SÓLIDOS EN EL PERIODO DE G</t>
  </si>
  <si>
    <t>NO SISTEMAS REGIONALES DE RECOLECCIÓN Y TRANSPORTE EN FUNCIONAMIENTO.</t>
  </si>
  <si>
    <t>DISEÑAR E IMPLEMENTAR 2 SISTEMAS DE TRANSFERENCIA Y/O APROVECHAMIENTO EN EL DEPARTAMENTO, DE MANERA COORDINADA ENTRE EL GESTOR DEL PDA Y LAS ENTIDADES DEL NIVEL CENTRAL AL FINALIZAR EL PERIODO DE GOBIERNO.</t>
  </si>
  <si>
    <t>NO DE SISTEMAS DE APROVECHAMIENTO EN FUNCIONAMIENTO</t>
  </si>
  <si>
    <t>ESTABLECER CONTROL A LA DISPOSICIÓN FINAL DE 1.400.000 TON. DE RESIDUOS SÓLIDOS GENERADOS EN EL DEPARTAMENTO, MEDIANTE EL SEGUIMIENTO TÉCNICO, ADMINISTRATIVO, FINANCIERO, JURÍDICO Y SOCIO AMBIENTAL DE LA CONCESIÓN DEL RELLENO SANITARIO NUEVO MONDOÑEDO D</t>
  </si>
  <si>
    <t>NO DE CONTROLES GENERADOS EN EL RELLENO SANITARIO NUEVO MONDOÑEDO. (TONELADAS)</t>
  </si>
  <si>
    <t>PROMOCIÓN Y CULTURA DE LA GESTIÓN INTEGRAL</t>
  </si>
  <si>
    <t>PROMOVER EL DESARROLLO DE 2 PROYECTOS DE MANEJO INTEGRAL DE RESIDUOS SÓLIDOS MEDIANTE LA CONFORMACIÓN E IMPLEMENTACIÓN DE LA MESA DEPARTAMENTAL DE RESIDUOS SÓLIDOS, INSTANCIA DE CONCERTACIÓN REGIONAL DE CUNDINAMARCA EN EL PERIODO DE GOBIERNO.</t>
  </si>
  <si>
    <t>NO DE PROYECTOS PROMOVIDOS EN EL MANEJO DE RESIDUOS SÓLIDOS.</t>
  </si>
  <si>
    <t>NO DE COMUNIDADES CON PROCESOS DE SEPARACIÓN EN LA FUENTE Y/O RECICLAJE IMPLEMENTADOS</t>
  </si>
  <si>
    <t>GESTIÓN INTEGRAL DEL RIESGO </t>
  </si>
  <si>
    <t>ORGANIZAR 1 SISTEMA INTEGRADO DE INFORMACIÓN REGIONAL DURANTE EL PERIODO DE GOBIERNO PARA LA GESTIÓN DEL RIESGO</t>
  </si>
  <si>
    <t>NO DE SISTEMAS DE INFORMACIÓN ORGANIZADOS</t>
  </si>
  <si>
    <t xml:space="preserve">FORTALECER 15 PROVINCIAS ( 116 MUNICIPIOS) EN CAPACIDAD PREVENTIVA, OPERATIVA Y DE RESPUESTA ANTE EMERGENCIAS Y DESASTRES, DURANTE EL PERIODO DE GOBIERNO </t>
  </si>
  <si>
    <t>% DE PRODUCTORES APOYADOS</t>
  </si>
  <si>
    <t xml:space="preserve">NO DE OBRAS CONSTRUIDAS </t>
  </si>
  <si>
    <t>MONITOREAR 2 ZONAS CRÍTICAS CON INFORMACIÓN OPORTUNA Y SEGUIMIENTO PERMANENTE, DURANTE EL PERIODO DE GOBIERNO, PARA GENERAR MEDIDAS DE PREVENCIÓN.</t>
  </si>
  <si>
    <t>NO DE ZONAS CRÍTICAS MONITOREADAS</t>
  </si>
  <si>
    <t>ATENDER AL 100% DE LA POBLACIÓN AFECTADA CON AYUDA HUMANITARIA DE EMERGENCIA, DURANTE EL PERIODO DE GOBIERNO.</t>
  </si>
  <si>
    <t>% DE POBLACIÓN ATENDIDA</t>
  </si>
  <si>
    <t xml:space="preserve">AUMENTAR EN LAS 40 ENTIDADES PRESTADORAS DE SERVICIOS DE SALUD DE CARÁCTER PÚBLICO DEPARTAMENTAL, EN EL PERIODO DE GOBIERNO, LA CAPACIDAD DE RESPUESTA ANTE EMERGENCIAS Y DESASTRES, MEDIANTE LA IMPLEMENTACIÓN DE LOS PLANES DE EMERGENCIA Y CONTINGENCIA. </t>
  </si>
  <si>
    <t>NO DE ENTIDADES PRESTADORES DE SALUD PÚBLICA CON PLANES DE EMERGENCIA Y CONTINGENCIA IMPLEMENTADOS</t>
  </si>
  <si>
    <t>MANTENER ATENCIÓN DE EMERGENCIA EN SALUD AL 100% DE LAS EMERGENCIAS Y DESASTRES DEL DEPARTAMENTO, EN EL CUATRIENIO.</t>
  </si>
  <si>
    <t>% DE EMERGENCIAS Y DESASTRES ATENDIDOS EN SALUD</t>
  </si>
  <si>
    <t>NO DE AMBULANCIAS ADQUIRIDAS</t>
  </si>
  <si>
    <t>FORTALECER CAPACIDADES Y HABILIDADES DE 35 INSTITUCIONES Y ORGANIZACIONES COMUNITARIAS LOCALES EN GESTIÓN DEL RIESGO.</t>
  </si>
  <si>
    <t>NO DE INSTITUCIONES Y ORGANIZACIONES COMUNITARIAS FORTALECIDAS EN GESTIÓN DEL RIESGO</t>
  </si>
  <si>
    <t>ADAPTACIÓN AL CAMBIO Y VARIABILIDAD CLIMÁTICA</t>
  </si>
  <si>
    <t xml:space="preserve">APOYAR LA IMPLEMENTACIÓN DE 2 PROYECTOS EN EL MARCO DEL PLAN REGIONAL INTEGRAL DE CAMBIO CLIMÁTICO - PRICC, DURANTE EL PERIODO DE GOBIERNO </t>
  </si>
  <si>
    <t xml:space="preserve">NO DE PROYECTOS APOYADOS </t>
  </si>
  <si>
    <t>ORGANIZAR 1 SISTEMA PARA LA OPERATIVIDAD DEL PLAN REGIONAL INTEGRAL DE CAMBIO CLIMÁTICO, EN EL PERIODO DE GOBIERNO, DE ACUERDO CON LAS DIRECTRICES DEL PLAN NACIONAL DE ADAPTACIÓN.</t>
  </si>
  <si>
    <t>NO DE SISTEMAS ORGANIZADOS</t>
  </si>
  <si>
    <t xml:space="preserve"> CUNDINAMARCA POTENCIA FORESTAL ESTRATÉGICA PARA EL DESARROLLO</t>
  </si>
  <si>
    <t>ESTABLECER 700 HECTÁREAS DE PLANTACIONES FORESTALES PARA FORTALECER EL PRIMER ESLABÓN DE LA CADENA FORESTAL DE LA REGIÓN BOGOTÁ - CUNDINAMARCA DURANTE LA PRESENTE ADMINISTRACIÓN.</t>
  </si>
  <si>
    <t xml:space="preserve">N° DE HECTÁREAS ESTABLECIDAS DE PLANTACIONES FORESTALES </t>
  </si>
  <si>
    <t>ESTABLECER 700 HECTÁREAS DE PLANTACIONES FORESTALES PARA LA RECUPERACIÓN DE BOSQUE NATURAL EN EL CUATRIENIO</t>
  </si>
  <si>
    <t>NO DE HECTÁREAS ESTABLECIDAS DE PLANTACIONES FORESTALES PARA LA RESTAURACIÓN</t>
  </si>
  <si>
    <t>ESTABLECER 200 HECTÁREAS FORESTALES PARA LA PROTECCION DE BOSQUE NATURAL CON FINES PROTECTORES DURANTE EL CUATRIENIO</t>
  </si>
  <si>
    <t>N° DE HECTÁREAS ESTABLECIDAS DE PLANTACIONES FORESTALES PROTECTORAS</t>
  </si>
  <si>
    <t>INSTALAR Y OPERAR 2 VIVEROS FORESTALES DE ESPECIES NATIVAS CON CAPACIDAD DE PRODUCCIÓN ANUAL DE 140.000 PLÁNTULAS , PARA EL SUMINISTRO DE MATERIAL VEGETAL A ESTABLECER EN PLANTACIONES FORESTALES PROTECTORAS Y/O PRODUCTORAS DURANTE EL PERIODO DE GOBIERNO</t>
  </si>
  <si>
    <t>N° DE VIVEROS FORESTALES INSTALADOS</t>
  </si>
  <si>
    <t>CUNDINAMARCA GENERADORA DE CONOCIMIENTO Y CONCIENCIA FORESTAL PARA EL PRESENTE Y EL FUTURO</t>
  </si>
  <si>
    <t>EJECUTAR AL 100%, UN PROYECTO DE INVESTIGACIÓN APLICADA A ESPECIES FORESTALES NATIVAS MADERABLES Y NO MADERABLES PARA MEJORAR SISTEMAS PRODUCTIVOS AGROPECUARIOS DURANTE EL PRESENTE GOBIERNO</t>
  </si>
  <si>
    <t>% DE EJECUCIÓN DEL PROYECTO DE INVESTIGACIÓN</t>
  </si>
  <si>
    <t>MUNICIPIOS CUNDINAMARQUESES REVERDECIDOS Y CON OPORTUNIDADES SUSTENTABLES DE NEGOCIO</t>
  </si>
  <si>
    <t xml:space="preserve">REALIZAR UN PROYECTO PILOTO DE SILVICULTURA PARA EL MANEJO DEL ARBOLADO URBANO DURANTE LA PRESENTE ADMINISTRACIÓN </t>
  </si>
  <si>
    <t>N° DE PROYECTOS PILOTO REALIZADOS</t>
  </si>
  <si>
    <t>ENGRANAJE INSTITUCIONAL E INTERINSTITUCIONAL PARA EL DESARROLLO PRODUCTIVO DE LOS BOSQUES DE CUNDINAMARCA</t>
  </si>
  <si>
    <t>PROMOVER LAS ALIANZAS PÚBLICO - PRIVADAS PARA LA CONFORMACIÓN DE 2 NÚCLEOS FORESTALES PRODUCTIVOS QUE BENEFICIEN A LOS HABITANTES DE 2 PROVINCIAS DURANTE LA PRESENTE ADMINISTRACIÓN</t>
  </si>
  <si>
    <t>N° DE NÚCLEOS FORESTALES CONFORMADOS</t>
  </si>
  <si>
    <t>SUSCRIBIR UN ACUERDO INTERSECTORIAL POR LA MADERA LEGAL PARA EVITAR LA DEPREDACIÓN Y DEGRADACIÓN DEL BOSQUE NATIVO ANTES DE FINALIZAR EL CUATRIENIO</t>
  </si>
  <si>
    <t>N° DE ACUERDOS INTERSECTORIALES SUSCRITOS</t>
  </si>
  <si>
    <t>DISEÑAR UN PORTAFOLIO DE PROYECTOS PARA DESARROLLO DE LA INVESTIGACIÓN BÁSICA Y APLICADA DE LA CADENA PRODUCTIVA FORESTAL EN ARTICULACIÓN CON LAS ENTIDADES PÚBLICAS Y PRIVADAS PARA LA AMPLIACIÓN DEL CONOCIMIENTO DEL NEGOCIO EN EL DEPARTAMENTO, DURANTE EL</t>
  </si>
  <si>
    <t>N° DE PORTAFOLIOS DISEÑADOS PARA LA INVESTIGACIÓN APLICADA EN EL TEMA FORESTAL</t>
  </si>
  <si>
    <t>REALIZAR 4 ESTRATEGIAS QUE PERMITAN GENERAR CONOCIMIENTO Y CULTURA FORESTAL Y AMBIENTAL EN EL DEPARTAMENTO</t>
  </si>
  <si>
    <t>NO DE ESTRATEGIAS QUE GENERAN CONOCIMIENTO Y CULTURA FORESTAL</t>
  </si>
  <si>
    <t>EMPRENDIMIENTO</t>
  </si>
  <si>
    <t>CREAR Y/O FORTALECER 8 CENTROS DE GESTIÓN EMPRESARIAL QUE FOMENTEN LA ASOCIATIVIDAD Y EL EMPRENDIMIENTO REGIONAL, EN EL PERIODO DE GOBIERNO,</t>
  </si>
  <si>
    <t>NO. DE CENTROS CREADOS Y FORTALECIDOS</t>
  </si>
  <si>
    <t>CREAR E IMPLEMENTAR UN FONDO CAPITAL SEMILLA AL SERVICIO DEL EMPRENDIMIENTO DE CUNDINAMARCA, EN EL PERÍODO DE GOBIERNO.</t>
  </si>
  <si>
    <t>NO DE FONDOS DE CAPITAL SEMILLA AL SERVICIO DEL EMPRENDIMIENTO</t>
  </si>
  <si>
    <t xml:space="preserve">DESARROLLO EMPRESARIAL </t>
  </si>
  <si>
    <t xml:space="preserve">CREAR Y O FORTALECER 1.000 MIPYMES EN GESTIÓN E INNOVACIÓN EMPRESARIAL PARA LA PRODUCTIVIDAD, DURANTE EL PERÍODO DE GOBIERNO. </t>
  </si>
  <si>
    <t>NO DE MIPYMES FORTALECIDAS TECNOLÓGICAMENTE</t>
  </si>
  <si>
    <t>DESARROLLO EMPRESARIAL</t>
  </si>
  <si>
    <t>DESARROLLAR PROCESOS DE NORMALIZACIÓN, CERTIFICACIÓN DE PRODUCTO Y GESTIÓN DE CALIDAD EN 250 EMPRESAS DURANTE EL PERIODO DE GOBIERNO</t>
  </si>
  <si>
    <t>NO. DE EMPRESAS EN PROCESOS DE NORMALIZACIÓN Y CALIDAD</t>
  </si>
  <si>
    <t>DESARROLLAR Y FORTALECER, DURANTE EL PERIODO DE GOBIERNO, 3 REDES EMPRESARIALES CON ENFOQUE DE CLÚSTER EN SECTORES PRODUCTIVOS PRIORIZADOS EN EL DEPARTAMENTO.</t>
  </si>
  <si>
    <t>NO. REDES EMPRESARIALES IMPLEMENTADAS</t>
  </si>
  <si>
    <t>IMPLEMENTAR Y FORTALECER PROCESOS DE DESARROLLO ECONÓMICO LOCAL - DEL - EN 35 MUNICIPIOS (NBI), DURANTE EL PERIODO DE GOBIERNO.</t>
  </si>
  <si>
    <t xml:space="preserve">NO. DE MUNICIPIOS CON PROCESOS DEL IMPLEMENTADOS </t>
  </si>
  <si>
    <t xml:space="preserve">GESTIONAR DURANTE EL PERIODO DE GOBIERNO 2.000 CRÉDITOS PARA EL FORTALECIMIENTO DE LAS MIPYMES A TRAVÉS DE ENTIDADES DE RECAUDO, BANCA DE OPORTUNIDADES, MICROCRÉDITO, FONDOS DE GARANTÍA </t>
  </si>
  <si>
    <t>NO. CRÉDITOS GESTIONADOS</t>
  </si>
  <si>
    <t>DISEÑAR E IMPLEMENTAR, DURANTE EL PERIODO DE GOBIERNO, UN PROGRAMA DE ASESORÍA, ACOMPAÑAMIENTO, CAPACITACIÓN Y SEGUIMIENTO A ARTESANOS EN DISEÑO, EMPAQUE, INNOVACIÓN, COMERCIALIZACIÓN.</t>
  </si>
  <si>
    <t>PROGRAMA DE APOYO A ARTESANOS IMPLEMENTADO</t>
  </si>
  <si>
    <t>FORTALECER CON 30 MISIONES COMERCIALES A MIPYMES DEL DEPARTAMENTO, DURANTE EL PERÍODO DE GOBIERNO</t>
  </si>
  <si>
    <t>NO MISIONES COMERCIALES QUE FORTALECEN A MIPYMES DEL DEPARTAMENTO.</t>
  </si>
  <si>
    <t>PRODUCTIVIDAD Y COMPETITIVIDAD</t>
  </si>
  <si>
    <t xml:space="preserve">FORTALECER DURANTE EL PERIODO DE GOBIERNO 2 OBSERVATORIOS DE COMPETITIVIDAD Y MERCADO LABORAL </t>
  </si>
  <si>
    <t>NO OBSERVATORIOS FORTALECIDAS</t>
  </si>
  <si>
    <t>FORMAR EN COMPETENCIAS LABORALES DURANTE EL PERÍODO DE GOBIERNO, CON 15 PROGRAMAS PERMANENTES ACORDES CON LAS VOCACIONES TERRITORIALES.</t>
  </si>
  <si>
    <t>NO PROGRAMAS PERMANENTES DE FORMACIÓN EN COMPETENCIAS LABORALES ACORDE A VOCACIONES TERRITORIALES</t>
  </si>
  <si>
    <t>CUNDINAMARCA ATRACTIVA PARA LA INVERSIÓN EXTERNA</t>
  </si>
  <si>
    <t>PROMOCIONAR INTERNACIONALMENTE, DURANTE EL PERÍODO DE GOBIERNO 4 PROVINCIAS DEL DEPARTAMENTO Y SUS PRODUCTOS</t>
  </si>
  <si>
    <t>NO DE PROVINCIAS PROMOCIONADAS INTERNACIONALMENTE</t>
  </si>
  <si>
    <t>POSICIONAR DURANTE EL PERÍODO DE GOBIERNO 100 PRODUCTOS DE CUNDINAMARCA EN EL MERCADO INTERNACIONAL.</t>
  </si>
  <si>
    <t>NO PRODUCTOS POSICIONADOS INTERNACIONALMNETE</t>
  </si>
  <si>
    <t>MARKETING TERRITORIAL</t>
  </si>
  <si>
    <t>DISEÑAR, REGISTRAR Y POSICIONAR UNA MARCA Y/O SELLO INSTITUCIONALES DEL DEPARTAMENTO EN EL PERIODO DE GOBIERNO</t>
  </si>
  <si>
    <t xml:space="preserve">NO DE MARCAS DISEÑADAS E IMPLMENTADAS </t>
  </si>
  <si>
    <t>IMPLEMENTAR UN PROGRAMA PARA APROVECHAMIENTO DE LOS TLC`S Y DEMÁS ACUERDOS INTERNACIONALES PARA EL DEPARTAMENTO, DURANTE EL PERIODO DE GOBIERNO</t>
  </si>
  <si>
    <t>NO PROGRAMAS IMPLEMENTADOS</t>
  </si>
  <si>
    <t>COOPERACIÓN INTERNACIONAL</t>
  </si>
  <si>
    <t xml:space="preserve">BENEFICIAR, DURANTE EL PERIODO DE GOBIERNO, A 50 CUNDINAMARQUESES CON LA PARTICIPACIÓN EN INTERCAMBIOS ACADÉMICOS, EMPRESARIALES. </t>
  </si>
  <si>
    <t>NO INTERCAMBIOS REALIZADOS</t>
  </si>
  <si>
    <t>DESARROLLO EMPRESARIAL MINERO</t>
  </si>
  <si>
    <t>DESARROLLAR E IMPLEMENTAR NUEVE UNIDADES BÁSICAS DE ATENCIÓN AL MINERO, COMO ESTRATEGIA ASISTENCIA TÉCNICA PREVENTIVA Y SEGUIMIENTO AL CUMPLIMIENTO NORMATIVO Y PRODUCTIVO DEL SECTOR. DURANTE EL PERIODO 2012-2016.</t>
  </si>
  <si>
    <t>NO UNIDADES BÁSICAS DE ATENCIÓN IMPLEMENTADAS.</t>
  </si>
  <si>
    <t xml:space="preserve">PROMOVER ESTRATEGIAS PARA REDUCIR EN UN 16% LA INFORMALIDAD E ILEGALIDAD EN LA EXPLOTACIÓN MINERA DE CARBÓN EN CUNDINAMARCA, DURANTE EL PERIODO DE GOBIERNO.
</t>
  </si>
  <si>
    <t>NO TRABAJADORES MINEROS FORMADOS</t>
  </si>
  <si>
    <t>PARTICIPAR EN CUATRO EVENTOS ESPECIALIZADOS COMO ALTERNATIVAS DE PROMOCIÓN Y COMERCIALIZACIÓN MINERA, DURANTE EL PERIODO 2012-2016.</t>
  </si>
  <si>
    <t>NO PARTICIPACIÓN EN EVENTOS DE COMERCIALIZACIÓN.</t>
  </si>
  <si>
    <t>APOYAR LA CONFORMACIÓN DE DOS REDES DE JUVENTUDES EN EL SECTOR MINERO, DURANTE EL PERIODO 2012-2016.</t>
  </si>
  <si>
    <t>NO DE REDES DE JUVENTUDES CONFORMADAS.</t>
  </si>
  <si>
    <t>ENERGÍA Y GAS PARA EL DESARROLLO DE CUNDINAMARCA</t>
  </si>
  <si>
    <t>NO DE MUNICIPIOS CON SERVICIOS DE GAS IMPLEMENTADO</t>
  </si>
  <si>
    <t xml:space="preserve">MEJORAR LA ECONOMÍA DE 10.000 FAMILIAS CON EL AHORRO DEL 30% DEL COSTO MENSUAL DEL SERVICIO DE GAS DOMICILIARIO.
</t>
  </si>
  <si>
    <t>NO DE HOGARES CON CONEXIÓN A ELECTRIFICACIÓN</t>
  </si>
  <si>
    <t>DISMINUIR EL DÉFICIT DE ELECTRIFICACIÓN RURAL Y URBANA EN UN 2% DE UNIDADES FAMILIARES EN EL DEPARTAMENTO.</t>
  </si>
  <si>
    <t>INFRAESTRUCTURA PARA LA MOVILIDAD</t>
  </si>
  <si>
    <t xml:space="preserve">PAVIMENTAR Y/O REHABILITAR DURANTE EL PERIODO DE GOBIERNO 250 KMS DE LA RED VIAL DE SEGUNDO ORDEN </t>
  </si>
  <si>
    <t>NO DE KMS PAVIMENTADOS O REHABILITADOS</t>
  </si>
  <si>
    <t xml:space="preserve">INCREMENTAR A 50 % LA RED VIAL DEPARTAMENTAL EN ÓPTIMAS CONDICIONES DE TRANSITABILIDAD.
</t>
  </si>
  <si>
    <t xml:space="preserve">3 CORREDORES VIALES INTEGRAN EL TERRITORIO Y MEJORAN LA MOVILIDAD EN EL DEPARTAMENTO Y LA REGIÓN.
</t>
  </si>
  <si>
    <t>REALIZAR MANTENIMIENTO PERIÓDICO Y/O RUTINARIO DURANTE LOS PRÓXIMOS CUATRO AÑOS A 3,000 KMS DE LA RED DE SEGUNDO ORDEN</t>
  </si>
  <si>
    <t xml:space="preserve">NO DE KMS DE LA RED SECUNDARIA MANTENIDOS </t>
  </si>
  <si>
    <t xml:space="preserve">APOYAR A LOS 116 MUNICIPIOS PARA REALIZAR MANTENIMIENTO PERIÓDICO Y/O RUTINARIO DURANTE LOS PRÓXIMOS CUATRO AÑOS A 3,000 KMS DE LA RED TERCIARIA </t>
  </si>
  <si>
    <t xml:space="preserve">NO DE KMS DE LA RED TERCIARIA MANTENIDOS. </t>
  </si>
  <si>
    <t>NO DE M2 DE PLACA HUELLAS DE CONCRETO CONSTRUIDAS</t>
  </si>
  <si>
    <t xml:space="preserve">APOYAR A LOS 116 MUNICIPIOS PARA PAVIMENTAR DURANTE EL PERIODO DE GOBIERNO 100.000 M2 DE SU RED VIAL URBANA </t>
  </si>
  <si>
    <t>NO DE M2 PAVIMENTADOS</t>
  </si>
  <si>
    <t>NO DE M2 DE PUENTES CONSTRUIDOS</t>
  </si>
  <si>
    <t>REALIZAR MANTENIMIENTO DURANTE EL PERIODO DE GOBIERNO A 170 PUENTES LOCALIZADOS EN LA RED VIAL SECUNDARIA Y TERCIARIA</t>
  </si>
  <si>
    <t>NO DE PUENTES MANTENIDOS</t>
  </si>
  <si>
    <t>APOYAR DURANTE EL PERIODO DE GOBIERNO A 116 MUNICIPIOS CON MAQUINARIA PARA EL MANTENIMIENTO DE LA RED VIAL</t>
  </si>
  <si>
    <t xml:space="preserve">NO DE MUNICIPIOS CON MAQUINARIA </t>
  </si>
  <si>
    <t>EFECTUAR DURANTE EL PERIODO DE GOBIERNO EL PAGO DE LAS GARANTÍAS COMERCIALES QUE SE CAUSEN EN LOS 3 CONTRATOS DE CONCESIÓN VIGENTES.</t>
  </si>
  <si>
    <t>NO DE GARANTÍAS PAGADAS/ GARANTÍAS CAUSADAS</t>
  </si>
  <si>
    <t>NO DE M2 REHABILITADOS Y/O MANTENIDOS</t>
  </si>
  <si>
    <t>NO DE PARADORES TURÍSTICOS CONSTRUIDOS</t>
  </si>
  <si>
    <t>SEGURIDAD VIAL</t>
  </si>
  <si>
    <t>REALIZAR DURANTE EL PERÍODO DE GOBIERNO, LA SEÑALIZACIÓN HORIZONTAL Y VERTICAL DE 400 KM DE LA RED VIAL DEPARTAMENTAL</t>
  </si>
  <si>
    <t>NUMERO DE KMS SEÑALIZADOS</t>
  </si>
  <si>
    <t>REDUCIR EN EL CUATRIENIO EN 20% LAS MUERTES POR ACCIDENTES DE TRÁNSITO EN NIÑOS Y NIÑAS DE 0 A 5 AÑOS</t>
  </si>
  <si>
    <t>NO DE MUERTES EN ACCIDENTES FATALES</t>
  </si>
  <si>
    <t>FORMULAR E IMPLEMENTAR, DURANTE EL PERÍODO DE GOBIERNO, LA POLÍTICA PÚBLICA DE SEGURIDAD VIAL EN EL DEPARTAMENTO</t>
  </si>
  <si>
    <t>POLÍTICA PÚBLICA IMPLEMENTADA</t>
  </si>
  <si>
    <t xml:space="preserve">CREAR DURANTE EL PERÍODO DE GOBIERNO, UN (1) OBSERVATORIO DE ACCIDENTALIDAD DEL DEPARTAMENTO, CON UNA ESTRATEGIA GESTIÓN TECNOLÓGICA Y UN SISTEMA DE INFORMACIÓN EFICIENTE. </t>
  </si>
  <si>
    <t>OBSERVATORIO CREADO</t>
  </si>
  <si>
    <t>INFRAESTRUCTURA LOGÍSTICA PARA LA PRODUCTIVIDAD</t>
  </si>
  <si>
    <t>NO DE INFRAESTRUCTURAS CONSTRUIDAS</t>
  </si>
  <si>
    <t>CONSTRUIR Y/O ADECUAR DURANTE EL PERÍODO DE GOBIERNO, 3 INFRAESTRUCTURAS PARA LA PRODUCCIÓN, DISTRIBUCIÓN Y COMERCIALIZACIÓN, COMO PLAZAS DE MERCADO, PLAZAS DE FERIAS Y EXPOSICIONES.</t>
  </si>
  <si>
    <t>NO DE INFRAESTRUCTURAS CONSTRUIDAS Y/O ADECUADAS</t>
  </si>
  <si>
    <t xml:space="preserve"> INVESTIGACION Y DESARROLLO (I+D)</t>
  </si>
  <si>
    <t>FORMULAR Y EJECUTAR DOS (2) PLANES ESTRATÉGICOS EN CIENCIA, TECNOLOGÍA E INNOVACIÓN PARA CUNDINAMARCA Y LA REGIÓN BOGOTÁ-CUNDINAMARCA, DURANTE EL PERÍODO DE GOBIERNO</t>
  </si>
  <si>
    <t xml:space="preserve"> NO DE PLANES ESTRATÉGICOS FORMULADOS </t>
  </si>
  <si>
    <t>PROMOVER TRES (3) CONVOCATORIAS DE INVESTIGACIÓN APLICADA, ABIERTAS A LAS UNIVERSIDADES, CENTROS DE INVESTIGACIÓN, CDTS Y DEMÁS ORGANIZACIONES CON PRESENCIA EN EL DEPARTAMENTO, EN ÁREAS COMO BIODIVERSIDAD, RECURSOS GENÉTICOS, BIOTECNOLOGÍA E INNOVACIÓN AG</t>
  </si>
  <si>
    <t xml:space="preserve"> NO DE CONVOCATORIAS DE INVESTIGACIÓN APLICADA </t>
  </si>
  <si>
    <t>CONSOLIDAR DOS REDES DE INNOVACIÓN PARA LOS 5 NODOS REGIONALES DE CTEI, EN ARTICULACIÓN CON EL SECTOR PRIVADO Y LA ACADEMIA, DURANTE EL PERÍODO DE GOBIERNO</t>
  </si>
  <si>
    <t xml:space="preserve"> NO DE REDES DE INNOVACIÓN CONSOLIDADAS</t>
  </si>
  <si>
    <t>IMPLEMENTAR DOS PROYECTOS INTEGRALES PARA EL FOMENTO DE LA INVESTIGACIÓN E INNOVACIÓN EN EL SECTOR EDUCATIVO Y DE LA SALUD, DURANTE EL PERÍODO DE GOBIERNO</t>
  </si>
  <si>
    <t xml:space="preserve"> NO DE PROYECTOS DE INVESTIGACIÓN Y DESARROLLO IMPLEMENTADOS</t>
  </si>
  <si>
    <t>GENERAR 2 ALIANZAS ESTRATÉGICAS CON ORGANISMOS INTERNACIONALES QUE NOS BRINDEN COOPERACIÓN TÉCNICA PARA LA GESTIÓN DE CTEI, DURANTE EL PERÍODO DE GOBIERNO.</t>
  </si>
  <si>
    <t xml:space="preserve"> NO DE ALIANZAS CON ORGANISMOS INTERNACIONALES EJECUTADAS</t>
  </si>
  <si>
    <t>PROMOVER LA CREACIÓN DE UN OBSERVATORIO QUE PERMITA ADELANTAR EL SEGUIMIENTO Y ANÁLISIS DE LAS TENDENCIAS, RESULTADOS E IMPACTOS EN MATERIA DE CIENCIA, TECNOLOGÍA E INNOVACIÓN, QUE INVOLUCRE A LOS DIFERENTES ACTORES RELEVANTES DEL SECTOR, DURANTE EL PERÍO</t>
  </si>
  <si>
    <t xml:space="preserve"> OBSERVATORIOS PUESTOS EN MARCHA </t>
  </si>
  <si>
    <t>DESARROLLAR 4 SEMANAS DE LA CTEI (LAS CUALES INCLUIRÁN OLIMPIADAS Y COMPETENCIAS), CON PARTICIPACIÓN DE LOS 116 MUNICIPIOS DEL DEPARTAMENTO, DURANTE EL PERÍODO DE GOBIERNO.</t>
  </si>
  <si>
    <t xml:space="preserve"> SEMANAS DE CTEI DESARROLLADAS </t>
  </si>
  <si>
    <t>CREAR 2 PROYECTOS DE INVESTIGACIÓN INNOVACIÓN COMPETITIVIDAD Y EMPRENDIMIENTO EN SALUD PÚBLICA, EN EL ÁMBITO MÉDICO-HOSPITALARIO, MEDIO AMBIENTE Y LA BIODIVERSIDAD, Y EN DESARROLLO SOCIAL ECONÓMICO.</t>
  </si>
  <si>
    <t xml:space="preserve"> NO DE PROYECTOS DE INVESTIGACIÓN CREADOS </t>
  </si>
  <si>
    <t>OTORGAR TRES (3) PREMIOS AL FOMENTO DE LA INNOVACIÓN Y DESARROLLO TECNOLÓGICO DE LOS CUNDINAMARQUESES DESTACADOS EN CTEI, DURANTE EL PERÍODO DE GOBIERNO.</t>
  </si>
  <si>
    <t xml:space="preserve"> NO DE PREMIOS OTORGADOS </t>
  </si>
  <si>
    <t>INNOVACION SOCIAL</t>
  </si>
  <si>
    <t>DINAMIZAR LA CONSOLIDACIÓN DE DOS CENTROS DIRIGIDOS A LA INNOVACIÓN SOCIAL, PRODUCTIVA, RURAL Y MINERA, GESTIÓN DEL CONOCIMIENTO PARA EL DESARROLLO EMPRESARIAL Y SOCIAL, DURANTE EL PERÍODO DE GOBIERNO.</t>
  </si>
  <si>
    <t xml:space="preserve"> NO DE CENTROS DE INNOVACIÓN SOCIAL CONSOLIDADOS</t>
  </si>
  <si>
    <t>CREAR Y PONER EN MARCHA UN PROGRAMA EN LOS 5 NODOS REGIONALES PARA LA GENERACIÓN DE LÍDERES INNOVADORES Y GESTORES DE LA CTEI DEL DEPARTAMENTO, DURANTE EL PERÍODO DE GOBIERNO.</t>
  </si>
  <si>
    <t xml:space="preserve"> NO DE PROGRAMAS PUESTOS EN MARCHA </t>
  </si>
  <si>
    <t>OPERATIVIZAR Y PONER EN MARCHA 4 CONSEJOS REGIONALES DE CTEI, DURANTE EL PERÍODO DE GOBIERNO.</t>
  </si>
  <si>
    <t xml:space="preserve"> NO DE CONSEJOS REGIONALES DE CTEI OPERATIVIZADOS</t>
  </si>
  <si>
    <t>INNOVACION RURAL</t>
  </si>
  <si>
    <t>APOYAR LA CONSOLIDACIÓN DEL CORREDOR TECNOLÓGICO AGROINDUSTRIAL COMO UN CENTRO DE PROMOCIÓN DE LA INNOVACIÓN PARA EL SECTOR AGROPECUARIO, DURANTE EL PERÍODO DE GOBIERNO.</t>
  </si>
  <si>
    <t xml:space="preserve"> CORREDORES TECNOLÓGICOS CONSOLIDADOS </t>
  </si>
  <si>
    <t>PROMOVER LA EJECUCIÓN DE DOS (2) PROYECTOS ORIENTADOS AL FORTALECIMIENTO DE LAS CAPACIDADES Y COMPETENCIAS REQUERIDAS PARA LA GENERACIÓN DE CONOCIMIENTO Y TRANSFERENCIA DE TECNOLOGÍA ENFOCADAS HACIA EL FOMENTO DE LA CONVERGENCIA TECNOLÓGICA (TIC'S, BIOTEC</t>
  </si>
  <si>
    <t xml:space="preserve"> NO DE PROYECTOS DE FORTALECIMIENTO DE CAPACIDADES Y COMPETENCIAS EJECUTADOS</t>
  </si>
  <si>
    <t xml:space="preserve">INNOVACION PRODUCTIVA </t>
  </si>
  <si>
    <t>DESARROLLAR TRES PROGRAMAS PARA EL FOMENTO DEL EMPRENDIMIENTO DE BASE TECNOLÓGICA O INNOVADORA DURANTE EL PERÍODO DE GOBIERNO.</t>
  </si>
  <si>
    <t xml:space="preserve"> NO DE PROGRAMAS DE EMPRENDIMIENTO DESARROLLADOS</t>
  </si>
  <si>
    <t>DISEÑAR Y EJECUTAR DURANTE EL PERÍODO DE GOBIERNO, UN (1) PROGRAMA DE PROMOCIÓN, APROPIACIÓN Y USO DE LA PROPIEDAD INTELECTUAL EN EL DEPARTAMENTO</t>
  </si>
  <si>
    <t xml:space="preserve"> NO DE PROGRAMAS QUE PROMUEVEN APROPIACIÓN INTELECTUAL - PI </t>
  </si>
  <si>
    <t>DISEÑAR Y PONER EN MARCHA DOS BANCOS DE CONOCIMIENTO: UNO DE PROYECTOS DE CTEI Y OTRO DE SABERES TRADICIONALES Y BIODIVERSIDAD DEL DEPARTAMENTO DURANTE EL PERÍODO DE GOBIERNO.</t>
  </si>
  <si>
    <t xml:space="preserve"> NO DE BANCOS DE CONOCIMIENTO EN SERVICIO</t>
  </si>
  <si>
    <t>GESTIÓN DEL DESTINO</t>
  </si>
  <si>
    <t xml:space="preserve">FORMAR DURANTE EL CUATRIENIO 40 ORIENTADORES TURÍSTICOS BILINGÜES A NIVEL (B1) </t>
  </si>
  <si>
    <t>NO ORIENTADORES TURÍSTICOS BILINGÜES FORMADOS NIVEL (B1) VINCULADOS A LA ACTIVIDAD TURÍSTICA</t>
  </si>
  <si>
    <t>FORTALECER DURANTE EL CUATRIENIO A 1.500 PERSONAS VINCULADAS CON LA ACTIVIDAD TURÍSTICA EN CUNDINAMARCA, EN GESTIÓN TURÍSTICA CON PROCESOS DE FORMACIÓN</t>
  </si>
  <si>
    <t xml:space="preserve">NO PERSONAS CON CAPACIDADES FORTALECIDAS EN GESTIÓN TURÍSTICA </t>
  </si>
  <si>
    <t xml:space="preserve">FORTALECER E IMPLEMENTAR DURANTE EL CUATRIENIO 2 FORMAS ASOCIATIVAS TURÍSTICAS COMUNITARIAS RURALES </t>
  </si>
  <si>
    <t>NO ASOCIACIONES TURÍSTICAS COMUNITARIAS RURALES IMPLEMENTADAS</t>
  </si>
  <si>
    <t>DISEÑAR Y PONER EN FUNCIONAMIENTO DURANTE EL CUATRIENIO UNA RED DE 13 PUNTOS DE INFORMACIÓN TURÍSTICA EN PROVINCIAS Y MUNICIPIOS TURÍSTICOS DE CUNDINAMARCA.</t>
  </si>
  <si>
    <t>NO DE PUNTOS DE INFORMACIÓN TURÍSTICA - PIT'S DISEÑADOS Y EN FUNCIONAMIENTO</t>
  </si>
  <si>
    <t>FORTALECER 4 DESTINOS TURÍSTICOS CON POTENCIALIDAD REGIONAL, NACIONAL E INTERNACIONAL</t>
  </si>
  <si>
    <t>NO DESTINOS TURÍSTICOS FORTALECIDOS</t>
  </si>
  <si>
    <t>SEÑALIZAR DURANTE EL CUATRIENIO 22 MUNICIPIOS CON POTENCIAL TURÍSTICO</t>
  </si>
  <si>
    <t>NO DE MUNICIPIOS CON SEÑALIZACIÓN TURÍSTICA</t>
  </si>
  <si>
    <t>IMPLEMENTAR DURANTE EL PERÍODO DE GOBIERNO TURISMO COMUNITARIO CON 1 CORREDOR TURÍSTICO INTERMUNICIPAL EN LA PROVINCIA DEL TEQUENDAMA Y MUNICIPIOS ALEDAÑOS</t>
  </si>
  <si>
    <t>NO CORREDOR TURÍSTICO INTERMUNICIPAL IMPLEMENTADO</t>
  </si>
  <si>
    <t>PROMOCIÓN TURÍSTICA</t>
  </si>
  <si>
    <t>REALIZAR DURANTE EL CUATRIENIO 20 EVENTOS PROMOCIONALES DEL DESTINO CUNDINAMARCA: VIAJES DE FAMILIARIZACIÓN (FAM TRIP´S), RUEDAS DE NEGOCIOS, FERIAS Y VITRINAS TURÍSTICAS, ENTRE OTROS.</t>
  </si>
  <si>
    <t>NO PROMOCIONES DESTINO CUNDINAMARCA REALIZADOS</t>
  </si>
  <si>
    <t>NO EVENTOS TERRITORIALES QUE FOMENTAN EL POTENCIAL TURÍSTICO</t>
  </si>
  <si>
    <t>REALIZAR DURANTE EL PERIODO DE GOBIERNO 8 PROMOCIONES TURÍSTICAS CON ESTRATEGIAS IEC(INFORMACIÓN, EDUCACIÓN, COMUNICACIÓN)</t>
  </si>
  <si>
    <t>NO PROMOCIONES TURÍSTICAS CON ESTRATEGIAS IEC REALIZADAS</t>
  </si>
  <si>
    <t>SUPRAREGIONAL</t>
  </si>
  <si>
    <t>DESARROLLAR 2 ALIANZAS ESTRATÉGICAS ENTRE ENTIDADES TERRITORIALES DEL ORDEN SUPRA REGIONAL, DURANTE EL PERIODO DE GOBIERNO.</t>
  </si>
  <si>
    <t>NO DE ALIANZAS ESTRATÉGICAS SUPRA REGIONALES DESARROLLADAS</t>
  </si>
  <si>
    <t>REGIONAL</t>
  </si>
  <si>
    <t>NO DE ALIANZAS ESTRATÉGICAS REGIONALES IMPLEMENTADAS</t>
  </si>
  <si>
    <t>SUBREGIONAL</t>
  </si>
  <si>
    <t>NO DE ALIANZAS ESTRATÉGICAS SUB REGIONALES IMPLEMENTADAS</t>
  </si>
  <si>
    <t>SEGURIDAD URBANA Y RURAL</t>
  </si>
  <si>
    <t>MUNICIPIOS CON MAYOR PIE DE FUERZA</t>
  </si>
  <si>
    <t xml:space="preserve">FORTALECER 15 PROVINCIAS EN SEGURIDAD MEDIANTE LAS COMUNICACIONES, TECNOLOGÍA, MOVILIDAD, LOGÍSTICA, DOTACIONES, DURANTE EL PERIODO DE GOBIERNO. </t>
  </si>
  <si>
    <t xml:space="preserve">NO DE PROVINCIAS APOYADAS </t>
  </si>
  <si>
    <t>MEJORAR 5 INSTALACIONES DE LA FUERZA PÚBLICA ADECUADAS O REMODELADAS AL SERVICIO DE LA SEGURIDAD EN EL DEPARTAMENTO, DURANTE EL PERIODO DE GOBIERNO.</t>
  </si>
  <si>
    <t>NO. DE INSTALACIONES DE LA FUERZA PÚBLICA ADECUADAS O REMODELADAS.</t>
  </si>
  <si>
    <t>COFINANCIAR 5 INSTALACIONES NUEVAS DE LA FUERZA PÚBLICA AL SERVICIO DE LA SEGURIDAD EN EL DEPARTAMENTO, DURANTE EL PERIODO DE GOBIERNO.</t>
  </si>
  <si>
    <t>REALIZAR 20 BRIGADAS DE SERVICIO SOCIAL CON COMUNIDADES, ACCIÓN HUMANITARIA Y OPERACIONES ESTRATÉGICAS EN LOS MUNICIPIOS DEL DEPARTAMENTO, DURANTE EL PERIODO DE GOBIERNO</t>
  </si>
  <si>
    <t xml:space="preserve">APOYAR A LOS MUNICIPIOS DEL DEPARTAMENTO EN LA REACTIVACIÓN DE LOS COMITÉS PARA LA PREVENCIÓN DE LA PRODUCCIÓN, COMERCIALIZACIÓN Y CONSUMO DE DROGAS Y SUSTANCIAS PSICOACTIVAS, QUE PROMUEVAN LA PARTICIPACIÓN DE LA CIUDADANÍA Y LA COORDINACIÓN DE LOS ENTES </t>
  </si>
  <si>
    <t>NO. DE COMITÉS REACTIVADOS Y FUNCIONANDO</t>
  </si>
  <si>
    <t>ACCESO Y FORTALECIMIENTO DE LA JUSTICIA</t>
  </si>
  <si>
    <t>MEJORAR LAS CONDICIONES DE LAS ENTIDADES QUE PRESTAN SERVICIO A LA JUSTICIA, APOYANDO LA DOTACIÓN, CONSTRUCCIÓN, Y/O ADECUACIÓN DE 4 CENTROS ADMINISTRADORES.</t>
  </si>
  <si>
    <t>NO. DE ENTIDADES QUE ADMINISTRAN JUSTICIA APOYADAS.</t>
  </si>
  <si>
    <t>116 MUNICIPIOS FORTALECIDOS EN MECANISMOS Y PROCEDIMIENTOS EFECTIVOS PARA QUE LA CIUDADANÍA ACCEDA FÁCILMENTE A LA JUSTICIA, DURANTE EL ACTUAL PERIODO DE GOBIERNO</t>
  </si>
  <si>
    <t>NO. MUNICIPIOS FORTALECIDOS EN MECANISMOS Y PROCEDIMIENTOS DE ACCESO A LA JUSTICIA</t>
  </si>
  <si>
    <t>DISPONER DE 2 CENTROS DE ATENCIÓN ESPECIALIZADA, AL SERVICIO DE ADOLESCENTES INFRACTORES DE LA LEY PENAL, EN EL PRESENTE PERIODO DE GOBIERNO</t>
  </si>
  <si>
    <t>CONTRIBUIR A MEJORAR LAS CONDICIONES DE PERMANENCIA DE LOS INTERNOS EN 5 CENTROS CARCELARIOS, EN LOS CUATRO AÑOS DEL PERIODO DE GOBIERNO. A TRAVÉS, DE INFRAESTRUCTURA, DOTACIÓN, PROCESOS DE FORMACIÓN A INTERNOS, RESOCIALIZACIÓN, ENTRE OTROS.</t>
  </si>
  <si>
    <t xml:space="preserve">NO. DE CENTROS CARCELARIOS CON MEJOR SERVICIO </t>
  </si>
  <si>
    <t>NO CENTRO EN SERVICIO</t>
  </si>
  <si>
    <t>DERECHOS HUMANOS Y CONVIVENCIA</t>
  </si>
  <si>
    <t>REALIZAR PROCESOS DE PREVENCIÓN EN EL 100% DE LOS MUNICIPIOS AFECTADOS POR TRATA DE PERSONAS, RECLUTAMIENTO FORZADO Y MINAS ANTIPERSONAS, PROMOVIENDO UNA CULTURA DE LA PROTECCIÓN DE DERECHOS HUMANOS, DURANTE EL PERIODO DE GOBIERNO</t>
  </si>
  <si>
    <t>% DE MUNICIPIOS CON PROCESOS DE PREVENCIÓN EN TRATA DE PERSONAS</t>
  </si>
  <si>
    <t>PROMOVER LA FORMACIÓN DE 116 COMISARIOS DE FAMILIAS EN LA NORMATIVIDAD VIGENTE CON EL FIN DE PROPORCIONARLES HERRAMIENTAS PARA FORTALECER EL CUMPLIMIENTO DE SUS FUNCIONES, DURANTE EL ACTUAL PERIODO DE GOBIERNO.</t>
  </si>
  <si>
    <t>NO DE COMISARIOS DE FAMILIAS FORMADOS</t>
  </si>
  <si>
    <t>CREAR Y PONER EN FUNCIONAMIENTO LA INSTANCIA TERRITORIAL DE DERECHOS HUMANOS Y DERECHO INTERNACIONAL HUMANITARIO PARA LA COORDINACIÓN, ARTICULACIÓN, IMPLEMENTACIÓN Y EL SEGUIMIENTO DE LA POLÍTICA PÚBLICA DE DERECHOS HUMANOS Y DERECHO INTERNACIONAL HUMANIT</t>
  </si>
  <si>
    <t>INSTANCIAS TERRITORIALES EN DERECHOS HUMANOS EN SERVICIO</t>
  </si>
  <si>
    <t>REALIZAR PROCESOS DE FORMACIÓN EN 116 MUNICIPIOS PARA LA APLICACIÓN DE POLÍTICA PÚBLICA DE DERECHOS HUMANOS: VIDA, INTEGRIDAD, LIBERTAD Y SEGURIDAD, IGUALDAD Y NO DISCRIMINACIÓN, CULTURA Y EDUCACIÓN; CON EL FIN DE GARANTIZAR A LA COMUNIDAD SUS DERECHOS E</t>
  </si>
  <si>
    <t>NO MUNICIPIOS FORTALECIDOS EN CAPACIDAD INSTITUCIONAL PARA DERECHOS HUMANOS.</t>
  </si>
  <si>
    <t>IMPLEMENTAR UNA ESTRATEGIA DE PROMOCIÓN, RESPETO Y RECONOCIMIENTO DE LA DIVERSIDAD Y LA RECONCILIACIÓN QUE BENEFICIE LOS 116 MUNICIPIOS DEL DEPARTAMENTO, DURANTE EL PERIODO DE GOBIERNO</t>
  </si>
  <si>
    <t>UNA ESTRATEGIA DE PROMOCIÓN IMPLEMENTADA</t>
  </si>
  <si>
    <t>FORTALECIMIENTO DE LA GESTIÓN</t>
  </si>
  <si>
    <t>AJUSTE INSTITUCIONAL IMPLEMENTADO ACORDE A LAS NECESIDADES ACTUALES DE LA ENTIDAD.</t>
  </si>
  <si>
    <t>NO. DE AJUSTES INSTITUCIONALES IMPLEMENTADOS</t>
  </si>
  <si>
    <t>IMPLEMENTAR 100% DEL SISTEMA INTEGRAL DE GESTIÓN Y CONTROL PARA ALCANZAR LA CERTIFICACIÓN</t>
  </si>
  <si>
    <t>CERTIFICACIÓN DEL SECTOR CENTRAL DE LA GOBERNACIÓN DE CUNDINAMARCA</t>
  </si>
  <si>
    <t>ACREDITAR LA SECRETARIA DE SALUD EN EL MARCO DEL SISTEMA ÚNICO DE ACREDITACIÓN PARA DIRECCIONES TERRITORIALES DE SALUD</t>
  </si>
  <si>
    <t>SECRETARÍA DE SALUD ACREDITADA</t>
  </si>
  <si>
    <t>NO DE ENTIDADES Y MUNICIPIOS CON ASESORÍA</t>
  </si>
  <si>
    <t>FORTALECER TRES ENTIDADES DEPARTAMENTALES PARA MEJORAR SU CAPACIDAD DE ATENCIÓN A LA COMUNIDAD Y LA PRESTACIÓN DE SERVICIOS.</t>
  </si>
  <si>
    <t>NO DE ENTIDADES FORTALECIDAS</t>
  </si>
  <si>
    <t xml:space="preserve">MEJORAR LA CAPACIDAD DE RESPUESTA AL USUARIO CON LA IMPLEMENTACIÓN DE UN SISTEMA DE ATENCIÓN DURANTE EL CUATRIENIO. </t>
  </si>
  <si>
    <t>NO DE SISTEMAS DE ATENCIÓN AL CIUDADANO</t>
  </si>
  <si>
    <t xml:space="preserve">IMPLEMENTAR (1) UN PROGRAMA PARA BUENAS PRÁCTICAS EN LOS PROCESOS DE GESTIÓN DOCUMENTAL Y DE ARCHIVO </t>
  </si>
  <si>
    <t>NO DE PROGRAMAS DE BUENAS PRÁCTICAS DE GESTIÓN DOCUMENTAL IMPLEMENTADO</t>
  </si>
  <si>
    <t>NO DE AMBIENTES FÍSICOS MEJORADOS, ADECUADOS, Y/O ADQUIRIDOS</t>
  </si>
  <si>
    <t>MODERNIZAR 8 EMPRESAS SOCIALES DEL ESTADO DURANTE EL CUATRIENIO</t>
  </si>
  <si>
    <t>N° DE EMPRESAS SOCIALES DEL ESTADO MODERNIZADAS</t>
  </si>
  <si>
    <t>AUMENTAR EL CUMPLIMIENTO DEL SISTEMA OBLIGATORIO DE GARANTÍA DE LA CALIDAD EN EL 100% DE LAS EMPRESAS SOCIALES DEL ESTADO.</t>
  </si>
  <si>
    <t xml:space="preserve">% DE EMPRESAS SOCIALES DEL ESTADO CON CUMPLIMIENTO DEL SISTEMA OBLIGATORIO DE GARANTÍA DE LA CALIDAD </t>
  </si>
  <si>
    <t>DESARROLLAR EN EL DEPARTAMENTO DE CUNDINAMARCA LAS ACCIONES COMPETENTES DE INSPECCIÓN, VIGILANCIA Y CONTROL EN EL 100% DE LOS SUJETOS SUSCEPTIBLES DE INTERVENCIÓN EN EL MARCO DE LA PRESTACIÓN DE SERVICIOS DE SALUD, ASEGURAMIENTO, FINANCIAMIENTO DEL</t>
  </si>
  <si>
    <t>% DE LOS SUJETOS SUSCEPTIBLES DE INTERVENCIÓN EN EL MARCO DE LA PRESTACIÓN DE SERVICIOS DE SALUD, ASEGURAMIENTO, FINANCIAMIENTO DEL SGSSS Y SALUD PUBLICA</t>
  </si>
  <si>
    <t>ESCUELA DE BUEN GOBIERNO</t>
  </si>
  <si>
    <t>CONTRIBUIR AL BUEN GOBIERNO CON ESCUELA DE BUEN GOBIERNO QUE MEJORE CAPACIDADES COMO MÍNIMO DEL 40% DE FUNCIONARIOS.</t>
  </si>
  <si>
    <t>% DE FUNCIONARIOS QUE APLICAN NUEVAS CAPACIDADES A SU GESTIÓN</t>
  </si>
  <si>
    <t>BIENESTAR E INCENTIVOS</t>
  </si>
  <si>
    <t>PROMOVER EL BIENESTAR Y LA SALUD OCUPACIONAL CON LA PARTICIPACIÓN DEL 80% DE LOS FUNCIONARIOS DEL SECTOR CENTRAL EN LOS PLANES Y PROGRAMAS QUE INCENTIVEN EL MEJORAMIENTO DE LA CALIDAD DE VIDA DE LOS MISMOS.</t>
  </si>
  <si>
    <t>% DE FUNCIONARIOS USUARIOS PARTICIPANDO DE PLANES DE BIENESTAR</t>
  </si>
  <si>
    <t>$ RECURSOS DESTINADOS A MEJORAR CALIDAD DE VIDA DE AFILIADOS A LA CORPORACIÓN SOCIAL</t>
  </si>
  <si>
    <t>BENEFICIAR AL 50% AFILIADOS Y BENEFICIARIOS A LA CORPORACIÓN SOCIAL DE CUNDINAMARCA CON OFERTA DE PROGRAMAS DE BIENESTAR.</t>
  </si>
  <si>
    <t xml:space="preserve">% DE FUNCIONARIOS AFILIADOS USUARIOS DEL PROGRAMA DE BIENESTAR. </t>
  </si>
  <si>
    <t>GARANTIZAR SERVICIO MÉDICO OCUPACIONAL, EXÁMENES PERIÓDICOS, ASESORÍAS MÉDICO LABORALES, ESTADÍSTICA MÉDICO- SOCIAL AL 95% SERVIDORES PÚBLICOS DEL NIVEL CENTRAL DURANTE EL CUATRIENIO</t>
  </si>
  <si>
    <t>% SERVIDORES PÚBLICOS USUARIOS DE LOS SERVICIOS</t>
  </si>
  <si>
    <t>MEJORAR EL MANEJO DEL RIESGO DE LA GOBERNACIÓN DE CUNDINAMARCA Y SUS SEDES EXTERNAS CON LA ATENCIÓN MÍNIMA DEL 50% DE LAS RECOMENDACIONES</t>
  </si>
  <si>
    <t>% DE RECOMENDACIONES ATENDIDAS</t>
  </si>
  <si>
    <t>PARAMETRIZACIÓN Y PUESTA EN MARCHA DE UN (1) SISTEMA PROPIO DE EVALUACIÓN DE DESEMPEÑO</t>
  </si>
  <si>
    <t>SISTEMA PROPIO DE EVALUACIÓN DE DESEMPEÑO IMPLEMENTADO</t>
  </si>
  <si>
    <t>COMUNICAICONES PARTICIPATIVAS</t>
  </si>
  <si>
    <t>ESTRATEGIAS IEC DURANTE LOS 4 AÑOS FACILITAN LA INTEGRACIÓN, PARTICIPACIÓN Y DIÁLOGOS ENTRE LOS ACTORES INSTITUCIONALES, COMUNIDAD Y USUARIOS</t>
  </si>
  <si>
    <t>NO DE AÑOS CON ESTRATEGIAS IEC QUE FACILITAN LA INTERCOMUNICACIÓN</t>
  </si>
  <si>
    <t>ESTRATEGIAS IEC DURANTE LOS 4 AÑOS VINCULAN A LOS ACTORES EN LA GESTIÓN, PARA EL DESEMPEÑO DE ROLES, CORRESPONSABILIDAD INSTITUCIONAL Y CIVIL PARA EL CUMPLIMIENTO DE LOS OBJETIVOS Y RESULTADOS</t>
  </si>
  <si>
    <t>NO DE AÑOS CON ESTRATEGIAS IEC QUE FORTALECEN ROLES Y CORRESPONSABILIDAD EN LA GESTIÓN PARA RESULTADO</t>
  </si>
  <si>
    <t xml:space="preserve">UN (1) CALLCENTER CON ATENCIÓN PERSONALIZADA ATIENDE LOS SERVICIOS DE LA COMUNIDAD DE LOS 116 MUNICIPIOS </t>
  </si>
  <si>
    <t>NO DE CALLCENTER CON SERVICIO PERSONALIZADO DE USUARIOS CIUDADANOS</t>
  </si>
  <si>
    <t>ESFUERZO FISCAL</t>
  </si>
  <si>
    <t>FORTALECER LAS FINANZAS DEL DEPARTAMENTO CON LA DISMINUCIÓN AL 15% DURANTE EL PERIODO 2012 AL 2016 EL VALOR DEJADO DE PERCIBIR POR CONTRABANDO, ADULTERACIÓN, FALSIFICACIÓN, EVASIÓN Y ELUSIÓN DE IMPUESTOS DEPARTAMENTALES CON RESPECTO A LA NACIÓN.</t>
  </si>
  <si>
    <t>% DEJADO DE PERCIBIR POR EL DEPARTAMENTO EN CONTRABANDO, ADULTERACIÓN, FALSIFICACIÓN, EVASIÓN, ELUSIÓN. / % DEJADO DE PERCIBIR POR LA NACIÓN EN CONTRABANDO, ADULTERACIÓN, FALSIFICACIÓN, EVASIÓN, ELUSIÓN.</t>
  </si>
  <si>
    <t>COOPERACIÓN Y GESTIÓN ESTRATÉGICA PARA EL DESARROLLO</t>
  </si>
  <si>
    <t>NO DE ACUERDOS SUSCRITOS</t>
  </si>
  <si>
    <t xml:space="preserve">CONSOLIDAR POR LO MENOS 4 ESPACIOS Y MECANISMOS DE GESTIÓN DE ORDEN INTERNACIONAL, NACIONAL, REGIONAL O LOCAL CON ALIANZAS INSTITUCIONALES Y PÚBLICO PRIVADAS. </t>
  </si>
  <si>
    <t>NO DE ESPACIOS Y MECANISMOS DE GESTIÓN CONSOLIDADOS</t>
  </si>
  <si>
    <t>FORMAR A 6000 FUNCIONARIOS MUNICIPALES Y SOCIEDAD CIVIL EN DESTREZAS Y HABILIDADES PARA LA GESTIÓN INTEGRAL DURANTE EL PERÍODO DE GOBIERNO.</t>
  </si>
  <si>
    <t>NÚMERO DE FUNCIONARIOS Y SOCIEDAD CIVIL FORMADOS.</t>
  </si>
  <si>
    <t>IMPLEMENTAR EN 40 MUNICIPIOS PRÁCTICAS DE BUEN GOBIERNO EN EL CUATRIENIO</t>
  </si>
  <si>
    <t>NÚMERO DE MUNICIPIOS CON PRÁCTICAS DE BUEN GOBIERNO</t>
  </si>
  <si>
    <t>RED PARA EL CONOCIMIENTO Y LA INFORMACION</t>
  </si>
  <si>
    <t>INCREMENTAR EN UN 50% EL NÚMERO DE USUARIOS DE LA RED DE CONOCIMIENTO DURANTE EL CUATRIENIO.</t>
  </si>
  <si>
    <t>NÚMERO DE USUARIOS DE LA RED DE INFORMACIÓN Y CONOCIMIENTO.</t>
  </si>
  <si>
    <t>FORTALECIMIENTO INTEGRAL A LA GESTION LOCAL</t>
  </si>
  <si>
    <t>APOYAR EN 4 PROCESOS ELECTORALES A LOS 116 MUNICIPIOS DURANTE EL PERÍODO DE GOBIERNO</t>
  </si>
  <si>
    <t xml:space="preserve">NÚMERO DE JORNADAS ELECTORALES </t>
  </si>
  <si>
    <t>NO. DE MUNICIPIOS CON ACTUALIZACIÓN CATASTRAL COFINANCIADOS.</t>
  </si>
  <si>
    <t>FORTALECER LA CAPACIDAD INSTITUCIONAL CON LA IMPLEMENTACIÓN 4 UNIDADES DE APOYO A LA GESTIÓN TERRITORIAL</t>
  </si>
  <si>
    <t>NUMERO DE UAGT PUESTAS EN FUNCIONAMIENTO</t>
  </si>
  <si>
    <t>ACERCAMIENTO DE LA OFERTA INSTITUCIONAL PARA EL EMPODERAMIENTO Y LA GESTIÓN CON 4 FERIAS INSTITUCIONALES DURANTE EL PERIODO DE GOBIERNO</t>
  </si>
  <si>
    <t>NO DE FERIAS INSTITUCIONALES REALIZADAS DURANTE EL PERIODO DE GOBIERNO</t>
  </si>
  <si>
    <t>PROCESOS DE COOPERACION HORIZONTAL Y HERMANAMIENTOS</t>
  </si>
  <si>
    <t>FORTALECER 12 MUNICIPIOS EN GESTIÓN INTEGRAL A TRAVÉS DE PROCESOS DE COOPERACIÓN HORIZONTAL DURANTE DEL PERÍODO DE GOBIERNO</t>
  </si>
  <si>
    <t>NUMERO DE PROCESOS DE COOPERACIÓN HORIZONTAL ENTRE MUNICIPIOS FORMALIZADOS</t>
  </si>
  <si>
    <t xml:space="preserve">MEJORAMIENTO DEL SERVICIO </t>
  </si>
  <si>
    <t>CONSTRUIR, MEJORAR, MANTENER Y DOTAR 15 CASAS DE GOBIERNO CON EL OBJETO DE QUE PRESTEN UN BUEN SERVICIO A LA CIUDADANÍA</t>
  </si>
  <si>
    <t>NO DE CASAS DE GOBIERNO EN BUEN ESTADO</t>
  </si>
  <si>
    <t>INSTANCIAS DE PARTICIPACIÓN INSTITUCIONAL</t>
  </si>
  <si>
    <t>FORTALECER EN EL CUATRIENIO AL CONSEJO TERRITORIAL DE PLANEACIÓN.</t>
  </si>
  <si>
    <t>NÚMERO DE AÑOS DE FORTALECIMIENTO DEL CONSEJO TERRITORIAL DE PLANEACIÓN</t>
  </si>
  <si>
    <t>FORTALECER 117 CONSEJOS DE POLÍTICA SOCIAL UNO DEPARTAMENTAL Y 116 MUNICIPALES OPERANDO EFECTIVAMENTE CON SEGUIMIENTO EN LOS CUATRO AÑOS DE GOBIERNO</t>
  </si>
  <si>
    <t>NO CONSEJOS DE POLÍTICA SOCIAL MUNICIPALES CUALIFICADOS, OPERANDO EFECTIVAMENTE CON SEGUIMIENTO</t>
  </si>
  <si>
    <t>FOMENTAR LA PARTICIPACIÓN INCLUYENTE CON LA CREACIÓN DE 117 CONSEJOS CONSULTIVOS DE MUJER UNO DEPARTAMENTAL Y 116 MUNICIPALES INCIDIENDO Y OPERANDO EFECTIVAMENTE EN EL DESARROLLO EN LOS CUATRO AÑOS DE GOBIERNO</t>
  </si>
  <si>
    <t>NO DE CONSEJOS CONSULTIVOS DE MUJER INCIDIENDO Y OPERANDO EFECTIVAMENTE</t>
  </si>
  <si>
    <t>VEEDURIAS CIUDADANAS Y MECANISMOS DE PARTICIPACIÓN SOCIAL EN SALUD</t>
  </si>
  <si>
    <t xml:space="preserve">FOMENTAR EN EL 100% DE MUNICIPIOS LA CREACIÓN DE VEEDURÍAS CIUDADANAS QUE FOMENTEN EL CONTROL Y PARTICIPACIÓN SOCIAL, INSTRUMENTO REAL Y EFECTIVO QUE EJERCE VIGILANCIA Y CONTROL DURANTE EL PERIODO DE GOBIERNO </t>
  </si>
  <si>
    <t>NO. DE MUNICIPIOS CON TRANSFERENCIAS TÉCNICAS Y LOGÍSTICAS</t>
  </si>
  <si>
    <t xml:space="preserve">NO DE PROYECTOS, PROGRAMAS Y OBRAS CON VEEDURÍA CIUDADANA </t>
  </si>
  <si>
    <t>INSTANCIAS DE PARTICIPACIÓN EN ORGANIZACIONES COMUNITARIAS</t>
  </si>
  <si>
    <t xml:space="preserve">REALIZAR 116 OBRAS Y/O SERVICIOS SOCIOECONÓMICOS DE INNOVACIÓN PARA EL DESARROLLO COMUNITARIO Y LOCAL, DURANTE EL PERIODO DE GOBIERNO EN LOS MUNICIPIOS </t>
  </si>
  <si>
    <t>NO DE OBRAS Y SERVICIOS SOCIOECONÓMICOS DE INNOVACIÓN PARA EL DESARROLLO COMUNITARIO Y LOCAL, DURANTE EL PERIODO DE GOBIERNO</t>
  </si>
  <si>
    <t>LOGRAR 60 MUNICIPIOS MÁS AMABLES CON TRABAJO COMUNITARIO PARA EL EMBELLECIMIENTO DEL ENTORNO QUE HABITAN, DURANTE EL PERIODO DE GOBIERNO</t>
  </si>
  <si>
    <t xml:space="preserve">NO MUNICIPIOS MÁS AMABLES EN ENTORNO </t>
  </si>
  <si>
    <t>APOYAR 2000 ORGANIZACIONES COMUNITARIAS EN ADMINISTRACIÓN Y GESTIÓN COMUNAL DURANTE EL PERIODO DEL GOBIERNO</t>
  </si>
  <si>
    <t>NO ORGANIZACIONES FORTALECIDAS EN ADMINISTRACIÓN Y GESTIÓN COMUNAL</t>
  </si>
  <si>
    <t>FORTALECER 2000 ORGANIZACIONES COMUNITARIAS EN PARTICIPACIÓN E INCLUSIÓN CON DINÁMICAS DE INTEGRACIÓN Y COMUNICACIÓN.</t>
  </si>
  <si>
    <t>NO ORGANIZACIONES FORTALECIDAS EN PARTICIPACIÓN E INCLUSIÓN CON DINÁMICAS DE INTEGRACIÓN Y COMUNICACIÓN.</t>
  </si>
  <si>
    <t>FOMENTAR LA CREACIÓN DE 3 MESAS AUTÓNOMAS DE LOS GRUPOS ÉTNICOS.</t>
  </si>
  <si>
    <t>MESAS AUTÓNOMAS CREADAS Y EN FUNCIONAMIENTO</t>
  </si>
  <si>
    <t>NUMERO DE MUNICIPIOS CON ORGANIZACIONES COMUNITARIAS GESTORAS DE AGENDAS DE DESARROLLO LOCAL POR SISTEMA DE INFORMACIÓN MISIONAL</t>
  </si>
  <si>
    <t>NO MUNICIPIOS CON ORGANIZACIONES COMUNITARIAS GESTORAS DE AGENDAS DE DESARROLLO LOCAL</t>
  </si>
  <si>
    <t>APROPIACIÓN DE NUESTRA IDENTIDAD CULTURAL</t>
  </si>
  <si>
    <t>CONFORMAR UNA RED DE MEMORIA HISTÓRICA CULTURAL Y GESTIÓN PATRIMONIAL DURANTE EL PERIODO DE GOBIERNO (INVENTARIOS, PLANES, ENTRE OTROS)</t>
  </si>
  <si>
    <t>NÚMERO DE REDES DE GESTIÓN PATRIMONIAL</t>
  </si>
  <si>
    <t>FORTALECIMIENTO DE 12 MUSEOS Y/O BIENES DE INTERÉS CULTURAL, COMO ESCENARIOS QUE RESGUARDAN EL PATRIMONIO CULTURAL, EN EL CUATRIENIO.</t>
  </si>
  <si>
    <t>BIENES DE INTERÉS CULTURAL FORTALECIDOS</t>
  </si>
  <si>
    <t>FOMENTAR LA CULTURA PATRIMONIAL CON 24 EVENTOS INTERGENERACIONALES, PROVINCIALES, INTERDEPARTAMENTALES, E INTERNACIONALES, DE PROMOCIÓN, INTERCAMBIO, Y/O REPRESENTACIÓN HISTÓRICA, TURÍSTICA Y CULTURAL DURANTE EL CUATRIENIO.</t>
  </si>
  <si>
    <t>EVENTOS CULTURALES DE PROMOCIÓN, INTERCAMBIO O PARTICIPACIÓN HISTÓRICA Y TURÍSTICA REALIZADOS</t>
  </si>
  <si>
    <t>FOMENTAR EL INTERÉS DE LA CIUDADANÍA PARA PARTICIPAR EN GRUPOS DE VIGÍAS DEL PATRIMONIO DURANTE EL PERIODO DE GOBIERNO, PARA LA DEFENSA Y PROMOCIÓN DEL PATRIMONIO CULTURAL.</t>
  </si>
  <si>
    <t>CIUDADANÍA PARTICIPANDO EN LOS GRUPOS DE VIGÍAS</t>
  </si>
  <si>
    <t>INFRAESTRUTURA EN TIC</t>
  </si>
  <si>
    <t xml:space="preserve">IMPLEMENTAR UNA DE RED SOCIAL DE DATOS, BASADA EN INFRAESTRUCTURA DE TELECOMUNICACIONES DEL DEPARTAMENTO, PRIORIZANDO LOS SERVICIOS DE SALUD Y EDUCACIÓN QUE GARANTICE LA CONECTIVIDAD ENTRE LA ADMINISTRACIÓN DEPARTAMENTAL Y 35 MUNICIPIOS (NBI MÁS ALTOS), </t>
  </si>
  <si>
    <t>ENTIDADES TERRITORIALES CON ACCESO A LA RED DE DATOS DEL DEPARTAMENTO</t>
  </si>
  <si>
    <t xml:space="preserve">AMPLIAR LA COBERTURA DE CONECTIVIDAD DE FIBRA ÓPTICA DE 34 A 116 CABECERAS MUNICIPALES DURANTE EL PERIODO DE GOBIERNO, CON EL APOYO DEL GOBIERNO NACIONAL </t>
  </si>
  <si>
    <t>NÚMERO DE CABECERAS CONECTADAS CON FIBRA ÓPTICA</t>
  </si>
  <si>
    <t>FORTALECER EL 25% DE LA INFRAESTRUCTURA DE PROCESAMIENTO DE DATOS Y PASAR DEL 30% AL 65% DE LA INFRAESTRUCTURA COMPUTACIONAL DEL NIVEL CENTRAL DEL DEPARTAMENTO ACTUALIZADA Y SOPORTADA, PARA EL DESARROLLO BASADO EN HERRAMIENTAS TECNOLÓGICAS DURANTE EL PERI</t>
  </si>
  <si>
    <t>PORCENTAJE DE INFRAESTRUCTURA DE PROCESAMIENTO DE DATOS FORTALECIDA</t>
  </si>
  <si>
    <t>PORCENTAJE DE EQUIPOS DE CÓMPUTO RENOVADOS DEL NIVEL CENTRAL.</t>
  </si>
  <si>
    <t>RENOVAR Y MODERNIZAR EL 71% DE LAS INSTITUCIONES DE LA RED HOSPITALARIA PÚBLICA DE CUNDINAMARCA, LA INFRAESTRUCTURA TECNOLÓGICA NECESARIA PARA LA PRESTACIÓN DE SERVICIOS DE SALUD SOPORTADOS EN TIC DURANTE EL PERIODO DE GOBIERNO.</t>
  </si>
  <si>
    <t>PASAR DEL 43% AL 70% DE ACTUALIZACIÓN DEL LICENCIAMIENTO CORPORATIVO DE SOFTWARE OFIMÁTICO Y COMUNICACIONES UNIFICADAS DURANTE EL PERIODO DE GOBIERNO.</t>
  </si>
  <si>
    <t>PORCENTAJE DE LICENCIAMIENTO DE SOFTWARE ACTUALIZADO</t>
  </si>
  <si>
    <t xml:space="preserve">NÚMERO COMPUTADORES ASIGNADOS A ALUMNOS DE SEXTO GRADO </t>
  </si>
  <si>
    <t>MODERNIZAR LA GESTIÓN FINANCIERA Y FISCAL DEL DEPARTAMENTO MEDIANTE EL FORTALECIMIENTO DEL 100 % DE LA INFRAESTRUCTURA TECNOLÓGICA A TRAVÉS DE UNA PLATAFORMA UNIFICADA Y LA ESPECIALIZACIÓN DEL RECURSO HUMANO DURANTE EL PERIODO DE GOBIERNO, PARA MEJORAR EL</t>
  </si>
  <si>
    <t>PORCENTAJE DE INFRAESTRUCTURA TECNOLÓGICA FORTALECIDA</t>
  </si>
  <si>
    <t>SERVICIOS Y APLICACIONES SOPORTADAS EN TICS</t>
  </si>
  <si>
    <t>GARANTIZAR EL SERVICIO A INTERNET DE CALIDAD EN 1.800 INSTITUCIONES PÚBLICAS DEL DEPARTAMENTO, COMO INSTRUMENTO NECESARIO PARA EL ACCESO A LAS TIC DURANTE EL PERIODO DE GOBIERNO.</t>
  </si>
  <si>
    <t>NÚMERO DE INSTITUCIONES PÚBLICAS CON ACCESO A INTERNET</t>
  </si>
  <si>
    <t>AMPLIAR EL CUBRIMIENTO DE ZONAS WIFI DE 60 A 80 MUNICIPIOS PARA EL ACCESO GRATUITO A INTERNET PARA LA COMUNIDAD DURANTE EL PERIODO DE GOBIERNO.</t>
  </si>
  <si>
    <t>NÚMERO DE ZONAS WIFI IMPLEMENTADAS</t>
  </si>
  <si>
    <t>ACTUALIZAR EL PLAN ESTRATÉGICO DE SISTEMAS DE INFORMACIÓN Y LA ARQUITECTURA INSTITUCIONAL DE INFORMACIÓN EN EL DEPARTAMENTO, COMO INSTRUMENTO DE GESTIÓN GERENCIAL DURANTE EL PERIODO DE GOBIERNO.</t>
  </si>
  <si>
    <t>PLAN Y ARQUITECTURA DE INFORMACIÓN ACTUALIZADA Y DISPONIBLE</t>
  </si>
  <si>
    <t>HABILITAR 8 TRÁMITES EN LÍNEA EN EL PORTAL WEB DEL DEPARTAMENTO, SOPORTADOS EN 5 NUEVOS SISTEMAS DE INFORMACIÓN PRIORIZADOS E IMPLEMENTADOS.</t>
  </si>
  <si>
    <t>NÚMERO DE TRAMITES EN LÍNEA HABILITADOS</t>
  </si>
  <si>
    <t xml:space="preserve">ACTUALIZAR, MANTENER Y AMPLIAR LA FUNCIONALIDAD DE 32 SISTEMAS DE INFORMACIÓN Y APLICATIVOS EXISTENTES EN LAS DIFERENTES DEPENDENCIAS DEL DEPARTAMENTO, DURANTE EL PERIODO DE GOBIERNO PARA FACILITAR LA GESTIÓN DE LA ADMINISTRACIÓN DEPARTAMENTAL. </t>
  </si>
  <si>
    <t>SISTEMAS EXISTENTES ACTUALIZADOS</t>
  </si>
  <si>
    <t>ASEGURAR LA IMPLEMENTACIÓN Y CUMPLIMIENTO DE LAS FASES DE GOBIERNO EN LÍNEA EN CUNDINAMARCA DE TRANSACCIÓN, TRANSFORMACIÓN Y E-DEMOCRACIA, MEDIANTE EL FORTALECIMIENTO Y UNIFICACIÓN DEL 100% DEL PORTAL WEB DEL DEPARTAMENTO.</t>
  </si>
  <si>
    <t>PORCENTAJE FORTALECIDO E INTEGRADO DEL PORTAL</t>
  </si>
  <si>
    <t>FACILITAR LA COMUNICACIÓN ENTRE LA SEDE ADMINISTRATIVA Y LAS INSTITUCIONES PÚBLICAS DE LOS 116 MUNICIPIOS, LLEVANDO LOS SERVICIOS DE MENSAJERÍA INSTANTÁNEA, VIDEO LLAMADA Y TELEFONÍA DURANTE EL PERIODO DE GOBIERNO.</t>
  </si>
  <si>
    <t>NÚMERO DE INSTITUCIONES PÚBLICAS BENEFICIADAS</t>
  </si>
  <si>
    <t>IMPLEMENTAR EN EL 100% DE LAS IPS DE BAJA COMPLEJIDAD DE LA RED HOSPITALARIA PÚBLICA DE CUNDINAMARCA LOS SERVICIOS DE DIAGNÓSTICO, CONSULTA Y RADIOLOGÍA BAJO LA MODALIDAD DE TELEMEDICINA.</t>
  </si>
  <si>
    <t>PORCENTAJE DE IPS DE BAJA COMPLEJIDAD CON SERVICIOS BAJO LA MODALIDAD DE TELEMEDICINA</t>
  </si>
  <si>
    <t>IMPLEMENTAR EN UN 100% LA HISTORIA CLÍNICA ELECTRÓNICA UNIFICADA, MEDIANTE UN SISTEMA INTEGRADO DE INFORMACIÓN DURANTE EL PERIODO DE GOBIERNO COMO MECANISMO PARA MEJORAR LA PRESTACIÓN DEL SERVICIO.</t>
  </si>
  <si>
    <t>% DE HOSPITALES CON HISTORIA CLÍNICA ÚNICA ELECTRÓNICA EN SERVICIO</t>
  </si>
  <si>
    <t>USO Y APROPIACIÓN DE TICS</t>
  </si>
  <si>
    <t>LLEGAR A 300.000 CIUDADANOS INCLUIDOS GRUPOS ÉTNICOS, POBLACIÓN EN CONDICIÓN ESPECIAL Y EN CONDICIÓN DE DISCAPACIDAD, PREPARADOS EN EL USO Y APLICACIÓN RESPONSABLE DE LAS TIC COMO MECANISMO PARA FORTALECER LA CAPACIDAD PRODUCTIVA Y PROPICIAR EL USO SANO D</t>
  </si>
  <si>
    <t>CIUDADANOS CAPACITADOS EN TIC</t>
  </si>
  <si>
    <t>NÚMERO DE CENTROS IMPLEMENTADOS</t>
  </si>
  <si>
    <t>AMPLIAR LA COBERTURA DEL SERVICIO DE NÚMERO DE ATENCIÓN DE EMERGENCIA EN CUNDINAMARCA DE 16 A 116 MUNICIPIOS, MEJORANDO LA PRESTACIÓN DEL SERVICIO DURANTE EL PERIODO DE GOBIERNO.</t>
  </si>
  <si>
    <t>NÚMERO DE MUNICIPIOS CON SERVICIO DE ATENCIÓN DE EMERGENCIA</t>
  </si>
  <si>
    <t>LLAMADAS ATENDIDAS DIARIAMENTE</t>
  </si>
  <si>
    <t xml:space="preserve">ASEGURAR LA IMPLEMENTACIÓN DE 3 FASES DE GOBIERNO EN LÍNEA (INFORMACIÓN, INTERACCIÓN, TRANSACCIÓN) EN 60 MUNICIPIOS CON EL APOYO DEL GOBIERNO NACIONAL DURANTE EL PERIODO DE GOBIERNO. </t>
  </si>
  <si>
    <t>MUNICIPIOS IMPLEMENTADOS EN 3 FASES DE GOBIERNO EN LÍNEA</t>
  </si>
  <si>
    <t xml:space="preserve">PORCENTAJE DE AVANCE DE IMPLEMENTACIÓN DE LAS FASES DE GOBIERNO EN LÍNEA </t>
  </si>
  <si>
    <t>DEFINIR E IMPLEMENTAR LA POLÍTICA DE MANEJO DE RESIDUOS ELECTRÓNICOS Y PROMOVER EL USO DE TECNOLOGÍAS QUE CUMPLAN NORMAS DE PRESERVACIÓN DEL AMBIENTE.</t>
  </si>
  <si>
    <t>POLÍTICA IMPLEMENTADA</t>
  </si>
  <si>
    <t>DESARROLLOS INFORMÁTICOS PARA LA GESTIÓN</t>
  </si>
  <si>
    <t>FORTALECER EL SISTEMA DE INFORMACIÓN GEOGRÁFICA REGIONAL (SIG R) COMO PLATAFORMA TECNOLÓGICA CORPORATIVA CON VARIABLES DE INFORMACIÓN DE ENTIDADES DEL NIVEL CENTRAL, DESCONCENTRADO Y MUNICIPAL.</t>
  </si>
  <si>
    <t>GENERAR INDICADORES E INFORMACIÓN GEOGRÁFICA Y ESTADÍSTICA A NIVEL DEPARTAMENTAL Y MUNICIPAL, A TRAVÉS DE PUBLICACIONES ANÁLOGAS Y/O DIGITALES COMO MATERIAL DE SOPORTE PARA LA TOMA DE DECISIONES EN LOS PROCESOS DE PLANIFICACIÓN Y ORDENAMIENTO DEL TERRITOR</t>
  </si>
  <si>
    <t>NO PUBLICACIONES ANÁLOGAS Y/O DIGITALES DE INDICADORES E INFORMACIÓN REALIZADAS</t>
  </si>
  <si>
    <t>NO HERRAMIENTA TECNOLÓGICA INTEGRADA</t>
  </si>
  <si>
    <t>PROMOVER UN SISTEMA DE INFORMACIÓN INTEGRADO PARA LOS NIVELES DE GOBIERNO QUE SE INTEGREN EN UNA PLATAFORMA ÚNICA EN EL NIVEL CENTRAL Y DESCENTRALIZADO DEL DEPARTAMENTO, DURANTE EL CUATRIENIO</t>
  </si>
  <si>
    <t>NO SISTEMA EN SALUD PÚBLICA, VIGILANCIA Y CONTROL, CENTRO REGULADOR DE URGENCIAS, ASEGURAMIENTO, LABORATORIO, IMPLEMENTADO</t>
  </si>
  <si>
    <t xml:space="preserve">DEFINIR LOS LINEAMIENTOS Y/O ESTÁNDARES PARA LA CAPTURA Y ALMACENAMIENTO DE INFORMACIÓN </t>
  </si>
  <si>
    <t>NO DE ESTÁNDARES DEFINIDOS</t>
  </si>
  <si>
    <t>% IMPLEMENTACIÓN SEGER (PLAN DE TRABAJO)</t>
  </si>
  <si>
    <t xml:space="preserve">GENERAR EN 100% MUNICIPIOS Y ENTIDADES DEPARTAMENTALES EN EL CUATRIENIO MAYORES CAPACIDADES DE S Y E </t>
  </si>
  <si>
    <t>% MUNICIPIOS Y ENTIDADES CON CAPACIDADES S Y E</t>
  </si>
  <si>
    <t>EJECUTAR 8 PLANES DE MEJORAMIENTO EN EL CUATRIENIO POR PREVIO S Y E</t>
  </si>
  <si>
    <t>NO DE PLANES DE MEJORAMIENTO EN EJECUCIÓN POR S Y E</t>
  </si>
  <si>
    <t>IMPLEMENTAR UNA RUTA METODOLÓGICA ANUAL DE RENDICIÓN DE CUENTAS PARA SOMETER EL AVANCE DE LA GESTIÓN TRIMESTRALMENTE , AL DEBATE, ARGUMENTACIÓN Y APORTE DEL CONSEJO DE GOBIERNO PARA EL MEJORAMIENTO DE LOS RESULTADOS DE LA GESTIÓN</t>
  </si>
  <si>
    <t>NO DE RENDICIONES DE CUENTAS TRIMESTRALES CONSEJO DE GOBIERNO PARA MEJORAMIENTO GESTIÓN</t>
  </si>
  <si>
    <t>IMPLEMENTAR UNA RUTA METODOLÓGICA ANUAL DE RENDICIÓN DE CUENTAS PARA SOMETER EL AVANCE DE LA GESTIÓN SEMESTRAL, AL DEBATE, ARGUMENTACIÓN Y APORTE DE ASAMBLEA DEPARTAMENTAL, CIUDADANÍA Y CONSEJO DE PLANEACIÓN DEPARTAMENTAL PARA EL MEJORAMIENTO DE LOS RESUL</t>
  </si>
  <si>
    <t>NO DE RENDICIONES DE CUENTAS SEMESTRALES A LA ASAMBLEA, CIUDADANÍA Y CONSEJO TERRITORIAL DE PLANEACIÓN</t>
  </si>
  <si>
    <t>IMPLEMENTAR UNA RUTA METODOLÓGICA ANUAL DE RENDICIÓN DE CUENTAS PARA SOMETER EL AVANCE DE LA GESTIÓN ANUAL, INFANCIA Y ADOLESCENCIA EN EL ACCESO A DERECHOS, AL DEBATE, ARGUMENTACIÓN Y APORTE DE CONSEJO DE POLÍTICA SOCIAL, ASAMBLEA, CIUDADANÍA Y MUNICIPIO</t>
  </si>
  <si>
    <t>NO DE RENDICIONES DE CUENTAS ANUAL DE INFANCIA Y ADOLESCENCIA PARA MEJORAMIENTO GESTIÓN.</t>
  </si>
  <si>
    <t>REALIZAR 8 PUBLICACIONES EN EL CUATRIENIO PARA DIVULGAR MEJORES PRÁCTICAS DE S Y E.</t>
  </si>
  <si>
    <t>NO PUBLICACIONES QUE DIVULGAN BUENAS PRÁCTICAS DE SEGUIMIENTO Y EVALUACIÓN.</t>
  </si>
  <si>
    <t>REALIZAR 4 EVALUACIONES EXTERNAS DE RESULTADOS DE LA GESTIÓN.</t>
  </si>
  <si>
    <t>NO EVALUACIONES EXTERNAS.</t>
  </si>
  <si>
    <t>REALIZAR POR LO MENOS 8 ENCUESTAS EN EL CUATRIENIO DE PERCEPCIÓN CIUDADANA SOBRE GESTIÓN PÚBLICA</t>
  </si>
  <si>
    <t>NO ENCUESTAS DE PERCEPCIÓN CIUDADANA SOBRE GESTIÓN PÚBLICA</t>
  </si>
  <si>
    <t>EJECUCIÓN FINANCIERA En Millones ($)</t>
  </si>
  <si>
    <t>AVANCE DEL INDICADOR</t>
  </si>
  <si>
    <t>BUSCAR META</t>
  </si>
  <si>
    <t>SELECCIONE LA ENTIDAD</t>
  </si>
  <si>
    <t>FORTALECIMIENTO DE LA GESTION</t>
  </si>
  <si>
    <t>FORMAR, EN EL CUATRIENIO A 1.800 AGENTES EDUCATIVOS EN LOS PROCESOS PEDAGÓGICOS DE LA PRIMERA INFANCIA.</t>
  </si>
  <si>
    <t>INVOLUCRAR A LAS NIÑAS Y LOS NIÑOS DE PRIMERA INFANCIA EN ACTIVIDADES LÚDICAS Y RECREATIVAS CON LA DOTACIÓN EN EL CUATRIENIO DE 250 PARQUES INFANTILES</t>
  </si>
  <si>
    <t>IMPLEMENTAR, DURANTE EL CUATRIENIO, EN 80 INSTITUCIONES EDUCATIVAS OFICIALES LA FORMACIÓN EN EMPRENDIMIENTO ALREDEDOR DE PROCESOS PRODUCTIVOS MEJORADOS Y CON ESTOS APOYAR LA FORMACIÓN EN COMPETENCIAS PARA LA GENERACIÓN DE EMPRESA.</t>
  </si>
  <si>
    <t>ARTICULAR EN EL CUATRIENIO 55 INSTITUCIONES EDUCATIVAS CON INSTITUCIONES DE EDUCACIÓN SUPERIOR QUE BRINDEN EDUCACIÓN TÉCNICA, TECNOLÓGICA, PROFESIONAL Y PARA EL TRABAJO Y EL DESARROLLO HUMANO, A ESTUDIANTES DE LOS GRADOS 10° Y 11° EN JORNADA COMPLEMENTARIA Y/O LOS SÁBADOS.</t>
  </si>
  <si>
    <t>REALIZAR EN EL CUATRIENIO 2 ALIANZAS ESTRATÉGICAS CON ENTIDADES EDUCATIVAS ESPECIALIZADAS EN FORMACIÓN EN EL IDIOMA INGLÉS PARA FORTALECER LAS HABILIDADES EN LENGUAS EXTRANJERAS DE LAS Y LOS DOCENTES.</t>
  </si>
  <si>
    <t>INCREMENTAR EL NIVEL EDUCATIVO OTORGANDO SUBSIDIOS PARA VINCULAR EN EL CUATRIENIO A 3.000 ESTUDIANTES CUNDINAMARQUESES QUE SEAN ACEPTADOS EN LAS INSTITUCIONES DE EDUCACIÓN SUPERIOR, PRIORIZANDO LA POBLACIÓN EN EXTREMA POBREZA QUE LO DEMANDE</t>
  </si>
  <si>
    <t xml:space="preserve">GENERAR CAPACIDADES DE LIDERAZGO, FORMACIÓN POLÍTICA Y EMPRENDIMIENTO DURANTE EL CUATRIENIO A 8.000 JÓVENES </t>
  </si>
  <si>
    <t>DIFUNDIR LA MÚSICA FOLCLÓRICA COLOMBIANA Y UNIVERSAL A TRAVÉS DE LA REALIZACIÓN DE 160 CONCIERTOS DE LA BANDA SINFÓNICA DE CUNDINAMARCA EN EL CUATRIENIO</t>
  </si>
  <si>
    <t>APOYAR 150 INICIATIVAS DE PARTICIPACIÓN CIUDADANA DE JÓVENES EN EL CUATRIENIO.</t>
  </si>
  <si>
    <t>CONFORMAR LAS PLATAFORMAS DE JUVENTUD EN EL 50% DE LOS MUNICIPIOS DEL DEPARTAMENTO</t>
  </si>
  <si>
    <t>REALIZAR EN EL CUATRIENIO UN ESTUDIO SOBRE LA SITUACION DE LOS JÓVENES EN EL MARCO DE LOS PROCESOS DE POSTCONFLICTO.</t>
  </si>
  <si>
    <t>PROMOVER LA EXPEDICIÓN Y RENOVACIÓN DE DOCUMENTOS DE IDENTIDAD DE LOS JÓVENES, CON PRIORIDAD EN LA POBLACIÓN DE LA RED UNIDOS Y/O VULNERABLE.</t>
  </si>
  <si>
    <t>PROMOVER LA EXPEDICIÓN DE LA LIBRETA MILITAR PARA 2.000 JÓVENES, CON PRIORIDAD EN LA POBLACIÓN DE LA RED UNIDOS Y/O VULNERABLE.</t>
  </si>
  <si>
    <t>PROMOVER LA EXPEDICIÓN DE LA CEDULA DE CIUDADANIA PARA LOS Y LAS ADULTAS , CON PRIORIDAD EN LA POBLACIÓN DE LA RED UNIDOS Y/O VULNERABLE.</t>
  </si>
  <si>
    <t>PROMOVER LA EXPEDICIÓN DE LA LIBRETA MILITAR PARA ADULTOS CON PRIORIDAD EN LA POBLACIÓN DE LA RED UNIDOS Y/O VULNERABLE.</t>
  </si>
  <si>
    <t>APOYAR EN EL CUATRIENIO 100 INICIATIVAS PRODUCTIVAS DE LAS Y LOS ADULTOS MAYORES</t>
  </si>
  <si>
    <t>PROMOVER LA EXPEDICIÓN Y RENOVACIÓN DE DOCUMENTOS DE IDENTIDAD DE LAS Y LOS ADULTOS MAYORES QUE LO DEMANDEN, CON PRIORIDAD EN LA POBLACIÓN DE LA RED UNIDOS Y/O VULNERABLES</t>
  </si>
  <si>
    <t>APOYAR EN EL CUATRIENIO A 5.500 FAMILIAS RURALES, TÉCNICA Y FINANCIERAMENTE, A TRAVÉS DE PROGRAMAS DE MEJORAMIENTO DE VIVIENDA, EN CONJUNTO CON LAS DEMÁS ENTIDADES COOPERANTES DEL SNV. CON PRIORIDAD EN LAS FAMILIAS DE POBREZA EXTREMA</t>
  </si>
  <si>
    <t>CONTRIBUIR A LA VIDA DIGNA DE 4.500 FAMILIAS URBANAS Y RURALES, CON PRIORIDAD EN LAS DE POBREZA EXTREMA, PARA QUE HABITEN VIVIENDAS CON PISOS ANTIBACTERIALES</t>
  </si>
  <si>
    <t>ATENDER EN EL CUATRIENIO A 10.000 FAMILIAS DE LA RED UNIDOS EN LA DIMENSIÓN DE HABITABILIDAD CON ESTRATEGIAS DE RESPONSABILIDAD SOCIAL EMPRESARIAL Y COOPERACIÓN PÚBLICA</t>
  </si>
  <si>
    <t>PROMOVER EN EL CUATRIENIO EN 500 FAMILIAS LA CULTURA DEL AHORRO, MICROFINANZAS Y LA VINCULACIÓN AL SISTEMA FINANCIERO</t>
  </si>
  <si>
    <t>INCREMENTAR EN EL CUATRIENIO EN 12.000 PRUEBAS LA COBERTURA PARA EL DIAGNÓSTICO DE VIH EN EL DEPARTAMENTO</t>
  </si>
  <si>
    <t>ATENDER DURANTE EL CUATRIENIO A 18.000 FAMILIAS VULNERABLES EN LA DIMENSIÓN DE DINAMICA FAMILIAR CON ESTRATEGIAS DE INFORMACIÓN EDUCACIÓN PARA PROMOVER PRINCIPIOS Y VALORES, DERECHOS HUMANOS, PREVENIR LA VIOLENCIA INTRAFAMILIAR Y LA OCURRENCIA DE HECHOS RELACIONADOS CON ABUSO SEXUAL.</t>
  </si>
  <si>
    <t>FORTALECER DURANTE EL CUATRIENIO CON DINÁMICAS FAMILIARES AL 50% DE LAS FAMILIAS FOCALIZADAS E IDENTIFICADAS POR LA UNIDAD NACIONAL DE VÍCTIMAS, CON LA PROBLEMÁTICA DE VIOLENCIA INTRAFAMILIAR. (DERECHO DE ABORDAJE PSICOSOCIAL Y SALUD MENTAL).</t>
  </si>
  <si>
    <t>ATENDER DURANTE EL CUATRENIO CON ESTRATEGIA INTEGRAL DE ACOMPAÑAMIENTO AL 50% LAS FAMILIAS FOCALIZADAS DE LAS PERSONAS VCA CON CONDICIÓN DE DISCAPACIDAD QUE LO REQUIERAN. (DERECHO A LA ATENCIÓN DIFERENCIA).</t>
  </si>
  <si>
    <t>REALIZAR EL 100% DEL PROCESO DE IDENTIFICACIÓN Y CARACTERIZACIÓN DE LAS VCA SEGÚN DE ACUERDO AL CASO DE TIPIFICACIÓN EXCEPTUANDO EL DESPLAZAMIENTO FORZADO</t>
  </si>
  <si>
    <t>IMPLEMENTAR 2 CENTROS REGIONALES Y 1 CENTRO DE ATENCIÓN CON LA ADECUACIÓN DE 5 BIENES INMUEBLES DEL DEPARTAMENTO. Y 1 CENTRO DE ATENCIÓN. (DERECHO A LA ATENCIÓN INTEGRAL BÁSICA).</t>
  </si>
  <si>
    <t>FORTALECER LA GESTIÓN PARA EL DESARROLLO TERRITORIAL CON 4 INSTRUMENTOS DE GESTIÓN DEL SUELO. DURANTE EL PERIODO DE GOBIERNO</t>
  </si>
  <si>
    <t>FORMULAR LOS LINEAMIENTOS Y ORIENTACIONES PARA EL ORDENAMIENTO DEL TERRITORIO DEL DEPARTAMENTO DE CUNDINAMARCA Y SU INCORPORACIÓN EN LOS POT, EN EL CUATRIENIO.</t>
  </si>
  <si>
    <t>FORTALECER INSTITUCIONALMENTE EL 100% DE LOS MUNICIPIOS DESCERTIFICADOS MEDIANTE LA ADMINISTRACIÓN DE LOS RECURSOS DEL SISTEMA GENERAL DE PARTICIPACIONES-AGUA POTABLE Y SANEAMIENTO BÁSICO ASIGNADOS AL MUNICIPIO, CON EL FIN DE ASEGURAR LA PRESTACIÓN DE LOS SERVICIOS DE AGUA POTABLE Y SANEAMIENTO BÁSICO A LOS HABITANTES DEL RESPECTIVO MUNICIPIO</t>
  </si>
  <si>
    <t>CONSTRUIR 5.000 UNIDADES SANITARIAS EN EL SECTOR RURAL, EN EL PERIODO DE GOBIERNO, PARA CONTRIBUIR A MEJORAR LAS CONDICIONES DE HABITABILIDAD Y SANEAMIENTO BÁSICO EN ESTAS ZONAS.</t>
  </si>
  <si>
    <t xml:space="preserve">
CONSTRUIR 3.000 CONEXIONES INTRADOMICILIARIAS EN ACUEDUCTO, EN EL PERÍODO DE GOBIERNO, PARA LA POBLACIÓN MÁS POBRE Y VULNERABLE.
</t>
  </si>
  <si>
    <t>IMPLEMENTAR 15 GRANJAS INTEGRALES DE AUTO ABASTECIMIENTO DURANTE EL PERÍODO DE GOBIERNO.</t>
  </si>
  <si>
    <t xml:space="preserve">APOYAR EL AJUSTE DE LOS PGIRS DEL 40% DE LOS MUNICIPIOS DEL DEPARTAMENTO EN COORDINACIÓN CON EL GESTOR DEL PDA, COMO ESTRATEGIA DE PLANIFICACIÓN TERRITORIAL DE LA GESTIÓN DE RESIDUOS EN EL PERIODO DE GOBIERNO..
</t>
  </si>
  <si>
    <t xml:space="preserve"> 
PROMOVER LA ADQUISICIÓN DE HABILIDADES EN PROCESOS DE MINIMIZACIÓN, SEPARACIÓN EN LA FUENTE Y RECICLAJE A TRAVÉS DE LA SENSIBILIZACIÓN, ASISTENCIA TÉCNICA Y ACOMPAÑAMIENTO A ADMINISTRACIONES MUNICIPALES A 10 COMUNIDADES DEL DEPARTAMENTO EN EL PERIODO DE GOBIERNO
</t>
  </si>
  <si>
    <t>CONSTRUIR 200 OBRAS DE INFRAESTRUCTURA, DURANTE EL PERIODO DE GOBIERNO, PARA PREVENCIÓN, PROTECCIÓN, MITIGACIÓN Y RECUPERACIÓN DE ZONAS EN RIESGO O AFECTADAS POR SITUACIÓN DE EMERGENCIA O DESASTRE.</t>
  </si>
  <si>
    <t>AUMENTAR LA CAPACIDAD DE RESPUESTA EN TRANSPORTE TERRESTRE DE LA RED PÚBLICA HOSPITALARIA DEL DEPARTAMENTO, MEDIANTE LA ADQUISICIÓN DE 120 AMBULANCIAS EN EL CUATRIENIO</t>
  </si>
  <si>
    <t>CAPACITAR A 600 MINEROS QUE MEJOREN EL RECURSO HUMANO DEL SECTOR, DURANTE EL PERIODO 2012-2016.</t>
  </si>
  <si>
    <t>PROMOVER, DURANTE EL PERIODO DE GOBIERNO, LA EXPANSIÓN DE LA COBERTURA DE GAS A 40 MUNICIPIOS DE CUNDINAMARCA, GARANTIZANDO LAS CONEXIONES DE 20.000 FAMILIAS.</t>
  </si>
  <si>
    <t>PROMOVER LA EXPANSIÓN DE ELECTRIFICACIÓN RURAL A 400 HOGARES, DURANTE EL PERIODO 2012-2016.</t>
  </si>
  <si>
    <t>CONSTRUIR DURANTE EL PERIODO DE GOBIERNO 465,000 M2 DE PLACA HUELLAS EN CONCRETO EN LA RED TERCIARIA.</t>
  </si>
  <si>
    <t xml:space="preserve">CONSTRUIR DURANTE LOS PRÓXIMOS CUATRO AÑOS 14.200 M2 DE PUENTES PEATONALES Y VEHICULARES EN LA RED VIAL SECUNDARIA Y TERCIARIA </t>
  </si>
  <si>
    <t xml:space="preserve">REHABILITAR Y/O MANTENER EN BUEN ESTADO DURANTE EL PERIODO DE GOBIERNO 14.710 M2 DE LA RED DE CAMINOS HISTÓRICOS, COLONIALES Y CONTEMPORÁNEAS </t>
  </si>
  <si>
    <t>CONSTRUIR DURANTE EL PERÍODO DE GOBIERNO DOS (2) PARADORES TURÍSTICOS EN LA RED VIAL DEPARTAMENTAL</t>
  </si>
  <si>
    <t>APOYAR, DURANTE EL PERÍODO DE GOBIERNO, LA CONSTRUCCIÓN DE 3 INFRAESTRUCTURA LOGÍSTICA PARA LA PRODUCTIVIDAD.</t>
  </si>
  <si>
    <t>PROMOVER EL POTENCIAL TURÍSTICO DE LOS MUNICIPIOS DURANTE EL CUATRIENIO, CON LA REALIZACIÓN DE 300 EVENTOS</t>
  </si>
  <si>
    <t>IMPLEMENTAR 10 ALIANZAS ESTRATÉGICAS DE INTEGRACIÓN PARA EL DESARROLLO COMPETITIVO DE LA REGIÓN BOGOTÁ - CUNDINAMARCA CON LA PERSPECTIVA DE ASOCIACIÓN CON OTROS DEPARTAMENTOS LIMÍTROFES, EN EL PERIODO DE GOBIERNO.</t>
  </si>
  <si>
    <t>IMPLEMENTAR 13 ALIANZAS ESTRATÉGICAS DE INTEGRACIÓN A ESCALA SUBREGIONAL, EN EL PERIODO DE GOBIERNO, PARA LA DESCONCENTRACIÓN Y ESPECIALIZACIÓN DE LAS VOCACIONES Y POTENCIALIDADES SOCIALES, CULTURALES, AMBIENTALES Y ECONÓMICAS DE LOS TERRITORIOS.</t>
  </si>
  <si>
    <t>COORDINAR CON LA POLICÍA EL AUMENTO DE PIE DE FUERZA EN 40 MUNICIPIOS DEL DEPARTAMENTO PARA GARANTIZAR LA SEGURIDAD, DURANTE EL PERÍODO DE GOBIERNO.</t>
  </si>
  <si>
    <t>IMPLEMETACÓN DE OBSERVATORIO PARA LA SEGURIDAD Y CONVIVENCIA CIUDADANA CON EL PROPÓSITO DE MEJORAR LA CAPACIDAD DE REACCIÓN DE LAS AUTORIDADES QUE PERMITAN REALIZAR UN SEGUIMIENTO Y MONITOREO EN EL DEPARTAMENTO DE CUNDINAMARCA</t>
  </si>
  <si>
    <t>LOGRAR QUE UN CENTRO ESPECIALIZADO DE SERVICIOS FORENCES, FACILITE LOS PROCESOS TÉCNICOS, EN EL PERÍODO DE GOBIERNO ACTUAL</t>
  </si>
  <si>
    <t xml:space="preserve">ASISTIR TÉCNICAMENTE EN TEMAS DE DESARROLLO ORGANIZACIONAL A LAS ENTIDADES DESCENTRALIZADAS QUE LO REQUIERAN. </t>
  </si>
  <si>
    <t>PRESTAR UN MEJOR SERVICIO A LA COMUNIDAD CON EL MEJORAMIENTO, ADECUACIÓN, MANTENIMIENTO Y/O ADQUISICIÓN DE 35 BIENES DEL Y PARA EL DEPARTAMENTO DURANTE EL CUATRIENIO.</t>
  </si>
  <si>
    <t>MEJORAR LA CALIDAD DE VIDA DE AFILIADOS A LA CORPORACIÓN SOCIAL DE CUNDINAMARCA CON COLOCACIÓN DE $ 375.072 MILLONES DURANTE EL CUATRIENIO EN LÍNEAS DE CRÉDITO</t>
  </si>
  <si>
    <t>AMPLIAR LOS ESPACIOS DE GESTIÓN PARA EL DESARROLLO DEL DEPARTAMENTO, CON LA SUSCRIPCIÓN, IMPLEMENTACIÓN Y MONITOREO DE 16 (DIECISÉIS) ACUERDOS DE COOPERACIÓN INTERNACIONAL Y/O NACIONAL, DURANTE EL PERIODO DE GOBIERNO.</t>
  </si>
  <si>
    <t>CONTRIBUIR AL FORTALECIMIENTO DE LAS FINANZAS MUNICIPALES CON 5 ACTUALIZACIONES CATASTRALES.</t>
  </si>
  <si>
    <t xml:space="preserve">ASIGNAR ANUALMENTE COMPUTADORES A 13000 NIÑOS Y NIÑAS DE SEXTO GRADO DE LAS INSTITUCIONES EDUCATIVAS DEL DEPARTAMENTO COMO MECANISMO PARA MEJORAR LA CALIDAD EDUCATIVA DURANTE EL PERIODO DE GOBIERNO </t>
  </si>
  <si>
    <t>LLEGAR A 100.000 CIUDADANOS INCLUIDOS GRUPOS ÉTNICOS, POBLACIÓN EN CONDICIÓN ESPECIAL Y EN CONDICIÓN DE DISCAPACIDAD, PREPARADOS EN EL USO Y APLICACIÓN RESPONSABLE DE LAS TIC COMO MECANISMO PARA FORTALECER LA CAPACIDAD PRODUCTIVA Y PROPICIAR EL USO SANO DEL TIEMPO LIBRE, AMPLIANDO LA PRESENCIA DE CENTROS INTERACTIVOS DE 60 A 116 MUNICIPIOS DEL DEPARTAMENTO.</t>
  </si>
  <si>
    <t>IMPLEMENTAR (1) BODEGA DE DATOS Y ARTICULAR E INTEGRAR EL SISTEMA DE INFORMACIÓN, OBSERVATORIOS E INFORMACIÓN Y DATOS Y CIFRAS SECTORIALES,</t>
  </si>
  <si>
    <t>IMPLEMENTAR 100% SISTEMA SEGER EN EL CUATRENIO PARA CONSULTA Y DECISIÓN OPORTUNA</t>
  </si>
  <si>
    <t>ATENCIÓN INTEGRAL A LOS ADULTOS MAYORES QUE LO REQUIERAN EN EL MARCO DE LA LEY 687 DE 2001, MODIFICADA POR LA LEY 1276 DE 2009 Y LAS DEMÁS QUE LAS MODIFIQUEN.</t>
  </si>
  <si>
    <t>APOYAR TÉCNICA Y FINANCIERAMENTE LA ELABORACIÓN DE LOS ESTUDIOS PARA LA REUBICACIÓN PARCIAL DE VIVIENDAS Y EQUIPAMIENTOS AFECTADOS POR LA QUEBRADA LA NEGRA EN EL MUNICIPIO DE UTICA</t>
  </si>
  <si>
    <t>CONSTRUCCIÓN DE 5 PROYECTOS DEL PROCESO DE REUBICACIÓN PARCIAL POR RIESGO EN EL MUNICIPIO DE UTICA, (1. OBRAS URBANISMO, 2. SERVICIOS PÚBLICOS, 3. VIVIENDA, 4. CENTRO DE SALUD Y 5. UNIDAD EDUCATIVA)</t>
  </si>
  <si>
    <t>APOYAR A LOS 116 MUNICIPIOS PARA EL MEJORAMIENTO DE 5.000 METROS CUADRADOS DE VIAS PEATONALES Y ANDENES DE LA RED VIAL URBANA, DURANTE EL PERIODO DE GOBIERNO.</t>
  </si>
  <si>
    <t>NUMERO DE PLATAFORMAS DE JUVENTUD CREADAS</t>
  </si>
  <si>
    <t>NUMERO DE ESTUDIOS SITUACION DE LOS JOVENES EN EL MARCO DE LOS PROCESOS DE POSTCONFLICTO.</t>
  </si>
  <si>
    <t>UN (1) DOCUMENTO</t>
  </si>
  <si>
    <t>PORCENTAJE DE MUNICIPIOS ASESORADOS</t>
  </si>
  <si>
    <t>PROCESOS CERTIFICADOS EN EDUCACIÓN</t>
  </si>
  <si>
    <t>NUMERO DE ADULTOS MAYORES ATENDIDOS</t>
  </si>
  <si>
    <t>NUMERO DE ESTUDIOS REALIZADOS</t>
  </si>
  <si>
    <t>NUMERO DE PROYECTOS</t>
  </si>
  <si>
    <t>NUMERO DE METROS CUADRADOS DE VIAS PEATONALES Y ANDENES DE LA RED VIAL URBANA.</t>
  </si>
  <si>
    <t>2</t>
  </si>
  <si>
    <t xml:space="preserve">% </t>
  </si>
  <si>
    <t>% Acumulado</t>
  </si>
  <si>
    <t>Fecha de actualización: 31 de Diciembre de 2014.</t>
  </si>
  <si>
    <t>%  Ejec</t>
  </si>
  <si>
    <t>TIC</t>
  </si>
  <si>
    <t>SALUD</t>
  </si>
  <si>
    <t>PLANEACION</t>
  </si>
  <si>
    <t>MOVILIDAD</t>
  </si>
  <si>
    <t>MINAS</t>
  </si>
  <si>
    <t>INTEGRACION_REGIONAL</t>
  </si>
  <si>
    <t>GOBIERNO</t>
  </si>
  <si>
    <t>GENERAL</t>
  </si>
  <si>
    <t>EDUCACION</t>
  </si>
  <si>
    <t>DESARROLLO_SOCIAL</t>
  </si>
  <si>
    <t>CONTROL_INTERNO</t>
  </si>
  <si>
    <t>COMPETITIVIDAD</t>
  </si>
  <si>
    <t>CIENCIA_Y_TECNOLOGIA</t>
  </si>
  <si>
    <t>BOSQUES</t>
  </si>
  <si>
    <t>AMBIENTE</t>
  </si>
  <si>
    <t>AGRICULTURA</t>
  </si>
  <si>
    <t>ACCION_COMUNAL</t>
  </si>
  <si>
    <t>CUATRIENAL</t>
  </si>
  <si>
    <t>TRIENAL</t>
  </si>
  <si>
    <t>BIENAL</t>
  </si>
  <si>
    <t>ANUAL</t>
  </si>
  <si>
    <t>SEMESTRAL</t>
  </si>
  <si>
    <t>TRIMESTRAL</t>
  </si>
  <si>
    <t>GERENTE OBJETIVO 4</t>
  </si>
  <si>
    <t>IMPACTO</t>
  </si>
  <si>
    <t>AUMENTAR EL PROMEDIO DEPARTAMENTAL DEL ÍNDICE DE GOBIERNO ABIERTO AL 60%</t>
  </si>
  <si>
    <t>FORTALECIMIENTO INSTITUCIONAL PARA GENERAR VALOR DE LO PUBLICO</t>
  </si>
  <si>
    <t>AUMENTAR EL PROMEDIO DEPARTAMENTAL DEL ÍNDICE DE DESEMPEÑO FISCAL EN UN 1 PUNTO PORCENTUAL</t>
  </si>
  <si>
    <t>GERENTE OBJETIVO 2</t>
  </si>
  <si>
    <t>SIETE CADENAS PRODUCTIVAS INCREMENTAN EL PIB DEPARTAMENTAL.</t>
  </si>
  <si>
    <t>CONTRIBUIR A CUNDINAMARCA NEUTRA CON LA SIEMBRA DE 1.000.000 DE ÁRBOLES.</t>
  </si>
  <si>
    <t>COMUNIDADES DE CHIPAQUE, CÁQUEZA – LA MESA - ANAPOIMA MEJORAN SUS CONDICIONES DE VIDA, COMO USUARIOS DE 2 ACUEDUCTOS REGIONALES DE FRUTICAS Y LA MESA – ANAPOIMA DURANTE EL CUATRIENIO</t>
  </si>
  <si>
    <t>GERENTE OBJETIVO 1</t>
  </si>
  <si>
    <t>ND</t>
  </si>
  <si>
    <t>NO DE FAMILIAS</t>
  </si>
  <si>
    <t>GRADUAR A 2.000 FAMILIAS EN SUPERACIÓN DE LA POBREZA EXTREMA AL FINALIZAR EL PERÍODO DE GOBIERNO.</t>
  </si>
  <si>
    <t>DESARROLLO SOCIAL</t>
  </si>
  <si>
    <t>REDUCCIÓN</t>
  </si>
  <si>
    <t>LOS 35 MUNICIPIOS CON MAYOR NBI REDUCEN SU NBI EN UN 2%</t>
  </si>
  <si>
    <t>AUMENTAR EL PROMEDIO DEPARTAMENTAL DEL ÍNDICE DE DESEMPEÑO MUNICIPAL EN 3 PUNTOS PORCENTUALES DURANTE EL PERÍODO DE GOBIERNO</t>
  </si>
  <si>
    <t>MANTENER PERCEPCIÓN FAVORABLE DEL GOBIERNO DURANTE EL CUATRIENIO POR ENCIMA DEL 70%</t>
  </si>
  <si>
    <t>AUMENTAR LA CAPACIDAD DE GESTIÓN PARA RESULTADOS DE DESARROLLO (SISTEMA DE EVALUACIÓN PRODEV PARA GOBIERNOS LOCALES BID) A 3.5 PROMEDIO</t>
  </si>
  <si>
    <t>GERENTE OBJETIVO 3</t>
  </si>
  <si>
    <t>ASCENDER UN PUESTO EN EL ESCALAFÓN GLOBAL DE COMPETITIVIDAD DEPARTAMENTAL EN COLOMBIA, PASANDO DEL SÉPTIMO AL SEXTO LUGAR</t>
  </si>
  <si>
    <t>COMPETITIVIDAD, INNOVACION, MOVILIDAD Y REGION</t>
  </si>
  <si>
    <t>MANEJO INTEGRAL DE RESIDUOS SÓLIDOS EN CUATRO PROVINCIAS MAGDALENA CENTRO, UBATÉ, SUMAPAZ Y ORIENTE.</t>
  </si>
  <si>
    <t>LLEGAR A 8,8 BILLONES DE PESOS EN UTILIDADES DE LAS EXPLOTACIONES AGROPECUARIAS DE CUNDINAMARCA DURANTE EL PERÍODO DE GOBIERNO.</t>
  </si>
  <si>
    <t>REDUCIR EN UN 5% EL MAL USO DEL SUELO EN LAS EXPLOTACIONES AGROPECUARIAS PROMOVIENDO SU POTENCIALIDAD, PASANDO DEL 31,9% A 26,9%.</t>
  </si>
  <si>
    <t>INCREMENTAR EN 0,5% LA PARTICIPACIÓN DEL SECTOR AGROPECUARIO EN PIB DEPARTAMENTAL</t>
  </si>
  <si>
    <t>MEDICINA LEGAL Y DE CIENCIAS FORENSES</t>
  </si>
  <si>
    <t>REDUCCCIÓN</t>
  </si>
  <si>
    <t>TASA DE VIOLENCIA CONTRA LA MUJER</t>
  </si>
  <si>
    <t>QUEBRAR LA TENDENCIA ASCENDENTE DE LA VIOLENCIA FÍSICA CONTRA LAS MUJERES POR SU PAREJA</t>
  </si>
  <si>
    <t>TASA DE BAJO PESO AL NACER</t>
  </si>
  <si>
    <t>QUEBRAR LA TENDENCIA ASCENDENTE DEL BAJO PESO AL NACER</t>
  </si>
  <si>
    <t>DANE-Estadísticas vitales</t>
  </si>
  <si>
    <t xml:space="preserve">TASA DE EMBARAZOS EN MENORES DE 18 AÑOS </t>
  </si>
  <si>
    <t>ROMPER LA TENDENCIA ASCENDENTE DE LA TASA DE EMBARAZOS EN MENORES DE 18 AÑOS</t>
  </si>
  <si>
    <t>% DE PERSONAS</t>
  </si>
  <si>
    <t>DISMINUÍR, A MENOS DE 6% LAS PERSONAS EN SITUACIÓN DE POBREZA EXTREMA POR INGRESOS</t>
  </si>
  <si>
    <t>DISMINUÍR, A MENOS DE 20% LAS PERSONAS EN SITUACIÓN DE POBREZA POR INGRESOS</t>
  </si>
  <si>
    <t>INDICE DE DESARROLLO HUMANO</t>
  </si>
  <si>
    <t>ALCANZAR UN ÍNDICE DE DESARROLLO HUMANO (IDH), POR ENCIMA DE 0,87</t>
  </si>
  <si>
    <t>ANGELA ANDREA FORERO</t>
  </si>
  <si>
    <t>PORCENTAJE DE ENTIDADES</t>
  </si>
  <si>
    <t>% ENTIDADES APLICANDO HERRAMIENTAS GERENCIALES DE S Y E</t>
  </si>
  <si>
    <t>RESULTADO</t>
  </si>
  <si>
    <t>SEGUIMIENTO Y EVALUACION PARA MEJOR DESEMPEÑO</t>
  </si>
  <si>
    <t>PLATAFORMA TECNOLOGICA</t>
  </si>
  <si>
    <t>PLATAFORMA TECONOLÓGICA DISPONIBLE</t>
  </si>
  <si>
    <t>CUNDINAMARCA GOBIERNO INTELIGENTE CON DECISIONES INFORMADAS</t>
  </si>
  <si>
    <t>LUIS ALBERTO AYALA</t>
  </si>
  <si>
    <t>PUNTOS PORCENTUALES</t>
  </si>
  <si>
    <t>% DE PENETRACIÓN DE INTERNET</t>
  </si>
  <si>
    <t>TIC EN CUNDINAMARCA</t>
  </si>
  <si>
    <t>Municipios - IDECUT</t>
  </si>
  <si>
    <t>% DE IDENTIFICACIÓN, APROPIACIÓN Y DIFUSIÓN DE VALORES PATRIMONIALES</t>
  </si>
  <si>
    <t>CULTURA E IDENTIDAD CUNDINAMARQUESA</t>
  </si>
  <si>
    <t>INSTANCIAS DE PARTICIPACION</t>
  </si>
  <si>
    <t>LA INSTITUCIÓN DEPARTAMENTAL, LOS GOBIERNOS TERRITORIALES Y LA COMUNIDAD INVOLUCRAN AL 100% ( 4,993 ) DE LAS DIFERENTES INSTANCIAS DE PARTICIPACIÓN EN EL DESARROLLO DE SUS PROGRAMAS Y PROYECTOS GENERANDO CORRESPONSABILIDAD CON PARTICIPACIÓN REAL Y ACTIVA.</t>
  </si>
  <si>
    <t>CUNDINAMARCA CON ESPACIOS DE PARTICIPACION REAL</t>
  </si>
  <si>
    <t>ACCION COMUNAL</t>
  </si>
  <si>
    <t>DNP INDICE DE DSEMPEÑO INTEGRAL DE LOS MUNCIPIOS 2013</t>
  </si>
  <si>
    <t>MUNICIPIOS</t>
  </si>
  <si>
    <t>NO. DE MUNICIPIOS QUE SUPERAN LA CALIFICACIÓN DE 60% EN EL ÍNDICE DE DESEMPEÑO MUNICIPAL</t>
  </si>
  <si>
    <t>EMPODERAMIENTO LOCAL PARA LA EQUIDAD Y LA UNIDAD TERRITORIAL</t>
  </si>
  <si>
    <t>JOHANA VANEGAS</t>
  </si>
  <si>
    <t>PROCURADURIA GENERAL DE LA NACIÓN</t>
  </si>
  <si>
    <t>No DE MUNICIPIOS QUE MEJORAN EL INDICE DE GOBIERNO ABIERTO</t>
  </si>
  <si>
    <t xml:space="preserve">No DE MUNICIPIOS QUE MEJORAN SU INDICE DE DESEMPEÑO FISCAL </t>
  </si>
  <si>
    <t xml:space="preserve">GAFDT-DDTS-DNP. </t>
  </si>
  <si>
    <t>PUESTOS</t>
  </si>
  <si>
    <t>RANKING DE DESEMPEÑO</t>
  </si>
  <si>
    <t>MODERNIZACION DE LA GESTION</t>
  </si>
  <si>
    <t>CALIFICACION</t>
  </si>
  <si>
    <t>CALIFICACIÓN EN CAPACIDAD DE GESTIÓN PARA RESULTADOS DEL DESARROLLO</t>
  </si>
  <si>
    <t>% SATISFACCIÓN DE CLIENTES DE LA GOBERNACIÓN DE CUNDINAMARCA</t>
  </si>
  <si>
    <t>PUESTO EN EL RAQNKING NACIONAL DE TRANSPARENCIA</t>
  </si>
  <si>
    <t>CONTROL INTERNO</t>
  </si>
  <si>
    <t>LA SECRETARIA DE GOBIERNO ESTA CUMPLIENDO CON EL PORCENTAJE DE REDUCCION EN LA META DE GESTION DEL PLAN DE DESARROLLO</t>
  </si>
  <si>
    <t xml:space="preserve">ENTREGA DE LA INFORMACION POR PARTE DE LA ENTIDADES RESPONSABLES (FISCALIA, POLICIA, MEDICIANA LEGAL) </t>
  </si>
  <si>
    <t>31 AGOSTO DE 2014</t>
  </si>
  <si>
    <t>CIRO NELSON OSTOS BUSTO</t>
  </si>
  <si>
    <t>OBSERVATORIO DE LA CONVIVENCIA CIUDADANA DE LA SECRETARIA DE GOBIERNO</t>
  </si>
  <si>
    <t>DELITOS</t>
  </si>
  <si>
    <t>% DE FRECUENCIA DE DELITOS QUE ATENTEN CONTRA LA SEGURIDAD CIUDADANA</t>
  </si>
  <si>
    <t>SEGURIDAD Y CONVIVENCIA CON DERECHOS HUMANOS</t>
  </si>
  <si>
    <t>Ninguna</t>
  </si>
  <si>
    <t>Jefe Oficina de Medios y Nuevas Tecnologías</t>
  </si>
  <si>
    <t>Secretaría de Educación</t>
  </si>
  <si>
    <t xml:space="preserve">NÚMERO DE ESTUDIANTES PROMEDIO POR COMPUTADOR EN LAS INSTITUCIONES DEL DEPARTAMENTO </t>
  </si>
  <si>
    <t>ESQUEMA</t>
  </si>
  <si>
    <t>ESQUEMA ASOCIATIVO CONSTITUIDO</t>
  </si>
  <si>
    <t>INTEGRACION REGIONAL</t>
  </si>
  <si>
    <t>NO SE REPORTA NINGUNA DIFICULTAD</t>
  </si>
  <si>
    <t>LEIDY VARGAS</t>
  </si>
  <si>
    <t>DESTINOS</t>
  </si>
  <si>
    <t>DESTINOS TURÍSTICOS POSICIONADOS</t>
  </si>
  <si>
    <t>TURISMO REGIONAL</t>
  </si>
  <si>
    <t>PUESTO</t>
  </si>
  <si>
    <t>RANKING DE COMPETITIVIDAD EN CIENCIA Y TECNOLOGÍA</t>
  </si>
  <si>
    <t>CUNDINAMARCA INNOVADORA CON CIENCIA Y TECNOLOGIA</t>
  </si>
  <si>
    <t>CIENCIA Y TECNOLOGIA</t>
  </si>
  <si>
    <t>RICARDO ANDRES CRUZ</t>
  </si>
  <si>
    <t>CORREDORES</t>
  </si>
  <si>
    <t>CORREDORES VIA</t>
  </si>
  <si>
    <t>3 CORREDORES VIALES INTEGRAN EL TERRITORIO Y MEJORAN LA MOVILIDAD EN EL DEPARTAMENTO Y LA REGIÓN.</t>
  </si>
  <si>
    <t>INFRAESTRUCTURA Y SERVICIOS PARA LA COMPETITIVIDAD Y LA MOVILIDAD</t>
  </si>
  <si>
    <t>Los entes municipales no informan al Instituto, los avances de las obras realizadas en tiempo real, lo que imposibilita generar un control, seguimiento y su posterior trazabilidad, para cada uno de los frentes de obra.</t>
  </si>
  <si>
    <t>RED VIAL EN OPTIMAS CONDICIONES</t>
  </si>
  <si>
    <t>INCREMENTAR A 50 % LA RED VIAL DEPARTAMENTAL EN ÓPTIMAS CONDICIONES DE TRANSITABILIDAD.</t>
  </si>
  <si>
    <t>FAMILIAS</t>
  </si>
  <si>
    <t>MEJORAR LA ECONOMÍA DE 10.000 FAMILIAS CON EL AHORRO DEL 30% DEL COSTO MENSUAL DEL SERVICIO DE GAS DOMICILIARIO.</t>
  </si>
  <si>
    <t>MINERIA Y ENERGIA RESPONSABLE PARA CUNDINAMARCA</t>
  </si>
  <si>
    <t>NUEVAS VIVIENDAS CON SERVICIO DE ENERGIA</t>
  </si>
  <si>
    <t>DEFÍCIT DE ELECTRIFICACIÓN RURAL</t>
  </si>
  <si>
    <t>DISMINUIR EL DÉFICIT DE ELECTRIFICACIÓN RURAL Y URBANA EN UN 2% DE UNIDADES FAMILIARES EN EL DEPARTAMENTO.( DE 10.000 FAMILIAS</t>
  </si>
  <si>
    <t xml:space="preserve">MINAS </t>
  </si>
  <si>
    <t>PROMOVER ESTRATEGIAS PARA REDUCIR EN UN 16% LA INFORMALIDAD E ILEGALIDAD EN LA EXPLOTACIÓN MINERA DE CARBÓN EN CUNDINAMARCA, DURANTE EL PERIODO DE GOBIERNO.</t>
  </si>
  <si>
    <t>Sistema Estadistico de Comercio Exterior (SIEX) y DANE</t>
  </si>
  <si>
    <t>MILLONES DE DOLARES</t>
  </si>
  <si>
    <t>VALOR DE EXPORTACIONES ANUALES</t>
  </si>
  <si>
    <t>CUNDINAMARCA DINAMICA ATRACTIVA E INTERNACIONAL</t>
  </si>
  <si>
    <t>CRESCENCIO MARTINEZ</t>
  </si>
  <si>
    <t>CEPAL</t>
  </si>
  <si>
    <t>RANKING DE COMPETITIVIDAD EN FORTALEZA ECONÓMICA</t>
  </si>
  <si>
    <t>CUNDINAMARCA COMPETITIVA, EMPRENDEDORA Y EMPRESARIAL</t>
  </si>
  <si>
    <t>Unidad Administrativa Especial Bosques de Cundinamarca</t>
  </si>
  <si>
    <t>HECTAREAS</t>
  </si>
  <si>
    <t xml:space="preserve"># DE HECTÁREAS CON PLANTACIONES FORESTALES PRODUCTIVAS </t>
  </si>
  <si>
    <t>CUNDINAMARCA VERDE: CALIDAD DE VIDA</t>
  </si>
  <si>
    <t>% DE AUMENTO DE LA CAPACIDAD DE ADAPTACIÓN AL CAMBIO Y VARIABILIDAD CLIMÁTICA</t>
  </si>
  <si>
    <t>GESTION DEL RIESGO Y ADAPTACION AL CAMBIO Y VARIABILIDAD CLIMATICA</t>
  </si>
  <si>
    <t>PROVINCIAS</t>
  </si>
  <si>
    <t># PROVINCIAS CON MANEJO EN LA GESTIÓN INTEGRAL DEL RIESGO</t>
  </si>
  <si>
    <t>JOSÉ ANTONIO PULIDO</t>
  </si>
  <si>
    <t>RSNM</t>
  </si>
  <si>
    <t>TONELADAS</t>
  </si>
  <si>
    <t xml:space="preserve"># TONELADAS DE RESIDUOS DIARIAS SE DISPONEN EN LOS RELLENOS SANITARIOS DE CUNDINAMARCA. </t>
  </si>
  <si>
    <t>GESTION INTEGRAL DE RESIDUOS SOLIDOS</t>
  </si>
  <si>
    <t>SECRETARIA AGRICULTURA</t>
  </si>
  <si>
    <t xml:space="preserve">NUMERO DE FAMILIAS ATENDIDAS CON PROGRAMAS DE BIENES Y SERVICIOS PRODUCTIVOS. </t>
  </si>
  <si>
    <t>DESARROLLO RURAL INTEGRAL</t>
  </si>
  <si>
    <t>URPA</t>
  </si>
  <si>
    <t>NUMERO DE TONELADAS DE ALIMENTOS PRODUCIDOS ANUALMENTE.</t>
  </si>
  <si>
    <t>DESARROLLO COMPETITIVO DEL SECTOR AGROPECUARIO</t>
  </si>
  <si>
    <t xml:space="preserve"># DE HAS ESPECIALIZADAS Y/O RENOVADAS EN CULTIVOS RELACIONADOS CON LAS CADENAS PRODUCTIVAS AGROPECUARIAS (INDICADOR BASE: 30.000 HAS EQUIVALENTES AL 11,4% DEL TOTAL DE HAS CULTIVADAS). </t>
  </si>
  <si>
    <t>No se cuenta con una fuente de información oficial que suministre datos de cobertura departamental actualizados</t>
  </si>
  <si>
    <t>JACKELINE MENESES</t>
  </si>
  <si>
    <t>PERSONAS</t>
  </si>
  <si>
    <t xml:space="preserve"># DE HABITANTES NUEVOS CON COBERTURA DE ALCANTARILLADO EN ZONAS URBANAS Y CENTROS POBLADOS </t>
  </si>
  <si>
    <t>AGUA POTABLE Y SANEAMIENTO BASICO PARA LA SALUD DE LOS CUNDINAMARQUESES</t>
  </si>
  <si>
    <t xml:space="preserve">NUMERO DE HABITANTES NUEVOS CON COBERTURA DE AGUA POTABLE (CALIDAD Y CONTINUIDAD) EN ZONAS URBANAS, RURALES Y CENTROS POBLADOS </t>
  </si>
  <si>
    <t>AMPARO CARRILLO</t>
  </si>
  <si>
    <t xml:space="preserve">NUMERO DE TONELADAS DE CO2 DE LA HUELLA DE CARBONO COMPENSADAS. </t>
  </si>
  <si>
    <t>BIENES Y SERVICIOS AMBIENTALES PATRIMONIO DE CUNDINAMARCA</t>
  </si>
  <si>
    <t>NUMERO DE HECTÁREAS PROTEGIDAS GARANTIZANDO LA DISPONIBILIDAD DE RECURSO HÍDRICO</t>
  </si>
  <si>
    <t>INICIATIVAS</t>
  </si>
  <si>
    <t>NUMERO DE INICIATIVAS DE INTEGRACIÓN REGIONAL CONSOLIDADAS.</t>
  </si>
  <si>
    <t>TERRITORIO SOPORTE PARA EL DESARROLLO</t>
  </si>
  <si>
    <t>LAS ENTIDADES TERRITORIALES ESTAN CUMPLIENDO CON LAS LEY 1448 DE APLICACIÓN DEPARTAMENTO PARA LA ATENCION DE LAS VCA.</t>
  </si>
  <si>
    <t>LA FALTA DE UNA BASE DE DATOS NACIONAL PARA EVITAR LA DUPLICIDAD DE LA VICTIMAS EN EL DEPARTAMENTO.</t>
  </si>
  <si>
    <t>EDNA PULIDIO</t>
  </si>
  <si>
    <t>NO. DE MUNICIPIOS QUE RESTITUYEN DERECHOS Y MEJORAN CALIODAD DE VIDA DE LAS VÍCTIMAS DEL CONFLICTO ARMADO</t>
  </si>
  <si>
    <t>VICTIMAS DEL CONFLICTO ARMADO CON GARANTIA DE DERECHOS</t>
  </si>
  <si>
    <t>NO. DE MUNICIPIOS CON MEJORES AMBIENTES FÍSICOS PARA LA PRESTACIÓN DE SERVICIOS SOCIALES</t>
  </si>
  <si>
    <t>EQUIPAMIENTO SOCIAL PARA EL DESARROLLO INTEGRAL</t>
  </si>
  <si>
    <t>ANA LEONOR GANTIVAR</t>
  </si>
  <si>
    <t>% DE MUJERES EMPODERADAS Y FORTALECIDASINTEGRALMENTE</t>
  </si>
  <si>
    <t>MUJERES LIDERES Y LIBRES DE VIOLENCIA</t>
  </si>
  <si>
    <t xml:space="preserve">DESARROLLO SOCIAL </t>
  </si>
  <si>
    <t>PORCENTAJE DE MUNICIPIOS</t>
  </si>
  <si>
    <t>% DE ENTIDADES QUE MEJORAN LOS RESULTADOS DE LOS INDICADORES TRAZADORES EN EL ASEGURAMIENTO Y LA PRESTACIÓN DE SERVICIOS DE SALUD</t>
  </si>
  <si>
    <t>FAMILIAS FORJADORAS DE SOCIEDAD</t>
  </si>
  <si>
    <t>FIDEL TORRES TOVAR</t>
  </si>
  <si>
    <t>NO. DE FAMILIAS CON ACOMPANAMIENTO INSTITUCIONAL, FAMILIAR Y COMUNITARIO</t>
  </si>
  <si>
    <t>IDENTIFICAR LA POBLACIÓN BENEFICIADA POR CADA PROGRAMA PARA NO DUPLICAR COBERTURAS.</t>
  </si>
  <si>
    <t>MAURICIO ROMERO</t>
  </si>
  <si>
    <t>INSTITUTO DEPARTAMENTAL PARA LA RECREACIÓN Y EL DEPORTE DE CUNDINAMRCA</t>
  </si>
  <si>
    <t>NO. DE FAMILIAS BENEFICIADAS CON EL PROGRAMA "DEPORTE, CONVIVENCIA Y PAZ"</t>
  </si>
  <si>
    <t>No. de familias atendidas en el cuatrienio</t>
  </si>
  <si>
    <t>Atender en el cuatrienio a 21,000 familias de la red unidos con sinergia de sectores</t>
  </si>
  <si>
    <t>NINGUNA</t>
  </si>
  <si>
    <t>UNIDAD ADMINISTRATIVA ESPECIAL DE VIVIENDA SOCIAL</t>
  </si>
  <si>
    <t>NO DE FAMILIAS CON VIVIENDA NUEVA O MEJORADA EN EL CUATRIENIO</t>
  </si>
  <si>
    <t xml:space="preserve">VIVIENDA </t>
  </si>
  <si>
    <t>La Proyección de población de adultos mayores para el 2013 era de 148.100 el 5 % de población a atender para cada año es 7.405</t>
  </si>
  <si>
    <t>FLOR ANGELA GARZON SANCHEZ</t>
  </si>
  <si>
    <t>PORCENTAJE</t>
  </si>
  <si>
    <t>NO DE ADULTOS MAYORES QUE PARTICIPAN ANUALMENTE EN ACTIVIDADES LÚDICAS, CULTURALES Y DEPORTIVAS</t>
  </si>
  <si>
    <t>POTENCIALIZAR HABILIDADES Y DESTREZAS EN EL 5% (7.405) DE LAS PERSONAS ADULTAS MAYORES CON Y SIN DISCAPACIDAD COMO USUARIOS DE PROGRAMAS CULTURALES, RECREATIVOS Y LÚDICOS CADA AÑO</t>
  </si>
  <si>
    <t>VEJEZ DIVINO TESORO</t>
  </si>
  <si>
    <t>LA CONSOLIDACION DE LA INFORMACIÓN SE DA CASI AL CIEERRE DEL TRIMESTRE SIGUIENTE</t>
  </si>
  <si>
    <t>MUERTES</t>
  </si>
  <si>
    <t>NO. DE MUERTES DE ADUTOS MAYORES EN ACCIDENTES DE TRÁNSITO EN EL CUATRIENIO</t>
  </si>
  <si>
    <t>REDUCIR EN EL CUATRIENIO EN 10% LAS MUERTES POR ACCIDENTES DE TRÁNSITO EN ADULTOS MAYORES</t>
  </si>
  <si>
    <t>HOMICIDIOS</t>
  </si>
  <si>
    <t>NO. DE HOMICIDIOS EN ADULTOS MAYORES EN EL CUATRIENIO</t>
  </si>
  <si>
    <t>ADULTOS</t>
  </si>
  <si>
    <t>NO DE ADULTOS QUE PARTICIPAN ANUALMENTE EN ACTIVIDADES LÚDICAS, CULTURALES Y DEPORTIVAS</t>
  </si>
  <si>
    <t>ADULTAS Y ADULTOS CON EQUIDAD</t>
  </si>
  <si>
    <t>NO. DE MUERTES DE ADULTOS EN ACCIDENTES DE TRÁNSITO EN EL CUATRIENIO</t>
  </si>
  <si>
    <t>REDUCIR EN EL CUATRIENIO EN 10% LAS MUERTES POR ACCIDENTES DE TRÁNSITO EN ADULTOS</t>
  </si>
  <si>
    <t>No. de homicidios de adultos en el cuatrienio</t>
  </si>
  <si>
    <t>Reducir en el cuatrienio en mínimo 10% las muertes por homicidio en adultos</t>
  </si>
  <si>
    <t>ADULTOS CON EQUIDAD</t>
  </si>
  <si>
    <t>ANDREA MATIAS MENDOZA</t>
  </si>
  <si>
    <t>ÍNDICE DE FLORECIMIENTO JUVENIL</t>
  </si>
  <si>
    <t>JOVENES CONSTRUCTORES DE PAZ</t>
  </si>
  <si>
    <t>La Proyección de población de jovenes para el 2013 era de 225.195 el 35 % de población a atender para cada año es 78.818</t>
  </si>
  <si>
    <t>JOVENES</t>
  </si>
  <si>
    <t>% DE JÓVENES QUE PARTICIPAN ANUALMENTE EN DINÁMICAS INTEGRALES</t>
  </si>
  <si>
    <t>LOGRAR QUE ANUALMENTE EL 35%(78.810 JOVENES) DE LAS Y LOS JÓVENES PARTICIPEN DE DINÁMICAS INTEGRALES (CULTURALES, DEPORTIVAS, AMBIENTALES, EMPRENDIMIENTO, EDUCATIVAS)</t>
  </si>
  <si>
    <t>NO. DE PROVINCIAS EN DONDE EXISTEN JCP DESARROLLANDO PROYECTOS SOCIALES.</t>
  </si>
  <si>
    <t>MUER</t>
  </si>
  <si>
    <t>NO. DE MUERTES DE JÓVENES EN ACCIDENTES DE TRÁNSITO</t>
  </si>
  <si>
    <t>REDUCIR EN EL CUATRIENIO EN 10% LAS MUERTES POR ACCIDENTES DE TRÁNSITO EN JÓVENES</t>
  </si>
  <si>
    <t>ROSA AGUDELO</t>
  </si>
  <si>
    <t>COMANDANCIA DE INFANCIA Y ADOLESCENCIA DEL DEPARTAMENTO DE CUNDINAMARCA</t>
  </si>
  <si>
    <t>NO. DE HOMICIDIOS EN JÓVENES EN EL CUATRIENIO</t>
  </si>
  <si>
    <t>SUBDIRECCIÓN DE INFANCIA, ADOLESCENCIA Y FAMILIA (FIDEL TORRES TOVAR)</t>
  </si>
  <si>
    <t>PORCENTAJE DE REUNIONES</t>
  </si>
  <si>
    <t>% DE REUNIONES DE CPS CON ASISTENCIA DE ADOLESCENTES EN EL CUATRIENIO</t>
  </si>
  <si>
    <t>VIVE Y CRECE ADOLESCENCIA</t>
  </si>
  <si>
    <t>Jefe Oficina Asesora de Planeación</t>
  </si>
  <si>
    <t>TASA DE COBERTURA BRUTA EN EDUCACIÓN MEDIA</t>
  </si>
  <si>
    <t>PORCENTAJE DE INSTITUCIONES</t>
  </si>
  <si>
    <t>% DE INSTITUCIONES EDUCATIVAS CON PROCESOS MEJORADOS</t>
  </si>
  <si>
    <t>9 de Septiembred e 2014</t>
  </si>
  <si>
    <t>Asesor Despacho (Dirección de Calidad Educativa)</t>
  </si>
  <si>
    <t>ICFES</t>
  </si>
  <si>
    <t>AREAS</t>
  </si>
  <si>
    <t>NO. DE ÁREAS EVALUADAS QUE MEJORAR SU DESEMPEÑO EN 2 PUNTOS°</t>
  </si>
  <si>
    <t>MEJORAR EN EL CUATRIENIO, EL PROMEDIO DE DESEMPEÑO DE LAS PRUEBAS SABER DEL GRADO NOVENO DE LAS INSTITUCIONES EDUCATIVAS OFICIALES EN 2 PUNTOS EN CADA ÁREA EVALUADA ( 3 AREAS )</t>
  </si>
  <si>
    <t>La Proyección de población de adolescentes para el 2013 era de 118.387 el 35 % de población a atender para cada año es 82.355</t>
  </si>
  <si>
    <t>VICTOR JULIO SANDOVAL ZAMUDIO</t>
  </si>
  <si>
    <t>ADOLESCENTES</t>
  </si>
  <si>
    <t>No DE ADOLESCENTES QUE PARTICIPAN ANUALMENTE EN ACTIVIDADES LÚDICAS, CULTURALES Y DEPORTIVAS</t>
  </si>
  <si>
    <t>NO. DE MUERTES DE ADOLESCENTES EN ACCIDENTES DE TRÁNSITO DURANTE EL CUATRIENIO</t>
  </si>
  <si>
    <t>LA FALTA DE COORDINACION DE LA POLICIA DEPARTAMENTAL CON LOS PROCESOS DE INFANCIA Y ADOLESCENCIA</t>
  </si>
  <si>
    <t>NO. DE HOMICIDIOS DE ADOLESCENTES EN EL CUATRIENIO</t>
  </si>
  <si>
    <t>% DE REUNIONES DEL CPS CON ASISTENCIA DE LOS INFANTES DURANTE EL CUATRIENIO</t>
  </si>
  <si>
    <t>ALIANZA POR LA INFANCIA</t>
  </si>
  <si>
    <t>DAVID ALBERTO CORREA CASTILLO</t>
  </si>
  <si>
    <t>NIÑ@S</t>
  </si>
  <si>
    <t>FOMENTAR HABILIDADES Y DESTREZAS CON ACTIVIDADES LÚDICAS, CULTURALES Y DEPORTIVAS EN EL 35% (81.390 NIÑ@S)DE LOS NIÑOS Y NIÑAS DE 6 A 11 AÑOS</t>
  </si>
  <si>
    <t>NO. DE ÁREA EVALUADAS QUE MEJORAN SU DESEMPEÑO EN 2 PUNTOS</t>
  </si>
  <si>
    <t>MEJORAR EN EL CUATRIENIO EL PROMEDIO DE DESEMPEÑO EN LAS PRUEBAS SABER DEL GRADO 5° DE LAS INSTITUCIONES EDUCATIVAS OFICIALES EN DOS PUNTOS POR CADA ÁREA EVALUADA (3 )</t>
  </si>
  <si>
    <t>Ministerio de Educación Nacional</t>
  </si>
  <si>
    <t>TASA DE DESERCIÓN ESCOLAR</t>
  </si>
  <si>
    <t>COBERTURA</t>
  </si>
  <si>
    <t>TASA DE COBERTURA BRUTA EN BÁSICA PRIMARIA</t>
  </si>
  <si>
    <t>TASA DE COBERTURA BRUTA EN TRANSICIÓN</t>
  </si>
  <si>
    <t>NO. DE MUERTES DE NIÑOS Y NIÑAS DE 6 A 11 AÑOS EN ACCIDENTES DE TRÁNSITO</t>
  </si>
  <si>
    <t>NO. DE HOMICIDIOS EN NIÑOS Y NIÑAS DE 6 A 11 AÑOS EN EL CUATRIENIO</t>
  </si>
  <si>
    <t>% DE REUNIONES DEL CPS CON ASISTENCIA DE NIÑOS EN EL CUATRIENIO</t>
  </si>
  <si>
    <t xml:space="preserve">INICIO PAREJO DE LA VIDA </t>
  </si>
  <si>
    <t>La Proyección de población de niñ@as de 0 a 5 años para el 2012 era de 116.486 el 15 % de población a atender para cada año es 17.472</t>
  </si>
  <si>
    <t>No DE NIÑOS Y NIÑAS DE 0 A 5 AÑOS QUE PARTICIPAN ANUALMENTE EN ACTIVIDADES LÚDICAS Y CULTURALES</t>
  </si>
  <si>
    <t>DIANA PAOLA GARCIA</t>
  </si>
  <si>
    <t>% DE DESNUTRICIÓN CRÓNICA EN MENORES DE 6 AÑOS</t>
  </si>
  <si>
    <t>% DE DESNUTRICIÓN GLOBAL EN MENORES DE 6 AÑOS</t>
  </si>
  <si>
    <t>DANE</t>
  </si>
  <si>
    <t>TASA X MIL NACIDOS VIVOS</t>
  </si>
  <si>
    <t>TASA DE MORTALIDAD DE NIÑOS Y NIÑAS DE 0 A 5 AÑOS</t>
  </si>
  <si>
    <t>% DE DESNUTRICIÓN AGUDA EN MENORES DE 6 AÑOS</t>
  </si>
  <si>
    <t>REDUCIR EN EL CUATRIENIO LA PREVALENCIA DE DESNUTRICIÓN AGUDA EN NIÑOS Y NIÑAS MENORES DE 6 AÑOS AL 3%</t>
  </si>
  <si>
    <t>RAZON DE MORTALIDAD MATERNA</t>
  </si>
  <si>
    <t>RAZÓN DE MORTALIDAD MATERNA</t>
  </si>
  <si>
    <t>TASA DE MORTALIDAD INFANTIL</t>
  </si>
  <si>
    <t>INMLCF - INSTITUTO NACIONAL DE MEDICIONA LEGAL Y CIENCIAS FORENSES</t>
  </si>
  <si>
    <t>NO. DE MUERTES EN ACCIDENTES DE TRÁNSITO EN NIÑOS Y NIÑAS DE 0 A 5 AÑOS</t>
  </si>
  <si>
    <t>REDUCIR EN EL CUATRIENIO EN 20% ( 10 MUERTES) LAS MUERTES POR ACCIDENTES DE TRÁNSITO EN NIÑOS Y NIÑAS DE 0 A 5 AÑOS</t>
  </si>
  <si>
    <t>NUMERO DE HOMICIDIO EN NIÑOS Y NIÑAS DE 0 A 5 AÑOS EN EL CUATRIENIO</t>
  </si>
  <si>
    <t>REDUCIR EN EL CUATRIENIO EN 50% (4 CASOS DE HOMICIDIOS) LAS MUERTES POR HOMICIDIO EN NIÑOS Y NIÑAS DE 0 A 5 AÑOS</t>
  </si>
  <si>
    <t>Meta 18</t>
  </si>
  <si>
    <t>Meta 17</t>
  </si>
  <si>
    <t>Meta 16</t>
  </si>
  <si>
    <t>Meta 15</t>
  </si>
  <si>
    <t>Meta 14</t>
  </si>
  <si>
    <t>Meta 13</t>
  </si>
  <si>
    <t>Meta 12</t>
  </si>
  <si>
    <t>Meta 11</t>
  </si>
  <si>
    <t>Meta 10</t>
  </si>
  <si>
    <t>Meta 9</t>
  </si>
  <si>
    <t>Meta 8</t>
  </si>
  <si>
    <t>Meta 7</t>
  </si>
  <si>
    <t>Meta 6</t>
  </si>
  <si>
    <t>Meta 5</t>
  </si>
  <si>
    <t>Meta 4</t>
  </si>
  <si>
    <t>Meta 3</t>
  </si>
  <si>
    <t>Meta 2</t>
  </si>
  <si>
    <t>Meta 1</t>
  </si>
  <si>
    <t>Valle 2015</t>
  </si>
  <si>
    <t>Valle 2014</t>
  </si>
  <si>
    <t>Valle 2013</t>
  </si>
  <si>
    <t>Valle 2012</t>
  </si>
  <si>
    <t>Santander 2015</t>
  </si>
  <si>
    <t>Santander 2014</t>
  </si>
  <si>
    <t>Santander 2013</t>
  </si>
  <si>
    <t>Santander 2012</t>
  </si>
  <si>
    <t>Boyaca 2015</t>
  </si>
  <si>
    <t>Boyaca 2014</t>
  </si>
  <si>
    <t>Boyaca 2013</t>
  </si>
  <si>
    <t>Boyaca 2012</t>
  </si>
  <si>
    <t>Bogotá D.C. 2015</t>
  </si>
  <si>
    <t>Bogotá D.C. 2014</t>
  </si>
  <si>
    <t>Bogotá D.C. 2013</t>
  </si>
  <si>
    <t>Bogotá D.C. 2012</t>
  </si>
  <si>
    <t>Atlántico 2015</t>
  </si>
  <si>
    <t>Atlántico 2014</t>
  </si>
  <si>
    <t>Atlántico 2013</t>
  </si>
  <si>
    <t>Atlántico 2012</t>
  </si>
  <si>
    <t>Antioquia 2015</t>
  </si>
  <si>
    <t>Antioquia 2014</t>
  </si>
  <si>
    <t>Antioquia 2013</t>
  </si>
  <si>
    <t>Antioquia 2012</t>
  </si>
  <si>
    <t>Nación_2015</t>
  </si>
  <si>
    <t>Nación_2014</t>
  </si>
  <si>
    <t>Nación_2013</t>
  </si>
  <si>
    <t>Nación_2012</t>
  </si>
  <si>
    <t>Análisis del Indicador</t>
  </si>
  <si>
    <t>Dificultades para la medición</t>
  </si>
  <si>
    <t>FECHA ÚLTIMA ACTUALIZACION</t>
  </si>
  <si>
    <t>FUNCIONARIO RESPONSBLE</t>
  </si>
  <si>
    <t>Periodo de Actualización</t>
  </si>
  <si>
    <t>FUENTE (Entidad que calcula)</t>
  </si>
  <si>
    <t>VALOR_INDICADOR_2015</t>
  </si>
  <si>
    <t>VALOR_INDICADOR_2014</t>
  </si>
  <si>
    <t>VALOR_INDICADOR_2013</t>
  </si>
  <si>
    <t>VALOR_ INDICADOR _2012</t>
  </si>
  <si>
    <t>V/ ESPERADO_2015</t>
  </si>
  <si>
    <t>AÑO CALCULO</t>
  </si>
  <si>
    <t>LINEA BASE_2011</t>
  </si>
  <si>
    <t>T. INDICADOR</t>
  </si>
  <si>
    <t>U. DE MEDIDA</t>
  </si>
  <si>
    <t>NOMBRE DEL INDICADOR</t>
  </si>
  <si>
    <t>T. META</t>
  </si>
  <si>
    <t>DESCRIPCION META</t>
  </si>
  <si>
    <t>ING. EDWIN GARCIA - JEFE DE OFICINA DE SEGURIDAD VIAL Y COMPORTAMIENTO DEL TRANSITO</t>
  </si>
  <si>
    <t>LA MEDICIÓN DEL INDICADOR SE REALIZA ANULAMENTE A FINAL DE AÑO, RAZÓN POR LA CUAL PARA EL AÑO 2014 AÚN NO SE CUENTA CON DATOS.</t>
  </si>
  <si>
    <t>Diciembre 6 de 2014</t>
  </si>
  <si>
    <t xml:space="preserve">EL ESTABLECIMIENTO DEL COMPARATIVO CON LOS DEPARTAMENTOS DE REFERENCIA DADO QUE SE DESCONOCE SI HAY ALGUNA LINEA DE BASE POR ELLOS ESTABLECIDA EN LOS TÉRMINOS PLANTEADOS POR EL DEPARTAMENTO DE CUNDINAMARCA. </t>
  </si>
  <si>
    <t xml:space="preserve">INMLCF - INSTITUTO NACIONAL DE MEDICIONA LEGAL Y CIENCIAS FORENSES </t>
  </si>
  <si>
    <t>YESID ORLANDO DIAZ GARZON</t>
  </si>
  <si>
    <t xml:space="preserve">9 DE ENERO DE 2015 </t>
  </si>
  <si>
    <t>SECRETARIA DE INTEGRACIÓN REGIONAL</t>
  </si>
  <si>
    <t>FREDY WILLIAM SANCHEZ</t>
  </si>
  <si>
    <t xml:space="preserve">JADIR VALENZUELA </t>
  </si>
  <si>
    <t>SE ESTA ESPERANDO INFORME DE LA AGENCIA NACIONAL DE MINERIA INDICANDO CUANTAS MINAS SE LEGALIZARON EN EL 2014,</t>
  </si>
  <si>
    <t>JAHIR ANDRES HERNANDEZ</t>
  </si>
  <si>
    <t xml:space="preserve">EXISTE UNA GRA DEPENDENCIA DE LAS DECISIONES DE LOS MINEROS DE QUERER LEGALIZARSE Y DE LA GESTIÓN DE TRAMITES DE LA AGENCIA NACIONAL MINERA. </t>
  </si>
  <si>
    <t>INFORMES DE CONVENIOS EJECUTADOS, QUE REPOSAN EN LA SECRETARIA DE MINAS Y ENERGÍA DE CUNDINAMARCA.</t>
  </si>
  <si>
    <t>CENTRO DE PENSAMIENTO
EN ESTRATEGIAS
COMPETITIVAS - CEPEC</t>
  </si>
  <si>
    <t>NA</t>
  </si>
  <si>
    <t>20 DE OCTUBRE DE 2014</t>
  </si>
  <si>
    <t xml:space="preserve"> INDICE DEPARTAMENTAL DE COMPETITIVIDAD, EN EL CUAL SE ESTABLECEN 10 PILARES SIENDO EL NO. 10. INNOVACION Y DINÁMICA EMPRESARIAL, EL CUAL MIDE EL DESEMPEÑO DE LOS DEPARTAMENTOS EN ÁREAS COMO CAPACIDAD Y CALIDAD DE LA INVESTIGACIÓN CIENTÍFICA, INVERSIÓN EN ACTI, UTILIZACIÓN DE MECANISMOS DE PROTECCIÓN DE PROPIEDAD INDUSTRIAL, DENSIDAD Y CRECIMIENTO EMPRESARIAL, ENTRE OTRAS.</t>
  </si>
  <si>
    <t>FEDY WILLIAM SANCHEZ</t>
  </si>
  <si>
    <t>Se constituyó la Región Administrativa y de Planeación Especial – RAPE – entre Bogotá Distrito Capital y los departamentos de Cundinamarca, Boyacá, Meta y Tolima.La consolidación de la RAPE Región Central va más allá de ser un simple ejercicio de planificación, para posicionarse como una apuesta por el desarrollo económico y social del territorio. La RAPE busca consolidar un modelo de desarrollo caracterizado por la inclusión social, el conocimiento, el reconocimiento a la diferencia poblacional, de género, étnica y territorial, al tiempo que avanza en la disminución de la pobreza, el restablecimiento de los derechos de las víctimas del conflicto armado como contribución a la construcción de paz.</t>
  </si>
  <si>
    <t>DISMINUIR EL ÍNDICE DE ESTUDIANTES POR COMPUTADOR EN LAS INSTITUCIONES DEL DEPARTAMENTO DE UNO POR CADA 21 A UNO POR CADA 10 ESTUDIANTES EN EL PERIODO DE GOBIERNO.</t>
  </si>
  <si>
    <t>ANGELA MARIA DEL PILAR REYES</t>
  </si>
  <si>
    <t>NO SE REPORTO NINGUAN DIFICULTAD PARA DICHA MEDICIÓN.</t>
  </si>
  <si>
    <t xml:space="preserve"># PROVINCIAS ATENDIDAS </t>
  </si>
  <si>
    <t xml:space="preserve">Numero </t>
  </si>
  <si>
    <t xml:space="preserve">DEPARTAMENTO </t>
  </si>
  <si>
    <t>ARBOLES SEMBRADOS</t>
  </si>
  <si>
    <t>ARBOLES</t>
  </si>
  <si>
    <t>Secretaria de planeación</t>
  </si>
  <si>
    <t>LUIS FRANCISCO HUERFANO</t>
  </si>
  <si>
    <t>META NETA 2012</t>
  </si>
  <si>
    <t>META ACUMULADA 2012</t>
  </si>
  <si>
    <t>META NETA 2013</t>
  </si>
  <si>
    <t>META ACUMULADA 2013</t>
  </si>
  <si>
    <t>META NETA 2014</t>
  </si>
  <si>
    <t>META ACUMULADA 2014</t>
  </si>
  <si>
    <t>META NETA 2015</t>
  </si>
  <si>
    <t>META ACUMULADA 2015</t>
  </si>
  <si>
    <t>PROGRAMACION</t>
  </si>
  <si>
    <t>PROG _ ACUMULADO</t>
  </si>
  <si>
    <t>PROGRAMACIÓN_ANUAL</t>
  </si>
  <si>
    <t>Ejec. Acumulada</t>
  </si>
  <si>
    <t xml:space="preserve">Falta de una herramienta adecuada para llevar a cabo la aplicación y tabulación de la encuesta de satisfacción. </t>
  </si>
  <si>
    <t xml:space="preserve">SECRETARIA GENERAL DE LA GOBERNACIÓN DE CUNDINAMARCA -ENCUESTA DE SATISFACCIÓN DE LOS USUARIOS, PRESENCIAL </t>
  </si>
  <si>
    <t>DIRECTOR DE SERVICIO AL CIUDADANO Y GESTIÓN DOCUMENTAL</t>
  </si>
  <si>
    <t>ESTE INDICADOR ES DEPARTAMENTAL, MOTIVO POR EL CUAL NO ES COMPARABLE CON LA NACIÓN NI OTROS DEPARTAMENTOS. SE REALIZA ENCUESTA DE SATISFACCIÓN AL USUARIO DEL 24 AL 28 DE NOVIEMBRE DEL 2014, CON UNA MUESTRA DE 265 ENCUESTADOS A LOS QUE SE LES APLICO EL FORMATO M-AC-FR-05 ENCUESTA DE SATISFACCIÓN, UNA VEZ SE REALIZO TABULACIÓN DE LOS RESULTADOS, SE EVIDENCIA QUE LA MEDICIÓN DE LA SATISFACCIÓN DEL USUARIO PARA LA GOBERNACIÓN DE CUNDINAMARCA ES DEL 70%. LAS SECRETARÍAS DE HACIENDA, SALUD Y TRANSPORTE Y MOVILIDAD NO CUMPLIERON LA META ESTABLECIDA. AL REALIZAR UN COMPARATIVO CON EL RESULTADO ANTERIOR, SE EVIDENCIA UN AUMENTO DEL 20% EN EL RESULTADO DE LA MEDICIÓN DE LA SATISFACCIÓN DE LOS USUARIOS PARA EL AÑO 2014 CON RESPECTO AL RESULTADO VIGENCIA 2013. LOS COMPONENTES EVALUADOS FUERON LOS SIGUIENTES: PRIMERO SEÑALIZACIÓN SE EVIDENCIÓ QUE EL 18% DE LOS CIUDADANOS QUE VISITARON LA GOBERNACIÓN DE CUNDINAMARCA AFIRMAN QUE HAY MALA SEÑALIZACIÓN, UN 54% TIENE LA PERCEPCIÓN DE UNA BUENA SEÑALIZACIÓN. EL SEGUNDO COMPONENTE FUE LA ATENCIÓN RECIBIDA: LA PERCEPCIÓN DEL 57% DE LAS PERSONAS ENCUESTADAS EN BUENA. EL TERCER COMPONENTE FUE EL TIEMPO DE ESPERA PARA SER ATENDIDO: EL 45% OPINAN QUE ES BUENA, EL 44% QUE ES REGULAR Y EL 11% AFIRMA QUE EL TIEMPO DE ES PERA ES MAYO A 45 MINUTOS CALIFICANDOLO COMO MALO. EL CUARTO COMPONENTE FUE REALIZAR EL TRAMITE DE UNA MENERA COMPLETA: EL 47% DE LOS CIUDADANOS AFIRMAN QUE LOGRARON REALIZAR SU TRAMITE O SERVICIO DE MANERA COMPLETA, EL 14% NO LOGRAR RALIZAR EL TRAMITE O SERVICIO DE MANERA COMPLETA. DE ACUERDO A LAS SUGERENCIAS DADAS POR USUARIOS SE RECOMIENDA MEJORAR LOS SIGUIENTES ASPECTOS: SEÑALIZACIÓN DE LA GOBERNACIÓN DE CUNDINAMARCA, TIEMPOS DE RESPUESTA EN LA ATENCIÓN DE TRÁMITES Y SERVICIOS, IMPLEMENTAR MEJORAS TECNOLÓGICAS QUE NO AFECTEN AL USUARIO, MEJORAR LA INFORMACIÓN, ACCESO Y ATENCIÓN AL USUARIO EN CADA ENTIDAD Y CALIDAD HUMANA DE LOS SERVIDORES PUBLICOS DE CARA AL CIUDADANO.</t>
  </si>
  <si>
    <t>EL L DESPLAZAMIENTO DE LOS NN MENORES DE 6 AÑOS A PARTICIPAR EN LOS CODEPS, ES DIFICIL POR LA AUTORIZACION DE LOS PADRES, INSTITUCIONES EDUCATIVAS, ADEMAS DEL COSTO DE TRANSPORTE, REFRIGERIO Y ALMUERZO</t>
  </si>
  <si>
    <t xml:space="preserve">EN LA VIGENCIA 2011, EL INDICADOR DE COBERTURA BRUTA EN EL NÍVEL DE TRANSICIÓN SE SITUÓ EN 85,0%, PARA EL AÑO 2012, LA SECRETARÍA DE EDUCACIÓN NO PROGRAMÓ AVANCES EN TÉRMINOS DE AUMENTO DE LA COBERTURA BRUTA EN EL NIVEL DE TRANSICIÓN, SIN EMBARGO SE ENCONTRÓ QUE EN EL AÑO 2012 CUNDINAMARCA DISMINUYÓ CON RESPECTO AL AÑO 2011 EN 0,33 PUNTOS PORCENTUALES.
PARA LA VIGENCIA 2013, LA SECRETARÍA DE EDUCACIÓN PLANTEÓ AUMENTAR EL INDICADOR DE COBERTURA BRUTA EN 0,65 PUNTOS PORCENTUALES, SIN EMBARGO GRACIAS A LAS DIFERENTES ESTRATEGÍAS DE ACCESO Y PERMANENCIA EL DEPARTAMENTO LOGRÓ AUMENTAR ESTE INDICADOR EN 3,16 PUNTOS PORCENTUALES CON RESPECTO A LA PROGRAMACIÓN, ES DECIR QUE SE UBICÓ EN EL 88,81% AL FINALIZAR EL AÑO 2013.
LA META PARA LA VIGENCIA 2014, SE ESTABLECIÓ EN TÉRMINOS DE ALCANZAR UNA COBERTURA BRUTA EN EL NIVEL DE TRANSICIÓN DEL 86,30%, NO OBSTANTE, LA SECRETARÍA LOGRÓ AUMENTAR ESTE INDICADOR EN 4,05 PUNTOS PORCENTUALES ADICIONALES A LA META PROGRAMADA, ES DECIR QUE LA COBERTURA BRUTA PARA EL AÑO 2014 SE SITUÓ EN EL 90,35%.
 </t>
  </si>
  <si>
    <t xml:space="preserve">LA SECRETARÍA DE EDUCACIÓN PLANTEÓ ESTA META EN TÉRMINOS DE MANTENER LA COBERTURA EXISTENTE EN EL 100% DE ATENCIÓN. 
EN LA VIGENCIA 2012 EL DEPARTAMENTO DE CUNDINAMARCA MOSTRÓ UNA LEVE DISMINUCIÓN EN EL RESULTADO DE ESTE INDICADOR SITUANDOSE EN EL 99,71%, CON RESPECTO AL AÑO 2011.
LOS RESULTADOS PARA LA VIGENCIA 2013 SE SITUAN EN EL 101,27%, ES DECIR QUE EL DEPARTAMENTO DE CUNDINAMARCA REGISTRÓ AVANCES EN CUANTO A COBERTURA BRUTA EN EL NÍVEL PRIMARIA EN 1,56 PUNTOS PORCENTUALES CON RESPECTO AL AÑO 2012.
PARA EL AÑO 2014, EL RESULTADO DEL INDICADOR DE COBERTURA BRUTA EN EL NIVEL DE PRIMARIA SE SITUÓ EN EL 100,59%, ES DECIR QUE A LA FECHA, ESTE INDICADOR PRESENTA UN AUMENTO DE 0,59 PUNTOS PORCENTUALES CON RESPECTO A LA PROGRAMACIÓN DE LA META. </t>
  </si>
  <si>
    <t xml:space="preserve">EL DEPARTAMENTO DE CUNDINAMARCA HA LOGRADO AVANCES SIGNIFICATIVOS EN TERMINOS DE REDUCCCIÓN DEL INDICADOR DE DESERCIÓN, PARA LA VIGENCIA 2012 SE PLANTEÓ DISMINUIR EN 0,115 PUNTOS PORCENTUALES ESTE INDICADOR, NO OBSTANTE CUNDINAMARCA LOGRÓ DISMINUIR EN 2,97 PUNTOS, SITUANDOSE EN EL 2,64%.
CUNDINAMARCA ES COMPARABLE CON DEPARTAMENTOS COMO ANTIOQUIA, ATLANTICO, SANTANDER, VALLE Y BOYACÁ, DE ACUERDO CON LAS CIFRAS SUMINISTRADAS POR EL MINISTERIO DE EDUCACIÓN NACIONAL, SE LOGRÓ ESTABLECER QUE EL DEPARTAMENTO QUE PRESENTÓ MEJORES RESULTADOS EN EL INDICADOR DE DESERCIÓN FUE ATLÁNTICO, EN TANTO QUE CUNDINAMARCA PRESENTÓ MEJORES RESULTADOS QUE LOS DEPARTAMENTOS COMO ANTIOQUIA, SANTANDER, VALLE Y BOYACÁ.
DE IGUAL MANERA, EN LA VIGENCIA 2013 CUNDINAMARCA CONTINUÓ DISMINUYENDO EL RESULTADO DEL INDICADOR DE DESERCIÓN, SIUÁNDOSE EN EL 2,42%, ES DECIR QUE LOGRÓ DISMINUIR EN 0,22 PUNTOS PORCENTUALES CON RESPECTO AL AÑO INMEDIATAMENTE ANTERIOR, ES IMPORTANTE DESTACAR QUE CUNDINAMARCA CONTINUA PRESENTANDO MEJORES RESULTADOS EN EL INDICADOR DE DESERCIÓN QUE LA NACIÓN, BOGOTÁ D.C Y DE DEPARTAMENTOS CON LOS CUALES ES COMPARABLE COMO SANTANDER BOYACÁ, ANTIOQUÍA Y VALLE. </t>
  </si>
  <si>
    <t xml:space="preserve">EL ALCANCE DE ESTA META PARA LA VIGENCIA 2013, SE ESTABLECIÓ EN TÉRMINOS DE MEJORAR EL DESEMPEÑO EN 2 PUNTOS, AL MENOS UNA DE LAS ÁREAS EVALUADAS. 
UNA VEZ REVISADA LA INFORMACIÓN DE LOS RESULTADOS DE LAS PRUEBAS SABER GRADO 5° DE LOS ESTABLECIMIENTOS EDUCATIVOS OFICIALES DEL DEPARTAMENTO SE ENCONTRÓ QUE CUNDINAMARCA EN EL ÁREA DE LENGUAJE, AUMENTO EL PORCENTAJE DE LOS ESTUDIANTES EN EL NIVEL SATISFACTORIO EN 3 PUNTOS PORCENTUALES, PASANDO DEL 29%, EN EL AÑO 2009 AL 31%, EN LA VIGENCIA 2013. DE IGUAL MANERA, SE EVIDENCIÓ QUE EN EL NIVEL AVANZADO SE LOGRÓ AUMENTAR EN 5 PUNTOS PORCENTUALES, ES DECIR QUE EL DEPARTAMENTO LOGRÓ PASAR DEL 8% EN EL AÑO 2009 AL 13% EN LA VIGENCIA 20013.
ES IMPORTANTE DESTACAR QUE EL DEPARTAMENTO LOGRÓ TAMBIÉN MEJORAR LOS RESULTADOS EN EL ÁREA DE MATEMÁTICAS PARA LOS NIVELES SATISFACTORIO Y AVANZADO, CON RELACIÓN AL PRIMER NIVEL, CUNDINAMARCA LOGRÓ PASAR DEL 22% EN EL AÑO 2009 AL 24% EN LA VIGENCIA 20013, ES DECIR QUE AUMENTO EN DOS PORCENTUALES, SUS RESULTADOS. DE IGUAL MANERA SE EVIDENCIA QUE EN EL NIVEL AVANZADO PASÓ DEL 10% EN EL AÑO 2009 AL 14% EN EL AÑO 2013, ES DECIR QUE AUMENTO EN 4 PUNTOS PORCENTUALES.
</t>
  </si>
  <si>
    <t>No DE NIÑOS Y NIÑAS DE 6 A 11 AÑOS QUE PARTICIPAN ANUALMENTE EN ACTIVIDADES LÚDICAS, CULTURALES Y DEPORTIVAS</t>
  </si>
  <si>
    <t>La Proyección de población de niñ@as de 6 a 11 años para el 2013 era de 232.545 el 35 % de población a atender para cada año es 81.390</t>
  </si>
  <si>
    <t>EL L DESPLAZAMIENTO DE LOS NN A PARTICIPAR EN LOS CODEPS, ES DIFICIL POR LA AUTORIZACION DE LOS PADRES, INSTITUCIONES EDUCATIVAS, ADEMAS DEL COSTO DE TRANSPORTE, REFRIGERIO Y ALMUERZO.</t>
  </si>
  <si>
    <t>FOMENTAR HABILIDADES Y DESTREZAS CON ACTIVIDADES LÚDICAS, CULTURALES Y DEPORTIVAS ANUALMENTE EN EL 60% (82.355 ADOLESCENTES) DE LAS Y LOS ADOLESCENTES</t>
  </si>
  <si>
    <t xml:space="preserve">EL ALCANCE DE ESTA META PARA LA VIGENCIA 2013, SE ESTABLECIÓ EN TÉRMINOS DE MEJORAR EL DESEMPEÑO EN 2 PUNTOS, AL MENOS UNA DE LAS ÁREAS EVALUADAS. 
UNA VEZ REVISADA LA INFORMACIÓN DE LOS RESULTADOS DE LAS PRUEBAS SABER GRADO 9° DE LOS ESTABLECIMIENTOS EDUCATIVOS OFICIALES DEL DEPARTAMENTO SE ENCONTRÓ QUE CUNDINAMARCA EN EL ÁREA DE LENGUAJE, AUMENTO EL PORCENTAJE DE LOS ESTUDIANTES EN EL NIVEL SATISFACTORIO EN 3 PUNTOS PORCENTUALES, PASANDO DEL 33%, EN EL AÑO 2009 AL 36%, EN LA VIGENCIA 2013. DE IGUAL MANERA, SE EVIDENCIÓ QUE EN EL NIVEL AVANZADO SE LOGRÓ AUMENTAR EN 1 PUNTO PORCENTUAL, PASANDO DEL 1% EN EL AÑO 2009 AL 2% EN LA VIGENCIA 20013.
ES IMPORTANTE DESTACAR QUE EL DEPARTAMENTO LOGRÓ TAMBIÉN MEJORAR LOS RESULTADOS EN EL ÁREA DE MATEMÁTICAS PARA LOS NIVELES SATISFACTORIO Y AVANZADO, CON RELACIÓN AL PRIMER NIVEL, CUNDINAMARCA LOGRÓ PASAR DEL 18% EN EL AÑO 2009 AL 21% EN LA VIGENCIA 20013, ES DECIR QUE AUMENTO EN 3 PUNTOS PORCENTUALES, SUS RESULTADOS. DE IGUAL MANERA SE EVIDENCIA QUE EN EL NIVEL AVANZADO PASÓ DEL 1% EN EL AÑO 2009 AL 2% EN EL AÑO 2013.
</t>
  </si>
  <si>
    <t xml:space="preserve">EN LA VIGENCIA 2011, EL INDICADOR DE COBERTURA BRUTA EN EL NÍVEL MEDIA SE SITUÓ EN 76,95%, MIENTRAS QUE EN EL AÑO 2012, SE ENCONTRÓ QUE CUNDINAMARCA TUVO UNA LEVE DISMINUCIÓN EN EL INDICADOR DE COBERTURA BRUTA (-0,33 PUNTOS) SITUÁNDOSE EN EL 76,13% , ES IMPORTANTE DESTACAR QUE LA SECRETARÍA DE EDUCACIÓN NO PROGRAMÓ AVANCES EN TÉRMINOS DE AUMENTO DE LA COBERTURA BRUTA EN EL NIVEL MEDIA PARA LA VIGENCIA 2012.
PARA EL AÑO 2013, LA SECRETARÍA DE EDUCACIÓN PLANTEÓ AUMENTAR EL INDICADOR DE COBERTURA BRUTA EN 0,65 PUNTOS PORCENTUALES, SIN EMBARGO GRACIAS A LAS DIFERENTES ESTRATEGÍAS DE ACCESO Y PERMANENCIA, EL DEPARTAMENTO LOGRÓ AUMENTAR ESTE INDICADOR EN 1,37 PUNTOS PORCENTUALES CON RESPECTO A LA PROGRAMACIÓN, ES DECIR QUE SE UBICÓ EN EL 78,97% AL FINALIZAR EL AÑO 2013.
EL ALCANCE DE ESTA META PARA LA VIGENCIA 2014, SE ESTABLECIÓ EN TÉRMINOS DE LOGRAR UNA COBERTURA BRUTA EN EL NIVEL DE MEDIA DEL 78,25%, NO OBSTANTE, LA SECRETARÍA LOGRÓ AUMENTAR ESTE INDICADOR EN 1,74 PUNTOS PORCENTUALES ADICIONALES A LA META PROGRAMADA, ES DECIR QUE LA COBERTURA BRUTA PARA EL 2014 SE SITUÓ EN EL 79,99%.
 </t>
  </si>
  <si>
    <t>EL L DESPLAZAMIENTO DE LOS ADOLESCENTES A PARTICIPAR EN LOS CODEPS, ES DIFICIL POR LA AUTORIZACION DE LOS PADRES, INSTITUCIONES EDUCATIVAS, ADEMAS DEL COSTO DE TRANSPORTE, REFRIGERIO Y ALMUERZO</t>
  </si>
  <si>
    <t>Se reportan 12 provincias en las cuales se han vinculado jóvenes en diferentes acciones del programa Jóvenes Constructores de Paz con un total de 1430 jóvenes durante pa presente vigencia.</t>
  </si>
  <si>
    <t>EL REPORTE DE ESTE INDICADOR IMPLICA LA REALIZACIÓN DE UN NUEVO ESTUDIO DE FLORECIMIENTO JUVENIL QUE SE ESTÁ PROGRAMANDO PARA LA VIGENCIA 2015.</t>
  </si>
  <si>
    <t>BENEFICIAR ANUALMENTE AL 30% (138.456) DE LAS Y LOS ADULTOS CON ACTIVIDADES CULTURALES, LÚDICAS Y DEPORTIVAS</t>
  </si>
  <si>
    <t>La Proyección de población de adultos para el 2013 era de 461.525 el 30% de población a atender para cada año es 138.456</t>
  </si>
  <si>
    <t>Los municipios no cuentan con recursos para la elaboración de estudios y diseños, lo cual no permite la presentación de proyectos en el Banco de Proyectos Departamental. De otra parte, la mayoría de los municipios no cuentan con la titularidad de los bienes para realizar inversión.</t>
  </si>
  <si>
    <t>A la fecha se han conectado 132.950 nuevos habitantes con servicio de acueducto en zonas urbanas, rurales y centros poblados de los municipios de Bojaca, Zipaquira, Tocaima, Facatativa, Madrid, Puerto Salgar, Fomeque, Fosca, Anapoima, La Mesa, Villapinzon, Pacho, Subachoque, San Francisco, Mosquera y Soacha. Así mismo, se han ejecutado 48 proyectos de acueducto en 34 municipios por valor de $64.942 millones, con lo cual se ha contribuido a mejorar los índices de cobertura, calidad y continuidad en la prestación del servicio de acueducto en el departamento, mejorando la calidad de vida de los cundinamarqueses.</t>
  </si>
  <si>
    <t>A la fecha se han conectado 48.167 nuevos habitantes con servicio de alcantarillado en zonas urbanas, rurales y centros poblados de los municipios de Bojaca, Fosca, Zipaquira, Tocaima y San Francisco. Así mismo, se han ejecutado 23 proyectos de alcantarillado en 17 municipios por valor de $59.896 millones, con lo cual se ha contribuido a mejorar los índices de cobertura, calidad y continuidad en la prestación del servicio de alcantarillado en el departamento, mejorando la calidad de vida de los cundinamarqueses.</t>
  </si>
  <si>
    <t xml:space="preserve">NO ES VIABLE HACER COMPARATIVOS YA QUE EN CUNDINAMARCA SE TRABAJAN LAS CADENAS DE CACAO,CAÑA,CAFÉ, PAPA,FRUTALES,HORTALIZAS, CAUCHO , LAS CUALES SON DIFERENTES A LAS PRIORIZADAS POR LOS OTROS DEPARTAMENTOS , TOCARIA REALIZARLO INDIVIDUALMENTE Y NO GENERAL </t>
  </si>
  <si>
    <t>Plantaciones sin inscripción al ICA</t>
  </si>
  <si>
    <t xml:space="preserve">AL INICIO DE ESTE GOBIERNO, EL INDICADOR PROMEDIO DE ESTUDIANTES POR COMPUTADOR SE SITUÓ EN 21, GRACIAS A LAS DIFERENTES ACCIONES IMPLEMENTADAS PARA DISMINUIR ESTE INDICADOR, SE LOGRÓ REDUCIR EN EL PRIMER AÑO DE GOBIERNO EN 4 ALUMNOS POR COMPUTADOR, ES DECIR QUE PARA EL AÑO 2012 SE SITUÓ EN 17.
PARA LA VIGENCIA 2013, ESTE INDICADOR DISMINUYÓ DE 17 ALUMNOS POR COMPUTADOR A 12, EN CONSECUENCIA SE LOGRÓ DISMINUIR EN 5 ESTUDIANTES POR EQUIPO DE CÓMPUTO CON RESPECTO AL AÑO 2012.
CON RELACIÓN A LA VIGENCIA 2014, SE ENCONTRÓ QUE EL ÍNDICE DE ESTUDIANTES POR COMPUTADOR SE UBICÓ EN 6 ALUMNOS POR EQUIPO DE CÓMPUTO, ES DECIR QUE EL INDICADOR LOGRÓ DISMINUIR EN 6 ESTUDIANTES POR EQUIPO DE CÓMPUTO CON RESPECTO A LA VIGENCIA 2013 EN LA CUAL SE SITUÓ EN 12.
ES IMPORTANTE DESTACAR QUE LA SECRETARÍA DE EDUCACIÓN SE PROPUSO COMO META PARA EL CUATRIENIO, DISMINUIR 11 ALUMNOS POR COMPUTADOR, ES DECIR PASAR DE 21 A 10, ESTA RELACIÓN, NO OBSTANTE, CON LOS AVANCES QUE SE HAN TENIDO EN TÉRMINOS DE DOTACIÓN DE EQUIPOS DE CÓMPUTO SE LOGRÓ ESTABLECER QUE A LA FECHA, LA META DEL CUATRIENIO SE HA SUPERADO.
</t>
  </si>
  <si>
    <t>LA SECRETARIA VIENE ADELANTANDO PROYECTOS DE AMPLIACION DE AREAS , PERO COMO SON CULTIVOS DE TARDIO CRECIMIENTO APROXIMADAMENTE EN EL MES DE AGOSTO SE TENDRAN BASE DE DATOS PARA ALIMENTAR ESTA META</t>
  </si>
  <si>
    <t>FOMENTAR HABILIDADES Y DESTREZAS CON ACTIVIDADES LÚDICAS Y CULTURALES EN EL 15% (17.472 NIÑ@S) DE LOS NIÑOS Y NIÑAS DE PRIMERA INFANCIA CADA AÑO</t>
  </si>
  <si>
    <t xml:space="preserve">A PARTIR DEL AÑO 2012, LA SEC ESTABLECIÓ LA LINEA DE BASE CON SUSTENTO EN LA CUAL SE COMPARARÍA EL INCREMENTO EN EL INDICADOR EN LOS AÑOS POSTERIORES. SEGÚN LOS RESULTADOS CONSOLIDADOS POR EL ICFES CON CORTE A 2013, EN EL ÁREA DE LENGUAJE SE HA LOGRADO UN AVANCE DE 3 PUNTOS Y POR TANTO SE CUMPLE LA META DE LOGRAR EL INCREMENTO PROGRAMADO. 
DE ACUERDO CON LA INFORMACIÓN SUMINISTRADA POR EL ICFES PARA EL AÑO 2014, LA METODOLOGÍA DE EVALUACIÓN Y LAS ÁREAS EVALUADAS SE MODIFICARON, EN CONSECUENCIA NO ES POSIBLE REALIZAR COMPARACIONES DEL AÑO 2014 CON LOS AÑOS ANTERIORES, RAZÓN POR LA CUAL NO SE LOGRÓ ESTABLECER UNA COMPARACIÓN PARA EVALUAR EL CUMPLIMIENTO DE LA META PROGRAMADA. 
</t>
  </si>
  <si>
    <t xml:space="preserve">A PESAR DE QUE ESTE ES UNA EXIGENCIA QUE REQUIERE EL COMPROMISO PERMANENTE DE LOS ENTES TERRITORIALES MUNICIPALES, A QUIENES POR NORMA SE LES HA DELEGADO LA COMPETENCIA DE LA IMPLEMENTACIÓN DE LA GESTIÓN INTEGRAL DE RESIDUOS SÓLIDOS, EL DEPARTAMENTO HA PROMOVIDO A TRAVÉS DE LAS METAS DEL PDD, LA IMPLEMENTACIÓN DE ACCIONES PUNTUALES QUE EVIDENCIAN QUE SE HAN ADELANTADO, DE MANERA EXITOSA, ACCIONES EN 7 PROVINCIAS CUMPLIENDO EN UN 175% LA META ORIGINAL DE CUATRO PROVINCIAS ATENDIDAS
SE DESTACAN LAS SIGUIENTES ACCIONES: 
1) APOYO DIPUTACIÓN DE BARCELONA: GESTIÓN DE RECURSOS INTERNACIONALES CON UN PREMIO POR 49.800 EUROS, OBTENIDOS MEDIANTE CONCURSO CON LA DIPUTACIÓN DE BARCELONA, LOGRANDO PROYECTAR COMO PROGRAMA PILOTO, EL MANEJO DE RESIDUOS ORGÁNICOS DE PLAZAS DE MERCADO PARA LOS MUNICIPIOS DE VILLETA Y FUSAGASUGÁ, PERTENECIENTES A LAS PROVINCIAS DE GUALIVÁ Y SUMAPAZ.
2) CONVENIO DE COOPERACIÓN FUNIBER PARA EL DESARROLLO DE UN DIPLOMADO PARA 16 MUNICIPIOS EN FORTALECIMIENTO DE RESIDUOS SOLIDOS 
3) APOYO GOBIERNO DE HOLANDA: PARA EL DESARROLLO DE UNA CONSULTORÍA PARA LA DETERMINACIÓN DE ACCIONES PARA LA PROVINCIA DE ORIENTE Y SABANA CENTRO
4) CONSTRUCCIÓN DE LA ORDENANZA 232 DE 2014 “POR LA CUAL SE ADOPTAN LOS LINEAMIENTOS DE POLÍTICA DE MANEJO INTEGRAL DE RESIDUOS SÓLIDOS EN EL DEPARTAMENTO…” 
5) CONSTRUCCIÓN DEL DECRETO 255 DE 2014 “POR EL CUAL SE INSTITUCIONALIZA LA MESA DEPARTAMENTAL DE RESIDUOS SÓLIDOS…”
6) TRABAJO COORDINADO EPC- SAC PARA EL DESARROLLO DE ACTIVIDADES PARA PROMOVER LA GESTIÓN INTEGRAL DE RESIDUOS SÓLIDOS. 
7) APOYO FINANCIERO PARA LA CONSTRUCCIÓN SEGUNDA ETAPA PLANTA DE APROVECHAMIENTO MUNICIPIO DE PACHO. 
8) APOYO FINANCIERO PARA LA CONSTRUCCIÓN SEGUNDA ETAPA PLANTA DE APROVECHAMIENTO MUNICIPIO DE UBATE.
9) APOYO A FORMULACIÓN DE 14 PLANES DE GESTIÓN INTEGRAL DE RESIDUOS SÓLIDOS PGIRS: DE MUNICIPIOS DE LAS PROVINCIAS DE ORIENTE, UBATÉ, MAGDALENA CENTRO, SUMAPAZ Y RIONEGRO.
10) ESTRATEGIAS PARA INCORPORACIÓN DE LAS ESTRATEGIAS DE POS CONSUMO CON LA ANDI Y CAMPO LIMPIO, PARA EL MANEJO Y DISPOSICIÓN ADECUADA DE RESIDUOS POS CONSUMO. REPRESENTADAS EN: 
O RECOLECCIÓN POS CONSUMO (COMPUTADORES, LUMINARIAS, LLANTAS, PILAS, ACUMULADORES Y BOMBILLAS). A OCTUBRE 31 DE 2013 LA CORPORACIÓN CAMPO LIMPIO RECOLECTÓ 208,52 TONELADAS DE ENVASES Y EMPAQUES DE AGROQUÍMICOS EN 36 MUNICIPIOS DEL DEPARTAMENTO. CON LA ANDI EN EL 2013 SE RECOGIERON 1234 LLANTAS Y 207 UNIDADES DE PERIFÉRICOS Y COMPUTADORES.
O SISTEMA DE RECOLECCIÓN SELECTIVA DE MEDICAMENTES Y FÁRMACOS VENCIDOS. DURANTE EL 2013, SE REALIZÓ LA RECOLECCIÓN POS CONSUMO DE MEDICAMENTOS VENCIDOS EN 10 MUNICIPIOS DEL DEPARTAMENTO, CORRESPONDISTE A 2.46 TONELADAS.
11) APOYO A LA ELABORACIÓN DE LOS ESTUDIOS Y DISEÑOS SISTEMA DE RESIDUOS SÓLIDOS MUNICIPIO DE SAN JUAN. 
12) PROCESO DE SENSIBILIZACIÓN EN LA CULTURA DE LA SEPARACIÓN EN LA FUENTE Y LA MINIMIZACIÓN DE RESIDUOS EN LOS MUNICIPIOS DEL DEPARTAMENTO. 
13) FORTALECIMIENTO DE LOS PROCESOS DE SEPARACIÓN EN LA FUENTE Y APROVECHAMIENTO, MEDIANTE UNA ALIANZA SUSCRITA ENTRE LA SECRETARIA DEL AMBIENTE, FUNDASES Y LOS MUNICIPIOS DE LA PROVINCIA DE ORIENTE. 
</t>
  </si>
  <si>
    <t xml:space="preserve"> EL DEPARTAMENTO HA PROMOVIDO, LA SIEMBRA DE 1.254.360 ÁRBOLES, A TRAVÉS DE LA GESTIÓN DE SUS DEPENDENCIAS Y LA PARTICIPACIÓN DE SOCIOS ESTRATÉGICOS PARA GARANTIZAR A LA FECHA EL CUMPLIMIENTO DE LA META, ASÍ:
A. ESFUERZOS PROPIOS DE LA ESTRATEGIA CUNDINAMARCA NEUTRA: 
• SIEMBRA DE 175.226 ÁRBOLES DE ESPECIES NATIVAS EN ECOSISTEMAS SENSIBLES DE LOS CUALES EL 80% HA SIDO SEMBRADO POR LOS MUNICIPIOS COMO PARTE DE LAS ESTRATEGIAS DE COMPENSACIÓN.
• DOS ACUERDOS DE VOLUNTADES CON EL SECTOR PRIVADO, CONTREEBUTE Y COVIANDES QUE REPRESENTAN LA PLANTACIÓN DE 56.500 ÁRBOLES EN ECOSISTEMAS ESTRATÉGICOS SIN COSTO PARA EL DEPARTAMENTO. 
• CINCO AUTORIZACIONES PARA LA SIEMBRA DE MATERIAL VEGETAL A INSTITUCIONES PÚBLICAS QUE REPRESENTAN LA PLANTACIÓN DE 150 MIL ÁRBOLES EN PREDIOS DE INTERÉS HÍDRICO. 
B. ESTRATEGIAS PROPIAS DE LA UNIDAD DE BOSQUES:
• LOS CONVENIOS SUSCRITOS POR LA UNIDAD DE BOSQUES REPRESENTAN LA PLANTACIÓN DE 872.755 ÁRBOLES EN DIFERENTES ESCENARIOS DEL DEPARTAMENTO
</t>
  </si>
  <si>
    <t>LA INFORMACION REPORTADA DE LOS DEPARTAMENTOS SON DE VIGENCIA 2010 , NO SE ENCUENTRA INFORMACION MAS ACTUALIZADA , EL REPORTE QUE SE REALIZA ES DE AÑO AGRICOLA.. DATOS OBTENIDOS VIGENCIA 2010 : NACION : 45249854; ANTIOQUIA 3342809, ATLANTICO 162750, SANTANDER 1666526, BOYACA 1777914 , VALLE DEL CAUCA 18220254. FUENTE AGRONET</t>
  </si>
  <si>
    <t>Unidad Medida</t>
  </si>
  <si>
    <t>CERES</t>
  </si>
  <si>
    <t>IPS</t>
  </si>
  <si>
    <t>POT</t>
  </si>
  <si>
    <t>EPSAS</t>
  </si>
  <si>
    <t xml:space="preserve"> </t>
  </si>
  <si>
    <t>I</t>
  </si>
  <si>
    <t>METROS CUADRADOS</t>
  </si>
  <si>
    <t>PROYECTOS</t>
  </si>
  <si>
    <t>ESTUDIOS</t>
  </si>
  <si>
    <t>ENCUESTAS</t>
  </si>
  <si>
    <t>EVALUACIONES</t>
  </si>
  <si>
    <t>PUBLICACIONES</t>
  </si>
  <si>
    <t>RENDICIONES DE CUENTAS DE INFANCIA Y ADOLESCENCIA</t>
  </si>
  <si>
    <t>RENDICIONES DE CUENTAS EXTERNAS</t>
  </si>
  <si>
    <t>RENDICIONES DE CUENTAS INTERNAS</t>
  </si>
  <si>
    <t>PLANES</t>
  </si>
  <si>
    <t>ESTANDARES</t>
  </si>
  <si>
    <t>SISTEMAS</t>
  </si>
  <si>
    <t>BODEGA DE DATOS</t>
  </si>
  <si>
    <t>M</t>
  </si>
  <si>
    <t>NO SISTEMA DE INFORMACIÓN GEOGRÁFICA REGIONAL (SIG R) IMPLEMENTADO COMO PLATAFORMA TECNOLÓGICA CORPORATIVA</t>
  </si>
  <si>
    <t>POLITICA</t>
  </si>
  <si>
    <t>MINTIC</t>
  </si>
  <si>
    <t>LLAMADAS</t>
  </si>
  <si>
    <t>ETB</t>
  </si>
  <si>
    <t>CENTROS</t>
  </si>
  <si>
    <t>PORCENTAJE DE HOSPITALES</t>
  </si>
  <si>
    <t>INSTITUCIONES</t>
  </si>
  <si>
    <t>PORTAL</t>
  </si>
  <si>
    <t>TRAMITES EN LINEA</t>
  </si>
  <si>
    <t>PLAN</t>
  </si>
  <si>
    <t>MinTIC-Computadores para educar</t>
  </si>
  <si>
    <t>-</t>
  </si>
  <si>
    <t>COMPUTADORES</t>
  </si>
  <si>
    <t>EVENTOS</t>
  </si>
  <si>
    <t>BIENES DE INETERES CULTURAL</t>
  </si>
  <si>
    <t>UNIDAD</t>
  </si>
  <si>
    <t>MESAS</t>
  </si>
  <si>
    <t>ORGANIZACIONES</t>
  </si>
  <si>
    <t>Municipios: Cajicà, Girardot, Bituima, Madrid, Chipaque, Suesca</t>
  </si>
  <si>
    <t xml:space="preserve">Fundaciòn FUNDIR, Jovenes Constructores de Paz, Municipio San antonio del Tequendama
Pintuco a través de la Fundación Mundial realizó una donación de 3.050 galones de pintura para el desarrollo de esta meta. </t>
  </si>
  <si>
    <t>Municipios: Facatativà, Chipaque</t>
  </si>
  <si>
    <t>OBRAS</t>
  </si>
  <si>
    <t>MECANISMOS DE PARTICIPACION</t>
  </si>
  <si>
    <t>CONSEJOS</t>
  </si>
  <si>
    <t>ASOCIACION MUNDIAL HOLDME</t>
  </si>
  <si>
    <t>APOYOS</t>
  </si>
  <si>
    <t>CASAS DE GOBIERNO</t>
  </si>
  <si>
    <t>FERIAS</t>
  </si>
  <si>
    <t>FEDESARROLLO</t>
  </si>
  <si>
    <t>UNIDADES</t>
  </si>
  <si>
    <t>CAR,MUNICIPIOS</t>
  </si>
  <si>
    <t>PROCESOS ELECTORALES</t>
  </si>
  <si>
    <t>USUARIOS</t>
  </si>
  <si>
    <t>FUNCIONARIOS</t>
  </si>
  <si>
    <t>MECANISMOS</t>
  </si>
  <si>
    <t>ACUERDOS</t>
  </si>
  <si>
    <t>R</t>
  </si>
  <si>
    <t>CALLCENTER</t>
  </si>
  <si>
    <t>ESTRATEGIAS</t>
  </si>
  <si>
    <t>MILLONES DE PESOS</t>
  </si>
  <si>
    <t>BIENES</t>
  </si>
  <si>
    <t>ENTIDADES</t>
  </si>
  <si>
    <t>PROCESOS</t>
  </si>
  <si>
    <t>INSTANCIA</t>
  </si>
  <si>
    <t>COMISARIOS</t>
  </si>
  <si>
    <t>% DE MUNICIPIOS</t>
  </si>
  <si>
    <t>CENTRO</t>
  </si>
  <si>
    <t>CENTROS CARCELARIOS</t>
  </si>
  <si>
    <t>COMITES</t>
  </si>
  <si>
    <t>BRIGADAS</t>
  </si>
  <si>
    <t>OBSERVATORIO</t>
  </si>
  <si>
    <t>INSTALACIONES</t>
  </si>
  <si>
    <t xml:space="preserve">FONSECON </t>
  </si>
  <si>
    <t>MINISTERIO DEL INTERIOR</t>
  </si>
  <si>
    <t>RECURSOS APORTADOR POR LA ENTIDADES TERRITORIALES PARA EL AUMENTO DEL PIE DE FUERZA</t>
  </si>
  <si>
    <t>CONAF, SEDECON , LOS MUNICIPIOS DE: GACHETA,SUBACHOQUE, SAN BERNARDO,MACHETA,QUETAME, CAHIPAY, ANOLAIMA,LA PALMA, COTA,PACHO, PAIME CAPARRAPI , GUACHETA,ARBELAEZ</t>
  </si>
  <si>
    <t>ALIZANZAS</t>
  </si>
  <si>
    <t>ALCALDIAS DE MANTA, TIBIRITA, PAIME, NOCAIMA, SIMIJACA Y SILVANIA</t>
  </si>
  <si>
    <t>PROMOCIONES</t>
  </si>
  <si>
    <t xml:space="preserve">ALCALDÍAS DE VILLETA, GUADUAS, TOCAIMA,QUETAME,BOJACA,PASCA, GUTIERREZ,LA PEÑA, FUSAGASUGA, VIANI, SAN BERNARDO,ANAPOIMA, SAN ANTONIO DEL TEQUENDAMA BELTRAN,NILO, LA MESA,SUSA,NIMAIMA,VIOTA, CHAGUANI,VILLAGOMEZ, ZIPACON, GUAYABAL DE SIQUIMA, JERUSALEN ,PACHO, CACHIPAY, CAPARRAPI, PUERTO SALGAR, NARIÑO, ARBELAEZ, LA CALERA, EL ROSAL,VERGARA,CHOCAHI, MACHETA, , GUAYABETAL, SILVANIA, SUBACHOQUE, CHIPAQUE, GUATAQUI, TOPAIPI, TENA, CAJICA,TIBACUY, QUEBRADANEGRA, PARATEBUENO,EL COLEGIO, APULO, UTICA </t>
  </si>
  <si>
    <t>FONDO NACIONAL DE TURISMO</t>
  </si>
  <si>
    <t>FONDO NACIONAL DE TURISMO , SECRETARIA DE AMBIENTE DE CUNDINAMARCA ,CONVENTION BUREAU DE BOGOTA</t>
  </si>
  <si>
    <t>PITS</t>
  </si>
  <si>
    <t>ASOCIACIONES</t>
  </si>
  <si>
    <t>Universidad de los Andes</t>
  </si>
  <si>
    <t>BANCOS</t>
  </si>
  <si>
    <t>Cámara de comercio de Girardot</t>
  </si>
  <si>
    <t>Cámara de Comercio de Bogotá:
Invest in Bogotá
Centro Internacional de Física</t>
  </si>
  <si>
    <t>UNIVERSIDAD NACIONAL DE COLOMBIA</t>
  </si>
  <si>
    <t>UNIMINUTO</t>
  </si>
  <si>
    <t>Programa de las Naciones Unidas para el Desarrollo PNUD</t>
  </si>
  <si>
    <t>PREMIOS</t>
  </si>
  <si>
    <t>Colsubsidio
Uniminuto</t>
  </si>
  <si>
    <t>SEMANAS</t>
  </si>
  <si>
    <t>Observatorio Colombiano de Ciencia y Tecnología:</t>
  </si>
  <si>
    <t>OBSERVATORIOS</t>
  </si>
  <si>
    <t>Connect Bogotá Región
Secretaría de Hacienda de Cundinamarca
Secretaría de TIC de Cundinamarca
MINTIC
Colciencias
Parquesoft</t>
  </si>
  <si>
    <t>REDES</t>
  </si>
  <si>
    <t>ASOCIACION COLOMBIANA PARA EL AVANCE DE LA CIENCIA</t>
  </si>
  <si>
    <t>CONVOCATORIAS</t>
  </si>
  <si>
    <t>INFRAESTRUCTURAS</t>
  </si>
  <si>
    <t>DISMINUIR PROGRESIVAMENTE LA ACCIDENTALIDAD FATAL, LLEGANDO AL FINALIZAR EL PERIODO DE GOBIERNO, A UN NÚMERO INFERIOR DE 369 MUERTES AL AÑO.</t>
  </si>
  <si>
    <t>KMT</t>
  </si>
  <si>
    <t>CONCESION TRONCAL DEL TEQUENDAMA CONCAY</t>
  </si>
  <si>
    <t>PARADORES</t>
  </si>
  <si>
    <t>M2</t>
  </si>
  <si>
    <t>GARANTIAS</t>
  </si>
  <si>
    <t>PUENTES</t>
  </si>
  <si>
    <t>recursos invias</t>
  </si>
  <si>
    <t>KMTS</t>
  </si>
  <si>
    <t>HOGARES</t>
  </si>
  <si>
    <t>MINEROS</t>
  </si>
  <si>
    <t>INTERCAMBIOS</t>
  </si>
  <si>
    <t>MARCA</t>
  </si>
  <si>
    <t>PRODUCTOS</t>
  </si>
  <si>
    <t>MISIONES</t>
  </si>
  <si>
    <t>CREDITOS</t>
  </si>
  <si>
    <t>EMPRESAS</t>
  </si>
  <si>
    <t>MIPYMES</t>
  </si>
  <si>
    <t>FONDOS</t>
  </si>
  <si>
    <t>PORTAFOLIO</t>
  </si>
  <si>
    <t>NUCLEOS FORESTALES</t>
  </si>
  <si>
    <t>PROYECTO</t>
  </si>
  <si>
    <t>VIVEROS</t>
  </si>
  <si>
    <t>Corporinoquia</t>
  </si>
  <si>
    <t>UAEGRDC</t>
  </si>
  <si>
    <t>AMBULANCIAS</t>
  </si>
  <si>
    <t>PORCENTAJE DE EMERGENCIAS</t>
  </si>
  <si>
    <t>PORCENTAJE DE POBLACION</t>
  </si>
  <si>
    <t>ZONAS</t>
  </si>
  <si>
    <t xml:space="preserve">ASIAC - MUNICIPIOS </t>
  </si>
  <si>
    <t>COMUNIDADES</t>
  </si>
  <si>
    <t xml:space="preserve">RECAUDO -FIDUCIA MERCANTIL </t>
  </si>
  <si>
    <t xml:space="preserve">MUNICIPIOS DE CAJICA, SUBACHOQUE, EMPRESAS PUBLKICAS DE CAJICA, SECRETARIA DE INTEGRACION REGIONAL </t>
  </si>
  <si>
    <t>ASOCIACION</t>
  </si>
  <si>
    <t>MUNICIPIOS DE ANAPOIMA,PACHO,VIOTA,GUAYABETAL,FOSCA,SAN JUAN DE RIOSECO,UBATE Y CUCUNUBA</t>
  </si>
  <si>
    <t>MPIOS</t>
  </si>
  <si>
    <t>LINEAMIENTOS</t>
  </si>
  <si>
    <t>COMITÉ</t>
  </si>
  <si>
    <t>FUNDESOT</t>
  </si>
  <si>
    <t xml:space="preserve">CORPORACION COLOMBIANA ORGANICA </t>
  </si>
  <si>
    <t>CORPORACION COLOMBIA ORGANICA</t>
  </si>
  <si>
    <t>GRANJAS</t>
  </si>
  <si>
    <t>CORPOGUAVIO,FEDEPANELA-ASOHOFRUCOL-FEDERACION NACIONAL DE CAFETEROS</t>
  </si>
  <si>
    <t xml:space="preserve">FEDEPANELA </t>
  </si>
  <si>
    <t xml:space="preserve">ASOCIACION MUNDIAL HOLDME </t>
  </si>
  <si>
    <t xml:space="preserve">ASIAC- ASOCICION DE USUARIOS DE ACUEDUCTOS </t>
  </si>
  <si>
    <t>ASIAC, MUNICIPIOS</t>
  </si>
  <si>
    <t xml:space="preserve">MINISTERIO DE AGRICULTURA-FEDERACION NACIONAL DE CAFETEROS- MUNICIPIO-ASIAC </t>
  </si>
  <si>
    <t>PREDIOS</t>
  </si>
  <si>
    <t>FUNDACION ESPELETIA</t>
  </si>
  <si>
    <t>MODELOS</t>
  </si>
  <si>
    <t xml:space="preserve">MINISTERIO DE AGRICULTURA Y MUNICIPIOS </t>
  </si>
  <si>
    <t>MINAGRICULTURA, MUNICIPIOS</t>
  </si>
  <si>
    <t>INSTRUMENTOS</t>
  </si>
  <si>
    <t>FEDEPANELA</t>
  </si>
  <si>
    <t>FUNDACION EDUCATIVA PARA LA EQUIDAD Y EL DESARROLLO RURAL, FEDEPANELA, COOMUTSOA</t>
  </si>
  <si>
    <t>FINAGRO</t>
  </si>
  <si>
    <t>FEDEPANELA-ASOCIACION COLOMBIANA DE PORCICULTORES</t>
  </si>
  <si>
    <t>FEDEPANELA , MINAGRICULTURA</t>
  </si>
  <si>
    <t xml:space="preserve">ASOCIACION COLOMBIANA DE PORCICULTORES-FUNDESOT-MINISTERIO DE AGRICULTURA-UNIVERSIDAD DE CUNDINAMARCA-UNAL </t>
  </si>
  <si>
    <t>MUNICIPIOS, FEDEPANELA, FUNDESOT</t>
  </si>
  <si>
    <t>CADENAS</t>
  </si>
  <si>
    <t xml:space="preserve">MUNICIPIOS </t>
  </si>
  <si>
    <t>MUNICIPIOS, UNIVERSIDAD NACIONAL</t>
  </si>
  <si>
    <t>GRUPOS</t>
  </si>
  <si>
    <t>FEDECAFE-FEDECACAO-ASOHOFRUCOL-FEDEPANELA-CONFEDERACION CAUCHERA--UNIVERSIDAD CENTRAL</t>
  </si>
  <si>
    <t>FEDEPAPA,CONFEDERACION CAUCHERA COLOMBIANA , ASOHOFRUCOL, FEDERACION NACIONAL DE CAFETEROS-COMITÉ DEPARTAMENTAL DE CAFETEROS DE CUNDINAMARCA, FUNDACION YARUMO</t>
  </si>
  <si>
    <t>FASES</t>
  </si>
  <si>
    <t>CONEXIONES</t>
  </si>
  <si>
    <t>VIVIENDAS</t>
  </si>
  <si>
    <t xml:space="preserve">SECRETARIA DE LAS TICS </t>
  </si>
  <si>
    <t xml:space="preserve">CONTREEBUTE </t>
  </si>
  <si>
    <t xml:space="preserve">CORPOGUAVIO,MUNICIPIO DE TAUSA, MUNICIPIO DE NEMOCON, SECRETARIA DE INTEGRACION REGIONAL </t>
  </si>
  <si>
    <t xml:space="preserve">UNIVERSIDAD NACIONAL DE COLOMBIA </t>
  </si>
  <si>
    <t>ACCIONES</t>
  </si>
  <si>
    <t>MUNICIPIOS DE CHAGUANI, SILVANIA, YACOPI,CAPARRAPI</t>
  </si>
  <si>
    <t>MODELO</t>
  </si>
  <si>
    <t>CAR-CORPOGUAVIO- MUNICIPIOS Y NACION</t>
  </si>
  <si>
    <t>RENDICION DE CUENTAS DE VCA</t>
  </si>
  <si>
    <t>PORCENTAJE DE PERSONAS</t>
  </si>
  <si>
    <t>PORCENTAJE DEL PROCESO</t>
  </si>
  <si>
    <t>RECORRIDOS</t>
  </si>
  <si>
    <t>CORPORACION COLOMBIANA DE DOCUMENTALISTAS -ALADOS COLOMBIA</t>
  </si>
  <si>
    <t>ENCUENTROS</t>
  </si>
  <si>
    <t>CONVENIOS</t>
  </si>
  <si>
    <t>PORCENTAJE DE FAMILIAS</t>
  </si>
  <si>
    <t>CAMPAÑA</t>
  </si>
  <si>
    <r>
      <t xml:space="preserve">ADELANTAR UNA CAMPAÑA ANUAL PREVENTIVA DE </t>
    </r>
    <r>
      <rPr>
        <b/>
        <sz val="10"/>
        <color indexed="8"/>
        <rFont val="Calibri"/>
        <family val="2"/>
      </rPr>
      <t>ESCNNA</t>
    </r>
    <r>
      <rPr>
        <sz val="10"/>
        <color indexed="8"/>
        <rFont val="Calibri"/>
        <family val="2"/>
      </rPr>
      <t xml:space="preserve"> EXPLOTACIÓN SEXUAL COMERCIAL DE NIÑOS, NIÑAS Y ADOLESCENTES, ASOCIADA CON EL TURISMO, PERTENECIENTES A LA POBLACIÓN VICTIMA DEL CONFLICTO ARMADO.</t>
    </r>
  </si>
  <si>
    <t>PORCENTAJE DE PREDIOS</t>
  </si>
  <si>
    <t>CTJT</t>
  </si>
  <si>
    <t>ESPACIOS</t>
  </si>
  <si>
    <t>SEDES</t>
  </si>
  <si>
    <t>COMITE</t>
  </si>
  <si>
    <t>FUNDACION COLECTIVO DE MUJERES</t>
  </si>
  <si>
    <t>RUTA</t>
  </si>
  <si>
    <t>PORCENTAJE DE INSTANCIAS</t>
  </si>
  <si>
    <t>PORCENTAJE DE ORGANISMOS</t>
  </si>
  <si>
    <t>FUNDACION RED DE MUJERES DE CUNDINAMARCA</t>
  </si>
  <si>
    <t>ESCUELA</t>
  </si>
  <si>
    <t>MUJERES</t>
  </si>
  <si>
    <t>FUNDASET Y MUNICIPIO DE GUASCA</t>
  </si>
  <si>
    <t>PARQUES</t>
  </si>
  <si>
    <t>MUNICIPIOS,FUNDACION COMPARTIR</t>
  </si>
  <si>
    <t>POLITICAS</t>
  </si>
  <si>
    <t>ORIENTADORES</t>
  </si>
  <si>
    <t xml:space="preserve"> Aportes de la Fundacion Arcangeles para la Ejecucion del Contrato SDS 028 de 2013, y aportes de CIREC para la ejecucion del Contrato SDS 018 de 2013</t>
  </si>
  <si>
    <t>FUNDACION MARIANA</t>
  </si>
  <si>
    <t>ORGANIZACIÓN LATINOAMERICANA DE COLOMBIA , CIREC , FUNDACION PARA LA REHABILITACION INTEGRAL ARCANGELES</t>
  </si>
  <si>
    <t>PLANES DE VIDA</t>
  </si>
  <si>
    <t>APOYAR PARTICIPATIVAMENTE DURANTE EL CUATRIENIO 3 PLANES DE VIDA PARA GRUPOS INDIGENAS</t>
  </si>
  <si>
    <t>PORCENTAJE DE EMPRESAS</t>
  </si>
  <si>
    <t>PRUEBAS</t>
  </si>
  <si>
    <t>INDICE</t>
  </si>
  <si>
    <t>CORPORACION LEXCOM Y ORGANIZACIONES SOLIDARIAS</t>
  </si>
  <si>
    <t>MINISTERIO DE CULTURA</t>
  </si>
  <si>
    <t>BIBLIOTECAS</t>
  </si>
  <si>
    <t>LUDOTECAS</t>
  </si>
  <si>
    <t>BANCO</t>
  </si>
  <si>
    <t>ALUMNOS</t>
  </si>
  <si>
    <t>VACUNAS</t>
  </si>
  <si>
    <t>ALIANZAS</t>
  </si>
  <si>
    <t>CONCIERTOS</t>
  </si>
  <si>
    <t>ESTUDIO</t>
  </si>
  <si>
    <t>VEEDURIAS</t>
  </si>
  <si>
    <t>CONSEJO</t>
  </si>
  <si>
    <t>ASOCIACION SCOUT DE COLOMBIA</t>
  </si>
  <si>
    <t>CLUBES</t>
  </si>
  <si>
    <t>CORPORACION RED DE JOVENES CONSTRUCTORES DE PAZ</t>
  </si>
  <si>
    <t>RED DE COMUNICACIÓN</t>
  </si>
  <si>
    <t>MUNICIPIO DE VILLETA</t>
  </si>
  <si>
    <t>JUEGOS</t>
  </si>
  <si>
    <t>FESTIVALES</t>
  </si>
  <si>
    <t>CORPORACION JOVENES CONSTRUCTORES DE PAZ</t>
  </si>
  <si>
    <t>Ministerio de Educación Nacional, Aporte municipios, aporte Instituciones educativas de Nivel Suprior y Sector privado</t>
  </si>
  <si>
    <t>ESTUDIANTES</t>
  </si>
  <si>
    <t>COMPENSAR FONNIÑEZ</t>
  </si>
  <si>
    <t>COMPENSAR</t>
  </si>
  <si>
    <t>PORCENTAJE DE PARTICIPACION</t>
  </si>
  <si>
    <t>AGENDAS</t>
  </si>
  <si>
    <t>COOPERATIVAS</t>
  </si>
  <si>
    <t>PEARSON</t>
  </si>
  <si>
    <t>DOCENTES</t>
  </si>
  <si>
    <t>Comité de Cafeteros de Cundinamarca</t>
  </si>
  <si>
    <t xml:space="preserve"> COMPENSAR POR FONIÑEZ</t>
  </si>
  <si>
    <t>% DE DOCENTES</t>
  </si>
  <si>
    <t>% DE INSTITUCIONES</t>
  </si>
  <si>
    <t>OEI</t>
  </si>
  <si>
    <t>Fundación Saldarriaga Concha</t>
  </si>
  <si>
    <t>Fundación Empresarios por la Educación-Fundación EXE</t>
  </si>
  <si>
    <t>PORCENTAJE DE DOCENTES</t>
  </si>
  <si>
    <t>AGRUPACIONES</t>
  </si>
  <si>
    <t>Colsubsidio</t>
  </si>
  <si>
    <t>ICBF</t>
  </si>
  <si>
    <t>NIÑOS</t>
  </si>
  <si>
    <t>FUNDASET</t>
  </si>
  <si>
    <t>FUNDASET Y COMITÉ DE CAFETEROS DE CUNDINAMARCA</t>
  </si>
  <si>
    <t>MESES</t>
  </si>
  <si>
    <t>COBERTURA DE VACUNACION</t>
  </si>
  <si>
    <t>% DE HOSPITALES</t>
  </si>
  <si>
    <t>CONTROL PONDERADOR</t>
  </si>
  <si>
    <t>CONTROL PROGRAMACION</t>
  </si>
  <si>
    <t xml:space="preserve">AVANCE_CONTROLADO 2012 - 2015 </t>
  </si>
  <si>
    <t>AVANCE REAL DEL CUATRENIO</t>
  </si>
  <si>
    <t>AVANCE PONDERADO DEL CUATRENIO</t>
  </si>
  <si>
    <t>AJUSTE AL 100%</t>
  </si>
  <si>
    <t xml:space="preserve">ACUMULADO PONDERADOR 2012 Y 2015 </t>
  </si>
  <si>
    <t>FUENTE DE LOS RECURSOS GESTIONADOS</t>
  </si>
  <si>
    <t>RECURSOS GESTIONADOS</t>
  </si>
  <si>
    <t>RECURSOS DE FUNCIONAMIENTO</t>
  </si>
  <si>
    <t xml:space="preserve">OTROS INGRESOS </t>
  </si>
  <si>
    <t>CREDITO</t>
  </si>
  <si>
    <t>SGR</t>
  </si>
  <si>
    <t xml:space="preserve">APORTES TRANSFERENCIAS COFINANCIACION MUNICIPIO </t>
  </si>
  <si>
    <t xml:space="preserve">APORTES TRANSFERENCIAS COFINANCIACION NACION </t>
  </si>
  <si>
    <t xml:space="preserve">SGP </t>
  </si>
  <si>
    <t>RECURSOS EJECUTADOS 2015</t>
  </si>
  <si>
    <t xml:space="preserve">RECURSOS PROGRAMADOS 2015 </t>
  </si>
  <si>
    <t>AJUSTADO AL 100%</t>
  </si>
  <si>
    <t>PORCENTAJE DE AVANCE DE LA META EN 2015</t>
  </si>
  <si>
    <t>AVANCE DE LA META 2015</t>
  </si>
  <si>
    <t>FALTA</t>
  </si>
  <si>
    <t>% PROGRAMADO 2015</t>
  </si>
  <si>
    <t xml:space="preserve"> PROGRAMADO META PRODUCTO 2015</t>
  </si>
  <si>
    <t>PONDERADOR META DE PRODUCTO 2015 (%)</t>
  </si>
  <si>
    <t>%AVANCE REAL</t>
  </si>
  <si>
    <t>PORCENTAJE DE AVANCE DE LA META EN 2014</t>
  </si>
  <si>
    <t>AVANCE DE LA META 2014</t>
  </si>
  <si>
    <t xml:space="preserve"> EJECUTADO_2014_31 DE DIC</t>
  </si>
  <si>
    <t xml:space="preserve"> EJECUTADO_2014_30 DE SEPTIEMBRE</t>
  </si>
  <si>
    <t>% PROGRAMADO 2014</t>
  </si>
  <si>
    <t xml:space="preserve"> PROGRAMADO META PRODUCTO 2014</t>
  </si>
  <si>
    <t>PONDERADOR META DE PRODUCTO 2014 (%)</t>
  </si>
  <si>
    <t>FUENTE RECURSOS GESTIONADOS</t>
  </si>
  <si>
    <t>APORTES TRANSFERENCIAS COFINANCIACION MUNICIPIOS</t>
  </si>
  <si>
    <t>RECURSO PROPIO</t>
  </si>
  <si>
    <t xml:space="preserve">RECURSOS PROGRAMADOS 2013 </t>
  </si>
  <si>
    <t>% AVANCE REAL 2013</t>
  </si>
  <si>
    <t>AVANCE PONDERADO 2013</t>
  </si>
  <si>
    <t>PORCENTAJE DE AVANCE DE LA META EN 2013</t>
  </si>
  <si>
    <t>AVANCE DE LA META A 2013</t>
  </si>
  <si>
    <t>EJECUTADO META DE PRODUCTO 2013 - 31 DE DICIEMBRE</t>
  </si>
  <si>
    <t>% PROGRAMADO o 2013</t>
  </si>
  <si>
    <t>PONDERADOR META DE PRODUCTO 2013 (%)</t>
  </si>
  <si>
    <t xml:space="preserve">RECURSOS PROGRAMADOS 2012 </t>
  </si>
  <si>
    <t>% AVANCE REAL 2012</t>
  </si>
  <si>
    <t xml:space="preserve">PORCENTAJE DE AVANCE 2012 </t>
  </si>
  <si>
    <t xml:space="preserve">AVANCE META_2012 </t>
  </si>
  <si>
    <t>PONDERADOR META DE PRODUCTO 2012 (%)</t>
  </si>
  <si>
    <t>VALOR ESPERADO DEL INDICADOR PRODUCTO CUATRIENIO</t>
  </si>
  <si>
    <t>LINEA BASE INDICADOR PRODUCTO DIC. 2011</t>
  </si>
  <si>
    <t>TIPO DE META</t>
  </si>
  <si>
    <t>UNIDAD DE MEDIDA</t>
  </si>
  <si>
    <t>No M.P.</t>
  </si>
  <si>
    <t>Indicador Cuatrenio</t>
  </si>
  <si>
    <t>Meta Cuatrienio</t>
  </si>
  <si>
    <t>LOGRO ACUMULADRO CUATRIENIO</t>
  </si>
  <si>
    <t>ARTICULACION PERMANENTE ENTRE LA SECRETARIA DE GOBIERNO, ICBF, COMISIARIAS DE FAMILIA CONJUNTAMENTE CON POLICIA DE INFANCIA Y ADOLESCENCIA CON EL FIN DE PROTEGER LA VIDA INTEGRIDAD DE LOS MENORES DE 0A 5 AÑOS</t>
  </si>
  <si>
    <t>EN EL MES DE JULIO SE DISEÑO LA RUTA DE ATENCION Y PROTECCION DE CUNDINAMARCA A VICTIMAS Y POSIBLE VICTIMAS DE LA TRATA DE PERSONAS INCLUYENDO DE MANERA ESPECIFICA A LOS NIÑOS Y NIÑAS DE 0 A 5 AÑOS. EN ESTE PROCESO SE REALIZARON TALLERES PARA QUE LAS AUTORIDADES CONOCIERAN DE FONDO COMO GARANTIZAR LA ATENCION INTEGRAL AL 100% DE LAS VICTIMAS Y POSIBLES VICTIMAS</t>
  </si>
  <si>
    <t>ARTICULACION PERMANENTE ENTRE LA SECRETARIA DE GOBIERNO, ICBF, COMISIARIAS DE FAMILIA CONJUNTAMENTE CON POLICIA DE INFANCIA Y ADOLESCENCIA CON EL FIN DE PROTEGER LA VIDA INTEGRIDAD DE LOS NIÑOS Y NIÑAS DE 6 A 11 AÑOS</t>
  </si>
  <si>
    <t>PROTECCIÓN DE 241 NIÑAS Y 283 NIÑOS VÍCTIMAS DE LAS VIOLENCIAS, CON ALOJAMIENTO, ALIMENTACIÓN, INTERVENCION TERAPEUTICA PROFESIONAL E INTERDISCIPLINARIA PARA EL NIÑOS, NIÑAS Y SUS FAMILIAS EN TRABAJO SOCIAL, PSICOLOGÍA, EDUCACIÓN ESPECIAL (PARA NN CON DISCAPACIDAD), PSICOPEDAGOGIA, FONOAUDIOLOGÍA, TERAPIA OCUPACIONAL, PEDAGOGÍA REEDUCATIVA, NUTRICIÓN, EDUCACIÓN, FORMACIÓN PARA EL TRABAJO, RECREACIÓN, CULTURA, DEPORTE, BUEN USO DEL TIEMPO LIBRE, DESARROLLO DE PROYECTOS PRODUCTIVOS Y OCUPACIONALES.</t>
  </si>
  <si>
    <t>EN EL MES DE JULIO SE DISEÑO LA RUTA DE ATENCION Y PROTECCION DE CUNDINAMARCA A VICTIMAS Y POSIBLE VICTIMAS DE LA TRATA DE PERSONAS INCLUYENDO DE MANERA ESPECIFICA A LOS INFANTES. EN ESTE PROCESO SE REALIZARON TALLERES PARA QUE LAS AUTORIDADES CONOCIERAN DE FONDO COMO GARANTIZAR LA ATENCION INTEGRAL AL 100% DE LAS VICTIMAS Y POSIBLES VICTIMAS</t>
  </si>
  <si>
    <t>ARTICULACION PERMANENTE ENTRE LA SECRETARIA DE GOBIERNO, ICBF, FISCALIA, CON EL DPS DE PRESIDENDIA, CONJUNTAMENTE CON POLICIA DE INFANCIA Y ADOLESCENCIA CON EL FIN DE PREVENCIOS DE HOMICIDIOS Y LA COMISION DE DELITOS EN ADOLECENTES</t>
  </si>
  <si>
    <t>PROTECCIÓN SOCIAL QUE COMPRENDE ALOJAMIENTO, ALIMENTACIÓN, INTERVENCION TERAPÉUTICA PROFESIONAL E INTERDISCIPLINARIA PARA EL ADOLESCENTE Y SU FAMILIA EN TRABAJO SOCIAL, PSICOLOGÍA, EDUCACIÓN ESPECIAL (ADOLESCENTES CON DISCAPACIDAD), PSICOPEDAGOGÍA, FONOAUDIOLOGÍA, TERAPIA OCUPACIONAL, PEDAGOGÍA REEDUCATIVA, NUTRICIÓN, EDUCACIÓN, FORMACIÓN PARA EL TRABAJO, RECREACIÓN, CULTURA, DEPORTE, BUEN USO DEL TIEMPO LIBRE, DESARROLLO DE PROYECTOS PRODUCTIVOS Y OCUPACIONALES.</t>
  </si>
  <si>
    <t>EN EL MES DE JULIO SE DISEÑO LA RUTA DE ATENCION Y PROTECCION DE CUNDINAMARCA A VICTIMAS Y POSIBLE VICTIMAS DE LA TRATA DE PERSONAS INCLUYENDO DE MANERA ESPECIFICA A LOS ADOLENCENTES EN EL MES DE JULIO SE DISEÑO LA RUTA DE ATENCION Y PROTECCION DE CUNDINAMARCA A VICTIMAS Y POSIBLE VICTIMAS DE LA TRATA DE PERSONAS INCLUYENDO DE MANERA ESPECIFICA A ADOLESCENTES. EN ESTE PROCESO SE REALIZARON TALLERES PARA QUE LAS AUTORIDADES CONOCIERAN DE FONDO COMO GARANTIZAR LA ATENCION INTEGRAL AL 100% DE LAS VICTIMAS Y POSIBLES VICTIMAS</t>
  </si>
  <si>
    <t>FORTALECIMIENTO DEL CENTRO DE SERVICIOS JUDICIALES PARA ADOLENCENTES DEL MUNICIPIO DE SOACHA. Y SE DOTO AL CENTRO DE PASO DE PUERTO SALGAR PARAR ATENDER A LOS INFRACTORES DE LA LEY PENAL EN ADOLESCENTES</t>
  </si>
  <si>
    <t>EN EL MES DE JULIO SE DISEÑO LA RUTA DE ATENCION Y PROTECCION DE CUNDINAMARCA A VICTIMAS Y POSIBLE VICTIMAS DE LA TRATA DE PERSONAS INCLUYENDO DE MANERA ESPECIFICA A LOS JOVENES. ADICIONALMENTE SE REALIZO LA CAPACITACION EN LEY 985/05. A LOS PERSONEROS Y SECRETARIOS DE GOBIERNO DE LOS 116 MUNICIPIOS EL 2 DE SEPTIEMBRE DE 2013 EN EL MES DE JULIO SE DISEÑO LA RUTA DE ATENCION Y PROTECCION, EN ESTE PROCESO SE REALIZARON TALLERES PARA QUE LAS AUTORIDADES CONOCIERAN DE FONDO COMO GARANTIZAR LA ATENCION INTEGRAL AL 100% DE LAS VICTIMAS Y POSIBLES VICTIMAS</t>
  </si>
  <si>
    <t>ARTICULACION PERMANENTE ENTRE LA SECRETARIA DE GOBIERNO, ICBF, FISCALIA, CON EL DPS DE PRESIDENDIA, CONJUNTAMENTE CON POLICIA DE INFANCIA Y ADOLESCENCIA CON EL FIN DE PREVENCIOS DE HOMICIDIOS Y LA COMISION DE DELITOS EN JOVENES</t>
  </si>
  <si>
    <t>EN EL MES DE JULIO SE DISEÑO LA RUTA DE ATENCION Y PROTECCION DE CUNDINAMARCA A VICTIMAS Y POSIBLE VICTIMAS DE LA TRATA DE PERSONAS INCLUYENDO DE MANERA ESPECIFICA A LOS JOVENES. ADICIONALMENTE SE REALIZO LA CAPACITACION EN LEY 985/05. A LOS PERSONEROS Y SECRETARIOS DE GOBIERNO DE LOS 116 MUNICIPIOS EL 2 DE SEPTIEMBRE DE 2013</t>
  </si>
  <si>
    <t>ARTICULACION PERMANENTE ENTRE LA SECRETARIA DE GOBIERNO, ICBF, FISCALIA, CON EL DPS DE PRESIDENDIA, CONJUNTAMENTE CON POLICIA DE INFANCIA Y ADOLESCENCIA CON EL FIN DE PREVENCIOS DE HOMICIDIOS Y LA COMISION DE DELITOS EN LOS ADULTOS Y ADULTAS</t>
  </si>
  <si>
    <t>348 MUJERES Y 434 HOMBRES MAYORES DE 60 AÑOS PROTEGIDOS CON ALOJAMIENTO, ALIMENTACIÓN, RECREACIÓN BUEN USO DEL TIEMPO LIBRE, DESARROLLO DE PROYECTOS OCUPACIONALES, SERVICIOS PROFESIONALES ESPECIALIZADOS: TRABAJO SOCIAL, PSICOLOGÍA, GERONTOLOGÍA, NUTRICIÓN, DOTACIÓN INDIVIDUAL DE VESTUARIO Y ASEO, ACCESO A SERVICIOS DE SALUD Y SERVICIOS FUNERARIOS PARA PERSONAS SIN FAMILIA.</t>
  </si>
  <si>
    <t>EN EL MES DE JULIO SE DISEÑO LA RUTA DE ATENCION Y PROTECCION DE CUNDINAMARCA A VICTIMAS Y POSIBLE VICTIMAS DE LA TRATA DE PERSONAS INCLUYENDO DE MANERA ESPECIFICA LOS ADULTOS MAYORES. ADICIONALMENTE SE REALIZO LA CAPACITACION EN LEY 985/05. A LOS PERSONEROS Y SECRETARIOS DE GOBIERNO DE LOS 116 MUNICIPIOS EL 2 DE SEPTIEMBRE DE 2013.</t>
  </si>
  <si>
    <t>ARTICULACION PERMANENTE ENTRE LA SECRETARIA DE GOBIERNO, ICBF, FISCALIA, CON EL DPS DE PRESIDENDIA, CONJUNTAMENTE CON POLICIA DE INFANCIA Y ADOLESCENCIA CON EL FIN DE PREVENCIOS DE HOMICIDIOS Y LA COMISION DE DELITOS EN ADULTOS MAYORES</t>
  </si>
  <si>
    <t>COMO CONDICIONES PREVIAS A LA TITULACION DE PREDIOS SE HA EFECTUADO UNA SERIE DE ACTIVIDADES A SABER: LA CONTRATACION DE UN CARTOGRAFO, UN ABOGADO, A LA FECHA SE HA DESARROLLADO PLANOS DISEÑOS Y ESTUDIOS EN LOS MUNICIPIOS DE SASAIMA, TOPAIPI, SOACHA, PARATEBUENO Y ARBELAEZ</t>
  </si>
  <si>
    <t>JORNADAS PERMANENTE EN LOS 116 MUNICIPIOS CON EL FIN DE LA DULGACION Y CAPACITACION DE QUE LA POBLACION CONOZCA LOS SERVICIOS DE JUSTICIA Y ACCEDAN DE MANERA EFICAZ Y OPORTUNA</t>
  </si>
  <si>
    <t>597 MUJERES Y 567 HOMBRES CON DISCAPACIDAD MENTAL PROTEGIDOS CON ALOJAMIENTO, ALIMENTACIÓN, INTERVENCIÓN TERAPÉUTICA PROFESIONAL E INTERDISCIPLINARIA: PSIQUIATRÍA, TRABAJO SOCIAL, PSICOLOGÍA, GERONTOLOGÍA, NUTRICIÓN, EDUCACIÓN FÍSICA, EDUCACIÓN ESPECIAL, TERAPIA OCUPACIONAL, TERAPIA FÍSICA Y RESPIRATORIA, RECREACIÓN, BUEN USO DEL TIEMPO LIBRE, DESARROLLO DE PROYECTOS OCUPACIONALES, DOTACIÓN INDIVIDUAL DE VESTUARIO Y ASEO, ACCESO A SERVICIOS DE SALUD Y SERVICIOS FUNERARIOS PARA PERSONAS SIN FAMILIA.</t>
  </si>
  <si>
    <t>1 TALLER EN LA PALMA LOS DIAS 17 Y 18 DE JUNIO PARA FORMULAR EL COMIT+E EL CUAL FUE AVALADO POSTERIORMENTE CONSITUYENDOSE ASI EL PRIMER PLAN DE PREVENCIÓN MUNICIPAL, IDENTICA SITUACIÓN SE LLEVO A CABO EN EL MUNICIPIO DE VIOTA DONDE SE LLEVO A CABO LAS REUNIONES PREPARATORIAS Y POSTERIOR AVAL DE LAS MISMAS Y COMO CONSECUENCIA SE LOGRÓ ESTLABLECER EL SEGUNDO PLAN DE PREVENCIÓN POR EL CUAL SE REALIZARON 15 PLANES DE PREVENCION MUNICIPAL PARA LAS VCA</t>
  </si>
  <si>
    <t>REUNION CON SOACHA Y DEL DISTRITO EL 15 DE MAYO, DONDE SE RECAUDAN LOS INSUNMOS Y CON POSTERIORIDAD SE ELABORA LA RUTA DE PROTECCIÓN POR PARTE DE LA OFICINA DE VÍCITMAS DE LA SECRETARÍA DE GOBIERNO, SE ARTICULARON 20 RUTAS DE PROTECCION Y UNA DEPARTAMENTAL PARA LA VIGENCIA 2013</t>
  </si>
  <si>
    <t>SE SUSCRIBIO EL CONTRATO INTERADMINISTRATIVO 076 CON LA CRUZ ROJA COMO ALTERNATIVA DE ATENCIÓN A LA POBLACION VICTIMA DEL CONFLICTO TENIIENDO EN CUENTA LA TRAYACTORIA POR PARTE DE ESTA ENTIDAD SIN ANIMO DE LUCRO EN SITUACIONES SIMILARES</t>
  </si>
  <si>
    <t>TALLER REALIZADO EN EL MUNICIPIO DE LA PALMA, CON EL FIN DE ACTUALIZAR Y FORTALECER EL COMITÉ CREADO</t>
  </si>
  <si>
    <t>SE REALIZARON JORNADAS DE SOCIALIZACION EN COMPAÑIA DE LA SUPERINTENDENCIA DE NOTARIADO Y REGISTRO A FIN DE DIVULGAR LOS PROCESOS HACIENDO HINCAPIE EN QUIENES PUEDEN ACCEDER A ÉSTE</t>
  </si>
  <si>
    <t>SE AJUSTÓ EL PLAN ESTRATEGICO CON LA ASESORIA TECNICA DE LA VICEPRESIDENCIA DE LA REPUBLICA</t>
  </si>
  <si>
    <t>SE SELECCIONARON 10 MUNICIPIOS QUE TIENEN MAYORES INDICES DE PRESION CADA ALCALDE DENTRO DE LOS SUBCOMITES DE ASISTENCIA Y ATENCION 10 FAMILIAS QUE SEGUN LOS CRITERIOS DE LA LEY SEGUN REQUISITOS</t>
  </si>
  <si>
    <t>PROTEGIDOS 84 NIÑOS Y NIÑAS, 77 ADOLESCENTES, 1 ADULTA MAYOR Y 2 HOMBRES CON DISCAPACIDAD MENTAL.</t>
  </si>
  <si>
    <t>LOS DIAS 17 Y 18 DE JUNIO SE EFECTUO EL ACOMPAÑAMIENTO Y FORTALECIMEINTO REALIZADO EN EL MUNICIPIO DE LA PALMA. 100%</t>
  </si>
  <si>
    <t>CONVENIO CON LA REGISTRADURIA NACIONAL A PARA CONJUNTAMENTE CON LA OFICINA DE VICITMAS DEL CONFLICTO ARMADO DE LA SECRETARIA DE GOBIERNO SE IDENTIFIQUE CLARAMENTE LAS VCA DEL DEPARTAMENTO</t>
  </si>
  <si>
    <t>CARACTERIZAR LA POBLACION VCA POR CAUSA DEL HECHO VICTIMIZANTE MAP Y MUSE A TRAVES DEL IMSMA "SOFTWARE Y CAPACITACION", PARA REALIZAR UN LEVATAMIENTO DEL CENSO CON APOYO DE ALCALDES, PERSONEROS Y LA CRUE, EN LOS MUNICIPIOS DONDE EXISTAN CASOS DE HECHO VICTIMIZANTE MENCIONADO.</t>
  </si>
  <si>
    <t>SE CONCERTÓ CON LA DRA. ADRIANA RAMIREZ SECRETARIA DE GOBIERNO RECIBIR LA META PARA SU EJECUCIÓN DEBIDO A QUE EN EL DECRETO ORDENANZAL 08 DEL 01 DE ENERO DE 2012, Y EN PARTICULAR LOS ARTÍCULOS 138, 142 Y 143 LA DIRECCIÓN, COORDINACIÓN Y ARTICULACIÓN DE LA POLÍTICA PÚBLICA PARA LA ATENCIÓN, ASISTENCIA Y REPARACIÓN INTEGRAL DE LAS VICTIMAS DEL CONFLICTO ARMADO EN EL DEPARTAMENTO DE CUNDINAMARCA CORRESPONDE A LA SECRETARÍA DE GOBIERNO, POR LO CUAL FUE CREADA LA OFICINA DE ATENCIÓN INTEGRAL A LAS VICTIMAS DEL CONFLICTO INTERNO.</t>
  </si>
  <si>
    <t>SOLO SE PROGRAMO ACTIVIDAD PARA EL MES DE DICIEMBRE, NO OBSTANTE SE HA VENIDO SOCIALIZANDO EL TEMA SOBRE QUE COMUNIDAD QUIERE QUE SE APOYE EN LA RENDICION QUE POR LEY DEBE EFECTUAR</t>
  </si>
  <si>
    <t>SE CUMPLIO EL 100% DE LA META YA QUE A LA FECHA ESTA ENTREGADA LA CARTOGRAFIA BASICA ESCALA 1:10.000 A 59 MUNICIPIOS DEL DEPARTAMENTO LO CUAL SUPERA EL 50% PROGRAMADO</t>
  </si>
  <si>
    <t>SE LLEVO A CABO LA SOCIALIZACION DE LEY 1523 EN LA TOTALIDAD DE LOS MUNICIPIOS DE DEPARTAMENTO, LOGRANDO IDENTIFICAR LA POBLACION OBJETIVO MEDIANTE EL DIAGNOSTICO DE VULNERABILIDAD INSTITUCIONAL PARA LO CUALS E TRABAJO EN ASOCIO CON LA UNGRD, BRINDANDO ACOMPAÑAMIENTO A 22 MUNICIPIOS CON MÁS ALTOS INDICES DE NBI ( MUN MIILENIO) LO ANTERIOR PERMITIO PRIORIZAR ALGUNOS EJES DE ACCION QUE SE TRABAJARON DE MANERA TRASVERSAL CON LA SECRETARIA DE PLANEACION, IMPACTANDO DE MANERA DIRECTA EN 4 PROVINCIAS (RIONEGRO, ORIENTE, MEDINA, SUMAPAZ)</t>
  </si>
  <si>
    <t>LA UAEGRDC SE HA IMPLEMENTADO 4 OBRAS EN LOS MUNICIPIOS DE MEDINA, CAQUEZA Y LA MESA.</t>
  </si>
  <si>
    <t>SE HA INICIADO LA ATENCION DE MONITOREO EN LA ZONA CRITICA DEL MUNICIPIO DE UTICA, MEDIANTE EL DIAGNOSTICO DEL SISTEMA DE ALERTAS TEMPRANAS Y LA IMPLEMENTACION MEDIANTE COOPERACION INTERINSTITUCIONAL PARA LA EMISORA COMUNITARIA; SE REALIZO ACOMPAÑAMIENTO CON LA UNGRD PARA EL AJUSTE EL ESQUEMA DE ORDENAMIENTO TERRIRORIAL DEL MUNICIPIO EL CUAL FUE PRESENTADO A CAR.</t>
  </si>
  <si>
    <t>SE HA APOYADO AL 100% DE LA POBLACION REPORTADA (5942 PERSONAS) POR SITUACIONES DE EMERGENCIA O DESASTRE, EN 25 MUNICIPIOS MEDIANTE LA ENTREGA DE 12104 ELEMENTOS DE AYUDA HUMANITARIA LOS CUALES HAN SIDO GESTIONADOS A TRAVES DEL GOBIERNO NACIONAL - UNGRD.</t>
  </si>
  <si>
    <t>FORTALECIERON ALREDEDOR DE 15 MUNICIPIOS DONDE SU ORGANIZACIONES COMUNITARIAS(63 ORGANIZACIONES COMINITARIAS APOYADAS EN LAS MISMAS 63 VEREDAS) CONTARON CON EL APOYO DEPARTAMENTAL EN GESTION DEL RIESGO DE DESASTRES LOGRANDO MAYORES ESTANDARES DE CONOCIMIENTO DE MITIGACION DE DESASTRES</t>
  </si>
  <si>
    <t>DURANTE EL PERIODO AUDITADO LA GERENCIA DEL INSTITUTO GESTIONÓ LA CONSECUCIÓN DE LOS RECURSOS PARA PODER CUMPLIR CON ÉSTAS OBLIGACIONES.</t>
  </si>
  <si>
    <t>EN PROCESO LA REALIZACIÓN DEL INVENTARIO DE LOS CAMINOS REALES QUE NECESITAN INTERVENCIÓN. MAS SIN EMBARGO Y LUEGO DEL CORRESPONDIENTE INVENTARIO, SE HAN INTERVENIDO 14.700 MTS CUADRADOS</t>
  </si>
  <si>
    <t>SE CONSTRUYÓ Y ENTREGÓ UN PARADOR TURÍSTICO EN MESITAS DEL COLEGIO A FINALES DEL AÑO PASADO. PARA ÉSTE AÑO SE ESTÁ EN NEGOCIACIONES PARA INTERVENIR Y REALIZAR PARADORES TURÍSTICOS EN DOS MUNICIPIOS MAS.</t>
  </si>
  <si>
    <t>SE CONTRATO EL ESTUDIOS DE PREFACTIBILIDAD DE UN CENTRO DE INNOVACION ORIENTADO A LA INNOVACION RURAL EN LA PROVINCIA DE SUMAPAZ. ADICIONALMENTE, EN ALIANZA CON EL PROGRAMA DE LAS NACIONES UNIDAS PARA EL DESARROLLO -PNUD-, SE DESARROLLAN ACCIONES ORIENTADAS AL DISEÑO DE LA ESTRATEGIA TÉCNICA PARA LA CONFORMACIÓN DEL CENTRO DE INNOVACIÓN SOCIAL BAJO LA PERSPECTIVA DE LAS METAS ODM EN EL MUNICIPIO DE SOACHA.</t>
  </si>
  <si>
    <t>SE FIRMÓ UN CONVENIO CON LA UNIVERSIDAD NACIONAL DE COLOMBIA Y LA SECRETARIA DISTRITAL DE DESARROLLO ECONOMICA EN EL MARCO DEL CUAL SE LLEVARÁ A CABO LA EJECUCION DEL PROYECTO APROBADO POR EL OCAD DE CTEI DEL SGR.</t>
  </si>
  <si>
    <t>SE CUENTA A LA FECHA CON UN DIAGNOSTICO QUE HA PERMITIDO ESTABLECER RECOMENDACIONES PARA LOS SECTORES INDAGADOS (MANUFACTURERO, ALIMENTOS, TICS, ENTRETENIMIENTO, TURISMO Y AGROPECUARIO) PARA EL PROCESO DE APROPIACION DE INTANGIBLES EN EL DEPARTAMENTO.</t>
  </si>
  <si>
    <t>SE COORDINO CON LA POLICIA NACIONAL EL AUMENTO DEL PIE DE FUERZA EN AL MENOS 42 MUNICIPIOS DEL DEPARTAMENTO</t>
  </si>
  <si>
    <t>FORTALECIMIENTO DE LA FUERZA PUBLICA EN DOTACION LOGISTICA Y COMUNICIACIONES CON EL FIN DE SATISFACER LA NECESIDADES DE LA CONVIVIENCIA CIUDADANA EN EL DEPARTAMENTO DE CUNDINAMARCA.</t>
  </si>
  <si>
    <t>MEJORARON 6 INSTALACIONES DE LA FUERZA PUBLICA EN DEPARTAMENTO DE CUNDINAMARCA LOGRANDO EL CUMPLIMIENTO DE LA META EN EL 2013</t>
  </si>
  <si>
    <t>CONSTRUCCION DE LA ESTACION DE POLICIA DEL MUNICIPIO DE SIBATE EN EL DEPARTAMENTO DE CUNDINAMARCA</t>
  </si>
  <si>
    <t>DESDE EL MES DE SEPTIEMBRE SE HA IMPLEMENTADO EL OBSERVATORIO DE LA DELICUENCIA DEL DELITO EN EL DEPARTAMENTO APOYO PERMANENTE DE LA FISCALIA GENERAL DE LA NACION, SIGIN, DIGIN Y COOPERACION CON LA POLICIA DEL DISTRITO DE BOGOTA CON EL FIN DE CRUZAR INFORMACION PARA BAJAR LOS INDICIDES DE DELICIENCIA, HOMICIDIOS, HURTOS, ROBOS DOMICILIARIOS Y DEMAS</t>
  </si>
  <si>
    <t>PROGRAMACION DE 16 BRIGADAS EN LOS MUNICIPIOS DE DEPARTAMENTO CON EL FIN DE ACERCA A LA COMUNIDAD LA FUERZA PUBLICA Y HAYA UNA MAYOR INTERACCION CON ELLA Y QUE ACCIONES SOCIALES CONTUNDENTES LA COMUNIDAD SE FORTALECE</t>
  </si>
  <si>
    <t>SE HA APOYODO AL REDERDOR DE 15 MUNICIPIO EN SU ACTIVACION DE LOS COMITES PARA LA PREVENCION DE LA PRODUCCION COMERCIALIZACIN Y CONSUMO DE DROGAS Y SUSTANCIAS PSICOACTIVAS EN DONDE SE PROMUEVE LA PARTICIAPACION CIUDADANA.</t>
  </si>
  <si>
    <t>LA SECRETARIA DE GOBIERNO PRESTA APOYO PERMANENTE A MEJORAR LAS CONDICIONES DE LAS INSTALACIONES DE JUSTICIA DEL DEPARTAMENTO</t>
  </si>
  <si>
    <t>CONJUNTAMENTE CON EL TRUBUNAL SUPERIOR DE CUNDINAMARCA Y LA UNIVERSIDAD DEL CUNDINAMARCA SE CAPACITARA A 400 FUNCIONARIOS EN MECANISMOS Y PROCEDIMEINTOS EFECTIVOS PARA QUE LA CIUDADANIA ACCEDA FACILMENTE A LA JUSTICIA Y LOS FUNCIONARIOS SEPAN QUE LOS PROBLEMAS QUE ATENTAN CON SU BIENETAR A NIVEL DE JUSTICIA.</t>
  </si>
  <si>
    <t>EL DEPARTAMENTO DE CUNDINAMARCA HA APOYADO DOS CENTROS PARA LA TENCION DE INFRACTOR AL MENOR EN SOACHA Y PUERTO SALGAR CON EL FIN DE DAR CUMPLIMIENTO A LA LEY DE INFRACTOR AL MENOR</t>
  </si>
  <si>
    <t>SE DOTARAN AL MENOS 5 CENTROS CARCELARIOS EN EL DEPARTAMENTO CON FRAZADAS, CONCHONES, INMOBILIARIO, INFRAESTRUCTURA Y DEMAS NECESIDADES QUE SE REQUIERE TODO ESTO SE LOGRA EN EL ULTIMO TRIMESTRE DEL DEPARTAMENTO</t>
  </si>
  <si>
    <t>ACTIVIDAD PROGRAMADA A PARTIR DEL MES DE JUNIO, SE HAN DADO REUNIONES CON DIFERENTES ALCALDES A FIN DE ESTABLECER EL INTERES SOBRE EL TEMA Y POR PARTE DE QUE MUNICIPIO SE ESTÁ EN CONDICION DE APORTAR EL PREDIO PARA DESARROLLAR EL PROYECTO</t>
  </si>
  <si>
    <t>NO TIENE AVANCE POR NO HABERSE PROGRAMADO ACTIVIDA EN EL PRIMER Y SEGUNDO TRIMESTRE</t>
  </si>
  <si>
    <t>CONJUNMENTE MUNICIPIOS SECRETARIAS DE GOBIERNO ALCALDES Y COMISION DE FAMILIA HAN CAPACITADO EN NORMAS VIGENTES EN FAMILIA Y A PARTIR DE MES NOVIEMNRE TODOS LOS COMISARIOS POR DISPOSICION DE LA SEÑORA SECRATRIA DE GOBIERNO TENDRAN UNA HERRAMIENTO (COMPUTADOR E IMPRESORA) PARA MAYOR EFECTIVIDAD EN SU GESTION MUNICIPAL</t>
  </si>
  <si>
    <t>EL 29 DE OCTUBRE DE 2013 SE CREO Y SE PUSO EN FUNCIONAMIENTO LA INSTANCIA TERROTORIAL DE DERECHOS HUMANOS Y DERECHO INTERNACIONAL HUMANITARIO EN EL DEPARTAMENTO DE CUNDINAMARCA PARA LOGRAR LA COORDINACION ARTICULACION IMPLEMENTACION Y EL SEGUIMIENTO DE LA POLITICA PUBLICA DE DERECHOS HUMANOS Y DERECHO INTERNACIONAL HUMANITARIO</t>
  </si>
  <si>
    <t>NO TIENE AVANCE POR NO HABERSE PROGRAMADO ACTIVIDADES PARA EL PRIMER Y SEGUNDO TRIMESTRE</t>
  </si>
  <si>
    <t>LAS SECRETARIA DEL DEPARTAMENTO DE CUNDINAMARCA ESTAN PRIORIZANDO LA ESTRATEGIA DE PROMOCION RESPETO Y RECONCILIZACION DEL DEPARTAMENTO DE CUNDINAMARCA CON EL FIN DE SER UN DEPARTAMENTO PIONERO EN POSCONCLICTO ESTA ARTICULACION ESTA LIDERADA POR LAS SECRETARIA DE GOBIERNO Y COOPERCION INTERNACIONAL Y TODAS LAS ENTIDADES CENTRALIZADAS Y DESCENTRALIZADAS.</t>
  </si>
  <si>
    <t>ESTA META LA REPORTA SECRETAARIA DE PRENSA</t>
  </si>
  <si>
    <t>RECONOCIMIENTO POR PARTE DE LOS ACTORES INTERNOS (FUNCIONARIOS) Y EXTERNOS (FUNCIONARIOS MUNICIPALES Y COMUNIDAD) DE LA HERRAMIENTA REDPEC COMO UN MEDIO DE INTERACCIÓN PARA TENER ACCESO A INFORMACIÓN DE INTERÉS, QUE SE EVIDENCIA EN EL ÉXITO DE LAS CONVOCATORIAS REALIZADAS POR ESTE MEDIO. SE COORDINO LA ELABORACION DEL PLAN ANTICORRUPCION EL CUAL FUE CALIFICADO POR EL DNP COMO EL MEJOR PLAN A NIVEL NACIONAL, EN ESPECIAL POR SU COMPONENTE DE RENDICION DE CUENTAS.</t>
  </si>
  <si>
    <t>DESDE LA DIR. DE POLITICAS PUBLICAS SE TRABAJA EN LA CONSOLIDADION DE 2 MECANISMOS DE GESTION, UNO DE ORDEN LOCAL, EN LO RELACIONADO CON EL ACOMPAÑAMIENTO AL DESARROLLO DE LA INICATIVA OVOP EN EL MUNICIPIO DE SUSA.</t>
  </si>
  <si>
    <t>SE DEFINIÓ Y ESTRUCTURÓ UN PROGRAMA PARA APOYAR A 53 MUNICIPIOS DEL DEPARTAMENTO EN PROCESOS DE FISCALIZACIÓN Y RECUPERACIÓN DE CARTERA TRIBUTARIA.. EL PROCESO NO SE ADJUDICO</t>
  </si>
  <si>
    <t>SE INGRESO A LAS BASES DE DATOS MUNICIPALES LA INFORMACION DE LOS SECRETARIOS DE GOBIERNO, JEFES DE CONTROL INTERNO, WEB MASTER, DIRECTORES DE CASA DE CULTURA PARA UN TOTAL 500 NUEVOS USUARIOS.</t>
  </si>
  <si>
    <t>NO PRESENTA AVANCE, SE HA APOYADO LOS PROCESOS ELECTORALES ATÍPICOS EN LOS MUNICIPIOS DE COTA Y MACHETA</t>
  </si>
  <si>
    <t>EN EL MARCO DE LA JORNADA DE RENDICIÓN DE CUENTAS PARA ALCALDES LA CUAL SE REALIZO EN LA CIUDAD DE GIRARDOT EL 8 Y 9 DE MARZO DE 2103 SE REALIZÓ LA PRIMERA FERIA INSTITUCIONAL Y DE SERVICIOS.</t>
  </si>
  <si>
    <t>DE CONFORMIDAD CON LA META SE PROGRAMA LA DOTACION ADUCUACION, MEJAMIENTO DE LA CASAS DE GOBEIRNO DEL DEPARTAMENTO DE CUNDINAMARCA EN AL MENOS 8 MUNICIPIOS DEL DEPARTAMENTO DE CUNDINAMARCA</t>
  </si>
  <si>
    <t>SE HA DADO CUMPLIMIENTO A LO ESTABLECIDO EN LOS ARTICULOS 12 Y 35 DE LA LEY 152/94, PREESTANDO EL APOYO ADMINISTRATIVO Y LOGISTICO INDISPENSABLE APRA EL FUNCIONAMIENTO DEL CONSEJO Y ADICIONALMENTE SE REALIZÓ EL 9° CONGRESO DEPTAL DE PLANEACIÓN CON LA ASISTENCIAS DE 161 PARTICIPANTES A LOS CUALES SE LES SUMINSITRO ALIMENTACIÓN, ALOJAMIENTO, TRASPORTE Y SE REALIZÓ LA GESTION PARA CONTAR CON LA PARTICIPACION DE CONFERENCIASTAS DE RECONOCIDA TRAYECTORIA EN LOS TEMAS SELECCIONADOS POR LOS CONSEJEROS, A SABER: ESQUEMAS ASOCIATIVOS, ORDENAMIENTO TERRIOTIRAL, SGR Y PAPEL DEL CONSEJERO TERRITORIAL.</t>
  </si>
  <si>
    <t>CREACION Y FORMACION DE VEEDURIAS CIUDADANAS EN LAS 15 PROVINICAS DEL DEPARTMENTO</t>
  </si>
  <si>
    <t>CONTACTO CON EL IGAC PARA EL INTERCAMBIO DE CONOCIMIENTO EN EL PROCEDIMIENTO PARA ELABORAR EL MAPA DE COBERTURA VEGETAL EN EL MARCO DEL CONVENIO INTERADMINSITRATIVO NO. 06 DE 2008</t>
  </si>
  <si>
    <t>SE GENERARON 4 PUBLICACIONES:</t>
  </si>
  <si>
    <t>DOCUMENTO DE LINEAMIENTOS PARA LA GENERACIÓN DE CARTOGRAFÍA PARA POT</t>
  </si>
  <si>
    <t>SE ADELANTA ACOMPAÑAMIENTO TÉCNICO A LOS 116 MUNICIPIOS EN EL USO Y ANÁLISIS DE INSTRUMENTOS DE SY E (PLAN INDICATIVO, PLAN DE ACCIÓN, POAI, SICEP) LOS CUALES PROCESAN Y REPORTAN LA INFORMACIÓN DE AVANCE ESTRATÉGICO Y FINANCIERO EN EL SICEP.</t>
  </si>
  <si>
    <t>4 ENCUESTAS: 3 DE PERCEPCIÓN CIUDADANA RENDICIÓN DE CUENTAS, 1 MUESTRA DE PERCEPCION GESTION</t>
  </si>
  <si>
    <t>META DE RESULTADO ASOCIADA</t>
  </si>
  <si>
    <t xml:space="preserve">RECURSOS PROGRAMADOS_META 2014 </t>
  </si>
  <si>
    <t xml:space="preserve">RECURSOS EJECUTADOS_META 2014 </t>
  </si>
  <si>
    <t>INDICADOR PRODUCTO 2015</t>
  </si>
  <si>
    <t>MINAS ILEGALES</t>
  </si>
  <si>
    <t>REDUCCIÓN DEL NUMERO DE MINAS ILEGALES</t>
  </si>
  <si>
    <t>NUMERO DE FAMILIAS CON AHORRO EN COSTO DEL SERVICIO DE GAS</t>
  </si>
  <si>
    <t>NUMERO DE  INSTANCIAS DE PARTICIPACIÓN CIUDADANA EN EL DESARROLLO DE PROGRAMAS Y PROYECTOS</t>
  </si>
  <si>
    <t>BENEFICENCIA.</t>
  </si>
  <si>
    <t>CORSOCUN.</t>
  </si>
  <si>
    <t>EPC.</t>
  </si>
  <si>
    <t>ICCU.</t>
  </si>
  <si>
    <t>IDECUT.</t>
  </si>
  <si>
    <t>INDEPORTES.</t>
  </si>
  <si>
    <t>IDACO.</t>
  </si>
  <si>
    <t>VIVIENDA.</t>
  </si>
  <si>
    <t>AGRICULTURA.</t>
  </si>
  <si>
    <t>AMBIENTE.</t>
  </si>
  <si>
    <t>CIENCIA_Y_TECNOLOGIA.</t>
  </si>
  <si>
    <t>COMPETITIVIDAD.</t>
  </si>
  <si>
    <t>COOPERACION.</t>
  </si>
  <si>
    <t>DESARROLLO_SOCIAL.</t>
  </si>
  <si>
    <t>EDUCACION.</t>
  </si>
  <si>
    <t>FUNCION_PUBLICA.</t>
  </si>
  <si>
    <t>GENERAL.</t>
  </si>
  <si>
    <t>GOBIERNO.</t>
  </si>
  <si>
    <t>HACIENDA.</t>
  </si>
  <si>
    <t>INTEGRACION_REGIONAL.</t>
  </si>
  <si>
    <t>TIC.</t>
  </si>
  <si>
    <t>MINAS.</t>
  </si>
  <si>
    <t>MOVILIDAD.</t>
  </si>
  <si>
    <t>PLANEACION.</t>
  </si>
  <si>
    <t>PRENSA.</t>
  </si>
  <si>
    <t>SALUD.</t>
  </si>
  <si>
    <t>UAEPRAE.</t>
  </si>
  <si>
    <t>PROGRAMACION POAI_ 2016</t>
  </si>
  <si>
    <t>COMPARATIVO - 2015</t>
  </si>
  <si>
    <t>SE HA LOGRADO UNA GRAN COBERTURA DEBIDO A LA GESTION DE RECURSO , ALIANZAS ESTRATEGICAS ENTRE OTROS</t>
  </si>
  <si>
    <t>31 DE AGOSTO DE 2015</t>
  </si>
  <si>
    <t>A PARTIR DE LA FORMULACION DE LOS PROYECTOS QUE A LA FECHA SON FINANCIADOS CON RECURSOS DEL SGR, SE HA LOGRADO LA CONSOLIDACION DE CINCO NODOS DE INNOVACION: SOCIAL, RURAL, PRODUCTIVA, INSTITUCIONAL Y DE INVESTIGACION Y DESARROLLO. LA ITEGRACION DE ESTOS NODOS SE REALIZA A PARTIR DE DOS GRANDES REDES, CUYO PRINCIPAL OBJETIVO ES LA ARTICULACION DE LOS PRINCIPALES ACTORES DEL SISTEMA DEPARTAMENTAL DE CTEI COMO UNIVERSIDADES, CDT, CENTROS DE INVESTIGACION, GRUPOS DE INVESTIGACION, SECTORES SOCIALES, EMPRESAS Y EMPRESARIOS,, ENTRE OTROS.</t>
  </si>
  <si>
    <t>GRACIAS A LA DINÁMICA DESARROLLADA POR EL DEPARTAMENTO EN EL MARCO DE LA NUEVA LEY DEL SISTEMA GENERAL DE REGALÍAS , SE VIENEN IMPLEMENTANDO EN CONCIERTO CON LAS SECRETARIAS DE EDUCACION Y DE SALUD DEL DEPARTAMENTO, DOS PROYECTOS SECTORIALES.</t>
  </si>
  <si>
    <t>LAS ALIANZAS INTERNACIONALES SUSCRITAS CON LA OEA Y CON NACIONES UNIDAS, HAN PERMITIDO ADELANTAR PROCESOS DE PROMOCION Y APROPIACION DE LA CTEI EN LOS MUNICIPIOS DEL DEPARTAMENTO, UNO DE LOS LOGROS MAS IMPORTANTE EN ESTE ASPECTO, HA SIDO EL DISEÑO Y DESARROLLO DEL PRIMER PREMIO AL MUNICIPIO MAS INNOVADOR, EL CUAL, ESTA ORIENTADO A PREMIAR AL MUNICIPIO CUYAS PRÁCTICAS INNVADORAS HAYAN PERMITIDO UN MEJORAMIENTO EN LA PRESTACION DE LOS SERVICIOS PUBLICOS LOCALES.</t>
  </si>
  <si>
    <t>LA SEMANA DE LA CTEI SE HA CONVERTIDO EN UN ESPACIO DE DEMOCRATIZACION Y APROPIACION DEL CONOCIMIENTO A PARTIR DE ACTIVIDADES DE COCREACION, PROTOTIPADO Y SOCIALIZACION DE INICIATIVAS EN CTEI FOMENTADAS POR JÓVENES INVESTIGADORRES DEL DEPARTEMNTO, EMPRESARIOS Y LÍDERES CUNDINAMARQUESES, ESTE ESPACIO HA LOGRADO POSICIONARSE DE MANERA TAL QUE LAS COMUNIDADES DEMANDAN AÑO A AÑO EL DESARROLLO DE ESTE ENCUENTRO.</t>
  </si>
  <si>
    <t>LOS PREMIOS A LA INNOVACION CONSTITUYEN HOY INCENTIVOS DETERMINANTES EN EL PROCESO DE APROPIACION DE LA CTEI EN EL DEPARTAMENTO, ESTA ESTRATEGIA MOTIVA TANTO A LOS MUNICIPIOS, COMO A LOS EMPRESARIOS Y COMUNIDAD EN GENERAL A PARTIRCIPAR Y HACER PARTE DE LOS PROCESOS DE APROPIACION SOCIAL DE LA CTEI EN EL DEPARTAMENTO, CON EL PROPOSITO DE GENERAR CAPITAL SOCIAL SUFICIENTE PARA SOPORTAR UN PROCESO DE DESARROLLO CON BASE EN CTEI.</t>
  </si>
  <si>
    <t>LA FORMACION EN MATERIA DE INNOVACION Y CIENCIA Y TECNOLOGIA SON ESTRATEGIAS IMPRESCINDIBLES PARA PROMOVER LA APROPIACION DEL CONOCIMIENTO EN LO LOCAL. CUNDINAMARCA HA LOGRADO FORMAR MAS DE 1000 LIDERES INNOVADORES A PARTIR DE LOS PROYECTOS LIDERADOS POR LA SECRETARIA DE CTEI EN TRES AÑOS DE FUNCIONAMIENTO.</t>
  </si>
  <si>
    <t>SE CUENTA CON CINCO (5) PROYECTOS APROBADOS POR EL OCAD DEL FONDO CTEI DEL SGR ORIENTADOS AL FORTALECIMIENTO DE LAS CAPACIDADES Y COMPETENCIAS REQUERIDAS PARA LA GENERACIÓN DE CONOCIMIENTO Y TRANSFERENCIA DE TECNOLOGÍA ENFOCADAS HACIA EL FOMENTO DE LA CONVERGENCIA TECNOLÓGICA (TIC'S, BIOTECNOLOGÍA Y GESTIÓN SOSTENIBLE, APROVECHAMIENTO DE LOS RECURSOS GENÉTICOS.</t>
  </si>
  <si>
    <t>A LA FECHA SE HAN DESARROLLADO TRES (3) PROGRAMAS PARA LA FORMACION DE EMPRESARIOS Y EMPRENDEDORES EN EL FOMENTO DEL EMPRENDIMIENTO E INNOVACION DE BASE TECNOLOGICA, LO CUAL HA PERMITIDO BRINDAR HERRAMIENTAS PARA EL MEJORAMIENTO PRODUCTIVO DEL DEPARTAMENTO.</t>
  </si>
  <si>
    <t xml:space="preserve">SE ACOMPAÑÓ LA FORMULACION DE UN PROYECTO SOBRE EL ESTUDIO DE LA DIVERSIDAD DE ORQUIDEAS NATIVAS EN EL DEPARTAMENTO, EL CUAL HARÁ PARTE DEL BANCO DE PROYECTOS EN CTEI Y BIODIVERSIDAD PREVISTOS EN EL PLAN DE DESARROLLO. ADICIONALMENTE, SE CREÓ EL BANCO DE SABERES TRADICIONALES, EL CUAL CUENTA CON UN PUBLICACION DEDIDCADA A RECURPERAR PARTE DE LA MEMORIA HISTORICA DEL DEPARTAMENTO, LA CUAL FUE LANZADA EN EL AÑO DEL BICENTENARIO DE CUNDINAMARCA. </t>
  </si>
  <si>
    <t>POR MEDIO DE LA PARTICIPACIÓN EN FERIAS INTERNACIONALES SE HA LOGRADO PROMOCIONAR LOS PRODUCTOS DE NUESTRO DEPARTAMENTO, PERMITIENDO A LOS EMPRESARIOS CONOCER ACERCA DEL MERCADO EXTRANJERO, LAS VENTAJAS COMPARATIVAS Y OPORTUNIDADES DE SUS PRODUCTOS RESPECTO A LOS PRODUCTOS DE LA COMPETENCIA, CONTACTAR CLIENTES POTENCIALES A TRAVES DE LA PARTICIPACIÒN EN RUEDAS DE NEGOCIOS. IGUALMENTE, GENERANDO EN LOS EMPRESARIOS LA NECESIDAD DE MEJORAR SU PRODUCTO A TRAVES DE LA INNOVACION Y LA GENERACION DE VALOR AGREGADO FORTALECIENDO SU MERCADO REGIONAL CON MIRAS A LA INTERNACIONALIZACION.</t>
  </si>
  <si>
    <t xml:space="preserve">DADO QUE LA CEPAL MODIFICÓ LA METODOLOGIA, YA NO SE TIENE MEDICIÓN INDIVIDUAL PARA CUNDINAMARCA, SINO EL AGREGADO REGIONAL BOGOTA/CUNDINAMARCA.  </t>
  </si>
  <si>
    <t>CON BASE EN UN INFORME EXTRAOFICIAL QUE ENVÍO LA CEPAL SE EVIDENCIA QUE EL DEPARTAMENTO MANTIENE EL SEXTO PUESTO EN EL ESCALAFON, SUPERADO POR BOGOTA, ANTIOQUIA, VALLE,  SANTANDER Y ATLANTICO, UBICANDOSE EN EL RANGO MEDIO ALTO.  ES IMPORTANTE MEJORAR EN ASPECTOS DE COMERCIO INTERNACIONAL Y  TRANSFORMACIÓN PRODUCTIVA</t>
  </si>
  <si>
    <t>DEMORA EN LA PUBLICACIÓN DE LOS RESULTADOS POR PARTE DEL SISTEMA SIEX  QUE A LA FECHA NO HA REALIZADO REPORTES DEL 2015  EN SU PLATAFORMA Y EL DANE REGITRA ESTADISTICAS DESDE EL MES DE ENERO HASTA EL MES DE JUNIO DE 2015.</t>
  </si>
  <si>
    <t xml:space="preserve">EL COMPORTAMIENTO DE LA EXPORTACIONES EN LO CORRIDO DEL AÑO 2015 DE ENERO A JUNIO DE 2015, SE HA VISTO AFECTADO POR LA DISMINUCIÓN DE LAS VENTAS EXTERNAS EN CIERTOS SECTORES DE LA ECONOMÍA COMO LO ES EL SECTOR QUÍMICO, TEXTILES Y CONFECCIONES, VEHÍCULOS, METALMECÁNICA Y PECUARIO, TENIENDO EN CUENTA QUE LOS PAÍSES QUE REPRESENTAN UNA MAYOR ACTIVIDAD COMERCIAL SON: ESTADOS UNIDOS, UNIÓN EUROPEA, CHINA, PANAMÁ, E INDIA  ESTO FRENTE AL MISMO PERIODO DE TIEMPO DEL 2014 REPRESENTA UNA DISMINUCIÓN EN LAS EXPORTACIONES TOTALES, DEBIDO A LA CRISIS ECONÓMICA QUE SE HA VENIDO DESARROLLANDO A NIVEL MUNDIAL, LA DEPRECIACIÓN DEL PESO DE LOS ÚLTIMOS AÑOS, LA DISMINUCIÓN CONTINUA LIGADA AL PRECIO INTERNACIONAL DEL  PETRÓLEO Y LA FALTA DE INNOVACIÓN EN LA TRANSFORMACIÓN DE COMMODITIES, YA QUE ES UNO DE LOS FUERTES DE CUNDINAMARCA, SIN EMBARGO, VALE LA PENA RESALTAR EL CRECIMIENTO DE LAS EXPORTACIONES DE LOS SECTORES AGROINDUSTRIA, YA QUE CUNDINAMARCA CONTRIBUYE EN EL MES DE JUNIO CON UN 7,1 %  AL TOTAL DE LAS EXPORTACIONES DE COLOMBIA. </t>
  </si>
  <si>
    <t>SE IMPLEMENTÓ EL PROGRAMA DE MATROGIMNASIA COMO ESTRATEGIA DE ATENCIÓN Y DESARROLLO MOTRIZ A LA PRIMERA INFANCIA DEL DEPARTAMENTO, CON UNA INVERSIÓN SIGNIFICATIVA QUE LOGRÓ LA DOTACIÓN DE CENTROS PARA LA INSTALACIÓN DE GIMNASIOS DE DESARROLLO MOTRIZ DIRIGIDOS A LA PRIMERA INFANCIA E INFANCIA, EN 64 MUNICIPIOS QUE GARANTIZA LA PERMANENCIA DEL PROGRAMA EN EL TERRITORIO.</t>
  </si>
  <si>
    <t>CONSOLIDACIÓN DEL GRUPO DE PROMOTORES DE LA RECREACIÓN EN EL DEPARTAMENTO, GARANTIZANDO LA ORGANIZACIÓN Y DESARROLLO DE EVENTOS RECREATIVOS EN EL 50% DE MUNICIPIOS DEL DEPARTAMENTO, BAJO PROCESOS DE ACCIÓN PARTICIPATIVA Y DINÁMICA, QUE FACILITAN EL ENTENDER LA VIDA COMO UNA VIVENCIA DE DISFRUTE, CREACIÓN Y LIBERTAD, EN EL PLENO DESARROLLO DE LAS POTENCIALIDADES DEL SER HUMANO PARA SU REALIZACIÓN Y MEJORAMIENTO DE LA CALIDAD DE VIDA INDIVIDUAL Y SOCIAL, MEDIANTE LA PRÁCTICA DE ACTIVIDADES FÍSICAS O INTELECTUALES DE ESPARCIMIENTO.</t>
  </si>
  <si>
    <t>SE FORTALECIÓ EL PROGRAMA DE DEPORTE FORMATIVO, BRINDADNDO APOYO FINANCIERO A LAS ESCUELAS DE FORMACIÓN DEPORTIVA A 109 MUNICIPIOS DEL DEPARTAMENTO, CONTRIBUYENDO A LA FORMACIÓN INTEGRAL DE LOS NIÑOS Y NIÑAS, UTILIZANDO COMO MEDIO EL GUSTO Y LA INCLINACIÓN POR LA PRÁCTICA DEPORTIVA, CON EL PROPÓSITO DE ORIENTAR Y PROMOVER FUTUROS CIUDADANOS CON UNA MEJOR CALIDAD DE VIDA Y UN MEJOR PERFIL HACIA EL DEPORTE. ASÍ COMO BRINDAR LA LA ASISTENCIA TÉCNICA A ENTES TERRITORIALES EN LA ELABORACIÓN DE PLANES PEDAGÓGICOS POR DEPORTE Y RAMA Y LA ASESORÍA EN LA DOCUMENTACIÓN, DILIGENCIAMIENTO Y REQUISITOS PARA OBTENER EL AVAL DEPORTIVO PARA DE ESCUELAS DEPORTIVAS MUNICIPALES O ENTES PRIVADOS.</t>
  </si>
  <si>
    <t>SE FORTALECIÓ EL PROGRAMA DE DETECCIÓN DE TALENTOS DEPORTIVOS, BAJO CRITERIOS DE APTITUD FÍSICA ESPECIAL Y SOBRESALIENTE DE LOS DEPORTISTAS, BUSCANDO PROYECTAR DEPORTISTAS DE ALTOS LOGROS DE ACUERDO CON LAS EXIGENCIAS DE CADA DISCIPLINA DEPORTIVA Y LOS POLOS DE DESARROLLO DEPORTIVO EN EL DEPARTAMENTO. LO QUE PERMITIÓ OPTIMIZAR SUS PROCESOS DE PREPARACIÓN, ENTRENAMIENTO Y COMPETENCIA CON MAYORES Y MEJORES RECURSOS.</t>
  </si>
  <si>
    <t xml:space="preserve">SE REANUDARON LOS FESTIVALES ESCOLARES EN EL DEPARTAMENTO, LOGRANDO LA INTEGRACIÓN DE LOS 116 MUNICIPIOS DEL DEPARTAMENTO Y LA PARTICIPACIÓN DE 25.000 NIÑOS Y NIÑAS ESCOLARES EN EL DEPARTAMENTO. </t>
  </si>
  <si>
    <t>PROGRAMA LIDERADO DESDE EL ORDEN NACIONAL, QUE UNIFICA EL DEPORTE EDUCATIVO EN EL PAÍS. SE IMPLEMENTÓ Y DESARROLLO EN LOS 116 MUNICIPIOS, CUMPLIENDO CON EL INDICADOR DEFINIDO PARA EL CUATRIENIO.</t>
  </si>
  <si>
    <t>SE FORTALECIÓ EL PROGRAMA DE DEPORTE FORMATIVO, BRINDADNDO APOYO FINANCIERO A LAS ESCUELAS DE FORMACIÓN DEPORTIVA A 109 MUNICIPIOS DEL DEPARTAMENTO, CONTRIBUYENDO A LA FORMACIÓN INTEGRAL DE LOS ADOLESCENTES, UTILIZANDO COMO MEDIO EL GUSTO Y LA INCLINACIÓN POR LA PRÁCTICA DEPORTIVA, CON EL PROPÓSITO DE ORIENTAR Y PROMOVER FUTUROS CIUDADANOS CON UNA MEJOR CALIDAD DE VIDA Y UN MEJOR PERFIL HACIA EL DEPORTE. ASÍ COMO BRINDAR LA LA ASISTENCIA TÉCNICA A ENTES TERRITORIALES EN LA ELABORACIÓN DE PLANES PEDAGÓGICOS POR DEPORTE Y RAMA Y LA ASESORÍA EN LA DOCUMENTACIÓN, DILIGENCIAMIENTO Y REQUISITOS PARA OBTENER EL AVAL DEPORTIVO PARA DE ESCUELAS DEPORTIVAS MUNICIPALES O ENTES PRIVADOS.</t>
  </si>
  <si>
    <t>SE PROMOVIÓ EL FORTALECIMIENTO DE APOYO A LOS ORGANISMOS DEPORTIVOS DE CUNDINAMARCA, PARA ELEVAR LOS NIVELES DE RENDIMIENTO Y COMPETENCIA DE NUESTROS DEPORTISTAS. SE PROMOVIÓ LA CREACIÓN DE NUEVOS CLUBES DEPORTIVOS Y LA RESTRUCTURACIÓN DE LOS ACTUALES, CON EL ÁNIMO DE FORTALECER EL SISTEMA DE LIGAS DEPORTIVA DE CUNDINAMARCA.</t>
  </si>
  <si>
    <t xml:space="preserve">CONSOLIDACIÓN DEL GRUPO PROMOTOR DE LOS CAMPAMENTOS JUVENILES EN EL DEPARTAMENTO, FORTALECIENDO LA RED JUVENIL DE JÓVENES CAMPISTAS EN EL DEPARTAMENTO Y SU RECONOCIMIENTO A NIVEL NACIONAL, BAJO EL FOMENTO Y DESARROLLO DE ESTRATEGIAS DE UTILIZACIÓN SANA Y CONSTRUCTIVA DEL TIEMPO LIBRE DE LOS JÓVENES DEL DEPARTAMENTO, CON ALTERNATIVAS LÚDICAS QUE GENEREN LIDERAZGO, INTEGRACIÓN, DIVERSIÓN, DESARROLLO E INICIATIVAS PARA CONSTRUCCIÓN DE POLÍTICAS.
SE INTEGRO AL 60% DE LOS MUNICIPIOS DEL DEPARTAMENTO APOYANDO LAS FASES REGIONALES, DEPARTAMENTAL Y NACIONAL, EN EL 2014 CUNDINAMARCA FUE SEDE NACIONAL Y CONVOCÓ A 1.600 JÓVENES DE 27 DEPARTAMENTOS DE TODO EL PAÍS. 
</t>
  </si>
  <si>
    <t xml:space="preserve">SE IMPLEMENTÓ LA ESTRATEGIA DE APOYO A LOS DEPORTES ALTERNATIVOS EN EL DEPARTAMENTO, MEDIANTE APOYO A LA ORGANIZACIÓN Y REALIZACIÓN DE 3 FESTIVALES DE DEPORTE EXTREMO, CUMPLIENDO CON EL INDICADOR DEFINIDO PARA EL CUATRIENIO. </t>
  </si>
  <si>
    <t>SE REALIZÓ UNA INVERSIÓN SIGNIFICATIVA PARA LA VINCULACIÓN EN EL CUATRIENIO DE UN EQUIPO TÉCNICO, METODOLÓGICO Y MULTIDISCIPLINARIO ALTAMENTE CALIFICADO EN LOS PROCESOS DE PLANIFICACIÓN, EJECUCIÓN SEGUIMIENTO, CONTROL Y EVALUACIÓN DEL ENTRENAMIENTO DEPORTIVO CON DEPORTISTAS DE RENDIMIENTO. SE LOGRARON ALIANZAS IMPORTANTES CON COLDEPORTES NACIONALES, LAS CUALES PERMITIERON UTILIZAR DURANTE EL 2012, 2013 Y 2014 EL CENTRO DE ALTO RENDIMIENTO DE CUNDINAMARCA, PARA LA PREPARACIÓN DE LOS DEPORTISTAS DEL DEPARTAMENTO.</t>
  </si>
  <si>
    <t xml:space="preserve">GARANTIZAMOS EL DESARROLLO DEL DEPORTE EN LA PARTICIPACIÓN EN LOS XIX JUEGOS NACIONALES “CARLOS LLERAS RESTREPO” 2012 QUE SE REALIZARON EN CÓRDOBA, NORTE DE SANTANDER, VALLE Y DISTRITO CAPITAL, CUNDINAMARCA SE QUEDÓ EN EL OCTAVO LUGAR DE LA MEDALLERIA NACIONAL CON UN RESULTADO DE 68 PRESEAS, 11 DE ORO, 19 DE PLATA Y 38 DE BRONCE, EN EL 2008 EL DEPARTAMENTO SE UBICÓ EN EL SEXTO PUESTO, EL BALANCE QUE DEJAN ESTOS JUEGOS SON 1 MEDALLA DE ORO MENOS, UNA MÁS DE PLATA Y 12 MEDALLAS DE BRONCE MÁS QUE LAS JUSTAS PASADAS.
CONTRIBUIMOS A LA INCLUSIÓN SOCIAL CON LA PARTICIPACIÓN EN LOS III JUEGOS PARANACIONALES “CARLOS LLERAS RESTREPO” REALIZADOS EN EL MES DE DICIEMBRE DEL AÑO 2012, CON UNA DELEGACIÓN DE 105 DEPORTISTAS EN LAS DISCIPLINAS DE BOCCIA, JUDO PARA LIMITADOS VISUALES, TENIS, BILLAR, NATACIÓN, TENIS DE MESA, LEVANTAMIENTO DE PESAS, ATLETISMO, AJEDREZ, FÚTBOL CINCO, BOWLING Y BALONCESTO EN SILLA DE RUEDAS. CUNDINAMARCA OBTUVO UN TOTAL DE 89 MEDALLAS, 28 DE ORO, 30 DE PLATA Y 31 DE BRONCE, POSICIONANDO AL DEPARTAMENTO EN EL CUARTO LUGAR.
EN EL 2014 SE INVIRTIÓ LA SUMA DE $769.555.333 PARA ATENDER LA PARTICIPACIÓN DE LOS DEPORTISTAS DE CUNDINAMARCA EN 84 COMPETENCIAS NACIONALES E INTERNACIONALES DEL SISTEMA OLÍMPICO Y EN 12 COMPETENCIAS NACIONALES E INTERNACIONALES DEL SISTEMA PARALÍMPICO. SE VINCULÓ A 73 PROFESIONALES EN ÁREAS TÉCNICAS, METODOLÓGICAS Y DE PREPARACIÓN A DEPORTISTAS CON UNA INVERSIÓN QUE SUPERO LA SUMA DE $1.964.375.000 A FIN DE GARANTIZAR LA PREPARACIÓN DE LOS DEPORTISTAS DE CUNDINAMARCA CON MIRAS A LOS XX JUEGOS DEPORTIVOS NACIONALES 2015 Y IV JUEGOS DEPORTIVOS NACIONALES 2015.
</t>
  </si>
  <si>
    <t>SE AMPLIÓ LA COBERTURA EN EL CUATRIENIO DEL PROGRAMA PLAN ESTRELLAS DE CUNDINAMARCA, COMO UN PLAN DE ESTÍMULOS PARA LOS MEJORES DEPORTISTAS DEL DEPARTAMENTO EN EL SISTEMA OLÍMPICO Y PARALÍMPICO; FAVORECIENDO 207 DEPORTISTAS, EL CUAL GARANTIZO SU PERMANENCIA EN EL REGISTRO DEPORTIVO DEL DEPARTAMENTO Y A LA VEZ LA OPTIMIZACIÓN DE TODA SU PREPARACIÓN Y COMPETENCIA, LOGRANDO UNA COBERTURA MAYOR AL INDICADOR PROPUESTO POR CADA VIGENCIA.</t>
  </si>
  <si>
    <t>FORTALECIMIENTO DEL PROGRAMA DE ACTIVIDAD FÍSICA, MEDIANTE EL DESARROLLO DE ENVENTOS MASIVOS, LA PARTICIPACIÓN DEL DEPARTAMENTO TODOS LOS AÑOS EN EL DÍA DEL DESAFÍO Y LA ORGANIZACIÓN Y APOYO A EVENTOS EN LOS ENTES MUNICIPALES, CUMPLIENDO CON EL INDICADOR ESTABLECIDO EN EL CUATRIENIO.</t>
  </si>
  <si>
    <t xml:space="preserve">INDEPORTES CONFORMÓ UN EQUIPO DE TRABAJO ADMINISTRATIVO Y TÉCNICO IDÓNEO PARA GARANTIZAR Y PROMOVER LA INCLUSIÓN DE LOS NIÑOS Y NIÑAS VCA DEL DEPARTAMENTO EN EL PROGRAMA DE MATROGIMNASIA, CON EL OBJETIVO DE ESTIMULAR EL CRECIMIENTO ARMÓNICO Y EQUILIBRADO DEL NIÑO EN SU PRIMERA INFANCIA, A TRAVÉS DEL JUEGO DIRIGIDO. SE CUMPLIÓ CON EL INDICADOR DEFINIDO PARA EL CUATRIENIO. </t>
  </si>
  <si>
    <t>INDEPORTES CONFORMÓ UN EQUIPO DE TRABAJO ADMINISTRATIVO Y TÉCNICO IDÓNEO PARA FOMENTAR EN LAS MADRES COMUNITARIAS RESPONSABLES DE LA ATENCIÓN A LA INFANCIA CARACTERIZADA COMO VCA, LA ADQUISICIÓN DE FORMAS DE EXPRESIÓN, COMUNICACIÓN Y ESTABLECIMIENTO DE VÍNCULOS Y VALORES, ACORDE A NORMAS DE RESPETO, SOLIDARIDAD Y CONVIVENCIA., SIENDO LOS PADRES Y LOS CUIDADORES LOS FACILITADORES. SE CUMPLIÓ CON EL INDICADOR DEFINIDO PARA EL CUATRIENIO.</t>
  </si>
  <si>
    <t>INDEPORTES CONFORMÓ UN EQUIPO DE TRABAJO ADMINISTRATIVO Y TÉCNICO IDÓNEO PARA PROMOVER Y GARANTIZAR LA INCLUSIÓN DE LOS NIÑOS Y NIÑAS VCA DEL DEPARTAMENTO EN EL PROGRAMA DE ESCUELAS DE FORMACIÓN DEPORTIVA, CONTRIBUYENDO A SU FORMACIÓN INTEGRAL, UNA MEJOR CALIDAD DE VIDA Y UN MEJOR PERFIL HACIA EL DEPORTE. SE CUMPLIÓ CON EL INDICADOR DEFINIDO PARA EL CUATRIENIO.</t>
  </si>
  <si>
    <t>INDEPORTES CONFORMÓ UN EQUIPO DE TRABAJO ADMINISTRATIVO Y TÉCNICO IDÓNEO PARA PROMOVER Y GARANTIZAR LA INCLUSIÓN DE LOS NIÑOS Y NIÑAS VCA DEL DEPARTAMENTO EN EL PROGRAMA DE DEPORTE EDUCATIVO MEDIANTE LA REALIZACIÓN DE LOS FESTIVALES ESCOLARES. SE CUMPLIÓ CON EL INDICADOR DEFINIDO PARA EL CUATRIENIO.</t>
  </si>
  <si>
    <t>INDEPORTES CONFORMÓ UN EQUIPO DE TRABAJO ADMINISTRATIVO Y TÉCNICO IDÓNEO PARA PROMOVER Y GARANTIZAR LA INCLUSIÓN DE LOS NIÑOS Y NIÑAS VCA DEL DEPARTAMENTO EN EL PROGRAMA DE TALENTOS DEPORTIVOS, COMO AQUELLOS DEPORTISTAS QUE DEMUESTREN UNA APTITUD FÍSICA ESPECIAL. SE CUMPLIÓ CON EL INDICADOR DEFINIDO PARA EL CUATRIENIO. CUMPLIÓ CON LA META CUATRIENIO.</t>
  </si>
  <si>
    <t>INDEPORTES CONFORMÓ UN EQUIPO DE TRABAJO ADMINISTRATIVO Y TÉCNICO IDÓNEO PARA PROMOVER Y GARANTIZAR LA INCLUSIÓN DE LOS ADOLESCENTES VCA DEL DEPARTAMENTO EN EL PROGRAMA DE ESCUELAS DE FORMACIÓN DEPORTIVA, CONTRIBUYENDO A SU FORMACIÓN INTEGRAL, UNA MEJOR CALIDAD DE VIDA Y UN MEJOR PERFIL HACIA EL DEPORTE. SE CUMPLIÓ CON EL INDICADOR DEFINIDO PARA EL CUATRIENIO.</t>
  </si>
  <si>
    <t>INDEPORTES CONFORMÓ UN EQUIPO DE TRABAJO ADMINISTRATIVO Y TÉCNICO IDÓNEO PARA PROMOVER Y GARANTIZAR LA INCLUSIÓN DE LOS ADOLESCENTES VCA DEL DEPARTAMENTO EN EL PROGRAMA DE DEPORTE EDUCATIVO MEDIANTE LA REALIZACIÓN DE LOS JUEGOS INTERCOLEGIADOS, GARANTIZANDO EL DESARROLLO Y AFIANZAMIENTO DE HABILIDADES EN LAS DISTINTAS DISCIPLINAS DEPORTIVAS DE LOS ESTUDIANTES. SE CUMPLIÓ CON EL INDICADOR DEFINIDO PARA EL CUATRIENIO.</t>
  </si>
  <si>
    <t>INDEPORTES CONFORMÓ UN EQUIPO DE TRABAJO ADMINISTRATIVO Y TÉCNICO IDÓNEO, QUE PROMOVIÓ EL DESARROLLO DEL PROGRAMA DE ACTIVIDAD FÍSICA Y APROVECHAMIENTO DEL TIEMPO LIBRE CON INCLUSIÓN DE LA POBLACIÓN VCA DEL DEPARTAMENTO, GARANTIZANDO COBERTURAS EN LOS MUNICIPIOS CARACTERIZADOS COMO POST-CONFLICTO.</t>
  </si>
  <si>
    <t>INDEPORTES CONFORMÓ UN EQUIPO DE TRABAJO ADMINISTRATIVO Y TÉCNICO IDÓNEO, QUE PROMOVIÓ EL DESARROLLO DEL PROGRAMA DE RECREACIÓN CON INCLUSIÓN DE LA POBLACIÓN VCA DEL DEPARTAMENTO, GARANTIZANDO COBERTURAS EN LOS MUNICIPIOS CARACTERIZADOS COMO POST-CONFLICTO.</t>
  </si>
  <si>
    <t xml:space="preserve">DISMINUCIÓN EFECTIVA DE LA MORBILIDAD Y MORTALIDAD EN MÁS DE UN POR ACCIDENTES DE TRÁNSITO..SE REALIZARON CAMPAÑAS EN PREVENCION DE ACCIDENTALIDAD VIAL EN MUNICIPIOS, CICLO PASEOS Y ENTREGA DE MATERIAL DIVULGATIVO SOBRE SEGURIDAD VIAL, REALIZACION DE OPERATIVOS DE CONTROL DE ALCOHOLEMIA DEN LAS PRINCIPALES VIAS DE ACCESO A LA CAPITAL. </t>
  </si>
  <si>
    <t xml:space="preserve">SE LOGRA LA ELABORACIÓN DE LA AGENDA PÚBLICA CORRESPONDIENTE A: REVISIÓN DEL MARCO NORMATIVO, LA ARTICULACIÓN CON EL PLAN NACIONAL DE SEGURIDAD VIAL 2011 – 2016, PARA LA FORMULACIÓN DEL MARCO DE REFERENCIA Y LA IDENTIFICACIÓN DE LA SITUACIÓN O POTENCIALIDAD O PROBLEMÁTICA A INTERVENIR. SE ENCUENTRA EN FASE DE FORMULACIÓN: SELECCIÓN DE LÍNEAS DE ACCIÓN Y DECISIÓN DE POLÍTICA. </t>
  </si>
  <si>
    <t>SE LOGRA ETAPA IMPLEMENTACION DE LA ETAPA I - PERMITIENDO CONSOLIDAR Y OBTENER CIFRAS Y VARIABLES PARA TOMA DE DECISIONES</t>
  </si>
  <si>
    <t>31 DE MAYO DE 2015</t>
  </si>
  <si>
    <t>DE ACUERDO CON LA CONSTRUCCIÓN DEL INDICADOR SE ESPERA DISMINUIR EN UN 20% EL NUMERO DE MUERTES, SE EVIDENCIA CUMPLIMIENTO A LA FECHA TODA VEZ QUE EL COMPORTAMIENTO DE MUERTES HA SIDO DECRECIENTE, CONTANDO CON UN TOTAL DE 3 MUERTES OCURRIDAS EN EL PRIMER SEMESTRE DEL 2015 SEGUN INFORMACION DISPONIBLE</t>
  </si>
  <si>
    <t>DE ACUERDO CON LA CONSTRUCCIÓN DEL INDICADOR SE ESPERA DISMINUIR EN UN 10% EL NUMERO DE MUERTES, SE EVIDENCIA CUMPLIMIENTO A LA FECHA TODA VEZ QUE EL COMPORTAMIENTO DE MUERTES HA SIDO DECRECIENTE, CONTANDO CON UN TOTAL DE 57 MUERTES OCURRIDAS EN EL PRIMER SEMESTRE DEL 2015 SEGUN INFORMACION DISPONIBLE</t>
  </si>
  <si>
    <t>DE ACUERDO CON LA CONSTRUCCIÓN DEL INDICADOR SE ESPERA DISMINUIR EN UN 10% EL NUMERO DE MUERTES, SE EVIDENCIA CUMPLIMIENTO A LA FECHA TODA VEZ QUE EL COMPORTAMIENTO DE MUERTES HA SIDO DECRECIENTE, CONTANDO CON UN TOTAL DE 88 MUERTES OCURRIDAS EN EL PRIMER SEMESTRE DEL 2015 SEGUN INFORMACION DISPONIBLE</t>
  </si>
  <si>
    <t>DE ACUERDO CON LA CONSTRUCCIÓN DEL INDICADOR SE ESPERA DISMINUIR EN UN 10% EL NUMERO DE MUERTES, SE EVIDENCIA CUMPLIMIENTO A LA FECHA TODA VEZ QUE EL COMPORTAMIENTO DE MUERTES HA SIDO DECRECIENTE, CONTANDO CON UN TOTAL DE 26 MUERTES OCURRIDAS EN EL PRIMER SEMESTRE DEL 2015 SEGUN INFORMACION DISPONIBLE</t>
  </si>
  <si>
    <t>0.166</t>
  </si>
  <si>
    <t>ESTE BIOLOGICO SE INCLUYO EN ESQUEMA NACIONAL DE VACUNACION. SIEMBARGO EL LOGRO ALCANZADO ES QUE SE SUPERO LA META ANTES DE TERMINAR EL CUATRIENIO.</t>
  </si>
  <si>
    <t>SE LOGRA BRINDAR UNA ATENCION INTEGRAL A LA GESTANTE, NIÑO Y NIÑAS DE CERO (0) A CINCO (5) AÑOS.</t>
  </si>
  <si>
    <t xml:space="preserve">SI BIEN CIERTO LA META PROPUESTA DESDE EL AÑO 2012 FUE AUMENTAR EN UN PUNTO LA MEDIANA DE LACTANCIA MATERNA EXCLUSIVA TENIENDO COMO LINEA BASE 3,6 MESES, DURANTE ESTE CUATRIENIO SE HAN REALIZADO ACCIONES DESDE LA DIMENSION SAN Y GESTIONES TRASECTORIALES LAS CUALES NO FUERON SUFICIENTES PARA IMPACTAR POSITIVAMENTE EN LA DECISION DE LAS FAMILIAS DE LACTAR EXCLUSIVAMENTE DURANTE LOS PRIMEROS SEIS MESES DE VIDA. POR LO TANTO SE FIJO COMO META EN PLAN DECENAL DE SALUD PUBLICA A 2021 INCREMENTAR A 4 MESES LA LACTANCIA EXCLUSIVA Y CON UNA LINEA BASE 3 MESES A 2015. </t>
  </si>
  <si>
    <t>SE DESARROLLARON ACCIONES DE MANERA INTEGREDA EN TEMAS RELACIONADOS CON: EL COMPONENTE DE ENFERMEDADES INMUNOPREVENIBLES LLEGANDO A CORTE DEL MES DE AGOSTO UN CUMPLIMIENTO DEL 75,7% EN VPH; IEC DISEÑO, PRODUJO Y DISTRIBUYO MATERIAL EDUCATIVO EN TEMAS RELACIONADOS CON SALUD PUBLICA PARA TODOS LOS 116 MUNICIPIOS; SALUD ORAL DESARROLLO ENCUENTROS PROVINSIALES SOBLRE HABITOS HIGIENICOS EN SALUD ORAL PARA UNA COBERTURA DE 19,333 NIÑOS Y SE REALIZARON 79 TALLERES LUDICOS PEDAGOGICOS DIRIGIDO A FAMILIARES Y CUIDADORES DE POBLACION EN CONDICION DE DISCAPACIDAD</t>
  </si>
  <si>
    <t>A CORTE DE JUNIO DE 2015 LO PLANEADO PARA EL CUATRIENIO SE SUPERO, Y LA META SE AUMENTO LLEGANDO A 325 INSTITUCIONES EDUCATIVAS DE BASICA PRIMARIA.</t>
  </si>
  <si>
    <t>SE DESARROLLARON ACCIONES DE MANERA INTEGREDA EN TEMAS RELACIONADOS CON: EL COMPONENTE DE IMPLEMENTACOION Y FORTALECIMIENTO DE LOS SERVICIOS AMIGABLES PARA SALUD DE ADOLESCENTES Y JOVENES EN 60 MUNICIPIOS DEL DEPARTAMENTO INCLUYENDO LOS PRIORIZADOS EN LA META, ADEMAS DE DESARROLLAR ACTIVIDADES EXTRAMURALES CON 4.933 ADOLESCENTES Y JOVENES EN LA ACTIVIDAD EXTRAMURAL "JOVENES AL PARQUE".</t>
  </si>
  <si>
    <t>A CORTE DE JUNIO DE 2015 LO PLANEADO PARA EL CUATRIENIO SE SUPERO, Y LA META SE AUMENTO LLEGANDO A 150 INSTITUCIONES EDUCATIVAS DE BASICA SECUNDARIA.</t>
  </si>
  <si>
    <t>MEDIANTE LA COORDINACION INTERINSTITUCIONAL Y TRASECTORIAL LE LOGRA TENER UN MAYOR IMPACTO PARA REALIZAR LAS ACTIVIDADES COMUNITARIAS CON LOS JOVENES DEL DEPARTAMENTO EN 100% DE LOS MUNICIPIOS Y COORDINANDO LAS DIFEREMNTES ESTRATEGIAS DE CADA PRIORIDAD.</t>
  </si>
  <si>
    <t>SE LOGRA LA INTERVENCION DE 2,992 UNIDADES DE TRABAJO INFORMAL . REALIZANDO LA CARECTERIZACION DE CONDICIONES DE SALUD Y TRABAJO, INSPECCION DE RIESGOS DE UNIDAD PRTODUCTIVA Y ENTREGA DE PLANES DE MEJORAMIENTO. EN EL SECTOR AGRICOLA DE INTERVINIERON 1,769 TRABAJADORES A TRAVES DEL PROGRAMA DE VIGILANCIA DE ORGANOS FOSFORADOS Y CARBAMATOS.</t>
  </si>
  <si>
    <t xml:space="preserve">A TRAVES DE LA IMPLEMENTACION DEL PLAN DECENAL Y MUNICIPAL DE CANCER ENE EL 100% DE LOS MUNICIPIOS EN EL DEPARTAMENTO SE DESARROLLARON ACCIONES DE BUSQUEDA ACTIVA, TAMIZACION Y SEGUIMIENTO EN CUANTO A CANCER DE MAMA, CANCER DE CUELLO UTERINO, PROSTATA Y CANCER COLORECTAL TENIENDO EN CUENTA LOS LINEAMIENTOS Y ESTRATEGIAS DEFINIDOS EN PLAN NACIONAL DE CANCER. LA COBERTURA EN TAMIZACION EN CUANTO A POBLACION FUE DE 48.591 CON UNA POSITIVIDAD DE 3,314 CASOS. </t>
  </si>
  <si>
    <t xml:space="preserve">SE IMPLENTO LA ESTRATEGIA DE ENTORNOS LABORALES SALUDABLES EN 3,927 UNIDADES DE TRABAJO INFORMAL PREVINIENDO ACCIDENTES Y ENFERMEDADES DE ORIGEN LABORAL. MEDIANTE EL SISTEMA DE SIVISALA SE LOGRA EL REPORTE DE 3,408 ADULTOS TRABAJADORES POR PARTE DE LAS IPS PUBLICAS Y PRIVADAS DEL DEPARTAMENTO. SE TOMARON 2008 MUESTRAS DE SANGRE A TRABAJADORES INFORMALES QUE MANIPULAN PLAGUICIDAS. </t>
  </si>
  <si>
    <t>SE IMPLEMENTA LA RUTA ESTRATEGICA PARA LA FORMULACION DE LA POLITICA DEPARTAMENTAL DE ENVEJECIMIENTO Y VEJEZ; SE IMPLEMENTAN LAS ACCIONES CONCERNIENTES A LA PROMOCION DE ESTILOS DE VIDA SALUDABLES EN EL MARCO DEL ENVEJECIMIENTO ACTIVO.</t>
  </si>
  <si>
    <t>LA META PROPUESTA PARA EL CUATRIENIO SE ALCANZO A 31 DE DICIEMBRE DE 2014 EN 65.000 DOSIS APLICADAS; PARA EL 2015 SE REALIZARA LA VACUNACION DEL ADULTO MAYOR DE 60 AÑOS EN CONDICION DE VULNERABILIDAD SISBEN 1 Y 2.</t>
  </si>
  <si>
    <t xml:space="preserve">EL DEPARTAMENTO HA LOGRADO Y MANTIENE TASAS DE PREVALENCIAS MENORES A 1 CASO POR 10.000 HABITANTES Y SE HA REDUCIDO LA DISCAPACIDAD GRADO 2 EN LOS CASOS NUEVOS DETECTADOS, SIN EMBARGO ES NECESARIO REFORMULAR LA META A PARTIR DEL 2016 PARA QUE SEA ACORDE A LO PLANTEADO A LA ELIMINACIÓN DE LA LEPRA EN EL PAÍS Y A LAS METAS DE LOS PLANES DECENAL Y ESTRATEGICO DE LA LEPRA, SE PROPONE LAS METAS DE LA MATRIZ Y LOS SIGUIENTES INDICADORES </t>
  </si>
  <si>
    <t>EL DEPARTAMENTO HA MOSTRADO UNA TENDENCIA POSITIVA EN EL INDICADOR DE CAPTACIÓN (BÚSQUEDA DE SINTOMÁTICOS RESPIRATORIOS (SR), CON RELACIÓN A LA LÍNEA DE BASE CON LA QUE INICIO EL CUATRIENIO DE 12.2 %, EN LA META DE CAPTACIÓN DE SINTOMÁTICOS RESPIRATORIOS, EL DEPARTAMENTO HA SOBREPASADO MÁS DE TRES VECES LA META PROPUESTA PARA EL CUATRIENIO. DE MANTENERSE ESTA TENDENCIA LOGRARÍAMOS SOBREPASAR EL RESULTADO ALCANZADO PARA ESTE INDICADOR EN EL AÑO 2014, DEL 38%. OTRO INDICADORMUY IMPORTANTE PARA EL PROGRAMA, ES EL DE EXITO DE CURACIÓN, EL CUAL ALCANZA EL 80%, SE REPORTA A NIVEL NACIONAL Y CUNDINAMARCA OCUPA EL QUINTO LUGAR.</t>
  </si>
  <si>
    <t>SE LOGRA CON CORTE A 31 AGOSTO LLEGAR A 22.000 PRUEBAS PARA EL DIAGNOSTICO DE VIH. SIN EMBARGO AL PASAR HACER UNA TECNOLOGIA POS NO SE PROGRAMA PARA EL 2016.</t>
  </si>
  <si>
    <t>SE LOGRA FORTALECER LOS PROCESOS TERRITOROIALES EN LOS COMPONETES DE: PLANEACION, CONTRATACION, EJECUCION, SEGUIMIENTO Y EVALUACION DE LOS PLANEA TERRITORIALES EN SALUD E INTERVENCUIOINES COLECTIVAS, AL IGUAL QUE LOS PROCESOS DE GESTION EN SALUD PUBLICA, INCLUYENDO LA RENDICION DE CUENTAS Y MOVILIZACION SOCIAL, BAJO EL MARCO DEL MODELO DE GESTION EN SALUD.</t>
  </si>
  <si>
    <t>COFINANCIAR DEL 100% DEL ASEGURAMIENTO A LOS 116 MUNICIPIOS DEL DEPARTAMENTO</t>
  </si>
  <si>
    <t>AMPLIACION DEL PROGRAMA DE ATENCION PSICOSOCIAL Y SALUD INTEGRAL A VICTIMAS DEL CONFLICTO ARMADO PAVSIVI EN 14 MUNICIPIOS, LOGRANDO COBERTURA DE 2,800 PERSONAS VICTIMAS.</t>
  </si>
  <si>
    <t>FORTALECIMIENTO DE UN PROCESO OPORTUNO DE SEGUIMIENTO A LAS ACCIONES DIRIGIDAS A LA POBLACION VICTIMA EN LO QUE RESPECTA A LAS MEDIDAS DE ASISTENCIA Y ATENCION, PERMITIENDO LA AMPLIACION DE COBERTURA EN LOS PROGRAMAS DE VACUNACION CON UN TOTAL DE 7,678 PERSONAS VICTIMAS ATENDIDAS.</t>
  </si>
  <si>
    <t>IMPLEMENTACION DE UN PROCESO DE IDENTIFICACION DE NECESIDADES SENTIDAS DE LA POBLACION EN MATERIA DE PROMOCION Y PREVENCION A TRAVES DE LAS DIRECCIONES LOCALES DE SALUID EN LOS PROGRAMAS DE SALUD SEXUAL Y REPRODUCTIVA, BENE4CIANDO A 4,503 PERSONAS VICTIMAS.</t>
  </si>
  <si>
    <t xml:space="preserve">SE CUMPLIRA CON LA META PLANTEADA EN EL CUATROIENIO MEDIANTE LA EJECUCION DE CONVENIO PARA ADQUIRIR Y ENTREGAR A LA POBLACION VICTIMA DEL CONFLICTO AYUDAS TECNICAS VISUALES Y PARA LA DEAMBULACION. </t>
  </si>
  <si>
    <t>SE HA ATENDIDO EL 100% DE LA EMEREGENCIAS Y DESASTTRES REPORTADOS AL CENTRO REGULADOR DE URGENCIAS, EMERGENCIAS Y DESASTRES-CRUE</t>
  </si>
  <si>
    <t>DURANTE LO CORRIDO DEL CUATRIENIO SE HAN ADQUIRIDO 101 AMBULANCIAS PARA LA RED HOSPITALARIA DEL DEPARTAMENTO</t>
  </si>
  <si>
    <t>LA PERMANENCIA Y LA CAPACITACION DEL RECURSO HUMANO DURANTE ESTE CUATRIENIO A PERMITIDO EL MEJORAMIENTO DE LOS PROCESOS PARA LOGRAR LA ACREDITACION DEL LABORATORIO</t>
  </si>
  <si>
    <t>1. 86% DE LAS FORMAS DE PARTICIPACIÓN EN SALUD DEL DEPARTAMENTO ACTIVAS Y FUNCIONANDO.
2. CREACIÓN DE LA FIGURA DEL DEFENSOR DEL USUARIO DE LA SECRETARIA DE SALUD DE CUNDINAMARCA.
3. EMPODERAMIENTO DE LA COMUNIDAD FRENTE A LA PARTICIPACIÓN ACTIVA EN LA TOMA DE DECISIONES DEL SECTOR SALUD.</t>
  </si>
  <si>
    <t>Reinel Gonzalez</t>
  </si>
  <si>
    <t>25 de agosto de 2015</t>
  </si>
  <si>
    <t>Se identifica dificultades en la obtencion del denominador (numero de nacidos vivos) debido a que la fuente oficial es DANE y esta es actualizada anualmente, por lo cual el indicador debe calcularse con esta novedad.
A la fecha de consulta el DANE realiza actualizacion de numero de NV con corte al 15 de mayo de 2015, por lo cual es el denominador utilizado para el analisis de esta informacion</t>
  </si>
  <si>
    <t>El departamento continúa mostrando reducción de la mortalidad infantil al pasar del 11.7 en el 2013 a 10.0 en 2014 y a 6,8  en lo corrido del 2015p lo que evidencia estar por debajo del comportamiento nacional y de los ODM. El indicador de la mortalidad infantil es el resultado directo de la calidad de atención desde la gestación hasta el primer año de vida, por tal razón da cuenta de la efectividad de las acciones realizadas por el ente Departamental, unido a los esfuerzos municipales y de las EAPB.</t>
  </si>
  <si>
    <t>8,23P</t>
  </si>
  <si>
    <t>Se identifica dificultades en la obtencion del denominador (numero de nacidos vivos) debido a que la fuente oficial es DANE y esta es actualizada anualmente, por lo cual el indicador debe calcularse con esta novedad. 
En mortalidad materna se toma como denominador el numero de nacidos vivos reportados por el DANE para año 2014</t>
  </si>
  <si>
    <t xml:space="preserve">El departamento de Cundinamarca logro mantener el comportamiento de la razón de mortalidad materna durante los años 2013 y 2014, por debajo del comportamiento nacional como se evidencia en la gráfica.
año 2014 se presentaron 17 casos de muertes maternas, lo cual refleja una Razón de Mortalidad Materna de 49.35 por cada 100.000 NV para el 2014. 
Para el año 2015 se ha continuado con las diferentes estrategias para el logro de una maternidad segura en el departamento, sin embargo para el año 2015 con corte 25 de agosto, se han presentado 12 muertes tempranas que representa una RMM de 52.31 dato preliminar. En Cundinamarca y en toda la nación a partir del año 2011 y 2012 se presentó un aumento en la tendencia en mortalidad materna, hecho que está directamente relacionado con la crisis del actual sistema de salud, en donde las barreras de acceso a la prestación de los servicios ocasionadas por las deficiencias en autorizaciones de servicios y la disminución de porcentaje de contratación formal en la red de prestadores del departamento por parte de los aseguradores, genera mayor posibilidad de la ocurrencia del evento. 
</t>
  </si>
  <si>
    <t>44,3P</t>
  </si>
  <si>
    <t xml:space="preserve">Secretaria de Salud de Cundinamarca -Subdirección de Vigilancia en Salud Pública  -SISVAN </t>
  </si>
  <si>
    <t>REINEL GONZALEZ</t>
  </si>
  <si>
    <t>Las dificultades presentadas tienen que ver con el Sistema de Vigilancia - SISVAN, ya que se requiere una actualización del software y esto esta generando fallas técnicas a nivel municipal y departamental, ocasionando perdida de tiempo en el ingreso de los datos notificados.</t>
  </si>
  <si>
    <t>Al observar el comportamiento de la prevalencia de desnutrición aguda en menores de 5 años, entre el año 2011 y agosto del 2015, podemos ver que la tendencia es a la disminución, pasando de 5,5%  a 4% respectivamente y siendo evidente el cambio especialmente durante el año 2015. Este comportamiento refleja la efectividad de las acciones realizadas como resultado de la articulación de los diferentes programas y estrategias que buscan mejorar las condiciones de salud de los menores de 5 años (AIEPI, IAMI, GECAVIs, Maternidad Segura, Salud Mental). Es importante resaltar que parte de esta articulación se debió a la implementación del Plan de Choque para la disminución de la mortalidad por y asociada a desnutrición.</t>
  </si>
  <si>
    <t>SD</t>
  </si>
  <si>
    <t xml:space="preserve">El Departamento de Cundinamarca para los años 2006 al 2015p  presenta una tendencia al 
descenso de la mortalidad en niños y niñas de 0 a 5 años mostrando para el último periodo (2015p) un resultado de 3 puntos menos que el periodo Inmediatamente anterior (2014p).
De igual manera, la tendencia histórica a la baja tanto para la nación como para el departamento, refleja resultados departamentales por debajo del indicador nacional en 1.8 puntos y de 5.35 puntos por debajo de la meta de los ODM (12,35). Resultados que reflejan el compromiso del departamento en el trabajo y protección de la vida y salud de los niños.
</t>
  </si>
  <si>
    <t>9,10P</t>
  </si>
  <si>
    <t>DIRECCION DE ASEGURAMIENTO</t>
  </si>
  <si>
    <t xml:space="preserve">Lilia Maria Calderón </t>
  </si>
  <si>
    <t xml:space="preserve">INOPORTUNIDAD EN LA ACTUALIZACION DE LAS BASES DE DATOS DE AFILIACION EN LOS MUNICIPIOS </t>
  </si>
  <si>
    <t xml:space="preserve">el porcentaje de población asegurada en el departamento  ha aumentado significativamente pasando del 36,89% de población afiliada al regimen subsidiado en 2011 al 45,2% en el 2015 , lo que significa que 915,098 personas del regimen subsidiado cuentan con aseguramiento en salud , adicionalmente,  la afiliación al régimen contributivo ha aumentado progresivamente, pasando de un porcentaje de población afiliada de 41,46% en el 2011 a un porcentaje de 55% en el 2015 con un total de 1,118,466 personas afiliadas al regimen contributivo. Esta tendencia positiva en el porcentaje de aseguramiento permite que la cobertura de la afiliacion al SGSSS en el departamento se encuentre en el 98% para el 2015. </t>
  </si>
  <si>
    <t>92.21</t>
  </si>
  <si>
    <t>91.69</t>
  </si>
  <si>
    <t>95.45</t>
  </si>
  <si>
    <t>94.49</t>
  </si>
  <si>
    <t>90.6</t>
  </si>
  <si>
    <t>89.63</t>
  </si>
  <si>
    <t>99.78</t>
  </si>
  <si>
    <t>SIN DATO</t>
  </si>
  <si>
    <t>99.0</t>
  </si>
  <si>
    <t>98.45</t>
  </si>
  <si>
    <t>99.23</t>
  </si>
  <si>
    <t>89.5</t>
  </si>
  <si>
    <t>88.99</t>
  </si>
  <si>
    <t>88.2</t>
  </si>
  <si>
    <t>86.88</t>
  </si>
  <si>
    <t>99.89</t>
  </si>
  <si>
    <t>93.5</t>
  </si>
  <si>
    <t>91.75</t>
  </si>
  <si>
    <t>99.64</t>
  </si>
  <si>
    <t>92.4</t>
  </si>
  <si>
    <t>91.92</t>
  </si>
  <si>
    <t>99.98</t>
  </si>
  <si>
    <t>PROGRAMADO META PRODUCTO 2012</t>
  </si>
  <si>
    <t>% PROGRAMADO 2012</t>
  </si>
  <si>
    <t>EJECUTADO META PRODUCTO 2012</t>
  </si>
  <si>
    <t>AVANCE PONDERADO 2012</t>
  </si>
  <si>
    <t xml:space="preserve">RECURSOS EJECUTADOS 2012 </t>
  </si>
  <si>
    <t>PROGRAMADO META PRODUCTO 2013</t>
  </si>
  <si>
    <t xml:space="preserve"> EJECUTADO META PRODUCTO 2014 - 30 DE agosto</t>
  </si>
  <si>
    <t>AVANCE PONDERADO 2014</t>
  </si>
  <si>
    <t>AVANCE PONDERADO 2015</t>
  </si>
  <si>
    <t xml:space="preserve">ACUMULADO DE LA META 2012 - 2015 </t>
  </si>
  <si>
    <t>PORCENTAJE DE AVANCE ACUMULADO</t>
  </si>
  <si>
    <t>PUNTOS PORCENTUALES DE INCREMENTADO DE SUMINISTRO DE AGUA POTABLE EN ZONAS URBANAS</t>
  </si>
  <si>
    <t>SECRETARIA DE COMPETITIVIDAD - INTEGRACION REGIONAL-, SECRETARIA DE CIENCIA Y TECNOLOGIA- LICORERA DE CUNDINAMARCA - OTRAS EMPRESAS Y ENTES TERRITORIALES-MUNICIPIOS</t>
  </si>
  <si>
    <t>SERVICIO PÚBLICO DE ASISTENCIA TÉCNICA DIRECTA RURAL Y RIESGOS AGROPECUARIOS</t>
  </si>
  <si>
    <t xml:space="preserve">APOYAR EL 20% (1.480 ) DE LOS PRODUCTORES AGROPECUARIOS QUE RESULTEN AFECTADOS POR EMERGENCIAS Y DESASTRES, DURANTE EL PERIODO GOBIERNO, PARA REACTIVAR SU ACTIVIDAD PRODUCTIVA </t>
  </si>
  <si>
    <t>NO DE HECTAREAS DE ECOSISTEMAS SENSIBLES RESTAURADOS</t>
  </si>
  <si>
    <t xml:space="preserve">CAR, MUNICIPIO DE MOSQUERA, MUNICIPIO DE CUCUNUBA </t>
  </si>
  <si>
    <t>TLC´S Y ACUERDOS INTERNACIONALLES</t>
  </si>
  <si>
    <t>% DE ADULTOS BENEFICIADOS CON LIBRETA MILITAR</t>
  </si>
  <si>
    <t>Aporte Fundacion Torre Fuerte para la ejecucion del contrato SDS 19 de 2013</t>
  </si>
  <si>
    <t>Aportes de Oportunidad Latinoamerica $50,000,000 para la ejecucion 025 de 2012, Aportes oportunidad Latinoameria $9,000,000 para la ejecucion del contrato SDS 023 de 2013 y aportes Fundacion Mariana $77,955,382, para la ejecucion del contrato SDS 016 DE 2013</t>
  </si>
  <si>
    <t>ICETEX y Universidades aliadas</t>
  </si>
  <si>
    <t>NO. DE INSTALACIONES DE LA FUERZA PÚBLICA NUEVAS CONSTRUIDAS</t>
  </si>
  <si>
    <t>SISTEMA DE OBSERVACIÓN DELINCUENCIAL</t>
  </si>
  <si>
    <t>NO. DE BRIGADAS DE REALIZADAS</t>
  </si>
  <si>
    <t>NO CENTROS ESPECIALIZADOS EN SERVICIO</t>
  </si>
  <si>
    <t xml:space="preserve">PROGRAMA DE NACIONES UNIDADS PARA EL DESARROLLO -PNUD </t>
  </si>
  <si>
    <t>SEGUIMIENTO Y EVALUACIÓN PARA EL MEJORAMIENTO DE LA GESTIÓN PÚBLICA</t>
  </si>
  <si>
    <t>DISMINUCION DE LOS ÍNDICES DE ACCIDENTALIDAD VIAL Y A SU VEZ EL MEJORAMIENTO DE LA MOVILIDAD A NIVEL DEPARTAMENTAL Y NACIONAL, A PARTIR DE LOS KM SEÑALIZADOS Y DEMARCADOS EN LAS AREAS URBANAS Y RURALES DE LOS MUNICPIOS DE CUNDINAMARCA</t>
  </si>
  <si>
    <t xml:space="preserve">REDES DE FORTALECIMIENTO Y APRENDIZAJE PARA EL BUEN GOBIERNO </t>
  </si>
  <si>
    <t xml:space="preserve">SEGÚN EL COMPORTAMIENTO DE VACUNACION DEL AÑO 2015 Y TENIENDO EN CUENTA LA PROYECCION A 31 DE DICIEMBRE DE 2015 SE OBTENDRAN COBERTURAS UTILES POR ENCIAMA DEL 95% EN LOS TRAZADORES QUE EVALUAN EL PROGRAMA: - MENOR DE UN AÑO EL - DE UN (1) AÑO Y DE 5 AÑOS </t>
  </si>
  <si>
    <t xml:space="preserve">ES IMPORTATENTE RESALTAR QUE DURANTE ESTE CAUTRENIO SE FORTALERIERON LAS ACCIONES DE PROMOCION, PREVENCION Y CONTROL CON EL FIN DE DIMINUIR LA MORBI-MORTALIDAD, A TREVES DE LA CONTRATRLACION DE 70 AUXILARES ENCARGADOS DE DESRROLLAR ACCIONES PERMAMENTE DE EDUACION Y PREVENCION DE ESTA PATOLOGIA Y CUANDO FUE NECESARIO LA APLICACION DE ACTIVIDES DE CONTROL QUIMICO CON EL FIN DE EVITAR LA PRESENCIA DE BROTES O EPIDEMIAS. SE FORATLECIO EL PROYECTO DE PARTICIPACION SOCIAL EN 25 MUNICIPIO DEL DEPARTAMENTO PROMOVIENDO LA PARTICIPACION SOCIAL Y COMUNITARIA Y ESTIMULIANDO LA CORRESPOINSABILIDAD DE LOS HABITANTES DE LOA MUNICPIOS EN RIESGO CON EL FIN DE BUSCAR PROMOVER ESPACIOS LIBRES DE FACTORES DE RIESGO PARA LA PRESENCIA DE ESTAS PATOLOGIAS Y LO MAS IMPORTANTE LA CREACION DE ENTORNOS SALUDABLES ATREZ DE LOS CUALES SE LOGRO NO SOLAMENTE CONTRIBUIR A MEJORAR LA CONDICION DE SALUD DE LAS PERSONAS SI NO A MEJORAR LA CALIDAD DE VIDA DE LAS POBLACIONES EN REISGO PARA ESTA EVENTO. SE REALIZO EL LANZAMIENTO DE LA ESTRATEGIA COMBI, EN LAS MUNICIPIO DE AGUA DE DIOS Y VILLETA PARA LO CAUL SE CONTO CON LA PARTICIPAICON DE LAS AUTORIDADES MUNICPALES SE PROMOVIO LA PARTICIPACION SOCIAL A TRAVES DE LA CREACION DE GESTORES DE SALUD Y REUNIONES COMUNITARIAS EN LAS CUALES SE BUSCABA CAPACITAR Y SENCIBILIZAR A LA POBLACION EN LA PREVENCION DE ESTE EVENTO Y FINALMENTE SE FORTALECION LA ESTRATEGIA DE INFORMACION, EDUCAION Y COMUNICACION EN 100% DE LOS MUNICIAPOO EN REISGO. </t>
  </si>
  <si>
    <t>A TRAVÉS DE LA ASISTENCIA TÉCNICA REALIZADA A 103 MUNICIPIOS Y 8 EAPB DEL DEPARTAMENTO, SE LOGRA LA GARANTÍA Y LA OPORTUNIDAD EN EL ACCESO A LOS SERVICIOS DE SALUD DE LA POBLACIÓN POBRE Y VULNERABLE DEL DEPARTAMENTO, POBLACIONES ESPECIALES, POBLACIÓN VÍCTIMA DEL CONFLICTO ARMADO Y NO AFILIADA DEL DEPARTAMENTO</t>
  </si>
  <si>
    <t xml:space="preserve">1. DISMINUIR EN 51% CON RESPECTO AL 2011 EL NÚMERO DE PERSONAS POBRES NO AFILIADAS EN EL DEPARTAMENTO PARA UN TOTAL DE 64.113 PERSONAS PPNA EN EL 2014.
2. REALIZAR EL PAGO EFECTIVO DE LA CARTERA DE LA VIGENCIA 2015, DE ACUERDO CON EL PRESUPUESTO ADJUDICADO POR UN VALOR DE $18.204, DONDE PARA EL PRIMER SEMESTRE DE 2015 SE HA LOGRADO UN PAGO EFECTIVO DE $8.500 (QUE CORRESPONDEN AL 65% DE LO GESTIONADO PARA PAGO)
3. INCREMENTAR LA RED DE PRESTADORES DE SERVICIOS DE SALUD (HOSPITAL DEPARTAMENTAL DE VILLAVICENCIO, HOSPITAL SAN FÉLIX DE LA DORADA, Y CLÍNICA DE ESPECIALISTAS LA CELAD).4. DAR CONTINUIDAD EN EL SEGUIMIENTO A LA GARANTÍA EN LA CALIDAD DE LA PRESTACIÓN DE LOS SERVICIOS DE LA RED ADSCRITA Y NO ADSCRITA DEL DEPARTAMENTO.
5. EN CUANTO A LA INTEGRALIDAD, LA OPORTUNIDAD Y CAPACIDAD DE RESPUESTA A LAS NECESIDADES DE LOS PACIENTES CON PATOLOGÍAS CRÓNICAS IRREVERSIBLES, Y EN EL SUMINISTRO DE INSUMOS MÉDICOS Y/O AYUDAS TÉCNICAS A LA POBLACIÓN POBRE NO AFILIADA, POBLACIONES ESPECIALES, Y LA AFILIADA AL RÉGIMEN SUBSIDIADO EN LO NO CUBIERTO POR SUBSIDIOS A LA DEMANDA.
</t>
  </si>
  <si>
    <t>MEDIANTE EL SEGUIMIENTO CON EL RESPECTIVO ANÁLISIS DE LOS INDICADORES DE ALERTA TEMPRANA, DE CALIDAD OBSERVADA Y ESPERADA Y DE LOS PLANES DE MEJORAMIENTO IMPLEMENTADOS COMO FACTOR DETERMINANTE DE LA VERIFICACIÓN DE LA CALIDAD EN LA PRESTACIÓN DE LOS SERVICIOS DE SALUD EN EL 100% DE LAS EMPRESAS ADMINISTRADORAS DE PLANES DE BENEFICIOS EAPB, SE HA LOGRADO IDENTIFICAR LAS EAPB QUE HAN REPORTADO INDICADORES SUPERIORES AL 45%, CON RESPECTO A LOS INDICADORES DE LA CALIDAD ESPERADA POR EL DEPARTAMENTO</t>
  </si>
  <si>
    <t>1. IMPLEMENTAR Y EVALUAR LA ESTRATEGIA CUNDINAMARCA ASEGURADA Y SALUDABLE EN EL 98.4% DE LOS MUNICIPIOS.
2. REALIZACIÓN DE ENTREGA Y ADAPTACIÓN DE MÁS DE 20.183 PRÓTESIS DENTALES ACRÍLICAS REMOVIBLES, EDUCACIÓN SOBRE PAUTAS DE SALUD ORAL Y AUTOCUIDADO DE SUS PRÓTESIS PARA MÁS DE 10.052 BENEFICIARIOS DE LOGRA MEJORAR LA CALIDAD DE VIDA DE LOS USUARIOS DE LOS SERVICIOS DE SALUD.
3. A TRAVÉS DEL ESTUDIO DEL RANKIN EPSS SE LOGRÓ ESTABLECER LA EVALUACIÓN Y MEDICIÓN DEL GRADO DE SATISFACCIÓN DE USUARIOS DE LOS SERVICIOS DE LAS EMPRESAS PROMOTORAS DE SALUD – EPS DEL RÉGIMEN SUBSIDIADO QUE OPERAN EN LA JURISDICCIÓN.</t>
  </si>
  <si>
    <t>AUMENTAR EN 7.07 PUNTOS PORCENTUALES LA COBERTURA DE LA AFILIACIÓN AL RÉGIMEN SUBSIDIADO CON RESPECTO A LA LÍNEA BASE DE 36.89%.</t>
  </si>
  <si>
    <t>A TRAVÉS DE LA CONTRATACIÓN DE SERVICIOS DE SALUD CON LAS ESE DE LA RED ADSCRITA AL DEPARTAMENTO Y LAS ESE/IPS PÚBLICAS Y PRIVADAS NO ADSCRITAS, SE LOGRÓ LA PRESTACIÓN DE LOS SERVICIOS DE LA POBLACIÓN VÍCTIMA DEL CONFLICTO ARMADO QUE DEMANDÓ EVENTOS EN SALUD NO CUBIERTOS POR SUBSIDIOS A LA DEMANDA Y LAS URGENCIAS DE LOS NO AFILIADOS EN EL DEPARTAMENTO.</t>
  </si>
  <si>
    <t>LA LÍNEA BASE DE LA POBLACIÓN IDENTIFICADA EN EL DEPARTAMENTO COMO VÍCTIMAS DEL CONFLICTO ARMADO A 31 DE DICIEMBRE DEL 2011 FUE DE 56.786, DE LOS CUALES EL 56% ESTABAN AFILIADOS AL SGSSS, LA META PARA EL PRESENTE CUATRIENIO FUE LA DE ALCANZAR EL 100% DE LA COBERTURA CON RESPECTO A LA LÍNEA BASE. EN LA ACTUALIDAD, EL NÚMERO DE AFILIADOS ES DE 58.278, ES DECIR QUE CON RELACIÓN A LOS USUARIOS IDENTIFICADOS EN LA LÍNEA BASE YA SE CUMPLIÓ CON LA META DE AFILIACIÓN, Y HAY UN AVANCE EN LA AFILIACIÓN CON RELACIÓN A OTRAS VÍCTIMAS QUE HAN LLEGADO A CUNDINAMARCA. 
O AFILIACIÓN AL RÉGIMEN SUBSIDIADO (RS): 39.520 PERSONAS AFILIADAS AL RS. 
O AFILIACIÓN AL RÉGIMEN CONTRIBUTIVO (RC): 18.758 PERSONAS AFILIADAS AL RC.</t>
  </si>
  <si>
    <t xml:space="preserve">SE HA LOGRADO ESTABLECER UN CONTACTO PERSONALIZADO EN EL MARCO DE LA ASISTENCIA TÉCNICA, LA CUAL VA ORIENTADA A RESOLVER LAS CONSULTAS, INQUIETUDES, DUDAS Y SEGUIMIENTOS, A TRAVÉS DE CONSULTAS PRESENCIALES Y CONVOCATORIA GENERAL, EN DONDE SE TRATAN TEMAS SOBRE LOS DISTINTOS ASPECTOS LEGALES Y DE OPERACIÓN CON RESPECTO A LA AFILIACIÓN EN SALUD DE LA POBLACIÓN EN GENERAL Y POBLACIÓN ESPECIAL, INCLUYENDO LA POBLACIÓN VÍCTIMA, ESTO CON EL FIN DE FORTALECER Y CONSOLIDAR LOS PROCESOS DE GESTIÓN MUNICIPAL Y EL AVANCE DE LOS PROCESOS DEL ASEGURAMIENTO DE LA POBLACIÓN VÍCTIMA, DESARROLLO Y LA EVALUACIÓN DE LOS PLANES DE MEJORAMIENTO DE LA GESTIÓN INSTITUCIONAL. </t>
  </si>
  <si>
    <t>SE HAN APROBADO TREINTA Y UN (31) PLANES HOSPITALARIOS DE EMERGENCIAS Y CONTINGENCIAS CORRESPONDIENTES A LAS SIGUIENTES ESES:
SAN ANTONIO DE ARBELÁEZ, SAN RAFAEL DE FUSAGASUGÁ, NUESTRA SEÑORA DEL PILAR DE MEDINA, MARÍA AUXILIADORA DE MOSQUERA, UNIDAD MÉDICA DE PACHO, DIVINO SALVADOR DE SOPÓ, TIMOTEO RIVEROS CUBILLOS DE UNE, PROFESOR JORGE CAVELIER DE CAJICÁ, SAN RAFAEL DE CÁQUEZA, NUESTRA SEÑORA DEL CARMEN DE EL COLEGIO, SAN ANTONIO DE LA VEGA, SANTA MATILDE DE MADRID, SAN VICENTE DE PAUL DE NEMOCÓN, SAN RAFAEL DE PACHO, CENTRO DE SALUD DE RICAURTE, CENTRO DE SALUD DE TAUSA, SANTA ROSA DE TENJO, SANTA BÁRBARA DE VERGARA, SALAZAR DE VILLETA HOSPITAL UNIVERSITARIO LA SAMARITANA DE BOGOTÁ, HABACUC CALDERÓN DE CARMEN DE CARUPA, CAYETANO MARÍA DE ROJAS DE EL PEÑÓN, SAN RAFAEL DE FACATATIVÁ, SAN VICENTE DE PAUL DE FÓMEQUE, SAN FRANCISCO DE GACHETÁ, SAN JOSÉ DE GUACHETÁ, PEDRO LEÓN ALVAREZ DE LA MESA, HILARIO LUGO DE SASAIMA, NUESTRA SEÑORA DEL CARMEN DE TABIO, Y MERCEDES TÉLLEZ PRADILLA DE VIANÍ.</t>
  </si>
  <si>
    <t xml:space="preserve">1.REORGANIZACIÓN DE LA RED DEPARTAMENTAL DE INSTITUCIONES PRESTADORAS DE SERVICIOS DE SALUD, APROBADO EN EL 2013 POR EL MINISTERIO DE SALUD Y PROTECCIÓN SOCIAL Y ACTUALIZADO EN EL 2015
2.REORDENAMIENTO FÍSICO FUNCIONAL DE 14 ESES: ESE HOSPITAL SALAZAR DE VILLETA ( URGENCIAS Y CONSULTA EXTERNA), HOSPITAL EL SALVADOR DE UBATE ( URGENCIAS), ESE HOSPITAL SAN RAFAEL DE FUSAGASUGA ( CONSTRUCCIÓN CENTRO DE SALUD PRIMARIA), ESE HOSPITAL PEDRO LEON ALVAREZ DE LA MESA ( AMPLIACIÓN DE URGENCIAS Y UNIDAD DE CUIDADO INTERMEDIO), CENTRO DE SALUD DE COTA ( NUEVO), ESE HOSPITAL DIÓGENES TRONCOSO DE PUERTO SALGAR ( NUEVO), HOSPITAL ISMAEL SILVA DE SILVANIA ( URGENCIAS), REPOSICIÓN DE INFRAESTRUCTURA DEL CENTRO DE SALUD DEL ROSAL, ESE HOSPITAL SANTA MATILDE DE MADRID ( NUEVO) . SE ENTREGARON RECURSOS PARA VIABILIDAD DE PROYECTOS DADOS EN 2013: CONSTRUCCIÓN DE LA NUEVA INFRAESTRUCTURA DE LA ESE HOSPITAL MARIO GAITAN YANGUAS DE SOACHA ( III NIVEL DE COMPLEJIDAD) NODO DE LA SUBRED CENTRO, INICIO DE EJECUCIÓN DE PROYECTOS DE INFRAESTRUCTURA A APROBADOS POR EL MINISTERIO DE SALUD Y PROTECCIÓN SOCIAL: CENTRO DE SALUD EL ROSAL, CENTRO DE SALUD MANABLANCA, FACATATIVA Y SERVICIO DE URGENCIAS EN ESE HOSPITAL SAN RAFAEL DE CÁQUEZA </t>
  </si>
  <si>
    <t>PROMOVER ACCIONES QUE PERMITAN AUMENTAR AL 100%(276) EL NÚMERO DE MECANISMOS DE PARTICIPACIÓN SOCIAL Y DEFENSORÍA DEL USUARIO CONFORMADOS Y FUNCIONANDO EN EL DEPARTAMENTO EN LOS CUATRO AÑOS DE GOBIERNO</t>
  </si>
  <si>
    <t>NUMERO DE MECANISMOS DE PARTICIPACIÓN CREADOS Y FUNCIONANDO.</t>
  </si>
  <si>
    <t>PORCENTAJE DE INSTITUCIONES DE LA RED HOSPITALARIA CON INFRAESTRUCTURA TECNOLÓGICA RENOVADA Y MODERNIZADA</t>
  </si>
  <si>
    <t>SE DIO CONTINUIDAD AL FORTALECIMIENTO TECNOLÓGICO A LOS 47 CONVENIOS QUE SE SUSCRIBIERON EN EL AÑO 2014, DE LOS CUALES 21 ESES YA ADQUIRIERON Y EJECUTARON SUS RECURSOS PARA LA RENOVACIÓN, ADECUACIÓN Y MODERNIZACIÓN DE INFRAESTRUCTURA TECNOLÓGICA Y COMUNICACIONES (EQUIPOS DE CÓMPUTO, IMPRESORAS, CABLEADO ESTRUCTURADO, UPS, ANTENAS DE COMUNICACIONES, SCANNER, VIDEO BEAM, ETC.) A LAS SIGUIENTES ESES: HOSPITAL SAN MARTIN DE PORRES DE CHOCONTA, HOSPITAL DE GACHETA, HOSPITAL SAN JOSE DE GUACHETA, HOSPITAL SANTA MATILDE DE MADRID, HOSPITAL SANTA ROSA DE TENJO, HOSPITAL DIOGENES TRONCOSO DE PUERTO SALGAR, HOSPITAL SAN VICENTE DE PAUL DE SAN JUAN DE RIOSECO, HOSPITAL SAN JOSE DE GUADUAS, HOSPITAL SAN ANTONIO DE SESQUILE, HOSPITAL HABACUC CALDERON DE CARMEN DE CARUPA, CENTRO DE SALUD DE TAUSA, HOSPITAL HILARIO LUGO DE SASAIMA, HOSPITAL EL SALVADOR DE UBATE, HOSPITAL SAN FRANCISCO DE VIOTA, HOSPITAL SAN VICENTE DE PAUL NEMOCON, HOSPITAL SAN ANTONIO DE GUATAVITA, HOSPITAL NTRA SRA. DEL PILAR MEDINA, HOSPITAL NTRA SRA. DEL CARMEN EL COLEGIO, HOSPITAL DIVINO SALVADOR DE SOPÓ, HOSPITAL SAN ANTONIO ANOLAIMA, HOSPITAL NTRA. SRA. DEL ROSARIO SUESCA, HOSPITAL NTRA SRA. DEL CARMEN DE TABIO, HOSPITAL SALAZAR VILLETA, HOSPITAL PEDRO LEON ALVAREZ DE LA MESA, HOSPITAL MARIO GAITAN YANGUAS DE SOACHA, HOSPITAL SAN RAFAEL DE CAQUEZA, HOSPITAL UNIVERSITARIO DE LA SAMARITANA, HOSPITAL SAN RAFAEL DE FACATATIVA, HOSPITAL SAN RAFAEL DE PACHO,CENTRO DE SALUD TIMOTEO CUBILLOS RIVERO DE UNE, CENTRO DE SALUD DEL TEQUENDAMA, HOSPITAL SANTA ROSA DE TENJO, CENTRO DE SALUD DE RICAURTE, CENTRO DE SAN FRANCISCO DE SALES, CAYETANO MARIA DE ROJAS, CENTRO DE SALUD DE CUCUNUBA</t>
  </si>
  <si>
    <t>LA SECRETARIA DE SALUD, TENIENDO EN CUENTA QUE LA RED HOSPITALARIA DEL DEPARTAMENTO CARECE DE RECURSOS PARA CONTRATAR EL MANTENIMIENTO DE LOS SISTEMAS DE INFORMACIÓN HOSPITALARIOS Y EN CONOCIMIENTO DE QUE SI ESTOS SISTEMAS DE INFORMACIÓN EN SALUD DEJAN DE OPERAR EN LAS ESES POR NO CONTAR CON EL SERVICIO DE MANTENIMIENTO Y SOPORTE TÉCNICO, NO PODRÁN HACER PARTE DEL PROYECTO DE INTEGRALIDAD DE LOS SISTEMAS DE INFORMACIÓN A PARTIR DEL CUAL SE GENERARÁ LA HCEU (HISTORIA CLÍNICA ELECTRÓNICA UNIFICADA), LA SECRETARIA DE SALUD A LOGRADO FORTALECER A LAS ESES MANTENIENDO LA CONTRATACIÓN DEL MANTENIMIENTO Y SPORTE TÉCNICO CON EL FIN DE QUE LAS ESES MANTENGAN EL SISTEMA DE INFORMACIÓN INTEGRAL EN SALUD A SU CARGO OPERANDO Y EN PRODUCCIÓN EN LAS SIGUIENTES ESES: MARCO FELIPE AFANADOR DE TOCAIMA, SAN ANTONIO DE CHIA, PEDRO LEON ALVAREZ DE LA MESA, MARIO GAITAN YANGUAS DE SOACHA, SAN RAFAEL DE CAQUEZA, UNIVERSITARIO LA SAMARITANA, SAN RAFAEL DE FACATATIVA, SAN RAFAEL DE PACHO Y SAN RAFAEL DE FUSAGASUGA, SANTA MATILDE DE MADRID, SAN MARTIN DE PORRES DE CHOCONTA, SAN FRANCISCO DE GACHETA, SANTA ROSA DE TENJO, SAN JOSE DE GUACHETA, SAN ANTONIO DE SESQUILE, SAN ANTONIO DE ARBELAEZ, SAN JOSE DE GUADUAS, HABACUC CALDERON DE CARUPA, NUESTRA SEÑORA DE LAS MERCEDES DE FUNZA Y CENTRO DE SALUD DE TAUSA, EL SALVADOR DE UBATE, SAN FRANCISCO DE VIOTA, SAN VICENTE DE PAUL NEMOCON, SAN ANTONIO DE GUATAVITA, DIOGENES TRONCOSO PUERTO SALGAR, SAN JOSE LA PALMA, SAN VICENTE DE PAUL FOMEQUE , NTRA SRA. DEL PILAR MEDINA, NTRA SRA. DEL CARMEN EL COLEGIO, DIVINO SALVADOR DE SOPÓ, S.JUAN DE RIO SECO, HILARIO LUGO SASAIMA, SANTA BARBARA DE VERGARA, SAN ANTONIO ANOLAIMA, NTRA. SRA. DEL ROSARIO SUESCA, NTRA SRA. DEL CARMEN DE TABIO, SALAZAR VILLETA.</t>
  </si>
  <si>
    <t>SE REALIZO LA MIGRACIÓN DE LA INFRAESTRUCTURA TECNOLÓGICA QUE SOPORTA LA HERRAMIENTA SIUS HACIA EL DATACENTER DE LA SECRETARIA DE TICS DE CUNDINAMARCA.
ADICIONALMENTE SE LOGRÓ LA VINCULACIÓN DE UN GRAN NÚMERO DE ESE´S DEL DEPARTAMENTO PARA QUE INTEGRARAN SU INFORMACIÓN DE HISTORIA CLÍNICA DENTRO DE LA RED DEPARTAMENTAL MEDIANTE EL ENVIÓ DE MENSAJERÍA HL7. 
EN LA DIRECCIÓN DE SALUD PÚBLICA SE ADELANTÓ LA CARACTERIZACIÓN DE LA FICHA FAMILIAR PARA MANEJAR LA CAPTURA DE LA INFORMACIÓN DE FORMA INTEGRADA CON EL SISTEMA DE INFORMACIÓN UNIFICADO EN SALUD -SIUS-, EN LÍNEA Y EN TIEMPO REAL.</t>
  </si>
  <si>
    <t>NO DE MUNICIPIOS FORTALECIDAS</t>
  </si>
  <si>
    <t xml:space="preserve">PROTECCIÓN </t>
  </si>
  <si>
    <t>INCREMENTAR 11.57 PUNTOS PORCENTUALES EN LA AFILIACIÓN DE LA POBLACIÓN AL RÉGIMEN CONTRIBUTIVO, CON RESPECTO A LA LÍNEA BASE DEL 41.76 DEL AÑO 2011</t>
  </si>
  <si>
    <t xml:space="preserve"> APOYO FINANCIERO A LA EPS CONVIDA ORIENTADO A LA GENERACIÓN DE LIQUIDEZ, CAPACIDAD OPERATIVA Y MEJORAR LA CALIDAD EN LA PRESTACIÓN DE SERVICIOS DE SALUD DE LA POBLACIÓN DEL DEPARTAMENTO DE CUNDINAMARCA </t>
  </si>
  <si>
    <t>SE APALANCÓ FINANCIERAMENTE A LAS SIGUIENTES ESES EN EL AÑO 2015, PARA LA ADQUISICIÓN DE EQUIPOS MÉDICOS PARA PRESTAR EL SERVICIO DE TELE-DIAGNOSTICO, TELE-CONSULTA Y TELE-RADIOLOGÍA BAJO LA MODALIDAD DE TELEMEDICINA, BENEFICIANDO AL: HOSPITAL DE SAN ANTONIO DE ARBELAEZ, HOSPITAL SAN JOSE DE GUADUAS, HOSPITAL SALAZAR VILLETA, HOSPITAL PEDRO LEON ALVAREZ DIAZ DE LA MESA, HOSPITAL SAN RAFAEL DE CAQUEZA, UNIDAD FUNCIONAL DE ZIPAQUIRA-HUS HOSPITAL SANTA MATILDE DE MADRID. 
A LA FECHA LAS 53 ESES PUBLICAS ESTÁN PRESTANDO SERVICIOS DE SALUD MEDIANTE LA MODALIDAD DE TELEMEDICINA (TELEDIAGNOSTICO, TELECONSULTA Y TELERADIOLOGIA) PRESTANDO 106.948 SERVICIOS DE SALUD EN EL DEPARTAMENMTO DE 2012 A 2015.</t>
  </si>
  <si>
    <t xml:space="preserve">RECURSOS EJECUTADOS 2013 </t>
  </si>
  <si>
    <t xml:space="preserve">SE LOGRA LA APROBACION DE LA POLITICA PUBLICA PARA LA INCLUSION SOCIAL DE LAS PERSONAS CON DISCAPACIDAD EN EL DEPARTAMENTO DE CUNDINAMARCA, MEDFIANTE ORDENANZA 0266 DE 2015. </t>
  </si>
  <si>
    <t xml:space="preserve">1. SISTEMA ÚNICO DE HABILITACIÓN -SUH-CON RETROALIMENTACIÓN MEDIANTE REPORTE DE INFORMACIÓN SITUACIONAL DE CALIDAD SEGÚN MARCO NORMATIVO, EVALUADO POR SUBREDES EN CUMPLIMIENTO CIRCULAR 084/14, CON CUMPLIMIENTO : 66% SUBRED NORTE; 75% SUBRED SUR; 80% SUBRED ORIENTE; 80% SUBRED OCCIDENTE Y 100% SUBRED CENTRO. 2. SISTEMA ÚNICO DE ACREDITACIÓN -SUA: CON PROMEDIO DE CALIFICACIÓN 1.4 SUBRED NORTE (MAYOR CALIFICACIÓN CARUPA, GUATAVITA Y SUESCA); 1.5 SUBRED SUR (ARBELAEZ, AGUA DE DIOS Y SILVANIA); 1.4 SUBRED ORIENTE (CÁQUEZA, FOSCA Y UNE); 1.5 SUBRED OCCIDENTE (FACATATIVÁ, MOSQUERA, MADRID Y VIANÍ) Y 1.9 SUBRED CENTRO (EL COLEGIO Y SOACHA). 3. PROGRAMA DE AUDITORIA - PAMEC: CUMPLIMIENTO EN CUANTO A REPORTE POR SUBRED DE 61.90% EN SUBRED NORTE; 62.5% EN SUBRED SUR ; 100% SUBRED ORIENTE, 73% SUBRED OCCIDENTE Y . 100% SUBRED CENTRO CON ACCIONES DE VERIFICACIÓN, ANÁLISIS Y SEGUIMIENTO. 4. PROGRAMA DE SEGURIDAD DEL PACIENTE: SUBRED NORTE; CON 30% EN CONSTRUCCIÓN PARA ESES DE CAJICÁ, GACHETÁ, JUNÍN Y TENJO Y 13% IMPLEMENTACIÓN Y EVALUADO EN ESES CHOCONTÁ Y ZIPA . SIN REPORTE: UBATE, EL PEÑÓN, TABIO, GUATAVITA, SESQUILÉ, NEMOCÓN, LA PALMA, GUATAVITA Y CARUPA. SUBRED SUR: 31% EN CONSTRUCCIÓN PATRA ARBELÁEZ, SILVANIA Y TOCAIMA Y 40% IMPLEMENTADO Y EVALUADO PARA AGUA DE DIOS, FUSAGASUGÁ Y GIRARDOT. SIN REPORTE: RICAURTE Y VIOTÁ. SUBRED ORIENTE: 19% EN CONSTRUCCIÓN PARA MEDINA Y UN 43% IMPLEMENTADO Y EVALUADO PARA CÁQUEZA, FÓMEQUE Y UNE. SUBRED OCCIDENTE: 35% EN CONSTRUCCIÓN PARA ANOLAIMA, GUADUAS, MADRID, FUNZA, SAN JUAN DE RIOSECO, SAN FRANCISCO, SASAIMA Y VIANÍ Y, 23% IMPLEMENTADO Y EVALUADO PARA FACATATIVÁ Y MOSQUERA . SUBRED CENTRO: 36%EN CONSTRUCCIÓN PARA LA MESA Y SAN ANTONIO DEL TEQUENDAMA Y 29% IMPLEMENTACIÓN Y EVALUADO PARA EL COLEGIO Y HUS SAMARITANA 
</t>
  </si>
  <si>
    <t xml:space="preserve">CORPORACION AUTONOMA REGIONAL DE CUNDINAMARCA- CAR MUNICIPIOS DE . TAUSA NEMOCON Y SUBACHOQUE </t>
  </si>
  <si>
    <t xml:space="preserve"> ACOPI MUNICIPIO DEL PEÑON </t>
  </si>
  <si>
    <t>APAVE,CORPOSUMAPAZ, FENALCO,EMPRESA FERREA MUNICIPIOS DE: NOCAIMA, QUIPILE M, LA PEÑA , MACHETA, QUEBRADANEGRA Y VILLAGOMEZ.</t>
  </si>
  <si>
    <t xml:space="preserve">SE LOGRO SATISFACER LA DEMANDA DE LAS ENTIDADES Y COMUNIDAD OPRTUNAMENTE EN LAS TEMATICAS FORNULACIÓN Y EVALUACION DE PROYECTOS, ASISTENCIA TECNICA MUNICIPAL EN POT Y FINANZAS, SE ACTUALIZAZO LOS CALES DE INFORMACIÓN Y EL SIG Y SEGUIMIENTO DE A LOS PROYECTOS DE MAYOR IMPACTO DEL DEPARTAMENTO . </t>
  </si>
  <si>
    <t xml:space="preserve">POTENCIALIZACIÓN DE CAPACIDADES Y HABILIDADES TÉCNICAS DE MÁS DE 8.400 FUNCIONARIOS DE NIVEL MUNICIPAL, DEPARTAMENTAL Y SOCIEDAD CIVIL EN DESTREZAS Y HABILIDADES PARA EL LOGRO DE LA GESTIÓN INTEGRAL, EN TEMAS DE PLANIFICACIÓN DE DESARROLLO, FINANCIEROS , SISBEN, GESTIÓN CONTRACTUAL, REGALIAS ENTRE OTROS. 
</t>
  </si>
  <si>
    <t>LA INVERSION DE RECURSOS EN PROYECTOS DE CONSTRUCCION DE INFRAESTRUCTURA UARBANISITICA PARA VIVIENDA NUEVA LOGRÒ UN AVANCE DE LA META EN EL CUATRIENIO DEL 98,40%</t>
  </si>
  <si>
    <t>ESTA META REPORTA AVANCE DE 4.517 VIVIENDAS RURALES APOYADAS EN SU CONSTRUCCION. EQUIVALENTE AL 179%. EL LOGRO MAS IMPORTANTE CONSEGUIDO EN EL CUATRIENIO FUE LA GESTION DE RECURSOS DEL ORDEN NACIONAL DURANTE LAS VIGENCIAS 2012 Y 2013 CON LA ASIGNACION DE 4,824 SUBSIDIOS DEL BANCO AGRARIO Y UNA INVERSION DE 84,000 MILLONES DE PESOS DE DICHA ENTIDAD.</t>
  </si>
  <si>
    <t>SE SUSCRIBIERON CONVENIOS CON VARIOS MUNICIPIOS EN EL MARCO DEL PROGRAMA DE VIVIENDA GRATUITA. 
SE SANCIONÓ LA ORDENANZA NO.179 DE 2013 DE EXENCION DEL IMPUESTO DE REGISTRO PARA LOS PROYECTOS DEL PROGRAMA DE VIVIENDA GRATUITA EN CUNDINAMARCA. ESTA ORDENANZA APOYA A 4.221 VIVIENDAS GRATIS. 
EL REPORTE DE LA TOTALIDAD DE VIVIENDAS CONSTRUIDAS EN CUNDINAMARCA EN EL MARCO PROGRAMA DE VIVIENDAS GRATIS, SE HARÀ EN EL MES DE NOVIEMBRE CUANDO FONVIVIENDA PRESENTE EL INFORME.</t>
  </si>
  <si>
    <t>LA UAE DE VIVIENDA SOCIAL ADELANTÒ DURANTE EL CUATRIENIO CONVOCATORIAS DEPARTAMENTALES PARA LA PRESENTACION DE PROYECTOS, LO QUE GENERÒ UNA MAYOR PARTICIPACION Y ACCESO DE LOS MUNICIPIOS A RECURSOS DEPARTAMENTALES PARA LA EJECUCION DE LOS MISMOS.
HUBO GRAN ACOGIDA FRENTE AL TEMA DE MEJORAMIENTO DE VIVIENDA RURAL.
EL PORCENTAJE DE CUMPLIMIENTO DE LA META A LA FECHA ES DEL 95,58%</t>
  </si>
  <si>
    <t>EN EL CUATRIENIO SE LOGRO UN PORCENTAJE DE CUMPLIMIENTO DE LA META DEL 94.50%</t>
  </si>
  <si>
    <t>CON LAS CONVOCATORIAS ABIERTAS POR LA UAE DE VIVIENDA SOCIAL, LOS MUNICIPIOS PRESENTARON UN GRAN NUMERO DE PROYECTOS EN LA MODALIDAD DE PISOS ANTIBACTERIALES.
EL PORCENTAJE DE CUMPLIMIENTO DE LA META A LA FECHA ES DEL 77.24%.
EN CONSECUENCIA ESTA META DEBE MANTENERSE PARA LA VIGENCIA 2016.</t>
  </si>
  <si>
    <t>DURANTE EL CUATRINEIO HUBO GRAN INTERES DE LOS MUNICIPIOS DEL DEPARTAMENTO EN LA EJECUCION DE PROYECTOS EN LA MODALIDAD MEJORAMIENTO BARRIAL.
EL AVANCE DE LA META EN EL CUATRIENIO DEL 467%.</t>
  </si>
  <si>
    <t>SE DIO CUMPLIMIENTO A LA META PLANTEADA PARA EL CUATRIENIO CON UN AVANCE DEL 95%.</t>
  </si>
  <si>
    <t>0.2</t>
  </si>
  <si>
    <t>Indicador Alcanzado</t>
  </si>
  <si>
    <t>%  Ejec_ Cuatrienio</t>
  </si>
  <si>
    <t>ACUMULADO CUATRIENIO</t>
  </si>
  <si>
    <t>Fecha de actualización: 30 de Agosto de 2015</t>
  </si>
  <si>
    <t>88 PROYECTOS DE AGUA POTABLE TERMINADOS ENTRE EL 2012-2015 POR VALOR DE $166.618 MILLONES EN 52 MUNICIPIOS QUE HAN BENEFICIADO A 183.716 HABITANTES DE CUNDINAMARCA. SE DESTACA LA CONSTRUCCIÓN DE 10 PLANTAS DE TRATAMIENTO DE AGUA POTABLE EN LOS MUNICIPIOS DE VILLAPINZÓN, SUBACHOQUE, FOSCA, SASAIMA, LA PEÑA, ZIPAQUIRÁ, MADRID, PUERTO SALGAR Y ANOLAIMA</t>
  </si>
  <si>
    <t xml:space="preserve">53 PROYECTOS DE ALCANTARILLADO TERMINADOS ENTREL EL 2012-2015 POR VALOR DE $234.337 MILLONES EN 35 MUNICIPIOS QUE HAN BENEFICIADO A 80.026 HABITANTES DEL DEPARTAMENTO. </t>
  </si>
  <si>
    <t xml:space="preserve">SE IDENTIFICARON 2.300 BENEFICIAROS EN 11 MUNICIPIOS (FACATATIVÁ, NOCAIMA, PULÍ, QUEBRADANEGRA, VIOTÁ, SOACHA, GIRARDOT, APULO, SILVANIA, SUPATÁ Y SAN JUAN DE RIOSECO). SE BUSCAN 700 BENEFICIARIOS FALTANTES EN 3 MUNICIPIOS (BELTRÁN, GUATAQUÍ Y JERUSALÉN) Y EN PROCESO DE CONTRATACIÓN 877 INTRADOMICILIARIAS PARA GIRARDOT.
</t>
  </si>
  <si>
    <t xml:space="preserve">GRACIAS A LAS OBRAS DE ACUEDUCTO Y CAPACITACIONES REALIZADAS EN LOS MUNICIPIOS DEL DEPARTAMENTO, SE LOGRÓ UN AUMENTO DE LA COBERTURA DE AGUA POTABLE EN UN 11%, LO QUE EQUIVALE A QUE 81 MUNICIPIOS DEL DEPARTAMENTO ESTÉN ENTREGANDO AGUA POTABLE DE ACUERDO AL INDICE DE RIESGO DE CALIDAD DEL AGUA - IRCA REPORTADO POR EL INSTITUTO NACIONAL DE SALUD. </t>
  </si>
  <si>
    <t xml:space="preserve">66 PROYECTOS DE AGUA POTABLE TERMINADOS ENTRE EL 2012-2015 EN LAS ZONAS RURALES DEL DEPARTAMENTO QUE HAN BENEFICIADO A 51.702 HABITANTES. </t>
  </si>
  <si>
    <t>EL AVANCE DEL PROYECTO SE ENCUENTRA EN UN 90%. SE REALIZÓ EL ESTUDIO DE PREFACTIBILIDAD, SE LOGRÓ LA CONCESIÓN DE CAPTACIÓN DE AGUA DEL EMBALSE DEL SISGA Y SE ENCUENTRA EN EJECUCIÓN UN CONTRATO PARA DISEÑAR UN SISTEMA DE ACUEDUCTO MATRIZ, QUE TENGA CAPACIDAD DE PROVEER ABASTECIMIENTO DE AGUA A LOS MUNICIPIOS DE LA SABANA Y CENTRO. SE ESPERA RECIBIR EL ESTUDIO EN EL MES DE NOVIEMBRE</t>
  </si>
  <si>
    <t>EL CENTRO REGULADOR DE URGENCIAS, YA SE ENCUENTRA A DISPOSICIÓN DE LOS ENTES ENCARGADOS DE SU MANEJO, LUEGO DE HABER SIDO TERMINADO Y ENTREGADO, DENTRO DEL CRONOGRAMA PROPUESTO EN EL PROYECTO INICIAL, LOGRANDO CUMPLIR CON LO PROYECTADO PARA ÉSTA META.</t>
  </si>
  <si>
    <t xml:space="preserve">GRACIAS A LA GESTIÓN DEL ICCU, SE HA LOGRADO SUSCRIBIR CONVENIOS INTERADMINISTRATIVOS CON MUNICIPIOS Y CON CONTRATISTAS PRIVADOS, PARA LA CONSTRUCCIÓN, ENTREGA Y PUESTA EN SERVICIO DE CENTROS DE SALUD Y HOSPITALES PARA LOS HABITANTES DE CUNDINAMARCA. LO ANTERIOR SE HA LOGRADO GRACIAS A LA CORRECTA PLANIFICACIÓN Y ENTREGA DE LOS ESCASOS RECURSOS DISPONIBLES PARA LO CONCERNIENTE DE ÉSTA META, SOBREPASANDO LO PLANEADO INICIALMENTE EN LA META DE 6 A NUEVE CENTROS DE SALUD PARA CUNDINAMARCA </t>
  </si>
  <si>
    <t>DURANTE LA PRESENTE GESTIÓN, SE LOGRARON INTERVENIR SEIS ESPACIOS SOCIALES QUE APORTAN AL INTERÉS CULTURAL Y QUE FOMENTAN LA CONSERVACIÓN HISTÓRICA DE LOS BIENESINMUEBLES QUE PERTENECEN AL DEPARTAMENTO.</t>
  </si>
  <si>
    <t>LA CONSTRUCCIÓN DE LA UNIDAD BASICA DE REHABILITACIÓN INTEGRAL, SE ENCUENTRA EN ÉSTE MOMENTO EN UN 85% DE AVANCE, SEGÚN LO REPORTADO POR EL EJECUTOR DEL PROYECTO. PARA EL FINAL DE LA VIGENCIA DEL 2015, SE INAGURARÁ Y SE PONDRÁ AL SERVICIO ESTE PROYECTO ANTE LA COMUNIDAD CUNDINAMARQUESA</t>
  </si>
  <si>
    <t>EL CENTRO DE VICTIMAS DEL CONFLICTO ARMADO, SE ENCUENTRA EN PROCESO DE CONSTRUCCIÓN Y REPORTA UN AVANCE DE OBRAS EN UN ESTIMADO DEL 90%, ASEGURANDO SU INAUGURACIÓN Y ENTREGA PARA ANTES DEL FINAL DE LA PRESENTE VIGENCIA. DICHA OBRA BENEFICIARÁ A LAS FAMILIAS QUE EN SU CONDICIÓN DE DESPLAZAMIENTO, BUSCAN AYUDA DEL GOBIERNO DEPARTAMENTAL, PARA ATENCIÓN INTEGRAL DE LAS FAMILIAS QUE HAN SUFRIDO DE ÉSTE FLAGELO.</t>
  </si>
  <si>
    <t>AUNQUE SE TIENEN REPORTADOS 10 ESTUDIOS DE VULNERAVILIDAD SISMICA, PARA 10 CENTROS DE SALUD DEL DEPARTAMENTO, YA SE TIENEN CONTRATADOS 12 ESTUDIOS ADICIONALES, LOS CUALES SERÁN ENTREGADOS PARA EL FINAL DE LA PRESENTE VIGENCIA, LOGRANDO CUMPLIR CON LO CONTENIDO EN LO QUE CORRESPONDE A LA PRESENTE META.</t>
  </si>
  <si>
    <t>LA INTERVENCIÓN EN PAVIMENTACIÓN Y REHABILITACIÓN DE LAS VÍAS DE LA RED DE SEGUNDO ORDEN, CORRESPONDE A UN TOTAL CON CORTE A AGOSTO DE 2015, DE 860 KILOMETROS ATENDIDOS EN EL DEPARTAMENTO. A ESTA META APORTAN EN GRAN MEDIDA LAS TRES CONCESIONES CON LAS QUE CUENTA EL DEPARTAMENTO, YA QUE SU MISIÓN Y LO QUE ESTÁ CONTEMPLADO DENTRO DE SUS RESPECTIVOS CONTRATOS ES LA ATENCIÓN DE LAS VIAS A SU CARGO, REALIZANDO LOS CORRESPONDIENTES MANTENIMIENTOS A LAS REDES VIALES ASIGNADAS.</t>
  </si>
  <si>
    <t>SE HAN DESARROLLADO OBRAS DE MANTENIMIENTO RUTINARIO A LA RED VIAL DE SEGUNDO ORDEN, SOBREPASANDO LA META ESTABLECIDA PARA EL CUATRIENIO, GRACIAS A LA INTERVENCIÓN DE LAS CONCESIONES VIALES CON LAS QUE CUENTA ACTUALMENTE EL DEPARTAMENTOY GRACIAS A LA SUSCRIPCIÓN DE CONVENIOS INTERADMINISTRATIVOS CON LOS MUNICIPIOS, ENTREGANDO RECURSOS PARA LA INTERVENCIÓN EN VÍAS QUE CADA MUNICIPIO PRESENTÓ COMO PROYECTOS PARA INTERVENCIÓN Y MANTENIMIENTO.</t>
  </si>
  <si>
    <t>SE LOGRÓ LA INTERVENCIÓN DE 8573 KILÓMETROS CON CORTE A AGOSTO DE LA PRESENTE VIGENCIA, LOGRANDO SOBREPASAR LA META ESTABLECIDA PARA EL CUATRIENIO, GRACIAS A LA SUSCRIPCIÓN DE CONVENIOS INTERADMINISTRATIVOS CON LOS MUNICIPIOS, PARA LA REALIZACIÍN DE LOS CORRESPONDIENTES MANTENIMIENTOS DE MANERA PERIÓDICA O RUTINARIA DE LA RED VIAL TERCIARIA, AYUDANDO AL HABITANTE DE VEREDAS LEJANAS DE LOS CASCOS URBANOS, EL DESPLAZAMIENTO Y ENTRE</t>
  </si>
  <si>
    <t xml:space="preserve">LA CONSTRUCCIÓN DE PUENTES, HA SIDO UNA DE LAS METAS BANDERA DE LA ACTUAL ADMINISTRACIÓN, LOGRANDO INTERVENIR 13.649 METROS CUADRADOS DE PUENTES CONSTRUIDOS, QUE HAN MEJORADO LA TRANSITABILIDAD Y HAN OPTIMIZADO LOS TIEMPOS DE DESPLAZAMIENTO. LA INTERVENCIÓN SE REALIZÓ EN ZONAS DONDE NO EXISTIAN LOS PUENTES, TAMBIEN EN ZONAS DONDE PRO EFECTOS DE PASADA OLAS INVERNALES, LOS PUENTES ANTERIORES SE ENCONTRABAN DETERIORADOS, EN MAL ESTADO O CON UNA ANTIGUEDAD QUE SOBREPASABA LA VIDA ÚTIL DE DICHOS PUENTES. </t>
  </si>
  <si>
    <t>PARA ESTA META, LA ACTUAL ADMINISTRACIÓN HA INTERVENIDO 142 PUENTES PARA REALIZAR ACCIONES DE MANTENIMIENTO QUE PERMITAN PROLONGAR LA VIDA ÚTIL DE DICHOS PUENTES. EN ACCIONES COMO PINTURA, ARREGLO Y EN ACCIONES DE MANTENIMIENTO GENERAL, SE HAN MANTENIDO DICHOS PUENTES MANTENIENDOLOS AL SERVICIO DE LA COMUNIDAD EN GENERAL.</t>
  </si>
  <si>
    <t>EN PROCESO SE ENCUENTRAN LAS OBRAS DONDE SE DESARROLLARAN LAS OBRAS LOGÍSTICAS, LAS CUALES FUERON CONCERTADAS EN COORDINACIÓN CON LA SECRETARÍA DE DESARROLLO SOCIAL Y LOS MUNICIPIOS EN DONDE SE ENTREGARÁN LAS OBRAS.</t>
  </si>
  <si>
    <t>CON EL FIN DE APOYAR LA IMPLEMENTACIÓN DE CENTROS DE COMERCIALIZACIÓN QUE PERMITAN EL DESARROLLO Y LA COMPETITIVIDAD REGIONAL SE PRESENTO EL PROYECTO PARA LA ADECUACIÓN DEL COLISEO DE FERIAS DEL CENTRO AGROTECNOLÓGICO QUEBRAJACHO DEL MUNICIPIO DE FUSAGASUGÁ, EL CUAL SE ENCUENTRA EN EJECUCIÓN EN ÉSTE MOMENTO . SE ESTAN DESARROLLANDO OBRAS EN OTRAS PLAZAS DE MERCADO, LOS CUALES MEJORANRAN LAS CONDICIONES DE COMERCIALIZACIÓN DE LOS PRODUCTOS A LOS HABITANTES DE LAS POBLACIONES CERCANAS QUE DEPENDEN DE SU SUSTENTO EN ÉSTE TIPO DE ACTIVIDADES COMERCIALES .</t>
  </si>
  <si>
    <t xml:space="preserve">1. ACUERDO SUSCRITO. SE REALIZÓ LA IMPRESIÓN Y DISTRIBUCIÓN DE LA CARTILLA QUE CONTIENE EL ACUERDO, ADEMAS DE ESTO SE REALIZÓ LA DIFUCION DEL DECRETO DE MOVILIZACIÓN DE MADERA A TRAVES DE LAS CORPORACIONES AMBIENTALES Y POLICÍA DE CUNDINAMARCA. EN LA VIGENCIA 2015 SE REALIZO LA MESA TECNICA DE COORDINACIÓN Y SEGUIMIENTO CON ASISTENCIA DEL MINISTERIO DE AMBIENTE; PARA LA PRESENTACIÓN DEL INFORME ANUAL CONFORME A LAS LINEAS ESTRATEGICAS </t>
  </si>
  <si>
    <t>DISEÑO Y PUBLICACIÓN DE 1 PROTAFOLIO DE PROYECTOS PARA EL DESARROLLO DE LA INVESTIGACIÓN EN EL PORTAL WEB DE CUNDINAMARCA NEUTRA DE LA SECRETARIA DEL AMBIENTE.</t>
  </si>
  <si>
    <t xml:space="preserve"> 3 ALIANZAS PUBLICO PRIVADAS IMPLEMENTADAS. ACERCAMIENTO CON EMPRESAS PRIVADAS COMO CONTREEBUTE Y COVIANDES Y RELLENO SANITARIO NUEVO MONDOÑEDO PARA LA IMPLEMENTACION Y CONSOLIDACION DE ACCIONES INCLUIDAS EN LAS LICENCIAS AMBIENTALES A FIN DE IMPLEMENTAR ACTIVIDADESN DE BENEFICIO MUTUO, EN EL MEJORAMIENTO DE LOS ECOSISTEMAS AMBIENTALES, OFRECIENDO COMO POTENCIALIDAD LOS PREDIOS DE PROPIEDAD DEL DEPARTAMENTO GENERANDO GRAN IMPACTO. EL PROYECTO QUE HA DESARROLLADO ACTIVIDADES DE IMPLEMENTACIÓN HA SIDO CONTREEBUTE CON LA SIEMBRA DE 2.200 ARBOLES EN EL MUNICIPIO DE SILVANIA Y ZIPACON.</t>
  </si>
  <si>
    <t>1 LINEAMIENTO DE POLITICA FORMULADO. MEDIANTE EL CONTRATO DE 005 DE 2013 SUSCRITO CON FONDECUN, EL CONTRATISTA ALVAR SANCHEZ ENTREGO DOCUMENTO DE LINEAMIENTOS DE POLITICA QUE EN RESIDUOS SOLIDOS SE APLICA AL DEPARTAMENTO. ESTOS LINEAMIENTOS Y SON ADOPTADOS MEDIANTE ORDENANZA 0232 DE 2014.</t>
  </si>
  <si>
    <t>1,5 SISTEMAS REGIONALES DE APROVECHAMIENTO . MEDIANTE CONTRATACION CON FONDECUN SE ANALIZARON LOS SISTEMAS REGIONALES DE TRANSFERENCIA PROYECTADOS PARA QUE INICIEN SU FUNCIONAMIENTO, APOYARLOS Y ACOMPAÑARLOS EN SU FUNCIONAMIENTO INICIAL. ESTAN EN PROCSO UBATE, GUADUAS, ARBELAEZ Y PASCA.
SE ADELANTA CONSTRUCCION DE LOS SISTEMAS DE APROVECHAMINETO EN LOS MUNICPIOS DE UBATE Y PACHO.</t>
  </si>
  <si>
    <t>2 PROYECTOS DE RESIDUOS PROMOVIDOS. LA MESA DE RECICLAJE HA FUNCIONADO PERIODICAMENTE; SE BUSCA PROMOVER EL DESARROLLO DE LOS PROYECTOS REGIONALES DE MANEJO INTEGRAL DE RESIDUOS SOLIDOS DE PACHO, UBATE, ORIENTE INICIALMENTE. COMPLEMENTARIO SE ESTA FORTAIENDO EL PROCESO DE MANEJO INTEGRAL DE RESIDUOS EN CAJICA Y SUBACHOQUE.</t>
  </si>
  <si>
    <t xml:space="preserve">SE MEJORARON LAS CONDICIONES DE ACCESO AL FINANCIEMIENTO DE LA ACTIVIDAD ECONÓMICA DE LOS PEQUEÑOS PRODUCTORES A TRAVÉS DE LA CREACIÓN E IMPLEMENTACIÓN DEL FONDO DE EMPRENDIMIENTO DE CUNDINAMARCA. </t>
  </si>
  <si>
    <t xml:space="preserve">SE FORTALECIÓ LA DENSIDAD Y EL TEJIDO EMPRESARIAL CUNDINAMARQUES, CONSOLIDANDO LA SOSTENIBILIDAD Y PERDURABILIDAD DE LAS MIPYMES A TRAVÉS DE ALIANZAS ESTRATÉGICAS QUE FACILITARON LA INCURSIÓN EN NUEVOS MERCADOS Y LA GENERACIÓN DE EMPLEO E INGRESOS DE LOS PEQUEÑOS PRODUCTORES. </t>
  </si>
  <si>
    <t xml:space="preserve">SE LOGRARON MEJORAS EN LA COMPETITIVIDAD DE LAS EMPRESAS CUNDINAMARQUESAS A TRAVÉS DEL APOYO EN PROCESOS INNOVADORES Y DE GESTIÓN DE CALIDAD TALES COMO LA CONSECUCIÓN DE CERTIFIACIONES Y REGISTROS INVIMA, MEJORAS EN LAS CONDICIONES DE COMERCIALIZACIÓN Y FACILIDADES DE ACCESO A PROVEEDURÍA DE GRANDES SUPERFICIES, PARTICIPACIÓN EN RUEDAS DE NEGOCIOS Y FERIAS NACIONALES E INTERNACIONALES. </t>
  </si>
  <si>
    <t>LA IMPLEMENTACION DE LA ESTRATEGIA “DEL” HA PERMITIDO LA CONSOLIDACION DE PROCESOS DE DESARROLLO ECONOMICO LOCAL PARA AQUELLOS MUNICIPIOS DE MENOR GRADO DE DESARROLLO, BENEFICIANDO A LOS MICROEMPRESARIOS CON ACTIVIDADES SCETORIALES GENERADORAS DE INGRESOS, TALES COMO ESTRUTURACION DE IMAGEN CORPORATIVA Y MEJORAMIENTO EN LA PRESENTACIÓN DE LOS PRODUCTOS EN EL MERCADO, ENTRE OTRAS.</t>
  </si>
  <si>
    <t>LA FACILITACION DE OPORTUNIDADES DE ACCESO AL CREDITO (COMO EJEMPLO LA OBTENCION DE MENORES TASAS DE INTERES DEL MERCADO BANCARIO) HA PERMITIDO LA MATERIALIZACION DE PROYECTOS PRODUCTIVOS SURGIDOS DE CUNDINAMARQUESES EMPRENDEDORES, ESPECIALMENTE DE AQUELLAS PROVINCIAS DE LA PERIFERIA DEPARTAMENTAL.</t>
  </si>
  <si>
    <t xml:space="preserve">EL APOYO A LOS MICROEMPRESARIOS CUNDINAMARQUESES EN EL FORTALECIMIENTO DEL PROCESO DE COMERCIALIZACION PERMITIO CONSOLIDAR LA GESTIÓN DE LAS CADENAS PRODUCTIVAS, LA OBTENCION DE MAYORES INGRESOS, EL CONOCIMIENTO DE LA COMPETENCIA EN EL MERCADO Y POR LO TANTO EL MEJORAMIENTO DE LAS CONDICIONES COMPETITIVAS DE LOS PRODUCTORES. </t>
  </si>
  <si>
    <t>LA GESTION DEL OBSERVATORIO DE COMPETITIVIDAD Y EMPLEO HA FACILITADO LAS CONDICIONES PARA QUE LA PRODUCCION DE CONOCIMIENTO SE CONSOLIDE COMO SOPORTE FUNDAMENTAL PARA LA TOMA DE DECISIONES Y LA FORMULACION DE POLITICA PUBLICA, HERRAMIENTA QUE BENEFICIA A LOS ACTORES PUBLICOS Y PRIVADOS Y LA SOCIEDAD CIVIL CUNDINAMARQUESA. EN EL MARCO DEL OBSERVATORIO DE MERCADO DE TRABAJO ORMET SE HA REALIZADO CON LOS ALIADOS LA ETAPA DE PLANEACIÓN ESTRATEGICA, ASI COMO JORNADAS DE CAPACITACIÓN Y ENCUENTROS DE COORDINACIÓN CON CAJAS DE COMPENSACIÓN, SENA Y MINTRABAJO PARA MEJORAR ASPECTOS DE INTERMEDICACIÓN LABORAL. POR OTRA PARTE, ESTA EN EJECUCIÓN EL ESTUDIO DE PERFILES OCUPACIONALES DE SOPÓ, TOCANCIPÁ Y COTA, CON UNIVERSIDAD CATÓLICA.</t>
  </si>
  <si>
    <t>EL PROCESO DE PROMOCIÓN DE BIENES Y SERVICIOS CUNDINAMARQUESES EN EL MERCADO GLOBAL, HA PERMITIDO GENERAR CONDICIONES FAVORABLES EN RAMAS DE ACTIVIDAD COMO AGROINDUSTRIA, ARTESANÍAS, CUERO Y CALZADO Y AMPLIAR LOS HORIZONTES DE COMERCIALIZACIÓN DE NUEVOS MERCADOS A LAS SUBREGIONES DEL DEPARTAMENTO, BENEFICIANDO DE ESTA MANERA A LOS MUNICIPIOS ASI COMO A SUS PRODUCTORES Y MYPIMES PERMITIENDO MOSTRAR SUS POTENCIALIDADES, ATRAYENDO INVERSIÓN EXTRANJERA Y TURISMO.</t>
  </si>
  <si>
    <t>LA INSERCIÓN DEL DEPARTAMENTO EN LOS MERCADOS REGIONAL, NACIONAL E INTERNACIONALMENTE, SE HA FACILITADO CON EL DESARROLLO DE UNA ESTRATEGIA INNOVADORA DE MARCA REGIONAL, IMPULSANDO UNO DE LOS PRODUCTOS DE MAYOR PRODUCCION DE CALIDAD DEL PAIS COMO LO ES EL CAFÉ ESPECIAL ASI COMO LOS DESTINOS Y ATRACTIVOS TURISTICOS DE CUNDINAMARCA.</t>
  </si>
  <si>
    <t>SE HA LOGRADO AVANZAR EN EL MEJORAMIENTO DE LAS CONDICIONES DE PRODUCTIVIDAD EMPRESARIAL Y LABORAL, A TRAVÉS DE LOS INTERCAMBIOS ACADÉMICOS Y EMPRESARIALES, FACILITANDO LA VISIÓN DE NUEVOS MERCADOS, LA GESTIÓN DE INNOVACIÓN Y TRANSFERENCIA TECNOLÓGICA Y ADEMAS INCENTIVAR LA COMERCIALIZACION INTERNACIONAL ABRIENDO NUEVAS OPORTUNIDADES PARA LOS EMPRESARIOS DE SECTORES ECONOMICOS DE LA AGROINDUSTRIA DEPARTAMENTAL.</t>
  </si>
  <si>
    <t>NO ES DE SALUD</t>
  </si>
  <si>
    <t xml:space="preserve">UNA DE LAS COMPETENCIAS DE LA SECRETARIA DE EDUCACIÓN ES LA FORMACIÓN DE AGENTES EDUCATIVOS EN PROCESOS PEDAGÓGICOS PARA LA PRIMERA INFANCIA. EN EL CUATRIENIO LA META ES FORMAR A 1.800 AGENTES EDUCATIVOS.
PARA LOGRAR ESTE PROPÓSITO SE AUNARON ESFUERZOS ADMINISTRATIVOS, TÉCNICOS Y FINANCIEROS, CON EL MINISTERIO DE EDUCACIÓN, CORPOEDUCACIÓN, FUNDACIÓN UNIVERSIDAD DEL NORTE, SALDARRIAGA CONCHA Y UNIVERSIDAD NACIONAL. ES ASÍ QUE ENTRE TODAS ESTAS ENTIDADES SE LOGRÓ A CORTE DE AGOSTO DE 2015, LA COOPERACIÓN PARA FORMAR UN TOTAL DE 1.921 AGENTES EDUCATIVOS. ES DE RESALTAR QUE LOS APORTES ECONÓMICOS DE LAS DIFERENTES ENTIDADES ASCENDIERON A LA SUMA DE $ 3.366.799.996,16, DONDE LA SECRETARÍA DE EDUCACIÓN DE CUNDINAMARCA PARTICIPÓ CON $200.000.000. EN ESTE PROCESO DE FORMACIÓN ESTÁN VINCULADOS LOS 116 MUNICIPIOS DE CUNDINAMARCA.
</t>
  </si>
  <si>
    <t>FORTALECIMIENTO DE ESPACIOS DE PARTICIPACIÓN Y APRENDIZAJE CON DOTACIÓN A 70 LUDOTECAS EN EL MARCO DEL PROGRAMA RED DE LUDOTECAS EN 67 MUNICIPIOS, DE LAS CUALES 19 SE ENCUENTRAN A CARGO DE COLSUBSIDIO EN EL MARCO DEL CONVENIO DE COOPERACIÓN SUSCRITO. 
SE HAN CAPACITADO APROXIMADAMENTE 100 LUDOEDUCADORES EN TEMAS DE: JUEGO, LUDOTECAS Y EDUCACIÓN; LUDOTECAS Y JUEGO EN EL DESAROLLO LOCAL; POLITICAS PÚBLICAS DE LUDOTECAS Y ESPACIOS DE JUEGO.
ENTRE 2014 Y PRIMER SEMESTRE DE 2015, SE HA BRINDADO ATENCIÓN A MÁS DE 100 MIL NIÑOS Y NIÑAS MENORES DE 6 AÑOS.</t>
  </si>
  <si>
    <t>SE HAN APOYADO 16 AGRUPACIONES DE PRIMERA INFANCIA CON EL FIN DE DIFUNDIR, PROMOCIONAR Y HACER SEGUIMIENTO DE LOS PROCESOS MUSICALES DE LOS MUNICIPIOS.</t>
  </si>
  <si>
    <t>EN EL 2013 DISEÑÓ LA CAMPAÑA PARA FOMENTAR QUE LAS NIÑAS Y LOS NIÑOS INGRESEN AL SISTEMA EDUCATICO AL GRADO TRNASICIÓN AL CUMPLIR 5 AÑOS, ESTA CAMPAÑA SE HA REPLICADO TODO LOS AÑOS CON EL MISMO FIN.</t>
  </si>
  <si>
    <t>IMPLEMENTACIÓN DE ESTRATEGIAS PARA LA PREVENCIÓN DEL MALTRATO Y LA VIOLENCIA INFANTIL, LA PROTECCIÓN DE LOS DERECHOS DE LOS NIÑOS Y NIÑAS, ENTRE ELLAS LA ESTRATEGIA "YO CIUDADANO" EN LOS 116 MUNICIPIOS DEL DEPARTAMENTO.</t>
  </si>
  <si>
    <t>ESTRATEGIA PARA LA PREVENCIÓN CONTRA TODO TIPO DE VIOLENCIA Y LA PROTECCIÓN DE LOS DERECHOS DE LOS NNA. PARTICIPACIÓN DE 9.941 PERSONAS EN 9 MUNICIPIOS EN 2014.</t>
  </si>
  <si>
    <t xml:space="preserve">
SE BENEFICIARON 45.272 ESTUDIANTES CON LA ESTRATEGIA DE COMPLEMENTO NUTRICIONAL, MEDIANTE CONVENIOS CON LOS MUNICIPIOS Y CONTRATACIÓN DE ALIMENTACIÓN PARA LOS ESTUDIANTES DE JORNADAS COMPLEMENTARIAS Y MEDIA TÉCNICA, ADEMÁS, SE DOTÓ CON MENAJE A INSTITUCIONES EDUCATIVAS DE LOS MUNICIPIOS NO CERTIFICADOS DEL DEPARTAMENTO. </t>
  </si>
  <si>
    <t>CON LA ATENCIÓN EN LA ESTRATEGÍA DE TRANSPORTE ESCOLAR, SE LOGRÓ EN EL CUATRENIO LA META PROYECTADA, ATENDIENDO 46.324 INFANTES, PASANDO DE 62 A 90 DÍAS DE ATENCIÓN; AUMENTANDO ASÍ LA PERMANENCIA Y LA COBERTURA DE LA POBLACIÓN ESTUDIANTIL Y DISMINUYENDO LA DESERCIÓN ESCOLAR.</t>
  </si>
  <si>
    <t>SE CAPACITARON 522 DOCENTES, SE ENTREGARON 4.915 JUEGOS DE GUÍAS DE APRENDIZAJE Y 57 CANASTAS EN EL MODELO ESCUELA NUEVA, LLEGANDO A 37.727 ESTUDIANTES DE 1.683 SEDES EN 84 MUNICIPIOS. CAPACITACIÓN DE 16 DOCENTES EN EL MODELO DE ACELERECIÓN DEL APRENDIZAJE. SE ENTREGARON 21 TABLEROS DIGITALES PORTÁTILES EN IGUAL NÚMEROS DE SEDES RURALES.</t>
  </si>
  <si>
    <t>2- MEDIANTE RESOLUCIÓN 7480 DE 13-11-2013 SE ASIGNÓ RECURSOS AL 100% DE LAS IED POR VALOR TOTAL DE $2,559,971,360 PARA MANTENIMIENTO EN SEGURIDAD DE LAS IED.</t>
  </si>
  <si>
    <t>EN ALIANZA CON LA REGISTRADURÍA Y LA RED UNIDOS, SE DESARROLLARON CAMPAÑAS DE IDENTIFICACIÓN A POBLACIÓN VULNERABLE EN LOS MUNICIPIOS DE FUSAGASUGÁ Y SOACHA, ATENDIENDO AL 100% DE LA POBLACIÓN QUE DEMANDÓ LOS SERVICIOS.</t>
  </si>
  <si>
    <t xml:space="preserve">SE CAPACITARON 84 DOCENTES, SE ENTREGARON 30 CANASTAS Y 616 JUEGOS DE GUÍAS DE APRENDIZAJE EN EL MODELO POSTPRIMARIA, BENEFICIANDO A 7,680 ESTUDIANTES DE 99 SEDES EN 58 MUNICIPIOS. CAPACITACIÓN DE 21 DOCENTES EN EL MODELO TELESECUNDARIA. EN MEDIA RURAL SE CAPACITARON 60 DOCENTES SE ENTREGARON 90 JUEGOS DE GUÍAS DE APRENDIZAJE Y 25 CANASTAS PEDAGÓGICAS, LLEGANDO A 1,036 ESTUDIANTES DE 81 SEDES . SE IMPLEMENTARON 220 PROYECTOS PEDAGÓGICOS PRODUCTIVOS CAFETEROS EN 26 SEDES DE 19 MUNICIPIOS. </t>
  </si>
  <si>
    <t>EL OBSERVATORIO DE LAS REDES SOCIALES EDUCATIVAS DE CUNDINAMARCA SERÁ TRASLADADO A LA SECRETARÍA DE EDUCACIÓN A PARTIR DEL 2015 Y FORMARÁ PARTE DE LA ESTRUCTURA DE LA SECRETARÍA DE EDUCACIÓN</t>
  </si>
  <si>
    <t>DESDE EL AÑO 2012 SE VIENEN IMPLEMENTADO PROYECTOS MEDIADOS POR TECNOLOGÍAS MODERNAS, QUE APOYAN EL DESARROLLO DE PROCESOS PRODUCTIVOS, PARTIENDO DESDE EL CONOCIMIENTO, MANEJO Y DESARROLLO DE APLICACIONES PRODUCTIVAS, ASÍ COMO CON PROYECTOS QUE INCORPORAN APLICACIONES DE TECNOLOGÍA QUE GENERAN CONOCIMIENTO PARA EL DESARROLLO DE NUEVOS PROCESOS PRODUCTIVOS DENTRO DE LOS SECTORESS PREDOMINANTES EN LAS VOCACIONES DEL DEPARTAMENTO, QUE EN SU MAYORÍA DE TIPO RURAL. 
LA META PARA EL CUATRIENIO FUE DE 15 PROYECTOS MEDIADOS CON ELEMENTOS DE CIENCIA, TECNOLOGÍA E INNOVACIÓN, QUE SE IMPLEMENTARON ASÍ: 4 EN EL 2012, 5 EN EL 2013, 6 EN EL 2014 Y EN EL 2015 SE ADELANTA EL PROCESO DE ADQUISICIÓN DE AL MENOS 2 PROYECTOS MEDIADOS POR CTEI PARA PROCESOS PRODUCTIVOS DEL SECTOR AGRÍCOLA, CON LO CUAL SE SUPERARÁ LA META ESTABLECIDA PARA EL CUATRIENIO.</t>
  </si>
  <si>
    <t xml:space="preserve">
SE BENEFICIARON 66.081 ESTUDIANTES CON LA ESTRATEGIA DE COMPLEMENTO NUTRICIONAL, MEDIANTE CONVENIOS CON LOS MUNICIPIOS Y CONTRATACIÓN DE ALIMENTACIÓN PARA LOS ESTUDIANTES DE JORNADAS COMPLEMENTARIAS Y MEDIA TÉCNICA, ADEMAS SE DOTO CON MENAJE A INSTITUCIONES EDUCATIVAS DE LOS MUNICIPIOS NO CERTIFICADOS DEL DEPARTAMENTO. </t>
  </si>
  <si>
    <t xml:space="preserve">SE LOGRÓ ATENDER CON LA ESTRATEGIA DE TRANSPORTE ESCOLAR A 105 MUNICIPIOS NO CERTIFICADOS DEL DEPARTAMENTO, PASANDO DE 62 A 90 DÍAS DE ATENCIÓN EN EL SEGUNDO SEMESTRE DEL CALENDARIO ESCOLAR EN CADA AÑO, LOGRANDO ASÍ BENEFICIAR A LA POBLACIÓN ADOLESCENTE CON ESTE SUBSIDIO, SE ATENDIÓ A LOS ESTUDIANTES QUE POR SU DISTANCIA ENTRE LA IED Y SU RESIDENCIA NO PODIAN ACCEDER A ESTE SERVICIO, FUERON BENEFICIADOS CON EL SUBSIDIO DE ALOJAMIENTO, A LOS JOVENES QUE POR CONDICIONES TOPOGRÁFICAS TAMPOCO TENÍAN ACCESO AL TRANSPORTE ESCOLAR SE LES ENTREGÓ 142 BICICLETAS PARA REMPLAZAR ESTE SERVICIO, TAMBIEN SE COFINANCIARON 71 BUSES A ALGUNOS MUNICIPIOS PARA EL SERVICIO DE TRANSPORTE ESCOLAR. </t>
  </si>
  <si>
    <t xml:space="preserve">SE REALIZARON CONVERSATORIOS MUNICIPALES PARA APORTAR AL DESARROLLO Y AL MEJORAMIENTO DE LA CONVIVENCIA A TRAVES DEL FOMENTO DE UNA CULTURA DEL DIALOGO, LA INTEGRACION DE LA FAMILIA EN LA ESCUELA, LA PARTICIPACION DE LOS GOBIERNOS ESCOLARES, EL APRECIO A LA INSTITUCION Y LOS PROFESORES. </t>
  </si>
  <si>
    <t>PARTICIPACIÓN DE JÓVENES EN CONSEJOS DEPARTAMENTALES DE POLÍTICA SOCIAL (VIRTUAL O PRESENCIAL).</t>
  </si>
  <si>
    <t>MÁS DE 17 MIL NIÑOS, NIÑAS Y ADOLESCENTES SENSIBILIZADOS EN TEMAS DE PREVENCIÓN DEL MALTRATO Y ABUSO SEXUAL EN 41 MUNICIPIOS.</t>
  </si>
  <si>
    <t>REACTIVACIÓN DE LOS COMITÉS DE: ERRADICACIÓN DEL TRABAJO INFANTIL “CETI”, ESTRATEGIA DE CERO A SIEMPRE PILOTAJE EN 10 MUNICIPIOS Y MESA OPERATIVA DE PRIMERA INFANCIA, INFANCIA Y ADOLESCENCIA EN ALIANZA CON ICBF NACIONAL Y REGIONAL, COMO ACCIONES PARA LA IMPLEMENTACIÓN DEL PLAN DEPARTAMENTAL DE ERRADICACIÓN DEL TRABAJO INFANTIL.</t>
  </si>
  <si>
    <t xml:space="preserve">9.500 ESTUDIANTES. 55 CARRERAS TÉCNICAS, TECNOLÓGICAS Y UNIVERSITARIAS. 15 PROVINCIAS CON ESTUDIANTES MATRICULADOS. </t>
  </si>
  <si>
    <t xml:space="preserve">SE ALFABETIZO Y SE ELEVO EL NIVEL EDUCATIVO DE 2402 JÓVENES CON LA DOTACIÓN DE MODULOS DE EDUCACIÓN CONTIUADA CAFAM Y LA IMPLEMENTACIÓN DE MODELOS DE EDUCACIÓN FLEXIBLE PARA ADULTOS: A CRECER PARA CICLO I Y CICLO II, SER CICLO I , ABCD ESPAÑOL PARA ALFABETIZACIÓN, MODELO DE EDUCACIÓN VIRTUAL DEL CICLO II AL CICLO VI. 
</t>
  </si>
  <si>
    <t>FORTALECIMIENTO DE ESPACIOS DE PARTICIPACIÓN Y APRENDIZAJE CON DOTACIÓN A 70 LUDOTECAS EN EL MARCO DEL PROGRAMA RED DE LUDOTECAS EN 67 MUNICIPIOS, DE LAS CUALES 19 SE ENCUENTRAN A CARGO DE COLSUBSIDIO EN EL MARCO DEL CONVENIO DE COOPERACIÓN SUSCRITO. ENTRE 2014 Y PRIMER SEMESTRE DE 2015, SE HA BRINDADO ATENCIÓN A MÁS DE 20 MIL JÓVENES.</t>
  </si>
  <si>
    <t>FORTALECIMIENTO DEL EJERCICIO PERIODÍSTICO QUE LOS JÓVENES DE LA RED JUVENIL DE COMUNICACIÓN Y MOVILIZACIÓN SOCIAL DE CUNDINAMARCA DESARROLLAN EN SUS MUNICIPIOS, Y A TRAVÉS DE SU CONSTANTE PARTICIPACIÓN EN EL PROCESO DEMOSTRARON SU COMPROMISO POR HACER DE LA RADIO LOCAL UN ESPACIO PARA PROMOVER LA PAZ, LA ESPERANZA Y EL DESARROLLO EN SUS COMUNIDADES. SE HAN REALIZADO 3 TALLERES DE FORTALECIMIENTO DE LA RED DE COMUNICACIONES Y SE TIENEN PROGRAMADOS OTROS 3.</t>
  </si>
  <si>
    <t>APOYO, ACOMPAÑAMIENTO Y FORTALECIMIENTO A 39 ORGANIZACIONES Y/O ASOCIACIONES JUVENILES. CONTINUA EL FORTALECIMIENTO A OTRAS ORGANIZACIONES DESDE SU PARTICIPACIÓN EN LAS PLATAFORMAS DE JUVENTUD.</t>
  </si>
  <si>
    <t>SE HAN ADELANTANDO ACCIONES DE ASISTENCIA TÉCNICA EN TODO EL DEPARTAMENTO, ORIENTADAS A FORTALECER EL LIDERAZGO JUVENIL, SOCIALIZAR EL ESTATUTO DE CIUDADANÍA JUVENIL, CAPACITAR EN PLATAFORMA DE JUVENTUD Y EN POLÍTICA PUBLICA DE JUVENTUD, DENTRO DE LAS QUE SE ENCUENTRAN:
- ENCUENTRO DEPARTAMENTAL DE POLÍTICA PÚBLICA DE JUVENTUD
- ENCUENTROS PROVINCIALES DE ASISTENCIA TÉCNICA
- APOYO AL DESARROLLO DE LA SEMANA DE LA JUVENTUD EN DIFERENTES PROVINCIAS Y MUNICIPIOS
- JORNADAS SOCIALES DE APOYO AL DESARROLLO- CONSTRUCCIÓN DE MURALES DE PAZ</t>
  </si>
  <si>
    <t>EN ALIANZA CON EL EJERCITO NACIONAL Y ANSPE, SE PROMOVIÓ LA EXPEDICIÓN DE 1.119 LIBRETAS MILITARES A IGUAL NÚMERO DE PERSONAS.</t>
  </si>
  <si>
    <t>SE APOYARON CON ÉXITO PROYECTOS LOS CUALES BENEFICIAN A LOS JÓVENES QUE PARTICIPAN EN LOS GRUPOS DE VIGÍAS QUE PROPENDEN POR LA INVESTIGACIÓN CONSERVACIÓN Y RESCATE DEL PATRIMONIO CULTURAL, EN LOS MUNICIPIOS DE JERUSALÉN, TABIO, ZIPACÓN, TENJO Y TAUSA.</t>
  </si>
  <si>
    <t>EL INSTITUTO SUSCRIBIÓ CONTRATO DE PRESTACIÓN DE SERVICIOS PARA PARA LA REALIZACIÓN DE TALLER DE ARTE BELENISTA EN EL MUNICIPIO DE GUADUAS. ASÍ MISMO, DURANTE LOS CUATRO AÑOS SE APOYARON LAS ACTIVIDADES DE TEATRO REALIZADAS EN EL MUNICIPIO DE SOACHA, ORGANIZADAS POR LA FUNDACIÓN CULTURAL LIDERARTE Y QUE CONVOCO A JÓVENES ARTISTAS Y COMUNIDAD EN GENERAL DE LAS COMUNAS, CORREGIMIENTOS E INSTITUCIONES EDUCATIVAS DEL MUNICIPIO DE SOACHA.</t>
  </si>
  <si>
    <t>FORTALECIMIENTO DE ESPACIOS DE PARTICIPACIÓN Y APRENDIZAJE CON DOTACIÓN A 70 LUDOTECAS EN EL MARCO DEL PROGRAMA RED DE LUDOTECAS EN 67 MUNICIPIOS, DE LAS CUALES 19 SE ENCUENTRAN A CARGO DE COLSUBSIDIO EN EL MARCO DEL CONVENIO DE COOPERACIÓN SUSCRITO. ENTRE 2014 Y PRIMER SEMESTRE DE 2015, SE HA BRINDADO ATENCIÓN A MÁS DE 22 MIL ADULTOS.</t>
  </si>
  <si>
    <t>A LO LARGO DE ESTOS 4 AÑOS SE HA LOGRADO BRINDAR APOYO A 8 INICIATIVAS DE EMPRENDIMIENTO CULTURAL PRESENTADAS POR LOS ADULTOS, GENERANDO COMPROMISO, ARRAIGO E IDENTIDAD POR EL DEPARTAMENTO. CON ESTO SE GENERAN PROCESOS INCLUYENTES PARA ESTE GRUPO POBLACIONAL</t>
  </si>
  <si>
    <t>CONSTITUCIÓN DE ALIANZAS ESTRATÉGICAS, EN VIRTUD DE LO CUAL SE REALIZÓ SEMINARIO TALLER CON DEFENSORÍA DEL PUEBLO "ENCUENTRO DEPARTAMENTAL DE PERSONEROS MUNICIPALES Y SECRETARIOS DE DESARROLLO SOCIAL POR UNA VIDA LIBRE DE VIOLENCIAS GÉNERO".
SE HAN REALIZADO GESTIONES CON LA CONSEJERIA PRESIDENCIAL DE DERECHOS HUANOS PARA LA REALIZACIÓN DE UN ENCUENTRO DE PROMOCION DE DERECHOS HUMANOS; IGUALMENTE EN COORDINACIÓN CON LA SUBDIRECCIÓN DE SUPERACIÓN DE LA POBREZA SE SELECCIONARAN ALGUNOS MUNICIPIOS PARA TRABAJAR ESTE TEMA EN EL MARCO DEL PROYECTO DE BANCO DE ALIMENTOS Y NUTRIR.</t>
  </si>
  <si>
    <t>SE LOGRÓ EL DESARROLLO DE TRES (3) ENCUENTROS INTERNACIONALES EN EL MUNICIPIO DE CHÍA. COMO HECHO SIGNIFICATIVO, SE LOGRÓ EL PRIMER PARQUE ACCESIBLE PARA PERSONAS CON DISCAPACIDAD. INSTALADO Y OPERANDO EN EL MUNICIPIO DE MADRID.</t>
  </si>
  <si>
    <t>FORTALECIMIENTO DE ESPACIOS DE PARTICIPACIÓN Y APRENDIZAJE CON DOTACIÓN A 70 LUDOTECAS EN EL MARCO DEL PROGRAMA RED DE LUDOTECAS EN 67 MUNICIPIOS, DE LAS CUALES 19 SE ENCUENTRAN A CARGO DE COLSUBSIDIO EN EL MARCO DEL CONVENIO DE COOPERACIÓN SUSCRITO. ENTRE 2014 Y PRIMER SEMESTRE DE 2015, SE HA BRINDADO ATENCIÓN A MÁS DE 15 MIL ADULTOS MAYORES.</t>
  </si>
  <si>
    <t>DURANTE EL CUATRIENIO SE HA DADO CUMPLIMIENTO CON EL TRÁMITE OPORTUNO PARA GARANTIZAR EL PAGO DEL 100% DE NÓMINA DE PENSIONADOS Y SUSTITUTOS DEL MAGISTERIO, SENTENCIAS Y AUXILIOS FUNERARIOS.</t>
  </si>
  <si>
    <t>SE HA TENIDO PARTICIPACIÓN EN LA MESA DE ETNIAS DONDE SE ACORDÓ QUE EL SECTOR CULTURAL AUNARÁ ESFUERZOS CON LA SECRETARÍA DE DESARROLLO SOCIAL Y EL ICBF, PARA EL RESCATE Y CONSERVACIÓN DE SUS TRADICIONES DE LA CULTURA WUAMNAN ASENTADAS EN EL MUNICIPIO DE LA MESA, ASÍ MISMO MEDIANTE LOS ENCUENTROS CULTURALES QUE CONVOCÓ A LAS COMUNIDADES MUISCAS IDENTIFICADAS EN CUNDINAMARCA, SE CONTRIBUYÓ AL RESCATE DE SUS TRADICIONES Y MANIFESTACIONES CULTURALES.</t>
  </si>
  <si>
    <t>SE APOYARON MÁS DE MIL PERSONAS EN CONDICIÓN DE DISCAPACIDAD, SUS FAMILIAS Y/O CUIDADORES A TRAVÉS DE PROCESO DE GENERACIÓN DE INGRESOS “UNIDADES PRODUCTIVAS INDIVIDUALES Y GRUPALES” CON CUIDADORES O PERSONAS EN CONDICIÓN DE DISCAPACIDAD EN 52 MUNICIPIOS.</t>
  </si>
  <si>
    <t>SE APOYÓ AL MUNICIPIO DE GACHETA PARA LA REALIZACIÓN DELA NAVIDAD DIVERSAMENTE HÁBIL EN DICHO MUNICIPIO. SE APOYARON PROCESOS DE FORMACIÓN ARTÍSTICA Y CULTURAL Y EL RESCATE DE LAS MANIFESTACIONES NAVIDEÑAS DEL MUNICIPIO DE ARBELÁEZ, EN LA CELEBRACIÓN DE SU EVENTO TRADICIONAL "FESTIVAL DECEMBRINO", CON LA INCLUSIÓN DE POBLACIÓN EN CONDICIÓN DE DISCAPACIDAD.</t>
  </si>
  <si>
    <t>SE DESARROLLARON TALLERES DINÁMICOS, RECREATIVOS Y PEDAGÓGICOS DIRIGIDOS A LAS MUJERES CUNDINAMARQUESAS EN TEMAS COMO: DERECHOS HUMANOS, LIDERAZGO, VALORES INTRAFAMILIARES, PREVENCIÓN DE LA VIOLENCIA DOMESTICA, ASÍ COMO DESTACAR LA IMPORTANCIA DE LA PARTICIPACIÓN DE LA MUJER EN LAS ORGANIZACIONES COMUNALES TANTO EN LOS CUADROS DIRECTIVOS COMO EN LAS DIFERENTES COMISIONES DE TRABAJO. SE REALIZARON EVENTOS, ENCUENTROS Y JORNADAS DE CAPACITACIÓN A AFILIADAS Y AFILIADOS DE LOS ORGANISMOS COMUNALES Y A COMUNIDAD EN GENERAL DE LOS MUNICIPIOS DEL DEPARTAMENTO, EN LOS QUE SE PROMOCIONÓ LA PARTICIPACIÓN DE LAS MUJERES EN LOS CUADROS DIRECTIVOS DE LAS ORGANIZACIONES COMUNITARIAS.</t>
  </si>
  <si>
    <t>CREADAS INSTANCIAS DEPARTAMENTALES DE MUJER Y GÉNERO ESTABLECIDAS EN LA ORDENANZA 099 DE 2011, CON LA EXPEDICIÓN DE CINCO (5) DECRETOS ORDENANZALES.</t>
  </si>
  <si>
    <t xml:space="preserve">SE APOYARON LOS 116 MUNICIPIOS DEL DEPARTAMENTO CON LA IMPLEMENTACIÓN DE UNA ESTRATEGIA DE PREVENCIÓN DE VIOLENCIA CONTRA LA MUJER, EN VIRTUD DE LA CUAL SE REALIZÓ EL ENCUENTRO DEPARTAMENTAL DE PERSONEROS MUNICIPALES Y SECRETARIOS DE DESARROLLO SOCIAL, POR UNA VIDA LIBRE DE VIOLENCIA DE GÉNERO., ASÍ COMO EVENTOS DE CAPACITACIÓN EN ARTICULACIÓN CON LA CONTRALORIA GENERAL DE LA REPÚBLICA, ICBF, DEPARTAMENTO PARA LA PROSPERIDAD SOCIAL, CONSEJERIA PRESIDENCIAL PARA LA EQUIDAD DE LA MUJER Y GÉNERO. ENVIO INSTRUMENTOS TÉCNICOS PARA LA CONSTRUCCIÓN DE LA POLÍTICA PÚBLICA DE MUJER Y GÉNERO Y CONPES 161 / SE FIRMARON 116 ACUERDOS DE VOLUNTADES ENTRE LOS ALCALDES MUNICIPALES Y LA SECRETARÍA DE DESARROLLO SOCIAL </t>
  </si>
  <si>
    <t>LA SECRETARÍA DE EDUCACIÓN, MEDIANTE LOS CONVENIOS DE TRANSPORTE ESCOLAR CON LOS MUNICIPIOS, ATENDIÓ A 2005 ESTUDIANTES VICTIMAS DEL CONFLICTO ARMADO Y REALIZÓ ACCIONES PARA OBTENER EL REPORTE COMO CIRCULARES A LAS IED, EXPOCISIONES A LOS RECTORES SOBRE LA NORMATIVIDAD VIGENTE, VERIFICACIONES CON EL SISTEMA INTEGRADO DE MATRICULA Y REPORTE DE LOS ESTUDIANTES BENEFICIADOS EN EL MISMO. ES NECESARIO HACER CLARIDAD QUE NO TODOS LOS ESTUDIANTES VÍCTIMAS REQUIEREN DE ESTA ESTRATEGIA.</t>
  </si>
  <si>
    <t>CON RESPECTO A ESTA META, LA SECRETARÍA DE EDUCACIÓN DISPUSO COMO PRIORIDAD GARANTIZAR EL DERECHO A LA EDUCACIÓN DE LAS VCA QUE LO DEMANDARAN Y DENTRO DEL SUBCOMITE DE ASISTENCIA HUMANITARIA SE CONSTRUYO UNA RUTA DE ATENCIÓN PARTIENDO DE LAS INSTITUCIONES EDUCATIVAS DEPARTAMENTALES EN LOS 109 MUNICIPIOS NO CERTIFICADOS DEL DEPARTAMENTO. CABE DESTACAR EL AUMENTO DE LA MATRICULA DE ESTUDIANTES VÍCTIMAS EN LOS ÚLTIMOS 4 AÑOS.</t>
  </si>
  <si>
    <t>PARA ESTA META LA SECRETARÍA DE EDUCACIÓN ORIGINÓ DOS CIRCULARES, REALIZÓ CRUCES CON LA INFORMACIÓN DEL SIMAT, SE IMPLEMENTO LA FORMA DE REPORTAR LA ESTRATEGIA POR PARTE DE LAS IE EN EL SIMAT. ESTÁ EN EJECUCIÓN UN NUEVO REPORTE PARA CRUZAR CON EL OPERADOR QUE REALIZA LA ENTREGA DE LOS COMPLEMENTOS NUTRICIONALES.</t>
  </si>
  <si>
    <t>INCLUSIÓN DE LA POBLACIÓN VÍCTIMA DEL CONFLICTO ARMADO, MEDIANTE SU PARTICIPACIÓN EN 15 EVENTOS DIRIGIDOS AL FORTALECIMIENTO DE LA IDENTIDAD Y EL ARRAIGO CULTURAL. DURANTE EL DESARROLLO DE ESTAS ACTIVIDADES LA POBLACIÓN PARTICIPANTE TUVO LA OPORTUNIDAD DE ACERCARSE AL ARTE A TRAVÉS DE DIFERENTES TÉCNICAS QUE CONLLEVAN A PROCESOS DE SANACIÓN, LOS CUALES APORTAN ELEMENTOS ESENCIALES EN LA BÚSQUEDA DE SER CUNDINAMARCA EL PRIMER DEPARTAMENTO POS CONFLICTO DEL PAÍS.</t>
  </si>
  <si>
    <t>SE HA AVANZADO EN LA CAPACITACIÓN DE ORIENTADORES TURÍSTICOS EN BILINGÜISMO EN LOS NIVELES A1 (97 PERSONAS) Y A2 (30 PERSONAS) DE ESTA FORMA AMPLIAR LOS SERVICIOS TURÍSTICOS OFRECIDOS Y ATRAER TURISMO EXTRANJERO.</t>
  </si>
  <si>
    <t>SE HAN CAPACITADO 948 PRESTADORES DE SERVICIOS TURÍSTICOS EN GESTIÓN TURÍSTICA (LEGISLACIÓN TURÍSTICA, ATENCIÓN AL CLIENTE Y BUENAS PRÁCTICAS DE MANUFACTURA), LO CUAL HA PERMITIDO EL FORTALECIMIENTO DE LA OFERTA Y DE LOS SERVICIOS PRESTADOS A LOS TURISTAS EN EL DEPARTAMENTO DE CUNDINAMARCA.</t>
  </si>
  <si>
    <t>SE HAN BENEFICIADO A 93 PRESTADORES DE SERVICIOS TURÍSTICOS, YA QUE SE GENERARON DOS FORMAS
ASOCIATIVAS TURÍSTICAS COMUNITARIAS LA ASOCIACIÓN DEL ALTO Y LA ASOCIACIÓN DEL BAJO GUAVIO,
PERMITIENDO UN TRABAJO ARTICULADO ENTRE LOS PRESTADORES Y LAS PROVINCIAS.</t>
  </si>
  <si>
    <t>SEÑALIZACIÓN TURÍSTICA PEATONAL DE VEINTIDÓS (22) MUNICIPIOS DEL DEPARTAMENTO: ANAPOIMA, CAJICÀ, CHÌA, COGUA, COTA, GUASCA, GUATAVITA, LA VEGA, MOSQUERA, NEMOCÒN, SASAIMA, TENJO, UBATÈ, VILLETA, LA MESA, SILVANIA, GRANADA, SAN FRANCISCO, TOCANCIPÁ, GACHANCIPÁ, GACHETÁ Y NOCAIMA PARA UN TOTAL FUERON INSTALADAS 163 SEÑALES. RESALTANDO QUE DE LOS 22 MUNICIPIOS DETERMINADOS POR EL ESTUDIO TÉCNICO, 14 FUERON COFINANCIADOS POR EL VICEMINISTERIO A TRAVÉS DE FONTUR Y 8 DE ELLOS ES PRESUPUESTO EXCLUSIVO DEL IDECUT.</t>
  </si>
  <si>
    <t>SE ESTABLECIÓ EL NÚMERO DE CAMINOS REALES EXISTENTES EN LA PROVINCIA DEL TEQUENDAMA Y EN LOS MUNICIPIOS DE BOJACÁ, ZIPACÓN Y TOCAIMA, POR MEDIO DEL ESTUDIO DE PREFACTIBILIDAD LO CUAL PERMITIÓ ESTABLECER EL NÚMERO DE KILÓMETROS A ADECUAR Y A SEÑALIZAR, LO QUE CONLLEVA A MEJORAR LA OFERTA TURÍSTICA DEL DEPARTAMENTO.</t>
  </si>
  <si>
    <t>SE HAN APOYADO 280 EVENTOS TURÍSTICOS MUNICIPALES, EVENTOS DEPARTAMENTALES Y EVENTOS NACIONALES E INTERNACIONALES, POR MEDIO DE LOS CUALES SE PROMOCIONARON LOS MUNICIPIOS COMO DESTINOS TURÍSTICOS, Y ASÍ MISMO LA PROMOCIÓN Y POSICIONAMIENTO DE LA MARCA “CUNDINAMARCA, EL DORADO LA LEYENDA VIVA”</t>
  </si>
  <si>
    <t>CON LA SUSCRIPCIÓN DE CONVENIOS INTERADMINISTRATIVOS SE HA LOGRADO LA IDENTIFICACIÓN DEL PATRIMONIO DEL DEPARTAMENTO, A TRAVÉS DE ACTIVIDADES DE INVESTIGACIÓN Y RECUPERACIÓN DE MEMORIA HISTÓRICA Y CULTURAL DE LOS MUNICIPIOS DE NEMOCÓN, SAN FRANCISCO, FACATATIVÁ, SIBATÉ, CHOACHÍ, EL COLEGIO, VIOTÁ, GACHETA, BOJACÁ Y ARBELAÉZ.</t>
  </si>
  <si>
    <t>SE HAN REALIZADO CUATRO ENCUENTROS PARA LA CONSOLIDACIÓN Y FORTALECIMIENTO DE LA RED DEPARTAMENTAL DE ENTIDADES MUSEALES, ESTA ESTRATEGIA DE FORTALECIMIENTO DE LAS ENTIDADES MUSEALES SE DESARROLLA CON EL ACOMPAÑAMIENTO Y APOYO DEL MUSEO NACIONAL, ASÍ MISMO SE HA CONTRIBUIDO AL RESCATE Y CONSERVACIÓN DE ENTIDADES MUSEALES Y OTROS BIENES DE INTERÉS CULTURAL QUE HACEN PARTE DEL PATRIMONIO CULTURAL.</t>
  </si>
  <si>
    <t>SE HAN BENEFICIADO 210 VIGÍAS DEL PATRIMONIO CULTURAL MEDIANTE LA CONFORMACIÓN / CONSOLIDACIÓN DE 6 GRUPOS DE VIGÍAS A TRAVÉS DE LOS CONVENIOS PARA LA CAPACITACIÓN DE LOS VIGÍAS DE LOS MUNICIPIOS DE: TENA, JERUSALÉN, ZIPACÓN, TABIO, TENJO Y TAUSA. ADICIONALMENTE SE REALIZÓ UN ENCUENTRO DEPARTAMENTAL DE VIGÍAS DEL PATRIMONIO CON EL OBJETO DE CAPACITARLOS EN SU PROCESO DE FORMACIÓN PARA EL RESCATE DE NUESTRO PATRIMONIO CULTURAL.</t>
  </si>
  <si>
    <t>DURANTE LO CORRIDO DEL CUATRIENIO 2012-2015, SE HAN ADQUIRIDO 29.136 EQUIPOS DE CÓMPUTO PARA LOS NIÑOS DE GRADOS SEXTO, DE LAS INSTITUCIONES EDUCATIVAS DE LOS MUNICIPIOS NO CERTIFICADOS DEL DEPARTAMENTO DE CUNDINAMARCA. ESTOS 29.136 EQUIPOS CORRESPONDEN AL 56.03% DE LA META TOTAL, SEGÚN LO ESTABLECIDO EN EL PLAN DE DESARROLLO DEPARTAMENTAL. ASÍ MISMO, ANTES DE FINALIZAR EL CUATRIENIO LA SECRETARÍA DE EDUCACIÓN DE CUNDINAMARCA ENTREGARÁ COMO MÍNIMO 15.000 TABLETAS A LOS NIÑOS DE GRADO SEXTO, A TRAVÉS DE UNA SUBASTA INVERSA CON RECURSOS DEL FONDO NACIONAL DE REGALÍAS, QUE COADYUVEN PARA ALCANZAR APROXIMADAMENTE AL 85% DEL TOTAL DE EQUIPOS ESTABLECIDOS EN LA MENCIONADA META. EL 15% RESTANTE, SE ESTÁ TRAMITANDO ANTE CPE CON EL PROPÓSITO DE QUE ESTOS EQUIPOS SEAN ENTREGADOS ANTES DE FINALIZAR EL AÑO 2015 PARA ASI LOGRAR A LA META DEL 100%</t>
  </si>
  <si>
    <t xml:space="preserve">PARA CUMPLIR CON LA META DE 8.000 CUPOS DE ATENCIÓN INTEGRAL A LOS MENORES DE 5 AÑOS, SE HIZO NECESARIO CONSTITUIR ALIANZAS PARA SUBSIDIAR LA ATENCIÓN INTEGRAL EN CUIDADO, NUTRICIÓN Y EDUCACIÓN INICIAL A ESTE RANGO POBLACIONAL, HASTA SU INGRESO AL GRADO OBLIGATORIO DE TRANSICIÓN.
EN EL CUATRIENIO A CORTE DE AGOSTO DE 2015, SE HAN ATENDIDO 7.374 NIÑOS Y NIÑAS MENORES DE 5 AÑOS A TRAVÉS DE SUSCRIPCIÓN DE CONVENIOS DE COOPERACIÓN, ENTRE LA SECRETARÍA DE EDUCACIÓN Y COLSUBSIDIO, DONDE COLSUBSIDIO COOPERÓ CON LA SUMA DE $ 4.221.182.325 Y LA GOBERNACIÓN DE CUNDINAMARCA- SECRETARÍA DE EDUCACIÓN APORTÓ LA SUMA DE $ 10.368.182.325. ADEMÁS EN CONVENIO CON EL MEN SE ATENDIERON 444 NIÑOS Y NIÑAS EN EL AÑO 2012. ASÍ LAS COSAS EN EL CUATRIENIO A LA FECHA SE HAN ATENDIDO 7. 374 MENORES DE 5 AÑOS.
</t>
  </si>
  <si>
    <t>CON UNA SIGNIFICATIVA INVERSIÓN SE LOGRÓ LA DOTACIÓN DE 250 PARQUES INFANTILES EN 34 MUNICIPIOS EN LAS ÁREAS RURAL Y URBANA, FOMENTANDO LA CREACIÓN DE ESPACIOS PARA LOS NIÑOS Y NIÑAS QUE FACILITEN LA ACTIVIDAD FÍSICA, EL DEPORTE Y LA RECREACIÓN COMO HÁBITO DE SALUD Y MEJORAMIENTO DE LA CALIDAD DE VIDA Y EL BIENESTAR SOCIAL, ESPECIALMENTE EN LOS SECTORES SOCIALES MÁS NECESITADOS.</t>
  </si>
  <si>
    <t>EL IDECUT A TRAVÉS DE ACTIIVIDADES DE CAPACITACIÓN HA LOGRADO BENEFICIAR A 61 MUNICIPIOS DEL DEPARTAMENTO, CON LO CUAL PROMUEVE EL BUEN USO DE LAS DOTACIONES DE INSTRUMENTOS ORFF LAS CUALES DURANTE EL 2014 LOGRARON FAVORECER A 40 MUNICIPIOS. CON LO ANTERIOR SE HAN CONSOLIDADO LOS PROCESOS DE FORMACIÓN EN INICIACIÓN MUSICAL, LO QUE PERMITE EL DESARROLLO DE INTELIGENCIAS MÚLTIPLES DE LOS NIÑOS Y NIÑAS DE 0 A 5 AÑOS.</t>
  </si>
  <si>
    <t>A TRAVÉS DE GESTIÓN POR PARTE DEL IDECUT CON EL MINISTERIO DE CULTURA Y CON FINANCIACIÓN DE RECURSOS DEL INSTITUTO SE HA LOGRADO LLEGAR AL 100% DE LAS BIBLIOTECAS PÚBLICAS MUNICIPALES, CON DOTACIÓN DE MATERIAL BIBLIOGRAFICO DE COLECCIONES EPECIALIZADAS, SE HAN BENFICIADO CON DOTACIÓN DE CONECTIVIDAD 38 BIBLIOTECAS PÚBLICAS DE 38 MUNICIPIOS, 140 BIBLIOTECAS CON DOTACIÓN DE UN KIT CONFORMADO POR UN VIDEO PROYECTOR, UN TELÓN DE TRIPODE Y UNA IMPRESORA PARA LA ELABORACIÓN DE LOS CARNETS DE LOS USUARIOS, IMPLEMENTACIÓN DEL SISTEMA LLAVE DEL SABER PARA 111 MUNICIPIOS. ADICIONALMENTE, DURANTE EL 2015 SE HA PUESTO EN MARCHA LA ESTRATEGIA DE PROMOTORES REGIONALES CUYA MISIÓN HA SIDO ACOMPAÑAR Y BRINDAR ASISTENCIA TÉCNICA INSITU INSCRITOS A LA RED DE BIBLIOTECAS PÚBLICAS.</t>
  </si>
  <si>
    <t xml:space="preserve">LA IMPLEMENTACIÓN DE LA JORNADA ESCOLAR COMPLEMENTARIA SE HA DESARROLLADO EN EL DEPARTAMENTO DURANTE EL CUATRIENIO EN 37 MUNICIPIOS: CAJICÁ, CACHIPAY, CÁQUEZA, CÁRMEN DE CARUPA, COTA, CUCUNUBÁ, FUNZA, GACHALÁ, GUASCA, GUATAQUÍ, GUAYABETAL, GUADUAS, LA CALERA, LA MESA, LA PLAMA, LA VEGA, LENGUAZAQUE, MACHETÁ, PACHO, PUERTO SALGAR, RICAURTE, SAN JUAN DE RIOSECO, SIBATÉ, SOPÓ, SUBACHOQUE, SUESCA, TABIO, TENJO, TOCANCIPÁ, TOCAIMA, TENA, TIBIRITA, UBALÁ, UBATÉ, VERGARA Y YACOPÍ. 
EN ESTOS MUNICIPIOS CONTAMOS CON UN TOTAL DE 52 INSTITUCIONES EDUCATIVAS EN LAS QUE SE HA IMPLEMENTADO LA ESTRATEGIA, BENEFICIANDO MÁS DE 20.200 ESTUDIANTES. 
LAS INSTITUCIONES EDUCATIVAS BUSCAN EL APOYO CONSTANTE DE LAS ENTIDADES DE CULTURA Y TURISMO DE CADA UNO DE LOS MUNICIPIOS. 
DESDE LA SECRETARÍA DE EDUCAIÓN SE HA APOYADO A LOS MUNICIPIOS CON EL APORTE DE LA ALIMENTACIÓN PARA LOS ESTUDIANTES , ADICIONALMENTE DURANTE LOS AÑOS 2014, 2015, SE HA FIRMADO CONVENIO CON LAS CAJAS DE COMPENSACIÓN COLSUBSIDIO Y COMPENSAR PARA DESARROLLAR ACTIVIDADES ESTRÁTEGICAS QUE FORTALECEN EL ADECUADO USO DEL TIEMPO LIBRE.
DESDE EL AÑO 2014 A TRAVÉS DE UN CONTRATO SE ADQUIRIO LA PLATAFORMA OPERACIÓN ÉXITO, PARA LOS ESTUDIANTES QUE SE ENCUENTRAN INSCRITOS EN JORNADA ESCOLAR COMPLEMENTARIA, PERMITIENDOLES HACER USO DE UNA LICENCIA PARA EL INGRESO A LA PLATAFORMA PARA DESARROLLAR DIVERSAS ACTIVIDADES QUE FORTALECEN SU CONOCIMIENTO Y EL USO DEL TIEMPO LIBRE A TRAVÉS DE UNA HERRAMIENTA TECNOLÓGICA. </t>
  </si>
  <si>
    <t>EN EL 2012 SE FORMARON 3.166 DOCENTES Y DIRECTIVOS DOCENTES EN DIFERENTES PROGRAMAS DE FORMACIÓN CONTÍNUA Y PERMANENTE ASÍ COMO POSGRADOS DESARROLLADOS CON INSTITUCIONES DE EDUCACIÓN SUPERIOR, CON EL OBJETIVO DE MEJORAR LAS PRÁCTICAS PEDAGÓGICAS DE AULA Y FORTALECER LA CUALIFICACIÓN DE LOS DOCENTES Y DIRECTIVOS DOCENTES EN LOS SIGUIENTES TEMAS: AMBIENTES EDUCATIVOS Y USO DE TICS EN LA IMPLEMENTACIÓN DE PROYECTOS PEDAGÓGICOS, FORMACIÓN DE DOCENTES EN APLICACIÓN DE PRUEBAS SABER, DOCENTES FORMADOS EN CONVIVENCIA Y REESTRUCTURACIÓN DE MANUALES DE CONVIVENCIA, CONVERSATORIO DOCENTES DE HISTORIA CATEDRA DE CUNDINAMARCA; DIRECTIVOS DOCENTES FORMADOS EN GESTIÓN DIRECTIVA, DIRECTIVOS DOCENTES FORMADOS EN SIGCE, DOCENTES DE INGLÉS FORMADOS BUNNY BONITA, DOCENTES TUTORES FORMADOS EN LECTURA Y ESCRITURA, DOCENTES FORMADOS EN FRANCÉS, TUTORES VIRTUALES EN BILINGUISMO, PLANES DE MEJORAMIENTO, MAESTRÍA EDUCACIÓN MATEMÁTICA.
EN 2013, 2.236 DOCENTES Y DIRECTIVOS DOCENTES EN PROGRAMAS ACADÉMICOS DE FORMACIÓN QUE CONTRIBUYEN AL PERFECCIONAMIENTO DE LA LABOR DOCENTE E IMPACTO EL APRENDIZAJE DE LOS ESTUDIANTES, ASÍ: CAPACITACIÓN DE DOCENTES Y ESTUDIANTES EN PROCESOS DE SIMULACRO DE LAS PRUEBAS SABER, FORMACIÓN DE DOCENTES DE PRIMARIA, 9 Y 11 EN LENGUAJE, SOCIALES, MATEMÁTICAS CON EL FIN DE FORTALECER LAS PRÁCTICAS PEDAGÓGICAS EN EL MARCO DE LOS ESTÁNDARES BÁSICOS DE COMPETENCIAS, FORMACIÓN DE RECTORES LÍDERES TRANSFORMADORES DESDE LA INSTITUCIÓN EDUCATIVA-RLT (PROGRAMA EN EL CUAL TRABAJA EN EL CRECIMIENTO PERSONAL DE LOS RECTORES EN SU SER Y SU HACER, Y EN EL FORTALECIMIENTO DE LAS COMPETENCIAS COMO LÍDER PEDAGÓGICO, ADMINISTRATIVO Y COMUNITARIO, DE ACUERDO CON LOS RETOS Y COMPETENCIAS DE SU ROL COMO CABEZA DE LA INSTITUCIÓN EDUCATIVA. ASÍ MISMO, PROPONE UNA EXPERIENCIA DE APRENDIZAJE QUE FAVORECE EL DESARROLLO DE UN LÍDER COHERENTE, CÁLIDO, VALIENTE Y APASIONADO QUE LOGRA RESULTADOS POSITIVOS MEDIANTE UN TRABAJO INNOVADOR, CONTEXTUALIZADO Y COLABORATIVO EN TODAS LAS INSTANCIAS DE LA ORGANIZACIÓN)., DIPLOMADO "MODELO DE PREVENCIÓN DE SALUD MENTAL" PARA DOCENTES ORIENTADORES CON LA UNIVERSIDAD JAVERIANA, CONGRESO MUNDIAL DE PEDAGOGÍA, CONGRESO NACIONAL INNOVACIÓN Y USO DE TIC, ENCUENTRO DE MATEMÁTICAS GRADUADOS UNIVERSIDAD DE LOS ANDES, ENCUENTRO PARA EL APRENDIZAJE DE LA MATEMÁTICA CON RECONOCIDOS DIDÁCTAS DE LA MATEMATICA, FORMACIÓN DE DOCENTES EN INGLÉS, FORMACIÓN EN CASCADA, FORMACIÓN JUSTICIA SOCIAL, FORMACIÓN DE DOCENTES DE PREESCOLAR -PROGRAMA PISOTÓN DESARROLLO PSICOAFECTIVO, FORMACIÓN DE DOCENTES ORIENTADORES CON LA CORPORACIÓN DUNNA PARA EL MANEJO DE CONFLICTOS A TRAVÉS DE YOGA, FORMACIÓN DOCENTES COMPETENCIAS FINANCIERAS BBVA, ESPECIALIZACIÓN EN PEDAGOGÍA CON LA UNIVERSIDAD PEDAGÓGICA NACIONAL, FORMACIÓN DOCENTES ENS, TODOS A APRENDER, FORMACIÓN RECTORES MANEJO DE PLATAFORMA SIGCE, FORMACIÓN PLANES DE MEJORAMIENTO, FORMACIÓN EN CONVIVENCIA CON LA UNIVERSIDAD PEDAGÓGICA NACIONAL. ADICIONALMENTE, 1.621 DOCENTES SON FORMADOS EN INCORPORACIÓN DE LAS TIC EN EL AULA.
EN 2014, 4.388 DOCENTES Y DIRECTIVOS EN: DIPLOMADO SISTEMA INSTITUCIONAL DE EVALUACIÓN, CON LA UNIVERSIDAD JAVERIANA PARA DOCENTES Y COORDINADORES DE TODAS LAS IED, MAESTRÍA EN EDUCACIÓN MATEMÁTICA CON LA UNIVERSIDAD DE LOS ANDES (7 DOCENTES), MAESTRÍA EN EDUCACIÓN CON LA UNIVERSIDAD EXTERNADO DE COLOMBIA (40 DOCENTES), ESPECIALIZACIÓN EN EVALUACIÓN EDUCATIVA CON LA UNIVERSIDAD SANTO TOMAS (23 DOCENTES), FORMACIÓN RECTORES LÍDERES TRANSFORMADORES COHORTE 2014 PARA 32 RECTORES (ESTÁ EN PROCESO PRECONTRACTUAL), FORMACIÓN DE DOCENTES EN INGLÉS CON PEARSON, FORMACIÓN DE DOCENTES EN RESIGNIFICACIÓN DE MANUALES DE CONVIVENCIA CON ENFOQUE DE DERECHOS E INCLUSIÓN, FORMACIÓN DE DOCENTES PENSAMIENTO LÓGICO MATEMÁTICO- PRODUCCIÓN Y COMPRENSIÓN DE TEXTOS CON LA FUNDACIÓN ENDESA.
EN 2015, 3.639 DOCENTES Y DIRECTIVOS SE HAN FORMADO O ESTÁN ADELANTANDO POSGRADOS EN EDUCACIÓN, ESPECIALIZACIÓN EN EVALUACIÓN EDUCATIVA, ESPECIALIZACIÓN EN EDUCACIÓN AMBIENTAL, FORMACIÓN Y ACOMPAÑAMIENTO DE RECTORES LÍDERES TRANSFORMADORES, PROYECTOS DE MEJORAMIENTO DE LA CALIDAD EDUCATIVA, RESOLUCIÓN DE CONFLICTOS A TRAVÉS DE YOGA, CAFE CONVERSACIÓN PARA MEJORAR LA CONVIVENCIA ESCOLAR, FORMACIÓN PRUEBAS SABER, REDES DE APRENDIZAJE E INCORPORACIÓN DE LAS TIC EN LOS PROCESOS PEDAGÓGICOS, ENTRE OTROS PROGRAMAS.</t>
  </si>
  <si>
    <t>SE HAN ADELANTANDO POSGRADOS EN PEDAGOGÍA, MAESTRÍA EN EDUCACIÓN, EDUCACIÓN AMBIENTAL, EVALUACIÓN EDUCATIVA, MATEMÁTICAS, ENTRE OTROS PROGRAMAS. SE HAN FORMADO DESDE 2012, 220 DOCENTES EN POSGRADO.</t>
  </si>
  <si>
    <t>SE HA LOGRADO EN EL CUATRIENIO TENER 128 INSTITUCIONES EDUCATIVAS CON EDUCACIÓNINCLUSIVA MEDIANTE 5 CONVENIOS DE COOPERACIÓN CON LA FUNDACIÓN SALDARRIAGA CONCHA PARA LA ATENCIÓN DE LOS ESTUDIANTES CON DISCAPACIDAD - 2 CONVENIOS DE COOPERACIÓN CON EL INSTITUTO NACIONAL PARA CIEGOS INSOR PARA REORGANIZAR Y FORTALECER LA OFERTA EDUCATIVA PARA ESTUDIANTES SORDOS. - 2 CONTRATOS INTERADMINISTRATIVOS DE COMPRAVENTA CON EL INSTITUTO NACIONAL PARA CIEGOS INCI PARA ADQUIRIR MATERIAL PERTINENTE PARA ESTUDIANTES CIEGOS - 1 CONVENIO DE COOPERACIÓN CON LA FUNDACIÓN ALBERTO MERANI PARA APOYAR A LAS IED EN LA CARACTERIZACIÓN DE LOS ESTUDIANTES CON TALENTOS Y CON DISCAPACIDAD COGNITIVA.</t>
  </si>
  <si>
    <t>FORTALECIMIENTO DE ESPACIOS DE PARTICIPACIÓN Y APRENDIZAJE CON DOTACIÓN A 70 LUDOTECAS EN EL MARCO DEL PROGRAMA RED DE LUDOTECAS EN 67 MUNICIPIOS, DE LAS CUALES 19 SE ENCUENTRAN A CARGO DE COLSUBSIDIO EN EL MARCO DEL CONVENIO DE COOPERACIÓN SUSCRITO. ENTRE 2014 Y PRIMER SEMESTRE DE 2015, SE HA BRINDADO ATENCIÓN A MÁS DE 150 MIL NIÑOS Y NIÑAS MENORES ENTRE 6 Y 11 AÑOS.</t>
  </si>
  <si>
    <t xml:space="preserve">EL IDECUT HA LOGRADO MANTENER EL APOYO CON EL 50% Y 100% DE LOS HONORARIOS DE DOS FORMADORES A 88 MUNICIPIOS DEL DEPARTAMENTO CON LOS PROCESOS DE FORMACIÓN ARTÍSTICA Y CULTURAL EN 2 DISCIPLINAS CADA UNO DENTRO DE LAS QUE SE ENCUENTRAN DANZAS, TEATRO, ARTES PLÁTICAS, MÚSICA, LITERATURA Y CINEMATOGRAFÍA, TRADUCIDOS EN 176 PROCESOS. A TRAVÉS DE ESTO, SE PROMUEVE EL APROVECHAMIENTO DEL TIEMPO LIBRE Y EL DESARROLLO DE DESTREZAS Y HABILIDADES ARTÍSTICAS DE ESTE GRUPO POBLACIONAL.
</t>
  </si>
  <si>
    <t>A TRAVÉS DE GESTIÓN POR PARTE DEL IDECUT CON EL MINISTERIO DE CULTURA Y CON FINANCIACIÓN DE RECURSOS DEL INSTITUTO SE HA LOGRADO LLEGAR AL 100% DE LAS BIBLIOTECAS PÚBLICAS MUNICIPALES, CON DOTACIÓN DE MATERIAL BIBLIOGRAFICO, SE HAN BENFICIADO CON DOTACIÓN DE CONECTIVIDAD 38 BIBLIOTECAS PÚBLICAS DE 38 MUNICIPIOS, 140 BIBLIOTECAS CON DOTACIÓN DE UN KIT CONFORMADO POR UN VIDEO PROYECTOR, UN TELÓN DE TRIPODE Y UNA IMPRESORA PARA LA ELABORACIÓN DE LOS CARNETS DE LOS USUARIOS, IMPLEMENTACIÓN DEL SISTEMA LLAVE DEL SABER PARA 111 MUNICIPIOS. ADICIONALMENTE, DURANTE EL 2015 SE HA PUESTO EN MARCHA LA ESTRATEGIA DE PROMOTORES REGIONALES CUYA MISIÓN HA SIDO ACOMPAÑAR Y BRINDAR ASISTENCIA TÉCNICA INSITU INSCRITOS A LA RED DE BIBLIOTECAS PÚBLICAS.</t>
  </si>
  <si>
    <t>2013
1- SE GIRÓ RECURSOS PARA APOYAR EL PAGO DEL SERVICIO DE ASEO POR VALOR DE $2,080,423,090 PARA LAS 281 IED DE LOS 109 MUNICIPIOS NO CERTIFICADOS DEL DEPARTAMENTO.
2- SE REALIZÓ CONVENIO DE COOPERACIÓN N° 179 DE 18-9-2013 ENTRE EL DPTO CUNDINAMARCA SEC Y LA EMPRESA INMOBILIARIA CUNDINAMARQUESA POR VALOR DE $1,250'000,000 PARA LA PRESTACIÓN DEL SERVICIO DE ASEO A LAS IED.
2014
1- SE GIRÓ RECURSOS POR VALOR TOTAL DE $1.100.000.000 PARA LA ADQUISICIÓN DE IMPLEMENTOS DE ASEO A LAS 282 IED DE LOS 109 MUNICIPIOS NO CERTIFICADOS DEL DEPARTAMENTO. 
2- SE CELEBRÓ CONTRATO N° 050 DE 17 DE ABRIL DE 2014, PARA LA PRESTACIÓN DEL SERVICIO DE ASEO EN LAS IED DE LOS MUNICIPIOS NO CERTIFICADOS DEL DEPARTAMENTO, PLAZO DE EJECUCIÓN 7 MESES, ESTO ES DESDE EL 21 DE ABRIL HASTA EL 6 DE DICIEMBRE DE 2014, EL CONTRATO BENEFICIÓ A LAS 282 IED, CON 406 PUNTOS DE ASEO TIEMPO COMPLETO Y 142 PUNTOS DE ASEO MEDIO TIEMPO, EL VALOR TOTAL DEL CONTRATO FUE POR $4.370.297.440, BRINDANDO ASÍ A 257.075 ESTUDIANTES MEJORES AMBIENTES PARA EL PLENO DESARROLLO DE SUS LABORES Y APRENDIZAJE.
2015
SE SUSCRIBIÓ CONTRATO N°. 025 DE 05 DE MARZO DE 2015 PARA LA PRESTACIÓN DEL SERVICIO DE ASEO, QUE BENEFICIA A 243,322 ESTUDIANTES DE 274 INSTITUCIONES EDUCATIVAS DE 108 MUNICIPIOS NO CERTIFICADOS DEL DEPARTAMENTO, EQUIVALENTE A 452 PUNTOS Y 164 MEDIOS PUNTOS QUE PRESTAN EL SERVICIO DE ASEO. EL VALOR DEL CONTRATO ASCIENDE A $6,597,784,376, INICIÓ SU EJECUCIÓN EN EL MES DE MARZO DE 2015 Y FINALIZA EN EL MES DE DICIEMBRE DE 2015.</t>
  </si>
  <si>
    <t>2012
SE GIRÓ LA SUMA DE $1,221,495,107 A 223 IED PARA APOYAR EL PAGO DEL SERVICIO DE ENERGÍA; SE GIRÓ EL VALOR DE $565,651,908 PARA APOYAR EL PAGO DE SERVICIO DE ACUEDUCTO EN 140 IED. 
2013
SE GIRÓ LA SUMA DE $700,316,491 A LAS IED PARA LA FINANCIACIÓN DEL SERVICIO DE ACUEDUCTO Y ALCANTARILLADO Y LA SUMA DE $1,450,300,000 PARA APOYAR EL PAGO DE ENERGÍA A LAS IED QUE SOLICITARON LOS RECURSOS DE ACUERDO A LA CIRCULAR 192 DE 2012.
2014
SE REALIZÓ EL GIRO DE RECURSOS A 138 IED POR VALOR TOTAL DE $553,196,806 PARA EL PAGO DE AGUA Y ALCANTARILLADO DE ACUERDO CON LAS SOLICITUDES DE LAS IED, BENEFICIANDO A 32,370 ESTUDIANTES DEL DEPARTAMETO Y EL GIRO DE RECURSOS A 215 IED POR VALOR TOTAL DE $1,362,255,578 PARA EL PAGO DE ENERGÍA, BENEFICIANDO A 56.851 ESTUDIANTES, LO ANTERIOR TENIENDO EN CUENTA QUE SE LE ASIGNÓ RECURSOS A LAS IED QUE SOLICITARON DE ACUERDO CON LA CIRCULAR Y A LAS QUE NO SE LES GIRÓ ES PORQUE LAS IED TIENEN YA FINANCIADO ESTE GASTO.
2015
MEDIANTE RESOLUCIÓN N°. 004317 DE 10 DE ABRIL DE 2015, SE GIRÓ LA SUMA DE $1,688,250,880 A 225 IED PARA APOYAR EL PAGO DEL SERVICIO DE ENERGÍA, BENEFICIANDO A 197,441 ESTUDIANTES DE 96 MUNICIPIOS NO CERTIFICADOS DEL DEPARTAMENTO. ASÍ MISMO, SE GIRÓ LA SUMA DE $671,566,227 A 153 IED PARA APOYAR EL PAGO DEL SERVICIO DE ACUEDUCTO Y ALCANTARILLADO, BENEFICIANDO A 162,076 ESTUDIANTES DE 84 MUNICIPIOS NO CERTIFICADOS DEL DEPARTAMENTO.</t>
  </si>
  <si>
    <t xml:space="preserve">2013
1- SE SUSCRIBIÓ CONTRATO N°. 213 DE NOVIEMBRE DE 2013 POR VALOR DE $3.706.107.521 PARA LA PRESTACIÓN DEL SERVICIO DE VIGILANCIA EN 97 SEDES DE IED (EJECUCIÓN: 16 DE NOVIEMBRE DE 2013 HASTA EL 15 DE AGOSTO DE 2014)
2- MEDIANTE RESOLUCIÓN 7480 DE 13-11-2013 SE ASIGNÓ RECURSOS AL 100% DE LAS IED POR VALOR TOTAL DE $2,559,971,360 PARA MANTENIMIENTO EN SEGURIDAD DE LAS IED.
3- SE REALIZÓ CONTRATO DE ADHESIÓN CON FONDECUN PARA ENTREGAR UNIDADES MÓVILES (AVANTELES) A RECTORES Y COORDINADORES DEL 100% DE LAS IED.
2014
1- SE REALIZÓ ADICIÓN AL CONTRATO N°. 213 DE 2013 POR $1.032.722.580 HASTA EL 31 DE OCTUBRE DE 2014.
2- EL 31 DE OCTUBRE DE 2014 SE FIRMÓ CONTRATO N°. 191 PRESTACIÓN DE SERVICIOS POR VALOR DE $7,594,995,932, CUYO OBJETO CONSISTIÓ EN PRESTAR LOS SERVICIOS DE VIGILANCIA Y SEGURIDAD PRIVADA Y SEGURIDAD INTEGRAL PARA LOS BIENES MUEBLES E INMUEBLES EN LAS IED DE LOS MUNICIPIOS NO CERTIFICADOS DEL DEPARTAMENTO, PARA SER EJECUTADO EN UN PLAZO DE 11 MESES Y 15 DÍAS, DESDE EL 1 DE NOVIEMBRE DE 2014 HASTA 15 DE OCTUBRE DE 2015. CON ESTE CONTRATO SE GARANTIZA LA PRESTACIÓN DEL SERVICIO DE VIGILANCIA EN EL 52%, ESTO ES, 147 IED, EQUIVALENTES A 152 PUNTOS DE VIGILANCIA, BENEFICIANDO A 81.882 ESTUDIANTES, CON LO QUE SE ESTÁ DANDO CUMPLIMIENTO AL 100% EN LO ESTABLECIDO EN EL PLAN DE DESARROLLO.
2015
CONTINUA LA EJECUCIÓN DEL CONTRATO N°. 191 DE 2014 QUE ESTÁ GARANTIZANDO LA PRESTACIÓN DEL SERVICIO DE VIGILANCIA EN EL 52% DE LAS IED DE LOS MUNICIPIOS NO CERTIFICADOS DEL DEPARTAMENTO, ESTO ES, 147 IED, EQUIVALENTES A 152 PUNTOS DE VIGILANCIA, CON LO QUE SE ESTÁ DANDO CUMPLIMIENTO AL 100% EN LO ESTABLECIDO EN EL PLAN DE DESARROLLO.
EL PLAZO DE EJECUCIÓN DEL CONTRATO ES DE 11 MESES Y 15 DÍAS, DESDE EL MES DE NOVIEMBRE DE 2014 HASTA 15 DE OCTUBRE DE 2015. </t>
  </si>
  <si>
    <t>DE CONFORMIDAD CON LO SEÑALADO EN LA LEY 715 DE 2001, DECRETO 1278 DE 2002 Y DECRETO 520 DE 2010, SE REALIZÓ ESTUDIO TÉCNICO DE PLANTA PERSONAL DOCENTE, EL OBJETO DEL ESTUDIO TÉCNICO ES ANALIZAR LA PLANTA REQUERIDA PARA LA FECHA DEL MENCIONADO ESTUDIO Y DISTRIBUIR EL RECURSO HUMANO SEGÚN LAS NECESIDADES DEL SERVICIO, ENTRE LOS ESTABLECIMIENTOS EDUCATIVOS Y LOS MUNICIPIOS, LA CUAL ES FINANCIADA CON RECURSOS DEL SISTEMA GENERAL DE PARTICIPACIONES (SGP). SE REALIZO EL PROMEDIO DE LOS MESES DE ENERO A AGOSTO DE 2015.</t>
  </si>
  <si>
    <t xml:space="preserve">DURANTE EL CUATRIENIO SE REALIZARON ENCUENTROS Y JORNADAS DE APOYO AL DESARROLLO COMUNITARIO CON PARTICIPACIÓN DE REPRESENTANTES DE ORGANIZACIONES COMUNALES , NIÑAS, NIÑOS, PADRES, ACUDIENTES EN LOS DIFERENTES MUNICIPIOS DEL DEPARTAMENTO. CON LA EJECUCIÓN DEL PROGRAMA "VIVE Y CRECE EN ACCIÓN COMUNAL", SE HA PROMOVIDO Y FORTALECIDO CAPACIDADES A FIN DE INCENTIVAR LA PARTICIPACIÓN COMUNITARIA, EL SENTIDO DE PERTENENCIA Y APROVECHAMIENTO DEL TIEMPO LIBRE EN LAS NIÑAS Y LOS NIÑOS A TRAVES DE DIVULGACIÓN DE MATERIAL, DEL EJERCICIO DE LA DEMOCRACIA PARTICIPATIVA Y LA VINCULACIÓN A ORGANIZACIONES COMUNALES. SE REALIZARON ENCUENTROS DE JUNTAS INFANTILES COMUNALES, DINAMICAS DE INTEGRACIÓN Y CONFORMACIÓN DE JUNTAS INFANTILES, ADEMÁS SE DICTARON TALLERES SOBRE: INDUCCIÓN, APRESTAMIENTO Y SOCIALIZACIÓN, VALORES, TRABAJO EN EQUIPO, MECANISMOS DE PARTICIPACIÓN DIRIGIDOS A LIDERES COMUNALES , NIÑAS Y NIÑOS QUIENES INTERACTUARON CON ENTUSIASMO Y COMPROMISO EN LA PROMOCIÓN DE LA PARTICPACIÓN DE LOS NIÑOS EN LOS PROCESOS COMUNALES Y COMUNITARIOS. </t>
  </si>
  <si>
    <t>ESTRATEGIA DE CONSTRUCCIÓN DE ESCENARIOS DE PARTICIPACIÓN CON NIÑOS, NIÑAS, ADOLESCENTES Y JÓVENES, CON EL FIN DE APORTAR A LAS PREVENCIÓN DE LA PROBLEMÁTICA DEL EMBARAZO ADOLESCENTE EN 17 MUNICIPIOS, EMPODERANDO A LOS NNA PARA ASUMIR Y MEJORAR OTRAS PROBLEMÁTICAS RELACIONADAS CON SU VIDA FAMILIAR, EDUCATIVA Y PERSONAL, RECUPERAR SU INFANCIA Y AUTOESTIMA, ELEGIR SU FUTURO Y TOMAR LAS DECISIONES
CONFORME A SU VISIÓN FUTURA</t>
  </si>
  <si>
    <t>DEL 2012-2014 SE FORMARON 3955 DOCENTES Y DIRECTIVOS DOCENTES ENTICS, EN LO QUE VA DE 2015 SE HAN FORMADO 593.</t>
  </si>
  <si>
    <t>PARA ESTA META SE HAN DESARROLLADO ACTIVIDADES EN 2014 Y 2015. EN 2014 SE CONVOCÓ Y APOYÓ GRUPOS, EN ALIANZA CON LA UPN Y CON TADEO. EN ELLOS PARTICIPARON 10.346 NIÑOS, NIÑAS Y JÓVENES, ACOMPAÑADOS POR 944 DOCENTES, DE 158 IED, EN 96 MUNICIPIOS. ESTOS GRUPOS SE ENCUENTRAN TERMINANDO SUS INVESTIGACIONES. EN 2015 SE HAN APOYADO NUEVOS GRUPOS, EN ALIANZA CON LAS MISMAS UNIVERSIDADES QUE INICIARON SUS INVESTIGACIONES Y ESTÁN ACOMPAÑADOS POR 33 ASESORES DE LÍNEA TEMÁTICA. ACTUALMENTE CONTAMOS CON UN TOTAL DE 1.000 GRUPOS DE INVESTIGACIÓN INFANTILES Y JUVENILES ACOMPAÑADOS POR LA UPN Y 200 POR LA U. JORGE TADEO LOZANO, COMPUESTOS POR 24.418 NIÑOS, NIÑAS Y JÓVENES, ACOMPAÑADOS POR 1.806 MAESTROS DE 285 IED DE 105 MUNICIPIOS DE 15 PROVINCIAS.</t>
  </si>
  <si>
    <t>DURANTE EL AÑO 2012 EL MINISTERIO DE EDUCACIÓN NACIONAL REALIZÓ LA TRANSFERENCIA DE LA METODOLOGÍA PARA EL ACOMPAÑAMIENTO, FORMULACIÓN, EVALAUCIÓN, VIABILIZACIÓN Y COFINANCIACIÓN DE LOS PROYECTOS PEDAGÓGICOS PRODUCTIVOS EN EMPRENDIMIENTO Y EMPRESARIALIDAD, EL MINISTERIO COFINANCIÓ 7 PROYECTOS PEDAGÓGICOS PRODUCTIVOS DE 7 IED DE CUNDINAMARCA.
MEDIANTE GESTIÓN Y APOYO DEL MINSITERIO DE EDUCACIÓN NACIONAL, SE REALIZÓ PROCESO DE FORMACIÓN SOBRE LA GUIA 39 FOMENTO AL EMPRENDIMIENTO Y FORMULACIÓN DE PROYECTOS PEDAGÓGICOS PRODUCTIVOS A 377 DOCENTES Y DIRECTIVOS DOCENTES DE LAS INSTITUCIONES EDUCATIVAS DEPARTAMENTALES Y MÁS DE 1.500 ESTUDIANTES.
IGUALMENTE SE REALIZARON TRES CONVOCATORIAS DE COFINANCIACIÓN DE PROYECTOS PEDAGÓGICOS PRODUCTIVOS EN EL MARCO DEL EMPRENDIMIENTO Y LA EMPRESARIALIDAD, DURANTE LAS VIGENCIAS (2013, 2014 Y 2015) EN DONDE SE PRESENTARON 143 PROYECTOS (FORMULADOS, ACOMPAÑADOS, EVALUADOS) DE LOS CUALES FUERON VIABILIZADOS Y COFINANCIADOS 76 PROYECTOS PEDAGÓGICOS PRODUCTIVOS.</t>
  </si>
  <si>
    <t>ESTO SE HA LOGRADO EN EL CUATRIENIO MEDIANTE: - 5 CONVENIOS DE COOPERACIÓN CON LA FUNDACIÓN SALDARRIAGA CONCHA PARA LA ATENCIÓN DE LOS ESTUDIANTES CON DISCAPACIDAD MEDIANTE ACCIONES DE ACOMPAÑAMIENTO INSTITUCIONAL, FORMACIÓN A DOCENTES Y DIRECTIVOS DOCENTES, ENTREGA DE CANASTAS EDUCATIVAS PERTINENTES, ASIGNACIÓN DE PROFESIONALES DE APOYO Y TALLERES DE FORTALECIMIENTO AL SECTOR PÚBLICO. - 2 CONVENIOS DE COOPERACIÓN CON EL INSTITUTO NACIONAL PARA CIEGOS INSOR PARA REORGANIZAR Y FORTALECER LA OFERTA EDUCATIVA PARA ESTUDIANTES SORDOS. - 2 CONTRATOS INTERADMINISTRATIVOS DE COMPRAVENTA CON EL INSTITUTO NACIONAL PARA CIEGOS INCI PARA ADQUIRIR MATERIAL PERTINENTE PARA ESTUDIANTES CIEGOS - 1 CONVENIO DE COOPERACIÓN CON LA FUNDACIÓN ALBERTO MERANI PARA APOYAR A LAS IED EN LA CARACTERIZACIÓN DE LOS ESTUDIANTES CON TALENTOS Y CON DISCAPACIDAD COGNITIVA.</t>
  </si>
  <si>
    <t>FORTALECIMIENTO DE ESPACIOS DE PARTICIPACIÓN Y APRENDIZAJE CON DOTACIÓN A 70 LUDOTECAS EN EL MARCO DEL PROGRAMA RED DE LUDOTECAS EN 67 MUNICIPIOS, DE LAS CUALES 19 SE ENCUENTRAN A CARGO DE COLSUBSIDIO EN EL MARCO DEL CONVENIO DE COOPERACIÓN SUSCRITO. ENTRE 2014 Y PRIMER SEMESTRE DE 2015, SE HA BRINDADO ATENCIÓN A MÁS DE 74 MIL ADOLESCENTES.</t>
  </si>
  <si>
    <t xml:space="preserve">SE LOGRÓ LA PARTICIPACIÓN DE LOS 116 MUNICIPIOS CON UNA GRAN INVERSIÓN, EN EL PROGRAMA DE JUEGOS INTERCOLEGIADOS, QUE GARANTIZÓ EL DESARROLLO Y AFIANZAMIENTO DE HABILIDADES EN LAS DISTINTAS DISCIPLINAS DEPORTIVAS DE LOS ESTUDIANTES CON EDADES ENTRE 12 Y 17 AÑOS CUMPLIDOS, A PARTIR DE LA PARTICIPACIÓN DE NUESTROS ADOLESCENTES VINCULADOS AL SISTEMA EDUCATIVO DEL DEPARTAMENTO QUIENES A TRAVÉS DE UN NIVEL SANO DE COMPETENCIA DEFINEN LAS POSICIONES EN LAS DIFERENTES DISCIPLINAS DEPORTIVAS. 
SE DESTACA LA ARTICIPACIÓN DEL DEPARTAMENTO EN LA FASE INTERNACIONAL DE LOS JUEGOS INTERCOLEGIADOS “SUPÉRATE CON EL DEPORTE 2014” CON 24 DEPORTISTAS, DE LOS MUNICIPIOS DE FÓMEQUE, CACHIPAY Y SOACHA, OCUPANDO SEGUNDO LUGAR EN LA DISCIPLINA DE FÚTBOL SALA FEMENINO Y POSTERIORMENTE, REPRESENTANDO A COLOMBIA EN LOS JUEGOS ESCOLARES SURAMERICANOS. TERCER LUGAR EN LAS DISCIPLINAS DE AJEDREZ Y ATLETISMO Y CUARTO LUGAR A EN LA DISCIPLINA DEPORTIVA DE VOLEIBOL PISO.
</t>
  </si>
  <si>
    <t xml:space="preserve">EL IDECUT HA LOGRADO MANTENER EL APOYO CON EL 50% Y 100% DE LOS HONORARIOS DE DOS FORMADORES A 97 MUNICIPIOS DEL DEPARTAMENTO CON LOS PROCESOS DE FORMACIÓN ARTÍSTICA Y CULTURAL EN 2 DISCIPLINAS CADA UNO DENTRO DE LAS QUE SE ENCUENTRAN DANZAS, TEATRO, ARTES PLÁTICAS, MÚSICA, LITERATURA Y CINEMATOGRAFÍA, TRADUCIDOS EN 194 PROCESOS. A TRAVÉS DE ESTO, SE PROMUEVE EL APROVECHAMIENTO DEL TIEMPO LIBRE Y EL DESARROLLO DE DESTREZAS Y HABILIDADES ARTÍSTICAS DE ESTE GRUPO POBLACIONAL.
</t>
  </si>
  <si>
    <t>A TRAVÉS DE GESTIÓN POR PARTE DEL IDECUT CON EL MINISTERIO DE CULTURA Y CON FINANCIACIÓN DE RECURSOS DEL INSTITUTO SE HA LOGRADO LLEGAR AL 100% DE LAS BIBLIOTECAS PÚBLICAS MUNICIPALES, , SE HAN BENFICIADO CON DOTACIÓN DE CONECTIVIDAD 38 BIBLIOTECAS PÚBLICAS DE 38 MUNICIPIOS, 140 BIBLIOTECAS CON DOTACIÓN DE UN KIT CONFORMADO POR UN VIDEO PROYECTOR, UN TELÓN DE TRIPODE Y UNA IMPRESORA PARA LA ELABORACIÓN DE LOS CARNETS DE LOS USUARIOS, IMPLEMENTACIÓN DEL SISTEMA LLAVE DEL SABER PARA 111 MUNICIPIOS. ADICIONALMENTE, DURANTE EL 2015 SE HA PUESTO EN MARCHA LA ESTRATEGIA DE PROMOTORES REGIONALES CUYA MISIÓN HA SIDO ACOMPAÑAR Y BRINDAR ASISTENCIA TÉCNICA INSITU INSCRITOS A LA RED DE BIBLIOTECAS PÚBLICAS.</t>
  </si>
  <si>
    <t>EN EL AÑO 2015 SE FIRMARON LOS CINCO CONVENIOS CON LOS COLEGIOS BILINGUES PARA EL FORTALECIMIENTO DE LA ENSEÑANZA Y APRENDIZAJE DEL INGLÉS. SE HAN REALIZADO DOS TALLERES CON DOCENTES DEL DEPARTAMENTO EN CONVENIO CON EL GIMNASIO CAMPESTRE SAN RAFAEL Y EL GIMNASIO COLOMBO BRITÁNICO. EN CAJICÁ SE DESARROLLA EL PROGRAMA DE INMERSIÓN FRIENDLY TOWN CON EL COLEGIO NEWMAN Y EL COLEGIO CAMPOALEGRE HA APOYADO CON LA ENTREGA DEL CURRÍCULO DE INGLÉS DE LA INSTITUCIÓN.</t>
  </si>
  <si>
    <t>PARA EL DISEÑO Y LA IMPLEMENTACIÓN DE LA CAMPAÑA PUBLICITARIA SE FIRMO CONVENIO INTERADMINISTRATIVO N° 208 EN LA VIGENCIA 2013 ENTRE LA SECRETARIA DE EDUCACIÓN Y FONDECUN Y FUE EJECUTADA DURANTE EL 2014</t>
  </si>
  <si>
    <t xml:space="preserve">DURANTE EL CUATRIENIO SE REALIZARON ENCUENTROS Y JORNADAS DE APOYO AL DESARROLLO COMUNITARIO CON PARTICIPACIÓN DE REPRESENTANTES DE ORGANIZACIONES COMUNALES, ADOLESCENTES, PADRES, ACUDIENTES EN LOS DIFERENTES MUNICIPIOS DEL DEPARTAMENTO. CON LA EJECUCIÓN DEL PROGRAMA "VIVE Y CRECE EN ACCIÓN COMUNAL", SE HA PROMOVIDO Y FORTALECIDO CAPACIDADES A FIN DE INCENTIVAR LA PARTICIPACIÓN COMUNITARIA, EL SENTIDO DE PERTENENCIA Y APROVECHAMIENTO DEL TIEMPO LIBRE EN LAS Y LOS ADOLESCENTES A TRAVES DE DIVULGACIÓN DE MATERIAL, DEL EJERCICIO DE LA DEMOCRACIA PARTICIPATIVA Y LA VINCULACIÓN A ORGANIZACIONES COMUNALES. SE REALIZARON ENCUENTROS DE ADOLESCENTES Y COMUNALES CON DINAMICAS DE INTEGRACIÓN. ADEMÁS SE DICTARON TALLERES SOBRE: INDUCCIÓN, APRESTAMIENTO Y SOCIALIZACIÓN, VALORES, TRABAJO EN EQUIPO, MECANISMOS DE PARTICIPACIÓN DIRIGIDOS A LIDERES COMUNALES Y ADOLESCENTES QUIENES INTERACTUARON CON ENTUSIASMO Y COMPROMISO EN LA PROMOCIÓN DE LA PARTICPACIÓN DE LOS ADOLESCENTES EN LOS PROCESOS COMUNALES Y COMUNITARIOS. </t>
  </si>
  <si>
    <t>SE IMPLEMENTARON ACCIONES DE PREVENCIÓN, DESESTIMULO Y ERRADICACIÓN DEL TRABAJO INFANTIL EN SUS PEORES FORMAS COMO PROTECCIÓN A LOS ADOLESCENTES, TRABAJADORES INICIALMENTE EN 56 MUNICIPIOS DEL DEPARTAMENTO, ASÍ COMO LA PREVENCIÓN DE EXPLOTACIÓN SEXUAL COMERCIAL ASOCIADA AL CONTEXTO DE VIAJES DE TURISMO EN ESTOS MUNICIPIOS, CON LO QUE SE LOGRÓ LA SENSIBILIZACIÓN DE 3.090 NIÑOS, NIÑAS Y ADOLESCENTES, SE IDENTIFICARON 1.075 NIÑOS, NIÑAS Y ADOLESCENTES TRABAJO INFANTIL. SE SENSIBILIZARON EN ESTAS TEMÁTICAS 884 FUNCIONARIOS PÚBLICOS, 1.361 DOCENTES, 123 HOTELES, 1.381 PERSONAS DE LA RED HOTELERA SENSIBILIZADAS, 801 COMERCIANTES, Y 134 FAMILIAS ACOMPAÑADAS.</t>
  </si>
  <si>
    <t xml:space="preserve">2012: CUATRO POR UNA OPCIÓN DE VIDA, COMO OPORTUNIDAD PARA EL ACCESO A LA EDUCACIÓN SUPERIOR DE NUESTROS JÓVENES, CON LA PARTICIPACIÓN DE 13 UNIVERSIDADES Y LA MANIFESTACIÓN DE INTERÉS DE OTRAS 15 UNIVERSIDADES. LA ALIANZA CUENTA CON $12.131.673.193. SE COMPROMETIERON $254’082.085. ESTÁN SIENDO BENEFICIADOS 59 JÓVENES DE 18 MUNICIPIOS Y 9 PROVINCIAS. 
AÑO 2013: SE AMPLIÓ LA VINCULACIÓN DE UNIVERSIDADES PÚBLICAS Y PRIVADAS EN LA ESTRATEGIA 4 X 1 OPCIÓN DE VIDA. SE BENEFICIARON 555 ESTUDIANTES Y SE COMPROMETIERON $ 4.529.422.805,00. SE REALIZARON 30 FERIAS UNIVERSITARIAS EN 30 MUNICIPIOS DEL DEPARTAMENTO, CONTANDO CON LA PARTICIPACIÓN DE ESTUDIANTES DE LOS GRADOS 10° Y 11°, EGRESADOS Y REPRESENTANTES DE LAS ALCALDÍAS, DIRECTIVOS DOCENTES Y PADRES DE FAMILIA. 
AÑO 2014: A TRAVÉS DEL PROGRAMA CUATRO POR UNA OPCIÓN DE VIDA, SE BENEFICIARON EN EL PRIMER SEMESTRE 888 ESTUDIANTES, COMPROMETIENDO $6.426’457.141 Y EN EL SEGUNDO SEMESTRE 485 CON UNA INVERSIÓN DEPARTAMENTAL DE $4.614’146.314. SE REALIZARON 24 FERIAS UNIVERSITARIAS EN EL PRIMER SEMESTRE Y 25 EN EL SEGUNDO SEMESTRE CONTANDO CON LA PARTICIPACIÓN DE ESTUDIANTES DE LOS GRADOS 10° Y 11°, EGRESADOS Y REPRESENTANTES DE LAS ALCALDÍAS, DIRECTIVOS DOCENTES Y PADRES DE FAMILIA. 
AÑO 2015: EN EL PRIMER SEMESTRE SE BENEFICIARON 999 ESTUDIANTES Y SE COMPROMETIERON $8.957’143.616.67. LOS 116 MUNICIPIOS DE DEPARTAMENTO FUERON ATENDIDOS CON EL PROGRAMA. VINCULACIÓN A LA FECHA DE 22 INSTITUCIONES DE EDUCACIÓN SUPERIOR PRIVADAS Y 12 PÚBLICAS.. CREACIÓN DEL FONDO ANDES – ICETEX – GOBERNACIÓN DE CUNDINAMARCA, CONVENIO NO. 2015-0156, PARA BENEFICIAR A LOS ESTUDIANTES EGRESADOS DESDE EL AÑO 2011 DE INSTITUCIONES EDUCATIVAS OFICIALES DE MUNICIPIOS NO CERTIFICADOS DEL DEPARTAMENTO. 
UNA OPCIÓN DE VIDA, COMO OPORTUNIDAD PARA EL ACCESO A LA EDUCACIÓN SUPERIOR DE NUESTROS JÓVENES, CON LA PARTICIPACIÓN DE 13 UNIVERSIDADES Y LA MANIFESTACIÓN DE INTERÉS DE OTRAS 15 UNIVERSIDADES. LA ALIANZA CUENTA CON $12.131.673.193. SE COMPROMETIERON $254’082.085. ESTÁN SIENDO BENEFICIADOS 59 JÓVENES DE 18 MUNICIPIOS Y 9 PROVINCIAS. </t>
  </si>
  <si>
    <t xml:space="preserve">9.500 ESTUDIANTES. 55 CARRERAS TÉCNICAS, TECNOLÓGICAS Y UNIVERSITARIAS. 15 PROVINCIAS CON ESTUDIANTES MATRICULADOS. 
DE IGUAL MANERA, SE FORTALECIERON 6 CERES CON CON LABORATORIOS DE SALUD OCUPACIONAL Y AMBIENTES DE APRENDIZAJE PARA INGENIERÍA INDUSTRIAL, INGENIERÍA CIVIL ELECTRICIDAD Y ELECTRÓNICA Y AULA DE BILINGUISMO 
</t>
  </si>
  <si>
    <t>SE APOYARON LOS ORGANISMOS DEL DEPORTE ASOCIADO, LOGRANDO CON ALGUNOS DEPORTISTAS, INTEGRAR LAS SELECCIONES DE COLOMBIA A COMPETENCIAS INTERNACIONALES Y DEL CICLO OLÍMPICO Y PARALÍMPICO COLOMBIANO. ES DE RESALTAR LA PARTICIPACIÓN DE 8 DEPORTISTAS DE CUNDINAMARCA, QUE FORMARON PARTE DE LA DELEGACIÓN QUE REPRESENTÓ A COLOMBIA, EN LOS JUEGOS OLÍMPICOS LONDRES 2012, EN LAS MODALIDADES DEPORTIVAS DE TIRO, ECUESTRE, BICICROSS Y ATLETISMO. ADICIONALMENTE, RESALTAMOS LA PARTICIPACIÓN DE 9 DEPORTISTAS DEPARTAMENTALES QUE INTEGRARON EL SELECCIONADO COLOMBIANO EN LOS JUEGOS PARALÍMPICOS LONDRES 2012, EN MODALIDADES DEPORTIVAS DE BALONCESTO EN SILLA DE RUEDAS, ATLETISMO (PARÁLISIS CEREBRAL), JUDO VISUALES Y TENIS DE CAMPO.
DURANTE EL 2013 CUNDINAMARCA PARTICIPÓ EN LOS I JUEGOS DEPORTIVOS NACIONALES DE MAR Y PLAYA CELEBRADOS EN SAN ANDRES EN LOS CUALES ALCANZO 2 MEDALLAS DE ORO Y 2 MEDALLAS PLATA, LAS CUALES LE PERMITIÓ AL DEPARTAMENTO OCUPAR EL 5TO PUESTO EN LA TABLA GENERAL. CUNDINAMARCA ESTUVO PRESENTE CON SUS DEPORTISTAS EN LOS IX JUEGOS MUNDIALES CELEBRADOS EN CALI Y EN LOS CUALES SE OBTUVO 1 MEDALLA DE BRONCE EN EL DEPORTE DEL JIUJITSU CON EL DEPORTISTA WILSON ÁLZATE CORTÉS. ASÌ MISMO EL DEPARTAMENTO, HIZO PARTE DE LA DELEGACIÓN DE COLOMBIA QUE PARTICIPÓ EN LOS XVII JUEGOS DEPORTIVOS BOLIVARIANOS TRUJILLO 2013 CON UN TOTAL DE 19 DEPORTISTAS DE LOS 561.
DURANTE EL 2014 EL DEPARTAMENTO DE CUNDINAMARCA SE POSICIONÓ A NIVEL REGIONAL, NACIONAL E INTERNACIONAL CON LA REPRESENTACIÓN DE LOS DEPORTISTAS EN LOS CLASIFICATORIOS A JUEGOS NACIONALES 2015, EN LOS II JUEGOS OLÍMPICOS DE LA JUVENTUD, CAMPEONATOS SUDAMERICANOS Y PANAMERICANOS. DENTRO DE LOS LOGROS DEPORTIVOS A RESALTAR ESTÁN: EL CICLISTA EGAN ARLEY BERNAL GOMEZ, ORGULLO CUNDINAMARQUÉS, SE CORONA SUBCAMPEÓN, EN EL XXV CAMPEONATO MUNDIAL UCI DE MTB, EN HAFJELL Y LILLEHAMMER, EN NORUEGA. EN EL IX CAMPEONATO SUDAMERICANO DE SQUASH, DOS DEPORTISTAS COLOMBIANOS DEL REGISTRO DE CUNDINAMARCA GANARON DOS MEDALLAS DE ORO Y CUATRO DE PLATA. EN EL OPEN INTERNACIONAL DE LAS AMÉRICAS DE TAEKWONDO, CUNDINAMARCA OBTUVO EL PRIMER PUESTO POR EQUIPOS. EL COLOMBIANO BRANDON RIVERA DE CUNDINAMARCA HA OCUPADO EL SEGUNDO LUGAR EN LAS PRUEBAS CROSS COUNTRY OLÍMPICO Y CROSS COUNTRY ELIMINATOR LOS “II JUEGOS OLÍMPICOS DE LA JUVENTUD 2014 DE NANJING.
SE PARTICIPÓ EN LOS X JUEGOS DEPORTIVOS SURAMERICANOS SANTIAGO 2014 CON UNA DELEGACIÓN DE 14 DEPORTISTAS CUNDINAMARQUESES Y EN LOS JUEGOS PARASURAMERICANOS SANTIAGO 2014 CON 6 DEPORTISTAS DE CUNDINAMARCA. SE PARTICIPÓ EN LOS XXII JUEGOS CENTRO AMERICANOS Y DEL CARIBEVERACRUZ 2014 CON UNA DELEGACIÓN DE 13 DEPORTISTAS CUNDINAMARQUESES.
EN EL 2015 SE PARTICIPÓ EN LOS JUEGOS DEPORTIVOS PANAMERICANOSTORONTO 2015 CON UNA DELEGACIÓN DE 11 DEPORTISTAS CUNDINAMARQUESES ALCANZANDO 1 MEDALLA DE ORO CON EL DEPORTISTA JUAN CAMILO VARGAS EN EL DEPORTE DEL SQUASH Y ACTUALMENTE SE ESTÁ PARTICIPANDO EN LOS JUEGOS PARAPANAMERICANOS TORONTO 2015 CON 14 DEPORTISTAS DE CUNDINAMARCA.</t>
  </si>
  <si>
    <t>SE HA DADO CONTINUIDAD AL PROCESO DE LA BANDA SINFÓNICA JUVENIL DE CUNDINAMARCA, A TRAVÉS DE LA CONTRATACIÓN DE LOS MÚSICOS, DIRECTOR Y COORDINADOR, LOS CUALES PRESTAN ASISTENCIA PARA LA CAPACITACIÓN DEL SECTOR BANDÍSTICO Y REPRESENTAN AL DEPARTAMENTO EN DIFERENTES ACTIVIDADES. A LO LARGO DE ESTOS AÑOS SE HAN REALIZADO 166 CONCIERTOS EN SU MAYORÍA DIDÁCTICOS EN DIFERENTES ESCENARIOS, MEDIANTE LOS CUALES SE HAN BENEFICIADO A DIFERENTES GRUPOS POBLACIONALES QUE ASISTIERON A LAS PRESENTACIONES, FOMENTANDO ASÍ LA SENSIBILIZACIÓN Y FORMACIÓN DE PÚBLICOS A LO LARGO DEL DEPARTAMENTO Y DE LA CIUDAD DE BOGOTÁ.</t>
  </si>
  <si>
    <t>SE HA APOYADO LA REALIZACIÓN DE ENCUENTROS ZONALES, DEPARTAMENTALES DE BANDAS MUSICALES, COMO TAMBIÉN DE DANZA Y TEATRO, GENERANDO ESCENARIOS PARA QUE LOS JÓVENES DEL DEPARTAMENTO MUESTREN LOS RESULTADOS Y AVANCES DE SUS PROCESOS MUSICALES Y SE DEN ACTIVIDADES DE INTEGRACIÓN E INTERCAMBIO CULTURAL. LO ANTERIOR, PERMITE QUE EL IDECUT REALICE DIAGNÓSTICO, ESTADO DEL ARTE Y EVALUACIÓN A DICHOS PROCESOS, FACILITANDO LA GESTIÓN DE LA ENTIDAD EN EL ÁREA MUSICAL.</t>
  </si>
  <si>
    <t>A TRAVÉS DE GESTIÓN POR PARTE DEL IDECUT CON EL MINISTERIO DE CULTURA Y CON FINANCIACIÓN DEL IDECUT DE SE HA LOGRADO LLEGAR AL 100% DE LAS BIBLIOTECAS PÚBLICAS MUNICIPALES, DOTACIÓN DE MATERIAL BIBLIOGRAÁFICO, ACCIONES DE ASISTENICA TÉCINCA DE TUTORES Y PROMOTORES, SE HAN BENFICIADO CON DOTACIÓN DE CONECTIVIDAD 38 BIBLIOTECAS PÚBLICAS DE 38 MUNICIPIOS, 140 BIBLIOTECAS CON DOTACIÓN DE UN KIT CONFORMADO POR UN VIDEO PROYECTOR, UN TELÓN DE TRIPODE Y UNA IMPRESORA PARA LA ELABORACIÓN DE LOS CARNETS DE LOS USUARIOS, IMPLEMENTACIÓN DEL SISTEMA LLAVE DEL SABER PARA 111 MUNICIPIOS Y REALIZACIÓN DE ENCUENTROS REGIONALES Y DEPARTAMENTALES DE BIBLIOTECARIOS. ADICIONALMENTE, DURANTE EL 2015 SE HA PUESTO EN MARCHA LA ESTRATEGIA DE PROMOTORES REGIONALES CUYA MISIÓN HA SIDO ACOMPAÑAR Y BRINDAR ASISTENCIA TÉCNICA INSITU INSCRITOS A LA RED DE BIBLIOTECAS PÚBLICAS.</t>
  </si>
  <si>
    <t>A 2015 SE HAN APOYADO CON EL 50% Y 100% DE LOS HONORARIOS DE DOS FORMADORES A 35 MUNICIPIOS PARA LAS ESCUELAS DE FORMACIÓN ARTÍSTICA Y CULTURAL EN DIFERENTES DISCIPLINAS DENTRO DE LAS QUE SE ENCUENTRAN DANZAS, TEATRO, ARTES PLÁTICAS, LITERATURA Y CINEMATOGRAFÍA, TRADUCIDOS EN 70 PROCESOS DE FORMACIÓN, LO QUE CONLLEVA A PROMOVER EL APROVECHAMIENTO DEL TIEMPO LIBRE Y EL DESARROLLO DE DESTREZAS Y HABILIDADES ARTÍSTICAS DE ESTE GRUPO POBLACIONAL.</t>
  </si>
  <si>
    <t>SE BRINDÓ APOYO LOGÍSTICO, DIDÁCTICO Y PUBLICITARIO A LOS EVENTOS QUE SE REALIZARON EN LOS MUNICIPIOS DEL DEPARTAMENTO: ENCUENTROS, VISITAS ADMINISTRATIVAS Y JORNADAS DE CAPACITACIÓN, ASESORÍAS Y ACOMPAÑAMIENTO DE PLENARIAS, EN LAS QUE HAN PARTICIPADO ACTIVAMENTE JÓVENES VINCULADOS A ORGANIZACIONES COMUNALES, A QUIENES SE LES GENERO CAPACIDADES DE GESTIÓN Y SE LES PROMOVIÓ LA PARTICIPACIÓN DE LAS Y LOS JÓVENES EN LOS CUADROS DIRECTIVOS DE LOS ORGANISMOS COMUNITARIOS DEL DEPARTAMENTO. SE HAN REALIZADO JORNADAS DE SENSIBILIZACIÓN, CAPACITACIÓN Y FORMACIÓN, DIRIGIDAS A LOS AFILIADOS DE ORGANIZACIONES COMUALES DEL DEPARTAMENTO,, A QUIENES SE LES HA PROMOVIDO E INCENTIVADO LA PARTICIPACIÓN DE LOS JOVENES COMO FORMA DEMOCRATICA DE DAR SOLUCIÓN A NECESIDADES SENTIDAS Y PROBLEMAS DE TIPO LOCAL Y REGIONAL.</t>
  </si>
  <si>
    <t xml:space="preserve">FOCALIZACIÓN DE 31 MUNICIPIOS PARA EL DESARROLLO DEL PROCESO DE ACOMPAÑAMIENTO, CONTACTO CON LAS ADMINISTRACIONES E INICIO DE LAS ACCIONES DE FORMACIÓN LA PROPUESTA DE ABORDAJE DE ADICCIONES PROPUESTO POR EL DEPARTAMENTO. SE HAN CAPACITADO MÁS DE 2 MIL PROFESIONALES Y FUNCIONARIOS Y REPRESENTANTES DE LA COMUNIDAD DE LOS MUNICIPIOS DURANTE EL CUATRIENIO. ASIMISMO, SE HAN LOGRADO DESARROLLAR MESAS DE TRABAJO QUE PERMITEN REALIZAR ASISTENCIA TÉCNICA DE CARA A LA ELABORACIÓN DE DOCUMENTOS GUÍAS QUE PERMITAN SUGERIR ESTRATEGIAS ACTUALIZADAS FRENTE A LA PREVENCIÓN DEL CONSUMO DE SUSTANCIAS PSICOACTIVAS.
</t>
  </si>
  <si>
    <t xml:space="preserve">SE ALFABETIZO Y SE ELEVO EL NIVEL EDUCATIVO DE 3.374 ADULTOS CON LA DOTACIÓN DE MODULOS DE EDUCACIÓN CONTIUADA CAFAM Y LA IMPLEMENTACIÓN DE MODELOS DE EDUCACIÓN FLEXIBLE PARA ADULTOS: A CRECER PARA CICLO I Y CICLO II, SER CICLO I , ABCD ESPAÑOL PARA ALFABETIZACIÓN, MODELO DE EDUCACIÓN VIRTUAL DEL CICLO II AL CICLO VI. 
</t>
  </si>
  <si>
    <t>SE DESTACA COMO ESTRATEGIA DE DEMOCRATIZACIÓN DEL DEPORTE E INCLUSIÓN SOCIAL, EL DESARROLLO DE LOS PROGRAMAS: JUEGOS COMUNALES, LOS CUALES FUERON INSTITUCIONALIZADOS MEDIANTE ORDENANZA 141/2012, Y QUE REGLAMENTA LA REALIZACIÓN DE LAS FASES ZONAL Y FINAL DEPARTAMENTAL A REALIZARSE CADA DOS AÑOS. EN EL AÑO 2013 REPRESENTACIÓN DEL DEPARTAMENTO EN LOS II JUEGOS NACIONALES DEPORTIVOS Y RECREATIVOS COMUNALES, OCUPANDO EL SEGUNDO PUESTO, CON LA PARTICIPACIÓN DE 63 DEPORTISTAS, LA DELEGACIÓN ALCANZÓ 105 PUNTOS, SUPERANDO DEPARTAMENTOS COMO VALLE, BOYACÁ, NORTE DE SANTANDER, ENTRE OTROS. 3 MEDALLA DE ORO 2 DE PLATA Y 5 DE BRONCE FUERON OBTENIDAS POR LOS DEPORTISTAS CUNDINAMARQUESES.</t>
  </si>
  <si>
    <t>SE CONFORMÓ EL GRUPO DE MONITORES DE LA ACTIVIDAD FÍSICA EN EL DEPARTAMENTO, SE ORIENTA EL PROGRAMA HACIA LA CREACIÓN Y FORMACIÓN DE SEMILLEROS EN 22 MUNICIPIOS DEL MILENIO PARA ASEGURAR SU PERMANENCIA Y CONSTANTE BENEFICIO A LA POBLACIÓN CUNDINAMARQUESA. SE CUMPLIÓ CON EL INDICADOR DEFINIDO EN EL CUATRIENIO, CONTRIBUYENDO A LA DISMINUCIÓN DE LOS ÍNDICES DE ENFERMEDADES CRÓNICAS DEGENERATIVAS, Y AJUSTANDO LAS CARACTERÍSTICAS DE LAS ACTIVIDADES A LAS PREFERENCIAS Y NECESIDADES DE LOS DISTINTOS CICLOS DE VIDA DE LA POBLACIÓN DEL DEPARTAMENTO.</t>
  </si>
  <si>
    <t>EL IDECUT HA APOYADO LOS PROCESOS CORALES TRAVÉS DE LOS 16 ENCUENTROS ZONALES Y 3 ENCUENTROS DEPARTAMENTALES DE COROS MUSICALES MUNICIPALES. ES IMPORTANTE RESALTAR QUE DURANTE EL 2014 POR PRIMERA VEZ SE REALIZARON ENCUENTROS ZONALES Y UN DEPARTAMENTAL DE MÚSICAS TRADICIONALES, CAMPESINAS, POPULARES Y URBANAS DE CUNDINAMARCA. EN EL 2015 SE DIO CONTINUIDAD CON LA REALIZACIÓN DE 4 NUEVOS ENCUENTROS ZONALES, CON PROYECCIÓN A UN DEPARTAMENTAL, FOMENTANDO EL RESCATE DE LA IDENTIDAD CUNDINAMARQUESA. LO ANTERIOR PERMITE QUE EL IDECUT REALICE DIAGNÓSTICO, ESTADO DEL ARTE Y EVALUACIÓN A DICHOS PROCESOS, FACILITANDO LA GESTIÓN DE LA ENTIDAD EN EL ÁREA MUSICAL. ADICIONALMENTE, SE HA BRINDADO APOYO CONTINUO AL PROCESO DEL ORFEÓN DE CUNDINAMARCA, A TRAVÉS DE LA CONTRATACIÓN DE SU DIRECTOR, PERMITIENDO EL FUNCIONAMIENTO DE ESTA AGRUPACIÓN Y BRINDADO CAPACITACIÓN AL SECTOR CORAL EN LOS DIFERENTES MUNICIPIOS DE CUNDINAMARCA. A 2015 EL ORFEÓN HA REALIZADO 96 CONCIERTOS EN DIVERSOS ESCENARIOS.</t>
  </si>
  <si>
    <t>A 2015 SE HAN APOYADO CON EL 50% Y 100% DE LOS HONORARIOS DE DOS FORMADORES PARA LAS ESCUELAS DE FORMACIÓN ARTÍSTICA Y CULTURAL EN DIFERENTES DISCIPLINAS DENTRO DE LAS QUE SE ENCUENTRAN DANZAS, TEATRO, ARTES PLÁTICAS, MÚSICA, LITERATURA Y CINEMATOGRAFÍA, TRADUCIDOS EN 31 PROCESOS DE FORMACIÓN, LO QUE CONLLEVA A PROMOVER EL APROVECHAMIENTO DEL TIEMPO LIBRE Y EL DESARROLLO DE DESTREZAS Y HABILIDADES ARTÍSTICAS DE ESTE GRUPO POBLACIONAL.</t>
  </si>
  <si>
    <t>A TRAVÉS DE GESTIÓN POR PARTE DEL IDECUT CON EL MINISTERIO DE CULTURA Y CON FINANCIACIÓN DEL IDECUT DE SE HA LOGRADO LLEGAR AL 100% DE LAS BIBLIOTECAS PÚBLICAS MUNICIPALES CON DOTACIÓN DE MATERIAL BIBLIOGRÁFICO, ACCIONES DE ASISTENICA TÉCINCA DE TUTORES Y PROMOTORES, SE HAN BENFICIADO CON DOTACIÓN DE CONECTIVIDAD 38 BIBLIOTECAS PÚBLICAS DE 38 MUNICIPIOS, 140 BIBLIOTECAS CON DOTACIÓN DE UN KIT CONFORMADO POR UN VIDEO PROYECTOR, UN TELÓN DE TRIPODE Y UNA IMPRESORA PARA LA ELABORACIÓN DE LOS CARNETS DE LOS USUARIOS, IMPLEMENTACIÓN DEL SISTEMA LLAVE DEL SABER PARA 111 MUNICIPIOS Y REALIZACIÓN DE ENCUENTROS REGIONALES Y DEPARTAMENTALES DE BIBLIOTECARIOS. ADICIONALMENTE, DURANTE EL 2015 SE HA PUESTO EN MARCHA LA ESTRATEGIA DE PROMOTORES REGIONALES CUYA MISIÓN HA SIDO ACOMPAÑAR Y BRINDAR ASISTENCIA TÉCNICA INSITU INSCRITOS A LA RED DE BIBLIOTECAS PÚBLICAS.</t>
  </si>
  <si>
    <t>SE GENERARON CAPACIDADES DE GESTIÓN A MÁS DE 11.000 AFILIADOS A ORGANIZACIONES COMUNALES DE PRIMER Y SEGUNDO GRADO DE LOS 116 MUNICIPIOS DEL DEPARTAMENTO A TRAVÉS DE CAPACITACIONES, TALLERES, FOROS, ENCUENTROS Y CUMBRES COMUNALES EN DIVERSOS TEMAS, ENTRE OTROS: PREPARACIÓN PARA ELECCIONES COMUNALES, FUNCIONES DE DIGNATARIOS, PROMOCIÓN DE LA PARTICIPACIÓN CIUDADANA, DERECHOS, VALORES, RESOLUCIÓN DE CONFLICTOS, LEGISLACIÓN COMUNAL, LIDERAZGO Y EMPRENDIMIENTO COMUNAL, DIRIGIDOS A DIGNATARIAS Y DIGNATARIOS DE ORGANISMOS COMUNALES</t>
  </si>
  <si>
    <t>CREACIÓN DEL “BANCO DE SABERES”, MEDIANTE LA IMPLEMENTACIÓN DE PROCESOS DE ACOMPAÑAMIENTO IDENTIFICANDO Y CARACTERIZANDO A LAS PERSONAS ADULTAS MAYORES CON SUS HABILIDADES Y TALENTOS EN 6 MUNICIPIOS (COTA, GIRARDOT, TIBIRITA, SOACHA, SAN JUAN DE RIOSECO Y UBAQUE).</t>
  </si>
  <si>
    <t xml:space="preserve">SE LOGRO UN TRABAJO ARTICULADO EN LOS 116 MUNICIPIOS CON LOS ENLACES Y ENTES RESPONSABLES DE LA ATENCIÓN A LA PERSONA MAYOR, PARA LA REALIZACIÓN DE ACCIONES ARTICULADAS CON LA OFERTA INSTITUCIONAL DE INDEPORTES. SE CUMPLIÓ CON EL INDICADOR DEFINIDO PARA EL CUATRIENIO, CONTRIBUYENDO EN AL POBLACIÓN DE LA PERSONA MAYOR, A PERPETUAR FORMAS DE PARTICIPACIÓN ACTIVA EN LA COMUNIDAD, ENRIQUECIENDO EL APROVECHAMIENTO DEL OCIO Y SUMÁNDOLE CALIDAD DE VIDA A SUS AÑOS. </t>
  </si>
  <si>
    <t>A TRAVÉS DE GESTIÓN POR PARTE DEL IDECUT CON EL MINISTERIO DE CULTURA Y CON FINANCIACIÓN DEL IDECUT DE SE HA LOGRADO LLEGAR AL 100% DE LAS BIBLIOTECAS PÚBLICAS MUNICIPALES, SE HAN BENFICIADO CON DOTACIÓN DE CONECTIVIDAD 38 BIBLIOTECAS PÚBLICAS DE 38 MUNICIPIOS, 140 BIBLIOTECAS CON DOTACIÓN DE UN KIT CONFORMADO POR UN VIDEO PROYECTOR, UN TELÓN DE TRIPODE Y UNA IMPRESORA PARA LA ELABORACIÓN DE LOS CARNETS DE LOS USUARIOS, IMPLEMENTACIÓN DEL SISTEMA LLAVE DEL SABER PARA 111 MUNICIPIOS Y REALIZACIÓN DE ENCUENTROS REGIONALES Y DEPARTAMENTALES DE BIBLIOTECARIOS. ADICIONALMENTE, DURANTE EL 2015 SE HA PUESTO EN MARCHA LA ESTRATEGIA DE PROMOTORES REGIONALES CUYA MISIÓN HA SIDO ACOMPAÑAR Y BRINDAR ASISTENCIA TÉCNICA INSITU INSCRITOS A LA RED DE BIBLIOTECAS PÚBLICAS.</t>
  </si>
  <si>
    <t>A 2015 SE HAN APOYADO CON EL 50% Y 100% DE LOS HONORARIOS DE DOS FORMADORES PARA LAS ESCUELAS DE FORMACIÓN ARTÍSTICA Y CULTURAL EN DIFERENTES DISCIPLINAS DENTRO DE LAS QUE SE ENCUENTRAN DANZAS, TEATRO, ARTES PLÁTICAS, LITERATURA, MÚSICA, CINEMATOGRAFÍA, ENTRE OTRAS, TRADUCIDOS EN 30 PROCESOS DE FORMACIÓN, LO QUE CONLLEVA A PROMOVER EL APROVECHAMIENTO DEL TIEMPO LIBRE Y EL DESARROLLO DE DESTREZAS Y HABILIDADES ARTÍSTICAS DE ESTE GRUPO POBLACIONAL.</t>
  </si>
  <si>
    <t>ARTICULACIÓN A TRAVES DE LAS INSTANCIAS DEPARTAMENTALES Y NACIONALES PARA AUNAR ESFUERZOS ECONÓMICOS, TÉCNICOS Y HUMANOS EN EL ACOMPAÑAMIENTO PARA EL DESARROLLO DE PROCESOS DE FORTALECIMIENTO ORGANIZATIVO, PRODUCTIVO QUE PERMITA A LA SECRETARIA DINAMIZAR EN LOS PROCESOS DE LOS PLANES DE VIDA DE LAS 4 COMUNIDADES INDIGENAS (MUISCAS, KICHWA) ENTRE OTRAS, RECONOCIDAS ANTE EL MINISTERIO DEL INTERIOR.</t>
  </si>
  <si>
    <t xml:space="preserve">ACOMPAÑAMIENTO Y SEGUIMIENTO AL PROYECTO DE HABILIDADES CULINARIAS DE LA POBLACIÓN AFROCOLOMBIANA RESIDENTE EN EL MUNICIPIO DE GIRARDOT, PARA LOGRAR EL RECONOCIMIENTO DE LA CULTURA AFROCOLOMBIANA A TRAVÉS DE ESTRATEGIAS DE VISIBILIZACIÓN Y SENSIBILIZACIÓN PARA LA INCLUSIÓN DE LA CULTURA AFRO EN LA COMUNIDAD CUNDINAMARQUESA. </t>
  </si>
  <si>
    <t>ACOMPAÑAMIENTO A POBLACIÓN AFROCOLOMBIANA DE GIRARDOT EL 23 MAYO DE 2015 EN EL CUAL SE DESARROLLÓ UNA AGENDA CULTURAL CON PARTICIPACIÓN DE GRUPOS FOLCLÓRICOS DEL SENA, CASA DE LA CULTURA DE GIRARDOT, SDS DE SOACHA PARA CONMEMORAR EL DÍA DE LA AFROCOLOMBIANIDAD; IMPULSO DE LA ESTRATÉGIA A NIVEL DEPARTAMENTAL DECADA INTERNACIONAL DE LOS PUEBLOS AFRODESCENDIENTES. RESOLUCIÓN 68/237 DE LAS NACIONES UNIDAS CON EL PRÓPOSITO DE PROFUNDIZAR EL RECONOCIMIENTO, LA JUSTICIA Y EL DESARROLLO DE LOS AFRODESCENDIENTES., EVENTO DE ETNOEDUCACIÓN "CONECTATE CON TUS RAICES", CON EL FIN DE ESTABLECER UN ESPACIO PARA COMPARTIR EXPERIENCIAS, CONOCIMIENTOS Y REFLEXIONES DE PROCESOS ETNOEDUCATIVOS EN EL DEPARTAMENTO, PARA LA VISIBILIZACION Y RESCATE DE LA IDENTIDAD ETNICA, REALIZADO EN EL MUNICIPIO DE COTA, ENVIO DE SALUDO Y RECONOCIMIENTO DE LA COMUNIDAD AFROCOLOMBIANA A TRAVES DE EL ENVIO DE UNA TARJETA DE CONMEMORACIÓN DE LA AFROCOLOMBIANIDAD, IMPLEMENTACION DE INSTRUMENTO DE PROTECCION ETNICA A TRAVES DE UNA CONFERENCIA CONTRA EL RACISMO Y LA DISCRIMINACION, LLEVADO A CABO EL MUNICIPIO DE CHIA , SE DESARROLLO PROCESO DE SENSIBILIZACION DE LA CULTURA AFROCOLOMBIANA E INDIGENA EN EL MARCO DE LA FERIA DE COLONIAS (CORFERIAS), Y APOYO AL PROCESO DE RESCATE DE LAS TRADICIONES ANCESTRALES INDIGENAS MUISCAS EN EL MUNICIPIO DE SESQUILE A TRAVÉS DEL ENCUENTRO MULTIETNICO Y CULTURAL, ESTOS DOS EVENTOS FUERON LOGRADOS A TRAVES DE LOS APOYOS ECONOMICOS CON EL IDECUT CUNDINAMARCA</t>
  </si>
  <si>
    <t>EN SESIÓN ORDINARIA DE LA ASAMBLEA DEPARTAMENTAL EN EL MES DE ABRIL FUE APROBADA LA POLÍTICA PÚBLICA DE SEGURIDAD ALIMENTARIA Y NUTRICIONAL DEL DEPARTAMENTO DE CUNDINAMARCA Y POSTERIORMENTE SANCIONADA POR EL SEÑOR GOBERNADOR MEDIANTE ORDENANZA NO 261 DE 2015. EN SESIÓN EXTRAORDINARIA DEL MES DE MAYO FUE APROBADA LA POLÍTICA PÚBLICA DE INCLUSIÓN SOCIAL PARA LAS PERSONAS CON DISCAPACIDAD Y POSTERIORMENTE SANCIONADA POR EL SEÑOR GOBERNADOR MEDIANTE ORDENANZA NO 266 DE 2015. EN EL MISMO PERIODO DE SESIONES EXTRAORDINARIAS SE APROBÓ EL AJUSTE DE LA POLÍTICA PÚBLICA DE JUVENTUD, SANCIONADA MEDIANTE ORDENANZA NO 267 DE 2015. EN LAS SESIONES EXTRAORDINARIAS DE LA ASAMBLEA DEPARTAMETAL DEL MES DE AGOSTO-SEPTIEMBRE FUÉ APROBADA LA POLÍTICA PÚBLICA DE PRIMERA INFANCIA, INFANCIA Y ADOLESCENCIA, SANCIONADA POR EL SEÑOR GOBERNADOR MEDIANTE ORDENANZA NO. 280. EL CONSEJO DEPARTAMENTAL DE POLÍTICA SOCIAL APROBÓ LOS LINEAMIENTOS DEL PLAN PARA PREVENCIÓN DEL EMBARAZO EN LA ADOLESCENCIA Y LA PROMOCIÓN DE LOS DERECHOS SEXUALES Y REPRODUCTIVOS. SE FORMULÓ EL PLAN DE IGUALDAD DE OPORTUNIDADES DE ACUERDO A LA POLÍTICA PÚBLICA DE MUJER Y GÉNERO.</t>
  </si>
  <si>
    <t xml:space="preserve">DURANTE EL PERIODO DE GOBIERNO Y A LA FECHA EL IDECUT HA BRINDADO APOYO PARA LA REALIZACIÓN DE EVENTOS DE TRAYECTORIA ARTÍSTICA Y CULTURAL DE ORDEN MUNICIPAL, REGIONAL, DEPARTAMENTAL, NACIONAL E INTERNACIONAL, UN PROMEDIO ANUAL DE 102 EVENTOS, PROPENDIENDO POR LA INTEGRACIÓN CULTURAL Y LA SOCIALIZACIÓN DE LOS MUNICIPIOS DEL DEPARTAMENTO DE CUNDINAMARCA. </t>
  </si>
  <si>
    <t>COMO PROGRAMA INNOVADOR, SE PROMOVIÓ EL DEPORTE POR MEDIO DE LA ESTRATEGIA "DEPORTE: SALUD, CONVIVENCIA Y PAZ", COMO COMPETENCIA FORMATIVA PARA LOGRAR EL RESPETO POR LA VIDA, LA PROMOCIÓN DE UNA SANA CONVIVENCIA, EL CUIDADO DE LA SALUD, EL APROVECHAMIENTO DEL TIEMPO LIBRE Y EL RECONOCIMIENTO DE LO PÚBLICO COMO DERECHO Y RESPONSABILIDAD CIUDADANA, A MÁS 16.500 FAMILIAS DEL DEPARTAMENTO CADA AÑO, SOPORTADOS EN UN NÚCLEO FAMILIAR ARMÓNICO, COMO FORMADOR PRIMARIO DEL SER HUMANO. BAJO ESTA ESTRATEGIA SE APOYÓ LA ADECUACIÓN DE 152 ESCENARIOS RECREO-DEPORTIVOS EN 62 MUNICIPIOS DEL DEPARTAMENTO. EN EL MARCO DE ESTE PROGRAMA SE REALIZARON LOS I JUEGOS PENITENCIARIOS DE CUNDINAMARCA 2014, EN LOS ESTABLECIMIENTOS CARCELARIOS DE GUADUAS, CÁQUEZA, CHOCONTÁ, FACATATIVÁ, FUSAGASUGÁ, GACHETA, GIRARDOT, LA MESA, UBATÉ, VILLETA Y ZIPAQUIRÁ, CON EL OBJETIVO DE BENEFICIAR A LA COMUNIDAD CARCELARIA Y SU ENTORNO FAMILIAR. LOS DEPORTES INCLUIDOS EN EL PROGRAMA SON VOLEIBOL, BALONCESTO, BANQUITAS, FÚTBOL, FUTSAL, FÚTBOL 5, AJEDREZ, MINITEJO Y TENIS DE MESA. TAMBIÉN SE INCLUYERON ACTIVIDADES RECREATIVAS COMO EL JUEGO DE LA RANA, TROMPO, PARQUÉS, DOMINÓ, CUCUNUBÁ, SALTO AL LAZO Y SHOW BOLL, MODALIDAD DEPORTIVA QUE CONSISTE EN JUGAR BALOMPIÉ EN UN ÁREA DETERMINADA (PASILLO-ZAGUÁN O CORREDOR) DEL CENTRO PENITENCIARIO, UTILIZANDO LAS PAREDES COMO ESPACIO DE JUEGO. SE DESTACA LA PARTICIPACIÓN DE LOS INTERNOS DE GUADUAS , SEDE QUE CONTARÁ CON LA VINCULACIÓN DE 930 INTERNOS, SEGUIDA DE GIRARDOT CON 364, FUSAGASUGÁ 275, FACATATIVÁ 223, VILLETA 194, UBATÉ 192, ZIPAQUIRÁ 188, CÁQUEZA 147,CHOCONTÁ 98, GACHETA 66 Y LA MESA 49.</t>
  </si>
  <si>
    <t xml:space="preserve">CON GRAN ACOGIDA Y EL APOYO DEL NIVEL CENTRAL DE LA GOBERNACIÓN, SE DOTARON 129 PARQUES BIOSALUDABLES EN 74 MUNICIPIOS DEL DEPARTAMENTO, COMO ESTRATEGIA PARA PROMOVER EL APROVECHAMIENTO DEL TIEMPO LIBRE A LA COMUNIDAD DE LOS MUNICIPIOS. </t>
  </si>
  <si>
    <t>SE CONFORMÓ Y SE POSESIONARON LAS CONSEJERAS EL COMITÉ DE SEGUIMIENTO LEY 1257 NO VIOLENCIA CONTRA LA MUJER, CON LA PARTICIPACIÓN DE LAS ORGANIZACIONES DE MUJERES, EN COORDINACIÓN Y APOYO DELEGADAS DE LA ALTA CONSEJERÍA, PROCURADURÍA REGIONAL, DEFENSORÍA DEL PUEBLO REGIONAL CUNDINAMARCA. / SE REALIZARON 600 ENCUESTAS EN 20 MUNICIPIOS CON EL FIN DE VISIBILIZAR LOS HECHOS DE VIOLENCIA CONTRA LA MUJER/</t>
  </si>
  <si>
    <t>SE HAN SUSCRITO CONVENIOS INTERADMINISTRATIVOS CON LOS MUNICIPIOS Y SE HAN ELABORADO ACUERDOS CON EL MINISTERIO DE EDUCACIÓN NACIONAL, DONDE SE REALIZARON OBRAS PARA LA INFRAESTRUCTURA EDUCATIVA, EN LAS CUALES SE IDENTIFICAN OBRAS PARA LA CONSTRUCCIÓN, ADECUACIÓN Y MANTENIMIENTO DE AULAS, CONSTRUCCIÓN DE BATERÍAS SANITARIAS, PINTURA Y EMBELLECIMIENTO DE SALONES DE CLASE Y DE AREAS SOCIALES ENTRE OTRAS, LLEGANDO A UN GRAN ACUMULADO DE 588 SEDES INTERVENIDAS DURANTE EL CUATRIENIO.</t>
  </si>
  <si>
    <t>LUEGO DE CONCERTAR CON LA SECRETARÍA DE SALUD DEL DEPARTAMENTO Y CON LAS IPS, SE PROCEDIÓ A INTERVENIR LOS PUESTOS Y CENTROS DE SALUD A INTERVENIR EN EL DEPARTAMENTO, LOGRANDO INCREMENTAR HASTA EL MOMENTO EN UN 24% LA CAPACIDAD TECNOLÓGICA Y CIENTÍFICA EN CUANTO AL COMPONENTE DE INFRAESTRUCTURA, EN LAS EMPRESAS SOCIALES SELECCIONADAS PARA SU POSTERIOR INTERVENCIÓN.</t>
  </si>
  <si>
    <t>CON LOS RECURSOS ASIGNADOS EN EL PRESUPUESTO POR CADA UNA DE LAS VIGENCIAS, SE HAN LOGRADO INTERVENIR 70 SEDES DESTINADAS PARA LA RECREACIÓN Y EL DEPORTE, CON OBRAS COMO LA DE TECHOS PARA POLIDEPORTIVOS, LA CONSTRUCCIÓN DE CANCHAS MÚLTIPLES, ADECUACIÓN DE TERRENOS PARA LA PRACTICA DEL DEPORTE, SOBREPASANDO LA META PLANEADA PARA EL CUATRIENIO.</t>
  </si>
  <si>
    <t>PARA LA CONSERVACIÓN Y RESCATE DEL PATRIMONIO SE SUSCRIBIERON LOS SIGUIENTES CONVENIOS: MUNICIPIO DE BELTRAN OBRAS DE PRIMEROS AUXILIOS PARA LA IGLESIA DE NUESTRA SEÑORA DE LA CANOA, MUNICIPIO DE LA CALERA ESTUDIOS Y DISEÑOS PARA LA RESTAURACIÓN DE LA CAPILLA MUNICIPAL PRIMERA FASE, CON EL MUNICIPIO DE PACHO LA ELABORACIÓN DE ESTUDIOS TÉCNICOS PARA EL HORNO DE LA FERRERÍA , LA TERMINACIÓN DE PEMP DEL CENTRO HISTÓRICO DEL MUNICIPIO DE GUADUAS Y CON EL MUNICIPIO DE GIRARDOT ELABORACIÓN DEL PEMP DE LA PLAZA DE MERCADO, ESTUDIOS Y DISEÑOS PARA LA RESTAURACIÓN DEL TEMPLO DE TAUSA Y DE LA IGLESIA DEL MUNICIPIO DE EL PEÑÓN, ASÍ MISMO, ESTUDIOS Y DISEÑOS PARA LA RESTAURACIÓN DEL MUSEO ARQUEOLÓGICO DE ZIPAQUIRÁ.</t>
  </si>
  <si>
    <t xml:space="preserve">SE BENEFICIARON A 10.932 PERSONAS ENTRE RECTORES, GERENTES DE HOSPITAL, PRESTADORES DE SERVICIOS TURÍSTICOS (HOTELES, RESTAURANTES, TRANSPORTADORES) REPRESENTANTE DEL COMERCIO, ALCALDE, ICBF, NIÑOS, NIÑAS Y ADOLESCENTES SENSIBILIZADOS EN DERECHOS HUMANOS Y PROTECCIÓN EN ESCNNA,IDENTIFICADOS EN TRABAJADORES EN ESCNNA, ADULTOS Y FAMILIAS EN GIRARDOT, FUSA Y VILLETA EN DOS CORREDORES TURISTICOS (BOGOTÁ- FUSAGASUGÁ-GIRARDOT Y LA MESA) Y (BOGOTÁ- PUERTO SALGAR). </t>
  </si>
  <si>
    <t>INDEPORTES CONFORMÓ UN EQUIPO DE TRABAJO ADMINISTRATIVO Y TÉCNICO IDÓNEO, QUE PROMOVIÓ LA INCLUSIÓN DE LA POBLACIÓN EN EL DESARROLLO DE PROGRAMAS DEL DEPORTE SOCIAL COMUNITARIO, DESARROLLANDO Y EJECUTANDO PROGRAMAS EN LOS MUNICIPIOS CARACTERIZADOS COMO POST-CONFLICTO.</t>
  </si>
  <si>
    <t>SE OBTUVO LA PARTICIPACIÓN DE LA POBLACIÓN VICTIMA DEL CONFLICTO ARMADO EN MÁS DE 40 MUNICIPIOS, LOS CUALES FORTALECIERON SUS COMPETENCIAS EMPRESARIALES A TRAVÉS DE CAPACITACIONES CON EL SENA, ACOMPAÑAMIENTO EN EL DESARROLLO DE LOS PROYECTOS PRODUCTIVOS, ASESORÍA EN LOS PLANES DE NEGOCIOS Y SE INCENTIVÓ EL TRABAJO ASOCIATIVO.</t>
  </si>
  <si>
    <t>SE MEJORÓ LA PRODUCTIVIDAD Y LOS INGRESOS DE LAS FAMILIAS VÍCTIMAS DEL CONFLICTO ARMADO DE CUNDINAMARCA, CON LA FORMALIZACIÓN Y DOTACIÓN (51) CINCUENTA Y UNA UNIDADES PRODUCTIVAS DE MAQUINARIA Y EQUIPO PARA LA PUESTA EN MARCHA DE SUS ACTIVIDADES ECONÓMICAS, POSIBILITANDO LA GENERACIÓN DE TRABAJO Y EMPLEABILIDAD EN LAS ZONAS DEL DEPARTAMENTO CON MAYORES ÍNDICES DE DESPLAZAMIENTO.</t>
  </si>
  <si>
    <t>GENERACIÓN DE INGRESOS A 642 FAMILIAS EN CONDICIÓN DE DESPLAZAMIENTO A TRAVÉS DE IMPLEMENTACIÓN DE PROYECTOS PRODUCTIVOS .</t>
  </si>
  <si>
    <t>GENERACIÓN DE INGRESOS A 181 MUJERES EN CONDICIÓN DE DESPLAZAMIENTO A TRAVES DE IMPLEMENTACION DE PROYECTOS PRODUCTIVOS .</t>
  </si>
  <si>
    <t>SE HAN REALZIADO GESTIONES CON EL ESTUDIO DE PROPUESTAS Y OFERTAS INSTITUCIONALES PARA LA IMPLEMENTACIÓN DE LOS EMPRENDIMIENTOS EN EL 2015.</t>
  </si>
  <si>
    <t>SE LOGRARON PROCESOS DE GESTIÓN Y ARTICULACIÓN TECNICA Y FINANCIERA CON CON EL ICBF REGIONAL CUNDINAMARCA PARA EL ACOMPAÑAMIENTO Y ATENCION DE LAS VICTIMAS CON ENFOQUE DIFERENCIAL ETNICO IDENTIFICADOS COMO COMUNIDAD INDIGENA WOUMAN, PROCEDENTES DEL DEPARTAMENTO DEL CHOCO, QUIENES SE ENCUENTRAN UBICADOS EN EL MUNICIPIO DE LA MESA, VEREDA DOIMA, CON EL FIN DE DESARROLLAR UN PROYECTO PRODUCTIVO QUE GARANTICE MEJORAR LAS CONDICIONES DE VIDA GENERANDO INGRESOS ECONOMICOS EN LAS FAMILIAS INDIGENAS, SIN AFECTAR RECURSOS PROPIOS ASIGNADOS A ESTA META.</t>
  </si>
  <si>
    <t>ENTRE EL 2012 Y EL 2015 SE HAN ENTREGADO 10 PROYECTOS DE CONSTRUCCIÓN, OPTIMIZACIÓN Y/O AMPLIACIÓN DE ACUEDUCTOS Y/O PLANTAS DE TRATAMIENTO DE AGUA POTABLE QUE HAN BENEFICIADO A LOS MUNICIPIOS DE CAPARRAPÍ, FACATATIVÁ, MADRID, PUERTO SALGAR Y SILVANIA. DE IGUAL FORMA SE INSTALARON 9 PLANTAS DE TRATAMIENTO DE AGUA POTABLE EN ESCUELAS RURALES APARTADAS EN EL MARCO DEL PROGRAMA AGUA, VIDA Y SABER EN LOS MUNICIPIOS DE CAPARRAPÍ, LA PALMA, MEDINA, PUERTO SALGAR, TOPAIPÍ, VIOTÁ Y YACOPÍ BENEFICIANDO A UN TOTAL DE 5.717 HABITANTES DEL DEPARTAMENTO, SUPERANDO LA META ESPERADA DE 5.000 HABITANTES.</t>
  </si>
  <si>
    <t xml:space="preserve">SE REALIZARON TALLERES DE FORMACIÓN EN BIOSEGURIDAD, EMPRENDIMIENTO Y TECNICA LABORAL, DIRIGIDO A PERSONAS EN CONDICIÓN DE VÍCTIMAS DEL CONFLICTO ARMADO QUE SOLICITARON AL INSTITUTO ESTA CAPACITACIÓN. SE EFECTUÓ LA SOCIALIZACIÓN DE LA OFERTA INSTITUCIONAL Y CONVOCATORIA PARA DESARROLLO DEL TALLER DE CAPACITACIÓN EN ACCIÓN COMUNAL, PRESENTADA A ALCALDES MUNICIPALES Y A FUNCIONARIOS RELACIONADOS CON EL TEMA DE VÍCTIMAS DEL CONFLICTO EN 19 MUNICIPIOS DEL DEPARTAMENTO. </t>
  </si>
  <si>
    <t xml:space="preserve">SE REALIZARON CAPACITACIONES Y ASISTENCIA A 116 MUNICIPIOS PARA EL CARGUE DE LA INFORMACIÓN EN EL SUI . .SE REALIZO COORDINACIÓN Y SEGUIMIENTO ( OFICIOS, COMUNICACIONES Y OBSERVACIONES) A LOS MUNICIPIOS SUSCEPTIBLES DE DESCERTIFICACIÓN EN EL PERIODO DE GOBIERNO, SE ADMINISTRAN LOS RECURSOS DEL SISTEMA GENERAL DE PARTICIPACION DE LOS MUNICIPIOS DESCERTIFICADOS </t>
  </si>
  <si>
    <t xml:space="preserve">SE AVANZO EN LA RECUPERACIÓN DE 5 ECOSISTEMAS LENTICOS: LAGUNA DE FUQUENE, CON ACTIVIDADES QUE PERMITIERON LA REMOCIÓN DEL MATERIAL VEGETAL Y SEDIMENTOS PARA LA RECUPERACIÓN DEL ESPEJO DE AGUA . ADICIONALMENTE SE APOYARON LOS ECOSISTEMAS LENTICOS DE LA HERRERA, CUCUNUBA,CON ACTIVIDADES DE REMOSION DE VEGETACION ACUATICA Y SE ADELANTARON ACTIVIDADES DE PROTECCION DEL HUMEDAL TIERRA BLANCA EN SOACHA Y REMOSION DE VEGETACION ACUATICA EN LA LAGUNA DE UBAQUE, </t>
  </si>
  <si>
    <t xml:space="preserve">46,925 TONELADAS DE CO2 COMPENSADAS. LA SECRETARIA REALIZO LOS PROCESOS DE SIEMBRA DE ARBOLES PARA DAR CUMPLIMIENTO A LA ESTRATEGIA DE COMPENSACION CON LOS DATOS REGISTRADOS DE LOS MUNICIPIOS QUE HICIERON PARTE DE LA ESTRATEGIA CUNDINAMARCA NEUTRA . ADEMAS REALIZO ESTRATEGIAS SENSIBILIZACION DE COMUNIDADES , DESARROLLO DE ACTIVIDADES DE RECOLECCION D EPOSCONSUMOS CON LA ANDI EN TEMAS COMO LUMINARIAS, PILAS, MEDICAMENTOS VENCIDOS, LLANTAS, RESIDUOS ELECTRONICOS Y EVNVASES DE AGROQUIMOCOS ASI MISMO APROPIARON LOS PROCESOS DE SISTEMA MERCURIO COMO APORTE A LA CULTURA DE CERO PAPEL. </t>
  </si>
  <si>
    <t>SE ADELANTO LA CONSTRUCCION DE UN PROYECTO DE INVESTIGACION CON EL IDEA DE LA UNIVERSIDAD NACIONAL EN EL TEMA DE OBSERVATORIO PARA LA PROVINCIA DE SABANA OCCIDENTE, PROYECTO QUE SE HA SOCIALIZADO CON LA SECRETARIA DE CIENCIA Y TECNOLOGIA, ADICIONALMENTE SE HAN VERIFICADO LAS CONDICIONES INICIALES Y PROMOCIÓN DEL PROYECTO DE INVESTIGACION DE ECOSISTEMAS EN LA PROVINCIA DE BAJO MAGDALENA Y GUALIVA.</t>
  </si>
  <si>
    <t xml:space="preserve">SE BRINDÓ BIENESTAR Y SE MEJORÓ LA CALIDAD DE VIDA A MÁS DE 25.135 HABITANTES DEL ÁREA RURAL DEL DEPARTAMENTO A TRAVÉS DE LA CONSTRUCCIÓN DE 5.027 UNIDADES SANITARIAS ENTRE EL 2012-2015, APORTANDO ASÍ MISMO MEJORAS A LAS CONDICIONES AMBIENTALES EN MATERIA DE AGUAS RESIDUALES DE LAS CUENCAS HIDROGRÁFICAS EN DONDE SE ENCUENTRAN ASENTADOS LOS POBLADORES BENEFICIADOS. </t>
  </si>
  <si>
    <t>SE ENTREGARON LAS PLANTAS DE TRATAMIENTO DE AGUAS RESIDUALES DE LOS MUNICIPIOS DE NOCAIMA, LA VEGA Y LA PEÑA . DOS PLANTAS DE TRATAMIENTO DE AGUAS RESIDUALES CON DISEÑOS APROBADOS POR EL MINISTERIO DE VIVIENDA CIUDAD Y TERRITORIO Y POR LA CAR. CUATRO PLANTAS DE TRATAMIENTO DE AGUAS RESIDUALES EN CONSTRUCCIÓN (GACHANCIPÁ, FUNZA, NEMOCÓN, COGUA Y LA MESA)</t>
  </si>
  <si>
    <t>A LA FECHA, LA EJECUCIÓN DEL PROYECTO DE LA IDENTIFICACIÓN DE SITIOS DE EMBALSE CUYO PROPÓSITO ES FORTALECER LA GESTIÓN INTEGRAL EN EL SISTEMA HÍDRICO DEL DEPARTAMENTO DE CUNDINAMARCA, SE ENCUENTRA EN UN ESTADO DE AVANCE DEL 40%. EL INFORME FINAL DE RESULTADOS DEL PROYECTO SE TIENE PREVISTO PARA FINALES DEL MES DE NOVIEMBRE DE 2015</t>
  </si>
  <si>
    <t>SE SUSCRIBIÓ CONVENIO ENTRE LA CAR, LA GOBERNACIÓN DE CUNDINAMARCA Y EMPRESAS PÚBLICAS DE CUNDINAMARCA S.A ESP PARA LA ELABORACIÓN DE LOS ESTUDIOS Y DISEÑOS DEL EMBALSE DE CALANDAIMA. LA CAR REALIZÓ LA CONTRATACIÓN A COMIENZOS DEL 2015 Y A AGOSTO 31 DE 2015 PRESENTA UN AVANCE DEL 90%. SE ESPERA LA ENTREGA DE LOS ESTUDIOS Y DISEÑOS POR PARTE DEL CONTRATISTA PARA EL MES DE OCTUBRE</t>
  </si>
  <si>
    <t xml:space="preserve">FORTALECIMIENTO DE MINICADENAS: APICOLA :(MANEJO DE APIARIOS, PROCESAMIENTOS DE PRODUCTOS APÍCOLAS (MIEL, POLEN) MONTAJE DE COLMENAS. OVINO –CAPRINO (MEJORAMIENTO GENÉTICO CON ENTREGA DE PIE DE CRÍA). PISCICULTURA (ADQUISICIÓN DE MAQUINARIA ,EQUIPOS E INSUMOS) LEGUMINOSAS ( DOTACIÓN DE MAQUINARIA Y ESTABLECIMIENTO DE ÁREAS (150 HECTÁREAS) CEREALES ( ESTABLECIMIENTO DE 14 HECTÁREAS DE QUINUA) </t>
  </si>
  <si>
    <t xml:space="preserve">ADQUISICIÓN DE MAQUINARIA Y EQUIPOS AGROPECUARIOS Y DE USO AGROINDUSTRIAL ( TRACTORES TERMOKINES, SILOS DE SECADO DE CAFÉ, ELEMENTOS Y EQUIPOS PARA EL PROCESAMIENTO DE CAÑA , PICADORAS DE FORRAJE ENTRE OTROS ) </t>
  </si>
  <si>
    <t>7557 CRÉDITOS AGROPECUARIOS A PEQUEÑOS PRODUCTORES APOYADOS CON AVAL, ICRCUND Y SUBSIDIO A LA TASA ESTIMULANDO EL DESARROLLO ECONÓMICO.</t>
  </si>
  <si>
    <t xml:space="preserve">APOYO A LOS PROGRAMAS DE COMERCIALIZACIÓN Y MERCADEO DE PRODUCTOS EN LOS 116 MUNICIPIOS DEL DEPARTAMENTO (APOYO A EVENTOS AGROPECUARIOS , PARTICIPACIÓN EN FERIAS NACIONALES, DOTACIÓN DE CANASTILLAS, CARPAS, EMPAQUES, EXPEDICIÓN DE REGISTROS INVIMA ENTRE OTROS) </t>
  </si>
  <si>
    <t xml:space="preserve">346 EMPRESAS AGROPECUARIAS APOYADAS CON DOTACIÓN DE MAQUINARIA Y EQUIPOS , CAPACITACIÓN , LEGALIZACIÓN TRIBUTARIA , EXPEDICIÓN DE REGISTROS INVIMA </t>
  </si>
  <si>
    <t>ESTADÍSTICAS AGROPECUARIAS IMPRESAS DE LAS VIGENCIAS 2011-2012-2013-2014 COMO HERRAMIENTA DE PLANIFICACIÓN PARA LOS 116 MUNICIPIOS DE DEPARTAMENTO.</t>
  </si>
  <si>
    <t xml:space="preserve">IMPLEMENTACIÓN DE 3 INSTRUMENTOS DE PLANIFICACIÓN QUE PERMITE UN MEJOR Y ADECUADO MANEJO DE PROGRAMAS DE FERTILIZACIÓN , PLANIFICACIÓN QUE PERMITEN MEJORAR LOS ÍNDICES DE PRODUCCIÓN. </t>
  </si>
  <si>
    <t>COBERTURA A LAS 116 UMATAS CON LA DOTACIÓN DE MOTOCICLETAS COMO APOYO A MEJORAR LA PRESTACIÓN DEL SERVICIO DE ASISTENCIA TÉCNICA LOCAL IGUALMENTE SE DOTARON DE EQUIPOS AGROPECUARIOS</t>
  </si>
  <si>
    <t>ESTABLECIMIENTO DE 231 MODELOS PRODUCTIVOS EN LAS CADENAS DE CAÑA PANELERA Y FRUTALES A TRAVÉS DE LA METODOLOGÍA DE ESCUELAS DE CAMPO (ECAS)</t>
  </si>
  <si>
    <t>LA SECRETARIA HA INCORPORADO A LAS 116 UMATAS/EPSAGROS A PROGRAMAS DE INNOVACIÓN ,CIENCIA Y TECNOLOGÍA( A TRAVÉS DE LAS CONVOCATORIAS)</t>
  </si>
  <si>
    <t>UN SISTEMA DE INFORMACIÓN AL SERVICIO DE LAS 116 UMATAS, ASOCIACIONES DEL SECTOR AGROPECUARIO Y7O ENTIDAD QUE LO REQUIERA 373</t>
  </si>
  <si>
    <t xml:space="preserve">ARTICULACIÓN DE LOS PROGRAMAS MUNICIPALES CON LOS DEPARTAMENTALES A TRAVÉS DE LOS PLANES OPERATIVOS ANUALES </t>
  </si>
  <si>
    <t xml:space="preserve">APOYO A 90 PROYECTOS PRODUCTIVOS DE FAMILIAS BENEFICIADAS EN LA CONVOCATORIA DE TIERRAS </t>
  </si>
  <si>
    <t xml:space="preserve">APOYO EN LA FORMALIZACIÓN DE 743 PREDIOS RURALES (LEVANTAMIENTOS TOPOGRÁFICOS, ESTUDIOS DE TÍTULOS ETC.) </t>
  </si>
  <si>
    <t>4.569 HECTÁREAS ADECUADAS, CON EL APOYO DE ESTUDIOS Y DISEÑOS, REHABILITACIÓN Y CONSTRUCCIÓN DE DISTRITOS DE RIEGO.</t>
  </si>
  <si>
    <t xml:space="preserve">FORTALECIMIENTO EMPRESARIAL DE 20 ASOCIACIONES AGROPRODUCTIVAS DE MUJERES RURALES CON CAPACITACIÓN , TALLERES , ENTREGA DE INSUMOS PARA UN TOTAL DE 433 MUJERES </t>
  </si>
  <si>
    <t xml:space="preserve">4291 FAMILIAS CON PROYECTO DE SEGURIDAD ALIMENTARIA PARA LA GENERACIÓN DE ALIMENTOS DE AUTOCONSUMO </t>
  </si>
  <si>
    <t xml:space="preserve">IMPLEMENTACIÓN DE 12 GRANJAS COMO ESTRATEGIA PARA LA PRODUCCIÓN DE ALIMENTOS Y UTILIZACIÓN DE LOS MISMOS EN LA CANASTA FAMILIAR </t>
  </si>
  <si>
    <t xml:space="preserve">APOYO A 35 ALIANZAS APROBADAS MEDIANTE CONVOCATORIAS PUBLICAS </t>
  </si>
  <si>
    <t xml:space="preserve">SE FORTALECIÓ LOS PROGRAMAS DE EXTENSIÓN RURAL, CON LA GESTIÓN DE RECURSOS ANTE EL MADR LO QUE PERMITIÓ AMPLIAR COBERTURA, MEJORAR EL SERVICIO DE ASISTENCIA TÉCNICA EN 116 MUNICIPIOS DEL DEPARTAMENTO , DOTACIÓN DE MAQUINARIA Y EQUIPOS , ESTABLECIMIENTO DE LA RED DE ASISTENTES TÉCNICOS DE CUNDINAMARCA CON CORPOICA , DESDE LA PLATAFORMA LINKATA </t>
  </si>
  <si>
    <t xml:space="preserve">ANUALMENTE EL DEPARTAMENTO Y LOS MUNICIPIOS ACCEDEN A LAS CONVOCATORIAS PÚBLICAS. SE REALIZA LA PROMOCIÓN , SOCIALIZACIÓN Y DILIGENCIAMIENTO DE DOCUMENTACIÓN PARA LA PRESENTACIÓN A CONVOCATORIAS PUBLICAS </t>
  </si>
  <si>
    <t xml:space="preserve">LA SECRETARIA HACE PARTE ACTIVA DEL CONSEA Y ANUALMENTE RINDE INFORMES DE AVANCES DE LOS PROGRAMAS , PROYECTOS LIDERADOS POR LA MISMA </t>
  </si>
  <si>
    <t>PROYECTOS DE MEJORAMIENTO DE PRADERAS, MEJORAMIENTO GENÉTICO , IMPLEMENTACIÓN DE SISTEMAS SILVOPASTORILES, COMO TECNOLOGÍAS QUE PERMITAN LA MITIGACIÓN DE LOS EFECTOS NEGATIVOS DEL CAMBIO CLIMÁTICO DE ACUERDO A LOS PLANES OPERATIVOS ANUALES DE LAS 116 EPSAS IMPLEMENTADOS Y OPERANDO.</t>
  </si>
  <si>
    <t xml:space="preserve">COORDINACIÓN CON LOS MUNICIPIOS LA PLANIFICACIÓN DEL SECTOR AGROPECUARIO EN EL MARCO DEL PLAN OPERATIVO ANUAL DE TRANSFERENCIA DE TECNOLOGÍA Y ASISTENCIA TÉCNICA A TRAVÉS DE LOS CMDR </t>
  </si>
  <si>
    <t>2 ASOCIACIONES DE RECICLADORES FORTALECIDAS. MEDIANTE CONVENIOS 035 Y 036 DE 2013 SE APOYAN LAS ASOCIACIONES DE RECICLADORES EN LOS MUNICIPIOS DE CAJICA Y SUBACHOQUE PARA ADQUISICION DE LOS SUMINISTROS CONTEMPLADOS EN LOS CONVENIOS</t>
  </si>
  <si>
    <t xml:space="preserve">IMPLEMENTACIÓN DE 532 RESERVORIOS DE AGUA , PARA MITIGAR LOS EFECTOS EXTREMOS DE LA VARIABILIDAD CLIMÁTICAS, COMO ESTRATEGIA DE RECOLECCIÓN Y ALMACENAMIENTO DEL MISMO SIRVE PARA SOSTENIMIENTO EN ÉPOCAS DE SEQUÍA (FAMILIAR Y PRODUCTIVO ) Y PARA CONTROL DE ESCORRENTÍA EN ÉPOCA DE INVIERNO , SUMINISTRO DE 283 TANQUES DE ALMACENAMIENTO DE AGUA DE CAPACIDAD DE 1.000 LITROS, ENTREGA DE ALIMENTOS PARA BOVINOS AFECTADOS POR CAMBIOS CLIMÁTICOS </t>
  </si>
  <si>
    <t>CON LA ESTRUCTURACION DE LAS REDE EMPRESARIALES DE LOS SECTORES LACTEO, TEXTILES Y CUEROS SE FACILITAN LAS CONDICIONES PARA UNA MEJOR INSERCION EN LOS MERCADOS REGIONAL, NACIONAL E INTERNACIONAL POR PARTE DE LOS PRODUCTORES CUNDINAMARQUESES. 
EN EL SECTOR LÁCTEO SE OBTUVO UN ESPACIO DE PARTICIPACIÓN EN EL MINISTERIO DE AGRICULTURA, EL CONSEJO NACIONAL LÁCTEO (CNL) Y EL DEPARTAMENTO EN EL COMITÉ LÁCTEO (CL), PARA NEGOCIAR MEJORES CONDICIONES DE PRECIOS PARA LOS PEQUEÑOS PRODUCTORES DE LECHE Y DERIVADOS; SECTOR TEXTIL SE ESTÁ INCURSIONANDO PARA SER PARTE DEL CLUSTER QUE LIDERA LA CAMARA DE COMERCIO DE BOGOTÁ Y LA ALCALDÍA DE BOGOTÁ Y EN EL SECTOR DE CUEROS SE APOYO LA CREACION DE LA ORGANIZACIÓN FENALCUEROS LA CUAL FUE BENEFICIARIA DE UNA MISION COMERCIAL A LEON GUANAJUATO (MEXICO) PARA INTERCAMBIAR EXPERIENCIAS SECTORIALES. PARA MEJORAR LA COMPETITIVIDAD DEL SECTOR CUEROS SE ENCUENTRA EN DESARROLLO UNA ALIANZA ESTRATEGICA PARA LA CONSTRUCCION DEL PARQUE AGROINDUSTRIAL ECOEFICIENTE.</t>
  </si>
  <si>
    <t>SE HAN LOGRADO MAYORES NIVELES DE PRODUCTIVIDAD DE LOS ARTESANOS CUNDINAMARQUESES A TRAVÉS DE ALIANZAS ESTRATÉGICAS CON ORGANIZACIONES COMO ARTECOL QUE HAN PERMIDTIDO MEJORAR LA CALIDAD DE LA PRODUCCION, MEDIANTE LA IMPLEMENTACION DE UN LABORAOTIO DE DISEÑO, UBICADO EN EL MUNICIPIO DE SOPO.</t>
  </si>
  <si>
    <t>CON EL DESARROLLO DE LA ESTRATEGIA DE FORMACION DE COMPETENCIAS, EN LA POBLACION ECONOMICAMENTE ACTIVA, SE INCREMENTAN LOS NIVELES DE PRODUCTIVIDAD LABORAL Y EMPRESARIAL. CON LA GESTION DE ESTA META SE HA LOGRADO MEJORAR LAS CAPACIDADES, HABILIDADES Y DESTREZAS PARA EL TRABAJO DEL CAPITAL HUMANO DE ASOCIACIONES Y UNIDADES PRODUCTIVAS A TRAVÉS DEL FOMENTO DE LA CULTURA ASOCIATIVA, FORTALECIENTO LA GESTIÓN FINANCIERA DE LAS UNIDADES PRODUCTIVAS Y OPTIMIZANDO LA PRODUCCIÓN E INCREMENTANDO SUS UTILIDADES, ASÍ MISMO SE HA CONTRIBUIDO EN LA GENERACIÓN DE LA CULTURA EXPORTADORA EN EL DEPARTAMENTO.</t>
  </si>
  <si>
    <t>EL CONOCIMIENTO DE LOS CONTENIDOS Y ALCANCES DE LOS ACUERDOS COMERCIALES SUSCRITOS POR EL PAÍS LE HAN PERMITIDO A LOS PRODUCTORES CUNDINAMARQUESES, ESTABLECER LAS OPORTUNIDADES Y AMENAZAS FRENTE A LA COMPETENCIA INTERNACIONAL Y DEFINIR ESTRATEGIAS DE MEJORAMIENTO DE LA PRODUCTIVIDAD. EN TAL SENTIDO SE LLEVARON A CABO JORNADAS DE SENSIBILIZACION EN LAS DISTINTAS PROVINCIAS DEL DEPARTAMENTO ACERCA DE LAS VENTAJAS Y OPORTUNIDADES DE LOS TRATADOS DE LIBRE COMERCIO BUSCANDO CON ESTO MOTIVAR AL EMPRESARIO A INCURSIONAR EN LOS MERCADOS GLOBALES.</t>
  </si>
  <si>
    <t>SE GENERARON ESPACIOS DE ACERCAMIENTO ENTRE LAS AUTORIDADES MINERAS Y EL TRABAJADOR MINERO, BRINDANDO CONOCIMIENTO DE PRIMERA MANO, PROVENIENTE DE LAS INQUIETUDES DEL MINERO. SE BRINDÓ CAPACITACIÓN EN LAS UBAM Y SE POSICIONÓ CADA UBAM COMO CENTRO DE RECEPCION Y AYUDA PARA LA POBLACIÓN MINERA.</t>
  </si>
  <si>
    <t>SE PROPORCIONÓ CAPACITACIÓN A LOS MINEROS TECNICOS Y TECNOLOGOS E INTERESADOS EN GENERAL, EN LEGISLACION MINERA, PRODUCCION DE ELEMENTOS CERAMICOS,SEGURIDAD E HIQUIENE INDUSTRIAL, EMPRENDIMIENTO EMPRESARIAL SALUD OCUPACIONAL, TRIBUTOS, MANEJO DE EQUIPOS. ETC. HACIENDO DE LA POBLACIÓN MINERA DEL DEPARTAMENTO DE CUNDINAMARCA, UN GRUPO DE PERSONAS CON MÁS Y MEJORES CONOCIMIENTOS EN LOS TEMAS DE MINERIA.</t>
  </si>
  <si>
    <t xml:space="preserve">EN EL MARCO DEL 1 DE AGOSTO COMO CONMEMORACION DEL DIA DEL MINERO, SE DESARROLLO, LA JORNADA LÚDICA DE OLIMPIADAS MINERAS. Y SE GENERÓ EL RECONOCIMIENTO DE LA SECRETARÍA DE MINAS Y ENERGÍA COMO ORGANIZMO ARTICULADOR DE LA POLÍTICA MINERA ANTE ENTIDADES PÚBLICAS Y PRIVADAS. </t>
  </si>
  <si>
    <t xml:space="preserve"> A TRAVES DE LA CREACION, CONFORMACION Y CAPACITACION DE REDES DE JOVENES NACE EL PROCESO DE CAMBIO MULTIPLICADOR CULTURAL EN LAS COSTUMBRES DE EXPLORACION Y EXPLOTACION DE LA MINERIA EN CUNDINAMARCA, </t>
  </si>
  <si>
    <t xml:space="preserve">CON LOS PROYECTOS DE GAS DOMICILIAIRO POR REDES SE GARANTIZÓ EL ACCESO AL SERVICIO DEL 100% DE LOS USUARIOS DEL CASCO URBANO DE LOS MUNICIPIOS DEL DEPARTAMENTO, HECHO QUE SE VE REFLEJADO EN LA DISMINUCIÓN DEL COSTO MENSUAL DEL COMBUSTIBLE EN UN 30% . SE REDUCE EL USO DE MATERIALES </t>
  </si>
  <si>
    <t xml:space="preserve">LOS PROYECTOS DE ELECTRIFICACIÓN BENEFICIARON A LAS FAMILIAS RURALES DE LOS MUNICIPIOS MÁS POBRES Y APARTADOS DEL DEPARTAMENTO, MEJORANDO LA CALIDAD Y CONDICIONES DE VIDA, YA QUE PUEDEN TENER ACCESO A LA INFORMACIÓN (RADIO, TELEVISIÓN), PRESERVAR SUS ALIMENTOS PARA EL CONSUMO O COMERCIALIZACION DE LOS MISMOS Y SE HA GARANTIZADO LA COMUNICACIÓN CONSTANTE CON LA RECARGA DE SUS CELULARES. </t>
  </si>
  <si>
    <t>SE HAN LOGRADO IMPORTANTES AVANCES PARA ÉSTA META, APORTANDO EN LA INTERVENCIÓN DE 84.696 METROS CUADRADOS EN VIAS MUY AFECTADAS POR LA PASADA OLA INVERNAL Y QUE REQUIERÍAN DE CINTAS EN CONCRETO, PARA MEJORAR LA MOVILIDAD Y TRANSITABILIDAD DE LOS HABITANTES DE VEREDAS ALEJADAS DE LOS CENTROS URBANOS, MEJORANDO LA CALIDAD DE VIDA DE TODOS LOS HABITANTES Y VISITANTES DE LAS ZONAS DE INFLUENCIA DE LAS OBRAS REALIZADAS.</t>
  </si>
  <si>
    <t xml:space="preserve">EL AVANCE FÍSICO PRESENTADO EN LOS MUNICIPIOS DONDE SE REQUIRIERON OBRAS PARA MEJORAR LA INFRAESTRUCTURA VIAL URBANA, LOGRARON LLEGAR A UNA INTERVENCIÓN DE 133.376 METROS CUADRADOS CON LABORES DE PAVIMENTACIÓN Y ADECUACIÓN VÍAL DENTRO DE LAS ZONAS DE INFLUENCIA DE LOS MUNICIPIOS. </t>
  </si>
  <si>
    <t>PARA LA FECHA SE HAN ENTREGADO 224 EQUIPOS PARA 111 MUNICIPIOS, REFORZANDO LA INFRAESTRUCTURA EN MAQUINARIA Y GESTIONADA EN CADA MUNICIPIO PARA MEJORAR, Y MANTENER LAS VIAS DEPARTAMENTALES QUE ESTÁN A CARGO DE LOS ENTES MUNICIPALES, LOGRANDO DESPERTAR UNA CONCIENCIA DE AUTOGESTIÓN Y AUTOCUIDADO PARA LOS HABITANTES DEL AREA DE INFLUENCIA DE LAS OBRAS REALIZADAS.</t>
  </si>
  <si>
    <t>CONTAR CON DOS PLANES ESTRATEGICOS DE CTEI PERMITE DINAMIZAR EL SISTEMA DEPARTAMENTAL DE CTEI A PARTIR DE LINEAMIENTOS CLAROS Y RELACIONADOS CON LA REALIDAD DEL TERRITORIO. A PARTIR DEL PRIMER PLAN DEPARTAMENTAL SE HA LOGRADO LA TERRITORALIZACION DE PROGRAMAS Y PROYETOS DE CTEI ASI COMO LA ARTICULACION DE ACTORES Y LA GENERACIÓN DE ALIANZAS ESTRATEGICOS EN LA FORMULACION Y EJECUCION DE LOS MISMOS. EL PLAN ESTRATÉGICO ESPECÍFICO PARA LOS CONSEJOS REGIONALES DE CTEI PERMITE A LAS COMUNIDADES Y ACTORES ACADEMICOS Y EMPRESARIALES PRESENTES EN EL TERRITORIO INCIDIR EN LA TOMA DE DECISIONES DE LA ADMINISTRACION DEPARTAMENTAL PARA LA PROMOCION Y DESARROLLO DE INICIATIVAS LOCALES EN MATERIA DE CTEI.</t>
  </si>
  <si>
    <t>LAS CONVOCATORIAS DE INVESTIGACION APLICADAS, INSTITUCIONALIZADAS BAJO EL NOMBRE DE CUNDINAMARCA INVESTIGA, HAN PERMITIDO A LOS ACTORES LOCALES DEL DEPARTAMENTO (GRUPOS DE INVESTIGACION COMUNALES, GRUPOS DE ESTUDIANTES, PEQUEÑAS EMPRESAS, ENTRE OTROS) MATERIALIZAR SUS INICIATIVAS DE INVESTIGACION A PARTIR DE LA FINANCIACIÓN Y ACOMPAÑAMIENTO EN EL DESARROLLO DE SUS PROYECTOS. A LA FECHA SE HAN BENEFICIADO XX GRUPOS DE INVESTIGACION Y SE CUENTA CON UN RECONOCIMIENTO IMPORTANTE A NIEVEL LOCAL DE ESTE PROGRAMA.</t>
  </si>
  <si>
    <t>LA CREACION DE UN OBSERVATORIO DEPARTAMENTAL DE CTEI PERMITE A CUNDINAMARCA SER LA PRIMERA ENTIDAD TERRITORIAL CAPAZ DE GENERAR MEDICIONES APROPIADAS E INDICADORES EN MATERIA DE CTEI COHERENTES CON LA REALIDAD TERRITORIAL.</t>
  </si>
  <si>
    <t>A FINALES DEL 2012 LA SECRETARÍA FUE CERTIFICADA POR EL ICONTEC EN TRES DE LOS CUATRO PROCESOS SOLICITADOS POR EL MEN: GESTIÓN DE LA COBERTURA, GESTIÓN DEL TALENTO HUMANO Y ATENCIÓN AL CIUDADANO (DEPENDENCIA NUEVA EN LA SECRETARÍA CON LA QUE SE IMPLEMENTÓ EL SISTEMA DE ATENCIÓN AL CIUDADANO-SAC). EN EL 2013 SE CERTIFICÓ EL PROCESO DE GESTIÓN DE LA CALIDAD EDUCATIVA. EN ABRIL DE 2015 SE CERTIFICÓ, IGUALMENTE, POR EL ICONTEC LA SOSTENIBILIDAD DE LA CERTIFICACIÓN PARA LOS 4 PROCESOS.
DE IGUAL MANERA LA SECRETARÍA SE ENCUENTRA ARTICULADA CON EL SIGC DE LA GOBERNACIÓN DE CUNDINAMARCA A PARTIR DEL 2014.</t>
  </si>
  <si>
    <t>LA SECRETARÍA DE HACIENDA CON LA EJECUCIÓN DE LOS RECURSOS DE INVERSIÓN EN LOS PROGRAMAS MODERNIZACIÓN DE LA GESTIÓN Y TIC, QUE CORRESPONDE A LA META 540 Y 576, HA PERMITIDO FORTALECER LA FISCALIZACIÓN Y EL MEJORAMIENTO TECNOLÓGICO PARA EL COBRO DE LOS IMPUESTOS DEL DEPARTAMENTO, LO QUE HA TENIDO COMO CONSECUENCIA, EL CRECIMIENTO SOSTENIBLE PROMEDIO DEL 5% DE LOS INGRESOS TRIBUTARIOS DURANTE LAS VIGENCIAS 2012, 2013, 2014 Y LO QUE VA DEL 2015, EL CUMPLIMIENTO OPORTUNO DE LA DEUDA, FORTALECER EL CONTROL A LA EVASIÓN, ELUCIÓN, OMISIÓN Y LA MODERNIZACIÓN DE LOS PROCESOS ASOCIADOS CON EL RECAUDO DE IMPUESTOS. BRC STANDARD AND POORS OTORGÓ LA CALIFICACIÓN DE AA+ A LA CAPACIDAD DE PAGO DEL DEPARTAMENTO, EL DEPARTAMENTO SE DESTACA EN SU DESEMPEÑO FINANCIERO SUPERIOR AL DE SUS PARES CON POSIBILIDADES DE MEJORAR LA CALIFICACIÓN.</t>
  </si>
  <si>
    <t>SE BRINDO APOYO TÉCNICO EN ORDENAMIENTO TERRITORIAL EN LOS MUNICIPIOS DE SAN JUAN DE RIOSECO Y VIANÍ, SE ELABORARON LOS TERMINOS DE REFERENCIA Y SE PARTICIPÓ EN EL PROCESO DE SELECCIÓN DEL CONSULTOR. SE TRABAJO EN LOS TRES COMPONENTES : FORTALECIMIENTO INSTITUCIONAL DEL SECTOR AMBIENTAL, ORDENAMIENTO AMBIENTAL DEL TERRITORIO, INSTRUMENTOS ECONÓMICOS PARA LA CONSERVACIÓN DE LA BIODIVERSIDAD Y LOS SERVICIOS ECOSISTÉMICOS, LOS CUALES SE DESARROLLARON CON EL APOYO DE GTZ , LAS ADMINISTRACIONES MUNICIPALES Y LA COMUNIDAD. EL MUNICIPIO DE MOSQUERA DENTRO DEL PLAN PADRINO BRINDÓ LINEAMIENTOS OPERATIVOS Y TÉCNICOS A LOS BANCO DE PROYECTOS DE LOS MUNICIPIOS DE SAN JUAN DE RIOSECO Y SUBACHOQUE.</t>
  </si>
  <si>
    <t>FORTALECIMIENTO A LOS PROCESOS DE GOBERNANZA EN LOS 116 MUNICIPIOS DE CUNDINAMARCA, A PARTIR DEL ACOMPAÑAMIENTO A LOS CONSEJOS MUNICIPALES DE POLÍTICA SOCIAL (COMPOS), CONFORMACIÓN Y ACOMPAÑAMIENTO A CONSEJOS CONSULTIVOS DE MUJERES, ACOMPAÑAMIENTO EN LA CONFORMACIÓN DE LAS PLATAFORMAS DE JUVENTUD, DISEÑO, ESTRUCTURACIÓN E IMPLEMENTACIÓN EN 2015 DE LAS ESCUELAS DE LIDERAZGO DE MUJER Y JUVENTUD, COMO ESPACIO PARA LA FORMACIÓN EN POLÍTICAS PÚBLICAS Y CONSTRUCCIÓN DE PAZ, CONSTRUCCIÓN DE MURALES DE PAZ (PROGRAMA JÓVENES CONSTRUCTORES DE PAZ) Y PUESTA EN FUNCIONAMIENTO DEL PRIMER APP VIRTUAL PARA EL FORTALECIMIENTO DE LOS CONSEJOS MUNICIPALES DE POLÍTICA SOCIAL. IGUALMENTE SE PRIORIZÓ LA ASISTENCIA TÉCNICA EN 40 MUNICIPIOS QUE PRESENTABAN NIVELES MEDIO-BAJO EN IMPLEMENTACIÓN DE ACCIONES DEL COMPOS.</t>
  </si>
  <si>
    <t>SE ENTREGARON 74 MUNICIPIOS Y CENTROS POBLADOS MÁS AMABLES CON EMBELLECIMIENTO DEL ENTORNO, LOGRANDO CON EL IMPULSO DE ACCIONES PARTICIPATIVAS DE LA COMUNIDAD, GENERAR VALORES COMO EL RESPETO, LA TOLERANCIA, EL TRABAJO EN EQUIPO, LA CONVIVENCIA Y LA SOLIDARIDAD. A TRAVÉS DEL COMPONENTE SOCIAL DEL PROYECTO, SE LOGRÓ LA RECONSTRUCCIÓN DEL TEJIDO SOCIAL, PROMOVIENDO UNA PARTICIPACIÓN CIUDADANA Y COMUNITARIA, LOGRANDO LA CONVIVENCIA, INTEGRACIÓN, ARMONÍA Y MEJORAMIENTO DE LA CALIDAD DE VIDA.</t>
  </si>
  <si>
    <t>A LA FECHA EL INSTITUTO HA APOYADO LA REALIZACIÓN DE 46 EVENTOS CULTURALES DE PROMOCIÓN, INTERCAMBIO Y PARTICIPACIÓN ARTÍSTICA Y CULTURAL, QUE HAN PROPENDIDO POR EL RESCATE DE LAS TRADICIONES PATRIMONIALES DEL DEPARTAMENTO.</t>
  </si>
  <si>
    <t>LA PLATAFORMA TECNOLÓGICA CON QUE HOY CUENTA LA SECRETARÍA DE HACIENDA HA PERMITIDO FORTALECER LA FISCALIZACIÓN PARA EL COBRO DE LOS IMPUESTOS DEL DEPARTAMENTO SON : QX – IMPUESTOS PLUS, UN SOFTWARE ARRENDADO (QUE INCLUYE SOPORTE Y MANTENIMIENTO), GEVIR ES PROPIO, PARA EL SOPORTE Y MANTENIMIENTO SE PACTA UNA BOLSA DE HORAS, HERRAMIENTAS SAS (PARA DEPURACIÓN Y CALIDAD DE LOS DATOS) ES DE TIPO REPOSITORIO UNIFICADO DE INFORMACIÓN (INICIALMENTE OPERA PARA VEHÍCULOS), LA LICENCIA TIENE RENOVACIÓN ANUAL, SERVICIOS INFORMÁTICOS DATA CENTER PRINCIPAL Y ALTERNO (REDES DE COMUNICACIÓN, SOPORTE Y MANTENIMIENTO MICRO INFORMÁTICO, SOPORTE BASIS SAP, BACK- UP (LOS SERVIDORES SON PROPIOS LOS ESPACIOS Y OTROS SERVICIOS SON RENTADOS). NUEVOS DESARROLLOS, SON APLICATIVOS PARA COBRO COACTIVO DE VEHÍCULOS, PENSIONES, EMPLEADOS, REGISTRO, ENTRE OTROS. PARA QUE LA SECRETARIA DE HACIENDA PUEDA DESARROLLAR SUS PROCESOS, ES INDISPENSABLE MANTENER, ACTUALIZAR Y DESARROLLAR O CONTRATAR NUEVOS APLICATIVOS TECNOLÓGICOS. POR CONSIGUIENTE SE ESTIMA QUE LA PROYECCIÓN PARA EL AÑO 2016 EN RELACIÓN CON LA META ESPERADA ES DEL 9%.</t>
  </si>
  <si>
    <t>EN PROCESO LA ELABORACIÓN DE LOS ESTUDIOS QUE PERMITAN LA REUBICACIÓN PARCIAL DE VIVIENDAS Y EQUIPAMIENTOS AFECTADOS POR LA ANTERIOR OLA INVERNAL</t>
  </si>
  <si>
    <t>LA INTERVENCIÓN DE LOS ANDENES QUE MEJORARÍAN LA MOVILIDAD Y AUMENTARIAN LOS NIVELES DE SEGURIDAD EN SUS DESPLAZAMIENTOS DE LOS PEATONES, SE HAN REALIZADO EN LOS MUNICIPIOS DONDE LOS RESPECTIVOS PROYECTOS HAN SIDO APROBADOS POR EL BANCO DE PROYECTOS DEPARTAMENTAL. VALE RECORDAR QUE EL ICCU RECIBIÓ ESTA NUEVA META A INICIOS DE LA PRESENTE VIGENCIA, POR LO QUE LA META SOLO SE PUEDE REPRESENTAR EN 1500 METROS INTERVENIDOS HASTA EL MOMENTO.</t>
  </si>
  <si>
    <t xml:space="preserve">EN EL 2013 SE SUSCRIBIÓ UN CONTRATO DE PRESTACIÓN DE SERVICIOS, CON LA UNIVERSIDAD PEDAGÓGICA NACIONAL CON EL PROPÓSITO DE ORIENTAR UN PROCESO FORMATIVO, DE ACOMPAÑAMIENTO Y ASESORÍA A LAS (9) ESCUELAS NORMALES OFICIALES DE LOS MUNICIPIOS NO CERTIFICADOS DE CUNDINAMARCA, CON EL OBJETO DE PROMOVER LA REFLEXIÓN-ACCIÓN SOBRE LAS RELACIONES ENTRE JUSTICIA SOCIAL Y DERECHO A LA EDUCACIÓN A PARTIR DE LA COTIDIANIDAD DE CADA INSTITUCIÓN.
ESTE PROCESO CONTRIBUYE AL CUMPLIMIENTO DE LA META PROPUESTA EN EL CUATRIENIO “% DE INSTITUCIONES EDUCATIVAS ACOMPAÑADAS EN PROCESOS DE REVISIÓN Y REELABORACIÓN DEL PROYECTO EDUCATIVO INSTITUCIONAL – PEI.” SE DESARROLLARAN ESTRATEGIAS COMO: DEBATES CRÍTICOS, TALLERES, ANÁLISIS DE SITUACIONES EDUCATIVAS COTIDIANAS Y DE VIDEOS, CONVERSATORIOS, ENCUESTAS, DESARROLLO DE GUÍAS, GRUPOS DE TRABAJO COLABORATIVO. SE FORMARON 18 DOCENTES, QUE A SU VEZ TRANSMITEN LOS APRENDIZAJES A TODOS LOS DOCENTES Y ESTUDIANTES DE LA EDUCACIÓN COMPLEMENTARIA. EL VALOR TOTAL DEL CONTRATO INTERADMINISTRATIVO ES DE SESENTA MILLONES QUINIENTOS MIL PESOS MCTE ($60.500.000)
EN EL 2014 LAS ESCUELAS NORMALES SUPERIORES TRABAJARON CON LA COMUNIDAD EDUCATIVA LOS PROYECTOS QUE FORMULARON, EN FORMA AUTÓNOMA.
PARA EL 2015 SE SUSCRIBIÓ UN NUEVO CONTRATO INTERADMINISTRATIVO CON LA UNIVERSIDAD PEDAGÓGICA NACIONAL CON EL OBJETO DE: “FORTALECER LA FORMACIÓN DE MAESTROS Y MAESTRAS DE LAS ESCUELAS NORMALES DE CUNDINAMARCA ACERCA DE LA EDUCACIÓN CON JUSTICIA SOCIAL Y LA CONFIGURACIÓN DE SUJETOS DE DERECHOS A PARTIR DE DESARROLLO DE PROYECTOS PEDAGÓGICOS- INVESTIGATIVOS EN CADA INSTITUCIÓN, SUSTENTADOS EN LA REFLEXIÓN –ACCIÓN –TRANSFORMACIÓN.”. LOS BENEFICIARIOS DE LA FORMACIÓN SON 18 DOCENTES DE LAS 9 ESCUELAS NORMALES DEL DEPARTAMENTO, QUIENES HAN VENIDO SIENDO FORMADOS DESDE EL AÑO 2013, Y QUE FORMULARON PROYECTOS ENFOCADOS AL TEMA DE JUSTICIA SOCIAL, DOCENTES, DIRECTIVOS DOCENTES Y ESTUDIANTES QUE HACEN PARTE DE LA RED DE INVESTIGADORES EN EDUCACIÓN PARA LA JUSTICIA SOCIAL. SE REALIZARON CONVERSATORIOS MUNICIPALES PARA APORTAR AL DESARROLLO Y AL MEJORAMIENTO DE LA CONVIVENCIA A TRAVES DEL FOMENTO DE UNA CULTURA DEL DIALOGO, LA INTEGRACION DE LA FAMILIA EN LA ESCUELA, LA PARTICIPACION DE LOS GOBIERNOS ESCOLARES, EL APRECIO A LA INSTITUCION Y LOS PROFESORES.
FORTALECIMIENTO DE LOS PROCESOS PARA LA SANA CONVIVENCIA ESCOLAR CON ENFOQUE DERECHOS INCLUSION </t>
  </si>
  <si>
    <t xml:space="preserve">EN EL 2012 SE BENEFICIARON 2923 JÓVENES, EN EL 2013 SE BENEFICIARON 2609, EN EL 2014 SE BENEFICIARON 2825 Y EN EL 2015 SE BENEFICIARON 105 JOVENES. SE CUMPLIÓ LA META DE 55 INSTITUCIONES EDUCATIVAS DE MUNICIPIOS NO CERTIFICADOS Y SE REALIZARON 2 MÁS, EN TOTAL SE ARTICULARON DURANTE EL CUATRIENIO 57 INSTITUCIONES. EN EL 2012 49 IED ARTICULADAS, EN EL 2014 54 IED Y EN EL 2015 57 IED. </t>
  </si>
  <si>
    <t xml:space="preserve">FORMACIÓN DE DOCENTES CON PEARSON EDUCACIÓN DE COLOMBIA: EN EL AÑO 2013: 210 DOCENTES CERTIFICADOS EN NIVEL A1-A2; 214 CERTIFICACIONES EN FUNDAMENTOS DE METODOLOGÍA; 8 MUNICIPIOS FOCALIZADOS; 7 PROVINCIAS BENEFICIADAS; ALCANCE APROXIMADO DE 59 MUNICIPIOS. EN EL 2014: 331 DOCENTES CERTIFICADOS EN NIVEL A1-A2; 91 DOCENTES CERTIFICADOS EN NIVEL B1-B1+; 427 CERTIFICACIONES EN FUNDAMENTOS DE METODOLOGÍA; 12 MUNICIPIOS FOCALIZADOS; 12 PROVINCIAS BENEFICIADAS; ALCANCE APROXIMADO DE 96 MUNICIPIOS. 2014 - 2015: 682 DOCENTES A CERTIFICAR EN NIVEL A1-A2; 682 CERTIFICACIONES PARA ENTREGAR EN FUNDAMENTOS DE METODOLOGÍA; 14 MUNICIPIOS FOCALIZADOS; 
11 PROVINCIAS BENEFICIADAS; ALCANCE APROXIMADO DE 87MUNICIPIOS.
</t>
  </si>
  <si>
    <t>PARA EL CUMPLIMIENTO DE LA META 93, DURANTE EL CUATRIENIO SE SUSCRIBIERON CONTRATOS PARA EL ACOMPAÑAMIENTO A LOS ESTUDIANTES DE LAS IED QUE OBTUBIERON BAJO LOGRO EN LOS RESULTADOS DE LAS PRUEBAS SABER 11°; DURANTE EL AÑO 2015, SE ATENDIERON 1.689 ESTUDIANTES DE GRADO 11° Y 150 DOCENTES DEL MISMO GRADO, DE 52 INSTITUCIONES EDUCATIVAS DEPARTAMENTALES, DE 44 MUNICIPIOS NO CERTIFICADOS DEL DEPARTAMENTO DE CUNDINAMARCA, POR VALOR DE $360,000,000.</t>
  </si>
  <si>
    <t xml:space="preserve">SE ALFABETIZO Y SE ELEVO EL NIVEL EDUCATIVO DE 2.272 ADULTOS MAYORES CON LA DOTACIÓN DE MODULOS DE EDUCACIÓN CONTIUADA CAFAM Y LA IMPLEMENTACIÓN DE MODELOS DE EDUCACIÓN FLEXIBLE PARA ADULTOS: A CRECER PARA CICLO I Y CICLO II, SER CICLO I , ABCD ESPAÑOL PARA ALFABETIZACIÓN, MODELO DE EDUCACIÓN VIRTUAL DEL CICLO II AL CICLO VI. 
</t>
  </si>
  <si>
    <t>A TRAVES DE LA IMPLEMENTACION DE LOS PROCESOS PRODUCTIVOS DIRIGIDOS A COMUNIDADES ETNICAS EXISTENTES EN EL DEPARTAMENTO, SE FORTALECIERON RESCATE DE SABERES Y TRADICIONES ANCESTRALES (GASTRONOMÍA, EXPRESIONES ARTÍSTICAS), ARTES Y OFICIOS (TEJIDOS, CERÁMICA) PARA LOGRAR EL RECONOCIMIENTO DE LAS COMUNIDADES ETNICAS EN EL DEPARTAMENTO DE CUNDINAMARCA, LAS CUALES SE LOGRARON CON PROCESOS DE ARTICULACIÓN CON ENTIDADES PARA EL CONOCIMIENTO DEL MARCO NORMATIVO DE PROTECCIÓN ÉTNICA, YA QUE EL DESCONOCIMENTO EN LAS LÍNEAS DE ATENCIÓN DE ESTAS COMUNIDADES REQUIRIÓ DE UN MAYOR ESFUERZO Y ARTICULACIÓN.</t>
  </si>
  <si>
    <t>GENERACIÓN DE INGRESOS A 32 FAMILIAS INDIGENAS EN CONDICIÓN DE DESPLAZAMIENTO A TRAVÉS DE IMPLEMENTACIÓN DE PROYECTOS PRODUCTIVOS .</t>
  </si>
  <si>
    <t>ESTABLECIMIENTO DE 4107,6 HECTAREAS EN LOS SISTEMAS DE FRUTALES, CACAO, CAUCHO, ARMOATICAS, CAÑA PANELERA. RENOVACIÓN DE 5455 HECTAREAS Y FERTILIZACIÓN DE 4000 HECTAREAS DE CAFE, EN EL SECTOR PANELERO 700 HÁS RENOVADAS .</t>
  </si>
  <si>
    <t>CON EL FUNCIONAMIENTO DE LOS 10 CREAS, SE LOGRÓ EL MEJORAMIENTO DE LA COMPETITIVIDAD PROVINCIAL, CON IMPACTO DIRECTO EN LAS FAMILAS DE LOS EMPRESARIOS CUNDINAMARQUESES, VÍA EL FORTALECIMIENTO EMPRESARIAL, COMERCIALIZACIÓN EFICIENTE DE LOS PRODUCTOS, FORMALIZACIÓN DE EMPRESAS, EL APOYO PARA LA INCURSIÓN EN EL MERCADO NACIONAL E INTERNACIONAL Y LA CONSECUENTE GENERACIÓN DE EMPLEO E INGRESOS.</t>
  </si>
  <si>
    <t>CADENA CÁRNICA – LÁCTEA: MEJORAMIENTO DE PRADERAS (1618 HÁS ).APOYO A 60 CENTROS DE ACOPIO (DOTACIÓN DE MAQUINARIA, EQUIPOS E INSUMOS PARA CENTROS DE ACOPIO DE LECHE, TANQUES PARA ENFRIAMIENTO Y PLANTAS ELÉCTRICAS ,EQUIPOS ANALIZADORES DE LECHE, BÁSCULAS PARA PESAJE DE GANADO ,PICA PASTOS , TERMOS DE INSEMINACIÓN Y KITS PARA INSEMINACIÓN ARTIFICIAL ,TANQUES DE ALMACENAMIENTO DE AGUA , COMEDEROS PARA BOVINOS, PLANTAS DE TRANSFORMACIÓN DE LÁCTEOS, ECÓGRAFOS Y EQUIPOS PARA PLANTAS DE BENEFICIO ANIMAL ENTRE OTROS, TRANSFERENCIA DE TECNOLOGÍA). FINANCIAMIENTO AGROPECUARIO. CERTIFICACIÓN DE PREDIOS LIBRES DE BRÚCELLA Y TUBERCULOSIS EN EL DEPARTAMENTO. SE APOYÓ LA ADOPCIÓN DE NORMAS Y PROCEDIMIENTOS QUE INVOLUCRAN LA PROTECCIÓN DEL MEDIO AMBIENTE Y LAS BUENAS PRACTICAS GANADERAS (BPG´S9, BUENAS PRÁCTICAS DE MANUFACTURA (BPM´S)BUENAS PRÁCTICAS AMBIENTALES (BPA¨S), HACCP, BUENAS PRÁCTICAS DE LABORATORIO, TRANSPORTE Y OTROS SISTEMAS DE GESTIÓN DE CALIDAD. CADENA PORCINA: MONTAJE DE 93 BIODIGESTORES , DOTACIÓN DE EQUIPOS E IMPLEMENTOS ( 84 NEVERAS PARA ALMACENAMIENTO DE SEMEN ) TALLERES DE CAPACITACIÓN BENEFICIANDO A 5.310 PORCICULTORES)</t>
  </si>
  <si>
    <t xml:space="preserve">**INVESTIGACIÓN, TRABAJO DE CAMPO Y RECOLECCIÓN DE INFORMACIÓN EN 50 MUNICIPIOS CON MAYOR AFLUENCIA TURÍSTICA.ANÁLISIS DE LA INFORMACIÓN, DISEÑO Y DIAGRAMACIÓN DE LA GUÍA DE CUNDINAMARCA E IMPRESIÓN DE 7.800 EJEMPLARES DE LA GUÍA “DESTINOS DE CUNDINAMARCA” **DISEÑO, ELABORACIÓN E IMPRESIÓN DE MATERIAL PROMOCIONAL DEL IDECUT, COMO ESTRATEGIA DE COMUNICACIÓN DE POSICIONAMIENTO DE DESTINO TURÍSTICO DEL DEPARTAMENTO. **ELABORACIÓN, DISEÑO E IMPRESIÓN 2000 CARTILLAS DE SERVICIO AL CLIENTE. **SE CREÓ, SE LEGALIZÓ, SE PROMOCIONÓ Y SE VIENE POSICIONANDO LA MARCA “CUNDINAMARCA, EL DORADO LA LEYENDA VIVA”. SE SENSIBILIZÓ APROXIMADAMENTE A MÁS DE 500.000 DE CUNDINAMARQUESES A TRAVÉS DE LAS ACTIVIDADES REALIZADAS CON LOS MUNICIPIOS, ACERCA DE LA RIQUEZA Y DE LAS POTENCIALIDADES TURÍSTICAS DEL DEPARTAMENTO.NOS CONSOLIDAMOS COMO ENTE RECTOR DEL TURISMO DEPARTAMENTAL ENTRE LOS PRESTADORES DE SERVICIOS TURÍSTICOS Y LAS ENTIDADES PÚBLICAS Y PRIVADAS, PARA DIVULGAR LOS PRODUCTOS EMBLEMÁTICOS DE CADA REGIÓN Y DIVERSIFICAR SU OFERTA TURÍSTICA. SE LOGRÓ RECOPILAR PARTE DE LA INFORMACIÓN ESTADÍSTICA RELACIONADA CON LA ACTIVIDAD TURÍSTICA A ESCALA REGIONAL Y NACIONAL, LO QUE PERMITIRÁ TENER INFORMACIÓN ACTUALIZADA PARA BENEFICIO DE LOS CUNDINAMARQUESES. **PARTICIPACIÓN EN LA FERIA DE AGROEXPO CON EL CONVENIO DE BUREAU Y LA SECRETARIA DE AGRICULTURA. **INTERCAMBIO DE CULTURALIDAD CON EL PAIS DE ECUADOR EN LA PARTE DE CAFE. **REALIZACIÓN DE RECORRIDOS TURISTICOS CON EL IDT EN VINCULACIÓN DE CUIDAD-REGIÓN. **INTERCAMBIO CULTURAL Y TURISTICO CON NIÑOS Y NIÑAS DE LA PVCA ENTRE LA CIUDAD DE CARTAGENA Y CUNDINAMARCA </t>
  </si>
  <si>
    <t>SE INICIÓ EL PROGRAMA PARA LA IMPLEMENTACIÓN DE LA RED DEPARTAMENTAL DE 13 PUNTOS DE INFORMACIÓN QUE SE ENCUENTRAN PROPUESTOS EN EL PLAN DE DESARROLLO DEPARTAMENTAL “CUNDINAMARCA, CALIDAD DE VIDA” CON LOS MUNICIPIOS DE NEMOCÓN, ANAPOIMA, EL COLEGIO, SUESCA, NOCAIMA, LA VEGA Y VERGARA. A SU VEZ LA ENTREGA DE LOS EQUIPOS DE DOTACIÓN TECNOLÓGICA PARA LOS MUNICIPIOS DE GUADUAS, GIRARDOT, UBATÉ, ZIPAQUIRÁ, TABIO, VILLETA, LA CALERA, LA MESA Y SOPÓ. SE ADELANTARON LAS ACCIONES NECESARIAS A FIN QUE LOS MUNICIPIOS, DOTADOS CON PRESUPUESTO DEPARTAMENTAL, ENTREN A FORMAR PARTE DE LA RED NACIONAL, CON LOS BENEFICIOS QUE ELLO IMPLICA. CON LA AYUDA AUDIOVISUAL SE RECREAN FÁCILMENTE LOS ATRACTIVOS TURÍSTICOS Y SITIOS DE INTERÉS DEL MUNICIPIO. SE HA PERMITIDO ATENDER DE PRIMERA MANO A LOS TURISTAS Y VISITANTES, DÁNDOLES A CONOCER LOS ATRACTIVOS TURÍSTICOS, LOS EVENTOS CULTURALES Y DEMÁS PROGRAMACIÓN DE LOS MUNICIPIOS, LO CUAL HA CONLLEVADO A POSICIONAR A CUNDINAMARCA COMO DESTINO TURÍSTICO Y CULTURAL.</t>
  </si>
  <si>
    <t>**SE REALIZO EL LEVANTAMIENTO DE INVENTARIOS DE ATRACTIVOS TURÍSTICOS EN 38 MUNICIPIOS LOGRANDO ASÍ EL CUBRIMIENTO TOTAL DE LOS 116 ENTES TERRITORIALES MUNICIPALES DE LA JURISDICCIÓN DE CUNDINAMARCA. **EL DEPARTAMENTO POSEE ONCE (11) COLEGIOS EN EL PROGRAMA “COLEGIOS AMIGOS DEL
TURISMO”, REALIZANDO EN EL 2015 EL PRIMER ENCUENTRO DE COLEGIO AMIGOS DEL TURISMO. **CONFORMACIÓN DEL CONSEJO –DEPARTAMENTAL DE TURISMO.CONFORMACIÓN DEL COMITÉ DEPARTAMENTAL DE SEGURIDAD TURÍSTICA. **PRESENTACIÓN DE LOS PROYECTOS ADELANTADOS EN EL DEPARTAMENTO Y QUE HAN TENIDO APOYO DE LOS RECURSOS DEL FONDO NACIONAL DE TURISMO COMO:SEÑALIZACIÓN TURÍSTICA, PUNTOS DE INFORMACIÓN TURÍSTICA, LAGUNA EL TABACAL, ENTRE OTROS. **SE REALIZÓ EL I ENCUENTRO NACIONAL PARA LA IMPLEMENTACIÓN DEL TERMALISMO, SE BENEFICIARON 130 PRESTADORES DE SERVICIO DE TERMALISMO, COMO RESULTADO DEL ENCUENTRO SE DIO A CONOCER QUE CUNDINAMARCA ES EL DEPARTAMENTO CON MAYOR RIQUEZA EN RECURSOS TERMALES A NIVEL NACIONAL, CONTANDO CON 56 NACIMIENTOS DE AGUAS TERMALES DE LOS 510 QUE TIENE COLOMBIA. **SE COMERCIALIZARON 5 PRODUCTOS TURÍSTICOS EXISTENTES EN EL DEPARTAMENTO COMO: AGROTURISMO, ECOTURISMO, TERMALISMO, TURISMO RELIGIOSO Y CULTURAL Y DE AVENTURA, A TRAVÉS DE UN BROCHURE PUBLICITARIO LO QUE ESTÁ LLEVANDO A CUNDINAMARCA A POSICIONARSE COMO UN MULTIDESTINO, FORTALECIENDO Y PROMOCIONANDO EL TURISMO ESPECIALIZADO COMO TURISMO RELIGIOSO, AGROTURISMO, ECOTURISMO, HISTÓRICO Y CULTURAL, BIENESTAR Y SALUD. **SE LOGRÓ EL PRIMER INSUMO PARA LA CONSTRUCCIÓN DEL CORREDOR GASTRONÓMICO EN LA PROVINCIA DE SOACHA Y SIBATÉ, LO CUAL CORRESPONDE A LA ACTUALIZACIÓN DEL INVENTARIO DE ATRACTIVOS Y PRESTADORES DE SERVICIOS TURÍSTICOS **SE BENEFICIARON 136 PERSONAS CON LA CAPACITACIÓN EN SEGURIDAD TURÍSTICA PARA EL TURISMO DE AVENTURA, BRINDÁNDOLE SEGURIDAD PROFESIONAL AL TURISTA Y A LAS PERSONAS QUE PRACTICAN ESTE TIPO DE TURISMO DENTRO DEL DEPARTAMENTO.</t>
  </si>
  <si>
    <t>**DEFINICIÓN DE LA PÁGINA WEB: WWW.IDECUT.GOV.CO. **INCLUSIÓN EN LA PÁGINA DE LA INFORMACIÓN DE LA CELEBRACIÓN DEL BICENTENARIO DEL DEPARTAMENTO. **PRESENTACIÓN EN LA PÁGINA DE CADA UNO DE LOS 116 MUNICIPIOS, DONDE SE RELACIONAN LAS ACTIVIDADES CULTURALES Y TURÍSTICAS, RESTAURANTES, HOTELES Y DEMÁS INFORMACIÓN QUE CUALQUIER VISITANTE REQUIERE. **PARTICIPACIÓN EN ANATO CADA AÑO CON REPRESENTACIÓN DE LAS 15 PROVINCIAS.EN EL STAND DEL DEPARTAMENTO, ADEMÁS DE HACER PRESENCIA MÁS DE 100 PRESTADORES DE SERVICIOS TURÍSTICOS DE LA JURISDICCIÓN, ESTUVIMOS VISITADOS POR UN BUEN NÚMERO DE LOS ASISTENTES A LA VITRINA, QUE SE ENCONTRABAN INTERESADOS EN PAQUETES Y/O DESTINOS DE CUNDINAMARCA. **PARTICIPACIÓN EN EL LOS ENCUENTROS DE AUTORIDADES REGIONALES DE TURISMO Y ENCUENTRO DE PUNTOS DE INFORMACIÓN TURISTICA. **PARTICIPACIÓN EN EL “TRUEQUE REGIONAL DE BUENAS PRÁCTICAS EN TURISMO” **EXPOSICIÓN DE LA EXPERIENCIA ÚNICA DEL DEPARTAMENTO “LA RUTA DEL MINERO” DEL MUNICIPIO DE ZIPAQUIRÁ. **REALIZACIÓN DEL PRIMER Y SEGUNDO ENCUENTRO DEPARTAMENTAL DE AUTORIDADES DE TURISMO, LOGRANDO REUNIR 60 MUNICIPIOS DE LOS CUALES HAN ASISTIDO MAS DE 95 PERSONAS ENTRE ALCALDES Y DIRECTORES DE TURISMO, A SU VEZ SE HA SOCIALIZO LA POLÍTICA PÚBLICA, Y LAS EXPERIENCIAS EN AGROTURISMO Y TURISMO DE AVENTURA, BUSCANDO REPLICAR ESTOS POTENCIALES TURÍSTICOS EN OTRAS REGIONES DEL DEPARTAMENTO LO QUE LLEVA A FORTALECER Y A GENERAR INICIATIVAS EMPRESARIALES EN OTRAS REGIONES. **ESTRUCTURACIÓN DEL PRODUCTO DE TURISMO CORPORATIVO EN LA MODALIDAD DE VIAJES DE INCENTIVOS DE BOGOTÁ – REGION CENTRAL. 
**A TRAVÉS DEL APOYÓ QUE EL IDECUT BRINDÓ AL VII FESTIVAL DE LA LANA “FESTILANA”, SE BENEFICIARON HILANDEROS, ESQUILADORES Y DISEÑADORES, EL MUNICIPIO ALBERGÓ A TURISTAS E INDIRECTAMENTE BENEFICIÓ A LA POBLACIÓN DEL MUNICIPIO. ** A TRAVÉS DEL APOYO QUE SE BRINDÓ AL II FESTIVAL DEL MACRAMÉ EN EL MUNICIPIO DE NEMOCÓN, SE DIVULGÓ Y SE PROMOCIONÓ UNA DE LAS RUTAS TURÍSTICAS DE CUNDINAMARCA, COMO LO ES LA RUTA DE LA SAL EN EL ESCENARIO DE LA MINA DE SAL DE NEMOCÓN PATRIMONIO CULTURAL Y TURÍSTICO DE COLOMBIA.</t>
  </si>
  <si>
    <t xml:space="preserve"> EJEC. META PRODUCTO 2015_ SEPTIEMBRE 30</t>
  </si>
  <si>
    <t>PLAN DE DESARROLLO MUNICIPAL</t>
  </si>
  <si>
    <t>M. RESULTADO</t>
  </si>
  <si>
    <t>M. PRODUCTO</t>
  </si>
  <si>
    <t>PROGRAMAS</t>
  </si>
  <si>
    <t>CONSULTAS</t>
  </si>
  <si>
    <t>LOGROS ALCANZADOS</t>
  </si>
  <si>
    <t>CUATRIENIO</t>
  </si>
  <si>
    <t>$_Prog</t>
  </si>
  <si>
    <t>% Ejecutado</t>
  </si>
  <si>
    <t>AÑO</t>
  </si>
  <si>
    <t>$ Ejecutados Cuatrienio</t>
  </si>
  <si>
    <t>$ Programados Cuatrienio</t>
  </si>
  <si>
    <t>SECRETARIA DE PLANEACIÓN</t>
  </si>
  <si>
    <t>MUNICIPIO DE ANAPOIMA - CUNDINAMARCA</t>
  </si>
  <si>
    <t>ARREGLOS</t>
  </si>
  <si>
    <t>Total general</t>
  </si>
  <si>
    <t>Suma de PONDERADOR META DE PRODUCTO 2015 (%)</t>
  </si>
  <si>
    <t>Suma de PONDERADOR META DE PRODUCTO 2014 (%)</t>
  </si>
  <si>
    <t>Suma de PONDERADOR META DE PRODUCTO 2013 (%)</t>
  </si>
  <si>
    <t>Suma de PONDERADOR META DE PRODUCTO 2012 (%)</t>
  </si>
  <si>
    <t>Suma de PONDERADOR META DE PRODUCTO CUATRIENIO (%)</t>
  </si>
  <si>
    <t>DEPARTAMENTO DE CUNDINAMARCA</t>
  </si>
  <si>
    <t>OBJETIVOS</t>
  </si>
  <si>
    <t>Valores</t>
  </si>
  <si>
    <t>Suma de AVANCE PONDERADO 2012</t>
  </si>
  <si>
    <t>Suma de AVANCE PONDERADO 2013</t>
  </si>
  <si>
    <t>Suma de AVANCE PONDERADO 2014</t>
  </si>
  <si>
    <t>Suma de AVANCE PONDERADO 2015</t>
  </si>
  <si>
    <t>Suma de AVANCE PONDERADO DEL CUATRENIO</t>
  </si>
  <si>
    <t xml:space="preserve">1.1. INICIO PAREJO DE LA VIDA </t>
  </si>
  <si>
    <t>1.2. ALIANZA POR LA INFANCIA</t>
  </si>
  <si>
    <t>1.3. VIVE Y CRECE ADOLESCENCIA</t>
  </si>
  <si>
    <t>1.4. JOVENES CONSTRUCTORES DE PAZ</t>
  </si>
  <si>
    <t>1.5. ADULTAS Y ADULTOS CON EQUIDAD</t>
  </si>
  <si>
    <t>1.6. VEJEZ DIVINO TESORO</t>
  </si>
  <si>
    <t>1.8. FAMILIAS FORJADORAS DE SOCIEDAD</t>
  </si>
  <si>
    <t>1.10. EQUIPAMIENTO SOCIAL PARA EL DESARROLLO INTEGRAL</t>
  </si>
  <si>
    <t>1.7. VICTIMAS DEL CONFLICTO ARMADO CON GARANTIA DE DERECHOS</t>
  </si>
  <si>
    <t>1.9. MUJERES LIDERES Y LIBRES DE VIOLENCIA</t>
  </si>
  <si>
    <t>2.1. TERRITORIO SOPORTE PARA EL DESARROLLO</t>
  </si>
  <si>
    <t>2.2. BIENES Y SERVICIOS AMBIENTALES PATRIMONIO DE CUNDINAMARCA</t>
  </si>
  <si>
    <t>3.3. AGUA POTABLE Y SANEAMIENTO BASICO PARA LA SALUD DE LOS CUNDINAMARQUESES</t>
  </si>
  <si>
    <t>2.4. DESARROLLO COMPETITIVO DEL SECTOR AGROPECUARIO</t>
  </si>
  <si>
    <t>2.5. DESARROLLO RURAL INTEGRAL</t>
  </si>
  <si>
    <t>2.6. GESTION INTEGRAL DE RESIDUOS SOLIDOS</t>
  </si>
  <si>
    <t>2.7. GESTION DEL RIESGO Y ADAPTACION AL CAMBIO Y VARIABILIDAD CLIMATICA</t>
  </si>
  <si>
    <t>2.8. CUNDINAMARCA VERDE: CALIDAD DE VIDA</t>
  </si>
  <si>
    <t>3.1. CUNDINAMARCA COMPETITIVA, EMPRENDEDORA Y EMPRESARIAL</t>
  </si>
  <si>
    <t>3.2. CUNDINAMARCA DINAMICA ATRACTIVA E INTERNACIONAL</t>
  </si>
  <si>
    <t>3.3. MINERIA Y ENERGIA RESPONSABLE PARA CUNDINAMARCA</t>
  </si>
  <si>
    <t>3.4. INFRAESTRUCTURA Y SERVICIOS PARA LA COMPETITIVIDAD Y LA MOVILIDAD</t>
  </si>
  <si>
    <t>3.5. CUNDINAMARCA INNOVADORA CON CIENCIA Y TECNOLOGIA</t>
  </si>
  <si>
    <t>3.6. TURISMO REGIONAL</t>
  </si>
  <si>
    <t>3.7. INTEGRACION REGIONAL</t>
  </si>
  <si>
    <t>4.1. SEGURIDAD Y CONVIVENCIA CON DERECHOS HUMANOS</t>
  </si>
  <si>
    <t>4.2. MODERNIZACION DE LA GESTION</t>
  </si>
  <si>
    <t>4.3. EMPODERAMIENTO LOCAL PARA LA EQUIDAD Y LA UNIDAD TERRITORIAL</t>
  </si>
  <si>
    <t>4.4. CUNDINAMARCA CON ESPACIOS DE PARTICIPACION REAL</t>
  </si>
  <si>
    <t>4.5. CULTURA E IDENTIDAD CUNDINAMARQUESA</t>
  </si>
  <si>
    <t>4.6. TIC EN CUNDINAMARCA</t>
  </si>
  <si>
    <t>4.7. CUNDINAMARCA GOBIERNO INTELIGENTE CON DECISIONES INFORMADAS</t>
  </si>
  <si>
    <t>4.8. SEGUIMIENTO Y EVALUACION PARA MEJOR DESEMPEÑO</t>
  </si>
  <si>
    <t>COMPORTAMIENTO DE LOS OBJETIVOS</t>
  </si>
  <si>
    <t>PONDERADOR META PRODUCTO 2013 (%)</t>
  </si>
  <si>
    <t>PONDERADOR META PRODUCTO 2014 (%)</t>
  </si>
  <si>
    <t>PONDERADOR META PRODUCTO 2015 (%)</t>
  </si>
  <si>
    <t>OBJ_1</t>
  </si>
  <si>
    <t>OBJ_2</t>
  </si>
  <si>
    <t>OBJ_3</t>
  </si>
  <si>
    <t>OBJ_4</t>
  </si>
  <si>
    <r>
      <t>OBJ</t>
    </r>
    <r>
      <rPr>
        <i/>
        <sz val="8"/>
        <color indexed="9"/>
        <rFont val="Arial"/>
        <family val="2"/>
      </rPr>
      <t>_</t>
    </r>
    <r>
      <rPr>
        <sz val="8"/>
        <rFont val="Arial"/>
        <family val="2"/>
      </rPr>
      <t>1</t>
    </r>
  </si>
  <si>
    <r>
      <t>OBJ</t>
    </r>
    <r>
      <rPr>
        <i/>
        <sz val="8"/>
        <rFont val="Arial"/>
        <family val="2"/>
      </rPr>
      <t>_2</t>
    </r>
    <r>
      <rPr>
        <sz val="10"/>
        <color indexed="8"/>
        <rFont val="Calibri"/>
        <family val="2"/>
      </rPr>
      <t/>
    </r>
  </si>
  <si>
    <r>
      <t>OBJ</t>
    </r>
    <r>
      <rPr>
        <i/>
        <sz val="8"/>
        <rFont val="Arial"/>
        <family val="2"/>
      </rPr>
      <t>_3</t>
    </r>
  </si>
  <si>
    <r>
      <t>OBJ</t>
    </r>
    <r>
      <rPr>
        <i/>
        <sz val="8"/>
        <rFont val="Arial"/>
        <family val="2"/>
      </rPr>
      <t>_4</t>
    </r>
  </si>
  <si>
    <t>GARANTIZAR A Y LAS NIÑAS Y LOS NIÑOS MENORES DE 6 AÑOS, LAS BASES ESENCIALES DEL DESARROLLO INTEGRAL PARA QUE SE DESEMPEÑEN CON ÉXITO A LO LARGO DE SU VIDA A PARTIR DE CONDICIONES EQUITATIVAS FAMILIARES, SOCIALES, EDUCATIVAS, CIUDADANAS, CULTURALES, DE PROTECCIÓN Y DE SALUD.</t>
  </si>
  <si>
    <t>LOGRAR QUE LAS NIÑAS Y LOS NIÑOS ENTRE 6 Y 11 AÑOS ADQUIERAN Y DESARROLLEN HABILIDADES Y COMPETENCIAS COGNITIVAS, SOCIALES, CULTURALES, DEPORTIVAS Y CIUDADANAS, BAJO AMBIENTES SALUDABLES QUE GARANTICEN AFECTO, DIVERSIÓN, JUEGO, PARTICIPACIÓN, PROTECCIÓN Y RESPETO A LA INTEGRIDAD DE LA VIDA Y LA DIFERENCIA.</t>
  </si>
  <si>
    <t>GARANTIZAR EN LOS ADOLESCENTES, COMPETENCIAS ACADÉMICAS, CULTURALES, PRODUCTIVOS, HERRAMIENTAS QUE ESTRUCTUREN SU PROYECTO DE VIDA, PROMOVIENDO EL LIDERAZGO, CONVIVENCIA FAMILIAR Y CIUDADANA, PARTICIPANDO EN GRUPOS DE INTERÉS, COMPROMETIDOS CON LOS VALORES Y PRINCIPIOS, EL CUIDADO DEL MEDIO AMBIENTE, CON RESPETO POR EL GÉNERO Y POR CADA UNO, EN ESPACIOS DIGNOS Y SALUDABLES.</t>
  </si>
  <si>
    <t xml:space="preserve">GENERAR CAPACIDADES EN LAS Y LOS JÓVENES PARA ESTRUCTURAR SUS PROYECTOS DE VIDA BASADOS EN LA RESPONSABILIDAD, AUTONOMÍA, ESTILOS DE VIDA SALUDABLE, IDENTIDAD ESTRUCTURADA EN VALORES SOCIALES Y LIDERAZGO, LA PARTICIPACIÓN Y CONVIVENCIA CIUDADANA Y CON COMPETENCIAS ACADÉMICAS QUE LE PERMITAN CONTINUAR SU CADENA DE FORMACIÓN EN LA EDUCACIÓN SUPERIOR. </t>
  </si>
  <si>
    <t>CONTRIBUIR AL DESARROLLO INTEGRAL DE LAS Y LOS ADULTOS EN SU DIVERSIDAD, A PARTIR DE LA ESTABILIDAD ECONÓMICA, BIENESTAR, SALUD INTEGRAL, CALIDAD DE VIDA, ARRAIGO Y PERTENENCIA AL LUGAR QUE HABITAN.</t>
  </si>
  <si>
    <t xml:space="preserve">CONTRIBUIR AL BIENESTAR Y DIGNIDAD HUMANA DE LOS Y LAS ADULTAS MAYORES EN SU DIVERSIDAD, CON PARTICIPACIÓN ACTIVA, COHESIÓN SOCIAL, RECONOCIMIENTO DE SUS HABILIDADES, DESTREZAS Y ATENCIÓN A SUS NECESIDADES BÁSICAS. </t>
  </si>
  <si>
    <t>CONTRIBUIR A UNA VIDA MÁS DIGNA E INCLUYENTE DE LAS FAMILIAS CON MEJORES CONDICIONES DE HABITABILIDAD, SUPERACIÓN DE LA POBREZA Y LA POBREZA EXTREMA, ACCESO A MEJORES SERVICIOS Y ESTADOS DE SALUD, CONSOLIDAR LA UNIDAD FAMILIAR, LA INCLUSIÓN Y LA ATENCIÓN PREFERENCIAL, Y DIFERENCIAL A GRUPOS ÉTNICOS, LGBTI Y POBLACIÓN EN SITUACIÓN ESPECIAL PSE ENTRE ELLOS REINTEGRADOS.</t>
  </si>
  <si>
    <t>CONTRIBUIR AL PLENO DESARROLLO DE POTENCIALIDADES, CAPACIDADES Y EMPODERAMIENTO DE LAS MUJERES EN CUNDINAMARCA, PARA EL GOCE EFECTIVO DE SUS DERECHOS, EN UNA RELACIÓN DE GÉNERO EQUITATIVA, JUSTA E INCLUYENTE.</t>
  </si>
  <si>
    <t>DOTAR DE MÁS Y MEJOR INFRAESTRUCTURA FÍSICA DEL SECTOR SOCIAL PARA EL SERVICIO Y DISFRUTE DE LA POBLACIÓN CUNDINAMARQUESA, ACORDE A LAS EXIGENCIAS DE LOS USUARIOS Y LOS ESTÁNDARES DE CALIDAD.</t>
  </si>
  <si>
    <t xml:space="preserve">RESTITUIR EN EL MARCO DE LA EQUIDAD Y LA INCLUSIÓN SOCIAL, LOS DERECHOS Y MEJORAR LA CALIDAD DE VIDA DE LAS VÍCTIMAS DEL CONFLICTO ARMADO CON LIDERAZGO Y ARTICULACIÓN INSTITUCIONAL EN EL ÁMBITO NACIONAL, DEPARTAMENTAL Y MUNICIPAL. </t>
  </si>
  <si>
    <t>ESTRUCTURAR Y CONSOLIDAR BAJO CRITERIOS DE EQUIDAD TERRITORIAL Y SOSTENIBILIDAD, UNA CUNDINAMARCA FUNCIONAL, ARTICULADA E INTEGRADA REGIONALMENTE.</t>
  </si>
  <si>
    <t xml:space="preserve">PROTEGER LA OFERTA DE BIENES Y SERVICIOS AMBIENTALES EN EL DEPARTAMENTO, RECONOCIENDO LAS CARACTERÍSTICAS DE LAS ECO – REGIONES, COMO MECANISMO DE SOSTENIBILIDAD DEL TERRITORIO MEDIANTE LA RECUPERACIÓN Y CONSERVACIÓN INTEGRAL DE LOS ECOSISTEMAS Y UNA GESTIÓN AMBIENTAL INTEGRAL EFECTIVA PARA ASEGURAR UNA CUNDINAMARCA NEUTRA CON CALIDAD DE VIDA DE LA POBLACIÓN. </t>
  </si>
  <si>
    <t>INCREMENTAR LA CALIDAD, CONTINUIDAD Y COBERTURA DE AGUA POTABLE Y SANEAMIENTO BÁSICO EN ZONAS URBANAS, CENTROS POBLADOS Y ZONAS RURALES, GARANTIZANDO CON PREFERENCIA EL ACCESO A LA POBLACIÓN EN CONDICIONES DE POBREZA Y VULNERABILIDAD.</t>
  </si>
  <si>
    <t>IMPULSAR EL POTENCIAL PRODUCTIVO DEL TERRITORIO A TRAVÉS DE LA IDENTIFICACIÓN Y APROVECHAMIENTO EFECTIVO DEL SUELO, SU RIQUEZA, CON MAYOR CAPACIDAD ASOCIATIVA, DE TRANSFORMACIÓN Y DE COMERCIALIZACIÓN ORGANIZADA.</t>
  </si>
  <si>
    <t>MEJORAR LAS CONDICIONES ECONÓMICAS, SOCIALES, FÍSICAS Y ORGANIZACIONALES DE LA POBLACIÓN RURAL, CON ACCESO A FACTORES PRODUCTIVOS Y SEGURIDAD ALIMENTARIA Y NUTRICIONAL</t>
  </si>
  <si>
    <t>FORTALECER LA CAPACIDAD DE GESTIÓN DEL RIESGO CON LA IMPLEMENTACIÓN DE LOS PROCESOS DE CONOCIMIENTO, REDUCCIÓN Y SU MANEJO; AUMENTAR LA CAPACIDAD DE RESPUESTA DE LA POBLACIÓN Y DEL TERRITORIO FRENTE A LA OCURRENCIA DE FENÓMENOS NATURALES Y ANTRÓPICOS Y DE ADAPTACIÓN, MITIGACIÓN FRENTE AL CAMBIO Y VARIABILIDAD CLIMÁTICA.</t>
  </si>
  <si>
    <t>IMPLEMENTAR ESTRATEGIAS DE GESTIÓN INTEGRAL DE RESIDUOS SÓLIDOS EN MUNICIPIOS DEL DEPARTAMENTO, PROMOVIENDO ALTERNATIVAS VIABLES DE MANEJO AMBIENTAL QUE PERMITAN EL MEJORAMIENTO DE LA CALIDAD DE VIDA DE LOS CUNDINAMARQUESES.</t>
  </si>
  <si>
    <t>INCORPORAR EL SECTOR FORESTAL AL DESARROLLO SOCIOECONÓMICO DEL DEPARTAMENTO A TRAVÉS DEL FOMENTO DEL ESTABLECIMIENTO DE PLANTACIONES FORESTALES CON FINES COMERCIALES FORTALECIENDO EL PRIMER ESLABÓN DE LA CADENA FORESTAL PRODUCTIVA DE LA REGIÓN BOGOTÁ - CUNDINAMARCA.</t>
  </si>
  <si>
    <t>HACER DE CUNDINAMARCA UN TERRITORIO COMPETITIVO, CON ESPECIALIZACIÓN Y TRANSFORMACIÓN PRODUCTIVA A PARTIR DE LA PROMOCIÓN Y APOYO A LA CULTURA EMPRENDEDORA, EL DESARROLLO EMPRESARIAL Y EL FORTALECIMIENTO DE LAS DEMÁS CONDICIONES Y FACTORES ESTRUCTURALES QUE CONSOLIDEN EL CRECIMIENTO ECONÓMICO CON IGUALDAD DE OPORTUNIDADES</t>
  </si>
  <si>
    <t xml:space="preserve">POSICIONAR A CUNDINAMARCA A NIVEL NACIONAL E INTERNACIONAL A PARTIR DE UN TERRITORIO ATRACTIVO POR SU DINÁMICA CULTURAL EMPRENDEDORA, PRODUCTIVA Y COMERCIAL </t>
  </si>
  <si>
    <t>DESARROLLAR INTEGRALMENTE EL SECTOR MINERO Y LOS SERVICIOS DE GAS Y ENERGÍA EN EL DEPARTAMENTO.</t>
  </si>
  <si>
    <t>CONTRIBUIR A LA COMPETITIVIDAD DEL DEPARTAMENTO CON LA CONECTIVIDAD DEL TERRITORIO, MODERNIZACIÓN DE LA MALLA VIAL, SISTEMAS DE TRANSPORTE, MOVILIDAD SEGURA, ORGANIZADA, AMABLE, INCLUYENTE, ASÍ COMO DE LA INFRAESTRUCTURA LOGÍSTICA COMPLEMENTARIA.</t>
  </si>
  <si>
    <t>APROPIAR Y GENERAR INNOVACIÓN SOCIAL, PRODUCTIVA, RURAL E INSTITUCIONAL A PARTIR DE LA CIENCIA, TECNOLOGÍA Y LOS CONOCIMIENTOS TRADICIONALES, PARA MEJORAR LA EQUIDAD Y COMPETITIVIDAD DE CUNDINAMARCA</t>
  </si>
  <si>
    <t>CONSOLIDAR A CUNDINAMARCA COMO UN DESTINO TURÍSTICO COMPETITIVO SOSTENIBLE REGIONAL, NACIONAL E INTERNACIONAL.</t>
  </si>
  <si>
    <t>FORTALECER EL DESARROLLO DE CUNDINAMARCA PARA POSICIONARLO EN EL ESCENARIO NACIONAL E INTERNACIONAL COMO UN TERRITORIO LÍDER Y ATRACTIVO, A PARTIR DEL RECONOCIMIENTO Y APROVECHAMIENTO DE LAS DINÁMICAS INTEGRADORAS DE ÍNDOLE SUPRA REGIONAL, REGIONAL Y SUB REGIONAL.</t>
  </si>
  <si>
    <t>FOMENTAR LA CONVIVENCIA, LA SEGURIDAD CIUDADANA Y PROTEGER LA VIDA Y LOS BIENES DE LA CIUDADANÍA RURAL Y URBANA, QUE PERMITA LA CONSOLIDACIÓN DE UN DEPARTAMENTO SEGURO, PRÓSPERO Y CONFIABLE, QUE GARANTICE EL CUMPLIMIENTO DE LOS DERECHOS HUMANOS, EL DERECHO INTERNACIONAL HUMANITARIO, Y EL GOCE EFECTIVO DEL ESPACIO PÚBLICO Y DE ACCESO AL TERRITORIO POR LOS CUNDINAMARQUESES.</t>
  </si>
  <si>
    <t>FORTALECER LA INSTITUCIONALIDAD PARA GARANTIZAR CON EFICIENCIA Y EFICACIA EN LA GESTIÓN PÚBLICA, BIENES Y SERVICIOS DE CALIDAD, GENERANDO LA CONFIANZA DE LOS CIUDADANOS A TRAVÉS DEL CUMPLIMIENTO DE SUS EXPECTATIVAS Y MEJOR CALIDAD DE VIDA.</t>
  </si>
  <si>
    <t>AUMENTAR LA CAPACIDAD INSTITUCIONAL Y DE DESEMPEÑO, CONTRIBUYENDO A LA EQUIDAD TERRITORIAL DE LOS MUNICIPIOS DE CUNDINAMARCA; HACIENDO UN ESPECIAL ÉNFASIS EN LOS 35 MUNICIPIOS CON NBI MÁS ALTO DEL DEPARTAMENTO.</t>
  </si>
  <si>
    <t>LA PARTICIPACIÓN CIUDADANA INCLUYENTE, FORTALECIDA, PROPOSITIVA Y EMPODERADA, INCIDE EN EL DESARROLLO LOCAL Y EN LA EFICACIA Y EFICIENCIA DE LAS DECISIONES DE LA POLÍTICA PÚBLICA; MATERIALIZANDO LA CORRESPONSABILIDAD DE LA SOCIEDAD CIVIL EN EL DESARROLLO DEL TERRITORIO</t>
  </si>
  <si>
    <t>APROPIAR LA IDENTIDAD CUNDINAMARQUESA, RECONOCIENDO SU PATRIMONIO Y LA DIVERSIDAD TERRITORIAL, MULTICULTURAL Y PLURIÉTNICA Y DE LAS ECO – REGIONES DEL DEPARTAMENTO PARA LOGRAR SU INTEGRACIÓN, PROMOCIÓN Y DESARROLLO.</t>
  </si>
  <si>
    <t>MEJORAR LA CALIDAD DE VIDA DE LOS CUNDINAMARQUESES A TRAVÉS DEL DESARROLLO, USO Y APROPIACIÓN DE LAS TIC POR PARTE DE LA COMUNIDAD, PROPICIANDO EL ACCESO; PARTICIPACIÓN VIRTUAL EN LOS PROGRAMAS, PROYECTOS Y SERVICIOS; Y DINÁMICAS DE DESARROLLO Y EQUIDAD EN EL DEPARTAMENTO Y SUS ECO – REGIONES.</t>
  </si>
  <si>
    <t xml:space="preserve">FACILITAR LA TOMA DE DECISIONES ACERTADAS SOPORTADA SOBRE PLATAFORMAS INFORMÁTICAS CORPORATIVAS QUE PERMITAN LA CONSULTA DE INFORMACIÓN OPORTUNA, CONFIABLE Y SEGURA </t>
  </si>
  <si>
    <t>MEJORAR DESEMPEÑO Y DECISIONES OPORTUNAS DE LA GESTIÓN PARA RESULTADOS DEL DESARROLLO CON EL FOMENTO DE CAPACIDADES, CULTURA Y COMPROMISO DE SEGUIMIENTO, MONITOREO, CONTROL, EVALUACIÓN Y RENDICIÓN DE CUENTAS.</t>
  </si>
  <si>
    <t>OBJETIVO_1</t>
  </si>
  <si>
    <t>META1</t>
  </si>
  <si>
    <t>META2</t>
  </si>
  <si>
    <t>META3</t>
  </si>
  <si>
    <t>META4</t>
  </si>
  <si>
    <t>META5</t>
  </si>
  <si>
    <t>META6</t>
  </si>
  <si>
    <t>META7</t>
  </si>
  <si>
    <t>META8</t>
  </si>
  <si>
    <t>META9</t>
  </si>
  <si>
    <t>META10</t>
  </si>
  <si>
    <t>META11</t>
  </si>
  <si>
    <t>ENTIDAD LIDER</t>
  </si>
  <si>
    <t>ENTIDAD 1</t>
  </si>
  <si>
    <t>ENTIDAD 2</t>
  </si>
  <si>
    <t>ENTIDAD 3</t>
  </si>
  <si>
    <t>ENTIDAD 4</t>
  </si>
  <si>
    <t>ENTIDAD 5</t>
  </si>
  <si>
    <t>ENTIDAD 6</t>
  </si>
  <si>
    <t>ENTIDAD 7</t>
  </si>
  <si>
    <t>ENTIDAD 8</t>
  </si>
  <si>
    <t>ENTIDAD 9</t>
  </si>
  <si>
    <t>ENTIDAD 10</t>
  </si>
  <si>
    <t>ENTIDAD 11</t>
  </si>
  <si>
    <t>ENTIDAD 12</t>
  </si>
  <si>
    <t>INSTITUTO DE CULTURA Y TURISMO</t>
  </si>
  <si>
    <t>EMPRESAS PUBLICAS DE CUNDINAMARCA</t>
  </si>
  <si>
    <t>OBJETIVO2</t>
  </si>
  <si>
    <t>MEJORAR CONDICIONES Y OPORTUNIDADES DE VIDA, COHESIÓN SOCIO CULTURAL Y EQUIDAD PARA EL DESARROLLO INTEGRAL DEL SER HUMANO Y DE SUS TERRITORIOS.</t>
  </si>
  <si>
    <t>RESTABLECER LA RELACIÓN ARMÓNICA DEL SER HUMANO CON EL AMBIENTE Y SU ENTORNO.</t>
  </si>
  <si>
    <t>SER COMPETITIVOS Y SUSTENTABLES A PARTIR DE POTENCIALIDADES, ARTICULACIÓN REGIONAL, GESTIÓN DEL CONOCIMIENTO, INNOVACIÓN PRODUCTIVA Y SOCIAL</t>
  </si>
  <si>
    <t>GARANTIZAR CON BUEN GOBIERNO Y TRANSPARENCIA, GERENCIA EFECTIVA POR RESULTADOS DEL DESARROLLO, SEGURIDAD, CONVIVENCIA, PARTICIPACIÓN REAL, CORRESPONSABILIDAD DE LA SOCIEDAD CIVIL Y FORTALECIMIENTO DE LA IDENTIDAD CUNDINAMARQUESA.</t>
  </si>
  <si>
    <t>NOMBRE</t>
  </si>
  <si>
    <t xml:space="preserve">Programa: </t>
  </si>
  <si>
    <t>OBJETIVO DEL PROGRAMA</t>
  </si>
  <si>
    <t>METAS DE RESULTADO</t>
  </si>
  <si>
    <t>ENTIDAD LÍDER</t>
  </si>
  <si>
    <t>Entidades Cooperantes</t>
  </si>
  <si>
    <t>INFORMACIÓN DE LA EJECUCIÓN FÍSICA</t>
  </si>
  <si>
    <t>Programa:</t>
  </si>
  <si>
    <t>Ejec. Acumulado</t>
  </si>
  <si>
    <t>1. LOGRO ALCANZADO</t>
  </si>
  <si>
    <t>PDD</t>
  </si>
  <si>
    <t>EMPRESAS PÚBLICAS DE CUNDINAMARCA</t>
  </si>
  <si>
    <t>CORPORACION SOCIAL DE CUNDINAMARCA</t>
  </si>
  <si>
    <t>BENEFICENCIA DE CUNDINAMARCA</t>
  </si>
  <si>
    <t>INSTITUTO DE INFRAESTUCTURA Y CONCESIONES DE CUNDINAMARCA</t>
  </si>
  <si>
    <t>INSTITUTO DEPARTAMENTAL DE CULTURA Y TURISMO</t>
  </si>
  <si>
    <t>INSTITUTO DE DEPORTES</t>
  </si>
  <si>
    <t>SECRETARIA DE COOPERACION Y ENLACE INSTITUCIONAL</t>
  </si>
  <si>
    <t>SECRETARIA DE MINAS Y ENERGÍA</t>
  </si>
  <si>
    <t>NOMBRE ENTIDAD</t>
  </si>
  <si>
    <t>Entidad:</t>
  </si>
  <si>
    <t>ALIAS</t>
  </si>
  <si>
    <t>% EJECUTADO</t>
  </si>
  <si>
    <t>No. META</t>
  </si>
  <si>
    <t>Ejecución &gt;= 90%</t>
  </si>
  <si>
    <t>Ejecución &lt; 60%</t>
  </si>
  <si>
    <t>Ejecución &gt;= 60% y &lt; 90%</t>
  </si>
  <si>
    <t>TOTAL DE METAS</t>
  </si>
  <si>
    <t>EJECUCIÓN DE METAS</t>
  </si>
  <si>
    <t>Inv. 2012</t>
  </si>
  <si>
    <t>Inv. 2013</t>
  </si>
  <si>
    <t>Inv. 2014</t>
  </si>
  <si>
    <t>Inv. 2015</t>
  </si>
  <si>
    <t>2.3. AGUA POTABLE Y SANEAMIENTO BASICO PARA LA SALUD DE LOS CUNDINAMARQUESES</t>
  </si>
  <si>
    <t>Ejec. Mlls de $</t>
  </si>
  <si>
    <t>% Ejecución Física Anual</t>
  </si>
  <si>
    <t xml:space="preserve"> Inversión anual en Millones de $</t>
  </si>
  <si>
    <t>Inv. TOTAL</t>
  </si>
  <si>
    <t>% EJEC.</t>
  </si>
  <si>
    <t>EJECUCIÓN FINANCIERA (En Millones $)</t>
  </si>
  <si>
    <t xml:space="preserve">Fuente: SPC, calculo dirección seguimiento y evaluación septiembte de 2015. </t>
  </si>
  <si>
    <t xml:space="preserve">Fuente: Sec. Hacienda, calculo dirección Dinanciera SPC septiembte  de 2015. </t>
  </si>
  <si>
    <t>SEMAFORIZACIÓN DE METAS</t>
  </si>
  <si>
    <t>EJECUCIÓN ACUMULADA FÍSICA E INVERSIÓN DEL PLAN DE DESARROLLO</t>
  </si>
  <si>
    <t>La Inversión esta en Millones de Pesos</t>
  </si>
  <si>
    <t>LOGRO1</t>
  </si>
  <si>
    <t>LOGRO2</t>
  </si>
  <si>
    <t>LOGRO3</t>
  </si>
  <si>
    <t>LOGRO4</t>
  </si>
  <si>
    <t>LOGRO5</t>
  </si>
  <si>
    <t>SE REDUJO LA TASA DE MORTALIDAD INFANTIL DE NIÑ@S DE 0 A 1 AÑOS POR 1.000 NACIDOS VIVOS, PASANDO DE 10.8 EN EL 2013 A 9.60 EN EL AÑO 2014, LOGRANDO MANTENERSE POR DEBAJO DEL COMPORTAMIENTO NACIONAL (LA MEDIA NACIONAL SE ENCUENTRA EN 11.8).</t>
  </si>
  <si>
    <t>SE DIMINUYERON LOS CASOS DE HEPATITIS A EN MENORES DE 1 AÑO, DE 121 CASOS QUE SE PRESENTARON EN EL AÑO 2013 A 27 CASOS EN EL AÑO 2014; CON LA ESTRATEGIA DEL PLAN AMPLIADO DE INMUNIZACIÓN (PAI – PLUS) - VACUNACIÓN CONTRA HEPATITIS A Y VARICELA, Y LA AMPLIACIÓN DE DOSIS DE 11.989 EN EL AÑO 2014, 4.410 DOSIS MÁS QUE EN EL 2013</t>
  </si>
  <si>
    <t>SE PUSO EN MARCHA EL FUNCIONAMIENTO DEL CENTRO DE INNOVACIÓN EDUCATIVA REGIONAL - CIER- EN EL PALACIO DE SAN FRANCISCO, CON LA FORMACIÓN DE 475 DOCENTES EN EL MARCO DEL PROGRAMA “FORMACIÓN EN USO Y DESARROLLO DE CONTENIDOS EDUCATIVOS DIGITALES”; 9 DOCENTES CERTIFICADOS MASTER TEACHERS.</t>
  </si>
  <si>
    <t>CUNDINAMARCA OCUPA EL PRIMER LUGAR A NIVEL NACIONAL EN LOS RESULTADOS DE LAS PRUEBAS SABER 11°; LO CUAL PERMITIÓ QUE SE SELECCIONARAN 922 ESTUDIANTES PARA PARTICIPAR EN EL PROGRAMA “10.000 BECAS PARA LA EDUCACIÓN SUPERIOR” DEL NIVEL NACIONAL.</t>
  </si>
  <si>
    <t>RECONOCIMIENTO DEL MINISTERIO DE SALUD Y PROTECCIÓN SOCIAL COMO UNO DE LOS 10 PRIMEROS DEPARTAMENTOS EN EL CUMPLIMIENTO DE COBERTURA DE VACUNACIÓN ÚTIL EN TODOS LOS BIOLÓGICOS LLEGANDO AL 96% DE ACUERDO AL DANE EN PLAN AMPLIADO DE INMUNIZACIONES - PAI PLUS.</t>
  </si>
  <si>
    <t>SE CONTRIBUYÓ CON LA SOSTENIBILIDAD Y ABASTECIMIENTO DEL RECURSO HÍDRICO A LOS CUNDINAMARQUESES MEDIANTE: A) EL INCREMENTO DE HECTÁREAS DE ECOSISTEMAS ESTRATÉGICOS PARA LA CONSERVACIÓN DE AGUA, LOGRANDO CON ELLO ADQUIRIR EN LO QUE VA CORRIDO DEL CUATRIENIO 6.552 HECTÁREAS DE CONSERVACIÓN. B) IMPLEMENTANDO EL MECANISMO DE PAGO POR SERVICIOS AMBIENTALES COMO ESTRATEGIA DE RECONOCIMIENTO QUE PROMUEVE EN LOS PROPIETARIOS PARTICULARES LA CONSERVACIÓN Y RECUPERACIÓN DE ÁREAS DE IMPORTANCIA ESTRATÉGICA PARA LA PRESERVACIÓN DE LOS RECURSOS HÍDRICOS. C) PROTECCIÓN Y RECUPERACIÓN DE ECOSISTEMAS LENTICOS, CONSIDERADOS ESTRATÉGICOS PARA EL EQUILIBRIO ECOLÓGICO DE LA REGIÓN POR SU CAPACIDAD DE REGULACIÓN HÍDRICA.</t>
  </si>
  <si>
    <t>INCREMENTO DE LA COBERTURA DE ACUEDUCTO, CONECTANDO 155.339 NUEVOS HABITANTES DEL SECTOR URBANO Y RURAL A ESTE SERVICIO, DE LOS CUALES 54.443 FUERON EN 2014. ADICIONALMENTE, A TRAVÉS DE LA OPTIMIZACIÓN DE LOS SISTEMAS DE ACUEDUCTO, SE LOGRÓ LA REDUCCIÓN DE PÉRDIDAS, MEJORANDO LA CONTINUIDAD Y PRESIÓN EN LA PRESTACIÓN DEL SERVICIO, LO CUAL BENEFICIA A LA COMUNIDAD Y CONTRIBUYE CON EL USO EFICIENTE DEL RECURSO NATURAL.</t>
  </si>
  <si>
    <t>SE INCREMENTO LA COBERTURA EN ALCANTARILLADO CON 62.646 HABITANTES NUEVOS CON ESTE SERVICIO DE LOS CUALES 29.679 SE ENTREGARON EN 2014. EN CUANTO AL TRATAMIENTO DE AGUAS SERVIDAS SE AVANZÓ EN LOS DISEÑOS Y CONSTRUCCIÓN DE LA INFRAESTRUCTURA NECESARIA PARA EL TRATAMIENTO DE LAS AGUAS RESIDUALES URBANAS Y RURALES, INTEGRANDO RECURSOS DEL DEPARTAMENTO CON LAS CORPORACIONES AUTÓNOMAS REGIONALES (CAR- CORPOGUAVIO).</t>
  </si>
  <si>
    <t>SE ASUMIÓ LAS COMPETENCIAS ASIGNADAS EN LO REFERENTE A LA ADMINISTRACIÓN DE LOS RECURSOS DEL SISTEMA GENERAL DE PARTICIPACIONES – AGUA POTABLE Y SANEAMIENTO BÁSICO (SGP-APSB) PARA GARANTIZAR LA PRESTACIÓN DE LOS SERVICIOS DE AGUA POTABLE Y SANEAMIENTO BÁSICO DE LOS MUNICIPIOS DESCERTIFICADOS POR LA SUPERINTENDENCIA DE SERVICIOS PÚBLICOS DOMICILIARIOS - SSPD.</t>
  </si>
  <si>
    <t>SE CONSTITUYÓ LA REGIÓN ADMINISTRATIVA Y DE PLANEACIÓN ESPECIAL – RAPE – ENTRE BOGOTÁ DISTRITO CAPITAL Y LOS DEPARTAMENTOS DE CUNDINAMARCA, BOYACÁ, META Y TOLIMA.</t>
  </si>
  <si>
    <t>DISEÑO Y CREACIÓN DE LA MARCA “CUNDINAMARCA, EL DORADO LA LEYENDA VIVA”</t>
  </si>
  <si>
    <t>APOYO EN LA CREACIÓN Y FORTALECIMIENTO EMPRESARIAL DE MÁS DE 300 UNIDADES PRODUCTIVAS Y SOSTENIMIENTO A LAS REDES EMPRESARIALES EXISTENTES</t>
  </si>
  <si>
    <t>GRACIAS A LA GESTIÓN DEL DEPARTAMENTO LA NACIÓN A TRAVÉS DE LA ANI, ADJUDICÓ DOS PROYECTOS DE CONCESIÓN DE CUARTA GENERACIÓN, DE GRAN IMPORTANCIA PARA EL FORTALECIMIENTO DE LA INFRAESTRUCTURA VIAL DE CUNDINAMARCA Y PARA EL DESARROLLO REGIONAL Y LA ECONOMÍA NACIONAL, VÍA GIRARDOT – CAMBAO – PUERTO BOGOTÁ – HONDA – PUERTO SALGAR, CON UN COSTO DEL ORDEN DE $1.7 BILLONES Y LA PERIMETRAL DE ORIENTE, QUE COMPROMETE LAS VÍAS CÁQUEZA – UBAQUE – CHOACHÍ – LA CALERA - GUASCA, SALITRE – SOPO, CUATRO ESQUINAS – GUATAVITA – SESQUILÉ – LA PLAYA, CON UNA INVERSIÓN DEL ORDEN DE $1.07 BILLONES.</t>
  </si>
  <si>
    <t>MÁS DE 500 LÍDERES CUNDINAMARQUESES GRADUADOS EN INNOVACIÓN, 22 BECAS OTORGADAS PARA FORMACIÓN DE ALTO NIVEL, TRES CONSEJOS REGIONALES DE CTEI CONFORMADOS, 1400 PARTICIPANTES EN LA SEMANA DE LA CTEI Y 15 PROYECTOS INNOVADORES GESTIONADOS CON RECURSOS DEL SISTEMA GENERAL DE REGALÍAS (SGR) DE LOS CUALES 10 ESTÁN EN EJECUCIÓN SON LA APUESTA DE LA ADMINISTRACIÓN DEPARTAMENTAL POR POSICIONAR LA APROPIACIÓN SOCIAL DEL CONOCIMIENTO EN EL TERRITORIO.</t>
  </si>
  <si>
    <t>CUNDINAMARCA ES UN TERRITORIO MÁS SEGURO POR LA DISMINUCIÓN SIGNIFICATIVA DEL 26% DE LOS DELITOS.</t>
  </si>
  <si>
    <t>CUNDINAMARCA FUE CERTIFICADA BAJO LA NORMA INTERNACIONAL ISO 9001:2008 REGISTRO NUMERO SC-CER303297, LA NORMA NACIONAL NTCGP 1000:2009 REGISTRO NÚMERO GP-CER 303299 Y EL SELLO INTERNACIONAL IQNET CO-SC-CER303297.</t>
  </si>
  <si>
    <t>EL DEPARTAMENTO DE CUNDINAMARCA MANTUVO SU CALIFICACIÓN DE RIESGOS DE LA DEUDA PÚBLICA AA+, GARANTIZANDO LA ESTABILIDAD TRIBUTARIA Y LA SOSTENIBILIDAD FISCAL EN EL LARGO PLAZO.</t>
  </si>
  <si>
    <t>CUNDINAMARCA SE CONSOLIDA COMO UNA ENTIDAD FINANCIERAMENTE SOSTENIBLE OCUPO EL 1ER PUESTO DE DESEMPEÑO FISCAL SEGÚN RANKING PUBLICADO EN EL 2014 POR PARTE DEL DNP.</t>
  </si>
  <si>
    <t>“PREMIO INGENIO COLOMBIA 2014” EN LA CATEGORÍA GOBIERNO”, ORGANIZADO POR LA FEDERACIÓN COLOMBIANA DE LA INDUSTRIA DE SOFTWARE Y SERVICIOS ASOCIADOS –FEDESOFT-, POR LA INICIATIVA DE LA HISTORIA CLÍNICA ELECTRÓNICA UNIFICADA (HCEU) RECONOCIDA COMO LA MEJOR INICIATIVA COLOMBIANA EN INNOVACIÓN DE SOFTWARE CON EXCELENTES RESULTADOS Y ALTO IMPACTO.</t>
  </si>
  <si>
    <t>APOYO A 55 MUNICIPIOS EN EL PGAT (PLAN SECRETARÍA DE PLANEACIÓN, SEDE ADMINISTRATIVA. CALLE 26 51-53. TORRE CENTRAL PISO 5. BOGOTÁ, D.C. TEL. (1) 749 1652 - 749 1675 -749 1676 WWW.CUNDINAMARCA.GOV.CO GENERAL DE ASISTENCIA TÉCNICA AGROPECUARIA), EL FORTALECIMIENTO A LAS 116 UMATAS Y/O EPSAGROS CON LA DOTACIÓN DE EQUIPOS Y MOTOCICLETAS</t>
  </si>
  <si>
    <t>Se mantuvo en 2 casos las muertes por homicidio en niñas y niños entre los 0 y 5 años, en los años 2013 y 2014 .</t>
  </si>
  <si>
    <t>Durante el 2014, se disminuyo en 6 casos las muertes por homicidio en niñas y niños entre los 0 y 5 años en relación con el año 2013 donde se presentaron 6 casos</t>
  </si>
  <si>
    <t>Durante 2014, se disminuyó la tasa de mortalidad de niñ@s de 0 a 5 años por 1.000 nacidos vivos, pasando de 12.7 a 10.2, lo cual evidencia que Cundinamarca se encuentra por debajo de la media nacional (12.8)</t>
  </si>
  <si>
    <t>Frente a la tasa de desnutrición aguda se observa un aumento, pasando de 5.1% en el año 2013 a 5.3% en el año 2014.</t>
  </si>
  <si>
    <t>Se fomentó habilidades y destrezas con actividades lúdicas, deportivas y recreativas a través de la vinculación de 35.523 niñas y niños de o a 5 años durante el año 2014, lo que representa un cubrimiento del del 30.49%, superior al estimado para cada año que corresponde al 15% (17.472).</t>
  </si>
  <si>
    <t>Se desarrolló el programa “ALTO AHÍ, PRIMERO YO, Y DIGO NO” para prevenir el abuso sexual infantil en 67 municipios con la participación de 1.616 familias y 2.160 niños y niñas, posicionando al personaje “SUPERGOBIERNITO”.</t>
  </si>
  <si>
    <t>Se implementó y certificó el Segundo Banco de Leche Humana en la Empresa Social del Estado - ESE Hospital San Rafael de Facatativá, a través de los cuales se mejoran las condiciones de nutrición de los niñ@s menores de 5 años y la promoción de la lactancia materna.</t>
  </si>
  <si>
    <t>Se creó la ruta de atención integral para el Inicio Parejo de la Vida en las Institución prestadora de salud - IPS de 20 municipios priorizados con el apoyo Ministerio de Salud y de Protección Social.</t>
  </si>
  <si>
    <t>134 bibliotecas públicas fueron dotadas con programas y material bibliográfico dirigido a la primera infancia en alianza con el Ministerio de Cultura.</t>
  </si>
  <si>
    <t>Se mejoró las condiciones nutricionales cubriendo el 35% de las necesidades calóricas del valor calórico total diario a 6.500 niños y niñas menores de 5 años ya 2.600 madres gestantes a través de la entrega de 100.000 paquetes de complementación nutricional, acompañado de charlas familiares en nutrición y hábitos de vida saludable.</t>
  </si>
  <si>
    <t>Durante el 2014, se presentaron 2 casos de muertes de niños y niñas de 6 a 11 años, lo cual evidencia un aumento, partiendo de que en el año 2013 no se presento ningun caso.</t>
  </si>
  <si>
    <t>En el año 2014, se presento 1 muerte por homicido en accidentes de tránsito en niñ@s de 6 a 11 años, lo cual implica una reducción del 83.35%, con relación a los 6 casos presentados en el año 2013.</t>
  </si>
  <si>
    <t>Durante el año 2014, se alcanzó una cobertura bruta en transición del 90.4%, equivalente a 19.487 niñ@s, lo cual evidencia un aumento progresivo importante en la cobertura durante la presente administración, superando la meta proyectada en el plan de desarrollo.</t>
  </si>
  <si>
    <t>En el año 2014, se mantuvo la cobertura bruta de básica primaria sobre el 100%, alcanzando un 100 %,con lo cual se da cumplimiento a la meta en esta vigencia.(La cobertura bruta se mide con el total de la población estudiantil sobre la población de 5 a 17 años).</t>
  </si>
  <si>
    <t>Para el año 2014 la tasa de deserción escolar fue del 2.4, manteníendose la misma tasa del año 2013, lo cual es muy importante por que representa una reducción mayor a la esperada en el cuatrienio.</t>
  </si>
  <si>
    <t>Se fomentó en los niñ@s de 6 a 11 años, las habilidades y destrezas a través de la vinculación de 64.727 niñ@s a diferentes actividades deportivas, recreativas y artísticas durante el año 2014, lo que representa un cumplimiento de la meta para esta vigencia del 79%.</t>
  </si>
  <si>
    <t>Se adoptó el Plan Decenal de Educación del Departamento de Cundinamarca 2013–2022 “Por un territorio educado, pacífico e innovador”, mediante Ordenanza No 248 de 2014.</t>
  </si>
  <si>
    <t>Se certificaron los servicios prestados en Los Centros de Protección de la beneficencia de Cundinamarca en, NTCGP1000, ISO 9001 SC – CER250232 e IQNET por el ICONTEC.</t>
  </si>
  <si>
    <t>90 bibliotecas públicas del Departamento con un acompañamiento de tutores y 30 bibliotecas públicas con acompañamiento de promotores implementaron el material bibliotecario dirigido a los niños y niñas de 6-11 años.</t>
  </si>
  <si>
    <t>Se Certificarón de 3 “Escuelas Calidad de Vida”, estas son: Institución Educativa Rural Departamental Andes - Sede Laurel Alto - Municipio de San Bernardo; Institución Educativa Departamental Las Margaritas - Sede Quebrada Honda - Municipio de Cogua; y Institución Educativa Departamental San Juan de Ríoseco.</t>
  </si>
  <si>
    <t>Se redujo 13% (4 casos) las muertes por homicidios en adolescentes para el año 2014 en relación con los 30 casos reportados para el 2013.</t>
  </si>
  <si>
    <t>Quebramos la tendencia de incremento de muertes por accidentes de tránsito en adolescentes pasando de 24 muertes en el año 2013 a 2 muertes en el año 2014.</t>
  </si>
  <si>
    <t>Se aumentó la cobertura bruta en educación media vocacional pasando de 79% en el año 2013 a 80% en el año 2014 superando el valor esperado para el cuatrienio.</t>
  </si>
  <si>
    <t>Se vincularon en actividades deportivas, recreativas y culturales a 111.397 adolescentes correspondientes al 97%s, superando la meta programada para el año.</t>
  </si>
  <si>
    <t>33.986 estudiantes se beneficiarón con complemento nutricional y mejoramiento de la calidad del servicio a través de la dotación con menaje para los restaurantes escolares.</t>
  </si>
  <si>
    <t>97.821 estudiantes adolescentes de las Instituciones educativas participaron en los Juegos Intercolegiados – Supérate, logrando en la fase zonal nacional posicionar al departamento en el primer lugar; en la fase final nacional ocupar la séptima posición; y en la fase internacional participar en los “Juegos Suramericanos Escolares” con la participación de 24 adolescentes en las disciplinas de Futbol Sala Femenino, Voleibol Femenino, Ajedrez y Atletismo.</t>
  </si>
  <si>
    <t>Se beneficiaron a 45.626 estudiantes que demandaron el servicio de transporte escolar y con subsidio de alojamiento se beneficiaron a 89 estudiantes de 6 municipios.</t>
  </si>
  <si>
    <t>Se sensibilizó a 13.024 adolescentes de 61 municipios con acciones de salud sexual y reproductiva, prevención y cesación del consumo de Tabaco, a través de los “Servicios Amigables de Salud para Adolescentes”.</t>
  </si>
  <si>
    <t>Se consolidó a nivel del departamento con 3.500 usuarios el Observatorio Pedagógico y las Redes Sociales Educativas con nuevos sitios y temáticas en inglés, ciencias sociales, convivencia, plan decenal y ciencias naturales.</t>
  </si>
  <si>
    <t>Se conformaron en 249 Instituciones educativas gobiernos escolares.</t>
  </si>
  <si>
    <t>Se redujo en 47.7% las muertes por homicidios en jóvenes en el año 2014, pasando de 136 casos en el 2013 a 71 casos en el año 2014, superando la meta establecida para el cuatrienio.</t>
  </si>
  <si>
    <t>Se redujo en 57.4% los homicidios por accidentes de tránsito en jóvenes, pasando de 101 casos en el 2013 a 43 casos en el 2014, superando la meta establecida para el cuatrienio.</t>
  </si>
  <si>
    <t>Se logró vincular al 3.5% (7.893) de jovenes en actividades deportivas y recreativas durante el año 2014, alcanzando solo el 10% de lo programado para el cuatrienio.</t>
  </si>
  <si>
    <t>Se logró aumentar la presencia de jóvenes constructores de paz en 12 provincias del departamento</t>
  </si>
  <si>
    <t>Se implementó la Estrategia de Prevención y Promoción de consumo responsable de alcohol, Pactos por la vida, Saber beber saber Vivir, en los municipios de Madrid, Facatativá, Mosquera, Girardot, Ubate y Pacho.</t>
  </si>
  <si>
    <t>Se aumentó la matricula en educación superior 1.545 cupos aumento matrícula en educación superior través de la regionalización de la Educación superior en Cundinamarca.</t>
  </si>
  <si>
    <t>Se implementó formación virtual profesional en los CERES, con el apoyo del Politécnico Gran Colombiano, la Fundación del Área Andina, el Instituto Tolimense de Formación Técnica Profesional (ITFIP) y la Universidad Antonio Nariño.</t>
  </si>
  <si>
    <t>Se realizó el Encuentro Departamental de Política Pública de Juventud y los Encuentros Provinciales de Juventud, orientados a fortalecer el liderazgo juvenil, socializar el Estatuto de Ciudadanía Juvenil, capacitar en Plataforma de Juventud y en Política Publica de Juventud.</t>
  </si>
  <si>
    <t>Red de Comunicación y Movilización Juvenil conformada con jóvenes de emisoras comunitarias, emisoras estudiantiles, programas de t.v. de 9 municipios y 5 provincias así mismo se apoyaron 3 emisoras juveniles de los municipios de Soacha, Girardot y Mosquera.</t>
  </si>
  <si>
    <t>4 iniciativas juveniles participaron en proceso de fortalecimiento y educación ambiental en los predios de reserva hídrica: Granada (Laguna Verde), Choachí (Flupice - Educacion ambiental), Pacho (Wayoque), Zipaquira (Red de Paramo Guerrero), Silvania y Tibacuy (Corjoacun).</t>
  </si>
  <si>
    <t>Se redujo en 49% (295 casos) las muertes por homicidios en adultos pasando de 599 muertes en el año 2013 a 304 muertes en el año 2014, superando la meta establecida para el cuatrienio.</t>
  </si>
  <si>
    <t>Se redujo en 80.17% (182 casos) las muertes por accidentes de tránsito, pasando de 227 muertes en el año 2013 a 45 muertes en el año 2014, superando la meta establecida para el cuatrienio.</t>
  </si>
  <si>
    <t>Se logró vincular al 12.20%(16.917) de adultosy adultas en actividades deportivas y recreativas durante el año 2014, disminuyendo la participación en comparación con el año 2013.</t>
  </si>
  <si>
    <t>Se implementó en el 100% de los municipios priorizados el Plan Municipal de Cáncer con la atención de 39.977 casos.</t>
  </si>
  <si>
    <t>Se implementó la estrategia de entornos laborales saludables, identificando 715 unidades de trabajo informal donde se sensibilizaron a 239 adultos trabajadores previniendo accidentes, enfermedades y mortalidad de orígen laboral a través de la inspección de riesgos y entrega de plan de mejoramiento.</t>
  </si>
  <si>
    <t>Se benefició a 1.095 adultos con el modelo de educación para adultos CRECER</t>
  </si>
  <si>
    <t>Se atendieron a 30.809 adultos a través del programa de Hábitos y Estilos de Vida Saludable.</t>
  </si>
  <si>
    <t>Se realizó el “Tercer Encuentro Departamental de Bibliotecas Públicas de Cundinamarca” con la participación de 115 bibliotecólogos con el objeto de fortalecer procesos.</t>
  </si>
  <si>
    <t>2.257 dignatarias y dignatarios comunales formados en temas de reforma estatutaria, legislación comunal, control, inspección y vigilancia.</t>
  </si>
  <si>
    <t>Se realizaron los zonales y Departamental de músicas tradicionales campesinas, urbanas y populares de Cundinamarca con la participación de 1.935 músicos.</t>
  </si>
  <si>
    <t>Se redujo en un 56.9% las muertes por homicidios en adultos mayores, pasando de 86 muertes en el año 2013 a 37 muertes en el año 2014, logrando superar la meta del cuatrienio.</t>
  </si>
  <si>
    <t>Se redujo en 80% las muertes por accidentes de tránsito en adultos mayores, pasando de 86 muertes en el 2013 a 17 muertes en el 2014</t>
  </si>
  <si>
    <t>Se logró vincular a 9.26% (13.715) de adultos mayores en actividades recreativas,deportivas y artisticas superando la meta establecida para el cuatrienio.</t>
  </si>
  <si>
    <t>400 adultos mayores con seguridad alimentaria a través de la entrega de una ración caliente "Desayuno, Almuerzo o Comida" en 16 municipios</t>
  </si>
  <si>
    <t>Se crearón los Bancos de Saberes de los municipios de Cota – Girardot – Tibirita – Soacha - San Juan de Rioseco – Ubaque como Modelos piloto a replicar.</t>
  </si>
  <si>
    <t>62.100 adultos mayores de 47 municipios participan en la implementación del Programa Integral de Hábitos y Estilos de Vida Saludable priorizando temas como la actividad física, nutricional, salud mental, salud laboral, salud sexual y salud bucal.</t>
  </si>
  <si>
    <t>Levantamiento de línea de base de necesidades y caracterización de centros día, centros de protección y grupos de adultos mayores en el marco de la formulación de la Política de Envejecimiento y Vejez en 10 provincias.</t>
  </si>
  <si>
    <t>Programa Hábitos y Estilos de Vida Saludables posicionado a nivel nacional entre los diez (10) mejores del país por la organización estratégica y técnica.</t>
  </si>
  <si>
    <t>Se logró la vacunación de 13.223 adultos mayores contra neumococo y 55.414 adultos mayores contra influenza en los 116 municipios.</t>
  </si>
  <si>
    <t>Nueva fuente de financiación para los programas de prevención y promoción de los Centro de Bienestar del Anciano y Centros de Vida a través de la “Estampilla para el Bienestar del Adulto Mayor” - Ordenanza 216 de 2014 autorizada por la Ley 687 de 2.001, modificada por la Ley 1276 de 2.009.</t>
  </si>
  <si>
    <t>59 Organizaciones de mujeres con emprendimientos participaron en la Feria de las colonias.</t>
  </si>
  <si>
    <t>1.066 mujeres formadas para el trabajo en manualidades y belleza.</t>
  </si>
  <si>
    <t>Se crearon 63 Consejos Consultivos de Mujer en el marco de la política de mujer.</t>
  </si>
  <si>
    <t>Se institucionalizó la campaña “Ruta de Atención a niñas y mujeres Víctimas de violencia” en los 116 municipios mediante Acuerdo de Voluntades en el marco de cumplimiento de la Ley 1257 de 2008. No Violencia contra la Mujer.</t>
  </si>
  <si>
    <t>Se conformó y puso en marcha del Comité Departamental de Seguimiento a la Ley 1257 .No violencia contra la mujer.</t>
  </si>
  <si>
    <t>5.517 mujeres de 2.970 organizaciones participaron en encuentros, eventos y jornadas de capacitación, que promueven el liderazgo y la participación</t>
  </si>
  <si>
    <t>Se vincularon 15.000 familias en actividades a través de la articulación intersectorialdurante el año 2014.</t>
  </si>
  <si>
    <t>7.270 familias de red unidos promovidas a través de acciones conjuntas de las entidades del departamento dirigidas al cumplimiento de los logros de la Estrategia UNIDOS del ANSPE.</t>
  </si>
  <si>
    <t>593 familias de Red Unidos cambian la condición de habitabilidad a través del mejoramiento de pisos y techos de viviendas rurales.</t>
  </si>
  <si>
    <t>Se mejoraron pisos y techos a 693 viviendas rurales de 11 municipios.</t>
  </si>
  <si>
    <t>4.970 familias de Red Unidos se atendieron en la dimensión de habitabilidad con la entrega de filtros purificadores con el apoyo de la Federación Departamental de Cafeteros.</t>
  </si>
  <si>
    <t>16 Bancos de Alimentos en funcionamiento operados por la Fundación Niebla y con acompañamiento en temas nutrición, perdón y reconciliación, dinámica familiar, salud sexual y reproductiva.</t>
  </si>
  <si>
    <t>Atención a personas en situación de discapacidad a través del Centro Integral de Rehabilitación – CIREC con brigadas de rehabilitación, consulta especialidad de ortopedia, trabajo social, fisioterapia y servicios técnicos de prótesis y órtesis, suministro de ayudas técnicas de movilidad externa, prótesis y órtesis, entrega de 185 ayudas técnicas de alta gama.</t>
  </si>
  <si>
    <t>Se entregaron 699 ayudas técnicos entre sillas de ruedas, caminadores, muletas y bastones de orientación y audífonos las cuales mejoraran la movilidad de las personas en situación de discapacidad, gracias a la donación de Iglesia de Jesucristo de los Ultimos Días, el Centro Integral de Rehabilitación CIREC y la Corporación OIR.</t>
  </si>
  <si>
    <t>Se implemento en 10 municipios la estrategia de rehabilitación basada en comunidad como una herramienta de empoderamiento de las personas en condición de discapacidad, desarrollando jornadas de salud, jornadas deportivas, alternativas de generación de ingresos y formación de agentes de cambio como proceso de formación de formadores en derechos y deberes.</t>
  </si>
  <si>
    <t>Se asignaron recursos para 4 proyectos de vivienda urbana que beneficiaran 481 familias y 2 proyectos para construcción de obras de urbanismo que beneficiaran a 345 familias.</t>
  </si>
  <si>
    <t>Se implementó rutas departamentales para atención integral y accesibilidad a proyectos dirigido a Víctimas del Conflicto Armado, en funcionamiento.</t>
  </si>
  <si>
    <t>Herramienta VIVANTO de la Unidad para la Atención y Reparación Integral a las Víctimas en funcionamiento con el objeto de lograr la identificación de personas víctimas del conflicto armado – VCA en el marco de la Ley 1448/11.</t>
  </si>
  <si>
    <t>Se inició la construcción del “Centro Regional de Atención y Reparación Integral a las Víctimas del Conflicto Armado” en el Municipio de Soacha, como resultado del esfuerzo del nivel nacional y territorial.</t>
  </si>
  <si>
    <t>Se implementó la ruta PAPSIVIC para la atención psicosocial de la población VCA a nivel individual y comunitario en 7 municipios.</t>
  </si>
  <si>
    <t>304 familias VCA se beneficiaron con la implementación de proyectos agropecuarios para la generación de ingresos (sistemas productivos establecidos, bovinos doble propósito, avicultura, porcicultura, apicultura, piscicultura, cultivo de piña entre otros), en los Municipios de Beltrán, Cabrera, Medina, El Peñón, Guayabal, Medina, Pulí, Sibaté, Silvania y Tibacuy.</t>
  </si>
  <si>
    <t>79 mujeres VCA y 12 familias de la población Kuankuama (Nilo) se beneficiaron con proyectos agropecuarios de los municipios de Beltrán, Tibacuy y San juan de Rioseco.</t>
  </si>
  <si>
    <t>Garantizando las medidas en asistencia en salud, el departamento gestionó el acceso a la prestación de servicios de salud al 100% de la población pobre no asegurada que demande las atenciones en salud y afiliada al régimen subsidiado en lo no cubierto por subsidios a la demanda.</t>
  </si>
  <si>
    <t>Se logró el fomento a la actividad física con inclusión de 1.682 adultos y personas mayores VCA en los municipios caracterizados como pos-conflicto del Departamento, mediante el desarrollo del programa “Hábitos y Estilos de Vida Saludable”, contribuyendo a la disminución de los índices de enfermedades crónicas degenerativas, con actividades determinadas por las preferencias y necesidades de los distintos ciclos de vida.</t>
  </si>
  <si>
    <t>Se fomentó la recreación, con la inclusión de 4.468 personas víctimas del conflicto armado VCA en los municipios caracterizados como pos-conflicto del Departamento, como un proceso de acción participativa y dinámica, que facilita entender la vida como una vivencia de disfrute, creación y libertad, en el pleno desarrollo de las potencialidades del ser humano.</t>
  </si>
  <si>
    <t>Se creó de Link en la página web de la Secretaria de Gobierno con el objeto abrir procesos de socialización y participación en la implementación de la Política Pública de Personas VCA.</t>
  </si>
  <si>
    <t>Se construyeron 1.921 m2 de baterías de baños nuevas en instituciones educativas.</t>
  </si>
  <si>
    <t>Se realizó mantenimiento a 2.700 m2 de aulas y baterías de baños de las instituciones educativas.</t>
  </si>
  <si>
    <t>Se construyeron 9.077 m2 entre aulas nuevas, baterías de baños y restaurantes escolares en las instituciones educativas.</t>
  </si>
  <si>
    <t>Se intervinieron los centros de salud y hospitales con el objeto de optimizar la atención primaria o básica para atender las necesidades de la comunidad.</t>
  </si>
  <si>
    <t>Se apoyaron 6 proyectos para la conservación y restauración del patrimonio cultural en Girardot, Tocaima, Gachancipá, Nocaima El Peñon, La Mesa.</t>
  </si>
  <si>
    <t>Se realizó el Plan Especial de Manejo y Protección de la Plaza de Mercado de Girardot.</t>
  </si>
  <si>
    <t>Se viene trabajando en la construcción y concertación de la visión del Departamento de Cundinamarca y en la agenda estratégica de planificación territorial e integración regional de largo plazo conjuntamente con el Centro de Naciones Unidas para el Desarrollo Regional – UNCRD, producto que se espera obtener en 2015</t>
  </si>
  <si>
    <t>se apoyó la elaboración de los estudios de amenaza, vulnerabilidad y riesgo por movimientos en masa, inundación, avenida torrencial e incendios forestales de 38 municipios</t>
  </si>
  <si>
    <t>Cundinamarca dispone de la información cartográfica básica con una cobertura del 80% del total del Departamento a escala 1:10.000</t>
  </si>
  <si>
    <t>Contribuimos con la sostenibilidad y abastecimiento del recurso hídrico a los cundinamarqueses, logrando garantizar la preservación de la oferta ambiental de 33.552 hectáreas de predios de interés hídrico de cuyas fuentes se abastecen los acueductos regionales, municipales y veredales.</t>
  </si>
  <si>
    <t>Durante 2014, se adquirieron 2.092 hectáreas, agregando así en el cuatrienio 6,552 hectáreas en 31 municipios (Arbeláez, San Bernardo, Medina, Villapinzón, Une, Choachí, Gachalá, Pacho, Pasca, Venecia, Guatavita, Cabrera, Silvania, Caparrapí, Ubalá, Granada, Manta, Supatá, Tibacuy, Yacopí, Chaguaní, Junín, Chipaque, Sasaima, Bojacá, Yacopí, Tibacuy, Albán, Villagómez, Caparrapí y Guachetá).</t>
  </si>
  <si>
    <t>Cundinamarca, se convirtió en el primer Departamento en implementar el mecanismo de Pago por servicios ambientales para promover en los propietarios particulares la conservación y recuperación de áreas de importancia estratégica para la preservación de los recursos hídricos, en el marco del Decreto 0953 de 2013.</t>
  </si>
  <si>
    <t>Apoyo a los procesos de descontaminación en el área rural, mediante la construcción de unidades sanitarias y pozos sépticos para el manejo de aguas residuales.</t>
  </si>
  <si>
    <t>Se avanzó en la protección y recuperación de ecosistemas lenticos en el departamento, los cuales por su capacidad de regulación hídrica se consideran estratégicos para el equilibrio ecológico de la región y determinantes en la capacidad de adaptación del territorio para enfrentar los impactos producidos por el fenómeno del cambio climático.</t>
  </si>
  <si>
    <t>3.720 habitantes Víctimas del Conflicto Armado – VCA de los municipios de Facatativá, Topaipí, Madrid, Silvania y Viotá con suministro de agua potable durante el periodo 2014.</t>
  </si>
  <si>
    <t>Incremento de cobertura en Acueducto de 54.443 nuevos habitantes del sector urbano y rural logrando superar la meta proyectada durante el periodo 2014, en 4.443 habitantes adicionales a los proyectados en 67 municipios.</t>
  </si>
  <si>
    <t>Se Incrementó la cobertura en Alcantarillado a 29.679 nuevos habitantes del sector urbano en 11 municipios, Guayabetal, San Juan de Rioseco, Beltrán, Subachoque, Yacopí, Tocancipá y Pulí, La Calera, Madrid, Nimaima, Soacha,</t>
  </si>
  <si>
    <t>Beneficiar a 40.593 personas de las zonas rurales del Departamento con el servicio de agua potable.</t>
  </si>
  <si>
    <t>aumentó la capacidad de almacenamiento de agua del municipio de Facatativá, a través de la terminación y puesta en marcha del Embalse Mancilla, beneficiando a una población de 142.320 habitantes con una inversión para este periodo de $2.166 millones.</t>
  </si>
  <si>
    <t>Se mejoró la calidad de vida a más de 9.540 habitantes del área rural del departamento a través de la construcción de 1.908 unidades sanitarias, aportando así mismo mejoras a las condiciones ambientales en materia de aguas residuales de las cuencas hidrográficas en donde se encuentran asentados los pobladores beneficiados, por un valor de $12.380 millones.</t>
  </si>
  <si>
    <t>En el marco del programa “Agua, Vida y Saber”, beneficiar 24.150 personas con el servicio de agua potable a través de la construcción de 54 Plantas de Tratamiento de Agua Potable en las escuelas rurales del Departamento en 45 municipios con los mayores índices de morbilidad y mortalidad infantil, de las provincias de Almeidas, Alto y Bajo Magdalena, Gualivá, Medina, Oriente, Rionegro, Sumapáz y Magdalena centro</t>
  </si>
  <si>
    <t>con recursos de cooperación internacional gestionados con el Banco de Desarrollo de América Latina de la CAF se estructuró el banco de proyectos de agua potable y saneamiento básico por cerca de $1.317 millones,</t>
  </si>
  <si>
    <t>En lo concerniente con las Plantas de Tratamiento de Agua Potable (PTAP), por un valor de $ 8.168 millones se adelanta la construcción de seis en La Peña, La Vega, Madrid, Pandi, San Juan de Rioseco y Subachoque en beneficio de 48.135 habitantes y, en lo concerniente a las Plantas de Tratamiento de Aguas Residuales (PTAR), se construyen en La Peña y La Vega proyectos que beneficiarán a 6.208 habitantes, por un valor de $2.590 millones.</t>
  </si>
  <si>
    <t>Se ha posicionado la estrategia “Cundinamarca Neutra”, como una estrategia que busca concientizar e interiorizar en los cundinamarqueses la necesidad de emprender acciones de cálculo, reducción y compensación de la huella de carbono para mitigar efectos del cambio climático.</t>
  </si>
  <si>
    <t>Protección de la oferta de bienes y servicios a través de estrategias de conservación del recurso hídrico representadas en las eco regiones mediante el incremento de hectáreas de ecosistemas estratégicos para la conservación del recurso garantizando el abastecimiento de agua potable a 2.500 familias cundinamarquesas, lo que representa el mejoramiento de la calidad de vida de aproximadamente 12.500 cundinamarqueses.</t>
  </si>
  <si>
    <t>se obtuvieron los productos de los procesos de revisión y ajuste de los esquemas de ordenamiento territorial con una visión regional de 8 municipios (7 provincia de Oriente + Utica) Así mismo, se financió y está en proceso de ejecución el de 11 municipios más.</t>
  </si>
  <si>
    <t>Se ha avanzado con 5458 hectáreas renovadas en los sistemas de caucho, caña panelera, frutales, hortalizas, cacao, café y renovación de praderas (2.230 has en 2012 y 3228 en 2013), lo cual representa un 41.3% de lo propuesto para el cuatrienio, a la fecha aún no se tiene agregadas las cifras de 2014, las cuales se obtendrán en el primer trimestre de 2015, por lo cual no es posible establecer aun el aumento en la hectáreas cultivadas</t>
  </si>
  <si>
    <t>se ha incrementado un 15.85% las toneladas anuales de la producción de alimentos, lo cual muestra un cumplimiento muy superior al trazado en esta meta, no obstante, a la fecha no se encuentra aun consolidados los datos de 2014, cuya fuente de información son las estadísticas agropecuarias de Cundinamarca.</t>
  </si>
  <si>
    <t>Se impulsó el potencial productivo de las siete cadenas productivas priorizadas con ampliación y sostenimiento de áreas a través del fomento y programas de fertilización</t>
  </si>
  <si>
    <t>Se promovió el financiamiento agropecuario a través de los programas de Incentivo a la Capitalización Rural – ICR, con 838 entregados en el 2014, con garantías complementarias y subsidio a la taza, lo que permite a nuestros productores mejorar las condiciones de producción y comercialización de productos.</t>
  </si>
  <si>
    <t>Así mimo, financiamiento agropecuario con gestión de recursos del Sistema General de Regalías SGR, por valor de $4.277.100.000 para fortalecimiento de cadenas (frutales, cacao y caucho), en capacitación, establecimiento de nuevas hectáreas, seguimiento y buenas prácticas agrícolas.</t>
  </si>
  <si>
    <t>Dotación de 19 bancos de maquinaria del sector lácteo, papa y panela, entrega de maquinaria y equipos en los diferentes sectores agropecuarios.</t>
  </si>
  <si>
    <t>Implementación de sistemas silvopastoriles y mejoramiento de praderas en 800 fincas de Municipios de sabana de Bogotá y valle de Ubaté. Estrategias de producción sostenible del eslabón primario de la cadena cárnica, caracterización sistemas productivos, Capacitación en Buenas Practicas Ganaderas - BPG, establecimiento de aislamientos, plantación de árboles, renovación de praderas.</t>
  </si>
  <si>
    <t>En el sistema Porcícola se capacitaron 823 productores en temas de Buenas prácticas Porcícola, Inseminación artificial, asociatividad, montaje de 37 biodigestores y entrega de siete 7 neveras para almacenamiento y entrega de material Divulgativo.</t>
  </si>
  <si>
    <t>Se reglamentó el Fondo de Emprendimiento Departamental para los 116 municipios, el cual busca poner a disposición de los emprendedores, empresarios, productores de las Regiones, personas naturales y jurídicas, recursos de capital semilla para el desarrollo de planes de negocio o planes de inversión. Así mismo, se llevó a cabo la implementación, dotación de maquinaria y equipo para proyectos productivos a 387 unidades productivas de los diferentes municipios de Departamento.</t>
  </si>
  <si>
    <t>Avance en la instalación y puesta en marcha de un proyecto piloto a nivel nacional de agro industrialización de la papa en el municipio de Villapinzón proyecto que terminara su ejecución en el primer semestre del 2015.</t>
  </si>
  <si>
    <t>Contribuimos al mejoramiento de las condiciones nutricionales de la población rural con el fomento de la producción y disponibilidad de alimentos suficientes y permanentes de 1965 familias con establecimiento de parcelas agropecuarias para producir alimentos de autoconsumo y el montaje de 14 Hectáreas de Quinua</t>
  </si>
  <si>
    <t>Montaje de cuatro granjas piloto demostrativas como estrategia para mejorar la seguridad alimentaria con producción limpia y sostenible, aumentando los ingresos de las familias.</t>
  </si>
  <si>
    <t>Formalización y fortalecimiento de 10 asociaciones de mujeres en elaboración proyectos, actualización tributaria, registro ante cámara y comercio.</t>
  </si>
  <si>
    <t>Gestión de recursos por valor de $ 3.285.526.500 para apoyo de 10 alianzas productivas (sistemas productivos de frutales, leche y papa criolla).</t>
  </si>
  <si>
    <t>333,42 hectáreas adecuadas beneficiando a 398 familias, optimizando el manejo del recurso hídrico para el establecimiento y mejoramiento de los sistemas productivos</t>
  </si>
  <si>
    <t>Apoyo al establecimiento de 90 proyectos productivos aprobados mediante convocatoria de acceso a tierras.</t>
  </si>
  <si>
    <t>Fortalecimiento de las 116 UMATAS / EPSAS del departamento a través de dotación de maquinaria y equipos fortaleciendo programas de extensión</t>
  </si>
  <si>
    <t>El número de toneladas diarias dispuestas en el relleno sanitario Nuevo Mondoñedo obedece a la disposición de un promedio de 79 municipios del departamento que disponen técnicamente sus residuos en este escenario. La tendencia, a pesar de los esfuerzos del departamento por promover la minimización, se ve altamente afectada por el aumento poblacional en los municipios de borde, condición que limita la pertinencia del indicador y no refleja el impacto real de las estrategias adoptadas a través de las metas de producto.</t>
  </si>
  <si>
    <t>Apoyo al ajuste de los planes de gestión integral de residuos sólidos PGIRS de los municipios de Fusagasugá, Chocontá y Villapinzón, con la nueva metodología expedida por los Ministerios de Ambiente y de Vivienda, con recursos de la vigencia 2014.</t>
  </si>
  <si>
    <t>Mediante la implementación de programas de capacitación en el uso técnicas y tecnologías de transformación de residuos sólidos y actividades de Educación y concientización para la separación en la fuente de Residuos sólidos a cerca de 54 municipios, se busca reducir los volúmenes de residuos que se disponen en los rellenos sanitarios, así como la reducción de los Gases Efecto invernadero.</t>
  </si>
  <si>
    <t>Se promovió la aplicación adecuada de la Política Nacional para el Manejo de Residuos Sólidos, mediante la expedición de la Ordenanza 0232 de 2014, por la cual se adoptan los lineamientos de política departamental de residuos sólidos para Cundinamarca y la creación mediante Decreto de la mesa Departamental de residuos Sólidos.</t>
  </si>
  <si>
    <t>Como estrategia importante de manejo integral de residuos sólidos, se están implementando dos (2) proyectos de aprovechamiento regional de residuos sólidos en las provincias de Rionegro y Ubate, así como proyectos municipales de aprovechamiento en cerca de 18 municipios de las provincias de Oriente y Magdalena Centro.</t>
  </si>
  <si>
    <t>Se garantizó en 2014, la disposición final adecuada de cerca de 440.000 toneladas de residuos sólidos urbanos en el relleno sanitario Nuevo Mondoñedo, pertenecientes a cerca de 79 municipios del Departamento.</t>
  </si>
  <si>
    <t>beneficiaron 31.115 habitantes de los municipios de Cáqueza, Subachoque, El Colegio, Quebradanegra, Yacopí, La Palma y Sasaima, con la entrega de 7 vehículos compactadores, por un valor de $ 1.789 millones de pesos, los cuales permitirán mejorar la recolección, transporte y manejo de los residuos sólidos, mitigando la contaminación ambiental por lixiviados y la dispersión de residuos durante el transporte hasta el sitio de disposición final, junto con la disminución de gastos de combustible y mantenimiento, entre otros. Reduciendo la disposición de los desechos en sitios clandestinos y optimizando así el servicio.</t>
  </si>
  <si>
    <t>Se ha cumplido con esta meta por cuanto la totalidad de municipios de 10 de las 15 provincias del departamento han cumplido con los instrumentos de planificación establecidos en la ley 1523 de 2012, mediante la elaboración del plan municipal de gestión del riesgo, documento en el cual se plasman los procesos de conocimiento, reducción y manejo de desastres, identificando los principales escenarios de riesgo de cada municipio y planteando alternativas y proyectos para su adecuado manejo.</t>
  </si>
  <si>
    <t>Cundinamarca se ha destacado por la implementación de diversas acciones en cada uno de los procesos, en busca de aumentar la capacidad de respuesta de la población y del territorio frente a la ocurrencia de fenómenos naturales y antrópicos y de adaptación, mitigación frente al cambio y variabilidad climática, al punto que se ha hecho merecedor de reconocimientos</t>
  </si>
  <si>
    <t>Recuperación de redes de comunicaciones en las 15 provincias con puntos focales de comunicaciones bajo la red VHF (alta frecuencia).</t>
  </si>
  <si>
    <t>Implementación de la plataforma tecnológica con Numero Único Sistema de Emergencias (NUSE - 123) en coordinación con las Fuerzas Militares y la Policía Nacional. Con una cobertura mayor al 70% del departamento lo cual permite, ampliar sus canales de comunicación para que los ciudadanos cuenten con los medios que les permita tener contacto con los sistemas de emergencias y manejo de riesgo, dando inicio así a la consolidación de un sistema integrado de información para brindar acceso a funcionarios y ciudadanía en general, a información conforme a un protocolo de acceso regulado.</t>
  </si>
  <si>
    <t>Adquisición por parte del Departamento, de 18 camionetas doble tracción de doble cabina, dotadas con equipos contra incendio de ultra presión, luces y alarmas de emergencia, capacidad de carga de 100 galones de agua y 10 galones de espuma con carretel de 60 metros de rápida acción para ataque de incendios y atención de emergencias.</t>
  </si>
  <si>
    <t>Se fortaleció la capacidad de la Red Pública Hospitalaria Departamental para responder a las emergencias con la adquisición de 44 ambulancias de Transporte Básico, para aumentar la capacidad de respuesta en transporte terrestre de la red pública hospitalaria del departamento.</t>
  </si>
  <si>
    <t>Durante el año 2014 se atendieron 90 emergencias por desabastecimiento de agua o interrupción de los sistemas de acueducto y alcantarillado, con las cuales se beneficiaron los municipios</t>
  </si>
  <si>
    <t>En 2014 el área forestal comercial del departamento, aumento en 1.022 hectáreas establecidas principalmente en la zona occidente (eco regiones Magdalena y Centro Andina) beneficiando a 564 familias con el establecimiento de sistemas forestales y agroforestales con especies maderables y 850 familias con la instauración de árboles frutales diversificando las unidades agrícolas</t>
  </si>
  <si>
    <t>Establecimiento de 1.352,5 hectáreas bajo sistemas productivos forestales, agroforestales y silvopastoriles con 497.450 árboles de especies maderables y frutales; bajo un enfoque ecosistémicos, aprovechando los múltiples beneficios que genera la siembra de un árbol en un espacio; brindando recuperación de la dimensión natural del territorio y a la vez diversificando la unidad agropecuaria de las familias cundinamarquesas</t>
  </si>
  <si>
    <t>Establecimiento de 92,1 hectáreas en zonas de interés para la conservación del recurso hídrico con la especie de guadua con el fin de proteger las áreas de recarga hídrica que abastecen acueductos veredales importantes para los municipios del departamento; además de zonas procesos de perdida de cuerpos de agua.</t>
  </si>
  <si>
    <t>Instalación y puesta en marcha del centro de propagación vegetal ubicado en el municipio de Caparrapí; su operación permitirá la producción de 100.000 plántulas anuales. Sumado a los centros de propagación ubicados en los municipios de Nocaima y Sibaté, con estos 3 viveros tiene la capacidad de producir 240.000 plántulas anuales; cada uno especializado en la producción de plantas en su gran mayoría nativas que se adaptan a los pisos térmicos del departamento.</t>
  </si>
  <si>
    <t>Diversificación de productos de la unidad agrícola beneficiando a más de 850 familias en 17 municipios con la siembra de 30.000 árboles frutales de dos variedades de aguacate.</t>
  </si>
  <si>
    <t>Aumento en los servicios ambientales de zonas donde se restableció la cobertura boscosa, 134 hectáreas para la recuperación de zonas de interés de los municipios del departamento enmarcadas en zonas de importancia ambiental y ecológica</t>
  </si>
  <si>
    <t>Se ha apoyado y promovido el financiamiento agropecuario a través de los programas de ICR (incentivo a la capitalización Rural) logrando la entrega de 838 en el 2014, Garantías complementarias y subsidio a la taza, lo que permite a nuestros productores mejorar las condiciones de producción comercialización de productos.</t>
  </si>
  <si>
    <t>se implementaron y mantuvieron Tres (3) Observatorios, dos de alcance departamental y uno de cobertura subregional (Tequendama y Alto Magdalena), con lo cual se facilita información relevante para la toma de decisiones y formulación de política pública. La estructuración de una Alianza Estratégica para formar parte de la Red Nacional de Observatorios de Mercado de Trabajo - RED ORMET - y la firma del Acuerdo de Voluntades para la puesta en marcha del ORMET Cundinamarca. Se cuenta con una fuerte institucionalidad cooperante que vincula al Ministerio del trabajo, PNUD, Academia, delegados de sector público/privado, Sindicatos y Cámaras de Comercio.</t>
  </si>
  <si>
    <t>Se llevó a cabo la implementación, dotación de maquinaria y equipo para proyectos productivos a 387 unidades productivas de los diferentes municipios de Departamento. Igualmente, se priorizo la dotación de maquinaria, elementos y equipo a 22 unidades productivas Victimas del Conflicto Armado y se ha mejorado la calidad de vida en 15 municipios del departamento mediante la generación de ingresos de la población.</t>
  </si>
  <si>
    <t>Se reglamentó el Fondo de Emprendimiento Departamental para los 116 municipios, el cual busca poner a disposición de los emprendedores, empresarios, productores de las Regiones, personas naturales y jurídicas, recursos de capital semilla para el desarrollo de planes de negocio o planes de inversión.</t>
  </si>
  <si>
    <t>Los Centros Regionales de Emprendimiento y Asistencia Empresarial (Cundinamarca CREA), están en funcionamiento al servicio del Departamento para convertirse en una herramienta que ayuda a la población cundinamarquesa a consolidar el negocio (empresa, microempresa, famiempresa, o unidad productiva) en cada una de las regiones. Cumpliendo con el cronograma establecido en la vigencia 2014, se mantuvieron en funcionamiento los CREA de ZIPAQUIRA, PACHO, UBATE, y entraron en funcionamiento CAQUEZA, FACATATIVA, MADRID y SAN JUAN DE RIO SECO y se esperan dos (2) más para cumplir con el proyecto financiado con recursos de regalías.</t>
  </si>
  <si>
    <t>el Departamento realizó una alianza estratégica con el Bureau de Bogotá, teniendo en cuenta que este tiene socios y/o afiliados estratégicos como la Cámara de Comercio de Bogotá, Alcaldía Mayor de Bogotá, PROEXPORT y más de 170 afiliados entre restaurantes, cadenas hoteleras, aerolíneas, agencias de viajes, organizadores profesionales de eventos y agencias BTL, entre otros actores, lo cual permite que este sea un espacio de promoción que conlleve al fortalecimiento del Turismo como desarrollo económico del Departamento.</t>
  </si>
  <si>
    <t>en el 2014 logró que doce (12) Cundinamarqueses se beneficiaran de becas-cursos especializados en China, Corea del Sur, España, Japón, Tailandia y Uruguay. Así mismo, se gestionaron hermanamientos con otros países como: Ecuador “Provincia de Pichincha” y Costa Rica a efecto de concretar mecanismos de cooperación recíproca.</t>
  </si>
  <si>
    <t>se realizaron Intercambios académicos en áreas como: proceso de exportación a EEUU, caracterización de la demanda de productos al Estado de Florida (Miami); en MEXICO visita al Eco-parque de LEON GUANAJUATO que propone “la transformación limpia y ambientalmente responsable de las pieles” y en Italia la capacitación en “introducción al mercado artesanal italiano“ e igualmente un curso introductorio al idioma italiano.</t>
  </si>
  <si>
    <t>Finalmente, con el fortalecimiento de la Cooperación sur-sur y descentralizada mediante el intercambio de conocimiento técnico entre Seis (6) Alcaldes del Comité Red Departamental de Cooperación autoridades de los gobiernos locales del Estado de México.</t>
  </si>
  <si>
    <t>PONDERADOR META PRODUCTO CUATRIENIO (%)</t>
  </si>
  <si>
    <t>PONDERADOR META PRODUCTO 2012 (%)</t>
  </si>
  <si>
    <t>2. LOGRO ALCANZADO</t>
  </si>
  <si>
    <t>3. LOGRO ALCANZADO</t>
  </si>
  <si>
    <t>4. LOGRO ALCANZADO</t>
  </si>
  <si>
    <t>5. LOGRO ALCANZADO</t>
  </si>
  <si>
    <t>6. LOGRO ALCANZADO</t>
  </si>
  <si>
    <t>7. LOGRO ALCANZADO</t>
  </si>
  <si>
    <t>8. LOGRO ALCANZADO</t>
  </si>
  <si>
    <t>9. LOGRO ALCANZADO</t>
  </si>
  <si>
    <t>10. LOGRO ALCANZADO</t>
  </si>
  <si>
    <t>Se avanza importantemente en el número de familias beneficiadas con electrificación, a la fecha están recibidas a satisfacción 197, no obstante, en el proceso de ejecución se avanzara ampliamente, con lo cual se vislumbra la superación de la meta propuesta.</t>
  </si>
  <si>
    <t>Se ha beneficiado 29.248 usuarios de 30 municipios con el servicio de gas natural domiciliario, a los cuales se les redujo el costo mensual del combustible en un 30%., No obstante, está en ejecución con lo cual se superará los 52.000 usuarios al finalizar el periodo 2015.</t>
  </si>
  <si>
    <t>454 mineros con buenas prácticas de seguridad, normatividad, gestión ambiental social responsable y sostenibilidad del negocio minero, formados en Universidad Nueva Granada y Javeriana, Sena y CAR. Con los procesos de capacitación e implementación de las Unidades Básicas de Atención Minera –UBAM, así como, el acompañamiento a los mineros del departamento, se ha logrado contribuir a reducir la informalidad en el sector</t>
  </si>
  <si>
    <t>se propuso mejorar el 50% de toda la estructura vial que tiene Cundinamarca. Con múltiples esfuerzos de gestión, se considera que para el 2014 se lleva un avance acumulado de un 43% de la red vial departamental en óptimas condiciones de transitabilidad.</t>
  </si>
  <si>
    <t>Proyecto de Banco de Maquinaria Con inversión de $ 41.091 millones, el Gobierno Departamental ha adquirido hasta el momento un total de 196 máquinas las que han beneficiado a 110 municipios.</t>
  </si>
  <si>
    <t>Gracias a la Gestión del Departamento la Nación a través de la ANI, adjudicó dos proyectos de concesión de Cuarta Generación, de gran importancia para el fortalecimiento de la infraestructura vial de Cundinamarca y para el desarrollo regional y la economía nacional. Los proyectos corresponden a la vía Girardot – Cambao – Puerto Bogotá – Honda – Puerto Salgar, con un costo del orden de $1.7 Billones y la Perimetral de Oriente, que compromete las vías Cáqueza – Ubaque – Choachí – La Calera - Guasca, Salitre – Sopo, Cuatro Esquinas – Guatavita – Sesquilé – La Playa, con una inversión del orden de $1.07 Billones.</t>
  </si>
  <si>
    <t>Construcción de Puentes Interdepartamentales. El departamento financió totalmente la construcción de dos puentes Interdepartamentales y de larga espera, uno de ellos es el Puente Guatimbol, sobre el río Sumapáz, cuyas especificaciones técnicas corresponden a 51 metros de luz; que conecta a los municipios de Venecia, (Cundinamarca) con Icononzo (Tolima) cuya inversión ascendió a $725 millones. construcción del Puente Interdepartamental La Playa, ubicado en la vía Ubalá-La Playa-Chivor (Boyacá) con una inversión de $700 millones.</t>
  </si>
  <si>
    <t>Se realizó la consultoría para el estudio de prefactibilidad priorizando los caminos reales de la provincia del Tequendama, Bojacá, Zipacón y Tocaima; como primer insumo para la recuperación y adecuación de estos. Con la rehabilitación de los caminos históricos se aportara al mejoramiento de la movilidad de peatones, turistas, deportistas y ciclistas.</t>
  </si>
  <si>
    <t>Se fortaleció el Punto de Información Turística (PIT’s) del municipio de Sopo y se implementaron 3 PIT’s en los municipios de Nocaima, La Vega y Nimaima, con esto se aporta a los turistas y nativos y así entregar información de primera mano relacionada con el municipio, la provincia y el Departamento de tal manera que se pueda ubicar centros artesanales, parques temáticos, centros comerciales y diferentes atractivos turísticos con los que cuenta el municipio; lo cual ha conllevado a posicionar a Cundinamarca como destino turístico y cultural.</t>
  </si>
  <si>
    <t>Fueron señalizados 218.34 km en vías urbanas, rurales y departamentales así: a) 162,82 km en vías Municipales. b) 47,52 km en vías Departamentales, c) Señalización y demarcación de 8 KM en zonas escolares.</t>
  </si>
  <si>
    <t>Habilitación, funcionamiento, mantenimiento y operación de los corredores férreos y sus anexidades a cargo del Departamento de Cundinamarca. A partir de convenio de cooperación suscrito con INVIAS, en virtud del cual se hizo entrega al Departamento de algunos corredores férreos, se han realizado las siguientes acciones: 1º. Rehabilitación de 50 Km del corredor férreo Facatativá – La Esperanza. 2º. Limpieza y cerramiento del corredor férreo Soacha calle 22 hasta el salto del Tequendama vereda el salto km 5+763 sector paso urbano del municipio de Soacha - Cundinamarca 3º. Firma en el mes de diciembre para la rehabilitación y mantenimiento corredor férreo tramo Girardot – Pubenza.</t>
  </si>
  <si>
    <t>Cundinamarca mejoro la posición del indice departamental de competitividad al puesto 7 en 2014, lo cual se soporta principalmente en el aumento en la inversión en ACTI, como resultado del acceso a los recursos provenientes del Sistema General de Regalías - SGR, Fondo de Ciencia Tecnología e Innovación, lo cual ha permitido que Cundinamarca a la fecha, cuente con 15 proyectos aprobados por este fondo, cuya inversión asciende a: $ 113.737.183.886</t>
  </si>
  <si>
    <t>El proyecto CeiBa para formación de alto nivel cerró 2014 con tres convocatorias en las que fueron becados 22 estudiantes (2 doctorados, 16 maestrías, 4 jóvenes talento) que podrán cursar estudios de posgrado en universidades como la Javeriana, Nacional, Los Andes y el Rosario.</t>
  </si>
  <si>
    <t>más de 500 líderes cundinamarqueses se graduaron del diplomado Liderazgo en Innovación para la Transformación de Cundinamarca, que busca fomentar la creatividad, innovación y formulación de proyectos para ejercer liderazgo a través de la gestión del conocimiento en sus comunidades, y los 105 estudiantes más destacados del curso participaron en una salida de campo a la ciudad de Medellín donde conocieron de cerca los procesos y desarrollo de la “ciudad más innovadora del mundo”, según el concurso City of theYear.</t>
  </si>
  <si>
    <t>se conformaron tres Consejos Regionales de CTeI en las Provincias de Sabana Occidente y Centro, los cuales incluyen los corredores viales de la Autopista Norte, la Calle 80 y la Calle 13 con el objetivo de aumentar la investigación y fomentar el liderazgo de los municipios en materia de CTeI</t>
  </si>
  <si>
    <t>Semana de la Innovación y Competitividad durante octubre, noviembre y parte de diciembre de 2014 Cundinamarca fue escenario de actividades de interacción, inspiración y co-creación de conocimientos enfocados en despertar el interés científico, tecnológico e innovador de los cundinamarqueses. Esta versión de la Semana de la Ciencia tuvo como principal temática la marca Cundinamarca El Dorado - La Leyenda Viva y el valor agregado que puede aportar la innovación y la tecnología</t>
  </si>
  <si>
    <t>En las provincias de Gualivá, Guavio, Sabana Occidente, Tequendama y Rionegro se aplicaron metodologías que contribuyeron a la divulgación de conocimiento e interacción de actores (estudiantes universitarios, investigadores, científicos, grupos de investigación, emprendedores, empresarios y asociaciones empresariales), y que dieron a conocer la importancia de la marca Cundinamarca como un “sentimiento de proyección de comunidad que afectará positivamente la percepción externa de la región en base a sus atractivos (culturales, gastronómicos, productivos y turísticos), que impulsara el espíritu de empresa, la unidad regional y la identidad del departamento de Cundinamarca”,</t>
  </si>
  <si>
    <t>se han posicionado 2 destinos turísticos Ruta de la Sal (Nemocón- Zipaquirá) y Ruta de Aventura (Nimaima-Tobia).</t>
  </si>
  <si>
    <t>Se beneficiaron 265 personas entre prestadores de servicios, personeros, comisarías de familia y estudiantes con capacitaciones en prevención de la Explotación Sexual con niños, niñas y adolescentes (ESCNNA) y trata de personas en dos corredores turísticos (Bogotá- Fusagasugá-Girardot y La Mesa) y (Bogotá- Puerto Salgar).</t>
  </si>
  <si>
    <t>Con la puesta en funcionamiento e implementación de 3 puntos de información PIT’s de Nocaima, La Vega y Nimaima se ha permitido atender de primera mano a los turistas y visitantes, dándoles a conocer los atractivos turísticos, los eventos culturales y demás programación de los municipios, lo cual ha conllevado a posicionar a Cundinamarca como destino turístico y cultural.</t>
  </si>
  <si>
    <t>Se beneficiaron 73 prestadores de servicios turísticos, ya que se generaron dos formas asociativas turísticas comunitarias La Asociación del Alto y La Asociación del Bajo Guavio, permitiendo un trabajo articulado entre los prestadores y las provincias. Lo anterior ha llevado a un desarrollo eficiente del sector turístico de los municipios que las conforman.</t>
  </si>
  <si>
    <t>se logró dar a conocer un nuevo producto turístico como lo es el turismo de salud, aprovechando la riqueza del Departamento en recursos termales a nivel nacional, contando con 56 nacimientos de aguas termales de los 510 que tiene Colombia.</t>
  </si>
  <si>
    <t>A través de la realización del II Encuentro Departamental de Autoridades de turismo se logró reunir 60 municipios de los cuales asistieron 95 personas entre Alcaldes y Directores de Turismo.</t>
  </si>
  <si>
    <t>Se constituyó la Región Administrativa y de Planeación Especial – RAPE – entre Bogotá Distrito Capital y los departamentos de Cundinamarca, Boyacá, Meta y Tolima.</t>
  </si>
  <si>
    <t>se Promovio el desarrollo Económico regional a través de la participación de 18 empresas y 12 destinos turísticos del departamento de Cundinamarca en la Feria Colombia Trade Expo Miami, y a través de un Convenio por valor de $150 millones de Pesos con la Secretaría de Integración Regional; el IDECUT y la Secretaría de Competitividad y Desarrollo Económico; que permitió expandir y crear oportunidades internacionales de negocios.</t>
  </si>
  <si>
    <t>A través de los convenios de Asociación suscritos con Fenalco Bogotá – Cundinamarca se logró apoyo técnicos, administrativos, institucional, logísticos y financieros para impulsar productivamente a los microempresarios de los municipios de Cabrera, Fusagasugá, Soacha, Cota y Chocontá Fenalco Bogotá - Cundinamarca. De igual forma, se logró el apoyo para la Implementación de una estrategia subregional de desarrollo local, innovador y social, mediante la identificación y desarrollo del potencial competitivo de un núcleo de productores de un sector – cadena productiva – en 14 municipios del Departamento.</t>
  </si>
  <si>
    <t>Una vez puesta en funcionamiento la Fase 1 de la Troncal NQS del Sistema Transmilenio del municipio de Soacha; el Departamento gestionó los recursos con los que se avanza en la actualización y formulación de los estudios y diseños de las fases II y III del proyecto</t>
  </si>
  <si>
    <t>el departamento participa en el proceso de elaboración del CONPES el cual busca garantizar los recursos para la financiación de la construcción de la Troncal Norte- Quito- Sur del Sistema Transmilenio a Soacha, fase II y III, y el Metro Ligero Regional Urbano, cuyo objeto es implementar un sistema de transporte masivo férreo en el departamento de Cundinamarca y Bogotá, proyecto en etapa de factibilidad que plantea 2 corredores (Occidente: Faca-Madrid-Mosquera-Funza; Corredor sur: Soacha y Bogotá)</t>
  </si>
  <si>
    <t>Rehabilitación de 50 Kms de corredor férreo línea Facatativá – La Esperanza, y mantenimiento y cerramiento del corredor férreo Soacha – hasta el salto de Tequendama</t>
  </si>
  <si>
    <t>Cundinamarca redujo de 16.6 en 2011 a 16 en 2014 la tasa de homicidio por cada 100.000 habitantes.</t>
  </si>
  <si>
    <t>En Cundinamarca el 55% de los Municipios (64) no registraron homicidios en lo transcurrido de 2014. Así mismo se registró 129 días sin hechos violentos en todo el Departamento</t>
  </si>
  <si>
    <t>Se redujo en un 26% el total de delitos entre los años 2011 y 2014.</t>
  </si>
  <si>
    <t>Se construyó y dotó las Estaciones de Policía de: Del Municipio de Cota, San Juan de Rioseco, Soacha, Quipile (Inspección La Sierra).</t>
  </si>
  <si>
    <t>se fortalecio el pie de fuerza con la incorporación de 550 auxuliares regulares en 41 municipios, esto gracias a recursos del departamento, los Municipios y la Policía Nacional.</t>
  </si>
  <si>
    <t>La fuerza pública y las organizaciones comunitarias cuentan con mejores elementos de comunicación, tecnología, movilidad y logística: Se conformó un centro de atención e información con 25 patrulleros con disponibilidad las 24 horas para la vigencia 2014. Se adquirieron 154 Motocicletas de alto cilindraje, 55 patrullas, 35 vehículos para los alcaldes</t>
  </si>
  <si>
    <t>Se fortaleció el Observatorio del Delito en el Departamento, permitiendo estructurar la red de seguimiento a la seguridad con la articulación de la Policía Nacional, Fiscalía Nacional, ICBF, Defensoría del Pueblo, Veedurías Ciudadanas, Medicina Legal y demás instituciones Nacionales, Departamentales y Municipales. Se logró su articulación con el observatorio del delito Bogotá</t>
  </si>
  <si>
    <t>hubo Mano dura al Microtrafico en 2014: se reactivaron 25 Comités de Lucha contra la Comercialización de drogas psicoactivas en el Departamento de Cundinamarca. (Fosca, Ubaque, la Vega, Tabio, Cajicá, Puerto Salgar, Facatativá, Pandi, Caquezá, Chipaque, Puli, Guayabetal, Madrid, Cogua, Quebradanegra, Une, Cachipay, Anolaima, Zipaquirá, Granada , La Mesa, Paratebueno, Silvania, Fusagasuga , Vergara)</t>
  </si>
  <si>
    <t>Se adelantó convenio Tripartita Ministerio del Interior, Secretaria de Gobierno y Municipio de Viotá con el fin de Construir el Centro de Convivencia Ciudadana y de Justicia para la provincia del Tequendama.</t>
  </si>
  <si>
    <t>Cundinamarca líder en modernización normativa y tecnológica es el único departamento del país en contar con los estatutos de rentas y orgánico de presupuesto actualizados y modernizados.</t>
  </si>
  <si>
    <t>En el marco del Sistema de Gestión de Calidad del Departamento la Secretaría de Educación aportó al proceso Promoción del Desarrollo Educativo, al proceso misional de atención al ciudadano y a los procesos de apoyo de gestión contractual, gestión documental, gestión jurídica y gestión financiera, la Gobernación de Cundinamarca se certificó en la NTCGP 1000:2009 e ISO 9001:2008, en el 2014. Con esta certificación se alcanza la meta propuesta de cinco procesos certificados en el cuatrienio ya que en los años anteriores la secretaría se certificó en los 4 procesos establecidos por el Ministerio de Educación: calidad educativa, cobertura, talento humano y atención al ciudadano.</t>
  </si>
  <si>
    <t>Se apoyo financieramente a 52 E.S.E.s del Departamento por la valor de $ 80.471 millones, para atender: el Mejoramiento de garantía de la calidad, Gestión Documental, adquisición de ambulancias, con énfasis especialmente en apoyo al Programa de Saneamiento Fiscal y Financiero a la Red Hospitalaria del Departamento, por la condición de haber sido categorizadas en alto y mediano riesgo financiero.</t>
  </si>
  <si>
    <t>La Secretaría de la Función Pública actualizó el 100% de las historias laborales de los funcionarios activos, conforme a los lineamientos establecidos en la Ley 594 de 2000 y la Circular 04 de 2003 del Archivo General de la Nación. (1.548 historias laborales).</t>
  </si>
  <si>
    <t>La corporación Social de Cundinamarca contribuyo a mejorar la calidad de vida de los Cundinamarqueses mediante: la aprobación de 2.572 créditos que generaron desembolsos por $ 64.137 millones de pesos y la ampliación de la cobertura de sus programas de bienestar social hacia sus afiliados</t>
  </si>
  <si>
    <t>83% de Cumplimiento del Sistema Obligatorio de Garantía de la Calidad en las Empresas Sociales del Estado. Lo anterior debido a que las instituciones han tenido que ajustar sus procesos y realizar las autoevaluaciones relacionadas con la normatividad vigente. (Resolución 1441 de 2013 y resolución 2003 de 2014)</t>
  </si>
  <si>
    <t>se Presta un mejor servicio a la comunidad con el Mantenimiento y adecuación de 3 predios Noveno piso torre central (apto Despacho Sr. Gobernador), Asamblea Departamental y CERCUN, Construcción y Remodelación: 5 predios los pisos 5 - 4 - 3 - 2 y 1 de la torre central. Compra de 5 Predios: Municipios de Caparrapí, Viotá, Villapinzon (2) y Gacheta.</t>
  </si>
  <si>
    <t>La implementación del sistema de georeferenciación se realizó en la web del Departamento, siguiendo las metodologías establecidas por el IGAC, para el manejo de la información espacial requerido en el Documento CONPES 3585.</t>
  </si>
  <si>
    <t>Apoyo en la gestión de recursos de cooperación nacional e internacional, que se estima en $1.771 millones pesos, con base en la información remitida por las Agencias de Cooperación, Organismos Internacionales y Gobiernos Extranjeros acreditados en Colombia (fuente: Secretaría de Cooperación y Enlace Institucional).</t>
  </si>
  <si>
    <t>Se implementó del procedimiento de PQRS en la ruta de atención al ciudadano del Sistema de Gestión Documental (mercurio), permitiendo seguimiento y trazabilidad. Se actualizo el formato de encuesta de satisfacción de los usuarios y se aplicó en el mes de noviembre subiendo el grado de satisfacción al 70%.</t>
  </si>
  <si>
    <t>Mayor trasparencia, accesibilidad y receptividad de la información de las entidades territoriales, es así como el 100% de nuestros municipios en el año 2014 mejoraron su indicador de gobierno abierto IGA, con respecto al año 2011, solo 8 municipios no superaron el puntaje de 60 puntos. (Cabrera, Caparrapí, Gachalá, Granada, Caqueza, La Palma, Quetame y Viotá).</t>
  </si>
  <si>
    <t>El 97.41% de los municipios de Cundinamarca es decir 113, superaron la calificación del 60% en el índice de desempeño municipal para el año 2013, 7 más que el año inmediatamente anterior. Solo 3 municipios no lograron superar este promedio ellos fueron Topaipi, Nariño y Quipile. Esta calificación es calculada por la Dirección de Desarrollo Terrritorial del DNP.</t>
  </si>
  <si>
    <t>En el rango de clasificación del índice de desempeño integral, los municipios de Cundinamarca obtuvieron un promedio de 80,10 % siendo el único departamento del país ubicado en el rango “Sobresaliente”.</t>
  </si>
  <si>
    <t>Para el año 2013, el promedio general del índice de desempeño de los municipios del departamento fue de 80,10%, aumentando en un 6,84% en relación con el año anterior que fue del 73,26%, para el año 2011 se obtuvo un promedio de 76,22%; para el 2010 de 77,63%, 2009 de 75,78% y en el 2008 de 73,63%.</t>
  </si>
  <si>
    <t>Según el rango de clasificación dado por el DNP en Cundinamarca 72 municipios fueron sobresalientes. 37 satisfactorios, 4 en nivel medio y solo 3 fueron catalogados como bajos.</t>
  </si>
  <si>
    <t>Entrega de inmobiliario a 9 Casas de Gobierno de los municipios de Albán, Cajicá, Fosca, Fúquene, Jerusalén, Sasaima, Supatá,Ubaque y Villagomez, como apoyo en la gestión administrativa.</t>
  </si>
  <si>
    <t>Se construyeron 87 nuevas obras con participación de igual número de organizaciones comunales en 53 municipios del Departamento entre placa huellas, polideportivos, salones comunales y mejoramiento de espacios y acueductos comunitarios, de esta manera se asegura que con los mismos recursos se alcancen mejores resultados en el desarrollo de entornos más amables para las comunidades.</t>
  </si>
  <si>
    <t>En 2014 se embellecieron 17 cabeceras municipales con la implementación del programa “ruta de colores”, con una inversión de $ 1.143 Millones. Ahora se cuenta con 70 cabeceras más amables con su entorno.</t>
  </si>
  <si>
    <t>Se dotaron a 290 JAC de 97 municipios, mediante entrega de equipos de oficina</t>
  </si>
  <si>
    <t>El 61% del total de las formas de participación social en salud se encuentran activas y funcionando y a la fecha se viene realizando el acompañamiento seguimiento a las tareas o planes de mejora.</t>
  </si>
  <si>
    <t>Se han activado y fortalecido el 86% las formas de participación social</t>
  </si>
  <si>
    <t>Se organizó el X Congreso departamental de Planeación, actividad que busco empoderar a los consejeros territoriales del rol de control social y de la importancia de su gestión en el mejoramiento de la calidad de vida de los ciudadanos a través del papel que desempeñan en los procesos de planeación de mediano y largo plazo a saber: Plan de desarrollo y planes de ordenamientos territorial.</t>
  </si>
  <si>
    <t>Se desarrolló el programa “Vive y crece en Acción comunal” en 80 municipios, dirigido a niños, adolescentes y jóvenes buscando promover la participación y vinculación de estos grupos etarios a las organizaciones comunitarias</t>
  </si>
  <si>
    <t>Se entregaron kit de mantenimiento y conservación de obras, en 14 municipios para que las comunidades realicen directamente el mantenimiento de la obra ejecutada</t>
  </si>
  <si>
    <t>Se ha conformado en un 85% la Red de Memoria Histórica Cultural y gestión patrimonial de Cundinamarca</t>
  </si>
  <si>
    <t>Se realizó el montaje y puesta en escena de la obra teatral y musical “Un Collar de Oro por un Collar de Mitos”, la que se presentó en el teatro Julio Mario Santo Domingo, el municipio de Guatavita y la Sede Administrativa de la Gobernación, y se espera seguir la gira por toda Cundinamarca en el 2015.</t>
  </si>
  <si>
    <t>Se contrataron los estudios y diseños para la recuperación del antiguo Templo Doctrinero María Magdalena del municipio de Tausa, los cuales se realizaron en el 2014, la que se requiere continuar en el 2015 con la fase de recuperación para así recuperar los bienes de interés cultural del Departamento.</t>
  </si>
  <si>
    <t>Posicionamiento del proyecto cultural y artístico denominado Cundinamarca “El Dorado”, La Leyenda Viva cuyo objetivo es posicionar a Cundinamarca a Nivel Nacional e Internacional aprovechando su riqueza y diversidad cultural, artística de flora y fauna; haciendo énfasis en su potencial turístico y competitivo.</t>
  </si>
  <si>
    <t>El índice de estudiantes por computador se ubicó en 6 alumnos por equipo de cómputo, es decir que el indicador logró disminuir en 6 estudiantes por equipo de cómputo con respecto a la vigencia 2013.</t>
  </si>
  <si>
    <t>Desde el 2011, se ha avanzado en 4.18 puntos porcentuales en el índice de penetración de internet de los Departamentos del país, siendo el décimo departamento con más progreso en el presente periodo de gobierno, después de Quindío, Casanare, Valle, Santander, Bogotá, Risaralda, Atlántico, Tolima y Norte de Santander. Y avanzando del puesto 12 al 11 en el ranking</t>
  </si>
  <si>
    <t>Implementación de sistemas de información para la gestión administrativa y financiera en 9 Municipios, que permite obtener información en tiempo real y facilita la rendición de cuentas y los informes a los entes de control.</t>
  </si>
  <si>
    <t>Se atendieron 43.653 eventos bajo la modalidad de telemedicina superando los 3000 eventos programados a atender durante el año 2014.</t>
  </si>
  <si>
    <t>53 ESEs de la Red Pública Hospitalaria del Departamento cuentan con el Sistema de Información Integrado en Salud -SIIS- que permite la generación de la Historia Clínica Electrónica.</t>
  </si>
  <si>
    <t>Se implementaron los servicios bajo la modalidad de Telemedicina bajo las siguientes modalidades:- Teleconsulta: Se implementó en 54 ESEs.- Telediagnostico: Se implementó en 116 municipios.- Teleradiologia: Se implementó en 39 IPS Publicas</t>
  </si>
  <si>
    <t>La Secretaría de Hacienda avanzó en la modernización del recaudo de los impuestos y el uso de las tecnologías de la información TIC, que fortalecieron el Sistema de Gestión Financiera Territorial SGFT en todas las áreas (tesorería, presupuesto, rentas, contabilidad, análisis financiero y juzgado de ejecuciones fiscales)</t>
  </si>
  <si>
    <t>Durante el 2014 se realizó la entrega de 909 computadores portátiles, los cuales fueron asignados a los estudiantes de los grados de sexto a noveno de las sedes educativas de los municipios: Zipacón, Pulí, Albán, Beltrán. Apulo, Quipile, Tena y San Antonio del Tequendama</t>
  </si>
  <si>
    <t>Con el proyecto nacional de fibra óptica el 100% de las cabeceras tienen conexión a internet.</t>
  </si>
  <si>
    <t>Se implementaron 22 Centros Interactivos y puntos vive digital en: Chaguaní, Albán, Yacopí, Topaipí, El Peñón, Granada, Paime, Tena, Jerusalén, Agua de Dios, Cabrera, Gachetá, Tibirita, Cáqueza, Chipaque, Nilo, Tenjo, Viotá, Guachetá, Nemocón, Tibacuy y Vianí106 zonas wi-fi implementadas en 88 municipios</t>
  </si>
  <si>
    <t>Se publicaron y actualizaron los mapas dinámicos: Vial, Centros Poblados, Veredal, Provincias, Municipios, código postal, Cobertura Vegetal, Sitios de interés e información catastral, estos pueden ser consultados en el sitio web "Mapas de Cundinamarca".</t>
  </si>
  <si>
    <t>Publicación análoga y digital de "Estadísticas de Cundinamarca 2011-2013", en la cual se compilo y analizo la información estadística de trece (13) temáticas del Departamento.</t>
  </si>
  <si>
    <t>El Departamento cuentan un Sistema de Información Integrado en Salud -SIIS- en cada una de las 37 ESEs centralizadas y 15 descentralizadas de la Red Hospitalaria Pública del Departamento, generando la Historia Clínica Electrónica y habilitados para ser articulados a través del Sistema de Información Unificado en Salud -SIUS-, con el fin de generar la Historia Clínica Electrónica Unificada.</t>
  </si>
  <si>
    <t>El fortalecimiento del sistemas de información Geográfico Regional con información cartográfica a escala 1:10.000, permite a los municipios contar con información para la actualización de los POT, y la planificación y desarrollo de su territorio.</t>
  </si>
  <si>
    <t>Se dispone del sistema CUNDINAMARCAINFO en versión 7, para consulta vía web de 288 indicadores, incluye información general de Cundinamarca y los 116 municipios, así como información de infancia, niñez y adolescencia.</t>
  </si>
  <si>
    <t>el 100% de las entidades mejoraran sus capacidades gerenciales respecto a enfoque en resultados, trabajo en equipo, uso más adecuado de insumos, acciones e instrumentos y en la responsabilidad como servidores públicos de cumplir con lo propuesto.</t>
  </si>
  <si>
    <t>Trimestralmente se conoce el avance en la ejecución del Plan Departamental de Desarrollo, el cual se publica en la página web de la gobernación de Cundinamarca</t>
  </si>
  <si>
    <t>Se diseñaron herramientas informáticas como instrumento facilitador para realizar el seguimiento, monitoreo y evaluación, al Plan de desarrollo Departamental.</t>
  </si>
  <si>
    <t>Se incentivó la cultura oportuna de la remisión de información a partir de formatos metodológicos como fuente de análisis y consolidación de información, elaborando informes los cuales son socializados con la alta gerencia, para toma de decisiones.</t>
  </si>
  <si>
    <t>La ruta metodológica para la rendición de cuentas es reconocida por el DNP y la OCDE.</t>
  </si>
  <si>
    <t>El uso de la página web para hacer la publicación de los procesos y avances del Plan de desarrollo en el marco de la gestión pública.</t>
  </si>
  <si>
    <t>a través del proyecto de Historia Clínica Unificada se consolidó la primera versión de la bodega de datos con información del sector salud para el Departamento de Cundinamarca</t>
  </si>
  <si>
    <t>El avance del Plan esta en Porcentaje</t>
  </si>
  <si>
    <t>LOGROS RELEVANTES</t>
  </si>
  <si>
    <t>COMPARATIVO  CON OTRAS ENTIDADES TERRITORIALE</t>
  </si>
  <si>
    <t>DATOS CUNDINAMARCA</t>
  </si>
  <si>
    <t>LAS INVERSIONES REALIZADAS POR LA UAE DE VIVIENDA SOCIAL DURANTE EL CUATRIENIO ESTUBIERON DIRIGDAS AL CUMPLIMIENTO DEL INDICADOR.
SE PRESENTÒ GRAN DIFICULTAD EN LA INVERSION DE LOS RECURSOS DEPARTAMENTALES, DEBIDO A QUE LOS PROYECTOS DE INVERSION DEBÌAN SER PRESENTADOS POR LAS ADMINISTRACIONES MUNICIPALES Y ESTAS SE DEMORAN EN LA PRESENTACION DE LOS PROYECTOS. 
POR TAL RAZON SE OPTÒ POR REALZAIR CONVOCATORIAS PARA ESTABELCER PLAZOS EN LA PRESENTACION DE LOS PROYECTOS.
DE OTRA PARTE, CON LA GESTION ADELANTADA POR LA UAE DE VIVIENDA SOCIAL ANTE LAS ENTIDADES DEL ORDEN NACIONAL SE HA LOGRADO UNA ASIGNACION IMPORTANTE DE RECURSOS PARA LOS MUNICIPIOS DE CUNDINAMARCA, REPRESENTADOS EN SUBSIDIOS FAMILIARES DE VIVIENDA.
A 31 DE DICIEMBRE DE 2015 EL INDICADOR PRESENTA UN AVANCE DEL 90,16%.</t>
  </si>
  <si>
    <t>2012 - 2015</t>
  </si>
  <si>
    <t>Departamento Nacional de Planeación DNP</t>
  </si>
  <si>
    <t>GERMAN RODRIGUEZ GIL</t>
  </si>
  <si>
    <t xml:space="preserve">NO HUBO DIFICULTADES </t>
  </si>
  <si>
    <t xml:space="preserve">Para la entrada en vigencia del PDD se identificó a 22 municipios con los índices de desempeño fiscal más bajos, se propuso enfocar esfuerzos por parte de la administración departamental a través de asistencia técnica, jornadas de capacitación, implementación de estrategias para el fortalecimiento tributario, seguimiento y monitoreo continuo, acciones que permitieron que en 21 de los municipios focalizados, se fortaleciera la financiación del gasto, se promocionara el esfuerzo fiscal, y se asumieran mayores responsabilidades en el manejo de las decisiones financieras; por consiguiente, estas entidades territoriales cuentan con mejores niveles de sostenibilidad, los índices pasaron de un rango entre 54,4 y 68,2 a otro en el cual la más baja calificación es de 61,0 y la más alta de estos 21 municipios de 77,0. 
Para el primer año 8 municipios ya habían mejorado el indicador, y en el segundo 13 nuevos lo incrementaron y 4 de los que lo habían mejorado en el año inmediatamente anterior, continuaron mejorándolo, al cierre de la última vigencia de determinación del mismo, el 95%, es decir, 21 de los 22 municipios focalizados lograron mejorar el índice de desempeño fiscal y el 50% de ellos lo lograron entre cuatro y quince puntos. 
</t>
  </si>
  <si>
    <t>HACIENDA</t>
  </si>
  <si>
    <t xml:space="preserve">30 de Noviembre de 2015  con proyeccion a 31 de diciembre de 2015 </t>
  </si>
  <si>
    <t xml:space="preserve">CONTRIBUIMOS CON LA SOSTENIBILIDAD Y ABASTECIMIENTO DEL RECURSO HÍDRICO A LOS CUNDINAMARQUESES, LOGRANDO GARANTIZAR LA PRESERVACIÓN DE LA OFERTA AMBIENTAL DE 38,698 HECTÁREAS DE PREDIOS DE INTERES HÍDRICO DE CUYAS FUENTES SE ABASTECEN LOS ACUEDUCTOS REGIONALES, MUNICIPALES Y VEREDALES. EN EL CUATRIENIO SE HAN ADQUIRIDO 11,698 HECTAREAS   EN  MAS DE 65 MUNICIPIOS DE CUNDINAMARCA.    ASI MISMO SE HAN ATENDIDO APROXIMADAMENTE 55 ACUDUCTOS , BENEFICIANDO A UNA POBLACION DE 540,000 HABITANTES. 
</t>
  </si>
  <si>
    <t>46,925 TONELADAS DE CO2 COMPENSADAS. LA SECRETARIA REALIZO LOS PROCESOS DE SIEMBRA DE ARBOLES PARA DAR CUMPLIMIENTO A LA ESTRATEGIA DE COMPENSACION CON LOS DATOS REGISTRADOS DE LOS MUNICIPIOS QUE HICIERON PARTE DE LA ESTRATEGIA CUNDINAMARCA NEUTRA . ADEMAS REALIZO ESTRATEGIAS SENSIBILIZACION DE COMUNIDADES , DESARROLLO DE ACTIVIDADES DE RECOLECCION D EPOSCONSUMOS CON LA ANDI EN TEMAS COMO LUMINARIAS, PILAS, MEDICAMENTOS VENCIDOS, LLANTAS, RESIDUOS ELECTRONICOS Y EVNVASES DE AGROQUIMOCOS ASI MISMO APROPIARON LOS PROCESOS DE SISTEMA MERCURIO COMO APORTE A LA CULTURA DE CERO PAPEL.</t>
  </si>
  <si>
    <t xml:space="preserve">EL NUMERO DE TONELADAS DIARIAS DISPUESTAS EN EL RELLENO SANITARIO NUEVO MONDOÑEDO OBEDECE A LA DISPOSICION DE UN PROMEDIO DE 79 MUNICIPIOS DEL DEPARTAMENTO QUE DISPONEN TECNICAMENTE SUS RESIDUOS EN ESTE ESCENARIO. LA TENDENCIA, A PESAR DE LOS ESFUERZOS DEL DEPARTAMENTO POR PROMOVER LA MINIMIZACION, SE VE ALTAMENTE AFECTADA POR EL AUMENTO POBLACIONAL EN LOS MUNICIPIOS DE BORDE, CONDICION QUE LIMITA LA PERTINENCIA DEL INDICADOR Y NO REFLEJA EL IMPACTO REAL DE LAS ESTRATEGIAS ADOPTADAS A TRAVES DE LAS METAS DE PRODUCTO.EL INDICADOR DE LA META NO HACE UNA LECTURA REAL DE LOS AVANCES EN EL CUMPLIMIENTO DE LAS METAS DE PRODUCTO RELACIONADAS, TODA VEZ QUE DESCONOCE LAS REALIDADES DE AUMENTO POBLACIONAL EN LOS GRANDES CENTROS URBANOS ALEDAÑOS A LA CAPITAL, CONDICION QUE NECESARIAMENTE SE VE REFLEJADA EN EL AUMENTO DE LA PRODUCCION DE RESIDUOS SOLIDOS. </t>
  </si>
  <si>
    <t>SE HA MEJORADO LA CALIDAD DEL VIDA DE LOS AFILIADOS A LA CSC MEDIANTE LA ASIGNACIÓN  DE 2515 CREDITOS EN LA VIGENCIA 2015. SE CUMPLIO CON EL DESEMBOLSO DEL 100% DE LOS CREDITOS  QUE CUMPLIERON REQUISITOS 1925  CREDITOS EN LAS LINEAS ORDINARIO, CORPOAGIL, CREDICORP Y ORDINARIO CON GARANTIA REAL;  247 CREDITO EDUCATIVO Y 343 CREDITOS HIPOTECARIOS, SE CONTO CON LOS RECURSOS PROGRAMADOS EN CADA UNA DE LAS LINEAS DE CREDITO. RESPECTO A LAS   DEVOLUCIONES SE RALIZARON  A LOS AFILAIDOS QUE LO SOLICITARON  Y DESDE EL MES DE MES DE SEPTIEMBRE  SE INICIARON LOS CRUCES DE CUENTAS CON AFILIADOS QUE TIENEN CREDITOS EN CUMPLIMIENTO AL ACUERDO 013 DE 2015 FIRMADO POR LAS JUNTA DIRECTIVA DE LA CORPORACION .</t>
  </si>
  <si>
    <t>MAS DEL 50 % DE LOS AFILIADOS A LA CSC HAN RECIBIDO BENEFICIOS.  DURANTE LA VIGENCIA 2015 A TRAVES DE:EVENTOS  PROMOCIONALES COMO LA ENTREGARON 3160  BONOS PARA AFILIADOS Y BENEFICIARIOS PARA PRACTICA DEPORTIVA, SE BENEFICIARON  465 AFILIADOS CON DIPLOMADOS DICTADOS POR LA ESCUELA DE ADMINISTRACIÓN DE NEGOCIOS Y SE REALIZO  LA CELEBREACION DEL DIA DEL PENSIONADO EN EL EJE CAFETERO CON LA PARTICIAPACION DE 464 PENSIONADOS,  ENTRE OTRAS. SE CONTO CON EL PRESUPUESTO NECESARIO PARA REALIZAR ESTAS ACTIVIDADES. TOTAL DE AFILIADOS 11.625.</t>
  </si>
  <si>
    <t>2294 JOVENES, INCORPORADOS EN LOS PROCESOS DE SENSIBILIZACIÒN AMBIENTAL Y PROGRAMAS DE SOSTENIBILIDAD AMBIENTAL EN PROCESOS LUDICO-PEDAGOGICOS DENOMINADOS: YINCANA AMBIENTAL Y DESAFIO AMBIENTAL.</t>
  </si>
  <si>
    <t xml:space="preserve">INCREMENTO DE 11.697,425 HECTAREAS PARA LA CONSERVACION DEL RECURSO HIDRICO , MEDIANTE PROCESOS DE ADQUISICION DE PREDIOS DE CONSERVACION EN 34 MUNICIPIOS DEL DEPARTAMENTO , PROMOVIENDO LA CONSERVACION DE LA OFERTA HIDIRCA. </t>
  </si>
  <si>
    <t xml:space="preserve">700 HECTAREAS EN USO DE CONSERVACION CON MANTENIMIENTO. DESARROLLO DE ACTIVIDADES DE COORDINACION CON SOCIOS ESTRATEGICOS ( CONTREEBUTE, COVIANDES Y CONSORCIO RELLENO NUEVO MONDOÑEDO) PARA INCREMENTAR LAS HECTAREAS CONSERVADAS, CON EL FIN DE GARANTIZAR LA CONSERVACIÓN DEL RECURSO HIDRICO.  SE REALIZAN PROCESOS DE REFORESTACION Y CERCADO DE PROTECCION , CON LAS JUNTAS DE ACCION COMUNAL Y CON LA FUNDACION NATURA. </t>
  </si>
  <si>
    <t xml:space="preserve">755,20 HECTAREAS DE ECOSISTEMAS SENSIBLES RESTAURADOS. LA META FUE ATENDICA CON ESTRATEGIAS CONJUNTAS QUE INCLUYERON EL RETIRO DE LA MALEZA ACUATICA PARA LA RESTAURACION DE LOS ECOSISTEMAS DE FUQUENE Y CUCUNUBA. HECTAREAS RESTAURADAS A TRAVES DE LA SIEMBRA DE ABROLES EN LOS MUNICIPIOS DE SUBACHOQUE, ZIPAQUIRA Y LOS 8 MUNICIPIOS DE LA PROVINCIA DE RIONEGRO.ASI MISMO SE APLICO LA ESTRATEGIA DE PAGO POR SERVICIOS AMBIENTALES EN LOS MUNICIPIOS DE COGUA ZIPAQUIRA. VILLAPINZON, SIBATE, BOJACA, CHOCONTA, ALBAN, CHIPAQUE Y GRANADA </t>
  </si>
  <si>
    <t xml:space="preserve">2 PROYECTOS APOYADOS. SE ADELANTO LA CONSOLIDACION DE LA INFORMACION RELACIONADA CON PLANES DE MEJORAMIENTO RIO BOGOTÁ. SE DESARROLLAN ACTIVIDADES CON EL SECTOR CURTIDOR DEL DEPARTAMENTO, LA UNIVERSIDAD NACIONAL Y LOS MUNICIPIOS DE VILLAPINZON Y CHOCONTA, SE APOYO LA GESTION DE DESCONTAMINACIÓN DEL RIO BOGOTA , MEDIANTE EL FORTALECIMIENTO DE LA CAPACIDAD INSTALADA Y LA TRAZABILIDAD DEL PROCESO PRODUCTIVO DEL SECTOR CURTIDOR INTERNALIZANDO LOS COSTOS AMBIENTALES E IMPULSANDO LA PRODUCCION MAS LIMPIA, Y SE APOYO LA CONSTRUCCION DEL CENTRO TECNOLOGICO DEL CUERO. </t>
  </si>
  <si>
    <t xml:space="preserve">12 PROYECTOS AMBIENTALES APOYADOS. DESARROLLO DE PROCESOS DE SENSIBILIZACION DE COMUNIDADES MEDIANTE LA EJECUCION DE ACTIVIDADES CONTEMPLADAS EN LOS EVENTOS YINCANA AMBIENTAL Y EL DIA DEL DESAFIO AMBIENTAL CON LA PARTICIPACION DE COMUNIDADES EDUCATIVAS, JUVENTUDES Y COMUNIDAD EN GENERAL, CON MAS DE 1483 JOVENES APROPIANDOSE DE LOS PROGRAMAS DE CONCIENTIZACION AMBIENTAL. PREMIACION DE 10 PROYECTOS DE INICIATIVA LOCAL QUE MEJORAN ENTORNOS AMBIENTALES, EN LOS MUNICIPIOS DE TENJO, APULO, NIMAIMA, SASAIMA, GUAYABAL DE SIQUIMA, MEDINA, PARATEBUENO,CAHGUANI, NEMOCON Y TIBACUY. Y PREMIACION DE CONCURSOS DE PESEBRES AMBIENTALES </t>
  </si>
  <si>
    <t xml:space="preserve">116 MUNICIPIOS CON INFORMACION TEMATICA CONSOLIDADA. NCORPORACION DE LOS DATOS DE LAS VARAIBLES ADQUISICION DE PREDIOS Y RESIDUOS SOLIDOS DENTRO DEL COMPONENTE DE INFORMACION AMBIENTAL DESARROLLADO MEDIANTE CONTRATO 001 DE 2013 , EN COORDINACION CON LA SECRETARIA DE LAS TICS, CUYO OBJETIVO ES LA CONSTRATACION DEL SOPORTE Y DESARROLLO DE NUEVAS FUNCIONALIDADES AL SISTEMA DE MEDICION DE LA HUELLA DE CARBONO Y LA CONSOLIDACION DE LA IMFORMACION AMBIENTAL EXISTENTE EN EL DEPARTAMENTO. </t>
  </si>
  <si>
    <t>29 PGIRS ACTUALIZADOS. META AMPLIADA A DE 14 A 46 MUNICIPIOS PARA DAR ALCANCE A LOS PERTENECIENTES A LA CUENCA DEL RIO BOGOTA; MEDIANTE CONVENIO CON FONDECUN SE ACTUALIZAN LOS PGIRS DE 17 MUNICIPIOS ACORDE CON LA RES 1045 DE2003; MEDIANTE CONTRATO CON AQUAVIVA LTDA SE ESTAN ACTUALIZANDO 12 PGIRS A MUNICIPIOS CUENCA RIO BOGOTA ACORDE CON RES 754 DE 2014. MEDIANTE EPC SA ESP SE PROYECTA REALIZAR LA ACTUALIZACION DE 17 MUNICIPIOS MAS</t>
  </si>
  <si>
    <t>1,50 SISTEMAS REGIONALES EN FUNCIONAMIENTO. EPC SA ESP HA ADQUIRIDO Y DISTRIBUIDO 30 VEHICULOS COMPACTADORES A 29 MUNICIPIOS. SE ESTA IMPLEMENTANDO SISTEMA REGIONAL DE TRANSOPRTE EN LA PROVINCIA DE UBATE MEDIANTE EL CONVENIO FONDECUN 021-13</t>
  </si>
  <si>
    <t>1,651,027 TONELADAS DE RESIDUSO CONTROLADAS. SE HA VERIFICADO LA DISPOSICION FINAL ADECUADA DE LOS RESIDUOS SOLIDOS GENERADOS EN LAS AREAS URBANAS DE LOS 116 MUNICPIOS DEL DEPARTAMENTO, DE LOS CUALES 80 DISPONEN EN MONDOÑEDO Y LOS DEMAS EN RELLENOS PRIVADOS.</t>
  </si>
  <si>
    <t>27 COMUNIDADES CON PROCESOS DE SEPRACION EN LA FUENTE. IMPLEMENTAR PROCESOS DE CONCIENTIZACION AMBIENTAL EN 39 MUNICIPIOS DEL MILENIO MEDIANTE EL DESARROLLO DE 39 FESTIVALES AMBIENTALES, ENTREGA DE 117 PUNTOS ECOLOGICOS, APOYO A PROCESOS REGIONALES DE TRANSFERENCIA Y APROVECHAMIENTO DE RESIDUOS SOLIDOS. APOYO A MUNICIPIO DE SAN CAYETANO, PASCA, CAJICA Y SUBACHOQUE EN PROCESOS DE MANEJO INTEGRAL DE RESIDUOS SOLIDOS.
SE ADELANTO PROCESOS DE SENSIBILIZACION DE LOS 18 MUNICPIOS DE LAS PROVINCIAS DE UBATE Y RIONEGRO</t>
  </si>
  <si>
    <t xml:space="preserve">AUMENTO DE 1832  HECTAREAS DE CARÁCTER PRODUCTIVO PARA EL FORTALECIMIENTO DEL PRIMER ESLABON DE LA CADENA PRODUCTIVA </t>
  </si>
  <si>
    <t xml:space="preserve">REFORESTACION  DE  734 HECTAREAS DE CARÁCTER PROTECTOR  EN AREAS ESTRATEGICAS CONCERTADAS CON COMUNIDADES Y GOBIERNOS LOCALES Y REGIONALES , ASI COMO REFORESTACIONES EN PREDIOS ADQUIRIDOS POR LA SECRETARIA DEL AMBIENTE. SE INCORPORAN HECTAREAS REFORESTADAS MEDIANTE LA ESTRATEGIA CUNDINAMARCA NEUTRA.  </t>
  </si>
  <si>
    <t xml:space="preserve">PROTECCION DE 236 HECTAREAS MEDIANTE EL ESTABLECIMIENTO DE ESPECIES NATIVAS  COMO LA GUADUA, EN AREAS DE RECARGA HIDIRCA . </t>
  </si>
  <si>
    <t xml:space="preserve">SE CUENTA CON TRES CENTROS DE PROPAGACION CON LA CAPACIDAD INSTALADA DE 220.000 PLANTULAS ANUALES   EN LOS MUNICIPIOS DE SIBATE, NOCAIMA Y CAPARRAPI. UBICADOS ESTRATEGICAMENTE PARA LA PRUDUCCION DE ESPECIES DE DIFERENTES PISOS TERMICOS DEL DEPARTAMENTO </t>
  </si>
  <si>
    <t>100% DE EJECUCION DE UN PROYECTO. EN EL MARCO DEL CONVENIO NÚMERO 003 DEL 2014 CELEBRADO CON EL CENTRO INTERNACIONAL DE FÍSICA SE ADELANTO EL PROCESO INVESTIGATIVO RELACIONADO CON LA DEFINICIÓN DE PROTOCOLOS PARA LA PROPAGACION DE ESPECIES FORESTALES NATIVAS. LA PUBLICACIÓN DE LOS RESULTADOS DE LA INVESTIGACIÓN SE REALIZO EN EL SEGUNDO ENCUENTRO DE LIDERES AMBIENTALES, EVENTO QUE SE LLEVO A CABO EL DÍA  04 DE AGOSTO 2015. LA SECRETARIA RECONOCE LA IMPORTANCIA DE CONTINUAR CON LOS PROCESO DE INVESTIGACIÓN CON EL FIN DE FORTALECER LOS PROCESOS DE  PROMOCIÓN Y DESARROLLO DE ESPECIES NATIVAS PROMISORIAS PARA LA EFECTIVA REVEGETALIZACIÓN DE LAS ÁREAS ESTRATÉGICAS, POR LO CUAL SE CONTINUA CON LA ACTIVIDAD.</t>
  </si>
  <si>
    <t>REALIZACION DE 1,8 PROYECTOS PILOTO . SE FIRMARON  7 CONVENIOS CON ALCALDÍAS MUNICIPALES PARA REALIZAR SIEMBRA DE FOMENTO  DE PAISAJISMO EN LAS CABECERAS MUNICIPALES Y ZONAS SUBURBANAS EN LA VIGENCIA 2013; A LOS CUALES SE LE BRINDO ASISTENCIA TECNICA Y EL PRIMER MANTENIMIENTO EN LA VIGENCIA 2014; CONFORME A LA ACOGIDA DEL PROYECTO PILOTO EN LA ACTUAL VIGENCIA SE SUSCRIBIO CONVENIOS CON 4 MUNICIPIOS MAS PARA EL EMBELLECIMIENTO DE ZONAS URBANAS, EL CUAL SE ENCUENTRA EN EJECUCIÓN.</t>
  </si>
  <si>
    <t xml:space="preserve">DOS NUCLEOS FORESTALES CONFORMADOS. 1) SE LOGRA LA CONFORMACION DE LA SOCIEDAD AGROPECUARIA DE TRANSFORMACION -VIDA FORESTAL SAT. DE LA REGION DEL BAJO MAGDALENA CUNDINAMARQUES  2)  ALIANZA PARA EL FORTALECIMIENTO Y  LA CONFORMACIÓN DE NÚCLEOS FORESTALES DE LA REGIÓN DE RIONEGRO Y GUALIVÁ COMO ALTERNATIVA DE PRODUCCIÓN EN LA REGIÓN CAFETERA, </t>
  </si>
  <si>
    <t xml:space="preserve"> 4 ESTRATEGIAS GENERADAS. SE REALIZARON LAS ESTRATEGIAS: 1) PLAN SEMILLA  2) LANZAMIENTO DEL ATLAS DE IDENTIFICACIÓN ESPECTRAL DE LOS RELICTOS DE BOSQUES DEL DEPARTAMENTO DE CUNDINAMARCA", 3) JORNADAS DE SIEMBRA DE ESPECIES ORNAMENTALES 4) ESTREGIA CUNDINAMARCA NEUTRA </t>
  </si>
  <si>
    <t>DIRECCION DE EVALUACION Y SEGUIMIENTO D PLANEACION</t>
  </si>
  <si>
    <t>CORPORACION TRANSPARENCIA POR COLOMBIA</t>
  </si>
  <si>
    <t>DIRECTOR DE POLÍTICAS PÚBLICAS Y ESTUDIOS ECONÓMICOS</t>
  </si>
  <si>
    <t xml:space="preserve">La Corporación Transparencia por Colombia no realiza la medición con una periodicidad definida.
La metodología de cálculo varía de medición a medición lo que no permite la comparabilidad de los resultados.
Existe información que reportan entes externos frente a la cual no existe la posibilidad de hacer réplica de los resultados y de la cual se desconocen las condiciones para el reporte.
</t>
  </si>
  <si>
    <t>La Gobernación - Nivel Central se mantiene en riesgo  medio de corrupción con un calificación del 72 puntos de 100. De los tres aspectos evaluados : Visibilidad, Institucionalidad y Control y Sanción el resultado más débil se encuentra en Institucionalidad (58,8) que contempla aspectos como la gestión contractual,  la gestión del talento humano y comportamiento ético y organizacional. Con una calificación de 75 puntos  en el componente de Visibilidad se revelan aspectos por mejorar en divulgación de la gestión administrativa, gestión presupuestal y financiera. El componente de mejor desempeño es Control y Sanción  con una calificación de 86,6 puntos obtenidos por los buenos resultados en manejo de PQRS, buenas prácticas de Control Interno y el fortalecimiento de los procesos de Rendición de Cuentas y Control Ciudadano .</t>
  </si>
  <si>
    <t xml:space="preserve">La SCEI ha establecido relaciones de cooperación con gobiernos, organismos y agencias de cooperación internacional, principalmente, a través de la suscripción de convenios, acuerdos marco, memorandos de entendimiento y el desarrollo de proyectos de cooperación sur-sur, lo cual ha fortalecido el capital humano y la competitividad del territorio. En este sentido, en el período comprendido entre el 2012 y 2015, la SCEI lideró la suscripción de 22 acuerdos de cooperación nacional e internacional.   Así mismo,  gestionó y apoyó  la ejecución de 21 proyectos y programas de cooperación para el desarrollo territorial (fortalecimiento institucional, planificación y evaluación del riesgo de inundaciones, manejo integral de residuos sólidos y del recurso hídrico, desarrollo rural y fortalecimiento de las cadenas del caucho, cacao, café, lácteos y hortofrutícola). 
Del mismo modo, estableció alianzas estratégicas con actores del sector público y privado del orden local, regional y  nacional, contribuyendo positivamente a la preparación de los municipios piloto para el posconflicto y la construcción de paz territorial y al mejoramiento de la calidad de vida de población en condición de vulnerabilidad (niñas, niños y adolescentes, víctimas del conflicto, madres cabeza de hogar, mujeres oriundas de Cundinamarca privadas de la libertad y recolectores).   
Durante las vigencias 2012 a 2015, la SCEI gestionó recursos de Cooperación, nacional e internacional, que se estiman en $16.231.910.239, con base en la información remitida por la APC-Colombia, gobiernos extranjeros, Agencias de Cooperación y Organismos Internacionales acreditados en el país, que han sido contrapartes en los proyectos y programas desarrollados. (Fuente: APC-Colombia y SCEI, 2015). Dichos recursos gestionados para apalancar diferentes iniciativas de cooperación, no se incorporaron al presupuesto del Departamento, por cuanto fueron ejecutados directamente por los cooperantes o sus operadores.    
A la fecha, Cundinamarca se ubica en el puesto No. 7 a nivel nacional en eficiencia y eficacia de la gestión de recursos de cooperación, avanzando 14 puestos entre el 2013 y el 2014.  Dentro de los primeros lugares en el ranking de gestión de cooperación de los territorios en el 2014 se encuentran los departamentos de Magdalena, Nariño, Antioquia, Bolívar, Valle del Cauca y Chocó.  
</t>
  </si>
  <si>
    <t xml:space="preserve">SE REALIZÓ DURANTE EL CUATRENIO DOS REFORMAS ADMINISTRATIVAS Y EL AJUSTE EN SU TOTALIDAD DEL MANUAL ESPECÍFICO DE FUNCIONES Y DE COMPETENCIAS LABORALES, QUE PERMITIERON LA ARMONIZACIÓN LAS COMPETENCIAS FUNCIONALES DE LA GOBERNACIÓN, AL EFOQUE POR PROCESOS DEL  SISTEMA INTEGRAL DE GESTIÓN Y CONTROL , ASÍ COMO AL CUMPLIMIENTO  DE NUEVA NORMATIVIDAD U OBLIGACIONES JUDICIALES POR PARTE DE LOS DIFERENTES SECTORES DE LA ADMINISTRACIÓN DEPARTAMENTAL, TAMBIEN SE MEJORA EN OPERACIÓN Y LA OPTIMIZACIÓN DE LOS RECURSOS DISPONIBLES:
1. CULMINÓ EN EL AÑO 2013 Y COMO RESULTADO DE AJUSTARON ALGUNAS ORGANIZACIONES DESCENTRALIZADAS, SE FUSIONÓ LA  UAE DE RENTAS Y GESTIÓN TRIBUTARIA CON LA SECRETARÍA DE HACIENDA, Y SE AJUSTO TODA LA ORGANIZACIÓN INTERNA , ASI MISMO SE MODIFICÓ PARCIALMENTE LA PLANTA DE EMPLEOS CON SUS CORRESPONDIENTES ESTUDIOS TÉCNICOS.
2. LA SEGUNDA REFORMA CULMINÓ EN ABRIL DE 2015, CON EL AJUSTE DE FUNCIONES EN LA ORGANIZACIÓN INTERNA AL CUMPLIMIENTO DE NUEVA NORMATIVIDAD Y MEJORA DE LA OPERACIÓN. SE FUSIONÓ LA UAE BOSQUES DE CUNDINAMARCA CON LA SECRETARÍA DE AMBIENTE Y SE MODIFICÓ LA PLANTA DE EMPLEOS .
3. AJUSTE DEL MANUAL ESPECIFICO DE FUNCIONES Y DE COMPETENCIAS LABORALES A LOS REQUERIMIENTOS ADMINISTRATIVOS Y AL DECRETO NACIONAL 2484 DE 2014, ASI COMO LA LA NUEVA GUIA DEL DAFP.
4. POR ULTIMO SE PROYECTO MODIFICACIÓN DE LA ORGANIZACIÓN INTERNA DE LA UNIDAD ADMINISTRATIVA ESPECIAL DE GESTIÓN DE RIESGOS DE DESASTRES, DONDE DE LE DA ESTRUCTURA Y SE ACYUALAN SUS COMPETENCIAS ACORDE CON LA NORMATIVIDAD.
</t>
  </si>
  <si>
    <t>DURANTE LA VIGENCIA DEL 2013, LA GOBERNACIÓN LOGRÓ LA CERTIFICACIÓN DEL SISTEMA DE GESTIÓN DE LA CALIDAD BAJO LAS NORMAS ISO 9001: 2008 Y NTCGP 1000:2009. MEDIANTE EL TRABAJO DE MANTENIMIENTO Y MEJORA CONTINUA SE LOGRÓ MANTENER LA CERTIFICACIÓN EN LA AUDITORIA REALIZADA POR ICONTEC EN EL AÑO 2015. ES IMPORTANTE RESALTAR QUE A TRAVÉS DE ESTE MISMO PROYECTO SE DOCUMENTARON LOS SISTEMAS  DE GESTIÓN AMBIENTAL Y DE GESTIÓN DE LA SEGURIDAD Y SALUD EN EL TRABAJO, PARA QUE SEAN APROBADOS E IMPLEMENTADOS  EN LA SIGUIENTE ADMINISTRACIÓN.</t>
  </si>
  <si>
    <t>DURANTE EL CUATRENIO SE HA REALIZADO 184 ASISTENCIAS, DISTRIBUIDOS EN LAS SOLICITUDES QUE DURANTE CADA PERIODO HAN REALIZADO LAS 36 ESES DEPARTAMENTALES EN ASUSNTOS DE ESTRUCTURA, PLANTA, MANUALES Y LOS INCREMENTO QUE SE REALIZAN A LAS ASIGNACIONES POR NO POSEER GRADOS DE ASIGNACION SALARIAL. LAS ENTIDADES DESCENTRALIZADAS DEL DEPARTAMENTO HAN SOLICITADO SU APOYO PARA LA MODIFICACIÓN DE SUS ESTATUTOS, ORGANIZAZIONES, PLANTAS CON SUS ESTUDIOS Y MANUALES. EL MAYOR LOGRO DE ESTA META HA SIDO PODER ASISTIR A ENTIDADES DESCENTRALIZADAS DEPARTAMENTALES, DE MANERA QUE PUEDAN ORGANIZARSE ADMINISTRATIVAMENTE Y SER APOYADOS SIN COSTOS NI EROGACIONES. ADICIONALMENTE SE HA LOGRADO MANTENER Y PRESERVAR ESTÁNDARES ENTRE EL SECTOR CENTRAL Y LAS ENTIDADES DESCENTRALIZADAS, ASI COMO ASEGURAR EL CUMPLIMIENTO DE LAS NORMAS PREVIO A LA EXPEDICIÓN DE LOS ACTOS ADMINISTRATIVOS QUE LAS SOPORTA, POR PARTE DEL GOBERNADOR.
ESTA META INICIALMENTE FUE PROGRAMADA PARA NÚMERO DE ASISTENCIAS EN VALOR ABSOLUTO PARA CADA AÑO ASI: 10, 10, 10 Y 5. SIN EMBARGO FUE MODIFICADA POR ORDENANZA, DONDE SE ESTABLECE COMO META POR DEMANADA. ASÍ LO ATENDIDO CORRESPONDE AL NUMERO DE ASISTENCIAS REALIZADAS POR CADA AÑO 2012 CON 37, 2013 CON 47, 2014 CON 50 Y 2015 CON 94 PARA UN TOTAL DE 228 ASISTENCIA ACUMULADAS EN EL CUATRIENIO.</t>
  </si>
  <si>
    <t xml:space="preserve">Durante el periodo 2012-2015 se formuló el PIC con base en la metodología del DAFP, dando participación a los funcionarios de cada dependencia y de cada Proceso de la Gobernación
Se fortalecieron las competencias académicas y comportamentales de los funcionarios.
El 40% de las capitaciones ofrecidas, se lograron por gestión con entidades educativas o estatales.                                                                                                                          Se atendieron las solicitudes individuales de capacitación, conforme a la necesidad y competencia de cada requerimiento y a la disponibilidad presupuestal existentes.                                                                                                                         La meta del periodo del 40% de los funcionarios del nivel central capacitados fue superada logrando capacitar el del total de los funcionarios.
                                                                                                                                            SE LOGRÓ INSTITUCIONALIZAR UN CRONOGRAMA MENSUAL PARA EL DESARROLLO DE LA INDUCCIÓN DIRIGIDA A LOS NUEVOS FUNCIONARIOS Y A CONTRATISTAS SEGUN CIRCULAR  004 DE ABRIL 15 DE 2015, ACOMPAÑANDO A ESTOS EN SU PROCESO DE CONOCIMIENTO Y ADAPTACIÓN A LA CULTURA ORGANIZACIONAL .                                                       SE DESARROLLO LA REINDUCCION A TODOS LOS FUNCIONARIOS DEL SECTOR CENTRAL DONDE SE OFRECIO INFORMACION DEI NTERES GENERAL,  DANDO RESPEUSTA A LA RESOLUCION 516 DE 2015 SOBRE ADOPCION DE LA ESCUELA DE BUEN GOBIERNO PERMITIENDO LA DIVULGACION Y SOCIALIZACION DE LOS PRINCIPIOS Y VALRES ETICOS INSTITUCIONALES COMO PILARES DE DIVERSOSO PROCESOS ORGANIZACIONALES ENTTE ELLOS EL PIC,  SE TRABAJO EN CAPACITACION  SOBRE FORMADOR DE FORMADORES OFRECIENDO EN ELLA HERRAMIENTAS Y DESARROLLANDO HABILIDADES PARA MULTIPLICAR CONOCIMEINTOS AL INTERIOR DE LA GOBERNACION, SE SOCIALIZARON LOS PRINCIPIOS Y VALORES ETICOS INSTITUCIOANNLES DESDE LA INTRANET, LA WEB, PROTECTORES DE PANTALLA, PANTALLAS DIGITALES Y TARJETAS CON CINTA DONDE ESTAN PLASMADOS LOS MISMOS; TODO ELLO HA PERMITIDO NO SOLO LAI NTERIORIZACION DE LOS PRINCIPIOS Y VALORE SINO EL SENTIDO DE PERTNEENCIA HACIA LA ENTIDAD.        
</t>
  </si>
  <si>
    <t xml:space="preserve">HEMOS LOGRADO SUPERAR EL 80% CADA AÑO DE MANERA SOSTENIDA, CON LO CUAL SE APORTA A MEJORAR CONTINUAMENTE LAS CONDICIONES DEL CLIMA LABORAL QUE REDUNDA EN EL DESEMPEÑO LABORAL, AFIANZANDO CULTURA Y COMPROMISO; CON EL DESARROLLO DE ACTIVIDADES CULTURALES Y ARTÍSTICAS ENFOCADOS EN DOS ESTRATEGIAS: 
1.MEJORAR EL SERVICIO Y LA CALIDAD EN LOS MISMOS; ESTABLECIENDO COMO PARÁMETRO DE MEDIDA INDICADORES DE EFICIENCIA, EFICACIA Y EFECTIVIDAD Y,
 2. ALIANZAS ESTRATÉGICAS CON LA CAJA DE COMPENSACIÓN FAMILIAR Y LA SUSCRIPCIÓN DE UN CONVENIO INTERADMINISTRATIVO CON LAS ENTIDADES DESCENTRALIZADAS PARA AUNAR ESFUERZOS Y COOPERAR EN UNA MISMA ACTIVIDAD, INTEGRANDO RECURSOS HUMANOS Y FINANCIEROS.                                                                                                                                                                                 CONFORME AL PLAN DE INCENTIVOS ANUAL SE BENEFICARON DURANTE EL CUATRIENIO A 18 FUNCIONARIOS DE TODOS LOS NIVELES JERARQUICOS DEL SECTOR CENTRAL DE LA GOBERNACION DE CUNDINAMARCA CON  INCENTIVO PECUNIARIO EDUCATIVO .                                                                                                                                                                                                                                                                                                                    EN  SALUD OCUPACIONAL A TRAVES DEL APOYO DE LA ARL POSITIVA   SE DESARROLLARON DIFERENTES ACTIVIDADES TALES COMO. INSPECCIONES ERGONOMICAS A PUESTOS DE TRABAJO, EVALUACIONES OSTEOMUSCULARES, PROGRAMA DE PAUSAS ACTIVAS, ASESORIA MEDICA EN ENFERMEDADES PROFESIONALES Y TALLERES NUTRICIONALES DANDO UNA COBERTURA AL 80% DE LOS FUNCIONARIOS DEL SECTOR CENTRAL. A SU VEZ LA ARL  APOYO EL DISEÑO DE LOS PUESTOS DE TRABAJO EN LA REMODELACION DE LA TORRE CENTRAL. 
</t>
  </si>
  <si>
    <t>SE LOGRÓ DAR CONDICIONES LABORALES Y LA OPTIMIZACIÓN DEL TIEMPO LABORAL CON LA RECUPERACIÓN DEL ESPACIO FÍSICO INICIALMENTE ASIGNADO COMO CONSULTORIO, PARA BENEFICIO DE LOS FUNCIONARIOS Y ASÍ REALIZAR LOS EXÁMENES MÉDICOS OCUPACIONALES A 1564 ENTRE FUNCIONARIOS Y CONTRATISTAS. CON EL FIN DE IDENTIFICAR LOS RIESGOS LABORALES Y DISEÑAR UN PROGRAMA DE PREVENCIÓN DE ENFERMEDADES LABORALES Y COMUNES. 
SE INSTITUCIONALIZO LA SEMANA DE LA SALUD MEDIANTE RESOLUCIÓN 166 DE 2001 GENERANDO CULTURA DE LA PREVENCIÓN DE LA ENFERMEDAD Y PROMOCIÓN DE LA SALUD EN ALIANZAS ESTRATEGIAS POR GESTIÓN CON LAS EPS FILIALES A LA GOBERNACIÓN Y LA ARL POSITIVA.
SE FORTALECIÓ LA BRIGADA INSTITUCIONAL Y EL COPASST CON UN CRONOGRAMA DE ACTIVIDADES Y DE SEGURIDAD PARA LOS EVENTOS INSTITUCIONALES.
SE CUENTA CON EL SERVICIO DE AMBULANCIA PARA LA ATENCIÓN DE URGENCIAS Y EMERGENCIAS DE LOS FUNCIONARIOS Y CONTRATISTAS DE LA GOBERNACIÓN POR GESTIÓN CON LA ARL POSITIVA.                            SE  SWE HIZO INTERVENCION EN  RIESGO PSICOSOCIAL A LAS SECRETARIAS QUE TUVIERON EL PORCENTAJE MAS ALTO EN ÉSTE RIESGO  CON LA PARTICIPACION MASIVA DE LOS FUNCIOANRIOS Y EL COMPROMISO DE LOS SECRETARIOS DE DESPACHO DE DICHAS SECRETARIAS.</t>
  </si>
  <si>
    <t>SE REALIZÓ LA INTERVENCIÓN DEL NOVENO, OCTAVO PISO, SEPTIMO PISO, SEXTO PISO, QUINTO PISO, CUARTO PISO, TERCER PISO, SEGUNDO PISO Y PRIMER PISO DE LA TORRE CENTRAL , CUMPLIENDO CON LAS RECOMENDACIONES DE LA ARL POSITIVA REMITIDAS EN EL MANUAL DE DISEÑO ERGONÓMICO, PUESTOS DE TRABAJO CON VIDEO TERMINAL, EN EL DISEÑO DE NUEVOS PROYECTOS DE REMODELACIÓN DE OFICINAS, REMITIDO A TRAVÉS DE LA SECRETARIA DE FUNCIÓN PÚBLICA, GARANTIZANDO LA SALUD DE LOS FUNCIONARIOS FRENTE A LA ERGONOMÍA DE LOS PUESTOS DE TRABAJO Y SILLAS, EVITAR LA CONTAMINACIÓN Y/O AFECTACIÓN RESPIRATORIA Y DERMATOLÓGICA POR ÁCAROS, LA ILUMINACIÓN Y LA UBICACIÓN POR TEMA HECHO QUE GARANTIZA LA INTEGRACIÓN DE LOS EQUIPOS DE TRABAJO, SE INSTALARÒN BARANDAS EN TODAS LAS ESCALERAS DE LA SEDE CENTRAL, SE INSTALARÒN ANTIDESLIZANTES EN LAS ÀREAS COMUNES, SE REMODELARÒN LAS OFICINAS DE RENCUN Y EJECUCIONES FISCALES, SE REALIZO CAPACITACIÒN Y ENTRENAMIENTO A LAS BRIGADAS DE EMERGENCIAS, EL COPASST ES UN COMITE ACTIVO Y FUNCIONAL DE ACUERDO A LA NORMATIVIDAD, SE ACTUALIZARON LAS MATRICES DE PELIGROS, SE INICIO CON LA IMPLEMENTACION DEL DECRETO 1443 DE 2014 EN EL SISTEME DE GESTION EN SEGURIDAD Y SALUD EN EL TRABAJO</t>
  </si>
  <si>
    <t>SE LOGRA EL INTERÉS EN LA IMPLEMANTACIÓN DE UNA HERRAMIENTA DE GESTIÓN, COMO LO ES LA EDL, ARTICULANDO EL DESEMPEÑO INDIVIDUAL DE LOS FUNCIONARIOS CON EL DESEMPEÑO COLECTIVO DE LAS DEPENDENCIAS Y ARMONIZACIÓN, CON LOS REQUERIMIENTOS DEL SISTEMA INTEGRAL DE GESTIÓN Y CONTROL, DESTACADO POR LA COMISIÓN NACIONAL DEL SERVICIO CIVIL - CNSC.
EN ENERO DE 2012 SE ENVÍA LA PROPUESTA DEL SISTEMA PROPIO (SPEDL) A LA CNSC, PARA SU ANÁLISIS Y EN JUNIO DE 2012 DEVUELVE LAS OBSERVACIONES.
EN 2013, LA SECRETARÍA DE LA FUNCIÓN PÚBLICA INICIA EL PROCESO DE CONTRATACIÓN PARA EL AJUSTE Y PARAMETRIZACIÓN DE LA PROPUESTA DE SISTEMA PROPIO, SEGÚN LAS OBSERVACIONES DE LA CNSC; EL PROCESO QUE SE DECLARA DESIERTO .
LA SECRETARÍA DE LA FUNCIÓN PÚBLICA ASUME LA REALIZACIÓN DE LOS AJUSTES Y ADECUCIÓN DE LA  PROPUESTA, CULMINANDO EN DICIEMBRE DE 2014 Y LA PRESENTA A CNSC..
EN MAYO DE 2015 LA CNSC, ENVÍA LA RESPUESTA, CON OBSERVACIONES PARA REVISIÓN DE FORMA, PRECISIONES TÉCNICAS Y PROCEDIMENTALES Y ASPECTOS POSITIVOS Y FORTALEZAS .
EN JUNIO DE 2015 SE REALIZA UNA REUNIÓN CON PROFESIONALES Y ASESORES DE LA CNSC, EN LA CUAL ESA ENTIDAD  SUGIERE LA APLICACIÓN DE UNA ENCUESTA Y LA REALIZACIÓN DE UN MUESTREO CON LAS ESCALAS DE CALIFICACIÓN QUE LOS FUNCIONARIOS ELIJAN, PROCESO QUE CULMINA EL 28 DE AGOSTO DE 2015.
EL 31 DE AGOSTO DE 2015 SE TERMINA DE REALIZAR EL AJUSTE DEL INSTRUMENTO DE EVALUACIÓN Y DEL ESTUDIO TÉCNICO Y SE PREPARA PARA SU ENVÍO A LA CNSC, CON EL FIN DE OBTENER LA APROBACIÓN.           MEDIANTE OFICIO DEL 21 DE SEPTIEMBRE DE 2015 LA CNSC INFORMA QUE EL DOCUMENTO FUE OBJETO DE REAPERTO Y SE ENCUENTRA EN ESTUDIO SOLICITUD QUE SERÁ RESUELTA EN UN PLAZO MAXIMO DE 45 DÍAS HABILES ( A DICEMBRE 4 DE 2015).</t>
  </si>
  <si>
    <t xml:space="preserve">SE REALIZO ACCIONES  CONJUNTAS CON N LA CORPORACIÓN AUTÓNOMA REGIONAL DEL GUAVIO – CORPOGUAVIO, PARA DESARROLLORAR EL PROYECTO ESTRATÉGICO “LA RUTA DEL AGUA”, A TRAVÉS DEL CUAL SE HA BUSCADO APOYAR, PROMOVER E INTEGRAR LAS INICIATIVAS LOCALES, DESARROLLANDO UN CORREDOR ECO Y AGRO TURÍSTICO DE LA REGIÓN PARA POSICIONARLA A  NIVEL DEL DEPARTAMENTO, DEL PAÍS Y  DEL MUNDO. A PARTIR DE ESTE GRAN PROYECTO SE  DESARROLLA EL TURISMO COMO ACTIVIDAD INTEGRADORA Y PLANIFICADA, QUE AYUDE AL USO Y APROVECHAMIENTO SOSTENIBLE DEL PATRIMONIO AMBIENTAL DE LA PROVINCIA DEL GUAVIO Y QUE GENERE ALTERNATIVAS DE INGRESOS Y EMPLEO A LOS DIVERSOS GRUPOS HUMANOS. ADEMÁS DE CONSTITUIRSE EN UNA DE LAS HERRAMIENTAS MÁS ADECUADAS PARA QUE LOS POBLADORES Y VISITANTES, SE SENSIBILICEN EN EL RESPETO Y EN EL USO RACIONAL DE LA NATURALEZA. PENDIENTE  POR  TERMINAR  LA  IMPLEMENTACION  DE  LA INFRAESTRUCTURADE APOYO A LA OPERACION TURISTICA. </t>
  </si>
  <si>
    <t xml:space="preserve">EN EL MARCO DEL PLAN REGIONAL DE CAMBIO CLIMÁTICO (PRICC) SE HAN DESARROLLADO DE MANERA CONJUNTA ENTRE LAS INSTITUCIONES SOCIAS, ESTUDIOS TÉCNICOS QUE PERMITEN CONOCER LAS CARACTERÍSTICAS DEL CLIMA PRESENTE Y FUTURO DE LA REGIÓN (PERFIL CLIMÁTICO), EVALUAR LA VULNERABILIDAD TERRITORIAL E INSTITUCIONAL A LA VARIABILIDAD Y AL CAMBIO CLIMÁTICO Y CONOCER EL INVENTARIO DE EMISIONES DE GASES DE EFECTO INVERNADERO. ASÍ MISMO SE IDENTIFICÓ UN PORTAFOLIO DE PROYECTOS PARA MEDIDAS DE MITIGACIÓN Y ADAPTACIÓN A LA VARIABILIDAD Y EL CAMBIO CLIMÁTICO EN LA REGIÓN BOGOTÁ –CUNDINAMARCA.
CON INTERVENCIONES INTERINSTITUCIONALES TENDIENTES AL SANEAMIENTO, PROTECCIÓN Y RECUPERACIÓN DE CUENCAS HIDROGRÁFICAS CON ALCANCE REGIONAL ENTRE LAS CUALES ESTÁ LA DEL RIO BOGOTÁ, EJE    AMBIENTAL DE LA REGIÓN BOGOTÁ – CUNDINAMARCA. SE  ADELANTARON  ACCIONES CONJUNTAS CON LA CAR,  ENCAMINADAS  A  LA REDUCCIÓN Y MITIGACIÓN DE RIESGOS HIDROCLIMÁTICOS, A TRAVÉS DE LA EJECUCIÓN DE OBRAS HIDRÁULICAS DEL RÍO FRIO . ESTE PROYECTO SERA  ADICIONASDO EN SU EJECUCION EN TIEMPO Y RECURSOS LOS CUALES LOS APORTARA LA CAR   PARA  LA EJECUCION EN EL 2016 DE OBRAS NO  PREVISTA EN EL CONVENIO 
SE REALIZARON ACCIONES CONJUNTAS CON VARIOS MUNICIPIOS, PARA EL APROVECHAMIENTO DE LOS RESIDUOS SÓLIDOS  A TRAVÉS DEL PROCESO DE RECICLAJE  Y EL MANEJO ADECUADO DE LOS MISMOS, CON EL FIN DEDISMINUIR  LA CANTIDAD DE RESIDUOS SÓLIDOS TRASPORTADOS AL RELLENO SANITARIO, LO QUE REDUNDA EN LA DISMINUCIÓN DE COSTOS  Y ADICIONALMENTE GENERA RECURSOS POR ACTIVIDADES  DE RECICLAJE  A PARTIR  DE PROCESOS DE SENSIBILIZACIÓN, CAPACITACIÓN  Y FORMACIÓN DE CAPACIDADES EN LA COMUNIDAD. EL PROPÓSITO GENERAL  ES MANEJAR TÉCNICAMENTE LOS RESIDUOS SÓLIDOS, DESDE SU GENERACIÓN HASTA LA DISPOSICIÓN  FINAL  CON EL FIN DE GARANTIZAR UN AMBIENTE SANO  
</t>
  </si>
  <si>
    <t xml:space="preserve">COMO UNA ESTRATEGIA DE INTEGRACIÓN REGIONAL, QUE BUSCA LLEVAR LOS RESULTADOS Y CONOCIMIENTOS DEL PRICC AL NIVEL LOCAL, APOYANDO ASÍ LA TOMA DE DECISIONES SOBRE LOS TEMAS DE CAMBIO CLIMÁTICO, LA SECRETARÍA DE INTEGRACIÓN REGIONAL DEL DEPARTAMENTO HA PROMOVIDO DIFERENTES HERRAMIENTAS Y MÉTODOS PARA HACER ASEQUIBLE ESTE NUEVO CONOCIMIENTO, ELABORADO EN EL MARCO DEL PRICC, A LOS FUNCIONARIOS DEL NIVEL MUNICIPAL. PARA ESTO, SE CUENTA CON VISOR WEB DE LA INFORMACIÓN CARTOGRÁFICA TEMÁTICA SOBRE CAMBIO CLIMÁTICO.
 SE ADELANTARON ACCIONES CON LA SECRETARIA DE LAS TIC  Y PENSANDO EN LAS POSIBILIDADES QUE PARA LA INTEGRACIÓN REGIONAL EN EL DEPARTAMENTO SIGNIFICA EL FORTALECIMIENTO DE LAS CAPACIDADES LOCALES, SE REQUIERE AVANZAR A PARTIR DE ESTE VISOR WEB HACIA UNA HERRAMIENTA QUE PERMITA LA CONSULTA PERSONALIZADA EN LÍNEA DE LA INFORMACIÓN GENERADA, EN EL SISTEMA DE ANÁLISIS GEOGRÁFICO AVANZADO (SAGA) DE LA GOBERNACIÓN DE CUNDINAMARCA, DE MODO QUE LOS FUNCIONARIOS DEL NIVEL MUNICIPAL PUEDAN TENER ACCESO DE PRIMERA MANO A LA INFORMACIÓN DEL PRICC QUE LE ES ÚTIL PARA ORIENTAR SU TOMA DE DECISIONES EN SU ORDENAMIENTO TERRITORIAL GESTION DEL RIESGO Y ACCIONES DE ADAPTACION MITIGACION DE LOS EFETOS DEL CAMBIO CLIMATICO.PENDIENTE DE TERMINAR  DE MIGRAR TODOS LOS DATOS  DEL PRICC A  EL SISTEMA  DE ANALISIS GREOGRAFICO AVANZADO  SAGA 
</t>
  </si>
  <si>
    <t xml:space="preserve">SE IMPULSÓ DESDE EL DEPARTAMENTO DE CUNDINAMARCA LA REACTIVACIÓN DE LA NAVEGACIÓN EN EL ALTO MAGDALENA, COMO FACTOR DE DESARROLLO ECONÓMICO Y SOCIAL DE LOS MUNICIPIOS RIBEREÑOS Y CONSIDERANDO QUE EL MUNICIPIO DE PUERTO SALGAR EMERGE CON PRIVILEGIO E IMPACTO REGIONAL, AL CONSAGRARSE POR DIRECTRIZ NACIONAL EN EL PUERTO MULTIMODAL PARA LA COMPETITIVIDAD DEL PAÍS.
SE IMPLEMENTARON ACCIONES DE FORTALECIMIENTO PARA PROMOVER EL DESARROLLO ECONÓMICO REGIONAL A TRAVÉS DE LA PARTICIPACIÓN DE EMPRESARIOS Y DE DESTINOS TURISTICOS DEL DEPARTAMENTO DE CUNDINAMARCA EN LA FERIA COLOMBIA TRADE EXPO MIAMI QUE PERMITIÓ EXPANDIR Y CREAR OPORTUNIDADES INTERNACIONALES DE NEGOCIOS.
PROMOCIÓN DE LA PLANIFICACIÓN Y GESTIÓN INTEGRADA DEL TERRITORIO PARA EL DESARROLLO EQUITATIVO, EQUILIBRADO Y SUSTENTABLE. APORTE FUNDAMENTAL PARA LA PLANEACIÓN, SE DEFINE LA VISIÓN DEL DEPARTAMENTO AL AÑO 2035. SE FIJAN LAS DIRECTRICES PARA EL ORDENAMIENTO TERRITORIAL DEL DEPARTAMENTO DE CUNDINAMARCA A TRAVÉS DE ORDENANZA RADICADA A LA ASAMBLEA DEPARTAMENTAL.
</t>
  </si>
  <si>
    <t xml:space="preserve">SE APOYARON DIFERENTES PROYECTOS EN TORNO A LA ESTRATEGIA REGIONAL INCLUIDA COMO UNO DE LOS GRANDES TEMAS DE LA INTEGRACIÓN EL CUAL TIENE POR OBJETO EL IMPULSO AL MEJORAMIENTO Y PROMOCIÓN DE ACTIVIDADES QUE GENEREN RECONOCIMIENTO EN LOS ÁMBITOS LOCAL, DEPARTAMENTAL, NACIONAL E INTERNACIONAL COMO: LA IMPLEMENTACIÓN DE LA ALIANZA REGIONAL CON LA CORPORACIÓN MALOKA, CON ESTO SE LOGRÓ UN CAMBIO HACÍA UNA CULTURA BASADA EN EL CONOCIMIENTO QUE INCORPORA EL DESARROLLO TECNOLÓGICO A LA COTIDIANIDAD DE LA POBLACIÓN, SE REALIZARON ACTIVIDADES QUE REDUNDARON EN BENEFICIO DE LA CIUDADANÍA, APORTANDO A NUEVAS FORMAS DE CONSTRUCCIÓN COLECTIVA Y GENERACIÓN DE NUEVOS CONOCIMIENTOS. 
LA CONSOLIDACIÓN DE LA RAPE REGIÓN CENTRAL QUE VA MÁS ALLÁ DE SER UN SIMPLE EJERCICIO DE PLANIFICACIÓN, PARA POSICIONARSE COMO UNA APUESTA POR EL DESARROLLO ECONÓMICO Y SOCIAL DEL TERRITORIO. LA RAPE BUSCA CONSOLIDAR UN MODELO DE DESARROLLO CARACTERIZADO POR LA INCLUSIÓN SOCIAL, EL CONOCIMIENTO, EL RECONOCIMIENTO A LA DIFERENCIA POBLACIONAL, DE GÉNERO, ÉTNICA Y TERRITORIAL, AL TIEMPO QUE AVANZA EN LA DISMINUCIÓN DE LA POBREZA, EL RESTABLECIMIENTO DE LOS DERECHOS DE LAS VÍCTIMAS DEL CONFLICTO ARMADO COMO CONTRIBUCIÓN A LA CONSTRUCCIÓN DE PAZ.
EN EL MARCO DE LA LAS ALIANZAS SUSCRITAS CON LAS DIFERENTES PROVINCIAS DEL DEPARTAMENTO SE REALIZARON ACCIONES DE DESARROLLO TURÍSTICO REGIONAL E INTERCAMBIO CULTURAL LO CUAL PERMITE POTENCIALIZAR NUESTROS RECURSOS Y CREAR IDENTIDAD Y PERTENENCIA TERRITORIAL, COMO ESTRATEGIA DE INTEGRACIÓN REGIONAL.
CONTINUANDO CON LA IMPLEMENTACIÓN DE LA ALIANZA REGIONAL CON FENALCO SE PROMOVIENDO EL DESARROLLO ECONÓMICO REGIONAL, A TRAVÉS DEL APOYO PARA IMPULSAR PRODUCTIVAMENTE A LOS MICROEMPRESARIOS DE VARIOS MUNICIPIOS. 
IMPLEMENTANDO LA ALIANZA ESTRATÉGICA DE INTEGRACIÓN REGIONAL ENTRE LA SECRETARÍA Y EL CONSEJO NACIONAL DE ARTES Y OFICIOS –CONAF Y LA FUNDACIÓN PARQUE MUSEO FUERZAS MILITARES SE REALIZARON ACCIONES QUE PERMITEN GENERAR ESPACIOS ENCAMINADOS A LA PROMOCIÓN Y FOMENTO DE LAS EXPRESIONES ARTÍSTICAS, CULTURALES Y ARTESANALES EN LOS PROCESOS DE IDENTIDAD REGIONAL, ARTICULANDO CON OTRAS ENTIDADES MISIONALES Y COOPERANTES DEL DEPARTAMENTO.
CONTINUANDO CON LA IMPLEMENTACION DE LA ALIANZA  FIRMADA CON BOGOTA PARA EL METRO LIGERO REGIONAL URBANO BOGOTA-CUNDINAMARCA SE PRESENTO Y SE APROBO POR PARTE DEL SISTEMA GENERAL DE REGALIAS EL PROYECTO PARA EL LEVANTAMIENTO DE INVENTARIO DE LOS CORREDORES FERREOS DEL DEPARTAMENTO DE CUNDINAMARCA Y BOGOTA D.C
</t>
  </si>
  <si>
    <t xml:space="preserve">EN EL DESARROLLO DE LA IMPLEMENTACION DE LAS 13 ALIANZAS SUBREGIONALES SE REALIZARON DIFERENTES ACCIONES PARA EL APOYO A LA REALIZACIÓN DE EVENTOS QUE CONTRIBUYE AL FORTALECIMIENTO DE LA INTEGRACIÓN SUBREGIONAL, CON EL FIN DE GENERAR OPORTUNIDADES ECONÓMICAS A TRAVÉS DEL FOMENTO Y LA PROMOCIÓN DE LA OFERTA TURÍSTICA Y CULTURAL.
SE APOYO LA ESTRUCTURACIÓN DE PROGRAMAS Y ESTRATEGIAS SOBRE SEGURIDAD ALIMENTARIA Y DE DESARROLLO SOSTENIBLE  DE NUESTRO DEPARTAMENTO A TRAVÉS DE LA  INTEGRACIÓN CAMPESINA REGIONAL CON CALIDAD DE VIDA, SE LOGRÓO SENCIBILIZAR Y CAPACITAR A LOS BENEFICIARIOS DEL PROYECTO EN HERRAMIENTAS DE PARTICIPACION COMUNITARIA, SEGURIDAD ALIMENTARIA Y NUTRICIONAL OFRECIENDO ALIMENTOS DE ALTO VALOR BIOLÓGICO Y GRAN DISPONIBILIDAD,  APROVECHANDO RECURSOS PRESENTES EN SUS PARCELAS Y AUN BAJO COSTO Y ESFUERZO,  OFRECIENDO UNA FUENTE DE INGRESOS ADICIONAL QUE PUEDEN UTILIZAR PARA COMPLEMENTAR LA DIETA FAMILIAR. 
</t>
  </si>
  <si>
    <t xml:space="preserve">SE HA CONTRATADO LA EJECUCIÓN DE 314 OBRAS DENTRO DE LAS QUE SE DESTACAN: PLACAS HUELLA, PLACAS DE POLIDEPORTIVOS, CANCHAS MÚLTIPLES, ANDENES, PLACA SENDERO Y ADECUACIÓN DE SALONES COMUNALES. ESTAS OBRAS Y SERVICIOS SOCIOECONÓMICOS DE INNOVACIÓN BENEFICIAN A COMUNIDADES Y PROMUEVEN EL DESARROLLO COMUNITARIO Y LOCAL. SE REALIZARON VISITAS DE INSPECCIÓN, ASESORÍA, ASISTENCIA TÉCNICA Y JURÍDICA A ORGANIZACIONES COMUNALES FAVORECIDAS CON OBRAS Y/O SERVICIOS SOCIOECONÓMICOS PARA ASEGURAR QUE SE SURTIERAN LAS ETAPAS DE VIABILIZACIÓN, DOCUMENTACIÓN REQUERIDA, FIRMA DEL CONVENIO, LEGALIZACIÓN DEL CONVENIO, FIRMA DEL ACTA DE INICIO. SE GESTINÓ RECURSOS PARA LA EJECUCION DE 78 OBRAS PLACAS HUELLA A TRAVÉS DE FIRMA DE CONVENIO CON EL DEPARTAMENTO PARA LA PROSPERIDAD SOCIAL. </t>
  </si>
  <si>
    <t>SE APOYARON MAS DE 4.300 ORGANIZACIONES COMUNALES GENERÁNDOLES CAPACIDADES DE GESTIÓN Y ADMINISTRACIÓN. SE ADELANTÓ LA CAPACITACIÓN EN TEMAS COMUNALES, ASISTENCIA A PLENARIAS, DILIGENCIAS DE LEGALIZACIÓN DE COMODATOS, EVENTOS DE INTEGRACIÓN Y VISITAS ADMINISTRATIVAS A ORGANISMOS COMUNALES EN LAS QUE SE LES BRINDÓ ASESORÍA, CAPACITACIÓN, ACOMPAÑAMIENTO Y HERRAMIENTAS EN ADMINISTRACIÓN Y GESTIÓN COMUNAL. ADEMÁS SE REALIZÓ LA DOTACIÓN, A TRAVÉS DE COMODATOS, DE MOBILIARIO Y EQUIPOS A ORGANIZACIONES COMUNALES CON EL FIN DE BRINDAR HERRAMIENTAS QUE FACILITAN EL DESARROLLO DE LA PARTICIPACIÓN COMUNITARIA Y CIUDADANA.</t>
  </si>
  <si>
    <t>MAS DE 4.500 ORGANIZACIONES COMUNITARIAS SE FORTALECIERON EN PARTICIPACIÓN E INCLUSIÓN CON DINÁMICAS DE INTEGRACIÓN Y COMUNICACIÓN A TRAVÉS DE: ASIGNACIÓN DE BUZONES DE CORREO ELECTRÓNICO A CADA UNA DE LAS ORGANIZACIONES COMUNALES, EXPEDICIÓN DE CARNETS DE IDENTIFICACIÓN Y TARJETAS DE APROXIMACIÓN A LOS PRESIDENTES DE LAS JUNTAS COMUNALES, SE REALIZARON EVENTOS DE INTEGRACIÓN Y PARTICIPACIÓN, FORTALECIMIENTO DE EMISORAS COMUNITARIAS, CAPACITACIÓN EN HERRAMIENTAS INFORMÁTICAS DE COMUNICACIÓN, E MAIL Y LA INTERACCIÓN CON NUESTRA PÁGINA WEB, PROMOCIÓN DE LA PARTICIPACIÓN EN LOS JUEGOS DEPORTIVOS Y RECREATIVOS COMUNALES.</t>
  </si>
  <si>
    <t>SE EFECTUARON REUNIONES CON LA SECRETARIA DE DESARROLLO SOCIAL - DIRECCIÓN DE ETNIAS PARA ABORDAR EL CUMPLIMIENTO CONJUNTO DE ESTA META. SE ACORDÓ REUNIÓN CON REPRESENTANTES DE LOS CABILDOS INDÍGENAS EN LA QUE SE GENERARON Y PRESENTARON PROPUESTAS CONJUNTAS PARA PROGRAMAR UN ENCUENTRO DE CONFORMACIÓN DE LAS MESAS AUTÓNOMAS.</t>
  </si>
  <si>
    <t>SE LOGRÓ EL DESARROLLO DE DIFERENTES FASES DE PROMOCION DE LA PARTICIPACION CON ORGANIZACIONES COMUNITARIAS  EN 61 MUNICIPIOS EN LOS QUE SE REALIZARON ACTIVIDADES DE SOCIALIZACIÓN, APOYO LOGÍSTICO, DIDÁCTICO Y PUBLICITARIO, ADEMÁS DEL DESARROLLO DE LOS EVENTOS DE FORMULACIÓN E IMPLEMENTACIÓN DE LAS AGENDAS, PROMOVIENDO LA PARTICIPACIÓN ACTIVA DE LOS HABITANTES EN EL DESARROLLO DE SU COMUNIDAD Y DE SU MUNICIPIO A TRAVÉS DE LA CONSTRUCCIÓN DE MAS DE 40 AGENDAS DE DESARROLLO LOCAL.</t>
  </si>
  <si>
    <t>INFORMES DE AVANCE DE METAS EN VISOR, EFECTUADOS POR: SECRETARÍA DE PLANEACIÓN, SECRETARÍA DE DESARROLLO SOCIAL, SECRETARÍA DE SALUD, SECRETARÍA DE GOBIERNO Y EL INSTITUTO DEPARTAMENTAL DE ACCION COMUNAL Y PARTICIPACION CIUDADANA</t>
  </si>
  <si>
    <t>Luz Dary Castañeda Hernandez</t>
  </si>
  <si>
    <t>SE LOGRÓ EL FORTALECIMIENTO A LOS PROCESOS DE PARTICIPACION Y GOBERNANZA EN LOS 116 MUNICIPIOS DE CUNDINAMARCA, A PARTIR DE LA CONFORMACIÓN DE 756 VEEDURIAS CIUDADANAS Y DEL ACOMPAÑAMIENTO A 166 CONSEJOS MUNICIPALES DE POLÍTICA SOCIAL (COMPOS), CONFORMACIÓN Y ACOMPAÑAMIENTO A 113 CONSEJOS CONSULTIVOS DE MUJERES, ACOMPAÑAMIENTO EN LA CONFORMACIÓN DE LAS PLATAFORMAS DE JUVENTUD, IMPLEMENTACIÓN DE LAS ESCUELAS DE LIDERAZGO DE MUJER Y JUVENTUD, FUNCIONAMIENTO DEL PRIMER APP VIRTUAL PARA EL FORTALECIMIENTO DE LOS CONSEJOS MUNICIPALES DE POLÍTICA SOCIAL.  304 ORGANISMOS DE PARTICIPACION EN SECTOR SALUD: COPACOS COMITES DE PARTICIPACION COMUNITARIA EN SALUD, SERVICIOS DE ATENCION A LA COMUNIDAD, VEEDURIAS EN SALUD, ASOCIACIONES DE USUARIOS, COMITÉS DE ÉTICA HOSPITALARIA Y  SISTEMAS DE INFORMACIÓN Y ATENCIÓN AL USUARIO. 192 OBRAS Y SERVICIOS SOCIOECONÓMICOS DE INNOVACIÓN BENEFICIAN A COMUNIDADES Y PROMUEVEN EL DESARROLLO COMUNITARIO Y LOCAL, 74 CENTROS POBLADOS MÁS AMABLES CON EMBELLECIMIENTO DEL ENTORNO, LOGRANDO CON EL IMPULSO DE ACCIONES PARTICIPATIVAS DE LA COMUNIDAD, GENERAR VALORES COMO EL RESPETO, LA TOLERANCIA, EL TRABAJO EN EQUIPO, LA CONVIVENCIA Y LA SOLIDARIDAD, 4.437 ORGANIZACIONES COMUNITARIAS APOYADAS Y FORTALECIDAS GENERÁNDOLES CAPACIDADES DE GESTIÓN Y ADMINISTRACIÓN PARA EL DESARROLLO DE LA PARTICIPACIÓN COMUNITARIA Y CIUDADANA.</t>
  </si>
  <si>
    <t>NANCY VALBUENA RAMOS</t>
  </si>
  <si>
    <t>2015/11/31</t>
  </si>
  <si>
    <t>Se intervino y se benefició por medio de obras de infraestructura en la construcción, adecuación, desarrollo y puesta en funcionamiento de ambientes físicos dispuestos para la prestación de servicios sociales, en cada uno de los 116 municipios que integran el Departamento. Específicamente la labor se ve reflejada en la atención de obras como la atención de sedes educativas, Hospitales, centros y/o puestos de salud, los estudios de vulnerabilidad sísmica y reforzamiento estructural para los hospitales de la red pública, los espacios sociales para la recreación y el deporte, los espacios culturales, el apoyo en la construcción de Infraestructuras logísticas destinadas para mejorar la productividad y la construcción de infraestructuras de producción, distribución y comercialización, como las plazas de mercado, plazas de ferias y de exposiciones. Adicionalmente se construyó el centro regulador de urgencias, emergencias y desastres y se mejoraron las condiciones de la capacidad tecnológica y científica del sistema único de habilitación en el componente de infraestructura en un 25% de las empresas sociales del estado con énfasis en la baja  complejidad.</t>
  </si>
  <si>
    <t>Teniendo en cuenta que la red departamental vial se encontraba en un 30%, luego de la pasada ola Invernal, la presente administración interesada en mejorar las actuales condiciones de transitabilidad, planteó mejorar dichas condiciones un 20% adicional, para llegar a la meta del 50%, de toda la estructura vial que tiene Cundinamarca. Con el avance a 31 de diciembre de 2015, se demuestra, que la gestión de la actual administración ha velado pro aumentar los niveles de transitabilidad en el territorio Cundinamarques, mejorando las condiciones de transitabilidad en las redes secundaria y tercearia del Departamento, con adecuación, mantenimiento, reconstrucción y mejoramiento de éstas importantes vías muy afectadas por la pasada ola invernal que azotó a Cundinamarca a finales del 2011. La red de primer orden, es atendida por las tres concesiones viales, con las cuales el Departamento cuenta.</t>
  </si>
  <si>
    <t>Por la complejidad y magnitud de los proyectos, la estructuración de los mismos requiere de mecanismos que integren varias regiones, con sus múltiples actores, por lo que ha resultado un proceso de estructuración y de dificultad alta. Se debe tener en cuenta que los corredores viales no se encuentran bajo directrices directas del ICCU, por lo que los resultados dependen directamente de las agencias que están interviniendo los proyectos de dichas vías</t>
  </si>
  <si>
    <t>Durante el presente periodo de Gobierno, se han estructurado los siguientes proyectos, los cuales se consideran de vital importancia para el desarrollo vial de Cundinamarca: 1. Troncal del Rionegro:Este proyecto busca integrar la Región del Rionegro con el Bajo Magdalena a través de la Ruta del Sol. Con una Longitud de 115Kms y a un costo aproximado de $200.000 millones. está estructurado bajo propuesta en una A.P.P.; 2:Troncal del Magdalena: Los cuales están integrados por el corredor Girardot - Cambao, Cambao - Puerto Salgar, Pto Salgar - Pto Bogotá, para un recorrido aproximado de 170 km. proyecto estructurado por la ANI. 3 Ruta del Sol: A nivel de Cundinamarca, el proyecto está desarrollado para que pase por los municipios de Villeta,Guaduas, Caparrapí y Puerto Salgar. Sin Embargo la estructuración de éste proyecto ha resultado especialmente dificil por la estabilidad del terreno de los primeros 21km de dicho trayecto, ubicado entre Villeta y Gauaduas, en una longitud total de 21 Km. En resumen, se puede decir que este TRIANGULO VIRTUOSO se encuentra bastante avanzado, gracias a la gestión de la Gobernación. Los corredores Girardot - Cambao -  Pto Bogotá ya está estructurado y listo; lo mismo para el proyecto Bogotá - Silvania -  Girardot y Por último el corredor vial Bogotá - Villeta - Guaduas - Honda - Pto salgar, completando así el triangulo Virtuoso de la productividad. vale la pena resaltar que son obras a cargo de la nación (INVIAS) - (ANI)</t>
  </si>
  <si>
    <t>31 DE DICIEMBRE DE 2015</t>
  </si>
  <si>
    <t xml:space="preserve">POSICIONAMIENTO DE 4 DESTINOS TURISTICOS COMO LO SON: - LA RUTA DE LA SAL (NEMOCÓN-ZIPAQUIRÁ), ESTA SE HA LOGRADO POSICONAR A NIVEL DEPARTAMENTAL, NACIONAL E INTERNACIONAL ATRAVES DE LA REALIZACIÓN DE EVENTOS COMO ELECCIÒN Y CORONACIÓN DE LA SEÑORITA CUNDINAMARCA, RECORRIDO TURÍSTICO CON NIÑOS , NIÑAS Y ADOLECENTES VICTIMAS DEL CONFLICTO ARMADO , EVENTO DE SKAL Y FESTIVAL DEL MACRAME ENTRE OTROS, LO CUAL HA INCENTIVADO LAS VISITAS TANTO DE NACIONALES COMO EXTRANJEROS. Y SE HA LOGRADO MEJORAR LA OFERTA TURÍSTICA. - RUTA DE AVENTURA (NIMAIIMA-TOBIA), A TRAVÉS DE ARTICULOS DE PRENSA PUBLICADOS (REVISTA VOLAR), VIAJES DE FAMILIARIZACIÓN, II ENCUNTRO DE AUTORIDADES, CAPACITACIONES, LA IMPLEMENTACIÓN DE UN PIT Y LA PROMOCION EN GENERAL A TRAVES DE FOTOGRAGÍAS DE ESTE DESTINO, HA INCENTIVADO LA VISITA DE TURSITAS DEL DEPARTAMENTO, DEL PAÍS Y DE TURISMO EXTRANJERO, LO CUAL CONLLEVA AL POSICIONAMIENTO DE ESTA RUTA COMO DESTINO TURÍSTICO DE CUNDINAMARCA. - RUTA RELIGIOSA MEDIANTE UN TRABAJO DE INVESTIGACIÓN SE REALIZÓ EL LEVANTAMIENTO DE PATRIMONIO TURÍSTICO RELIGIOSO DE SABANA CENTRO  Y VALLE DE UBATÉ, LO CUAL PERMITIÓ IMPULSAR ESTA RUTA EN EL DEPARTAMENTO. - RUTA DEL RÍO NEGRO, SE CONFORMÓ LA CORPORACIÓN DE TURISMO DE LA REGIÓN DENOMINADA CORTUPAZ CAPACITANDO A SUS AFILIADOS, FORTALECIENDO E IMPLEMENTADO DE ESTA MANERA LA RUTA TURÍSTICA DE NATURALEZA QUE VINCULA A TODOS LOS MUNICIPIOS DE LA PROVINCIA DEL RÍO NEGRO. </t>
  </si>
  <si>
    <t xml:space="preserve">* INDICADOR 2013: PARA DETERMINAR EL PORCENTAJE PARA ESTE PERIODO SE TUVO EN CUENTA UNA POBLACIÓN TOTAL DE CUNDINAMARCA DE 2.557.623 HABITANTES. EL ÁREA DE CULTURA REPORTA UN AVANCE DE UN 7% CORRESPONDIENTE A 174.264 HABITANTES. * INDICADOR 2014: LA POBLACIÓN TOTAL DE CUNDINAMARCA PARA ESTA MEDICIÓN ES DE 2.598.245 HABITANTES. LA POBLACIÓN REQUERIDA PARA CUMPLIR DICHA META ES DE 259.825 (10%). A LA FECHA EL ÁREA DE CULTURA REPORTA UN AVANCE DE UN 17% CORRESPONDIENTE A 431.213 HABITANTES. * INDICADOR 2015: LA POBLACIÓN TOTAL DE CUNDINAMARCA PARA ESTA MEDICIÓN ES DE 2.680.041 HABITANTES. LA POBLACIÓN REQUERIDA PARA CUMPLIR DICHA META ES DE 259.825 (10%). A LA FECHA EL ÁREA DE CULTURA REPORTA UN AVANCE DE UN 29% CORRESPONDIENTE A 776.224 HABITANTES. </t>
  </si>
  <si>
    <t>MINTIC informe trimestral de las TIC en Colombia, primer  trimestre 2015, publicado en julio de 2015</t>
  </si>
  <si>
    <t>JULIO DE 2015</t>
  </si>
  <si>
    <t>LA CIFRA PRESENTADA TIENE UN ATRAZO DE 8 MESES. LA MEDICIÓN INCLUYE SOLAMENTE LOS PROVEEDORES DE INTERNET, SIN INCLUÍR LA RED SOCIAL DE DATOS DE LA GOBERNACIÓN, QUE TAMBIÉN PROVEE SERVICIO DE INTERNET.</t>
  </si>
  <si>
    <t>el Departamento de Cundinamarca se encuentra en el puesto 9, entre los departamentos del país en el ranking de penetración de internet, en el siguiente cuadro se puede observar el listado de todos los departamentos. Desde el 2011, se ha avanzado en 5.13 puntos porcentuales, pasando del puesto 12 en el 2011, al pueto 9 en el 2015.</t>
  </si>
  <si>
    <t>Se realizó la etapa 0 y 1 de la red social de datos. Con estas etapas se establece el proceso de instalación de la infraestuctura de comunicaciones  propia en el Departamento, mediante la cual se da conectividad a:  58 nodos y 521 sitios en 89 municipios del Departamento.</t>
  </si>
  <si>
    <t>Con el proyecto Nacional de Fibra Óptica liderado por el MICTIC se cubrieron 82 municipios en los caules se instaló al menos un nodo de fibra óptica.</t>
  </si>
  <si>
    <t>Fortalecimiento de la Plataforma Computacional del Datacenter (Antiguo centro de procesamiento de datos – CPD), en la Gobernación de Cundinamarca. 
Migración de Servidores y Almacenamiento corporativos de alta criticidad (bases de Datos y virtualización), a infraestructura  corporativa de última tecnología.
Fortalecimiento Infraestructura para el Servicio Corporativo de Correo Electrónico, en la Gobernación de Cundinamarca, con la adquisición de tres (3) servidores con almacenamiento local.
Fortalecimiento Infraestructura para la Seguridad y Gestión - Proyecto Red Social de Datos Departamento de Cundinamarca – RSD
Migración del Sistema productivo Unificado de Información de Salud - SIUSa la infraestructura computacional en el Datacenter, Gobernación de Cundinamarca y puesta en funcionamiento.
Instalación, configuración y puesta en producción del sistema BIZAGI BPM (Business ProcessModel) sobre infraestructura computacional en el Datacenter, Gobernación de Cundinamarca. 
Instalación y configuración del sistema de monitoreo NAGIOS (Open Source) y del sistema Web de nóminaKactus-OPHELIAsobre infraestructura computacional virtual en el Datacenter, Gobernación de Cundinamarca.</t>
  </si>
  <si>
    <t>Se realizo el diseñó y la implementación del Data Center de la Gobernación de Cundinamarca, siguiendo la normatividad nacional e internacional que alrespecto existe. 
En el mes de diciembre de 2015 termina la ejecución del contrato mendiente el cua el Departamento da inicial proceso que permitirá implementar los estándares de Seguridad de la Información.
Durante  todo el cuatrenio la Gobernación  contó con el servicio de Mesa de Ayuda.</t>
  </si>
  <si>
    <t xml:space="preserve">Se utilizó la metodología Software Asset Management (SAM)  considerada como una buena práctica  al incorporar un conjunto de procesos probados y procedimientos para la gestión y optimización de los activos de TI , con la cual, se logró cumplir la meta estabalecida premitiendo a la Gobernación estar actualizada en el licenciamiento de software utilizado. </t>
  </si>
  <si>
    <t>Se garantiza el servicio de Internet a 913 instituciones públicas  así: 521 entidades mediante Red Social de Datos, 143  Plan Nacional Fibra Óptica, 6 Puntos Vive Digital Plus, 51 Puntos Vive Digital; 192 Kioscos Vive Digital. Se indica que el acumulado de la meta bajó en sentido que terminó la  conectividad brindada a través  de operadores locales. </t>
  </si>
  <si>
    <t>Se instalaron 80 zonas wifi en  23 municipios del Departamento. Con lo cual se logra proveer de una manera gratuita acceso a internet en lugares específicos de los municipios como los parques, permitiendo la navegación tanto a la población como a los visitantes y turistas.</t>
  </si>
  <si>
    <t xml:space="preserve">El Departamento cuenta con el Plan de Tecnologías de la Información para el Departamento, como herramienta de navegación, que permite alinear, y estandarizar. En ejecución de la implemanción del plan se cuenta ya con un avance en la implementación de  proyectos habilitadores que hoy permiten contar con: Portal corporativo (IBM WebSphere), Bus de integración (Message Broker), GIS (SAGA- ARGIS), BPM (Bizagi), se hicieron mejoras al Datacenter de Gobernación, Hay un avance en Red Social de Datos. Componentes que ya se han utilizado en proyectos como: HCU, Sistema de seguimiento al PDD, Trámites, entre otros.  </t>
  </si>
  <si>
    <t xml:space="preserve">De acuerdo con los recursos existentes se ha dado continuidad a la labor de identificación e implementación de soluciones que permita ofrecer a los ciudadanos nuevos trámites.  Los trámites que se han puesto en producción son los siguientes: 
-Inscripción de profesionales del área de la salud del Dpto de Cundinamarca
-Implementación de PQR a través de mercurio para la secretaría de salud
-Registro de profesionales del área de salud.
-Implementación de PQR a través de mercurio para el nivel central de la Gobernación
-Implementación de módulo de devoluciones. 
-Inscripción en el registro especial de prestadores de salud como instituciones 
-Notificaciones por la WEB - Secretaría jurídica
Y en proceso de implementación se encuentra: 
-Tiempo de servicio de docentes (En diciembre sale en productivo)
-Otorgamiento y renovación de licencias de salud ocupacional modelados (En diciembre sale en productivo)
-Pago electrónico impuesto sobre vehículos (Cronograma en ajuste por resultados pruebas)
-Integración con CCB liquidación y recaudo de Impuesto de Registro Mercantil (Por cronograma la salida en productivo se estima en marzo 2016)
</t>
  </si>
  <si>
    <t>Se ha mantenido disponible el servicio de soporte y mantenimiento para los sistemas de información incluidos dentro del alcance, de acuerdo con las condiciones particulares de cada uno. Se evidencia la existencia de más sistemas de información en uso en el Departamento, por lo que se continúa a partir del PETIC en la actualización del inventario así como en la ejecución de actividades tendientes a determinar la situación de obsolescencia que permita posteriormente configurar estrategias alineadas a PETIC para mejorar las condiciones y garantizar la continuidad en los servicios soportados a través de sistemas de información en el Departamento.</t>
  </si>
  <si>
    <t>Los principales logros del cuatrenio, fue la  implementación un nuevo portal web corporativo con una nueva plataforma estándar y amigable que facilita la interacción de los ciudadanos con la administración departamental, elevando la capacidad de visibilidad la información de 21 entidades a través de micrositios. Con el nuevo portal la gobernación pudo implementar un procedimiento Peticiones, Quejas y Reclamos – PQRS centralizado y de fácil acceso. Adicionalmente se cuenta con una plataforma para la generación de comunidades virtuales, donde se han implementado 10 espacios para la construcción de conocimiento colaborativo entre administración y ciudadanía.</t>
  </si>
  <si>
    <t xml:space="preserve">Se instalaron 148 instituciones (114 municipios) con infraestructura de telefonía IP.
51 municipios además de contar con la plataforma de Telefonía IP, tienen licenciamiento para cuatro usuarios para realizar mensajería instantánea y viedo conferencia por la herramienta Lync.
Se instaló equipos de videoconferencia (plataforma polycom, tv de 60 " ) en 5 municipios (La Palma, Yacopí, Viotá , Macheta y San Juan de RioSeco). </t>
  </si>
  <si>
    <t>Se lograron alianzas estratégicas con entidades como el SENA, E-TRUST de las Américas, Vive Digital Regional, entre otras, con el fin de avanzar en el logro de la meta a cuatro años. En desarrollo de las actividades de formación se prestó el servicio de acompañamiento a los municipios en la implementación de la Estrategia de Gobierno en Línea, en cada uno de los modelos expuestos por el gobierno nacional. De esta manera se pudo llegar a todas las provincias del Departamento, no solo en materia de gobierno en línea, sino tambien en cualquier tema TIC. Adicionalmente, se realizaron capacitaciones a las entidades del sector central y descentralizado de la Gobernación de Cundinamarca y asociaciones departamentales en diferentes temas TIC, asi como socialización y sensibilización en procesos como el de Gestión Tecnológica, Residuos Electrónicos, SAP, KACTUS, SWIM, WSUS y ofimática.</t>
  </si>
  <si>
    <t>En Convenio con ETB se implementaron 18 Centros Interactivos en los municipios de: Chaguaní, Albán, Yacopí, Topaipí, El Peñón, Granada, Paime, Tena, Jerusalén, Agua de Dios, Cabrera, Gachetá, Tibirita, La Palma, Machetá, San Cayetano, Gutiérrez, Fosca; Gracias a gestión adelantada por la Dirección de Gobierno en Línea se lograron implementar 20 Puntos Vive Digital en: Girardot, Chía, Sopó, Quetame, Cáqueza, Chipaque, Nilo, Tenjo, Viotá, Guachetá, Nemocón, Tibacuy, Vianí, Pasca, Chocontá, Gachalá, Gama, Ubaque, Carmen de Carupa, Gachancipá y  15 Kioscos Vive Digital en: Apulo, Beltrán, Bituima, Caparrapí, Fúquene, Guataquí, Guayabetal, Junín, Nariño, Puerto Salgar, Pulí, Simijaca, Suesca, Sutatausa y Tabio, para un total de 53 municipios beneficiados, dando un cumplimiento del 94,6 % de la meta.</t>
  </si>
  <si>
    <t>Con el apoyo del Ministerio del interior se implementó la línea de seguridad y emergencias del departamento, dando cobertura a la recepción de llamadas a los 116 Municipios, además el sistema de monitoreo de los medios de comunicación del servicio de policía del departamento y el monitoreo de la ubicación de emisión de llamadas de los disponsitivos móviles de Claro y Movistar a la línea de emergencia</t>
  </si>
  <si>
    <t xml:space="preserve">atención de la totalidad de las llamadas recepcionadas en la línea de seguridad y emergencias del departamento - 123 </t>
  </si>
  <si>
    <t xml:space="preserve">Se trabajó con los municipios en el acompañamiento, seguimiento e implementación de la estrategia de gobierno en línea, logrando:
- Asistencia a los 116 municipios
- Acompañamiento de Gestores TIC distribuidos por provincias
- Realización de 21 encuentros regionales llevados a cabo en diferentes municipios.
- Funcionarios capacitados 2394 aprox. de los municipios
- Participación ciudadana en las obras de teatro, inscribiéndose 42 escuelas teatrales de 36 municipios  
- Se impulsó la Escuela virtual de gobierno en línea participando 79 personas 
- Instalación de punto de atención en la Gobernación de Cundinamarca para dar asesoría a los municipios sobre gobierno en línea.
- Estrategias de apropiación: Difusión de 20 cuñas radiales por las emisoras, 10 infografías y 14 videos por las páginas web municipales.
</t>
  </si>
  <si>
    <t xml:space="preserve">Se trabajó con los municipios en el acompañamiento, seguimiento y socialización de la estrategia de gobierno en línea, logrando:
- Curso de la Escuela Virtual GEL (Moodle) participación de los servidores públicos y los ciudadanos. Un total de 78 participantes.
- Dinamización de la plataforma cundinet.cundinamarca.gov.co con la comunidad “Cundinamarca en Línea” realizando el cargue del material de ayudas audiovisuales.
- Realización del primer taller de ideación y prototipado para el desarrollo de app Móviles con contenido social, contó con la participación de 30 Jóvenes cundinamarqueses.
- Se realizó piloto de georreferenciación en 17 municipios NBI de los establecimientos de industria y comercio, por medio del sistema SAGA “Sistema de Análisis Geográfico Avanzado” donde se logró el ingreso de 2056 datos.
- Organización, convocatoria y socialización de la ley 1712 sobre transparencia y acceso a la información, asistencia de 144 personas entre funcionarios y ciudadanos.
- Realización de mesas técnicas y temáticas con la participación de 396 funcionarios de los municipios
</t>
  </si>
  <si>
    <t>A comienzos del cuatrenio se estableció como meta formular los lineamientos que harían parte de la política pública sobre el manejo responsable de residuos electrónicos, teniendo en cuenta que ya existe una política nacional sobre el tema, la administración departamental, trabajó en el documento por medio del cual se adoptaba la política nacional y los lineamientos específicos para la entidad. Dicho documento fue formulado y revisado por la Secretaría de Ambiente, General y Planeación, con el fin de establecer los parámetros de implementación de la política, por lo que se proyectó un memorando de entendimiento con la firma ECOCOMPUTO, el cual fue revisado por la Unidad de Contratación. Paralelamente se llevó a cabo una socialización del Decreto 0312 de 2015 ante el comité de Gobierno en Línea y se dió a conocer la pieza publicitaria que acompaña el proyecto de recolección de Residuos Electrónicos, para el 12 de agosto de 2015 se firmó el Decreto 0312, por medio del cual se crea el Comité de Gestión Intregral de Residuos Electrónicos-computadores y/o periféricos, el cual tiene función realizar entre otras, promover campañas de sensibilización, buscar alianzas estratégicas que permitan un tratamiento responsable de los residuos electrónicos y adicionalmente es el encargado de aprobar y socializar los lineamientos la gestión intregral de residuos electrónicos-computadores y/o periféricos. Al finalizar el cuatrenio, los lineamientos ya están aprobados por parte del Comité de Residuos Electrónicos y está pendiente de revisión jurídica para la firma del gobernador.</t>
  </si>
  <si>
    <t>Se cuenta con una instalación que permite ofrecer el servicio de bodega de datos, sobre SQLServer 2014, el cual se encuentra amparado con el soporte del fabricante en la modalidad de Assurance.</t>
  </si>
  <si>
    <t xml:space="preserve">De acuerdo con el alcance definido y la dinámica del proceso de planificación en el Departamento, se ha atendido oportunamente las actividades de: estructura de plan de desarrollo, plan indicativo, POAI, Plan de Acción y seguimiento. Durante el primer semestre de 2016,  según esta misma dinámica se soportará las actividades de banco de proyectos, reportes especiales de seguimiento y soporte configuración del nuevo plan de desarrollo
</t>
  </si>
  <si>
    <t xml:space="preserve">COMO UNA ESTRATEGIA DE INTEGRACIÓN REGIONAL, QUE BUSCA LLEVAR LOS RESULTADOS Y CONOCIMIENTOS DEL PRICC AL NIVEL LOCAL, APOYANDO ASÍ LA TOMA DE DECISIONES SOBRE LOS TEMAS DE CAMBIO CLIMÁTICO, LA SECRETARÍA DE INTEGRACIÓN REGIONAL DEL DEPARTAMENTO HA PROMOVIDO DIFERENTES HERRAMIENTAS Y MÉTODOS PARA HACER ASEQUIBLE ESTE NUEVO CONOCIMIENTO, ELABORADO EN EL MARCO DEL PRICC, A LOS FUNCIONARIOS DEL NIVEL MUNICIPAL. PARA ESTO, SE CUENTA CON VISOR WEB DE LA INFORMACIÓN CARTOGRÁFICA TEMÁTICA SOBRE CAMBIO CLIMÁTICO.
 SE ADELANTARON ACCIONES CON LA SECRETARIA DE LAS TIC  Y PENSANDO EN LAS POSIBILIDADES QUE PARA LA INTEGRACIÓN REGIONAL EN EL DEPARTAMENTO SIGNIFICA EL FORTALECIMIENTO DE LAS CAPACIDADES LOCALES, SE REQUIERE AVANZAR A PARTIR DE ESTE VISOR WEB HACIA UNA HERRAMIENTA QUE PERMITA LA CONSULTA PERSONALIZADA EN LÍNEA DE LA INFORMACIÓN GENERADA, EN EL SISTEMA DE ANÁLISIS GEOGRÁFICO AVANZADO (SAGA) DE LA GOBERNACIÓN DE CUNDINAMARCA, DE MODO QUE LOS FUNCIONARIOS DEL NIVEL MUNICIPAL PUEDAN TENER ACCESO DE PRIMERA MANO A LA INFORMACIÓN DEL PRICC QUE LE ES ÚTIL PARA ORIENTAR SU TOMA DE DECISIONES EN SU ORDENAMIENTO TERRITORIAL GESTION DEL RIESGO Y ACCIONES DE ADAPTACION MITIGACION DE LOS EFETOS DEL CAMBIO CLIMATICO. PENDIENTE  POR SEGUIR  MIGRANDO LA INFOMACION  AL SISTEMA DE  LA GOBERNACIO  "SAGA" PARA  SENCIBLILIZAR  A LA COMUNIDAD  EN LA CAPACIDAD DE ADAPTACIÓN AL CAMBIO Y VARIABILIDAD CLIMÁTICA.
</t>
  </si>
  <si>
    <t>48 MUNICIPIOS CUENTAN CON ESTUDIOS DE RIESGO Y AMENAZA COMO INSUMO PARA ADELANTAR LA REVISIÓN Y AJUSTE DE SUS PLANES DE ORDENAMIENTO TERRITORIAL, DE LOS CUALES 19 MUNICIPIOS ADELANTARON EL PROCESO DE REVISIÓN Y AJUSTE DE SUS EOT</t>
  </si>
  <si>
    <t>NO SE LOGRÓ CUMPLIR ESTA META POR CUANTO LAS ADMINISTRACIONES MUNICIPALES NO ESTABAN INTERESADAS EN FORMULAR PLANES PARCIALES POR CUANTO ESTABAN ADELANTANDO LOS ESTUDIOS DE RIESGO Y LA REVISIÓN Y AJUSTE DE LOS POT</t>
  </si>
  <si>
    <t>SE FORMULARON LAS DIRECTRICES DE ORDENAMIENTO TERRITORIAL CONTENIDAS EN EL PROYECTO DE ORDENANZA, EN EJERCICIO DE LAS COMPETENCIAS, DE CONFORMIDAD CON EL LITERAL A.) DEL NUMERAL 2º DEL ARTÍCULO 29 DE LA LEY 1454 DE 2011</t>
  </si>
  <si>
    <t>CINCO (5) MUNICIPIOS ACTUALIZARON SUS BASES CATASTRALES, LAS CUALES SIRVEN PARA AJUSTAR LOS AVALÚOS DE LOS PREDIOS URBANOS Y RURALES QUE CONLLEVARAN A MEJORAR EL RECAUDO POR EL COBRO DEL IMPUESTO PREDIAL UNIFICADO, ADICIONALMENTE CUENTAN CON CARTOGRAFÍA PREDIAL URBANA Y RURAL QUE LES SIRVE COMO BASE EL PROCESO DE REVISIÓN Y AJUSTE DE SU EOT.</t>
  </si>
  <si>
    <t>FLOR MELIA CRUZ</t>
  </si>
  <si>
    <t>02 de diciembre de 2015</t>
  </si>
  <si>
    <t xml:space="preserve">Lograr que el 100 % de los municipios del departamento (116) superen la calificación del 60% en el índice de desempeño municipal. Para la medición de este indicador dependemos del Indice de Desempeño Integral de los Municipios calculado por el DNP el cual se determina por la información reportada por los municipios en los diferentes aplicativos,  a las  entidades del orden nacional como: Contraloría, Función Pública, Ministerio de Educación , Protección Social, DNP entre otros. El cual es calculado en el año siguiente a la entrega de la información. 
Para la Evaluación de Desempeño Integral del 2014, la cual fue entregada por el DNP el 24 de Noviembre de 2015 , de los 116 municipios de departamento de Cundinamarca 114  superaron la calificación del 60% en el índice de desempeño municipal, que corresponde al 98.28% . Solamente 2 municipios quedaron por debajo del promedio por razones de extemporaneidad de la información y/o mal diligenciamiento de la misma. Es así que el índice de desempeño integral promedio para los municipios de cundinamarca es del 79.61%, Este índice permite medir la Eficacia, Eficiencia, Gestión administrativa y financiera y el cumplimiento de los requisitos legales.
A nivel nacional de los 1101 municipios, Superan el 60% del índice del desempeño integral 918 municipios que corresponden al 83.38% del total de municipios de país. Si nos comparamos con los departamentos de : Antioquia de 125 municipios  113 superan el 60%lo que  corresponden al 90.40%; Atlántico de 23 municipios 20 superan el 60%lo que  corresponde al 86.96 %; Boyacá  de 123 municipios 112  superan el 60% , lo que corresponde al 90.06%; Santander  de 87 municipios 80 superan el 60% , lo que corresponde al 91.95%; Valle de 42  municipios 38 superan el 60% 38, lo que corresponden al 90.48%.
</t>
  </si>
  <si>
    <t xml:space="preserve">30 DE NOVIEMBRE  DE 2015 </t>
  </si>
  <si>
    <t>ACTUALMENTE SE CUENTA CON REPORTE DE BASES ESTADISTICAS DE LAS VIGENCIAS  2012-2013</t>
  </si>
  <si>
    <t>IGUALMENTE SE SOLICITA VALIDAR LA LINEA BASE DEL 2011 QUE SE REPOR TA 18,9  Y SEGÚN  EL REPORTE DANE(PLANEACION) ES DE 13,24</t>
  </si>
  <si>
    <t>31 de Diciembre de 2015</t>
  </si>
  <si>
    <t>LA MEDICIÓN DEL INDICADOR SE REALIZA ANULAMENTE A FINAL DE AÑO, RAZÓN POR LA CUAL PARA EL AÑO 2015 AÚN NO SE CUENTA CON DATOS DEFINITIVOS, SINO PARCIALES A NOVIEMBRE DEL AÑO EN CURSO.</t>
  </si>
  <si>
    <t>SE HA VENIDO PRESENTANDO UNA  DISMINUCIÓN EN EL INDICADOR. NO OBSTANTE, NO SE LOGRARÁ DISMINUÍR LA DESNUTRICIÓN GLOBAL A 3.5% AL FINALIZAR EL 2015. NO OBSTANTE,  LA PREVALENCIA DE DESNUTRICIÓN GLOBAL EN MENORES DE 5 AÑOS MUESTRA UNA TENDENCIA AL DESCENSO, ALCANZANDO UN PORCENTAJE DE 4.17% .</t>
  </si>
  <si>
    <t>10.3%</t>
  </si>
  <si>
    <t xml:space="preserve">HEMOS DISMINUIDO EL INDICADOR DE DESNUTRICIÓN CRÓNICA DE 11.1% A 10.3%, NO OBSTANTE, HUBO UN INCREMENTO RESPECTO DEL AÑO 2014,  ASÍ LAS COSAS, NO SE ALCANZARÁ CON EL CUMPLIMIENTO DE LA META PLANTEADA DEL 9.5%.
</t>
  </si>
  <si>
    <t>EN EL 2014 HUBO UNA PARTICPACIÓN DE LOSADOLESCENTES ATRAVÉS DE UN VIDEO CHAT DESDE EL MUNICIPIO DE PUERTO SALGAR. EN EL 2015 HUBO PARTICIPACIÓN EN 2 CODEPS.</t>
  </si>
  <si>
    <t>31 de Diciembrede 2015</t>
  </si>
  <si>
    <t>El indicador ha venido en crecimiento por las actividades de organización, identificación, fortalecimiento de grupos y lideres juveniles, así como de la conformación de plataformas de juventud en los municipios; durante el año 2015 se desarrollaron  procesos de liderazgo juvenil y se consolidaron plataformas de juventud en 14 provincias</t>
  </si>
  <si>
    <t xml:space="preserve">SI BIEN DURANTE EL CUATRIENIO SE REALIZARON ACTIVIDADES TENDIENTES A MEJORAR LAS OPORTUNIDADES PARA LOS JOVENES Y LA GARANTÍA DE SUS DERECHOS, NO ES POSIBLE ESTABLECER PUNTUALMENTE EL AVANCE DE ESTE INDICADOR POR QUE EL INSTUMENTO DE MEDIDA NO ES UN SISTEMA DE INFORMACIÓN PERMANENTE, SINO QUE ESTA LIMITADO A LA REALIZACIÓN DE UN ESTUDIO QUE IMPLICA AJUSTAR EL INSTRUMENTO DE RECOLECCIÓN DE INFORMACIÓN, APLICAR LAS ENCUESTAS, SISTEMATIZARLAS Y REALIZAR EL ANÁLISIS CORRESPONDIENTE CON UNA MUESTRA REPRESENTATIVA DE JOVENES DEL DEPARTAMENTO, PARA LO QUE SE CONTO CON RECURSOS. </t>
  </si>
  <si>
    <t>EN EL 2012 SE ATENDIERON 3.475 FAMILIAS, EN EL 2013 6.146 FAMILIAS Y EN EL 2014 15.000 FAMILIAS, DE ESTAS SE ATENDIERON FAMILIAS DE RED UNIDOS A TRAVÉS DE OTROS PROGRAMAS DE LA GOBERNACIÓN DE CUNDINAMARCA. A 2015, 7.322 FAMILIAS FUERON PARTICIPANTES DE LOS PROGRAMAS DE FILTROS PURIFICADORES DE AGUA, CULTURA DEL AHORRO Y BANCO DE ALIMENTOS, FOCALIZADAS A TRAVÉS DE LA RED UNIDOS.</t>
  </si>
  <si>
    <t>EN EL 2013 HAY UN IMPORTANTE INCREMENTO DE LAS FAMILIAS ATENDIDAS EN EL PROGRAMA DE BANCOS DE ALIMENTOS. PARA 2014, SE HIZO UNA ATENCIÓN PSICOSOCIAL A 2.656 FAMILIAS DEL DEPARTAMENTO, LOGRANDO UN FORTALECIMIENTO EN DERECHOS DEL INDIVIDUO Y DETECTANDO Y ATENDIENDO CASOS DE MALTRATO INFANTIL. EN 2015, 21.088  FAMILIAS PARTICIPARON EN ESTRATEGIAS DE PROMOCIÓN DE DERECHOS Y PREVENCIÓN DEL TRABAJO INFANTIL, BANCO DE ALIMENTOS, CULTURA DEL AHORRO, PLANTAS PROCESADORAS DE SOYA, PROGRAMAS DE DISCAPACIDAD, ATENCIÓN PSICOSOCIAL Y JURIDICA A POBLACIÓN VCA Y DINAMICA FAMILIAR.</t>
  </si>
  <si>
    <t>LA MEDICIÓN DEL INDICADOR SE LOGRARÁ MEDIANTE LA EJECUCIÓN DE LOS PROYECTOS DIRIGIDOS A LAS MUJERES Y SUS ORGANIZACIONES.  VALE LA PENA ACLARAR QUE FALTA  EL CIERRE DE 2 PROYECTOS PARA LA CIFRA DEFINITIVA DEL INDICADOR EN 2015.</t>
  </si>
  <si>
    <t xml:space="preserve">TOMANDO COMO BASE POBLACIONAL DE MUJER A NIVEL DEPARTAMENTAL 909.717, EN EL CONSOLIDADO REALIZADO PARA LOS AÑOS 2012- 2014 EN CUANTO A MUJERES ATENDIDAS Y/O BENEFICIADAS MEDIANTE LOS DIFERENTES PROGRAMAS ACTIVIDADES, ACCIONES BRINDADAS POR LA SECRETARIA DE DESARROLLO SOCIAL – SUBDIRECCIÓN DE MUJER Y GENERO EN LA SUMATORIA REALIZADA YA SE HAN ATENDIDO EL 19,61% DE LAS MUJERES CUNDINAMARQUESAS. 
EN EL AÑO 2012 - 43022 MUJERES ATENDIDAS, REPRESENTANDO EL (4.74%), PARA EL 2013 - 55.434 MUJERES ATENDIDAS, REPRESENTANDO EL (6.10%) Y EN EL AÑO 2014 MEDIANTE APOYO EN EMPRENDIMIENTOS, HABILIDADES Y CAPACIDADES, CREACIÓN DE CONSEJOS CONSULTIVOS Y SENSIBILIZACIÓN A UNA VIDA LIBRE DE VIOLENCIA SE ATENDIERON 79.831 MUJERES, REPRESENTANDO EL (8.77%). EN EL AÑO 2015 MEDIANTE APOYO EN EMPRENDIMIENTOS, HABILIDADES Y CAPACIDADES, SENSIBILIZACION A UNA VIDA LIBRE DE VIOLENCIA, SE ATENDIERON 2920 MUJERES, REPRESENTANDO EL (0,32%) 
</t>
  </si>
  <si>
    <t>La medición por departamento por parte del DANE es anual.</t>
  </si>
  <si>
    <t>Para el año 2014, la pobreza en Cundinamarca alcanzó una incidencia de 16,9%, mientras que
en 2011 fue 25,3%, lo cual permite afirmar, aunque no se cuenten con datos a 2015, que se dio cumplimiento a la meta del cuatrienio, al presentar una reducción de 3 puntos porcentuales frente a la meta establecida. Este resultado también es significativo frente al indicador a nivel nacional (28,5%).</t>
  </si>
  <si>
    <t>Para el año 2014, la incidencia en pobreza extrema en Cundinamarca alcanzó una tasa de 3,8%, mientras que
en 2011 fue 7,8%, lo cual permite afirmar, aunque no se cuenten con datos a 2015, que se dio cumplimiento a la meta del cuatrienio, al presentar una reducción de 4 puntos porcentuales frente a la meta establecida. Este resultado también es significativo frente al indicador a nivel nacional (8,1%).</t>
  </si>
  <si>
    <t>No se tiene claridad del indicador utilizado de línea base.</t>
  </si>
  <si>
    <t>ANSPE</t>
  </si>
  <si>
    <t>Vale la pena aclarar que el indicador mide el número de familias promovidas de acuerdo a varios criterios, más no familias graduadas.</t>
  </si>
  <si>
    <t>A través de acciones conjuntas de las diferentes entidades del Departamento dirigidas al cumplimiento de los logros de la estrategia UNIDOS, liderada por la ANSPE, se promovieron 3106 familias en el 2012, 4975 en el 2013, 7270 en el 2014 y 5.357 a Diciembre de 2015.</t>
  </si>
  <si>
    <t>CONTRIBUCIÓN A LA REDUCCIÓN DE LA PREVALENCIA DE DESNUTRICIÓN GLOBAL EN MENORES DE 6 AÑOS EN 1.4 PUNTOS PORCENTUALES EN LO CORRIDO DEL CUATRIENIO, A TRAVÉS DE ENTREGA MENSUAL DE COMPLEMENTOS NUTRICIONALES A MÁS DE 19.000 NIÑOS Y NIÑAS MENORES DE CINCO (5) AÑOS EN 116 MUNICIPIOS DEL DEPARTAMENTO (PROGRAMA NUTRIR). 89 MUNICIPIOS PRESENTARON REDUCCIONES SIGNIFICATIVAS EN LA TASA DE DESNUTRICIÓN INFANTIL FRENTE A 2012.
LAS FAMILIAS BENEFICIARIAS RECIBEN CAPACITACIÓN EN TEMAS DE NUTRICIÓN Y ALIMENTACIÓN SALUDABLE, Y SE REALIZA PROCESO DE RECICLAJE DE MATERIAL INCLUIDO EN LOS PAQUETES ALIMENTARIOS. 
EN 2014, SE REALIZARON APOYOS A PROYECTOS PRODUCTIVOS PARA EL PROCESAMIENTO Y SIEMBRA DE QUINUA EN 5 MUNICIPIOS PRIORIZADOS.</t>
  </si>
  <si>
    <t>CONTRIBUCIÓN A LA REDUCCIÓN DE LA PREVALENCIA DE BAJO PESO EN MADRES GESTANTES EN 3.2 PUNTOS PORCENTUALES EN LO CORRIDO DEL CUATRIENIO, A TRAVÉS DE ENTREGA MENSUAL DE COMPLEMENTOS NUTRICIONALES A MÁS DE 7.000 MADRES GESTANTES Y LACTANTES, EN 116 MUNICIPIOS DEL DEPARTAMENTO (PROGRAMA NUTRIR).
CON LA FUNDACIÓN EXITO SE BRINDÓ APOYO EN 2014, A 400 ADOLESCENTES GESTANTES CON BAJO PESO.</t>
  </si>
  <si>
    <t>CON EL APOYO DEL ICBF FUE POSIBLE LA CREACIÓN DE 35 MESAS DE PARTICIPACIÓN DE NIÑOS, NIÑAS Y ADOLESCENTES EN IGUAL NÚMERO DE MUNICIPIOS. ASIMISMO, SE ESTABLECIÓ ARTICULACIÓN CON EL INSTITUTO DEPARTAMENTAL DE ACCIÓN COMUNAL, PARA CONTINUAR CON LOS PROCESOS DE SENSIBILIZACIÓN Y FORMACIÓN A COMUNALITOS.</t>
  </si>
  <si>
    <t xml:space="preserve">112 MUNICIPIOS ASISTIDOS TÉCNICAMENTE EN TEMAS DE INFANCIA, A TRAVÉS DE MESAS DE TRABAJO Y EVENTOS DEPARTAMENTALES DE CAPACITACIÓN, CON MIEMBROS DE LOS CONSEJOS MUNICIPALES DE POLITICA SOCIAL. </t>
  </si>
  <si>
    <t xml:space="preserve">ANUALMENTE SE HA IMPLEMENTADO EN LOS 116 MUNICIPIOS ACTIVIDADES PARA LA PREVENCIÓN DEL MALTRATO Y LA VIOLENCIA INFANTIL, LA PROTECCIÓN DE LOS DERECHOS DE LOS NIÑOS, NIÑAS Y ADOLESCENTES, LA PREVENCIÓN Y DESESTIMULO DEL TRABAJO INFANTIL, CONSTRUCCIÓN DE ESCENARIOS DE PARTICIPACIÓN CON NIÑOS, NIÑAS, ADOLESCENTES Y JÓVENES. 
ADICIONALMENTE, MEDIANTE LAS CUALES SE BENEFICIÓ A 15.911 NIÑOS, NIÑAS Y ADOLESCENTES EN CONVENIO CON LA RED DE SANACIÓN DEL TRABAJO INFANTIL, MEDIANTE LA REALIZACIÓN DE OBRAS DE TEATRO FRENTE A LA PREVENCIÓN DEL ABUSO SEXUAL, EN 32 MUNICIPIOS , Y BOGOTÁ EN CORFERIAS. </t>
  </si>
  <si>
    <t>SE REACTIVARON LOS COMITÉS DE: ERRADICACIÓN DEL TRABAJO INFANTIL “CETI”, ESTRATEGIA DE CERO A SIEMPRE PILOTAJE EN 10 MUNICIPIOS Y MESA OPERATIVA DE PRIMERA INFANCIA, INFANCIA Y ADOLESCENCIA EN ALIANZA CON ICBF NACIONAL Y REGIONAL. 3.090 NIÑOS, 134 FAMILIAS Y 4.550 ACTORES MÁS VINCULADOS A ESTRATEGIAS DE PREVENCION Y ERRADICACIÓN DE TRABAJO INFANTIL.  TAMBIÉN SE REALIZÓ SEGUIMIENTO A 70 CETI MUNICIPALES, IMPLEMENTACIÓN DE ESTRATEGIA PARA PREVENCIÓN DE EXPLOTACIÓN SEXUAL A TRAVÉS DE PROYECTO 4G, Y ESTRATEGIA PARA ERRADICACIÓN DE TRABAJO INFANTIL A TRAVÉS DE ESTRATEGIA CULTIVEMOS LA PAZ EN FAMILIA.</t>
  </si>
  <si>
    <t>DESARROLLO DE ACTIVIDADES DE FORTALECIMIENTO EN LIDERAZGO Y FORMACIÓN POLÍTICA CON LA PARTICIPACIÓN DE MÁS DE 8 MIL JÓVENES. EN 2015 FINALIZÓ ESCUELA DE LIDERAZGO, EN DONDE SE FORMARON 300 JÓVENES DE 10 PROVINCIAS DEL DEPARTAMENTO Y 280 JÓVENES MÁS A TRAVÉS DE LAS PLATAFORMAS DE JUVENTUDES Y 520 EN TALLERES ARTE Y PAZ PARA LA IDENTIFICACIÓN Y FORTALECIMIENTO DE HABILIDADES. ADICIONALMENTE, SE HAN VENIDO REALIZANDO ACTIVIDADES DE FORMACIÓN EN LIDERAZGO, POLÍTICAS PÚBLICAS Y CONSTRUCCIÓN DE PAZ.</t>
  </si>
  <si>
    <t>SE HAN GENERADO 7 ESPACIOS INTERCULTURALES Y CONMEMORATIVOS DE LA DIVERSIDAD ÉTNICA EN CONJUNTO CON LA SUBDIRECCIÓN DE ASUNTOS ÉTNICOS.</t>
  </si>
  <si>
    <t>PROMOCIÓN Y APOYO A 27 INICIATIVAS PRODUCTIVAS DE JÓVENES. EN 2014, SE IDENTIFICARON 98 INICIATIVAS PRODUCTIVAS DE JÓVENES PARA SU PARTICIPACIÓN EN LA FERIA DE “CUNDINAMARCA EMPRENDEDORA Y SOCIAL - CORFERIAS"; CON EL OBJETIVO DE FACILITAR ESPACIOS Y ACTIVIDADES DE VISIBILIZACIÓN E INTERCAMBIO COMERCIAL, CAPACITACIÓN EN TEMAS EMPRESARIALES.</t>
  </si>
  <si>
    <t xml:space="preserve">DURANTE EL CUATRIENIO SE HAN VENIDO DESARROLLANDO DIFERENTES ACCIONES DE IDENTIFICACIÓN Y FORTALECIMIENTO DE INICIATVAS JUVENILES DE PARTICIPACIÓN CIUDADANA. EN TOTAL FUERON APOYADAS 156 INICIATIVAS. </t>
  </si>
  <si>
    <t>SE CONFORMARON 30 PLATAFORMAS JUVENILES, COMO MECANISMO PARA FORTALECER LA DEMOCRACIA A NIVEL LOCAL.</t>
  </si>
  <si>
    <t xml:space="preserve">CONFORMACIÓN DE 5 VEEDURÍAS EN LOS MUNICIPIOS DE JUNÍN, VILLAPINZÓN, ZIPAQUIRÁ Y TOCANCIPÁ. </t>
  </si>
  <si>
    <t>SE CUENTA CON ESTUDIO SOBRE EL LEVANTAMIENTO DE CARTOGRAFÍA SOCIAL PARA LA VISIÓN DE LOS JÓVENES EN POSTCONFLICTO EN EL MUNICIPIO DE VIOTÁ.</t>
  </si>
  <si>
    <t>EN 2014 EN ARTICULACIÓN CON LA SECRETARIA DE COMPETITIVIDAD SE LOGRÓ APOYAR LA PARTICIPACIÓN DE SEIS (6) JÓVENES EN LA FERIA EXPO MIAMI, QUIENES FUERON IDENTIFICADOS Y SELECCIONADOS EN EL MARCO DE LA FERIA CUNDINAMARCA EMPRENDEDORA Y SOCIAL PARA FOCALIZAR Y REALIZAR A PROCESOS DE INTERCAMBIO. EN 2015 SE ADELANTARON GESTIONES PARA APOYAR A 13 JÓVENES A INTERCAMBIO EN ECUADOR.</t>
  </si>
  <si>
    <t xml:space="preserve">ATENCIÓN DE MÁS DE 3 MIL ADULTOS MAYORES EN SEGURIDAD ALIMENTARIA EN 75 MUNICIPIOS (ENTREGA DE PAQUETES ALIMENTARIOS EN 2013 E IMPLEMENTACIÓN DE PROGRAMA RACIÓN CALIENTE EN 2014 Y 2015). </t>
  </si>
  <si>
    <t xml:space="preserve">IMPLEMENTACIÓN DE 102 UNIDADES PRODUCTIVAS EN 7 MUNICIPIOS A TRAVES DE SESIONES DE ACTIVIDADES DE EMPRENDIMIENTO. </t>
  </si>
  <si>
    <t>FORTALECIMIENTO A LOS CONSEJOS MUNICIPALES DE ADULTO MAYOR EN 5 MUNICIPIOS (TAUSA, TABIO, LENGUAZAQUE, TENJO, Y NEMOCÓN) COMO ESPACIOS DE PARTICIPACIÓN. 210 ADULTOS MAYORES PARTICIPARON DEL PROCESO. EN 2015 SE REALIZÓ ASISTENCIA TÉCNICA A LOS MUNICIPIOS.</t>
  </si>
  <si>
    <t>IMPLEMENTACIÓN DEL PROCESO DE FORMACIÓN DE CUIDADORES DE ADULTO MAYOR EN 36 MUNICIPIOS, BENEFICIANDO A 782 PERSONAS.</t>
  </si>
  <si>
    <t>SE MEJORÓ LA CONDICIÓN DE HABITABILIDAD DE FAMILIAS EN POBREZA EXTREMA A TRAVÉS DE: (I) LA INTERVENCIÓN DE 578 VIVIENDAS RURALES DISPERSAS MEDIANTE EL MEJORAMIENTO DE PISOS Y TECHOS EN 11 MUNICIPIOS; (II) LA ENTREGA E INSTALACIÓN DE 14.026 FILTROS PURIFICADORES DE AGUA EN 75 MUNICIPIOS, PARA LA PREVENCION DE ENFERMEDADES EN NIÑOS Y NIÑAS.</t>
  </si>
  <si>
    <t>EN 2015, MÁS DE MIL FAMILIAS EN SITUACIÓN DE POBREZA HAN CONFORMADO 67 GRUPOS DE AHORRO Y CRÉDITO LOCAL. YA SE CUENTAN CON 305 FAMILIAS VINCULADAS DE LA RED UNIDOS, PERTENECIENTES A 67 GRUPOS DE AHORRO ACTIVOS, CON RESULTADOS YA EFECTIVOS EN AHORRO COMUNITARIO. EN TOTAL DURANTE EL CUATRIENIO PARTICIPARON 524 FAMILIAS.</t>
  </si>
  <si>
    <t>CONTRIBUCIÓN A LA SEGURIDAD ALIMENTARIA Y NUTRICIONAL DE LA POBLACIÓN VULNERABLE DEL DEPARTAMENTO, CON MÁS DE 18 MIL FAMILIAS BENEFICIARIAS DURANTE EL CUATRIENIO CON EL SUMINISTRO DE PAQUETES ALIMENTARIOS, CAPACITACIÓN EN TEMAS DE DINÁMICA FAMILIAR Y CREACIÓN Y/ O FORTALECIMIENTO DE PROYECTOS PRODUCTIVO PARA FAMILIAS EN POBREZA, A TRAVÉS DEL PROGRAMA BANCOS DE ALIMENTOS EN 20 MUNICIPIOS (RECURSOS DE LA GOBERNACIÓN Y MUNICIPIOS). EN 2015, SE IMPLEMENTÓ ESTRATEGIA DE RECOLECCIÓN DE EXCEDENTES AGROALIMENTARIOS, A PARTIR DE LA CUAL SE ESPERA RECOLECTAR A DICIEMBRE 70 TONELADAS. ADICIONALMENTE, SE REALIZÓ ALIANZA ENTRE LA SECRETARÍA DE DESARROLLO SOCIAL Y EL BANCO DE ALIMENTOS DE LA DIÓCESIS DE ZIPAQUIRÁ CON EL FIN DE MEJORAR LA CALIDAD DE VIDA DE LOS MÁS POBRES.</t>
  </si>
  <si>
    <t>FORTALECIMIENTO EN 42 PLANTAS PROCESADORAS DE SOYA LIDERADAS EN SU MAYORÍA GRUPOS POR MUJERES CABEZA DE HOGAR DE POBLACIÓN VULNERABLE Y VÍCTIMAS DEL CONFLICTO ARMADO Y 14 PLANTAS UBICADAS QUE BENEFICIAN A ADULTOS MAYORES EN CENTROS DÍA Y NIÑOS DE COLEGIOS. A PARTIR DE ESTE APOYO, SE MEJORA LA NUTRICIÓN DE POBLACIÓN VULNERABLE Y SE GENERAN PROYECTOS PRODUCTIVOS. A HOY MÁS DE 5 MIL BENEFICIARIOS ENTRE MADRES CABEZA DE FAMILIA, NIÑOS QUE ESTÁN EN INSTITUCIONES EDUCATIVAS, VÍCTIMAS DEL CONFLICTO ARMADO Y ADULTOS MAYORES EN CENTROS VIDA SE NUTREN MEJOR CON ALIMENTOS HECHOS EN PLANTAS PROCESADORAS DE SOYA.</t>
  </si>
  <si>
    <t>INTERVENCIÓN EN MÁS DE 500 FAMILIAS EN DINÁMICAS LÚDICAS Y CON HERRAMIENTAS PARA EL MANEJO DE LA DISCAPACIDAD EN 19 MUNICIPIOS.</t>
  </si>
  <si>
    <t>MÁS DE 20 MIL FAMILIAS BENEFICIARIAS DE ACCIONES DE ATENCIÓN PSICOSOCIAL Y CAPACITACIÓN EN TEMAS RELACIONADOS CON DINÁMICA FAMILIAR (PREVENCIÓN DE VIOLENCIA INTRAFAMILIAR, PAUTAS DE CRIANZA, AUTOESTIMA, ENTRE OTROS TEMAS).</t>
  </si>
  <si>
    <t>SE BRINDO APOYO A APROXIMADAMENTE 800 A INICIATIVAS PRODUCTIVAS DE MUJERES, CON ENTREGAS DE INSUMOS, EQUIPOS Y/O CAPACITACIÓN TÉCNICA.</t>
  </si>
  <si>
    <t>SE VINCULARON 2.554 MUJERES EN PROCESOS DE FORMACIÓN PARA EL TRABAJO Y OPORTUNIDADES DE GENERAR SUS PROPIOS INGRESOS.</t>
  </si>
  <si>
    <t>• SE ESTRUCTURÓ LA ESCUELA DE LIDERAZGO DE MUJERES, MEDIANTE LA EXPEDICIÓN DE DECRETO ORDENANZAL, DISEÑO PARTICIPATIVO DEL CONTENIDO PEDAGÓGICO Y PRIMERO PROCESO DE CAPACITACIÓN A 39 MUJERES PARTICIPANTES EN EL DIPLOMADO "LIDERAZGO EN GESTIÓN DE LA INNOVACIÓN SOCIAL PARA CUNDINAMARCA", 105 MUJERES EN LA ESCUELA DE LIDERAZGO JUVENIL Y 73 CAPACITADAS POR LA ALTA CONSEJERÍA PRESIDENCIAL DE EQUIDAD DE GÉNERO EN PARTICIPACIÓN POLÍTICA Y AGENDAS DE IGUALDAD DE GÉNERO.</t>
  </si>
  <si>
    <t>SE CREARON 89 CONSEJOS CONSULTIVOS EN LOS MUNICIPIOS MEDIANTE ASISTENCIA TÉCNICA DE LA SECRETARIA DE DESARROLLO SOCIAL Y APOYOS EXTERNOS PARA PARA LA CREACIÓN DE LOS MISMOS EN MUNICIPIOS SELECCIONADOS Y LA IMPLEMENTACIÓN DE LA POLÍTICA PUBLICA DE MUJER. SE COORDINO LA ALIANZA CON LA CONSEJERIA PRESIDENCIAL PARA LA EQUIDAD DE LA MUJER, ASISTENCIA TÉCNICA A LA CONFORMACIÓN Y PUESTA EN MARCHA DE LOS CONSEJOS CONSULTIVOS DE MUJERES DE LOS MUNICIPIOS DEL DEPARTAMENTO.</t>
  </si>
  <si>
    <t>FORTALECIMIENTO DE LA CAMPAÑA “RUTA DE ATENCIÓN A NIÑAS Y MUJERES VÍCTIMAS DE VIOLENCIA” MEDIANTE ACUERDO DE COMPROMISO INTERINSTITUCIONAL, ESTRATEGIA INFORMACIÓN Y DIVULGACIÓN CON EL SUMINISTRO DE PENDONES, FOLLETOS PEDAGÓGICOS. IGUALME-NTE CON ALIANZA DE LA SECRETARÍA SE APOYARON FERIAS DE SERVICIOS PARA ATENCIÓN DE MUJERES Y VCA EN LOS MUNICIPIOS DE PARATEBUENO Y FUSAGASUGÁ.</t>
  </si>
  <si>
    <t>APROXIMADAMENTE 2 MIL PERSONAS FOCALIZADAS Y PRIORIZADAS EN ATENCIÓN PSICOSOCIAL Y ATENCIÓN JURÍDICAL DURANTE EL CUATRIENIO.</t>
  </si>
  <si>
    <t>EN EL MARCO DEL PROGRAMA NUTRIR, SE HAN BENEFICIADO 2.198 NIÑOS Y NIÑAS VICTIMAS DEL CONFLICTO ARMADO CON LA ENTREGA DE SUPLEMENTOS ALIMENTARIOS, FOCALIZADAS Y PRIORIZADAS POR EL MUNICIPIO. ASIMISMO, SE HAN BENEFICIADO 76 ADULTOS MAYORES EN PROGRAMAS DE SEGURIDAD ALIMENTARIA.</t>
  </si>
  <si>
    <t>EN EL MARCO DEL PROGRAMA NUTRIR, SE HAN BENEFICIADO 860 MADRES GESTANTES Y LACTANTES VICTIMAS DEL CONFLICTO ARMADO, FOCALIZADAS Y PRIORIZADAS POR EL MUNICIPIO, CON ENTREGA DE SUPLEMENTOS ALIMENTARIOS.</t>
  </si>
  <si>
    <t xml:space="preserve">SE BRINDÓ ATENCIÓN DIFERENCIADA A LA POBLACIÓN VÍCTIMA DEL CONFLICTO ARMADO EN LOS MUNICIPIOS PRIORIZADOS POR LA SECRETARIA DE DESARROLLO SOCIAL (VIOTÁ, SESQUILÉ, LA PALMA Y TOPAIPI) EN ATENCIÓN PSICOSOCIAL, ATENCIÓN JURÍDICA, Y ASISTENCIA TÉCNICA PARA PROYECTOS PRODUCTIVOS. SE ADELANTÓ EN 5 MUNICIPIOS DEL DEPARTAMENTO EL DISEÑO, IMPLEMENTACIÓN Y LA SOCIALIZACIÓN DE LA CAMPAÑA PARA PROMOVER LOS DERECHOS DE LA POBLACIÓN EN CONDICIÓN DE DISCPACACIDAD VCA. </t>
  </si>
  <si>
    <t xml:space="preserve">SE BRINDÓ CAPACITACIÓN A JÓVENES DEL DEPARTAMENTO, INCLUYENDO POBLACIÓN VICTIMA DEL CONFLICTO ARMADO, EN EL MARCO DEL FORO YO CREO EN CUNDINAMARCA YO SOY CONSTRUCTOR DE PAZ (REALIZADO EL 18 DE JULIO DE 2014). SE ADELANTÓ EN 3 MUNICIPIOS DE CUNDINAMARCA ESTRATEGÍAS DE FORTALECIMIENTO DE LAS HÁBILIDADES DE LOS ADOLESCENTES VCA. </t>
  </si>
  <si>
    <t>SE GENERARON HABILIDADES EN EL 100% DE LAS MUJERES QUE LO DEMANDARON. FUERON CAPACITADAS 22 MUJERES EN FORMACIÓN PARA EL TRABAJO Y OPORTUNIDADES DE GENERAR SUS PROPIOS INGRESOS, MEDIANTE ACCIONES Y ACTIVIDADES EN EL CURSO DE MANUALIDADES, ARREGLOS NAVIDEÑOS, IMPLEMENTACIÓN DE LA POLÍTICA PÚBLICA DE MUJER Y UNA VIDA LIBRE DE VIOLENCIA. OTRAS 191 MUJERES FUERON ORIENTADAS EN EMPRENDIMIENTO DENTRO DE SUS ORGANIZACIONES PARA ELABORACIÓN DE SUS PROYECTOS PRODUCTIVOS. EN 2015, SE HAN APOYADO 51 MUJERES A TRAVÉS DEL FORTALECIMIENTO A ORGANIZACIONES DE MUJERES Y UNIDADES PRODUCTIVAS DEL BANCO DE ALIMENTOS.</t>
  </si>
  <si>
    <t>PROMOCIÓN DE HABILIDADES DE ASOCIATIVIDAD EN MÁS DE 100 FAMILIAS BENEFICIARIAS DE PROYECTOS PRODUCTIVOS EN LOS MUNICIPIOS DE SAN JUAN DE RIOSECO, BELTRÁN, GUAYABAL DE SIQUIMA, CAPARRAPÍ, SIBATE, TIBACUY, PROCESOS QUE FUERON ADELANTADOS CON LAS UMATAS, EN PROYECTOS DE GANADERÍA, PISCICULTURA, AVICULTURA, PORCICULTURA. PROYECTOS DE GANADERÍA, PISCICULTURA, AVICULTURA, PORCICULTURA. ADICIONALMENTE, SE SUSCRIBIERON 3 CONVENIOS QUE INCLUYEN ATENCIÓN A POBLACIÓN VCA: FUNDACIÓN AMARME, CLUB ROTARIO Y FUNDACIÓN RESTREPO BARCO.</t>
  </si>
  <si>
    <t xml:space="preserve">FORTALECIMIENTO A LOS PROCESOS DE PARTICIPACIÓN DE MUJERES Y GOBERNANZA LOCAL CON LA CONFORMACIÓN, ACOMPAÑAMIENTO Y SEGUIMIENTO DE 116 CONSEJOS CONSULTIVOS MUNICIPALES Y 89 CONSEJOS CONSULTIVOS DE MUJERES CONFORMADOS. </t>
  </si>
  <si>
    <t xml:space="preserve">SE REALIZÓ EL GIRO DE LOS RECURSOS CORRESPONDIENTE A LA ESTAMPILLA DE ADULTO MAYOR A LOS MUNICIPIOS QUIENES CERTIFICARON PARA EL CASO DE LOS CENTROS DIA UNA POBLACION ATENDIDA DE 18,507 ADULTOS MAYORES Y PARA EL CASO DE LOS CENTROS DE BIENESTAR 1,700 ADULTOS MAYORES. SE ESTIMA QUE A DICIEMBRE DE 2015, MÁS DE 20 MIL ADULTOS MAYORES TENDRÁN ATENCIÓN INTEGRAL (ALIMENTACIÓN, ORIENTACIÓN SICOSOCIAL, ATENCIÓN EN SALUD, CAPACITACIÓN ACTIVIDADES PRODUCTIVAS, ENCUENTROS INTERGENERACIONALES, ENTRE OTROS TEMAS) </t>
  </si>
  <si>
    <t xml:space="preserve">2012: PLAN DE MEJORAMIENTO CIERRE RENDICIÓN DE CUENTAS 2012 EN LA WEB
2014: 2 SEGUIMIENTO AL PLAN DE MEJORAMIENTO ESTABLECIDOS SEGÚN INFORME DE GESTION DE LAS ENTIDADES
2015: 2 SEGUIMIENTO AL PLAN DE MEJORAMIENTO ESTABLECIDOS SEGÚN INFORME DE GESTION DE LAS ENTIDADES </t>
  </si>
  <si>
    <t>SE DIO CUMPLIMIENTO A LOS 5 MOMENTOS DE LA RUTA RENDICIÓN DE CUENTAS 2012 CON LA PARTICIPACIÓN DE DIRECTIVOS Y FUNCIONARIOS EN EL DISEÑO E IMPLEMENTACIÓN. SE INSTITUCIONALIZÓ EN EL PLAN ANTICORRUPCIÓN
SE IMPLEMENTO UNA RUTA METODOLOGICA Y SE REALIZARON RENDICIONES DE CUENTAS TRIMESTRALES ANTE CONSEJO DE GOBIERNO, CON EL PROPOSITO DE EVALUAR Y MEJORAR LA GESTIÓN</t>
  </si>
  <si>
    <t>SE IMPLEMENTÓ LA RUTA METODOLÓGICA Y SE PRESENTO EL AVANCE EN RENDICION DE CUENTAS A CADA UNA DE LAS INSTANCIAS</t>
  </si>
  <si>
    <t xml:space="preserve">SE IMPLEMENTO Y DIO A CONOCER LA RUTA METODOLÓGICA PARA LA RENDICIÓN PUBLICA DE CUENTAS DE NNAJ
1)  RENDICIÓN PUBLICA DE CUENTAS DE PRIMERA INFANCIA 
2) RENDICIÓN PUBLICA DE CUENTAS DE INFANCIA
3) RENDICIÓN PUBLICA DE CUENTAS DE ADOLESCENCIA
4) RENDICIÓN PUBLICA DE CUENTAS DE JUVENTUD 
5) RENDICIÓN PUBLICA DE CUENTAS DE CUIDADORES </t>
  </si>
  <si>
    <t xml:space="preserve">EN TODAS LAS VIGENCIAS SE PUBLICARON VIA WEB, LA RUTA DE RENDICION DE CUENTAS,  TODOS LOS INFORMES DE RENDICION DE CUENTAS Y LOS AVANCES TRIMESTRALES, EN 2015 Y COMO RESULTADO DE LA SENSIBILIZÁCIÓN  DE LA RUTA METODOLÓGICA DE NNAJ SE HIZO LA PUBLICACIÓN WEB DE LOS PRINCIPALES RESULTADO DE LA RENDICIÓN DE CUENTAS 2015. POR OTRA PARTE  SE PUBLICO  EN FISICO:
1) ODM SE REALIZARON LAS PUBLICACIONES DE LOS AVANCES TANTO DEL DEPARTAMENTO COMO EN SUS 15 PROVINCIAS.
2) IMPACTO DEL PLAN DE DESARROLLO EN LA COMUNIDAD CUNDINAMARQUESA
3) PUBLICACION DEL INFORME DE GESTION 2012-2015 DEL PLAN DE DESARROLLO "CUNDIANAMARCA, CALIDAD DE VIDA"
</t>
  </si>
  <si>
    <t>1) CON LA FIRMA CIFRAS  CONCEPTOS SE REALIZO ENCUESTA DE AVANCES DE GESTIÓN.
2)  LA FIRMA CIFRAS Y CONCEPTOS, PRESENTO EL ANÁLISIS DE PERCEPCIÓN CIUDADANA ANTE CEL CONSEJO DE GOBIERNO
3) CON EL PROPÓSITO DE HACER SEGUIMIENTO A LAS PRINCIPALES ACTIVIDADES DE GESTIÓN Y RESULTADOS DEL PDD CUNDINAMARCA, CALIDAD DE VIDA, SE REALIZO LA EVALUACION DE RESULTADOS, CUMPLIMIENTO DE METAS Y EJECUCIÓN DE RECURSOS .</t>
  </si>
  <si>
    <t>A LA FECHA, CUNDINAMARCA ES LA PRIMERA ENTIDAD TERRITORIAL QUE HA PROPUESTO Y PUESTO EN MARCHA INSTANCIAS DE PARTICIPACION PARA LA PROMOCION Y APROPIACION DE LA CTEI. ES ASI COMO A LA FECHA SE CUENTA CON 5 CONSEJOS REGIONALES CE CTEI QUE CONCENTRAN A LOS DIFERENTES MUNICIPIOS DEL DEPARTAMENTO PARA LA GENERACION DE INICIATIVAS EN MATERIA DE CTEI.</t>
  </si>
  <si>
    <t xml:space="preserve">1. De acuerdo a las actividades realizadas y al avance presentado en las metas de producto, que aporta a la meta de resultado, se consolidó con las entidades del sector Central y descentralizado la cultura del reporte, de igual manera, se consolidó un equipo de trabajo responsable que coopero frente a la programación de entrega y seguimiento de información, logrando entidades con mayores capacidades en seguimiento y evaluación 
2. Se socializó e implementó rutas metodológicas para la rendición de cuentas, creando  empoderamiento a través de los diálogos ciudadanos a la comunidad, funcionarios y organizaciones rectoras en los temas de planeación departamental.
</t>
  </si>
  <si>
    <t>1. Es importante mejorar la consolidación y la calidad de la información reportada por cada una de las entidades con el propósito de disminuir ajustes a la información reportada, generando información veraz y eficiente para la toma de decisiones.</t>
  </si>
  <si>
    <t xml:space="preserve">OBJETIVOS </t>
  </si>
  <si>
    <t>SUBPROGRAMAS</t>
  </si>
  <si>
    <t>METAS DE IMPACTO</t>
  </si>
  <si>
    <t>METAS DE PRODUCTO</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</si>
</sst>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3" formatCode="_(* #,##0.00_);_(* \(#,##0.00\);_(* &quot;-&quot;??_);_(@_)"/>
    <numFmt numFmtId="164" formatCode="_ * #,##0.00_ ;_ * \-#,##0.00_ ;_ * &quot;-&quot;??_ ;_ @_ "/>
    <numFmt numFmtId="165" formatCode="#,##0.0"/>
    <numFmt numFmtId="166" formatCode="0.0"/>
    <numFmt numFmtId="167" formatCode="_ * #,##0_ ;_ * \-#,##0_ ;_ * &quot;-&quot;??_ ;_ @_ "/>
    <numFmt numFmtId="168" formatCode="0.0%"/>
    <numFmt numFmtId="169" formatCode="0.000"/>
    <numFmt numFmtId="170" formatCode="_ * #,##0.0_ ;_ * \-#,##0.0_ ;_ * &quot;-&quot;??_ ;_ @_ "/>
    <numFmt numFmtId="171" formatCode="[$-240A]d&quot; de &quot;mmmm&quot; de &quot;yyyy;@"/>
    <numFmt numFmtId="172" formatCode="#,##0.000"/>
    <numFmt numFmtId="173" formatCode="0_)"/>
    <numFmt numFmtId="174" formatCode="_(* #,##0_);_(* \(#,##0\);_(* &quot;-&quot;??_);_(@_)"/>
    <numFmt numFmtId="175" formatCode="0.0000"/>
    <numFmt numFmtId="176" formatCode="_(* #,##0.0_);_(* \(#,##0.0\);_(* &quot;-&quot;??_);_(@_)"/>
    <numFmt numFmtId="177" formatCode="0.0000%"/>
    <numFmt numFmtId="178" formatCode="0.000%"/>
    <numFmt numFmtId="179" formatCode="_(* #,##0_);_(* \(#,##0\);_(* &quot;-&quot;?_);_(@_)"/>
    <numFmt numFmtId="180" formatCode="_(* #,##0.000_);_(* \(#,##0.000\);_(* &quot;-&quot;??_);_(@_)"/>
    <numFmt numFmtId="181" formatCode="[$-10409]#,##0.00;\(#,##0.00\)"/>
    <numFmt numFmtId="182" formatCode="[$-10409]#,##0;\(#,##0\)"/>
    <numFmt numFmtId="183" formatCode="0.00000"/>
    <numFmt numFmtId="184" formatCode="[$-10409]#,##0.000;\(#,##0.000\)"/>
    <numFmt numFmtId="185" formatCode="[$-10409]#,##0.0000;\(#,##0.0000\)"/>
    <numFmt numFmtId="186" formatCode=";;;"/>
    <numFmt numFmtId="187" formatCode="[$-10409]#,##0.0;\(#,##0.0\)"/>
  </numFmts>
  <fonts count="225">
    <font>
      <sz val="10"/>
      <name val="Arial"/>
    </font>
    <font>
      <sz val="10"/>
      <name val="Arial"/>
      <family val="2"/>
    </font>
    <font>
      <b/>
      <sz val="12"/>
      <name val="Arial Narrow"/>
      <family val="2"/>
    </font>
    <font>
      <sz val="10"/>
      <name val="Arial Narrow"/>
      <family val="2"/>
    </font>
    <font>
      <sz val="10"/>
      <name val="Arial"/>
      <family val="2"/>
    </font>
    <font>
      <sz val="9"/>
      <name val="Arial"/>
      <family val="2"/>
    </font>
    <font>
      <sz val="10"/>
      <name val="Arial Narrow"/>
      <family val="2"/>
    </font>
    <font>
      <b/>
      <sz val="11"/>
      <name val="Arial Narrow"/>
      <family val="2"/>
    </font>
    <font>
      <sz val="10.5"/>
      <name val="Arial Narrow"/>
      <family val="2"/>
    </font>
    <font>
      <sz val="11"/>
      <name val="Arial Narrow"/>
      <family val="2"/>
    </font>
    <font>
      <u/>
      <sz val="10"/>
      <color indexed="12"/>
      <name val="Arial"/>
      <family val="2"/>
    </font>
    <font>
      <i/>
      <sz val="11"/>
      <name val="Arial Narrow"/>
      <family val="2"/>
    </font>
    <font>
      <b/>
      <i/>
      <sz val="11"/>
      <name val="Arial Narrow"/>
      <family val="2"/>
    </font>
    <font>
      <sz val="5"/>
      <name val="Arial Narrow"/>
      <family val="2"/>
    </font>
    <font>
      <b/>
      <i/>
      <sz val="5"/>
      <name val="Arial Narrow"/>
      <family val="2"/>
    </font>
    <font>
      <sz val="10"/>
      <name val="Calibri"/>
      <family val="2"/>
    </font>
    <font>
      <b/>
      <sz val="10"/>
      <name val="Arial Narrow"/>
      <family val="2"/>
    </font>
    <font>
      <sz val="8"/>
      <name val="Arial"/>
      <family val="2"/>
    </font>
    <font>
      <sz val="8"/>
      <name val="Arial Narrow"/>
      <family val="2"/>
    </font>
    <font>
      <i/>
      <sz val="10"/>
      <name val="Arial Narrow"/>
      <family val="2"/>
    </font>
    <font>
      <b/>
      <i/>
      <sz val="10"/>
      <name val="Arial Narrow"/>
      <family val="2"/>
    </font>
    <font>
      <sz val="9"/>
      <name val="Arial Narrow"/>
      <family val="2"/>
    </font>
    <font>
      <b/>
      <sz val="8"/>
      <name val="Arial Narrow"/>
      <family val="2"/>
    </font>
    <font>
      <b/>
      <sz val="10.5"/>
      <name val="Arial Narrow"/>
      <family val="2"/>
    </font>
    <font>
      <i/>
      <sz val="8"/>
      <name val="Arial Narrow"/>
      <family val="2"/>
    </font>
    <font>
      <b/>
      <i/>
      <sz val="8"/>
      <name val="Arial Narrow"/>
      <family val="2"/>
    </font>
    <font>
      <sz val="12"/>
      <name val="Arial Narrow"/>
      <family val="2"/>
    </font>
    <font>
      <sz val="11"/>
      <color theme="1"/>
      <name val="Calibri"/>
      <family val="2"/>
      <scheme val="minor"/>
    </font>
    <font>
      <sz val="10"/>
      <name val="Calibri"/>
      <family val="2"/>
      <scheme val="minor"/>
    </font>
    <font>
      <sz val="8"/>
      <name val="Calibri"/>
      <family val="2"/>
      <scheme val="minor"/>
    </font>
    <font>
      <b/>
      <i/>
      <sz val="5"/>
      <color rgb="FFFF0000"/>
      <name val="Arial Narrow"/>
      <family val="2"/>
    </font>
    <font>
      <sz val="5"/>
      <color rgb="FF000000"/>
      <name val="Arial Narrow"/>
      <family val="2"/>
    </font>
    <font>
      <b/>
      <sz val="8"/>
      <name val="Calibri"/>
      <family val="2"/>
      <scheme val="minor"/>
    </font>
    <font>
      <sz val="8"/>
      <color theme="1"/>
      <name val="Calibri"/>
      <family val="2"/>
      <scheme val="minor"/>
    </font>
    <font>
      <sz val="8"/>
      <color rgb="FF000000"/>
      <name val="Calibri"/>
      <family val="2"/>
      <scheme val="minor"/>
    </font>
    <font>
      <b/>
      <sz val="8"/>
      <color rgb="FF00B050"/>
      <name val="Calibri"/>
      <family val="2"/>
      <scheme val="minor"/>
    </font>
    <font>
      <sz val="8"/>
      <name val="Cambria"/>
      <family val="1"/>
      <scheme val="major"/>
    </font>
    <font>
      <sz val="10"/>
      <name val="Cambria"/>
      <family val="1"/>
      <scheme val="major"/>
    </font>
    <font>
      <sz val="9"/>
      <color theme="1"/>
      <name val="Calibri"/>
      <family val="2"/>
      <scheme val="minor"/>
    </font>
    <font>
      <b/>
      <sz val="14"/>
      <color rgb="FF00B050"/>
      <name val="Calibri"/>
      <family val="2"/>
      <scheme val="minor"/>
    </font>
    <font>
      <sz val="8"/>
      <color rgb="FF00B0F0"/>
      <name val="Calibri"/>
      <family val="2"/>
      <scheme val="minor"/>
    </font>
    <font>
      <sz val="8"/>
      <color theme="9" tint="-0.249977111117893"/>
      <name val="Calibri"/>
      <family val="2"/>
      <scheme val="minor"/>
    </font>
    <font>
      <b/>
      <sz val="14"/>
      <color rgb="FFFF0000"/>
      <name val="Calibri"/>
      <family val="2"/>
      <scheme val="minor"/>
    </font>
    <font>
      <b/>
      <sz val="12"/>
      <color rgb="FFFF0000"/>
      <name val="Calibri"/>
      <family val="2"/>
      <scheme val="minor"/>
    </font>
    <font>
      <b/>
      <sz val="14"/>
      <name val="Calibri"/>
      <family val="2"/>
      <scheme val="minor"/>
    </font>
    <font>
      <b/>
      <sz val="12"/>
      <color rgb="FF00B050"/>
      <name val="Calibri"/>
      <family val="2"/>
      <scheme val="minor"/>
    </font>
    <font>
      <b/>
      <sz val="16"/>
      <color theme="1"/>
      <name val="Arial Narrow"/>
      <family val="2"/>
    </font>
    <font>
      <b/>
      <sz val="12"/>
      <color theme="5" tint="-0.249977111117893"/>
      <name val="Calibri"/>
      <family val="2"/>
      <scheme val="minor"/>
    </font>
    <font>
      <b/>
      <i/>
      <sz val="14"/>
      <color rgb="FF00B0F0"/>
      <name val="Arial Narrow"/>
      <family val="2"/>
    </font>
    <font>
      <sz val="12"/>
      <name val="Calibri"/>
      <family val="2"/>
      <scheme val="minor"/>
    </font>
    <font>
      <b/>
      <sz val="12"/>
      <color theme="1" tint="4.9989318521683403E-2"/>
      <name val="Arial Narrow"/>
      <family val="2"/>
    </font>
    <font>
      <sz val="8"/>
      <color theme="0"/>
      <name val="Cambria"/>
      <family val="1"/>
      <scheme val="major"/>
    </font>
    <font>
      <sz val="9"/>
      <name val="Calibri"/>
      <family val="2"/>
      <scheme val="minor"/>
    </font>
    <font>
      <sz val="10"/>
      <color theme="0"/>
      <name val="Calibri"/>
      <family val="2"/>
      <scheme val="minor"/>
    </font>
    <font>
      <sz val="9"/>
      <color theme="0"/>
      <name val="Cambria"/>
      <family val="1"/>
      <scheme val="major"/>
    </font>
    <font>
      <sz val="11"/>
      <color theme="0"/>
      <name val="Arial Narrow"/>
      <family val="2"/>
    </font>
    <font>
      <b/>
      <sz val="11"/>
      <color theme="0"/>
      <name val="Arial Narrow"/>
      <family val="2"/>
    </font>
    <font>
      <sz val="10"/>
      <color theme="0"/>
      <name val="Arial Narrow"/>
      <family val="2"/>
    </font>
    <font>
      <b/>
      <sz val="10"/>
      <name val="Calibri"/>
      <family val="2"/>
      <scheme val="minor"/>
    </font>
    <font>
      <b/>
      <sz val="11"/>
      <name val="Calibri"/>
      <family val="2"/>
      <scheme val="minor"/>
    </font>
    <font>
      <b/>
      <sz val="9"/>
      <color rgb="FFFF0000"/>
      <name val="Calibri"/>
      <family val="2"/>
      <scheme val="minor"/>
    </font>
    <font>
      <sz val="8"/>
      <color rgb="FFFF0000"/>
      <name val="Calibri"/>
      <family val="2"/>
      <scheme val="minor"/>
    </font>
    <font>
      <b/>
      <sz val="8"/>
      <color rgb="FFFF0000"/>
      <name val="Calibri"/>
      <family val="2"/>
      <scheme val="minor"/>
    </font>
    <font>
      <b/>
      <sz val="8"/>
      <color theme="1"/>
      <name val="Calibri"/>
      <family val="2"/>
      <scheme val="minor"/>
    </font>
    <font>
      <sz val="9"/>
      <color rgb="FFFF0000"/>
      <name val="Calibri"/>
      <family val="2"/>
      <scheme val="minor"/>
    </font>
    <font>
      <sz val="9"/>
      <color theme="9" tint="-0.249977111117893"/>
      <name val="Calibri"/>
      <family val="2"/>
      <scheme val="minor"/>
    </font>
    <font>
      <sz val="9"/>
      <color rgb="FF00B0F0"/>
      <name val="Calibri"/>
      <family val="2"/>
      <scheme val="minor"/>
    </font>
    <font>
      <sz val="9"/>
      <name val="Cambria"/>
      <family val="1"/>
      <scheme val="major"/>
    </font>
    <font>
      <i/>
      <sz val="10"/>
      <name val="Calibri"/>
      <family val="2"/>
      <scheme val="minor"/>
    </font>
    <font>
      <sz val="8"/>
      <color theme="1"/>
      <name val="Cambria"/>
      <family val="1"/>
      <scheme val="major"/>
    </font>
    <font>
      <b/>
      <sz val="9"/>
      <name val="Cambria"/>
      <family val="1"/>
      <scheme val="major"/>
    </font>
    <font>
      <sz val="11"/>
      <name val="Calibri"/>
      <family val="2"/>
      <scheme val="minor"/>
    </font>
    <font>
      <b/>
      <sz val="10"/>
      <color rgb="FFFF0000"/>
      <name val="Cambria"/>
      <family val="1"/>
      <scheme val="major"/>
    </font>
    <font>
      <b/>
      <sz val="16"/>
      <color rgb="FFFF0000"/>
      <name val="Arial Narrow"/>
      <family val="2"/>
    </font>
    <font>
      <sz val="14"/>
      <color theme="9" tint="-0.499984740745262"/>
      <name val="Franklin Gothic Heavy"/>
      <family val="2"/>
    </font>
    <font>
      <sz val="12"/>
      <color theme="1"/>
      <name val="Franklin Gothic Heavy"/>
      <family val="2"/>
    </font>
    <font>
      <sz val="16"/>
      <color theme="1"/>
      <name val="Franklin Gothic Heavy"/>
      <family val="2"/>
    </font>
    <font>
      <sz val="10"/>
      <color rgb="FFFF0000"/>
      <name val="Arial"/>
      <family val="2"/>
    </font>
    <font>
      <b/>
      <sz val="20"/>
      <color rgb="FFFF0000"/>
      <name val="Arial Narrow"/>
      <family val="2"/>
    </font>
    <font>
      <b/>
      <i/>
      <sz val="8"/>
      <color rgb="FFFF0000"/>
      <name val="Arial Narrow"/>
      <family val="2"/>
    </font>
    <font>
      <sz val="8"/>
      <color rgb="FF000000"/>
      <name val="Arial Narrow"/>
      <family val="2"/>
    </font>
    <font>
      <sz val="8"/>
      <color theme="1"/>
      <name val="Arial Narrow"/>
      <family val="2"/>
    </font>
    <font>
      <sz val="7"/>
      <color theme="3" tint="0.39997558519241921"/>
      <name val="Cambria"/>
      <family val="1"/>
      <scheme val="major"/>
    </font>
    <font>
      <sz val="9"/>
      <color rgb="FF000000"/>
      <name val="Calibri"/>
      <family val="2"/>
      <scheme val="minor"/>
    </font>
    <font>
      <sz val="10"/>
      <color rgb="FF000000"/>
      <name val="Arial"/>
      <family val="2"/>
    </font>
    <font>
      <b/>
      <sz val="9"/>
      <name val="Calibri"/>
      <family val="2"/>
      <scheme val="minor"/>
    </font>
    <font>
      <b/>
      <sz val="9"/>
      <color rgb="FF00B050"/>
      <name val="Calibri"/>
      <family val="2"/>
      <scheme val="minor"/>
    </font>
    <font>
      <b/>
      <sz val="14"/>
      <color theme="1"/>
      <name val="Calibri"/>
      <family val="2"/>
      <scheme val="minor"/>
    </font>
    <font>
      <sz val="14"/>
      <color theme="1"/>
      <name val="Calibri"/>
      <family val="2"/>
      <scheme val="minor"/>
    </font>
    <font>
      <b/>
      <i/>
      <sz val="14"/>
      <color rgb="FF00B050"/>
      <name val="Arial Narrow"/>
      <family val="2"/>
    </font>
    <font>
      <sz val="11"/>
      <name val="Cambria"/>
      <family val="1"/>
      <scheme val="major"/>
    </font>
    <font>
      <sz val="20"/>
      <color theme="5" tint="-0.249977111117893"/>
      <name val="Franklin Gothic Heavy"/>
      <family val="2"/>
    </font>
    <font>
      <u/>
      <sz val="9"/>
      <name val="Calibri"/>
      <family val="2"/>
      <scheme val="minor"/>
    </font>
    <font>
      <sz val="7"/>
      <name val="Cambria"/>
      <family val="1"/>
      <scheme val="major"/>
    </font>
    <font>
      <b/>
      <sz val="14"/>
      <color rgb="FFFF0000"/>
      <name val="Cambria"/>
      <family val="2"/>
      <scheme val="major"/>
    </font>
    <font>
      <sz val="10"/>
      <color theme="1"/>
      <name val="Calibri"/>
      <family val="2"/>
      <scheme val="minor"/>
    </font>
    <font>
      <sz val="10"/>
      <color theme="1"/>
      <name val="Arial Narrow"/>
      <family val="2"/>
    </font>
    <font>
      <b/>
      <sz val="12"/>
      <color theme="0"/>
      <name val="Arial Narrow"/>
      <family val="2"/>
    </font>
    <font>
      <b/>
      <sz val="9.5"/>
      <name val="Arial"/>
      <family val="2"/>
    </font>
    <font>
      <sz val="9.5"/>
      <name val="Arial"/>
      <family val="2"/>
    </font>
    <font>
      <sz val="10"/>
      <color rgb="FFFF0000"/>
      <name val="Calibri"/>
      <family val="2"/>
      <scheme val="minor"/>
    </font>
    <font>
      <sz val="10"/>
      <color rgb="FF000000"/>
      <name val="Calibri"/>
      <family val="2"/>
      <scheme val="minor"/>
    </font>
    <font>
      <b/>
      <sz val="10"/>
      <name val="Arial"/>
      <family val="2"/>
    </font>
    <font>
      <b/>
      <sz val="10"/>
      <color theme="1"/>
      <name val="Calibri"/>
      <family val="2"/>
      <scheme val="minor"/>
    </font>
    <font>
      <b/>
      <sz val="10"/>
      <color rgb="FF000000"/>
      <name val="Arial"/>
      <family val="2"/>
    </font>
    <font>
      <b/>
      <sz val="10"/>
      <color indexed="8"/>
      <name val="Arial"/>
      <family val="2"/>
    </font>
    <font>
      <b/>
      <sz val="10"/>
      <color indexed="8"/>
      <name val="Calibri"/>
      <family val="2"/>
    </font>
    <font>
      <sz val="10"/>
      <color indexed="8"/>
      <name val="Calibri"/>
      <family val="2"/>
    </font>
    <font>
      <b/>
      <sz val="10"/>
      <color rgb="FF000000"/>
      <name val="Cambria"/>
      <family val="1"/>
      <scheme val="major"/>
    </font>
    <font>
      <b/>
      <sz val="10"/>
      <name val="Cambria"/>
      <family val="1"/>
      <scheme val="major"/>
    </font>
    <font>
      <b/>
      <sz val="10"/>
      <name val="Cambria"/>
      <family val="2"/>
      <scheme val="major"/>
    </font>
    <font>
      <b/>
      <sz val="20"/>
      <color rgb="FFFF0000"/>
      <name val="Calibri"/>
      <family val="2"/>
      <scheme val="minor"/>
    </font>
    <font>
      <sz val="20"/>
      <color rgb="FF92D050"/>
      <name val="Arial"/>
      <family val="2"/>
    </font>
    <font>
      <b/>
      <sz val="20"/>
      <color theme="9" tint="-0.249977111117893"/>
      <name val="Cambria"/>
      <family val="1"/>
      <scheme val="major"/>
    </font>
    <font>
      <b/>
      <sz val="20"/>
      <color theme="9" tint="-0.249977111117893"/>
      <name val="Calibri"/>
      <family val="2"/>
      <scheme val="minor"/>
    </font>
    <font>
      <b/>
      <sz val="10"/>
      <color theme="0"/>
      <name val="Arial"/>
      <family val="2"/>
    </font>
    <font>
      <sz val="10"/>
      <color theme="0"/>
      <name val="Arial"/>
      <family val="2"/>
    </font>
    <font>
      <b/>
      <sz val="10"/>
      <color theme="0"/>
      <name val="Calibri"/>
      <family val="2"/>
      <scheme val="minor"/>
    </font>
    <font>
      <b/>
      <sz val="16"/>
      <color theme="5" tint="-0.249977111117893"/>
      <name val="Arial Narrow"/>
      <family val="2"/>
    </font>
    <font>
      <b/>
      <sz val="8"/>
      <color theme="5" tint="-0.249977111117893"/>
      <name val="Arial Narrow"/>
      <family val="2"/>
    </font>
    <font>
      <b/>
      <sz val="14"/>
      <color theme="1" tint="4.9989318521683403E-2"/>
      <name val="Arial Narrow"/>
      <family val="2"/>
    </font>
    <font>
      <b/>
      <sz val="12"/>
      <color rgb="FFFF0000"/>
      <name val="Arial Narrow"/>
      <family val="2"/>
    </font>
    <font>
      <sz val="10"/>
      <color theme="1"/>
      <name val="Arial"/>
      <family val="2"/>
    </font>
    <font>
      <b/>
      <sz val="10"/>
      <color theme="1"/>
      <name val="Arial"/>
      <family val="2"/>
    </font>
    <font>
      <b/>
      <sz val="8"/>
      <color theme="1"/>
      <name val="Arial Narrow"/>
      <family val="2"/>
    </font>
    <font>
      <b/>
      <sz val="14"/>
      <color theme="1"/>
      <name val="Cambria"/>
      <family val="1"/>
      <scheme val="major"/>
    </font>
    <font>
      <sz val="8"/>
      <color theme="1"/>
      <name val="Arial"/>
      <family val="2"/>
    </font>
    <font>
      <b/>
      <sz val="12"/>
      <color rgb="FF00FF00"/>
      <name val="Arial"/>
      <family val="2"/>
    </font>
    <font>
      <b/>
      <sz val="12"/>
      <color rgb="FF00FF00"/>
      <name val="Calibri"/>
      <family val="2"/>
      <scheme val="minor"/>
    </font>
    <font>
      <sz val="8"/>
      <color theme="0" tint="-4.9989318521683403E-2"/>
      <name val="Arial"/>
      <family val="2"/>
    </font>
    <font>
      <sz val="8"/>
      <color theme="2"/>
      <name val="Arial"/>
      <family val="2"/>
    </font>
    <font>
      <sz val="8"/>
      <color theme="0" tint="-4.9989318521683403E-2"/>
      <name val="Arial Narrow"/>
      <family val="2"/>
    </font>
    <font>
      <b/>
      <sz val="8"/>
      <color theme="0" tint="-4.9989318521683403E-2"/>
      <name val="Arial Narrow"/>
      <family val="2"/>
    </font>
    <font>
      <sz val="10"/>
      <color theme="0" tint="-4.9989318521683403E-2"/>
      <name val="Calibri"/>
      <family val="2"/>
    </font>
    <font>
      <sz val="30"/>
      <color theme="0" tint="-4.9989318521683403E-2"/>
      <name val="Arial Narrow"/>
      <family val="2"/>
    </font>
    <font>
      <sz val="8"/>
      <color theme="0" tint="-4.9989318521683403E-2"/>
      <name val="Calibri"/>
      <family val="2"/>
      <scheme val="minor"/>
    </font>
    <font>
      <u/>
      <sz val="10"/>
      <color theme="0" tint="-4.9989318521683403E-2"/>
      <name val="Arial"/>
      <family val="2"/>
    </font>
    <font>
      <b/>
      <i/>
      <sz val="8"/>
      <color theme="0" tint="-4.9989318521683403E-2"/>
      <name val="Arial Narrow"/>
      <family val="2"/>
    </font>
    <font>
      <b/>
      <sz val="11"/>
      <name val="Arial"/>
      <family val="2"/>
    </font>
    <font>
      <sz val="8"/>
      <color rgb="FFFF0000"/>
      <name val="Arial Narrow"/>
      <family val="2"/>
    </font>
    <font>
      <b/>
      <sz val="11"/>
      <color theme="0"/>
      <name val="Arial"/>
      <family val="2"/>
    </font>
    <font>
      <b/>
      <sz val="11"/>
      <color rgb="FFFF0000"/>
      <name val="Arial"/>
      <family val="2"/>
    </font>
    <font>
      <sz val="36"/>
      <color rgb="FFFFFF00"/>
      <name val="Arial Narrow"/>
      <family val="2"/>
    </font>
    <font>
      <b/>
      <sz val="14"/>
      <color rgb="FFFF0000"/>
      <name val="Arial Narrow"/>
      <family val="2"/>
    </font>
    <font>
      <sz val="10"/>
      <color rgb="FFFF0000"/>
      <name val="Arial"/>
      <family val="2"/>
    </font>
    <font>
      <sz val="9"/>
      <color theme="0" tint="-0.499984740745262"/>
      <name val="Arial"/>
      <family val="2"/>
    </font>
    <font>
      <b/>
      <sz val="10"/>
      <color rgb="FF595959"/>
      <name val="Calibri"/>
      <family val="2"/>
      <scheme val="minor"/>
    </font>
    <font>
      <sz val="13"/>
      <name val="Calibri"/>
      <family val="2"/>
      <scheme val="minor"/>
    </font>
    <font>
      <sz val="10"/>
      <color rgb="FF7030A0"/>
      <name val="Arial Narrow"/>
      <family val="2"/>
    </font>
    <font>
      <sz val="5"/>
      <color theme="1"/>
      <name val="Arial Narrow"/>
      <family val="2"/>
    </font>
    <font>
      <sz val="10"/>
      <color rgb="FFFF0000"/>
      <name val="Arial Narrow"/>
      <family val="2"/>
    </font>
    <font>
      <sz val="10"/>
      <color rgb="FFF5F8EE"/>
      <name val="Arial Narrow"/>
      <family val="2"/>
    </font>
    <font>
      <sz val="10"/>
      <color rgb="FFF5F8EE"/>
      <name val="Calibri"/>
      <family val="2"/>
      <scheme val="minor"/>
    </font>
    <font>
      <b/>
      <sz val="8"/>
      <color rgb="FFF5F8EE"/>
      <name val="Arial Narrow"/>
      <family val="2"/>
    </font>
    <font>
      <b/>
      <sz val="9"/>
      <color theme="1"/>
      <name val="Calibri"/>
      <family val="2"/>
      <scheme val="minor"/>
    </font>
    <font>
      <b/>
      <i/>
      <sz val="11"/>
      <color theme="1"/>
      <name val="Arial Narrow"/>
      <family val="2"/>
    </font>
    <font>
      <b/>
      <sz val="9"/>
      <color rgb="FFF5F8EE"/>
      <name val="Calibri"/>
      <family val="2"/>
      <scheme val="minor"/>
    </font>
    <font>
      <sz val="5"/>
      <color rgb="FF7030A0"/>
      <name val="Arial Narrow"/>
      <family val="2"/>
    </font>
    <font>
      <b/>
      <sz val="10"/>
      <color theme="1" tint="4.9989318521683403E-2"/>
      <name val="Arial Narrow"/>
      <family val="2"/>
    </font>
    <font>
      <b/>
      <sz val="12"/>
      <name val="Calibri"/>
      <family val="2"/>
      <scheme val="minor"/>
    </font>
    <font>
      <b/>
      <sz val="13"/>
      <name val="Arial Narrow"/>
      <family val="2"/>
    </font>
    <font>
      <b/>
      <sz val="9"/>
      <name val="Arial Narrow"/>
      <family val="2"/>
    </font>
    <font>
      <b/>
      <sz val="16"/>
      <color theme="1" tint="4.9989318521683403E-2"/>
      <name val="Arial Narrow"/>
      <family val="2"/>
    </font>
    <font>
      <b/>
      <sz val="16"/>
      <color rgb="FF00B050"/>
      <name val="Calibri"/>
      <family val="2"/>
      <scheme val="minor"/>
    </font>
    <font>
      <b/>
      <sz val="20"/>
      <color theme="1"/>
      <name val="Calibri"/>
      <family val="2"/>
      <scheme val="minor"/>
    </font>
    <font>
      <b/>
      <sz val="14"/>
      <name val="Arial Narrow"/>
      <family val="2"/>
    </font>
    <font>
      <b/>
      <sz val="13"/>
      <name val="Calibri"/>
      <family val="2"/>
      <scheme val="minor"/>
    </font>
    <font>
      <b/>
      <sz val="13"/>
      <color theme="1" tint="4.9989318521683403E-2"/>
      <name val="Arial Narrow"/>
      <family val="2"/>
    </font>
    <font>
      <b/>
      <sz val="12"/>
      <color theme="4" tint="0.79998168889431442"/>
      <name val="Calibri"/>
      <family val="2"/>
      <scheme val="minor"/>
    </font>
    <font>
      <sz val="16"/>
      <color rgb="FFFFC000"/>
      <name val="Calibri"/>
      <family val="2"/>
      <scheme val="minor"/>
    </font>
    <font>
      <b/>
      <sz val="16"/>
      <color rgb="FFFFC000"/>
      <name val="Calibri"/>
      <family val="2"/>
      <scheme val="minor"/>
    </font>
    <font>
      <b/>
      <sz val="16"/>
      <color rgb="FFFFFF00"/>
      <name val="Calibri"/>
      <family val="2"/>
      <scheme val="minor"/>
    </font>
    <font>
      <sz val="16"/>
      <color rgb="FFFFFF00"/>
      <name val="Calibri"/>
      <family val="2"/>
      <scheme val="minor"/>
    </font>
    <font>
      <sz val="14"/>
      <color rgb="FFFFFF00"/>
      <name val="Calibri"/>
      <family val="2"/>
      <scheme val="minor"/>
    </font>
    <font>
      <sz val="20"/>
      <color rgb="FFFF0000"/>
      <name val="Calibri"/>
      <family val="2"/>
      <scheme val="minor"/>
    </font>
    <font>
      <i/>
      <sz val="8"/>
      <color indexed="9"/>
      <name val="Arial"/>
      <family val="2"/>
    </font>
    <font>
      <i/>
      <sz val="8"/>
      <name val="Arial"/>
      <family val="2"/>
    </font>
    <font>
      <sz val="12"/>
      <color rgb="FFFF0000"/>
      <name val="Calibri"/>
      <family val="2"/>
      <scheme val="minor"/>
    </font>
    <font>
      <sz val="20"/>
      <name val="Calibri"/>
      <family val="2"/>
      <scheme val="minor"/>
    </font>
    <font>
      <b/>
      <sz val="16"/>
      <color theme="8" tint="-0.249977111117893"/>
      <name val="Arial Narrow"/>
      <family val="2"/>
    </font>
    <font>
      <sz val="14"/>
      <name val="Calibri"/>
      <family val="2"/>
      <scheme val="minor"/>
    </font>
    <font>
      <b/>
      <sz val="14"/>
      <color rgb="FFFFFF00"/>
      <name val="Calibri"/>
      <family val="2"/>
      <scheme val="minor"/>
    </font>
    <font>
      <b/>
      <sz val="12"/>
      <color theme="5"/>
      <name val="Calibri"/>
      <family val="2"/>
      <scheme val="minor"/>
    </font>
    <font>
      <b/>
      <sz val="12"/>
      <color theme="5"/>
      <name val="Arial Narrow"/>
      <family val="2"/>
    </font>
    <font>
      <sz val="12"/>
      <color theme="5"/>
      <name val="Calibri"/>
      <family val="2"/>
      <scheme val="minor"/>
    </font>
    <font>
      <b/>
      <sz val="10"/>
      <color theme="5"/>
      <name val="Arial Narrow"/>
      <family val="2"/>
    </font>
    <font>
      <b/>
      <sz val="12"/>
      <color rgb="FF002060"/>
      <name val="Arial Narrow"/>
      <family val="2"/>
    </font>
    <font>
      <b/>
      <sz val="8"/>
      <color theme="0"/>
      <name val="Arial Narrow"/>
      <family val="2"/>
    </font>
    <font>
      <sz val="5"/>
      <color theme="0"/>
      <name val="Arial Narrow"/>
      <family val="2"/>
    </font>
    <font>
      <b/>
      <sz val="15"/>
      <name val="Calibri"/>
      <family val="2"/>
      <scheme val="minor"/>
    </font>
    <font>
      <sz val="10"/>
      <color theme="0" tint="-4.9989318521683403E-2"/>
      <name val="Calibri"/>
      <family val="2"/>
      <scheme val="minor"/>
    </font>
    <font>
      <b/>
      <sz val="14"/>
      <color theme="4" tint="0.79998168889431442"/>
      <name val="Calibri"/>
      <family val="2"/>
      <scheme val="minor"/>
    </font>
    <font>
      <b/>
      <sz val="14"/>
      <color theme="9" tint="-0.499984740745262"/>
      <name val="Calibri"/>
      <family val="2"/>
      <scheme val="minor"/>
    </font>
    <font>
      <b/>
      <sz val="13"/>
      <color theme="4" tint="-0.249977111117893"/>
      <name val="Arial Narrow"/>
      <family val="2"/>
    </font>
    <font>
      <sz val="9"/>
      <color theme="0"/>
      <name val="Calibri"/>
      <family val="2"/>
      <scheme val="minor"/>
    </font>
    <font>
      <sz val="8"/>
      <color theme="0" tint="-0.14999847407452621"/>
      <name val="Arial Narrow"/>
      <family val="2"/>
    </font>
    <font>
      <b/>
      <sz val="13"/>
      <color theme="0"/>
      <name val="Calibri"/>
      <family val="2"/>
      <scheme val="minor"/>
    </font>
    <font>
      <b/>
      <sz val="14"/>
      <color theme="0"/>
      <name val="Arial Narrow"/>
      <family val="2"/>
    </font>
    <font>
      <sz val="8"/>
      <color theme="0"/>
      <name val="Arial Narrow"/>
      <family val="2"/>
    </font>
    <font>
      <b/>
      <sz val="9"/>
      <color theme="0"/>
      <name val="Calibri"/>
      <family val="2"/>
      <scheme val="minor"/>
    </font>
    <font>
      <b/>
      <sz val="12"/>
      <color theme="0"/>
      <name val="Calibri"/>
      <family val="2"/>
      <scheme val="minor"/>
    </font>
    <font>
      <sz val="8"/>
      <color theme="0"/>
      <name val="Calibri"/>
      <family val="2"/>
      <scheme val="minor"/>
    </font>
    <font>
      <b/>
      <sz val="10.5"/>
      <color theme="0"/>
      <name val="Arial Narrow"/>
      <family val="2"/>
    </font>
    <font>
      <sz val="10"/>
      <color theme="0" tint="-4.9989318521683403E-2"/>
      <name val="Arial Narrow"/>
      <family val="2"/>
    </font>
    <font>
      <sz val="7"/>
      <name val="Calibri"/>
      <family val="2"/>
      <scheme val="minor"/>
    </font>
    <font>
      <sz val="7"/>
      <color theme="2" tint="-0.499984740745262"/>
      <name val="Calibri"/>
      <family val="2"/>
      <scheme val="minor"/>
    </font>
    <font>
      <b/>
      <sz val="10"/>
      <color theme="0" tint="-0.499984740745262"/>
      <name val="Calibri"/>
      <family val="2"/>
      <scheme val="minor"/>
    </font>
    <font>
      <sz val="10"/>
      <color theme="0" tint="-0.499984740745262"/>
      <name val="Calibri"/>
      <family val="2"/>
      <scheme val="minor"/>
    </font>
    <font>
      <b/>
      <sz val="12"/>
      <color theme="0" tint="-0.499984740745262"/>
      <name val="Calibri"/>
      <family val="2"/>
      <scheme val="minor"/>
    </font>
    <font>
      <sz val="10"/>
      <color theme="0" tint="-0.499984740745262"/>
      <name val="Arial Narrow"/>
      <family val="2"/>
    </font>
    <font>
      <b/>
      <i/>
      <sz val="11"/>
      <color theme="0" tint="-0.499984740745262"/>
      <name val="Arial Narrow"/>
      <family val="2"/>
    </font>
    <font>
      <b/>
      <sz val="9"/>
      <color theme="0" tint="-0.499984740745262"/>
      <name val="Calibri"/>
      <family val="2"/>
      <scheme val="minor"/>
    </font>
    <font>
      <b/>
      <sz val="8"/>
      <color theme="0" tint="-0.499984740745262"/>
      <name val="Arial Narrow"/>
      <family val="2"/>
    </font>
    <font>
      <b/>
      <sz val="8"/>
      <color theme="0" tint="-0.499984740745262"/>
      <name val="Calibri"/>
      <family val="2"/>
      <scheme val="minor"/>
    </font>
    <font>
      <sz val="8"/>
      <color theme="0" tint="-0.499984740745262"/>
      <name val="Calibri"/>
      <family val="2"/>
      <scheme val="minor"/>
    </font>
    <font>
      <sz val="10"/>
      <color theme="0" tint="-4.9989318521683403E-2"/>
      <name val="Arial"/>
      <family val="2"/>
    </font>
    <font>
      <b/>
      <sz val="16"/>
      <name val="Calibri"/>
      <family val="2"/>
      <scheme val="minor"/>
    </font>
    <font>
      <sz val="10"/>
      <color theme="1"/>
      <name val="Arial"/>
      <family val="2"/>
    </font>
    <font>
      <i/>
      <sz val="9"/>
      <color rgb="FFFF0000"/>
      <name val="Calibri"/>
      <family val="2"/>
      <scheme val="minor"/>
    </font>
    <font>
      <sz val="9"/>
      <color theme="0" tint="-4.9989318521683403E-2"/>
      <name val="Calibri"/>
      <family val="2"/>
      <scheme val="minor"/>
    </font>
    <font>
      <b/>
      <i/>
      <sz val="11"/>
      <color theme="0"/>
      <name val="Arial Narrow"/>
      <family val="2"/>
    </font>
    <font>
      <b/>
      <sz val="12"/>
      <color theme="1"/>
      <name val="Arial"/>
      <family val="2"/>
    </font>
    <font>
      <b/>
      <sz val="12"/>
      <color theme="1"/>
      <name val="Calibri"/>
      <family val="2"/>
      <scheme val="minor"/>
    </font>
    <font>
      <sz val="10"/>
      <color rgb="FFFF0000"/>
      <name val="Arial"/>
      <family val="2"/>
    </font>
    <font>
      <i/>
      <sz val="9"/>
      <name val="Arial Narrow"/>
      <family val="2"/>
    </font>
  </fonts>
  <fills count="59">
    <fill>
      <patternFill patternType="none"/>
    </fill>
    <fill>
      <patternFill patternType="gray125"/>
    </fill>
    <fill>
      <patternFill patternType="solid">
        <fgColor theme="0"/>
        <bgColor indexed="64"/>
      </patternFill>
    </fill>
    <fill>
      <patternFill patternType="solid">
        <fgColor rgb="FF7030A0"/>
        <bgColor indexed="64"/>
      </patternFill>
    </fill>
    <fill>
      <patternFill patternType="solid">
        <fgColor theme="7" tint="-0.249977111117893"/>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rgb="FFFEF2E8"/>
        <bgColor indexed="64"/>
      </patternFill>
    </fill>
    <fill>
      <patternFill patternType="solid">
        <fgColor rgb="FFFFFF00"/>
        <bgColor indexed="64"/>
      </patternFill>
    </fill>
    <fill>
      <patternFill patternType="solid">
        <fgColor rgb="FF00B0F0"/>
        <bgColor indexed="64"/>
      </patternFill>
    </fill>
    <fill>
      <patternFill patternType="solid">
        <fgColor rgb="FF92D050"/>
        <bgColor indexed="64"/>
      </patternFill>
    </fill>
    <fill>
      <patternFill patternType="solid">
        <fgColor rgb="FFFF99FF"/>
        <bgColor indexed="64"/>
      </patternFill>
    </fill>
    <fill>
      <patternFill patternType="solid">
        <fgColor rgb="FFFF0000"/>
        <bgColor indexed="64"/>
      </patternFill>
    </fill>
    <fill>
      <patternFill patternType="solid">
        <fgColor theme="9" tint="-0.249977111117893"/>
        <bgColor indexed="64"/>
      </patternFill>
    </fill>
    <fill>
      <patternFill patternType="solid">
        <fgColor rgb="FFFF00FF"/>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2" tint="-0.249977111117893"/>
        <bgColor indexed="64"/>
      </patternFill>
    </fill>
    <fill>
      <patternFill patternType="solid">
        <fgColor rgb="FFCCCCFF"/>
        <bgColor indexed="64"/>
      </patternFill>
    </fill>
    <fill>
      <patternFill patternType="solid">
        <fgColor rgb="FF8F9C14"/>
        <bgColor indexed="64"/>
      </patternFill>
    </fill>
    <fill>
      <patternFill patternType="solid">
        <fgColor rgb="FFCC99FF"/>
        <bgColor indexed="29"/>
      </patternFill>
    </fill>
    <fill>
      <patternFill patternType="solid">
        <fgColor rgb="FFCCCCFF"/>
        <bgColor indexed="29"/>
      </patternFill>
    </fill>
    <fill>
      <patternFill patternType="solid">
        <fgColor rgb="FF00B0F0"/>
        <bgColor indexed="29"/>
      </patternFill>
    </fill>
    <fill>
      <patternFill patternType="solid">
        <fgColor theme="5" tint="0.39997558519241921"/>
        <bgColor indexed="29"/>
      </patternFill>
    </fill>
    <fill>
      <patternFill patternType="solid">
        <fgColor theme="5" tint="0.59999389629810485"/>
        <bgColor indexed="29"/>
      </patternFill>
    </fill>
    <fill>
      <patternFill patternType="solid">
        <fgColor rgb="FFCCFF99"/>
        <bgColor indexed="29"/>
      </patternFill>
    </fill>
    <fill>
      <patternFill patternType="solid">
        <fgColor rgb="FFCCFF99"/>
        <bgColor indexed="64"/>
      </patternFill>
    </fill>
    <fill>
      <patternFill patternType="solid">
        <fgColor rgb="FF33CCFF"/>
        <bgColor indexed="64"/>
      </patternFill>
    </fill>
    <fill>
      <patternFill patternType="solid">
        <fgColor theme="3" tint="0.59999389629810485"/>
        <bgColor indexed="64"/>
      </patternFill>
    </fill>
    <fill>
      <patternFill patternType="solid">
        <fgColor rgb="FF66CCFF"/>
        <bgColor indexed="64"/>
      </patternFill>
    </fill>
    <fill>
      <patternFill patternType="solid">
        <fgColor rgb="FFFF7C80"/>
        <bgColor indexed="64"/>
      </patternFill>
    </fill>
    <fill>
      <patternFill patternType="solid">
        <fgColor theme="3" tint="0.39997558519241921"/>
        <bgColor indexed="64"/>
      </patternFill>
    </fill>
    <fill>
      <patternFill patternType="solid">
        <fgColor theme="9" tint="-0.499984740745262"/>
        <bgColor indexed="64"/>
      </patternFill>
    </fill>
    <fill>
      <patternFill patternType="solid">
        <fgColor theme="5" tint="0.39997558519241921"/>
        <bgColor indexed="64"/>
      </patternFill>
    </fill>
    <fill>
      <patternFill patternType="solid">
        <fgColor theme="2"/>
        <bgColor indexed="64"/>
      </patternFill>
    </fill>
    <fill>
      <patternFill patternType="solid">
        <fgColor theme="9" tint="0.79998168889431442"/>
        <bgColor indexed="64"/>
      </patternFill>
    </fill>
    <fill>
      <patternFill patternType="solid">
        <fgColor theme="0" tint="-0.499984740745262"/>
        <bgColor indexed="64"/>
      </patternFill>
    </fill>
    <fill>
      <patternFill patternType="solid">
        <fgColor rgb="FF66FFFF"/>
        <bgColor indexed="64"/>
      </patternFill>
    </fill>
    <fill>
      <patternFill patternType="solid">
        <fgColor rgb="FFEDF7F9"/>
        <bgColor indexed="64"/>
      </patternFill>
    </fill>
    <fill>
      <patternFill patternType="solid">
        <fgColor rgb="FFEDF7F9"/>
        <bgColor theme="4" tint="0.79998168889431442"/>
      </patternFill>
    </fill>
    <fill>
      <patternFill patternType="solid">
        <fgColor theme="4" tint="0.79998168889431442"/>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1"/>
        <bgColor indexed="64"/>
      </patternFill>
    </fill>
    <fill>
      <patternFill patternType="solid">
        <fgColor rgb="FFFFC000"/>
        <bgColor indexed="64"/>
      </patternFill>
    </fill>
    <fill>
      <patternFill patternType="solid">
        <fgColor theme="8" tint="0.39997558519241921"/>
        <bgColor indexed="64"/>
      </patternFill>
    </fill>
    <fill>
      <patternFill patternType="solid">
        <fgColor theme="0" tint="-0.249977111117893"/>
        <bgColor indexed="64"/>
      </patternFill>
    </fill>
    <fill>
      <patternFill patternType="solid">
        <fgColor theme="1" tint="0.34998626667073579"/>
        <bgColor indexed="64"/>
      </patternFill>
    </fill>
    <fill>
      <patternFill patternType="solid">
        <fgColor rgb="FF00B050"/>
        <bgColor indexed="64"/>
      </patternFill>
    </fill>
    <fill>
      <patternFill patternType="solid">
        <fgColor theme="4" tint="0.59999389629810485"/>
        <bgColor indexed="64"/>
      </patternFill>
    </fill>
    <fill>
      <patternFill patternType="solid">
        <fgColor rgb="FFFFFFCC"/>
        <bgColor indexed="64"/>
      </patternFill>
    </fill>
  </fills>
  <borders count="90">
    <border>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theme="0"/>
      </left>
      <right style="thin">
        <color theme="0" tint="-0.499984740745262"/>
      </right>
      <top style="thin">
        <color theme="0"/>
      </top>
      <bottom style="thin">
        <color theme="0" tint="-0.499984740745262"/>
      </bottom>
      <diagonal/>
    </border>
    <border>
      <left/>
      <right style="thin">
        <color theme="0" tint="-0.499984740745262"/>
      </right>
      <top style="thin">
        <color rgb="FFFFFFFF"/>
      </top>
      <bottom style="thin">
        <color theme="0" tint="-0.499984740745262"/>
      </bottom>
      <diagonal/>
    </border>
    <border>
      <left/>
      <right/>
      <top style="thin">
        <color theme="0"/>
      </top>
      <bottom style="thin">
        <color theme="1" tint="0.499984740745262"/>
      </bottom>
      <diagonal/>
    </border>
    <border>
      <left style="thin">
        <color theme="0"/>
      </left>
      <right/>
      <top style="thin">
        <color theme="0"/>
      </top>
      <bottom style="thin">
        <color theme="1" tint="0.499984740745262"/>
      </bottom>
      <diagonal/>
    </border>
    <border>
      <left/>
      <right style="thin">
        <color theme="1" tint="0.499984740745262"/>
      </right>
      <top style="thin">
        <color theme="0"/>
      </top>
      <bottom style="thin">
        <color theme="1" tint="0.499984740745262"/>
      </bottom>
      <diagonal/>
    </border>
    <border>
      <left style="thin">
        <color indexed="10"/>
      </left>
      <right style="thin">
        <color indexed="10"/>
      </right>
      <top style="thin">
        <color indexed="10"/>
      </top>
      <bottom/>
      <diagonal/>
    </border>
    <border>
      <left style="thin">
        <color indexed="10"/>
      </left>
      <right style="thin">
        <color indexed="10"/>
      </right>
      <top style="thin">
        <color indexed="10"/>
      </top>
      <bottom style="thin">
        <color indexed="10"/>
      </bottom>
      <diagonal/>
    </border>
    <border>
      <left style="thin">
        <color indexed="10"/>
      </left>
      <right/>
      <top style="thin">
        <color indexed="10"/>
      </top>
      <bottom style="thin">
        <color indexed="10"/>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10"/>
      </left>
      <right/>
      <top style="thin">
        <color indexed="10"/>
      </top>
      <bottom/>
      <diagonal/>
    </border>
    <border>
      <left style="thin">
        <color indexed="10"/>
      </left>
      <right/>
      <top/>
      <bottom style="thin">
        <color indexed="10"/>
      </bottom>
      <diagonal/>
    </border>
    <border>
      <left style="thin">
        <color indexed="10"/>
      </left>
      <right style="thin">
        <color indexed="10"/>
      </right>
      <top/>
      <bottom style="thin">
        <color indexed="10"/>
      </bottom>
      <diagonal/>
    </border>
    <border>
      <left/>
      <right style="thin">
        <color theme="0" tint="-0.14996795556505021"/>
      </right>
      <top/>
      <bottom/>
      <diagonal/>
    </border>
    <border>
      <left style="thin">
        <color theme="0"/>
      </left>
      <right/>
      <top style="thin">
        <color theme="0"/>
      </top>
      <bottom style="thin">
        <color theme="4" tint="0.79995117038483843"/>
      </bottom>
      <diagonal/>
    </border>
    <border>
      <left/>
      <right/>
      <top style="thin">
        <color theme="0"/>
      </top>
      <bottom style="thin">
        <color theme="4" tint="0.79995117038483843"/>
      </bottom>
      <diagonal/>
    </border>
    <border>
      <left/>
      <right style="thin">
        <color theme="3" tint="0.79998168889431442"/>
      </right>
      <top style="thin">
        <color theme="0"/>
      </top>
      <bottom style="thin">
        <color theme="3" tint="0.79998168889431442"/>
      </bottom>
      <diagonal/>
    </border>
    <border>
      <left/>
      <right/>
      <top style="thin">
        <color theme="0"/>
      </top>
      <bottom/>
      <diagonal/>
    </border>
    <border>
      <left/>
      <right style="thin">
        <color theme="4" tint="0.79995117038483843"/>
      </right>
      <top style="thin">
        <color theme="0"/>
      </top>
      <bottom/>
      <diagonal/>
    </border>
    <border>
      <left/>
      <right/>
      <top style="thin">
        <color theme="0"/>
      </top>
      <bottom style="thin">
        <color theme="3" tint="0.79998168889431442"/>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top/>
      <bottom/>
      <diagonal/>
    </border>
    <border>
      <left/>
      <right style="thin">
        <color theme="0" tint="-0.249977111117893"/>
      </right>
      <top/>
      <bottom/>
      <diagonal/>
    </border>
    <border>
      <left style="thin">
        <color theme="0" tint="-0.249977111117893"/>
      </left>
      <right/>
      <top/>
      <bottom style="thin">
        <color theme="0" tint="-0.249977111117893"/>
      </bottom>
      <diagonal/>
    </border>
    <border>
      <left/>
      <right/>
      <top/>
      <bottom style="thin">
        <color theme="0" tint="-0.249977111117893"/>
      </bottom>
      <diagonal/>
    </border>
    <border>
      <left/>
      <right style="thin">
        <color theme="0" tint="-0.249977111117893"/>
      </right>
      <top/>
      <bottom style="thin">
        <color theme="0" tint="-0.249977111117893"/>
      </bottom>
      <diagonal/>
    </border>
    <border>
      <left style="thin">
        <color theme="1"/>
      </left>
      <right style="thin">
        <color theme="1"/>
      </right>
      <top style="thin">
        <color theme="1"/>
      </top>
      <bottom style="thin">
        <color theme="1"/>
      </bottom>
      <diagonal/>
    </border>
    <border>
      <left/>
      <right style="thin">
        <color indexed="64"/>
      </right>
      <top style="thin">
        <color theme="1"/>
      </top>
      <bottom style="thin">
        <color theme="1"/>
      </bottom>
      <diagonal/>
    </border>
    <border>
      <left style="thin">
        <color indexed="64"/>
      </left>
      <right style="thin">
        <color indexed="64"/>
      </right>
      <top style="thin">
        <color theme="1"/>
      </top>
      <bottom style="thin">
        <color theme="1"/>
      </bottom>
      <diagonal/>
    </border>
    <border>
      <left style="thin">
        <color indexed="64"/>
      </left>
      <right style="thin">
        <color theme="1"/>
      </right>
      <top style="thin">
        <color theme="1"/>
      </top>
      <bottom style="thin">
        <color theme="1"/>
      </bottom>
      <diagonal/>
    </border>
    <border>
      <left style="thin">
        <color theme="1"/>
      </left>
      <right style="thin">
        <color theme="1"/>
      </right>
      <top style="thin">
        <color theme="1"/>
      </top>
      <bottom style="thin">
        <color indexed="64"/>
      </bottom>
      <diagonal/>
    </border>
    <border>
      <left style="thin">
        <color theme="1"/>
      </left>
      <right style="thin">
        <color theme="1"/>
      </right>
      <top style="thin">
        <color indexed="64"/>
      </top>
      <bottom style="thin">
        <color indexed="64"/>
      </bottom>
      <diagonal/>
    </border>
    <border>
      <left style="thin">
        <color theme="1"/>
      </left>
      <right style="thin">
        <color theme="1"/>
      </right>
      <top style="thin">
        <color indexed="64"/>
      </top>
      <bottom style="thin">
        <color theme="1"/>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theme="0" tint="-0.249977111117893"/>
      </left>
      <right style="thin">
        <color theme="0"/>
      </right>
      <top style="thin">
        <color theme="0" tint="-0.249977111117893"/>
      </top>
      <bottom style="thin">
        <color theme="0" tint="-0.249977111117893"/>
      </bottom>
      <diagonal/>
    </border>
    <border>
      <left/>
      <right/>
      <top style="thin">
        <color theme="4" tint="0.79995117038483843"/>
      </top>
      <bottom/>
      <diagonal/>
    </border>
    <border>
      <left/>
      <right style="thin">
        <color theme="1" tint="0.499984740745262"/>
      </right>
      <top style="thin">
        <color rgb="FFFFFFFF"/>
      </top>
      <bottom style="thin">
        <color theme="0" tint="-0.24994659260841701"/>
      </bottom>
      <diagonal/>
    </border>
    <border>
      <left/>
      <right style="medium">
        <color theme="0" tint="-0.34998626667073579"/>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style="medium">
        <color theme="0" tint="-0.34998626667073579"/>
      </left>
      <right/>
      <top style="medium">
        <color theme="0" tint="-0.34998626667073579"/>
      </top>
      <bottom style="medium">
        <color theme="0" tint="-0.34998626667073579"/>
      </bottom>
      <diagonal/>
    </border>
    <border>
      <left/>
      <right style="thin">
        <color theme="1"/>
      </right>
      <top style="thin">
        <color rgb="FFFFFFFF"/>
      </top>
      <bottom style="thin">
        <color theme="1"/>
      </bottom>
      <diagonal/>
    </border>
    <border>
      <left/>
      <right style="thin">
        <color theme="0" tint="-0.34998626667073579"/>
      </right>
      <top style="thin">
        <color theme="0"/>
      </top>
      <bottom style="thin">
        <color theme="0" tint="-0.34998626667073579"/>
      </bottom>
      <diagonal/>
    </border>
    <border>
      <left/>
      <right/>
      <top style="thin">
        <color theme="0"/>
      </top>
      <bottom style="thin">
        <color theme="0" tint="-0.34998626667073579"/>
      </bottom>
      <diagonal/>
    </border>
    <border>
      <left style="thin">
        <color theme="0"/>
      </left>
      <right/>
      <top style="thin">
        <color theme="0"/>
      </top>
      <bottom style="thin">
        <color theme="0" tint="-0.34998626667073579"/>
      </bottom>
      <diagonal/>
    </border>
    <border>
      <left/>
      <right style="thin">
        <color theme="0" tint="-0.24994659260841701"/>
      </right>
      <top/>
      <bottom/>
      <diagonal/>
    </border>
    <border>
      <left style="thin">
        <color theme="0"/>
      </left>
      <right/>
      <top style="thin">
        <color theme="0"/>
      </top>
      <bottom style="thin">
        <color theme="3" tint="0.79998168889431442"/>
      </bottom>
      <diagonal/>
    </border>
    <border>
      <left style="thin">
        <color theme="0" tint="-0.24994659260841701"/>
      </left>
      <right/>
      <top style="thin">
        <color theme="0"/>
      </top>
      <bottom/>
      <diagonal/>
    </border>
    <border>
      <left/>
      <right style="thin">
        <color theme="3" tint="0.59996337778862885"/>
      </right>
      <top style="thin">
        <color theme="0"/>
      </top>
      <bottom/>
      <diagonal/>
    </border>
    <border>
      <left style="thin">
        <color theme="3" tint="0.59999389629810485"/>
      </left>
      <right style="thin">
        <color theme="3" tint="0.59999389629810485"/>
      </right>
      <top style="thin">
        <color theme="3" tint="0.59999389629810485"/>
      </top>
      <bottom style="thin">
        <color theme="3" tint="0.59999389629810485"/>
      </bottom>
      <diagonal/>
    </border>
    <border>
      <left style="thin">
        <color theme="3" tint="0.59999389629810485"/>
      </left>
      <right/>
      <top style="thin">
        <color theme="3" tint="0.59999389629810485"/>
      </top>
      <bottom style="thin">
        <color theme="3" tint="0.59999389629810485"/>
      </bottom>
      <diagonal/>
    </border>
    <border>
      <left/>
      <right style="thin">
        <color theme="3" tint="0.59999389629810485"/>
      </right>
      <top style="thin">
        <color theme="3" tint="0.59999389629810485"/>
      </top>
      <bottom style="thin">
        <color theme="3" tint="0.59999389629810485"/>
      </bottom>
      <diagonal/>
    </border>
    <border>
      <left style="thin">
        <color theme="3" tint="0.59999389629810485"/>
      </left>
      <right style="thin">
        <color theme="3" tint="0.59999389629810485"/>
      </right>
      <top/>
      <bottom style="thin">
        <color theme="3" tint="0.59999389629810485"/>
      </bottom>
      <diagonal/>
    </border>
    <border>
      <left style="medium">
        <color theme="3" tint="0.59999389629810485"/>
      </left>
      <right/>
      <top style="medium">
        <color theme="3" tint="0.59999389629810485"/>
      </top>
      <bottom style="medium">
        <color theme="3" tint="0.59999389629810485"/>
      </bottom>
      <diagonal/>
    </border>
    <border>
      <left/>
      <right/>
      <top style="medium">
        <color theme="3" tint="0.59999389629810485"/>
      </top>
      <bottom style="medium">
        <color theme="3" tint="0.59999389629810485"/>
      </bottom>
      <diagonal/>
    </border>
    <border>
      <left/>
      <right style="medium">
        <color theme="3" tint="0.59999389629810485"/>
      </right>
      <top style="medium">
        <color theme="3" tint="0.59999389629810485"/>
      </top>
      <bottom style="medium">
        <color theme="3" tint="0.59999389629810485"/>
      </bottom>
      <diagonal/>
    </border>
    <border>
      <left/>
      <right/>
      <top style="thin">
        <color theme="3" tint="0.59999389629810485"/>
      </top>
      <bottom style="thin">
        <color theme="3" tint="0.59999389629810485"/>
      </bottom>
      <diagonal/>
    </border>
    <border>
      <left style="thin">
        <color theme="0" tint="-0.24994659260841701"/>
      </left>
      <right/>
      <top/>
      <bottom/>
      <diagonal/>
    </border>
    <border>
      <left style="thin">
        <color theme="3" tint="0.59999389629810485"/>
      </left>
      <right style="thin">
        <color theme="3" tint="0.59999389629810485"/>
      </right>
      <top style="thin">
        <color theme="3" tint="0.59999389629810485"/>
      </top>
      <bottom/>
      <diagonal/>
    </border>
    <border>
      <left style="thin">
        <color theme="3" tint="0.39997558519241921"/>
      </left>
      <right style="thin">
        <color theme="3" tint="0.39997558519241921"/>
      </right>
      <top style="thin">
        <color theme="3" tint="0.39997558519241921"/>
      </top>
      <bottom style="thin">
        <color theme="3" tint="0.39997558519241921"/>
      </bottom>
      <diagonal/>
    </border>
    <border>
      <left style="thin">
        <color theme="3" tint="0.39997558519241921"/>
      </left>
      <right/>
      <top style="thin">
        <color theme="3" tint="0.39997558519241921"/>
      </top>
      <bottom style="thin">
        <color theme="3" tint="0.39997558519241921"/>
      </bottom>
      <diagonal/>
    </border>
    <border>
      <left/>
      <right style="thin">
        <color theme="3" tint="0.39997558519241921"/>
      </right>
      <top style="thin">
        <color theme="3" tint="0.39997558519241921"/>
      </top>
      <bottom style="thin">
        <color theme="3" tint="0.39997558519241921"/>
      </bottom>
      <diagonal/>
    </border>
    <border>
      <left/>
      <right/>
      <top style="thin">
        <color theme="3" tint="0.39997558519241921"/>
      </top>
      <bottom style="thin">
        <color theme="3" tint="0.39997558519241921"/>
      </bottom>
      <diagonal/>
    </border>
    <border>
      <left style="thin">
        <color theme="3" tint="0.59999389629810485"/>
      </left>
      <right/>
      <top style="medium">
        <color theme="3" tint="0.59999389629810485"/>
      </top>
      <bottom/>
      <diagonal/>
    </border>
    <border>
      <left/>
      <right/>
      <top style="medium">
        <color theme="3" tint="0.59999389629810485"/>
      </top>
      <bottom/>
      <diagonal/>
    </border>
    <border>
      <left style="thin">
        <color rgb="FFFF0000"/>
      </left>
      <right style="thin">
        <color rgb="FFFF0000"/>
      </right>
      <top style="thin">
        <color rgb="FFFF0000"/>
      </top>
      <bottom style="thin">
        <color rgb="FFFF0000"/>
      </bottom>
      <diagonal/>
    </border>
    <border>
      <left/>
      <right/>
      <top style="thin">
        <color theme="3" tint="0.59999389629810485"/>
      </top>
      <bottom/>
      <diagonal/>
    </border>
    <border>
      <left/>
      <right style="medium">
        <color theme="0" tint="-0.34998626667073579"/>
      </right>
      <top/>
      <bottom/>
      <diagonal/>
    </border>
    <border>
      <left style="medium">
        <color theme="0" tint="-0.34998626667073579"/>
      </left>
      <right/>
      <top style="thin">
        <color theme="0" tint="-0.249977111117893"/>
      </top>
      <bottom/>
      <diagonal/>
    </border>
    <border>
      <left/>
      <right style="medium">
        <color theme="0" tint="-0.34998626667073579"/>
      </right>
      <top style="thin">
        <color theme="0" tint="-0.249977111117893"/>
      </top>
      <bottom/>
      <diagonal/>
    </border>
  </borders>
  <cellStyleXfs count="19">
    <xf numFmtId="0" fontId="0" fillId="0" borderId="0"/>
    <xf numFmtId="0" fontId="10" fillId="0" borderId="0" applyNumberFormat="0" applyFill="0" applyBorder="0" applyAlignment="0" applyProtection="0">
      <alignment vertical="top"/>
      <protection locked="0"/>
    </xf>
    <xf numFmtId="164" fontId="1" fillId="0" borderId="0" applyFont="0" applyFill="0" applyBorder="0" applyAlignment="0" applyProtection="0"/>
    <xf numFmtId="0" fontId="3" fillId="0" borderId="0" applyFont="0" applyFill="0" applyBorder="0" applyAlignment="0" applyProtection="0"/>
    <xf numFmtId="0" fontId="4" fillId="0" borderId="0"/>
    <xf numFmtId="0" fontId="1" fillId="0" borderId="0"/>
    <xf numFmtId="0" fontId="5" fillId="0" borderId="0"/>
    <xf numFmtId="0" fontId="1" fillId="0" borderId="0"/>
    <xf numFmtId="0" fontId="27" fillId="0" borderId="0"/>
    <xf numFmtId="0" fontId="27" fillId="0" borderId="0"/>
    <xf numFmtId="0" fontId="27" fillId="0" borderId="0"/>
    <xf numFmtId="0" fontId="6" fillId="0" borderId="0"/>
    <xf numFmtId="0" fontId="17" fillId="0" borderId="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84" fillId="0" borderId="0"/>
    <xf numFmtId="0" fontId="27" fillId="0" borderId="0"/>
  </cellStyleXfs>
  <cellXfs count="1644">
    <xf numFmtId="0" fontId="0" fillId="0" borderId="0" xfId="0"/>
    <xf numFmtId="0" fontId="3" fillId="2" borderId="0" xfId="0" applyFont="1" applyFill="1" applyBorder="1" applyProtection="1">
      <protection hidden="1"/>
    </xf>
    <xf numFmtId="0" fontId="3" fillId="0" borderId="0" xfId="0" applyFont="1" applyFill="1" applyBorder="1" applyProtection="1">
      <protection hidden="1"/>
    </xf>
    <xf numFmtId="0" fontId="3" fillId="2" borderId="0" xfId="0" applyFont="1" applyFill="1" applyBorder="1" applyAlignment="1" applyProtection="1">
      <alignment horizontal="center" vertical="center"/>
      <protection hidden="1"/>
    </xf>
    <xf numFmtId="0" fontId="28" fillId="0" borderId="0" xfId="0" applyFont="1" applyFill="1" applyBorder="1" applyAlignment="1" applyProtection="1">
      <alignment horizontal="center" vertical="center"/>
      <protection hidden="1"/>
    </xf>
    <xf numFmtId="0" fontId="28" fillId="0" borderId="0" xfId="0" applyFont="1" applyFill="1" applyBorder="1" applyAlignment="1" applyProtection="1">
      <alignment vertical="center"/>
      <protection hidden="1"/>
    </xf>
    <xf numFmtId="0" fontId="28" fillId="0" borderId="0" xfId="0" applyFont="1" applyFill="1" applyBorder="1" applyProtection="1">
      <protection hidden="1"/>
    </xf>
    <xf numFmtId="0" fontId="29" fillId="0" borderId="0" xfId="0" applyFont="1" applyFill="1" applyBorder="1" applyProtection="1">
      <protection hidden="1"/>
    </xf>
    <xf numFmtId="49" fontId="12" fillId="3" borderId="0" xfId="8" applyNumberFormat="1" applyFont="1" applyFill="1" applyBorder="1" applyAlignment="1">
      <alignment horizontal="left" vertical="center"/>
    </xf>
    <xf numFmtId="0" fontId="13" fillId="2" borderId="0" xfId="0" applyFont="1" applyFill="1" applyBorder="1" applyProtection="1">
      <protection hidden="1"/>
    </xf>
    <xf numFmtId="167" fontId="28" fillId="2" borderId="0" xfId="2" applyNumberFormat="1" applyFont="1" applyFill="1" applyBorder="1" applyAlignment="1" applyProtection="1">
      <alignment horizontal="center" vertical="center"/>
      <protection hidden="1"/>
    </xf>
    <xf numFmtId="168" fontId="28" fillId="2" borderId="0" xfId="13" applyNumberFormat="1" applyFont="1" applyFill="1" applyBorder="1" applyAlignment="1" applyProtection="1">
      <alignment horizontal="center" vertical="center"/>
      <protection hidden="1"/>
    </xf>
    <xf numFmtId="170" fontId="28" fillId="2" borderId="0" xfId="2" applyNumberFormat="1" applyFont="1" applyFill="1" applyBorder="1" applyAlignment="1" applyProtection="1">
      <alignment horizontal="center" vertical="center"/>
      <protection hidden="1"/>
    </xf>
    <xf numFmtId="49" fontId="9" fillId="2" borderId="0" xfId="8" applyNumberFormat="1" applyFont="1" applyFill="1" applyBorder="1" applyAlignment="1">
      <alignment vertical="center"/>
    </xf>
    <xf numFmtId="0" fontId="32" fillId="0" borderId="0" xfId="0" applyFont="1" applyFill="1" applyBorder="1" applyProtection="1">
      <protection hidden="1"/>
    </xf>
    <xf numFmtId="0" fontId="29" fillId="0" borderId="0" xfId="0" applyFont="1" applyFill="1" applyBorder="1" applyAlignment="1" applyProtection="1">
      <protection hidden="1"/>
    </xf>
    <xf numFmtId="0" fontId="33" fillId="0" borderId="0" xfId="0" applyFont="1" applyFill="1" applyBorder="1" applyAlignment="1">
      <alignment horizontal="justify" vertical="center" wrapText="1"/>
    </xf>
    <xf numFmtId="0" fontId="34" fillId="0" borderId="0" xfId="0" applyFont="1" applyFill="1" applyBorder="1" applyAlignment="1">
      <alignment horizontal="justify" vertical="center" wrapText="1"/>
    </xf>
    <xf numFmtId="0" fontId="29" fillId="0" borderId="0" xfId="0" applyFont="1" applyFill="1" applyBorder="1"/>
    <xf numFmtId="0" fontId="29" fillId="0" borderId="0" xfId="0" applyFont="1" applyFill="1" applyBorder="1" applyAlignment="1">
      <alignment horizontal="justify" vertical="center" wrapText="1"/>
    </xf>
    <xf numFmtId="0" fontId="35" fillId="0" borderId="0" xfId="0" applyFont="1" applyFill="1" applyBorder="1" applyProtection="1">
      <protection hidden="1"/>
    </xf>
    <xf numFmtId="0" fontId="35" fillId="0" borderId="0" xfId="0" applyFont="1" applyFill="1" applyBorder="1" applyAlignment="1" applyProtection="1">
      <alignment horizontal="center"/>
      <protection hidden="1"/>
    </xf>
    <xf numFmtId="168" fontId="28" fillId="2" borderId="0" xfId="13" applyNumberFormat="1" applyFont="1" applyFill="1" applyBorder="1" applyAlignment="1" applyProtection="1">
      <alignment vertical="center"/>
      <protection hidden="1"/>
    </xf>
    <xf numFmtId="170" fontId="28" fillId="2" borderId="0" xfId="2" applyNumberFormat="1" applyFont="1" applyFill="1" applyBorder="1" applyAlignment="1" applyProtection="1">
      <alignment vertical="center"/>
      <protection hidden="1"/>
    </xf>
    <xf numFmtId="49" fontId="7" fillId="2" borderId="0" xfId="8" applyNumberFormat="1" applyFont="1" applyFill="1" applyBorder="1" applyAlignment="1">
      <alignment horizontal="left" vertical="center"/>
    </xf>
    <xf numFmtId="3" fontId="29" fillId="0" borderId="0" xfId="0" applyNumberFormat="1" applyFont="1" applyFill="1" applyBorder="1" applyProtection="1">
      <protection hidden="1"/>
    </xf>
    <xf numFmtId="3" fontId="29" fillId="0" borderId="0" xfId="0" applyNumberFormat="1" applyFont="1" applyFill="1" applyBorder="1"/>
    <xf numFmtId="3" fontId="33" fillId="0" borderId="0" xfId="0" applyNumberFormat="1" applyFont="1" applyFill="1" applyBorder="1" applyAlignment="1">
      <alignment horizontal="center" vertical="center" wrapText="1"/>
    </xf>
    <xf numFmtId="0" fontId="38" fillId="0" borderId="0" xfId="0" applyFont="1" applyFill="1" applyBorder="1" applyAlignment="1">
      <alignment horizontal="justify" vertical="center" wrapText="1"/>
    </xf>
    <xf numFmtId="49" fontId="11" fillId="4" borderId="1" xfId="8" applyNumberFormat="1" applyFont="1" applyFill="1" applyBorder="1" applyAlignment="1">
      <alignment vertical="center"/>
    </xf>
    <xf numFmtId="49" fontId="11" fillId="4" borderId="2" xfId="8" applyNumberFormat="1" applyFont="1" applyFill="1" applyBorder="1" applyAlignment="1">
      <alignment vertical="center"/>
    </xf>
    <xf numFmtId="3" fontId="34" fillId="0" borderId="0" xfId="0" applyNumberFormat="1" applyFont="1" applyFill="1" applyBorder="1" applyAlignment="1">
      <alignment horizontal="center" vertical="center" wrapText="1"/>
    </xf>
    <xf numFmtId="3" fontId="40" fillId="0" borderId="0" xfId="0" applyNumberFormat="1" applyFont="1" applyFill="1" applyBorder="1" applyAlignment="1">
      <alignment horizontal="center" vertical="center"/>
    </xf>
    <xf numFmtId="3" fontId="34" fillId="0" borderId="0" xfId="13" applyNumberFormat="1" applyFont="1" applyFill="1" applyBorder="1" applyAlignment="1">
      <alignment horizontal="center" vertical="center" wrapText="1"/>
    </xf>
    <xf numFmtId="3" fontId="33" fillId="0" borderId="0" xfId="13" applyNumberFormat="1" applyFont="1" applyFill="1" applyBorder="1" applyAlignment="1">
      <alignment horizontal="center" vertical="center"/>
    </xf>
    <xf numFmtId="3" fontId="29" fillId="0" borderId="0" xfId="13" applyNumberFormat="1" applyFont="1" applyFill="1" applyBorder="1" applyAlignment="1">
      <alignment horizontal="center" vertical="center"/>
    </xf>
    <xf numFmtId="3" fontId="41" fillId="0" borderId="0" xfId="13" applyNumberFormat="1" applyFont="1" applyFill="1" applyBorder="1" applyAlignment="1">
      <alignment horizontal="center" vertical="center"/>
    </xf>
    <xf numFmtId="3" fontId="34" fillId="0" borderId="0" xfId="0" applyNumberFormat="1" applyFont="1" applyFill="1" applyBorder="1" applyAlignment="1">
      <alignment horizontal="justify" vertical="center" wrapText="1"/>
    </xf>
    <xf numFmtId="171" fontId="34" fillId="0" borderId="0" xfId="0" applyNumberFormat="1" applyFont="1" applyFill="1" applyBorder="1" applyAlignment="1">
      <alignment horizontal="justify" vertical="center" wrapText="1"/>
    </xf>
    <xf numFmtId="3" fontId="33" fillId="0" borderId="0" xfId="0" applyNumberFormat="1" applyFont="1" applyFill="1" applyBorder="1" applyAlignment="1">
      <alignment horizontal="justify" vertical="center" wrapText="1"/>
    </xf>
    <xf numFmtId="0" fontId="3" fillId="0" borderId="0" xfId="0" applyFont="1" applyFill="1" applyBorder="1" applyAlignment="1" applyProtection="1">
      <alignment horizontal="center" vertical="center"/>
      <protection hidden="1"/>
    </xf>
    <xf numFmtId="170" fontId="28" fillId="2" borderId="4" xfId="2" applyNumberFormat="1" applyFont="1" applyFill="1" applyBorder="1" applyAlignment="1" applyProtection="1">
      <alignment horizontal="center" vertical="center"/>
      <protection hidden="1"/>
    </xf>
    <xf numFmtId="49" fontId="9" fillId="2" borderId="4" xfId="8" applyNumberFormat="1" applyFont="1" applyFill="1" applyBorder="1" applyAlignment="1">
      <alignment vertical="center"/>
    </xf>
    <xf numFmtId="0" fontId="60" fillId="0" borderId="0" xfId="0" applyFont="1" applyFill="1" applyBorder="1" applyAlignment="1">
      <alignment horizontal="center" vertical="center"/>
    </xf>
    <xf numFmtId="3" fontId="34" fillId="0" borderId="0" xfId="13" applyNumberFormat="1" applyFont="1" applyFill="1" applyBorder="1" applyAlignment="1">
      <alignment horizontal="justify" vertical="center" wrapText="1"/>
    </xf>
    <xf numFmtId="3" fontId="29" fillId="0" borderId="0" xfId="0" applyNumberFormat="1" applyFont="1" applyFill="1" applyBorder="1" applyAlignment="1" applyProtection="1">
      <alignment horizontal="justify" vertical="center" wrapText="1"/>
      <protection hidden="1"/>
    </xf>
    <xf numFmtId="3" fontId="29" fillId="0" borderId="0" xfId="0" applyNumberFormat="1" applyFont="1" applyFill="1" applyBorder="1" applyAlignment="1" applyProtection="1">
      <alignment horizontal="center" vertical="center"/>
      <protection hidden="1"/>
    </xf>
    <xf numFmtId="0" fontId="61" fillId="0" borderId="0" xfId="0" applyFont="1" applyFill="1" applyBorder="1" applyAlignment="1">
      <alignment horizontal="center" vertical="center" wrapText="1"/>
    </xf>
    <xf numFmtId="0" fontId="33" fillId="0" borderId="0" xfId="0" applyFont="1" applyFill="1" applyBorder="1"/>
    <xf numFmtId="168" fontId="34" fillId="0" borderId="0" xfId="13" applyNumberFormat="1" applyFont="1" applyFill="1" applyBorder="1" applyAlignment="1">
      <alignment horizontal="justify" vertical="center" wrapText="1"/>
    </xf>
    <xf numFmtId="0" fontId="29" fillId="0" borderId="0" xfId="0" applyFont="1" applyFill="1" applyBorder="1" applyAlignment="1" applyProtection="1">
      <alignment horizontal="justify" vertical="center" wrapText="1"/>
      <protection hidden="1"/>
    </xf>
    <xf numFmtId="0" fontId="62" fillId="0" borderId="0" xfId="0" applyFont="1" applyFill="1" applyBorder="1" applyAlignment="1">
      <alignment horizontal="center" vertical="center"/>
    </xf>
    <xf numFmtId="9" fontId="29" fillId="0" borderId="0" xfId="13" applyFont="1" applyFill="1" applyBorder="1" applyAlignment="1">
      <alignment horizontal="justify" vertical="center" wrapText="1"/>
    </xf>
    <xf numFmtId="0" fontId="35" fillId="0" borderId="0" xfId="0" applyFont="1" applyFill="1" applyBorder="1" applyAlignment="1" applyProtection="1">
      <alignment horizontal="center" vertical="center"/>
      <protection hidden="1"/>
    </xf>
    <xf numFmtId="2" fontId="34" fillId="0" borderId="0" xfId="0" applyNumberFormat="1" applyFont="1" applyFill="1" applyBorder="1" applyAlignment="1">
      <alignment horizontal="justify" vertical="center" wrapText="1"/>
    </xf>
    <xf numFmtId="3" fontId="29" fillId="0" borderId="0" xfId="13" applyNumberFormat="1" applyFont="1" applyFill="1" applyBorder="1" applyAlignment="1">
      <alignment horizontal="justify" vertical="center" wrapText="1"/>
    </xf>
    <xf numFmtId="1" fontId="34" fillId="0" borderId="0" xfId="0" applyNumberFormat="1" applyFont="1" applyFill="1" applyBorder="1" applyAlignment="1">
      <alignment horizontal="justify" vertical="center" wrapText="1"/>
    </xf>
    <xf numFmtId="0" fontId="32" fillId="0" borderId="0" xfId="0" applyFont="1" applyFill="1" applyBorder="1" applyAlignment="1">
      <alignment horizontal="center" vertical="center"/>
    </xf>
    <xf numFmtId="0" fontId="3" fillId="2" borderId="0" xfId="7" applyFont="1" applyFill="1" applyBorder="1" applyProtection="1">
      <protection hidden="1"/>
    </xf>
    <xf numFmtId="0" fontId="13" fillId="2" borderId="0" xfId="7" applyFont="1" applyFill="1" applyBorder="1" applyProtection="1">
      <protection hidden="1"/>
    </xf>
    <xf numFmtId="0" fontId="3" fillId="0" borderId="0" xfId="7" applyFont="1" applyFill="1" applyBorder="1" applyProtection="1">
      <protection hidden="1"/>
    </xf>
    <xf numFmtId="0" fontId="28" fillId="0" borderId="0" xfId="7" applyFont="1" applyFill="1" applyBorder="1" applyProtection="1">
      <protection hidden="1"/>
    </xf>
    <xf numFmtId="0" fontId="28" fillId="0" borderId="0" xfId="7" applyFont="1" applyFill="1" applyBorder="1" applyAlignment="1" applyProtection="1">
      <alignment vertical="center"/>
      <protection hidden="1"/>
    </xf>
    <xf numFmtId="0" fontId="28" fillId="0" borderId="0" xfId="7" applyFont="1" applyFill="1" applyBorder="1" applyAlignment="1" applyProtection="1">
      <alignment horizontal="center" vertical="center"/>
      <protection hidden="1"/>
    </xf>
    <xf numFmtId="0" fontId="13" fillId="2" borderId="0" xfId="7" applyFont="1" applyFill="1" applyBorder="1" applyAlignment="1" applyProtection="1">
      <alignment vertical="top" wrapText="1"/>
      <protection hidden="1"/>
    </xf>
    <xf numFmtId="0" fontId="28" fillId="2" borderId="0" xfId="7" applyFont="1" applyFill="1" applyBorder="1" applyAlignment="1" applyProtection="1">
      <alignment vertical="center"/>
      <protection hidden="1"/>
    </xf>
    <xf numFmtId="0" fontId="3" fillId="6" borderId="9" xfId="1" applyFont="1" applyFill="1" applyBorder="1" applyAlignment="1" applyProtection="1">
      <alignment horizontal="center" vertical="center" wrapText="1"/>
    </xf>
    <xf numFmtId="0" fontId="3" fillId="6" borderId="10" xfId="1" applyFont="1" applyFill="1" applyBorder="1" applyAlignment="1" applyProtection="1">
      <alignment horizontal="center" vertical="center" wrapText="1"/>
    </xf>
    <xf numFmtId="49" fontId="7" fillId="6" borderId="10" xfId="8" applyNumberFormat="1" applyFont="1" applyFill="1" applyBorder="1" applyAlignment="1">
      <alignment horizontal="left" vertical="center"/>
    </xf>
    <xf numFmtId="0" fontId="9" fillId="6" borderId="10" xfId="7" applyFont="1" applyFill="1" applyBorder="1" applyAlignment="1">
      <alignment horizontal="left" vertical="center" wrapText="1"/>
    </xf>
    <xf numFmtId="0" fontId="67" fillId="6" borderId="10" xfId="7" applyNumberFormat="1" applyFont="1" applyFill="1" applyBorder="1" applyAlignment="1" applyProtection="1">
      <alignment vertical="center" wrapText="1"/>
      <protection hidden="1"/>
    </xf>
    <xf numFmtId="0" fontId="28" fillId="6" borderId="10" xfId="7" applyFont="1" applyFill="1" applyBorder="1" applyAlignment="1" applyProtection="1">
      <alignment horizontal="center" vertical="center"/>
      <protection hidden="1"/>
    </xf>
    <xf numFmtId="0" fontId="68" fillId="6" borderId="11" xfId="7" applyFont="1" applyFill="1" applyBorder="1" applyAlignment="1" applyProtection="1">
      <alignment horizontal="left" vertical="center"/>
      <protection hidden="1"/>
    </xf>
    <xf numFmtId="0" fontId="57" fillId="13" borderId="0" xfId="1" applyFont="1" applyFill="1" applyBorder="1" applyAlignment="1" applyProtection="1">
      <alignment horizontal="center" vertical="center" wrapText="1"/>
    </xf>
    <xf numFmtId="49" fontId="56" fillId="13" borderId="0" xfId="8" applyNumberFormat="1" applyFont="1" applyFill="1" applyBorder="1" applyAlignment="1">
      <alignment horizontal="left" vertical="center"/>
    </xf>
    <xf numFmtId="0" fontId="55" fillId="13" borderId="0" xfId="7" applyFont="1" applyFill="1" applyBorder="1" applyAlignment="1">
      <alignment horizontal="left" vertical="center" wrapText="1"/>
    </xf>
    <xf numFmtId="3" fontId="54" fillId="13" borderId="0" xfId="7" applyNumberFormat="1" applyFont="1" applyFill="1" applyBorder="1" applyAlignment="1" applyProtection="1">
      <alignment vertical="center" wrapText="1"/>
      <protection hidden="1"/>
    </xf>
    <xf numFmtId="0" fontId="54" fillId="13" borderId="0" xfId="7" applyNumberFormat="1" applyFont="1" applyFill="1" applyBorder="1" applyAlignment="1" applyProtection="1">
      <alignment vertical="center" wrapText="1"/>
      <protection hidden="1"/>
    </xf>
    <xf numFmtId="0" fontId="53" fillId="13" borderId="0" xfId="7" applyFont="1" applyFill="1" applyBorder="1" applyAlignment="1" applyProtection="1">
      <alignment vertical="center"/>
      <protection hidden="1"/>
    </xf>
    <xf numFmtId="49" fontId="7" fillId="2" borderId="12" xfId="8" applyNumberFormat="1" applyFont="1" applyFill="1" applyBorder="1" applyAlignment="1">
      <alignment horizontal="left" vertical="center"/>
    </xf>
    <xf numFmtId="49" fontId="7" fillId="2" borderId="2" xfId="8" applyNumberFormat="1" applyFont="1" applyFill="1" applyBorder="1" applyAlignment="1">
      <alignment horizontal="left" vertical="center"/>
    </xf>
    <xf numFmtId="0" fontId="9" fillId="2" borderId="2" xfId="7" applyFont="1" applyFill="1" applyBorder="1" applyAlignment="1">
      <alignment horizontal="left" vertical="center" wrapText="1"/>
    </xf>
    <xf numFmtId="0" fontId="8" fillId="2" borderId="4" xfId="7" applyNumberFormat="1" applyFont="1" applyFill="1" applyBorder="1" applyAlignment="1" applyProtection="1">
      <alignment vertical="center" wrapText="1"/>
      <protection hidden="1"/>
    </xf>
    <xf numFmtId="0" fontId="8" fillId="2" borderId="0" xfId="7" applyNumberFormat="1" applyFont="1" applyFill="1" applyBorder="1" applyAlignment="1" applyProtection="1">
      <alignment vertical="center" wrapText="1"/>
      <protection hidden="1"/>
    </xf>
    <xf numFmtId="0" fontId="9" fillId="2" borderId="0" xfId="7" applyFont="1" applyFill="1" applyBorder="1" applyAlignment="1">
      <alignment vertical="center" wrapText="1"/>
    </xf>
    <xf numFmtId="0" fontId="9" fillId="2" borderId="0" xfId="7" applyFont="1" applyFill="1" applyBorder="1" applyAlignment="1">
      <alignment horizontal="left" vertical="center" wrapText="1"/>
    </xf>
    <xf numFmtId="0" fontId="13" fillId="2" borderId="0" xfId="7" applyFont="1" applyFill="1" applyBorder="1" applyAlignment="1" applyProtection="1">
      <alignment vertical="center" wrapText="1"/>
      <protection hidden="1"/>
    </xf>
    <xf numFmtId="0" fontId="2" fillId="2" borderId="4" xfId="7" applyFont="1" applyFill="1" applyBorder="1" applyAlignment="1" applyProtection="1">
      <alignment horizontal="center"/>
      <protection hidden="1"/>
    </xf>
    <xf numFmtId="0" fontId="28" fillId="2" borderId="0" xfId="7" applyFont="1" applyFill="1" applyBorder="1" applyProtection="1">
      <protection hidden="1"/>
    </xf>
    <xf numFmtId="0" fontId="2" fillId="2" borderId="0" xfId="7" applyFont="1" applyFill="1" applyBorder="1" applyAlignment="1" applyProtection="1">
      <alignment horizontal="center"/>
      <protection hidden="1"/>
    </xf>
    <xf numFmtId="0" fontId="14" fillId="2" borderId="0" xfId="7" applyFont="1" applyFill="1" applyBorder="1" applyAlignment="1" applyProtection="1">
      <alignment horizontal="center"/>
      <protection hidden="1"/>
    </xf>
    <xf numFmtId="0" fontId="13" fillId="2" borderId="0" xfId="7" applyFont="1" applyFill="1" applyBorder="1" applyAlignment="1" applyProtection="1">
      <alignment horizontal="left" vertical="top" wrapText="1" readingOrder="1"/>
      <protection hidden="1"/>
    </xf>
    <xf numFmtId="168" fontId="28" fillId="2" borderId="4" xfId="13" applyNumberFormat="1" applyFont="1" applyFill="1" applyBorder="1" applyAlignment="1" applyProtection="1">
      <alignment horizontal="center" vertical="center"/>
      <protection hidden="1"/>
    </xf>
    <xf numFmtId="0" fontId="37" fillId="2" borderId="4" xfId="7" applyFont="1" applyFill="1" applyBorder="1" applyAlignment="1" applyProtection="1">
      <alignment horizontal="center" vertical="center" wrapText="1"/>
      <protection hidden="1"/>
    </xf>
    <xf numFmtId="0" fontId="37" fillId="2" borderId="0" xfId="7" applyFont="1" applyFill="1" applyBorder="1" applyAlignment="1" applyProtection="1">
      <alignment horizontal="center" vertical="center" wrapText="1"/>
      <protection hidden="1"/>
    </xf>
    <xf numFmtId="0" fontId="36" fillId="2" borderId="0" xfId="7" applyFont="1" applyFill="1" applyBorder="1" applyAlignment="1" applyProtection="1">
      <alignment vertical="center" wrapText="1"/>
      <protection hidden="1"/>
    </xf>
    <xf numFmtId="0" fontId="51" fillId="2" borderId="8" xfId="7" applyNumberFormat="1" applyFont="1" applyFill="1" applyBorder="1" applyAlignment="1" applyProtection="1">
      <alignment vertical="center" wrapText="1"/>
      <protection hidden="1"/>
    </xf>
    <xf numFmtId="0" fontId="70" fillId="5" borderId="11" xfId="7" applyFont="1" applyFill="1" applyBorder="1" applyAlignment="1" applyProtection="1">
      <alignment horizontal="center" vertical="center" wrapText="1"/>
      <protection hidden="1"/>
    </xf>
    <xf numFmtId="0" fontId="70" fillId="5" borderId="13" xfId="7" applyFont="1" applyFill="1" applyBorder="1" applyAlignment="1" applyProtection="1">
      <alignment horizontal="center" vertical="center" wrapText="1"/>
      <protection hidden="1"/>
    </xf>
    <xf numFmtId="49" fontId="11" fillId="4" borderId="12" xfId="8" applyNumberFormat="1" applyFont="1" applyFill="1" applyBorder="1" applyAlignment="1">
      <alignment vertical="center"/>
    </xf>
    <xf numFmtId="49" fontId="11" fillId="14" borderId="7" xfId="8" applyNumberFormat="1" applyFont="1" applyFill="1" applyBorder="1" applyAlignment="1">
      <alignment vertical="center"/>
    </xf>
    <xf numFmtId="49" fontId="8" fillId="14" borderId="3" xfId="8" applyNumberFormat="1" applyFont="1" applyFill="1" applyBorder="1" applyAlignment="1">
      <alignment horizontal="left" vertical="center"/>
    </xf>
    <xf numFmtId="49" fontId="9" fillId="14" borderId="5" xfId="8" applyNumberFormat="1" applyFont="1" applyFill="1" applyBorder="1" applyAlignment="1">
      <alignment vertical="center"/>
    </xf>
    <xf numFmtId="0" fontId="28" fillId="14" borderId="0" xfId="7" applyFont="1" applyFill="1" applyBorder="1" applyProtection="1">
      <protection hidden="1"/>
    </xf>
    <xf numFmtId="49" fontId="8" fillId="14" borderId="5" xfId="8" applyNumberFormat="1" applyFont="1" applyFill="1" applyBorder="1" applyAlignment="1">
      <alignment vertical="center"/>
    </xf>
    <xf numFmtId="3" fontId="71" fillId="2" borderId="6" xfId="2" applyNumberFormat="1" applyFont="1" applyFill="1" applyBorder="1" applyAlignment="1" applyProtection="1">
      <alignment vertical="center" wrapText="1"/>
      <protection hidden="1"/>
    </xf>
    <xf numFmtId="167" fontId="8" fillId="14" borderId="3" xfId="2" applyNumberFormat="1" applyFont="1" applyFill="1" applyBorder="1" applyAlignment="1" applyProtection="1">
      <protection hidden="1"/>
    </xf>
    <xf numFmtId="49" fontId="9" fillId="14" borderId="3" xfId="8" applyNumberFormat="1" applyFont="1" applyFill="1" applyBorder="1" applyAlignment="1">
      <alignment vertical="center"/>
    </xf>
    <xf numFmtId="49" fontId="8" fillId="14" borderId="3" xfId="8" applyNumberFormat="1" applyFont="1" applyFill="1" applyBorder="1" applyAlignment="1">
      <alignment vertical="center"/>
    </xf>
    <xf numFmtId="0" fontId="29" fillId="2" borderId="3" xfId="7" applyNumberFormat="1" applyFont="1" applyFill="1" applyBorder="1" applyAlignment="1" applyProtection="1">
      <alignment horizontal="center" vertical="center"/>
      <protection hidden="1"/>
    </xf>
    <xf numFmtId="0" fontId="8" fillId="14" borderId="3" xfId="7" applyNumberFormat="1" applyFont="1" applyFill="1" applyBorder="1" applyAlignment="1" applyProtection="1">
      <alignment horizontal="center" vertical="center"/>
      <protection hidden="1"/>
    </xf>
    <xf numFmtId="0" fontId="29" fillId="2" borderId="3" xfId="7" applyNumberFormat="1" applyFont="1" applyFill="1" applyBorder="1" applyAlignment="1" applyProtection="1">
      <alignment horizontal="center" vertical="center" wrapText="1"/>
      <protection hidden="1"/>
    </xf>
    <xf numFmtId="49" fontId="9" fillId="14" borderId="3" xfId="8" applyNumberFormat="1" applyFont="1" applyFill="1" applyBorder="1" applyAlignment="1">
      <alignment horizontal="left" vertical="center"/>
    </xf>
    <xf numFmtId="0" fontId="31" fillId="2" borderId="0" xfId="7" applyFont="1" applyFill="1" applyBorder="1" applyAlignment="1" applyProtection="1">
      <alignment horizontal="left" vertical="top" wrapText="1" readingOrder="1"/>
      <protection hidden="1"/>
    </xf>
    <xf numFmtId="167" fontId="72" fillId="0" borderId="7" xfId="2" applyNumberFormat="1" applyFont="1" applyFill="1" applyBorder="1" applyAlignment="1" applyProtection="1">
      <alignment vertical="center" wrapText="1"/>
      <protection hidden="1"/>
    </xf>
    <xf numFmtId="167" fontId="72" fillId="0" borderId="6" xfId="2" applyNumberFormat="1" applyFont="1" applyFill="1" applyBorder="1" applyAlignment="1" applyProtection="1">
      <alignment vertical="center" wrapText="1"/>
      <protection hidden="1"/>
    </xf>
    <xf numFmtId="167" fontId="72" fillId="0" borderId="5" xfId="2" applyNumberFormat="1" applyFont="1" applyFill="1" applyBorder="1" applyAlignment="1" applyProtection="1">
      <alignment vertical="center" wrapText="1"/>
      <protection hidden="1"/>
    </xf>
    <xf numFmtId="49" fontId="19" fillId="14" borderId="14" xfId="8" applyNumberFormat="1" applyFont="1" applyFill="1" applyBorder="1" applyAlignment="1">
      <alignment vertical="center"/>
    </xf>
    <xf numFmtId="49" fontId="19" fillId="14" borderId="3" xfId="8" applyNumberFormat="1" applyFont="1" applyFill="1" applyBorder="1" applyAlignment="1">
      <alignment vertical="center"/>
    </xf>
    <xf numFmtId="0" fontId="3" fillId="2" borderId="0" xfId="7" applyFont="1" applyFill="1" applyBorder="1" applyAlignment="1" applyProtection="1">
      <alignment horizontal="center" vertical="center"/>
      <protection hidden="1"/>
    </xf>
    <xf numFmtId="0" fontId="30" fillId="2" borderId="0" xfId="7" applyFont="1" applyFill="1" applyBorder="1" applyAlignment="1" applyProtection="1">
      <alignment horizontal="center" vertical="center"/>
      <protection hidden="1"/>
    </xf>
    <xf numFmtId="49" fontId="3" fillId="14" borderId="3" xfId="8" applyNumberFormat="1" applyFont="1" applyFill="1" applyBorder="1" applyAlignment="1">
      <alignment horizontal="left" vertical="center"/>
    </xf>
    <xf numFmtId="0" fontId="3" fillId="14" borderId="3" xfId="7" applyNumberFormat="1" applyFont="1" applyFill="1" applyBorder="1" applyAlignment="1" applyProtection="1">
      <alignment horizontal="center" vertical="center"/>
      <protection hidden="1"/>
    </xf>
    <xf numFmtId="0" fontId="73" fillId="9" borderId="3" xfId="7" applyNumberFormat="1" applyFont="1" applyFill="1" applyBorder="1" applyAlignment="1" applyProtection="1">
      <alignment horizontal="center" vertical="center"/>
      <protection hidden="1"/>
    </xf>
    <xf numFmtId="0" fontId="13" fillId="2" borderId="0" xfId="7" applyNumberFormat="1" applyFont="1" applyFill="1" applyBorder="1" applyAlignment="1" applyProtection="1">
      <alignment vertical="center"/>
      <protection hidden="1"/>
    </xf>
    <xf numFmtId="0" fontId="9" fillId="3" borderId="0" xfId="7" applyNumberFormat="1" applyFont="1" applyFill="1" applyBorder="1" applyAlignment="1" applyProtection="1">
      <alignment vertical="center"/>
      <protection hidden="1"/>
    </xf>
    <xf numFmtId="0" fontId="48" fillId="3" borderId="2" xfId="7" applyNumberFormat="1" applyFont="1" applyFill="1" applyBorder="1" applyAlignment="1" applyProtection="1">
      <alignment horizontal="center" vertical="center"/>
      <protection hidden="1"/>
    </xf>
    <xf numFmtId="0" fontId="9" fillId="6" borderId="7" xfId="7" applyNumberFormat="1" applyFont="1" applyFill="1" applyBorder="1" applyAlignment="1" applyProtection="1">
      <alignment vertical="center"/>
      <protection hidden="1"/>
    </xf>
    <xf numFmtId="0" fontId="9" fillId="6" borderId="6" xfId="7" applyNumberFormat="1" applyFont="1" applyFill="1" applyBorder="1" applyAlignment="1" applyProtection="1">
      <alignment vertical="center"/>
      <protection hidden="1"/>
    </xf>
    <xf numFmtId="49" fontId="12" fillId="6" borderId="6" xfId="8" applyNumberFormat="1" applyFont="1" applyFill="1" applyBorder="1" applyAlignment="1">
      <alignment horizontal="left" vertical="center"/>
    </xf>
    <xf numFmtId="49" fontId="12" fillId="6" borderId="5" xfId="8" applyNumberFormat="1" applyFont="1" applyFill="1" applyBorder="1" applyAlignment="1">
      <alignment horizontal="left" vertical="center"/>
    </xf>
    <xf numFmtId="0" fontId="3" fillId="3" borderId="0" xfId="7" applyFont="1" applyFill="1" applyBorder="1" applyProtection="1">
      <protection hidden="1"/>
    </xf>
    <xf numFmtId="0" fontId="74" fillId="3" borderId="0" xfId="7" applyFont="1" applyFill="1" applyBorder="1" applyAlignment="1" applyProtection="1">
      <alignment vertical="center" shrinkToFit="1"/>
      <protection locked="0" hidden="1"/>
    </xf>
    <xf numFmtId="0" fontId="44" fillId="3" borderId="0" xfId="7" applyFont="1" applyFill="1" applyBorder="1" applyAlignment="1" applyProtection="1">
      <protection hidden="1"/>
    </xf>
    <xf numFmtId="0" fontId="75" fillId="13" borderId="0" xfId="7" applyFont="1" applyFill="1" applyBorder="1" applyAlignment="1" applyProtection="1">
      <alignment horizontal="center" vertical="center" shrinkToFit="1"/>
      <protection locked="0"/>
    </xf>
    <xf numFmtId="0" fontId="47" fillId="13" borderId="0" xfId="7" applyFont="1" applyFill="1" applyBorder="1" applyAlignment="1" applyProtection="1">
      <alignment horizontal="right" vertical="center"/>
      <protection hidden="1"/>
    </xf>
    <xf numFmtId="0" fontId="44" fillId="13" borderId="0" xfId="7" applyFont="1" applyFill="1" applyBorder="1" applyAlignment="1" applyProtection="1">
      <alignment vertical="center"/>
      <protection hidden="1"/>
    </xf>
    <xf numFmtId="0" fontId="3" fillId="13" borderId="0" xfId="7" applyFont="1" applyFill="1" applyBorder="1" applyProtection="1">
      <protection hidden="1"/>
    </xf>
    <xf numFmtId="0" fontId="76" fillId="13" borderId="16" xfId="7" applyFont="1" applyFill="1" applyBorder="1" applyAlignment="1" applyProtection="1">
      <alignment horizontal="center" vertical="center" shrinkToFit="1"/>
      <protection locked="0"/>
    </xf>
    <xf numFmtId="0" fontId="46" fillId="13" borderId="4" xfId="7" applyFont="1" applyFill="1" applyBorder="1" applyAlignment="1" applyProtection="1">
      <alignment horizontal="right"/>
      <protection locked="0" hidden="1"/>
    </xf>
    <xf numFmtId="0" fontId="46" fillId="13" borderId="0" xfId="7" applyFont="1" applyFill="1" applyBorder="1" applyAlignment="1" applyProtection="1">
      <alignment horizontal="right"/>
      <protection locked="0" hidden="1"/>
    </xf>
    <xf numFmtId="0" fontId="45" fillId="13" borderId="0" xfId="7" applyFont="1" applyFill="1" applyBorder="1" applyAlignment="1" applyProtection="1">
      <alignment horizontal="right" vertical="center"/>
      <protection hidden="1"/>
    </xf>
    <xf numFmtId="0" fontId="10" fillId="6" borderId="17" xfId="1" applyFill="1" applyBorder="1" applyAlignment="1" applyProtection="1">
      <alignment horizontal="center" vertical="center"/>
      <protection locked="0"/>
    </xf>
    <xf numFmtId="0" fontId="22" fillId="2" borderId="0" xfId="0" applyFont="1" applyFill="1" applyBorder="1" applyProtection="1">
      <protection hidden="1"/>
    </xf>
    <xf numFmtId="0" fontId="22" fillId="0" borderId="0" xfId="0" applyFont="1" applyFill="1" applyBorder="1" applyProtection="1">
      <protection hidden="1"/>
    </xf>
    <xf numFmtId="0" fontId="18" fillId="0" borderId="0" xfId="0" applyFont="1" applyFill="1" applyBorder="1" applyAlignment="1" applyProtection="1">
      <protection hidden="1"/>
    </xf>
    <xf numFmtId="0" fontId="18" fillId="0" borderId="0" xfId="0" applyFont="1" applyFill="1" applyBorder="1" applyProtection="1">
      <protection hidden="1"/>
    </xf>
    <xf numFmtId="0" fontId="36" fillId="0" borderId="0" xfId="0" applyFont="1" applyFill="1" applyBorder="1" applyProtection="1">
      <protection hidden="1"/>
    </xf>
    <xf numFmtId="0" fontId="17" fillId="0" borderId="0" xfId="0" applyFont="1" applyFill="1"/>
    <xf numFmtId="173" fontId="15" fillId="0" borderId="0" xfId="0" applyNumberFormat="1" applyFont="1" applyFill="1" applyBorder="1" applyAlignment="1" applyProtection="1">
      <alignment horizontal="center"/>
    </xf>
    <xf numFmtId="0" fontId="9" fillId="6" borderId="0" xfId="0" applyNumberFormat="1" applyFont="1" applyFill="1" applyBorder="1" applyAlignment="1" applyProtection="1">
      <alignment vertical="center"/>
      <protection hidden="1"/>
    </xf>
    <xf numFmtId="0" fontId="18" fillId="0" borderId="0" xfId="0" applyFont="1" applyFill="1" applyBorder="1" applyAlignment="1" applyProtection="1">
      <alignment horizontal="center"/>
      <protection hidden="1"/>
    </xf>
    <xf numFmtId="0" fontId="18" fillId="0" borderId="0" xfId="0" applyFont="1" applyFill="1" applyBorder="1" applyAlignment="1" applyProtection="1">
      <alignment horizontal="center" vertical="center"/>
      <protection hidden="1"/>
    </xf>
    <xf numFmtId="174" fontId="29" fillId="0" borderId="0" xfId="2" applyNumberFormat="1" applyFont="1" applyFill="1" applyBorder="1" applyAlignment="1">
      <alignment horizontal="center" vertical="center" wrapText="1"/>
    </xf>
    <xf numFmtId="0" fontId="22" fillId="0" borderId="0" xfId="0" applyNumberFormat="1" applyFont="1" applyFill="1" applyBorder="1" applyAlignment="1">
      <alignment horizontal="center" vertical="center" wrapText="1"/>
    </xf>
    <xf numFmtId="0" fontId="24" fillId="0" borderId="0" xfId="0" applyFont="1" applyFill="1" applyBorder="1" applyProtection="1">
      <protection hidden="1"/>
    </xf>
    <xf numFmtId="174" fontId="18" fillId="0" borderId="0" xfId="0" applyNumberFormat="1" applyFont="1" applyFill="1" applyBorder="1" applyProtection="1">
      <protection hidden="1"/>
    </xf>
    <xf numFmtId="168" fontId="28" fillId="0" borderId="0" xfId="13" applyNumberFormat="1" applyFont="1" applyFill="1" applyBorder="1" applyAlignment="1" applyProtection="1">
      <alignment horizontal="center" vertical="center"/>
      <protection hidden="1"/>
    </xf>
    <xf numFmtId="174" fontId="81" fillId="0" borderId="0" xfId="2" applyNumberFormat="1" applyFont="1" applyFill="1" applyBorder="1" applyProtection="1">
      <protection hidden="1"/>
    </xf>
    <xf numFmtId="0" fontId="18" fillId="0" borderId="0" xfId="5" applyFont="1" applyFill="1" applyBorder="1" applyAlignment="1">
      <alignment horizontal="right"/>
    </xf>
    <xf numFmtId="43" fontId="81" fillId="0" borderId="0" xfId="2" applyNumberFormat="1" applyFont="1" applyFill="1" applyBorder="1" applyProtection="1">
      <protection hidden="1"/>
    </xf>
    <xf numFmtId="49" fontId="7" fillId="6" borderId="0" xfId="10" applyNumberFormat="1" applyFont="1" applyFill="1" applyBorder="1" applyAlignment="1">
      <alignment horizontal="left" vertical="center"/>
    </xf>
    <xf numFmtId="0" fontId="3" fillId="6" borderId="0" xfId="1" applyFont="1" applyFill="1" applyBorder="1" applyAlignment="1" applyProtection="1">
      <alignment horizontal="center" vertical="center" wrapText="1"/>
    </xf>
    <xf numFmtId="0" fontId="9" fillId="6" borderId="0" xfId="0" applyFont="1" applyFill="1" applyBorder="1" applyAlignment="1">
      <alignment horizontal="left" vertical="center" wrapText="1"/>
    </xf>
    <xf numFmtId="3" fontId="17" fillId="0" borderId="0" xfId="12" quotePrefix="1" applyNumberFormat="1" applyFont="1" applyFill="1" applyBorder="1" applyProtection="1">
      <protection hidden="1"/>
    </xf>
    <xf numFmtId="0" fontId="7" fillId="6" borderId="0" xfId="0" applyFont="1" applyFill="1" applyBorder="1" applyAlignment="1">
      <alignment horizontal="center" vertical="center" wrapText="1"/>
    </xf>
    <xf numFmtId="0" fontId="59" fillId="6" borderId="0" xfId="0" applyFont="1" applyFill="1" applyBorder="1" applyAlignment="1">
      <alignment horizontal="center"/>
    </xf>
    <xf numFmtId="0" fontId="9" fillId="6" borderId="0" xfId="0" applyFont="1" applyFill="1" applyBorder="1" applyAlignment="1">
      <alignment horizontal="center" vertical="center" wrapText="1"/>
    </xf>
    <xf numFmtId="168" fontId="18" fillId="0" borderId="0" xfId="13" applyNumberFormat="1" applyFont="1" applyFill="1" applyBorder="1" applyProtection="1">
      <protection hidden="1"/>
    </xf>
    <xf numFmtId="0" fontId="9" fillId="6" borderId="0" xfId="0" applyFont="1" applyFill="1" applyBorder="1" applyAlignment="1">
      <alignment horizontal="justify" vertical="center" wrapText="1"/>
    </xf>
    <xf numFmtId="3" fontId="18" fillId="0" borderId="0" xfId="12" quotePrefix="1" applyNumberFormat="1" applyFont="1" applyFill="1" applyBorder="1" applyProtection="1">
      <protection hidden="1"/>
    </xf>
    <xf numFmtId="3" fontId="18" fillId="0" borderId="0" xfId="5" applyNumberFormat="1" applyFont="1" applyFill="1" applyBorder="1" applyAlignment="1" applyProtection="1">
      <alignment horizontal="right"/>
      <protection hidden="1"/>
    </xf>
    <xf numFmtId="3" fontId="22" fillId="0" borderId="3" xfId="0" applyNumberFormat="1" applyFont="1" applyFill="1" applyBorder="1" applyAlignment="1">
      <alignment horizontal="center" vertical="center" wrapText="1"/>
    </xf>
    <xf numFmtId="0" fontId="26" fillId="0" borderId="3" xfId="0" applyFont="1" applyFill="1" applyBorder="1" applyAlignment="1" applyProtection="1">
      <alignment horizontal="center" vertical="center"/>
      <protection hidden="1"/>
    </xf>
    <xf numFmtId="0" fontId="52" fillId="0" borderId="5" xfId="0" applyNumberFormat="1" applyFont="1" applyFill="1" applyBorder="1" applyAlignment="1" applyProtection="1">
      <alignment horizontal="justify" vertical="center" wrapText="1"/>
      <protection hidden="1"/>
    </xf>
    <xf numFmtId="0" fontId="17" fillId="0" borderId="0" xfId="0" applyFont="1" applyFill="1" applyBorder="1"/>
    <xf numFmtId="165" fontId="82" fillId="13" borderId="0" xfId="7" applyNumberFormat="1" applyFont="1" applyFill="1" applyBorder="1" applyAlignment="1" applyProtection="1">
      <alignment vertical="center" wrapText="1"/>
      <protection hidden="1"/>
    </xf>
    <xf numFmtId="0" fontId="1" fillId="0" borderId="0" xfId="0" applyFont="1"/>
    <xf numFmtId="0" fontId="52" fillId="0" borderId="0" xfId="0" applyFont="1" applyFill="1" applyBorder="1" applyProtection="1">
      <protection hidden="1"/>
    </xf>
    <xf numFmtId="0" fontId="86" fillId="0" borderId="0" xfId="0" applyFont="1" applyFill="1" applyBorder="1" applyAlignment="1" applyProtection="1">
      <alignment horizontal="justify" vertical="center" wrapText="1"/>
      <protection hidden="1"/>
    </xf>
    <xf numFmtId="0" fontId="60" fillId="0" borderId="3" xfId="0" applyFont="1" applyFill="1" applyBorder="1" applyAlignment="1">
      <alignment horizontal="center" vertical="center"/>
    </xf>
    <xf numFmtId="3" fontId="83" fillId="0" borderId="0" xfId="0" applyNumberFormat="1" applyFont="1" applyFill="1" applyBorder="1" applyAlignment="1">
      <alignment horizontal="justify" vertical="center" wrapText="1"/>
    </xf>
    <xf numFmtId="3" fontId="52" fillId="0" borderId="0" xfId="0" applyNumberFormat="1" applyFont="1" applyFill="1" applyBorder="1" applyAlignment="1" applyProtection="1">
      <alignment horizontal="justify" vertical="center" wrapText="1"/>
      <protection hidden="1"/>
    </xf>
    <xf numFmtId="3" fontId="83" fillId="0" borderId="0" xfId="0" applyNumberFormat="1" applyFont="1" applyFill="1" applyBorder="1" applyAlignment="1">
      <alignment horizontal="center" vertical="center" wrapText="1"/>
    </xf>
    <xf numFmtId="3" fontId="66" fillId="0" borderId="0" xfId="0" applyNumberFormat="1" applyFont="1" applyFill="1" applyBorder="1" applyAlignment="1">
      <alignment horizontal="center" vertical="center"/>
    </xf>
    <xf numFmtId="3" fontId="83" fillId="0" borderId="0" xfId="13" applyNumberFormat="1" applyFont="1" applyFill="1" applyBorder="1" applyAlignment="1">
      <alignment horizontal="center" vertical="center" wrapText="1"/>
    </xf>
    <xf numFmtId="3" fontId="38" fillId="0" borderId="0" xfId="0" applyNumberFormat="1" applyFont="1" applyFill="1" applyBorder="1" applyAlignment="1">
      <alignment horizontal="center" vertical="center" wrapText="1"/>
    </xf>
    <xf numFmtId="3" fontId="38" fillId="0" borderId="0" xfId="0" applyNumberFormat="1" applyFont="1" applyFill="1" applyBorder="1" applyAlignment="1">
      <alignment horizontal="justify" vertical="center" wrapText="1"/>
    </xf>
    <xf numFmtId="3" fontId="52" fillId="0" borderId="0" xfId="0" applyNumberFormat="1" applyFont="1" applyFill="1" applyBorder="1" applyAlignment="1" applyProtection="1">
      <alignment horizontal="center" vertical="center"/>
      <protection hidden="1"/>
    </xf>
    <xf numFmtId="3" fontId="52" fillId="0" borderId="0" xfId="0" applyNumberFormat="1" applyFont="1" applyFill="1" applyBorder="1" applyProtection="1">
      <protection hidden="1"/>
    </xf>
    <xf numFmtId="0" fontId="64" fillId="0" borderId="0" xfId="0" applyFont="1" applyFill="1" applyBorder="1" applyAlignment="1">
      <alignment horizontal="center" vertical="center" wrapText="1"/>
    </xf>
    <xf numFmtId="0" fontId="38" fillId="0" borderId="0" xfId="0" applyFont="1" applyFill="1" applyBorder="1"/>
    <xf numFmtId="0" fontId="52" fillId="0" borderId="0" xfId="0" applyFont="1" applyFill="1" applyBorder="1"/>
    <xf numFmtId="0" fontId="52" fillId="0" borderId="0" xfId="0" applyFont="1" applyFill="1" applyBorder="1" applyAlignment="1" applyProtection="1">
      <alignment horizontal="justify" vertical="center" wrapText="1"/>
      <protection hidden="1"/>
    </xf>
    <xf numFmtId="3" fontId="52" fillId="0" borderId="0" xfId="13" applyNumberFormat="1" applyFont="1" applyFill="1" applyBorder="1" applyAlignment="1">
      <alignment horizontal="center" vertical="center"/>
    </xf>
    <xf numFmtId="3" fontId="65" fillId="0" borderId="0" xfId="13" applyNumberFormat="1" applyFont="1" applyFill="1" applyBorder="1" applyAlignment="1">
      <alignment horizontal="center" vertical="center"/>
    </xf>
    <xf numFmtId="0" fontId="52" fillId="0" borderId="0" xfId="0" applyFont="1"/>
    <xf numFmtId="166" fontId="65" fillId="0" borderId="0" xfId="0" applyNumberFormat="1" applyFont="1" applyFill="1" applyBorder="1" applyAlignment="1">
      <alignment horizontal="justify" vertical="center" wrapText="1"/>
    </xf>
    <xf numFmtId="0" fontId="43" fillId="2" borderId="3" xfId="7" applyNumberFormat="1" applyFont="1" applyFill="1" applyBorder="1" applyAlignment="1" applyProtection="1">
      <alignment horizontal="center" vertical="center"/>
      <protection hidden="1"/>
    </xf>
    <xf numFmtId="49" fontId="3" fillId="14" borderId="3" xfId="8" applyNumberFormat="1" applyFont="1" applyFill="1" applyBorder="1" applyAlignment="1">
      <alignment vertical="center"/>
    </xf>
    <xf numFmtId="0" fontId="47" fillId="13" borderId="0" xfId="7" applyFont="1" applyFill="1" applyBorder="1" applyAlignment="1" applyProtection="1">
      <alignment vertical="center"/>
      <protection hidden="1"/>
    </xf>
    <xf numFmtId="0" fontId="0" fillId="0" borderId="3" xfId="0" applyFill="1" applyBorder="1" applyAlignment="1">
      <alignment vertical="center" wrapText="1"/>
    </xf>
    <xf numFmtId="0" fontId="29" fillId="0" borderId="0" xfId="7" applyFont="1" applyFill="1" applyBorder="1" applyProtection="1">
      <protection hidden="1"/>
    </xf>
    <xf numFmtId="0" fontId="29" fillId="0" borderId="0" xfId="7" applyFont="1" applyFill="1" applyBorder="1"/>
    <xf numFmtId="0" fontId="29" fillId="0" borderId="0" xfId="7" applyFont="1" applyFill="1" applyBorder="1" applyAlignment="1" applyProtection="1">
      <protection hidden="1"/>
    </xf>
    <xf numFmtId="0" fontId="32" fillId="0" borderId="0" xfId="7" applyFont="1" applyFill="1" applyBorder="1" applyProtection="1">
      <protection hidden="1"/>
    </xf>
    <xf numFmtId="0" fontId="44" fillId="0" borderId="0" xfId="7" applyFont="1" applyFill="1" applyBorder="1" applyAlignment="1">
      <alignment horizontal="center" vertical="center"/>
    </xf>
    <xf numFmtId="0" fontId="29" fillId="0" borderId="0" xfId="7" applyFont="1" applyFill="1" applyBorder="1" applyAlignment="1">
      <alignment horizontal="justify" vertical="center" wrapText="1"/>
    </xf>
    <xf numFmtId="3" fontId="44" fillId="0" borderId="3" xfId="7" applyNumberFormat="1" applyFont="1" applyFill="1" applyBorder="1" applyAlignment="1">
      <alignment horizontal="center" vertical="center"/>
    </xf>
    <xf numFmtId="0" fontId="44" fillId="0" borderId="3" xfId="7" applyFont="1" applyFill="1" applyBorder="1" applyAlignment="1">
      <alignment horizontal="center" vertical="center"/>
    </xf>
    <xf numFmtId="0" fontId="44" fillId="0" borderId="0" xfId="7" applyFont="1" applyFill="1" applyBorder="1" applyAlignment="1">
      <alignment horizontal="center"/>
    </xf>
    <xf numFmtId="0" fontId="28" fillId="0" borderId="0" xfId="7" applyFont="1"/>
    <xf numFmtId="3" fontId="29" fillId="0" borderId="0" xfId="7" applyNumberFormat="1" applyFont="1" applyFill="1" applyBorder="1" applyAlignment="1">
      <alignment horizontal="center" vertical="center" wrapText="1"/>
    </xf>
    <xf numFmtId="0" fontId="67" fillId="0" borderId="0" xfId="7" applyFont="1" applyFill="1" applyBorder="1" applyProtection="1">
      <protection hidden="1"/>
    </xf>
    <xf numFmtId="0" fontId="28" fillId="0" borderId="3" xfId="7" applyFont="1" applyFill="1" applyBorder="1" applyAlignment="1" applyProtection="1">
      <alignment horizontal="center" vertical="center"/>
      <protection hidden="1"/>
    </xf>
    <xf numFmtId="0" fontId="32" fillId="16" borderId="3" xfId="7" applyNumberFormat="1" applyFont="1" applyFill="1" applyBorder="1" applyAlignment="1">
      <alignment horizontal="center" vertical="center" wrapText="1"/>
    </xf>
    <xf numFmtId="0" fontId="32" fillId="0" borderId="3" xfId="7" applyNumberFormat="1" applyFont="1" applyFill="1" applyBorder="1" applyAlignment="1">
      <alignment horizontal="center" vertical="center" wrapText="1"/>
    </xf>
    <xf numFmtId="9" fontId="37" fillId="0" borderId="0" xfId="13" applyFont="1" applyFill="1" applyBorder="1" applyAlignment="1">
      <alignment horizontal="center" vertical="center"/>
    </xf>
    <xf numFmtId="0" fontId="52" fillId="0" borderId="0" xfId="7" applyFont="1" applyFill="1" applyBorder="1" applyAlignment="1" applyProtection="1">
      <alignment vertical="center" wrapText="1"/>
      <protection hidden="1"/>
    </xf>
    <xf numFmtId="0" fontId="52" fillId="0" borderId="3" xfId="7" applyFont="1" applyBorder="1"/>
    <xf numFmtId="0" fontId="52" fillId="0" borderId="0" xfId="7" applyFont="1"/>
    <xf numFmtId="3" fontId="52" fillId="0" borderId="3" xfId="7" applyNumberFormat="1" applyFont="1" applyFill="1" applyBorder="1" applyAlignment="1">
      <alignment horizontal="center" vertical="center" wrapText="1"/>
    </xf>
    <xf numFmtId="0" fontId="52" fillId="0" borderId="0" xfId="7" applyFont="1" applyFill="1" applyBorder="1" applyProtection="1">
      <protection hidden="1"/>
    </xf>
    <xf numFmtId="0" fontId="52" fillId="0" borderId="0" xfId="7" applyFont="1" applyFill="1" applyBorder="1" applyAlignment="1" applyProtection="1">
      <protection hidden="1"/>
    </xf>
    <xf numFmtId="0" fontId="52" fillId="0" borderId="0" xfId="7" applyFont="1" applyFill="1" applyBorder="1" applyAlignment="1" applyProtection="1">
      <alignment horizontal="justify" vertical="center" wrapText="1"/>
      <protection hidden="1"/>
    </xf>
    <xf numFmtId="0" fontId="52" fillId="0" borderId="3" xfId="7" applyFont="1" applyFill="1" applyBorder="1" applyAlignment="1" applyProtection="1">
      <protection hidden="1"/>
    </xf>
    <xf numFmtId="0" fontId="51" fillId="2" borderId="0" xfId="7" applyFont="1" applyFill="1" applyBorder="1" applyAlignment="1" applyProtection="1">
      <alignment horizontal="center" vertical="center" wrapText="1"/>
      <protection hidden="1"/>
    </xf>
    <xf numFmtId="0" fontId="51" fillId="2" borderId="0" xfId="7" applyFont="1" applyFill="1" applyBorder="1" applyAlignment="1" applyProtection="1">
      <alignment horizontal="center" vertical="center" wrapText="1"/>
      <protection hidden="1"/>
    </xf>
    <xf numFmtId="0" fontId="32" fillId="0" borderId="0" xfId="7" applyFont="1" applyFill="1" applyBorder="1" applyAlignment="1" applyProtection="1">
      <alignment horizontal="center"/>
      <protection hidden="1"/>
    </xf>
    <xf numFmtId="0" fontId="44" fillId="0" borderId="3" xfId="7" applyFont="1" applyFill="1" applyBorder="1" applyAlignment="1" applyProtection="1">
      <alignment horizontal="center" vertical="center"/>
      <protection hidden="1"/>
    </xf>
    <xf numFmtId="0" fontId="32" fillId="0" borderId="3" xfId="7" applyFont="1" applyFill="1" applyBorder="1" applyAlignment="1">
      <alignment horizontal="justify" vertical="center" wrapText="1"/>
    </xf>
    <xf numFmtId="0" fontId="52" fillId="0" borderId="3" xfId="7" applyFont="1" applyFill="1" applyBorder="1" applyAlignment="1" applyProtection="1">
      <alignment horizontal="center"/>
      <protection hidden="1"/>
    </xf>
    <xf numFmtId="0" fontId="52" fillId="0" borderId="3" xfId="7" applyFont="1" applyFill="1" applyBorder="1" applyAlignment="1">
      <alignment horizontal="justify" vertical="center" wrapText="1"/>
    </xf>
    <xf numFmtId="0" fontId="52" fillId="0" borderId="3" xfId="7" applyFont="1" applyFill="1" applyBorder="1" applyAlignment="1">
      <alignment horizontal="center" vertical="center" wrapText="1"/>
    </xf>
    <xf numFmtId="168" fontId="52" fillId="0" borderId="3" xfId="13" applyNumberFormat="1" applyFont="1" applyFill="1" applyBorder="1" applyAlignment="1">
      <alignment horizontal="center" vertical="center" wrapText="1"/>
    </xf>
    <xf numFmtId="0" fontId="52" fillId="0" borderId="3" xfId="7" applyFont="1" applyFill="1" applyBorder="1" applyAlignment="1" applyProtection="1">
      <alignment horizontal="center" vertical="center"/>
      <protection hidden="1"/>
    </xf>
    <xf numFmtId="0" fontId="52" fillId="2" borderId="3" xfId="7" applyFont="1" applyFill="1" applyBorder="1" applyAlignment="1">
      <alignment horizontal="justify" vertical="center" wrapText="1"/>
    </xf>
    <xf numFmtId="0" fontId="52" fillId="2" borderId="3" xfId="7" applyFont="1" applyFill="1" applyBorder="1" applyAlignment="1">
      <alignment horizontal="center" vertical="center" wrapText="1"/>
    </xf>
    <xf numFmtId="4" fontId="52" fillId="0" borderId="3" xfId="7" applyNumberFormat="1" applyFont="1" applyFill="1" applyBorder="1" applyAlignment="1">
      <alignment horizontal="center" vertical="center" wrapText="1"/>
    </xf>
    <xf numFmtId="2" fontId="52" fillId="2" borderId="3" xfId="7" applyNumberFormat="1" applyFont="1" applyFill="1" applyBorder="1" applyAlignment="1">
      <alignment horizontal="center" vertical="center" wrapText="1"/>
    </xf>
    <xf numFmtId="3" fontId="52" fillId="2" borderId="3" xfId="7" applyNumberFormat="1" applyFont="1" applyFill="1" applyBorder="1" applyAlignment="1">
      <alignment horizontal="center" vertical="center" wrapText="1"/>
    </xf>
    <xf numFmtId="0" fontId="52" fillId="0" borderId="3" xfId="0" applyFont="1" applyFill="1" applyBorder="1" applyAlignment="1">
      <alignment horizontal="center" vertical="center" wrapText="1"/>
    </xf>
    <xf numFmtId="0" fontId="92" fillId="2" borderId="3" xfId="1" applyFont="1" applyFill="1" applyBorder="1" applyAlignment="1" applyProtection="1">
      <alignment horizontal="justify" vertical="center" wrapText="1"/>
    </xf>
    <xf numFmtId="0" fontId="52" fillId="2" borderId="3" xfId="7" applyFont="1" applyFill="1" applyBorder="1" applyAlignment="1">
      <alignment vertical="center" wrapText="1"/>
    </xf>
    <xf numFmtId="167" fontId="52" fillId="2" borderId="3" xfId="2" applyNumberFormat="1" applyFont="1" applyFill="1" applyBorder="1" applyAlignment="1">
      <alignment horizontal="center" vertical="center" wrapText="1"/>
    </xf>
    <xf numFmtId="0" fontId="52" fillId="0" borderId="3" xfId="7" applyFont="1" applyFill="1" applyBorder="1" applyProtection="1">
      <protection hidden="1"/>
    </xf>
    <xf numFmtId="167" fontId="52" fillId="2" borderId="3" xfId="2" applyNumberFormat="1" applyFont="1" applyFill="1" applyBorder="1" applyAlignment="1">
      <alignment vertical="center" wrapText="1"/>
    </xf>
    <xf numFmtId="3" fontId="52" fillId="0" borderId="3" xfId="7" applyNumberFormat="1" applyFont="1" applyFill="1" applyBorder="1" applyAlignment="1">
      <alignment vertical="center" wrapText="1"/>
    </xf>
    <xf numFmtId="165" fontId="52" fillId="0" borderId="3" xfId="7" applyNumberFormat="1" applyFont="1" applyFill="1" applyBorder="1" applyAlignment="1">
      <alignment horizontal="center" vertical="center" wrapText="1"/>
    </xf>
    <xf numFmtId="0" fontId="52" fillId="2" borderId="3" xfId="7" applyFont="1" applyFill="1" applyBorder="1" applyAlignment="1">
      <alignment vertical="center"/>
    </xf>
    <xf numFmtId="0" fontId="52" fillId="0" borderId="13" xfId="7" applyFont="1" applyFill="1" applyBorder="1" applyAlignment="1">
      <alignment horizontal="justify" vertical="center" wrapText="1"/>
    </xf>
    <xf numFmtId="0" fontId="52" fillId="2" borderId="13" xfId="7" applyFont="1" applyFill="1" applyBorder="1" applyAlignment="1">
      <alignment horizontal="justify" vertical="center" wrapText="1"/>
    </xf>
    <xf numFmtId="0" fontId="52" fillId="2" borderId="13" xfId="7" applyFont="1" applyFill="1" applyBorder="1" applyAlignment="1">
      <alignment vertical="center"/>
    </xf>
    <xf numFmtId="0" fontId="52" fillId="2" borderId="13" xfId="7" applyFont="1" applyFill="1" applyBorder="1" applyAlignment="1">
      <alignment horizontal="center" vertical="center" wrapText="1"/>
    </xf>
    <xf numFmtId="165" fontId="52" fillId="0" borderId="13" xfId="7" applyNumberFormat="1" applyFont="1" applyFill="1" applyBorder="1" applyAlignment="1">
      <alignment horizontal="center" vertical="center" wrapText="1"/>
    </xf>
    <xf numFmtId="0" fontId="52" fillId="0" borderId="0" xfId="7" applyFont="1" applyFill="1" applyBorder="1" applyAlignment="1">
      <alignment horizontal="justify" vertical="center" wrapText="1"/>
    </xf>
    <xf numFmtId="0" fontId="37" fillId="0" borderId="0" xfId="7" applyFont="1" applyFill="1" applyBorder="1" applyAlignment="1">
      <alignment horizontal="center" vertical="center"/>
    </xf>
    <xf numFmtId="1" fontId="37" fillId="0" borderId="0" xfId="7" applyNumberFormat="1" applyFont="1" applyFill="1" applyBorder="1" applyAlignment="1">
      <alignment horizontal="center" vertical="center" wrapText="1"/>
    </xf>
    <xf numFmtId="0" fontId="32" fillId="0" borderId="0" xfId="7" applyFont="1" applyFill="1" applyBorder="1" applyAlignment="1">
      <alignment horizontal="center" vertical="center" wrapText="1"/>
    </xf>
    <xf numFmtId="168" fontId="32" fillId="0" borderId="0" xfId="13" applyNumberFormat="1" applyFont="1" applyFill="1" applyBorder="1" applyAlignment="1">
      <alignment horizontal="center" vertical="center" wrapText="1"/>
    </xf>
    <xf numFmtId="171" fontId="29" fillId="0" borderId="0" xfId="7" applyNumberFormat="1" applyFont="1" applyFill="1" applyBorder="1" applyAlignment="1">
      <alignment horizontal="center" vertical="center" wrapText="1"/>
    </xf>
    <xf numFmtId="167" fontId="37" fillId="0" borderId="0" xfId="2" applyNumberFormat="1" applyFont="1" applyFill="1" applyBorder="1" applyAlignment="1">
      <alignment vertical="center" wrapText="1"/>
    </xf>
    <xf numFmtId="164" fontId="37" fillId="0" borderId="0" xfId="2" applyFont="1" applyFill="1" applyBorder="1" applyAlignment="1">
      <alignment horizontal="center" vertical="center"/>
    </xf>
    <xf numFmtId="3" fontId="28" fillId="0" borderId="0" xfId="7" applyNumberFormat="1" applyFont="1" applyFill="1" applyBorder="1" applyAlignment="1">
      <alignment horizontal="justify" vertical="center" wrapText="1"/>
    </xf>
    <xf numFmtId="49" fontId="28" fillId="0" borderId="3" xfId="7" applyNumberFormat="1" applyFont="1" applyFill="1" applyBorder="1" applyAlignment="1">
      <alignment horizontal="center" vertical="center" wrapText="1"/>
    </xf>
    <xf numFmtId="0" fontId="28" fillId="2" borderId="3" xfId="7" applyFont="1" applyFill="1" applyBorder="1" applyAlignment="1">
      <alignment horizontal="center" vertical="center" wrapText="1"/>
    </xf>
    <xf numFmtId="0" fontId="51" fillId="2" borderId="0" xfId="7" applyNumberFormat="1" applyFont="1" applyFill="1" applyBorder="1" applyAlignment="1" applyProtection="1">
      <alignment vertical="center" wrapText="1"/>
      <protection hidden="1"/>
    </xf>
    <xf numFmtId="164" fontId="52" fillId="0" borderId="3" xfId="2" applyFont="1" applyFill="1" applyBorder="1" applyAlignment="1">
      <alignment horizontal="center" vertical="center" wrapText="1"/>
    </xf>
    <xf numFmtId="0" fontId="52" fillId="0" borderId="3" xfId="0" applyFont="1" applyFill="1" applyBorder="1" applyAlignment="1">
      <alignment horizontal="left" vertical="center" wrapText="1"/>
    </xf>
    <xf numFmtId="0" fontId="94" fillId="0" borderId="3" xfId="0" applyFont="1" applyFill="1" applyBorder="1" applyAlignment="1">
      <alignment horizontal="center" vertical="center"/>
    </xf>
    <xf numFmtId="0" fontId="94" fillId="0" borderId="3" xfId="0" applyFont="1" applyFill="1" applyBorder="1" applyAlignment="1">
      <alignment horizontal="center" vertical="center" wrapText="1"/>
    </xf>
    <xf numFmtId="0" fontId="94" fillId="0" borderId="0" xfId="0" applyFont="1" applyFill="1" applyBorder="1" applyAlignment="1">
      <alignment horizontal="center" vertical="center"/>
    </xf>
    <xf numFmtId="0" fontId="52" fillId="0" borderId="3" xfId="0" applyFont="1" applyFill="1" applyBorder="1" applyAlignment="1">
      <alignment vertical="center"/>
    </xf>
    <xf numFmtId="176" fontId="52" fillId="0" borderId="3" xfId="2" applyNumberFormat="1" applyFont="1" applyFill="1" applyBorder="1" applyAlignment="1">
      <alignment vertical="center"/>
    </xf>
    <xf numFmtId="168" fontId="52" fillId="0" borderId="3" xfId="13" applyNumberFormat="1" applyFont="1" applyFill="1" applyBorder="1" applyAlignment="1">
      <alignment vertical="center"/>
    </xf>
    <xf numFmtId="9" fontId="52" fillId="0" borderId="3" xfId="13" applyFont="1" applyFill="1" applyBorder="1" applyAlignment="1">
      <alignment vertical="center"/>
    </xf>
    <xf numFmtId="10" fontId="52" fillId="0" borderId="3" xfId="13" applyNumberFormat="1" applyFont="1" applyFill="1" applyBorder="1" applyAlignment="1">
      <alignment vertical="center"/>
    </xf>
    <xf numFmtId="177" fontId="52" fillId="0" borderId="3" xfId="13" applyNumberFormat="1" applyFont="1" applyFill="1" applyBorder="1" applyAlignment="1">
      <alignment vertical="center"/>
    </xf>
    <xf numFmtId="178" fontId="52" fillId="0" borderId="3" xfId="13" applyNumberFormat="1" applyFont="1" applyFill="1" applyBorder="1" applyAlignment="1">
      <alignment vertical="center"/>
    </xf>
    <xf numFmtId="9" fontId="52" fillId="0" borderId="3" xfId="0" applyNumberFormat="1" applyFont="1" applyFill="1" applyBorder="1" applyAlignment="1">
      <alignment vertical="center"/>
    </xf>
    <xf numFmtId="0" fontId="0" fillId="0" borderId="3" xfId="0" applyFill="1" applyBorder="1" applyAlignment="1">
      <alignment wrapText="1"/>
    </xf>
    <xf numFmtId="3" fontId="52" fillId="0" borderId="3" xfId="0" applyNumberFormat="1" applyFont="1" applyFill="1" applyBorder="1" applyAlignment="1">
      <alignment vertical="center"/>
    </xf>
    <xf numFmtId="0" fontId="0" fillId="0" borderId="3" xfId="0" applyFont="1" applyFill="1" applyBorder="1" applyAlignment="1">
      <alignment wrapText="1"/>
    </xf>
    <xf numFmtId="174" fontId="52" fillId="0" borderId="3" xfId="2" applyNumberFormat="1" applyFont="1" applyFill="1" applyBorder="1" applyAlignment="1">
      <alignment vertical="center"/>
    </xf>
    <xf numFmtId="164" fontId="0" fillId="0" borderId="3" xfId="2" applyFont="1" applyFill="1" applyBorder="1" applyAlignment="1">
      <alignment wrapText="1"/>
    </xf>
    <xf numFmtId="9" fontId="0" fillId="0" borderId="3" xfId="13" applyFont="1" applyFill="1" applyBorder="1" applyAlignment="1">
      <alignment wrapText="1"/>
    </xf>
    <xf numFmtId="174" fontId="0" fillId="0" borderId="3" xfId="2" applyNumberFormat="1" applyFont="1" applyFill="1" applyBorder="1" applyAlignment="1">
      <alignment wrapText="1"/>
    </xf>
    <xf numFmtId="0" fontId="0" fillId="0" borderId="3" xfId="0" applyFill="1" applyBorder="1" applyAlignment="1">
      <alignment vertical="center"/>
    </xf>
    <xf numFmtId="174" fontId="0" fillId="0" borderId="3" xfId="2" applyNumberFormat="1" applyFont="1" applyFill="1" applyBorder="1" applyAlignment="1">
      <alignment vertical="center"/>
    </xf>
    <xf numFmtId="174" fontId="0" fillId="0" borderId="3" xfId="0" applyNumberFormat="1" applyFill="1" applyBorder="1" applyAlignment="1">
      <alignment vertical="center"/>
    </xf>
    <xf numFmtId="176" fontId="0" fillId="0" borderId="3" xfId="2" applyNumberFormat="1" applyFont="1" applyFill="1" applyBorder="1" applyAlignment="1">
      <alignment vertical="center"/>
    </xf>
    <xf numFmtId="179" fontId="0" fillId="0" borderId="3" xfId="0" applyNumberFormat="1" applyFill="1" applyBorder="1" applyAlignment="1">
      <alignment vertical="center"/>
    </xf>
    <xf numFmtId="174" fontId="52" fillId="0" borderId="3" xfId="2" applyNumberFormat="1" applyFont="1" applyFill="1" applyBorder="1" applyAlignment="1">
      <alignment horizontal="center" vertical="center" wrapText="1"/>
    </xf>
    <xf numFmtId="9" fontId="0" fillId="0" borderId="3" xfId="13" applyFont="1" applyFill="1" applyBorder="1" applyAlignment="1">
      <alignment vertical="center"/>
    </xf>
    <xf numFmtId="9" fontId="52" fillId="0" borderId="3" xfId="13" applyFont="1" applyFill="1" applyBorder="1" applyAlignment="1">
      <alignment horizontal="center" vertical="center" wrapText="1"/>
    </xf>
    <xf numFmtId="0" fontId="29" fillId="0" borderId="3" xfId="7" applyFont="1" applyFill="1" applyBorder="1" applyAlignment="1">
      <alignment horizontal="justify" vertical="center" wrapText="1"/>
    </xf>
    <xf numFmtId="0" fontId="29" fillId="2" borderId="3" xfId="7" applyFont="1" applyFill="1" applyBorder="1" applyAlignment="1">
      <alignment horizontal="justify" vertical="center" wrapText="1"/>
    </xf>
    <xf numFmtId="0" fontId="18" fillId="0" borderId="0" xfId="0" applyFont="1" applyFill="1" applyBorder="1" applyAlignment="1" applyProtection="1">
      <alignment horizontal="left"/>
      <protection hidden="1"/>
    </xf>
    <xf numFmtId="168" fontId="3" fillId="2" borderId="0" xfId="13" applyNumberFormat="1" applyFont="1" applyFill="1" applyBorder="1" applyProtection="1">
      <protection hidden="1"/>
    </xf>
    <xf numFmtId="3" fontId="37" fillId="0" borderId="0" xfId="7" applyNumberFormat="1" applyFont="1" applyFill="1" applyBorder="1" applyAlignment="1">
      <alignment horizontal="center" vertical="center" wrapText="1"/>
    </xf>
    <xf numFmtId="0" fontId="28" fillId="0" borderId="0" xfId="8" applyFont="1" applyFill="1" applyBorder="1"/>
    <xf numFmtId="2" fontId="104" fillId="26" borderId="12" xfId="15" applyNumberFormat="1" applyFont="1" applyFill="1" applyBorder="1" applyAlignment="1">
      <alignment vertical="center" wrapText="1"/>
    </xf>
    <xf numFmtId="0" fontId="95" fillId="0" borderId="0" xfId="8" applyFont="1" applyFill="1"/>
    <xf numFmtId="2" fontId="95" fillId="0" borderId="0" xfId="8" applyNumberFormat="1" applyFont="1" applyFill="1"/>
    <xf numFmtId="175" fontId="84" fillId="0" borderId="13" xfId="8" applyNumberFormat="1" applyFont="1" applyFill="1" applyBorder="1" applyAlignment="1">
      <alignment horizontal="center" vertical="center"/>
    </xf>
    <xf numFmtId="9" fontId="84" fillId="0" borderId="13" xfId="8" applyNumberFormat="1" applyFont="1" applyFill="1" applyBorder="1" applyAlignment="1">
      <alignment horizontal="center" vertical="center"/>
    </xf>
    <xf numFmtId="169" fontId="84" fillId="27" borderId="3" xfId="17" applyNumberFormat="1" applyFont="1" applyFill="1" applyBorder="1"/>
    <xf numFmtId="169" fontId="104" fillId="0" borderId="13" xfId="8" applyNumberFormat="1" applyFont="1" applyFill="1" applyBorder="1" applyAlignment="1">
      <alignment horizontal="center" vertical="center" wrapText="1"/>
    </xf>
    <xf numFmtId="169" fontId="104" fillId="0" borderId="12" xfId="15" applyNumberFormat="1" applyFont="1" applyFill="1" applyBorder="1" applyAlignment="1">
      <alignment vertical="center" wrapText="1"/>
    </xf>
    <xf numFmtId="2" fontId="104" fillId="0" borderId="13" xfId="8" applyNumberFormat="1" applyFont="1" applyFill="1" applyBorder="1" applyAlignment="1">
      <alignment horizontal="center" vertical="center" wrapText="1"/>
    </xf>
    <xf numFmtId="2" fontId="104" fillId="0" borderId="14" xfId="8" applyNumberFormat="1" applyFont="1" applyFill="1" applyBorder="1" applyAlignment="1">
      <alignment horizontal="center" vertical="center" wrapText="1"/>
    </xf>
    <xf numFmtId="169" fontId="104" fillId="0" borderId="12" xfId="8" applyNumberFormat="1" applyFont="1" applyFill="1" applyBorder="1" applyAlignment="1">
      <alignment horizontal="center" vertical="center" wrapText="1"/>
    </xf>
    <xf numFmtId="2" fontId="104" fillId="0" borderId="12" xfId="8" applyNumberFormat="1" applyFont="1" applyFill="1" applyBorder="1" applyAlignment="1">
      <alignment horizontal="center" vertical="center" wrapText="1"/>
    </xf>
    <xf numFmtId="3" fontId="84" fillId="0" borderId="3" xfId="8" applyNumberFormat="1" applyFont="1" applyFill="1" applyBorder="1" applyAlignment="1">
      <alignment horizontal="center" vertical="center" wrapText="1"/>
    </xf>
    <xf numFmtId="3" fontId="95" fillId="0" borderId="3" xfId="8" applyNumberFormat="1" applyFont="1" applyBorder="1"/>
    <xf numFmtId="0" fontId="95" fillId="0" borderId="3" xfId="8" applyFont="1" applyBorder="1"/>
    <xf numFmtId="2" fontId="104" fillId="0" borderId="12" xfId="15" applyNumberFormat="1" applyFont="1" applyFill="1" applyBorder="1" applyAlignment="1">
      <alignment vertical="center" wrapText="1"/>
    </xf>
    <xf numFmtId="2" fontId="104" fillId="0" borderId="3" xfId="15" applyNumberFormat="1" applyFont="1" applyFill="1" applyBorder="1" applyAlignment="1">
      <alignment vertical="center" wrapText="1"/>
    </xf>
    <xf numFmtId="9" fontId="95" fillId="26" borderId="3" xfId="14" applyFont="1" applyFill="1" applyBorder="1" applyAlignment="1">
      <alignment horizontal="center" vertical="center"/>
    </xf>
    <xf numFmtId="3" fontId="84" fillId="26" borderId="3" xfId="8" applyNumberFormat="1" applyFont="1" applyFill="1" applyBorder="1" applyAlignment="1">
      <alignment horizontal="center" vertical="center" wrapText="1"/>
    </xf>
    <xf numFmtId="4" fontId="84" fillId="2" borderId="3" xfId="8" applyNumberFormat="1" applyFont="1" applyFill="1" applyBorder="1" applyAlignment="1">
      <alignment horizontal="center" vertical="center" wrapText="1"/>
    </xf>
    <xf numFmtId="180" fontId="104" fillId="2" borderId="9" xfId="15" applyNumberFormat="1" applyFont="1" applyFill="1" applyBorder="1" applyAlignment="1">
      <alignment vertical="center" wrapText="1"/>
    </xf>
    <xf numFmtId="176" fontId="104" fillId="2" borderId="9" xfId="15" applyNumberFormat="1" applyFont="1" applyFill="1" applyBorder="1" applyAlignment="1">
      <alignment vertical="center" wrapText="1"/>
    </xf>
    <xf numFmtId="174" fontId="104" fillId="2" borderId="9" xfId="15" applyNumberFormat="1" applyFont="1" applyFill="1" applyBorder="1" applyAlignment="1">
      <alignment vertical="center" wrapText="1"/>
    </xf>
    <xf numFmtId="174" fontId="104" fillId="2" borderId="12" xfId="15" applyNumberFormat="1" applyFont="1" applyFill="1" applyBorder="1" applyAlignment="1">
      <alignment vertical="center" wrapText="1"/>
    </xf>
    <xf numFmtId="9" fontId="95" fillId="2" borderId="13" xfId="14" applyFont="1" applyFill="1" applyBorder="1" applyAlignment="1">
      <alignment horizontal="center" vertical="center"/>
    </xf>
    <xf numFmtId="2" fontId="84" fillId="2" borderId="13" xfId="8" applyNumberFormat="1" applyFont="1" applyFill="1" applyBorder="1" applyAlignment="1">
      <alignment horizontal="center" vertical="center" wrapText="1"/>
    </xf>
    <xf numFmtId="0" fontId="95" fillId="2" borderId="3" xfId="8" applyFont="1" applyFill="1" applyBorder="1"/>
    <xf numFmtId="9" fontId="28" fillId="0" borderId="13" xfId="14" applyFont="1" applyFill="1" applyBorder="1" applyAlignment="1">
      <alignment horizontal="center" vertical="center"/>
    </xf>
    <xf numFmtId="169" fontId="84" fillId="0" borderId="13" xfId="8" applyNumberFormat="1" applyFont="1" applyFill="1" applyBorder="1" applyAlignment="1">
      <alignment horizontal="center" vertical="center" wrapText="1"/>
    </xf>
    <xf numFmtId="0" fontId="95" fillId="0" borderId="13" xfId="8" applyFont="1" applyFill="1" applyBorder="1" applyAlignment="1">
      <alignment horizontal="center" vertical="center" wrapText="1"/>
    </xf>
    <xf numFmtId="2" fontId="84" fillId="0" borderId="13" xfId="8" applyNumberFormat="1" applyFont="1" applyFill="1" applyBorder="1" applyAlignment="1">
      <alignment horizontal="center" vertical="center" wrapText="1"/>
    </xf>
    <xf numFmtId="0" fontId="104" fillId="0" borderId="3" xfId="8" applyFont="1" applyFill="1" applyBorder="1" applyAlignment="1">
      <alignment horizontal="center" vertical="center" wrapText="1"/>
    </xf>
    <xf numFmtId="0" fontId="84" fillId="0" borderId="3" xfId="8" applyFont="1" applyFill="1" applyBorder="1" applyAlignment="1">
      <alignment horizontal="center" vertical="center" wrapText="1"/>
    </xf>
    <xf numFmtId="0" fontId="95" fillId="0" borderId="3" xfId="8" applyFont="1" applyFill="1" applyBorder="1" applyAlignment="1">
      <alignment horizontal="center" vertical="center" wrapText="1"/>
    </xf>
    <xf numFmtId="0" fontId="101" fillId="0" borderId="3" xfId="8" applyFont="1" applyFill="1" applyBorder="1" applyAlignment="1">
      <alignment horizontal="justify" vertical="center" wrapText="1"/>
    </xf>
    <xf numFmtId="0" fontId="28" fillId="0" borderId="3" xfId="8" applyFont="1" applyFill="1" applyBorder="1" applyAlignment="1">
      <alignment horizontal="justify" vertical="center" wrapText="1"/>
    </xf>
    <xf numFmtId="0" fontId="95" fillId="0" borderId="3" xfId="8" applyFont="1" applyFill="1" applyBorder="1" applyAlignment="1">
      <alignment vertical="center" wrapText="1"/>
    </xf>
    <xf numFmtId="0" fontId="28" fillId="0" borderId="13" xfId="8" applyFont="1" applyFill="1" applyBorder="1" applyAlignment="1">
      <alignment horizontal="justify" vertical="center" wrapText="1"/>
    </xf>
    <xf numFmtId="0" fontId="84" fillId="0" borderId="13" xfId="8" applyFont="1" applyFill="1" applyBorder="1" applyAlignment="1">
      <alignment horizontal="center" vertical="center" wrapText="1"/>
    </xf>
    <xf numFmtId="0" fontId="95" fillId="0" borderId="3" xfId="8" applyFont="1" applyFill="1" applyBorder="1"/>
    <xf numFmtId="0" fontId="95" fillId="0" borderId="11" xfId="8" applyFont="1" applyFill="1" applyBorder="1" applyAlignment="1">
      <alignment horizontal="center" vertical="center" wrapText="1"/>
    </xf>
    <xf numFmtId="2" fontId="84" fillId="0" borderId="3" xfId="8" applyNumberFormat="1" applyFont="1" applyFill="1" applyBorder="1" applyAlignment="1">
      <alignment horizontal="center" vertical="center" wrapText="1"/>
    </xf>
    <xf numFmtId="169" fontId="28" fillId="0" borderId="14" xfId="8" applyNumberFormat="1" applyFont="1" applyFill="1" applyBorder="1" applyAlignment="1">
      <alignment horizontal="center" vertical="center" wrapText="1"/>
    </xf>
    <xf numFmtId="0" fontId="101" fillId="13" borderId="3" xfId="8" applyFont="1" applyFill="1" applyBorder="1" applyAlignment="1">
      <alignment horizontal="justify" vertical="center" wrapText="1"/>
    </xf>
    <xf numFmtId="0" fontId="95" fillId="26" borderId="3" xfId="8" applyFont="1" applyFill="1" applyBorder="1"/>
    <xf numFmtId="174" fontId="95" fillId="2" borderId="3" xfId="15" applyNumberFormat="1" applyFont="1" applyFill="1" applyBorder="1"/>
    <xf numFmtId="180" fontId="104" fillId="0" borderId="3" xfId="15" applyNumberFormat="1" applyFont="1" applyFill="1" applyBorder="1" applyAlignment="1">
      <alignment vertical="center" wrapText="1"/>
    </xf>
    <xf numFmtId="181" fontId="105" fillId="2" borderId="5" xfId="8" applyNumberFormat="1" applyFont="1" applyFill="1" applyBorder="1" applyAlignment="1" applyProtection="1">
      <alignment horizontal="center" wrapText="1"/>
      <protection locked="0"/>
    </xf>
    <xf numFmtId="181" fontId="105" fillId="2" borderId="3" xfId="8" applyNumberFormat="1" applyFont="1" applyFill="1" applyBorder="1" applyAlignment="1" applyProtection="1">
      <alignment vertical="center" wrapText="1" readingOrder="1"/>
      <protection locked="0"/>
    </xf>
    <xf numFmtId="2" fontId="84" fillId="2" borderId="3" xfId="8" applyNumberFormat="1" applyFont="1" applyFill="1" applyBorder="1" applyAlignment="1">
      <alignment horizontal="center" vertical="center" wrapText="1"/>
    </xf>
    <xf numFmtId="174" fontId="84" fillId="2" borderId="3" xfId="15" applyNumberFormat="1" applyFont="1" applyFill="1" applyBorder="1" applyAlignment="1">
      <alignment horizontal="center" vertical="center" wrapText="1"/>
    </xf>
    <xf numFmtId="174" fontId="95" fillId="2" borderId="3" xfId="15" applyNumberFormat="1" applyFont="1" applyFill="1" applyBorder="1" applyAlignment="1">
      <alignment horizontal="right" vertical="center" wrapText="1"/>
    </xf>
    <xf numFmtId="3" fontId="84" fillId="2" borderId="3" xfId="8" applyNumberFormat="1" applyFont="1" applyFill="1" applyBorder="1" applyAlignment="1">
      <alignment horizontal="center" vertical="center" wrapText="1"/>
    </xf>
    <xf numFmtId="2" fontId="104" fillId="2" borderId="3" xfId="8" applyNumberFormat="1" applyFont="1" applyFill="1" applyBorder="1" applyAlignment="1">
      <alignment horizontal="center" vertical="center" wrapText="1"/>
    </xf>
    <xf numFmtId="3" fontId="95" fillId="0" borderId="3" xfId="8" applyNumberFormat="1" applyFont="1" applyFill="1" applyBorder="1" applyAlignment="1">
      <alignment horizontal="center" vertical="center" wrapText="1"/>
    </xf>
    <xf numFmtId="2" fontId="104" fillId="0" borderId="3" xfId="8" applyNumberFormat="1" applyFont="1" applyFill="1" applyBorder="1" applyAlignment="1">
      <alignment horizontal="center" vertical="center" wrapText="1"/>
    </xf>
    <xf numFmtId="0" fontId="95" fillId="0" borderId="14" xfId="8" applyFont="1" applyFill="1" applyBorder="1" applyAlignment="1">
      <alignment horizontal="center" vertical="center"/>
    </xf>
    <xf numFmtId="0" fontId="28" fillId="23" borderId="3" xfId="8" applyFont="1" applyFill="1" applyBorder="1" applyAlignment="1">
      <alignment horizontal="center" vertical="center" wrapText="1"/>
    </xf>
    <xf numFmtId="169" fontId="104" fillId="0" borderId="3" xfId="8" applyNumberFormat="1" applyFont="1" applyFill="1" applyBorder="1" applyAlignment="1">
      <alignment horizontal="center" vertical="center" wrapText="1"/>
    </xf>
    <xf numFmtId="180" fontId="104" fillId="0" borderId="9" xfId="15" applyNumberFormat="1" applyFont="1" applyFill="1" applyBorder="1" applyAlignment="1">
      <alignment vertical="center" wrapText="1"/>
    </xf>
    <xf numFmtId="3" fontId="84" fillId="0" borderId="13" xfId="8" applyNumberFormat="1" applyFont="1" applyFill="1" applyBorder="1" applyAlignment="1">
      <alignment horizontal="center" vertical="center" wrapText="1"/>
    </xf>
    <xf numFmtId="2" fontId="104" fillId="0" borderId="9" xfId="15" applyNumberFormat="1" applyFont="1" applyFill="1" applyBorder="1" applyAlignment="1">
      <alignment vertical="center" wrapText="1"/>
    </xf>
    <xf numFmtId="9" fontId="95" fillId="26" borderId="13" xfId="14" applyFont="1" applyFill="1" applyBorder="1" applyAlignment="1">
      <alignment horizontal="center" vertical="center"/>
    </xf>
    <xf numFmtId="3" fontId="84" fillId="26" borderId="13" xfId="8" applyNumberFormat="1" applyFont="1" applyFill="1" applyBorder="1" applyAlignment="1">
      <alignment horizontal="center" vertical="center" wrapText="1"/>
    </xf>
    <xf numFmtId="4" fontId="84" fillId="2" borderId="13" xfId="8" applyNumberFormat="1" applyFont="1" applyFill="1" applyBorder="1" applyAlignment="1">
      <alignment horizontal="center" vertical="center" wrapText="1"/>
    </xf>
    <xf numFmtId="2" fontId="104" fillId="2" borderId="7" xfId="8" applyNumberFormat="1" applyFont="1" applyFill="1" applyBorder="1" applyAlignment="1">
      <alignment horizontal="center" vertical="center" wrapText="1"/>
    </xf>
    <xf numFmtId="176" fontId="104" fillId="2" borderId="7" xfId="15" applyNumberFormat="1" applyFont="1" applyFill="1" applyBorder="1" applyAlignment="1">
      <alignment vertical="center" wrapText="1"/>
    </xf>
    <xf numFmtId="181" fontId="105" fillId="2" borderId="23" xfId="8" applyNumberFormat="1" applyFont="1" applyFill="1" applyBorder="1" applyAlignment="1" applyProtection="1">
      <alignment horizontal="center" wrapText="1"/>
      <protection locked="0"/>
    </xf>
    <xf numFmtId="181" fontId="105" fillId="2" borderId="22" xfId="8" applyNumberFormat="1" applyFont="1" applyFill="1" applyBorder="1" applyAlignment="1" applyProtection="1">
      <alignment vertical="center" wrapText="1" readingOrder="1"/>
      <protection locked="0"/>
    </xf>
    <xf numFmtId="174" fontId="84" fillId="2" borderId="13" xfId="15" applyNumberFormat="1" applyFont="1" applyFill="1" applyBorder="1" applyAlignment="1">
      <alignment horizontal="center" vertical="center" wrapText="1"/>
    </xf>
    <xf numFmtId="174" fontId="95" fillId="2" borderId="11" xfId="15" applyNumberFormat="1" applyFont="1" applyFill="1" applyBorder="1" applyAlignment="1">
      <alignment horizontal="right" vertical="center" wrapText="1"/>
    </xf>
    <xf numFmtId="3" fontId="84" fillId="2" borderId="13" xfId="8" applyNumberFormat="1" applyFont="1" applyFill="1" applyBorder="1" applyAlignment="1">
      <alignment horizontal="center" vertical="center" wrapText="1"/>
    </xf>
    <xf numFmtId="2" fontId="104" fillId="2" borderId="13" xfId="8" applyNumberFormat="1" applyFont="1" applyFill="1" applyBorder="1" applyAlignment="1">
      <alignment horizontal="center" vertical="center" wrapText="1"/>
    </xf>
    <xf numFmtId="2" fontId="104" fillId="2" borderId="9" xfId="8" applyNumberFormat="1" applyFont="1" applyFill="1" applyBorder="1" applyAlignment="1">
      <alignment horizontal="center" vertical="center" wrapText="1"/>
    </xf>
    <xf numFmtId="3" fontId="95" fillId="0" borderId="13" xfId="8" applyNumberFormat="1" applyFont="1" applyFill="1" applyBorder="1" applyAlignment="1">
      <alignment horizontal="center" vertical="center" wrapText="1"/>
    </xf>
    <xf numFmtId="0" fontId="104" fillId="0" borderId="9" xfId="8" applyFont="1" applyFill="1" applyBorder="1" applyAlignment="1">
      <alignment horizontal="center" vertical="center" wrapText="1"/>
    </xf>
    <xf numFmtId="0" fontId="95" fillId="0" borderId="13" xfId="8" applyFont="1" applyFill="1" applyBorder="1" applyAlignment="1">
      <alignment horizontal="center" vertical="center"/>
    </xf>
    <xf numFmtId="175" fontId="84" fillId="0" borderId="3" xfId="8" applyNumberFormat="1" applyFont="1" applyFill="1" applyBorder="1" applyAlignment="1">
      <alignment horizontal="center" vertical="center"/>
    </xf>
    <xf numFmtId="9" fontId="84" fillId="0" borderId="3" xfId="8" applyNumberFormat="1" applyFont="1" applyFill="1" applyBorder="1" applyAlignment="1">
      <alignment horizontal="center" vertical="center"/>
    </xf>
    <xf numFmtId="180" fontId="104" fillId="0" borderId="7" xfId="15" applyNumberFormat="1" applyFont="1" applyFill="1" applyBorder="1" applyAlignment="1">
      <alignment vertical="center" wrapText="1"/>
    </xf>
    <xf numFmtId="2" fontId="104" fillId="0" borderId="7" xfId="15" applyNumberFormat="1" applyFont="1" applyFill="1" applyBorder="1" applyAlignment="1">
      <alignment vertical="center" wrapText="1"/>
    </xf>
    <xf numFmtId="180" fontId="104" fillId="2" borderId="3" xfId="15" applyNumberFormat="1" applyFont="1" applyFill="1" applyBorder="1" applyAlignment="1">
      <alignment vertical="center" wrapText="1"/>
    </xf>
    <xf numFmtId="180" fontId="104" fillId="2" borderId="7" xfId="15" applyNumberFormat="1" applyFont="1" applyFill="1" applyBorder="1" applyAlignment="1">
      <alignment vertical="center" wrapText="1"/>
    </xf>
    <xf numFmtId="174" fontId="104" fillId="2" borderId="7" xfId="15" applyNumberFormat="1" applyFont="1" applyFill="1" applyBorder="1" applyAlignment="1">
      <alignment vertical="center" wrapText="1"/>
    </xf>
    <xf numFmtId="9" fontId="95" fillId="2" borderId="3" xfId="14" applyFont="1" applyFill="1" applyBorder="1" applyAlignment="1">
      <alignment horizontal="center" vertical="center"/>
    </xf>
    <xf numFmtId="174" fontId="95" fillId="2" borderId="5" xfId="15" applyNumberFormat="1" applyFont="1" applyFill="1" applyBorder="1" applyAlignment="1">
      <alignment horizontal="right" vertical="center" wrapText="1"/>
    </xf>
    <xf numFmtId="9" fontId="28" fillId="0" borderId="3" xfId="14" applyFont="1" applyFill="1" applyBorder="1" applyAlignment="1">
      <alignment horizontal="center" vertical="center"/>
    </xf>
    <xf numFmtId="0" fontId="104" fillId="0" borderId="7" xfId="8" applyFont="1" applyFill="1" applyBorder="1" applyAlignment="1">
      <alignment horizontal="center" vertical="center" wrapText="1"/>
    </xf>
    <xf numFmtId="0" fontId="95" fillId="0" borderId="5" xfId="8" applyFont="1" applyFill="1" applyBorder="1" applyAlignment="1">
      <alignment horizontal="center" vertical="center" wrapText="1"/>
    </xf>
    <xf numFmtId="0" fontId="95" fillId="0" borderId="3" xfId="8" applyFont="1" applyFill="1" applyBorder="1" applyAlignment="1">
      <alignment horizontal="center" vertical="center"/>
    </xf>
    <xf numFmtId="181" fontId="105" fillId="2" borderId="23" xfId="8" applyNumberFormat="1" applyFont="1" applyFill="1" applyBorder="1" applyAlignment="1" applyProtection="1">
      <alignment vertical="center" wrapText="1" readingOrder="1"/>
      <protection locked="0"/>
    </xf>
    <xf numFmtId="169" fontId="84" fillId="0" borderId="3" xfId="8" applyNumberFormat="1" applyFont="1" applyFill="1" applyBorder="1" applyAlignment="1">
      <alignment horizontal="center" vertical="center" wrapText="1"/>
    </xf>
    <xf numFmtId="0" fontId="28" fillId="0" borderId="3" xfId="8" applyFont="1" applyFill="1" applyBorder="1" applyAlignment="1">
      <alignment horizontal="center" vertical="center" wrapText="1"/>
    </xf>
    <xf numFmtId="0" fontId="103" fillId="2" borderId="23" xfId="8" applyFont="1" applyFill="1" applyBorder="1" applyAlignment="1">
      <alignment horizontal="center"/>
    </xf>
    <xf numFmtId="0" fontId="103" fillId="2" borderId="22" xfId="8" applyFont="1" applyFill="1" applyBorder="1" applyAlignment="1">
      <alignment horizontal="center" vertical="center"/>
    </xf>
    <xf numFmtId="4" fontId="84" fillId="26" borderId="3" xfId="8" applyNumberFormat="1" applyFont="1" applyFill="1" applyBorder="1" applyAlignment="1">
      <alignment horizontal="center" vertical="center" wrapText="1"/>
    </xf>
    <xf numFmtId="0" fontId="105" fillId="2" borderId="3" xfId="8" applyFont="1" applyFill="1" applyBorder="1" applyAlignment="1" applyProtection="1">
      <alignment vertical="center" wrapText="1" readingOrder="1"/>
      <protection locked="0"/>
    </xf>
    <xf numFmtId="0" fontId="105" fillId="2" borderId="23" xfId="8" applyFont="1" applyFill="1" applyBorder="1" applyAlignment="1" applyProtection="1">
      <alignment vertical="center" wrapText="1" readingOrder="1"/>
      <protection locked="0"/>
    </xf>
    <xf numFmtId="0" fontId="105" fillId="2" borderId="22" xfId="8" applyFont="1" applyFill="1" applyBorder="1" applyAlignment="1" applyProtection="1">
      <alignment vertical="center" wrapText="1" readingOrder="1"/>
      <protection locked="0"/>
    </xf>
    <xf numFmtId="0" fontId="103" fillId="2" borderId="3" xfId="8" applyFont="1" applyFill="1" applyBorder="1" applyAlignment="1">
      <alignment horizontal="center" vertical="center"/>
    </xf>
    <xf numFmtId="0" fontId="103" fillId="2" borderId="23" xfId="8" applyFont="1" applyFill="1" applyBorder="1" applyAlignment="1">
      <alignment horizontal="center" vertical="center"/>
    </xf>
    <xf numFmtId="9" fontId="95" fillId="0" borderId="3" xfId="14" applyFont="1" applyFill="1" applyBorder="1" applyAlignment="1">
      <alignment vertical="center" wrapText="1"/>
    </xf>
    <xf numFmtId="2" fontId="95" fillId="0" borderId="3" xfId="8" applyNumberFormat="1" applyFont="1" applyFill="1" applyBorder="1" applyAlignment="1">
      <alignment vertical="center" wrapText="1"/>
    </xf>
    <xf numFmtId="0" fontId="105" fillId="2" borderId="5" xfId="8" applyFont="1" applyFill="1" applyBorder="1" applyAlignment="1" applyProtection="1">
      <alignment vertical="center" wrapText="1" readingOrder="1"/>
      <protection locked="0"/>
    </xf>
    <xf numFmtId="181" fontId="105" fillId="2" borderId="5" xfId="8" applyNumberFormat="1" applyFont="1" applyFill="1" applyBorder="1" applyAlignment="1" applyProtection="1">
      <alignment vertical="center" wrapText="1" readingOrder="1"/>
      <protection locked="0"/>
    </xf>
    <xf numFmtId="0" fontId="103" fillId="2" borderId="5" xfId="8" applyFont="1" applyFill="1" applyBorder="1" applyAlignment="1">
      <alignment horizontal="center"/>
    </xf>
    <xf numFmtId="0" fontId="28" fillId="17" borderId="3" xfId="8" applyFont="1" applyFill="1" applyBorder="1" applyAlignment="1">
      <alignment horizontal="center" vertical="center" wrapText="1"/>
    </xf>
    <xf numFmtId="9" fontId="28" fillId="26" borderId="3" xfId="14" applyFont="1" applyFill="1" applyBorder="1" applyAlignment="1">
      <alignment horizontal="center" vertical="center"/>
    </xf>
    <xf numFmtId="0" fontId="104" fillId="2" borderId="7" xfId="8" applyFont="1" applyFill="1" applyBorder="1" applyAlignment="1">
      <alignment horizontal="center" vertical="center" wrapText="1"/>
    </xf>
    <xf numFmtId="9" fontId="28" fillId="2" borderId="3" xfId="14" applyFont="1" applyFill="1" applyBorder="1" applyAlignment="1">
      <alignment horizontal="center" vertical="center"/>
    </xf>
    <xf numFmtId="1" fontId="84" fillId="2" borderId="3" xfId="8" applyNumberFormat="1" applyFont="1" applyFill="1" applyBorder="1" applyAlignment="1">
      <alignment horizontal="center" vertical="center" wrapText="1"/>
    </xf>
    <xf numFmtId="0" fontId="95" fillId="15" borderId="3" xfId="8" applyFont="1" applyFill="1" applyBorder="1" applyAlignment="1">
      <alignment horizontal="center" vertical="center" wrapText="1"/>
    </xf>
    <xf numFmtId="3" fontId="95" fillId="0" borderId="3" xfId="8" applyNumberFormat="1" applyFont="1" applyFill="1" applyBorder="1" applyAlignment="1">
      <alignment vertical="center" wrapText="1"/>
    </xf>
    <xf numFmtId="0" fontId="95" fillId="15" borderId="5" xfId="8" applyFont="1" applyFill="1" applyBorder="1" applyAlignment="1">
      <alignment horizontal="center" vertical="center" wrapText="1"/>
    </xf>
    <xf numFmtId="0" fontId="84" fillId="0" borderId="3" xfId="8" applyFont="1" applyFill="1" applyBorder="1" applyAlignment="1">
      <alignment vertical="center" wrapText="1"/>
    </xf>
    <xf numFmtId="0" fontId="103" fillId="2" borderId="5" xfId="8" applyFont="1" applyFill="1" applyBorder="1" applyAlignment="1">
      <alignment horizontal="center" vertical="center"/>
    </xf>
    <xf numFmtId="0" fontId="95" fillId="0" borderId="5" xfId="8" applyFont="1" applyFill="1" applyBorder="1" applyAlignment="1">
      <alignment vertical="center" wrapText="1"/>
    </xf>
    <xf numFmtId="165" fontId="84" fillId="26" borderId="3" xfId="8" applyNumberFormat="1" applyFont="1" applyFill="1" applyBorder="1" applyAlignment="1">
      <alignment horizontal="center" vertical="center" wrapText="1"/>
    </xf>
    <xf numFmtId="175" fontId="84" fillId="0" borderId="3" xfId="8" applyNumberFormat="1" applyFont="1" applyFill="1" applyBorder="1" applyAlignment="1">
      <alignment horizontal="center" vertical="center" wrapText="1"/>
    </xf>
    <xf numFmtId="0" fontId="100" fillId="23" borderId="3" xfId="8" applyFont="1" applyFill="1" applyBorder="1" applyAlignment="1">
      <alignment horizontal="center" vertical="center" wrapText="1"/>
    </xf>
    <xf numFmtId="3" fontId="95" fillId="2" borderId="3" xfId="8" applyNumberFormat="1" applyFont="1" applyFill="1" applyBorder="1" applyAlignment="1">
      <alignment horizontal="left"/>
    </xf>
    <xf numFmtId="0" fontId="104" fillId="0" borderId="3" xfId="8" applyFont="1" applyFill="1" applyBorder="1" applyAlignment="1">
      <alignment vertical="center" wrapText="1"/>
    </xf>
    <xf numFmtId="169" fontId="95" fillId="0" borderId="3" xfId="8" applyNumberFormat="1" applyFont="1" applyFill="1" applyBorder="1" applyAlignment="1">
      <alignment vertical="center" wrapText="1"/>
    </xf>
    <xf numFmtId="0" fontId="95" fillId="0" borderId="7" xfId="8" applyFont="1" applyBorder="1"/>
    <xf numFmtId="0" fontId="95" fillId="2" borderId="5" xfId="8" applyFont="1" applyFill="1" applyBorder="1"/>
    <xf numFmtId="0" fontId="95" fillId="2" borderId="7" xfId="8" applyFont="1" applyFill="1" applyBorder="1"/>
    <xf numFmtId="169" fontId="28" fillId="0" borderId="3" xfId="8" applyNumberFormat="1" applyFont="1" applyFill="1" applyBorder="1" applyAlignment="1">
      <alignment horizontal="center" vertical="center" wrapText="1"/>
    </xf>
    <xf numFmtId="174" fontId="95" fillId="2" borderId="5" xfId="15" applyNumberFormat="1" applyFont="1" applyFill="1" applyBorder="1" applyAlignment="1">
      <alignment horizontal="right"/>
    </xf>
    <xf numFmtId="0" fontId="1" fillId="0" borderId="3" xfId="8" applyFont="1" applyFill="1" applyBorder="1" applyAlignment="1">
      <alignment horizontal="center" vertical="center" wrapText="1"/>
    </xf>
    <xf numFmtId="0" fontId="1" fillId="0" borderId="3" xfId="8" applyFont="1" applyFill="1" applyBorder="1" applyAlignment="1">
      <alignment vertical="center" wrapText="1"/>
    </xf>
    <xf numFmtId="3" fontId="1" fillId="0" borderId="3" xfId="8" applyNumberFormat="1" applyFont="1" applyFill="1" applyBorder="1" applyAlignment="1">
      <alignment vertical="center" wrapText="1"/>
    </xf>
    <xf numFmtId="0" fontId="1" fillId="0" borderId="5" xfId="8" applyFont="1" applyFill="1" applyBorder="1" applyAlignment="1">
      <alignment vertical="center" wrapText="1"/>
    </xf>
    <xf numFmtId="0" fontId="102" fillId="0" borderId="3" xfId="8" applyFont="1" applyFill="1" applyBorder="1" applyAlignment="1">
      <alignment vertical="center" wrapText="1"/>
    </xf>
    <xf numFmtId="0" fontId="95" fillId="23" borderId="3" xfId="8" applyFont="1" applyFill="1" applyBorder="1" applyAlignment="1">
      <alignment vertical="center"/>
    </xf>
    <xf numFmtId="0" fontId="95" fillId="0" borderId="3" xfId="18" applyFont="1" applyFill="1" applyBorder="1" applyAlignment="1">
      <alignment horizontal="justify" vertical="center" wrapText="1"/>
    </xf>
    <xf numFmtId="0" fontId="95" fillId="23" borderId="3" xfId="8" applyFont="1" applyFill="1" applyBorder="1"/>
    <xf numFmtId="181" fontId="105" fillId="2" borderId="23" xfId="8" applyNumberFormat="1" applyFont="1" applyFill="1" applyBorder="1" applyAlignment="1" applyProtection="1">
      <alignment horizontal="center" vertical="center" wrapText="1" readingOrder="1"/>
      <protection locked="0"/>
    </xf>
    <xf numFmtId="2" fontId="105" fillId="2" borderId="23" xfId="8" applyNumberFormat="1" applyFont="1" applyFill="1" applyBorder="1" applyAlignment="1" applyProtection="1">
      <alignment vertical="center" wrapText="1" readingOrder="1"/>
      <protection locked="0"/>
    </xf>
    <xf numFmtId="172" fontId="84" fillId="26" borderId="3" xfId="8" applyNumberFormat="1" applyFont="1" applyFill="1" applyBorder="1" applyAlignment="1">
      <alignment horizontal="center" vertical="center" wrapText="1"/>
    </xf>
    <xf numFmtId="0" fontId="95" fillId="23" borderId="3" xfId="8" applyFont="1" applyFill="1" applyBorder="1" applyAlignment="1"/>
    <xf numFmtId="183" fontId="84" fillId="0" borderId="3" xfId="8" applyNumberFormat="1" applyFont="1" applyFill="1" applyBorder="1" applyAlignment="1">
      <alignment horizontal="center" vertical="center" wrapText="1"/>
    </xf>
    <xf numFmtId="174" fontId="95" fillId="23" borderId="3" xfId="8" applyNumberFormat="1" applyFont="1" applyFill="1" applyBorder="1"/>
    <xf numFmtId="0" fontId="95" fillId="23" borderId="3" xfId="8" applyFont="1" applyFill="1" applyBorder="1" applyAlignment="1">
      <alignment wrapText="1"/>
    </xf>
    <xf numFmtId="169" fontId="105" fillId="2" borderId="23" xfId="8" applyNumberFormat="1" applyFont="1" applyFill="1" applyBorder="1" applyAlignment="1" applyProtection="1">
      <alignment vertical="center" wrapText="1" readingOrder="1"/>
      <protection locked="0"/>
    </xf>
    <xf numFmtId="0" fontId="95" fillId="16" borderId="3" xfId="8" applyFont="1" applyFill="1" applyBorder="1" applyAlignment="1">
      <alignment horizontal="center" vertical="center" wrapText="1"/>
    </xf>
    <xf numFmtId="0" fontId="84" fillId="0" borderId="14" xfId="8" applyFont="1" applyFill="1" applyBorder="1" applyAlignment="1">
      <alignment horizontal="center" vertical="center" wrapText="1"/>
    </xf>
    <xf numFmtId="0" fontId="95" fillId="23" borderId="3" xfId="8" applyFont="1" applyFill="1" applyBorder="1" applyAlignment="1">
      <alignment vertical="center" wrapText="1"/>
    </xf>
    <xf numFmtId="166" fontId="95" fillId="0" borderId="3" xfId="8" applyNumberFormat="1" applyFont="1" applyFill="1" applyBorder="1" applyAlignment="1">
      <alignment horizontal="center" vertical="center" wrapText="1"/>
    </xf>
    <xf numFmtId="168" fontId="28" fillId="0" borderId="3" xfId="14" applyNumberFormat="1" applyFont="1" applyFill="1" applyBorder="1" applyAlignment="1">
      <alignment horizontal="center" vertical="center"/>
    </xf>
    <xf numFmtId="182" fontId="105" fillId="2" borderId="23" xfId="8" applyNumberFormat="1" applyFont="1" applyFill="1" applyBorder="1" applyAlignment="1" applyProtection="1">
      <alignment vertical="center" wrapText="1" readingOrder="1"/>
      <protection locked="0"/>
    </xf>
    <xf numFmtId="182" fontId="105" fillId="2" borderId="22" xfId="8" applyNumberFormat="1" applyFont="1" applyFill="1" applyBorder="1" applyAlignment="1" applyProtection="1">
      <alignment vertical="center" wrapText="1" readingOrder="1"/>
      <protection locked="0"/>
    </xf>
    <xf numFmtId="174" fontId="95" fillId="2" borderId="5" xfId="15" applyNumberFormat="1" applyFont="1" applyFill="1" applyBorder="1" applyAlignment="1">
      <alignment horizontal="center" vertical="center" wrapText="1"/>
    </xf>
    <xf numFmtId="0" fontId="28" fillId="23" borderId="3" xfId="8" applyFont="1" applyFill="1" applyBorder="1" applyAlignment="1">
      <alignment vertical="center" wrapText="1"/>
    </xf>
    <xf numFmtId="0" fontId="28" fillId="23" borderId="3" xfId="8" applyFont="1" applyFill="1" applyBorder="1" applyAlignment="1">
      <alignment vertical="center"/>
    </xf>
    <xf numFmtId="43" fontId="84" fillId="26" borderId="3" xfId="15" applyFont="1" applyFill="1" applyBorder="1" applyAlignment="1">
      <alignment horizontal="center" vertical="center" wrapText="1"/>
    </xf>
    <xf numFmtId="4" fontId="84" fillId="21" borderId="3" xfId="8" applyNumberFormat="1" applyFont="1" applyFill="1" applyBorder="1" applyAlignment="1">
      <alignment horizontal="center" vertical="center" wrapText="1"/>
    </xf>
    <xf numFmtId="0" fontId="28" fillId="19" borderId="3" xfId="8" applyFont="1" applyFill="1" applyBorder="1" applyAlignment="1">
      <alignment vertical="center"/>
    </xf>
    <xf numFmtId="166" fontId="84" fillId="26" borderId="3" xfId="8" applyNumberFormat="1" applyFont="1" applyFill="1" applyBorder="1" applyAlignment="1">
      <alignment horizontal="center" vertical="center" wrapText="1"/>
    </xf>
    <xf numFmtId="0" fontId="84" fillId="0" borderId="5" xfId="8" applyFont="1" applyFill="1" applyBorder="1" applyAlignment="1">
      <alignment horizontal="center" vertical="center" wrapText="1"/>
    </xf>
    <xf numFmtId="49" fontId="84" fillId="2" borderId="3" xfId="15" applyNumberFormat="1" applyFont="1" applyFill="1" applyBorder="1" applyAlignment="1">
      <alignment horizontal="center" vertical="center" wrapText="1"/>
    </xf>
    <xf numFmtId="166" fontId="84" fillId="2" borderId="3" xfId="8" applyNumberFormat="1" applyFont="1" applyFill="1" applyBorder="1" applyAlignment="1">
      <alignment horizontal="center" vertical="center" wrapText="1"/>
    </xf>
    <xf numFmtId="0" fontId="28" fillId="0" borderId="3" xfId="18" applyFont="1" applyFill="1" applyBorder="1" applyAlignment="1">
      <alignment horizontal="justify" vertical="center" wrapText="1"/>
    </xf>
    <xf numFmtId="0" fontId="28" fillId="15" borderId="3" xfId="18" applyFont="1" applyFill="1" applyBorder="1" applyAlignment="1">
      <alignment horizontal="justify" vertical="center" wrapText="1"/>
    </xf>
    <xf numFmtId="0" fontId="104" fillId="24" borderId="3" xfId="8" applyFont="1" applyFill="1" applyBorder="1" applyAlignment="1">
      <alignment horizontal="center" vertical="center" wrapText="1"/>
    </xf>
    <xf numFmtId="0" fontId="84" fillId="24" borderId="3" xfId="8" applyFont="1" applyFill="1" applyBorder="1" applyAlignment="1">
      <alignment horizontal="center" vertical="center" wrapText="1"/>
    </xf>
    <xf numFmtId="0" fontId="103" fillId="2" borderId="8" xfId="8" applyFont="1" applyFill="1" applyBorder="1" applyAlignment="1">
      <alignment horizontal="center" vertical="center"/>
    </xf>
    <xf numFmtId="0" fontId="103" fillId="2" borderId="15" xfId="8" applyFont="1" applyFill="1" applyBorder="1" applyAlignment="1">
      <alignment horizontal="center" vertical="center"/>
    </xf>
    <xf numFmtId="4" fontId="84" fillId="0" borderId="3" xfId="8" applyNumberFormat="1" applyFont="1" applyFill="1" applyBorder="1" applyAlignment="1">
      <alignment horizontal="center" vertical="center" wrapText="1"/>
    </xf>
    <xf numFmtId="176" fontId="104" fillId="0" borderId="7" xfId="15" applyNumberFormat="1" applyFont="1" applyFill="1" applyBorder="1" applyAlignment="1">
      <alignment vertical="center" wrapText="1"/>
    </xf>
    <xf numFmtId="174" fontId="104" fillId="0" borderId="7" xfId="15" applyNumberFormat="1" applyFont="1" applyFill="1" applyBorder="1" applyAlignment="1">
      <alignment vertical="center" wrapText="1"/>
    </xf>
    <xf numFmtId="174" fontId="104" fillId="0" borderId="12" xfId="15" applyNumberFormat="1" applyFont="1" applyFill="1" applyBorder="1" applyAlignment="1">
      <alignment vertical="center" wrapText="1"/>
    </xf>
    <xf numFmtId="174" fontId="84" fillId="0" borderId="3" xfId="15" applyNumberFormat="1" applyFont="1" applyFill="1" applyBorder="1" applyAlignment="1">
      <alignment horizontal="center" vertical="center" wrapText="1"/>
    </xf>
    <xf numFmtId="174" fontId="95" fillId="0" borderId="5" xfId="15" applyNumberFormat="1" applyFont="1" applyFill="1" applyBorder="1" applyAlignment="1">
      <alignment horizontal="center" vertical="center" wrapText="1"/>
    </xf>
    <xf numFmtId="2" fontId="104" fillId="0" borderId="7" xfId="8" applyNumberFormat="1" applyFont="1" applyFill="1" applyBorder="1" applyAlignment="1">
      <alignment horizontal="center" vertical="center" wrapText="1"/>
    </xf>
    <xf numFmtId="2" fontId="105" fillId="2" borderId="22" xfId="8" applyNumberFormat="1" applyFont="1" applyFill="1" applyBorder="1" applyAlignment="1" applyProtection="1">
      <alignment vertical="center" wrapText="1" readingOrder="1"/>
      <protection locked="0"/>
    </xf>
    <xf numFmtId="43" fontId="104" fillId="0" borderId="12" xfId="15" applyNumberFormat="1" applyFont="1" applyFill="1" applyBorder="1" applyAlignment="1">
      <alignment vertical="center" wrapText="1"/>
    </xf>
    <xf numFmtId="0" fontId="84" fillId="0" borderId="11" xfId="8" applyFont="1" applyFill="1" applyBorder="1" applyAlignment="1">
      <alignment horizontal="center" vertical="center" wrapText="1"/>
    </xf>
    <xf numFmtId="0" fontId="28" fillId="0" borderId="14" xfId="8" applyFont="1" applyFill="1" applyBorder="1" applyAlignment="1">
      <alignment horizontal="center" vertical="center" wrapText="1"/>
    </xf>
    <xf numFmtId="0" fontId="95" fillId="0" borderId="3" xfId="8" applyFont="1" applyFill="1" applyBorder="1" applyAlignment="1">
      <alignment horizontal="justify" vertical="center" wrapText="1"/>
    </xf>
    <xf numFmtId="0" fontId="84" fillId="16" borderId="5" xfId="8" applyFont="1" applyFill="1" applyBorder="1" applyAlignment="1">
      <alignment horizontal="center" vertical="center" wrapText="1"/>
    </xf>
    <xf numFmtId="166" fontId="104" fillId="0" borderId="3" xfId="8" applyNumberFormat="1" applyFont="1" applyFill="1" applyBorder="1" applyAlignment="1">
      <alignment horizontal="center" vertical="center" wrapText="1"/>
    </xf>
    <xf numFmtId="175" fontId="84" fillId="0" borderId="14" xfId="8" applyNumberFormat="1" applyFont="1" applyFill="1" applyBorder="1" applyAlignment="1">
      <alignment horizontal="center" vertical="center"/>
    </xf>
    <xf numFmtId="9" fontId="84" fillId="0" borderId="14" xfId="8" applyNumberFormat="1" applyFont="1" applyFill="1" applyBorder="1" applyAlignment="1">
      <alignment horizontal="center" vertical="center"/>
    </xf>
    <xf numFmtId="169" fontId="84" fillId="27" borderId="14" xfId="17" applyNumberFormat="1" applyFont="1" applyFill="1" applyBorder="1"/>
    <xf numFmtId="169" fontId="104" fillId="0" borderId="14" xfId="8" applyNumberFormat="1" applyFont="1" applyFill="1" applyBorder="1" applyAlignment="1">
      <alignment horizontal="center" vertical="center" wrapText="1"/>
    </xf>
    <xf numFmtId="180" fontId="104" fillId="0" borderId="12" xfId="15" applyNumberFormat="1" applyFont="1" applyFill="1" applyBorder="1" applyAlignment="1">
      <alignment vertical="center" wrapText="1"/>
    </xf>
    <xf numFmtId="3" fontId="84" fillId="0" borderId="14" xfId="8" applyNumberFormat="1" applyFont="1" applyFill="1" applyBorder="1" applyAlignment="1">
      <alignment horizontal="center" vertical="center" wrapText="1"/>
    </xf>
    <xf numFmtId="9" fontId="95" fillId="26" borderId="14" xfId="14" applyFont="1" applyFill="1" applyBorder="1" applyAlignment="1">
      <alignment horizontal="center" vertical="center"/>
    </xf>
    <xf numFmtId="3" fontId="84" fillId="26" borderId="14" xfId="8" applyNumberFormat="1" applyFont="1" applyFill="1" applyBorder="1" applyAlignment="1">
      <alignment horizontal="center" vertical="center" wrapText="1"/>
    </xf>
    <xf numFmtId="4" fontId="84" fillId="0" borderId="14" xfId="8" applyNumberFormat="1" applyFont="1" applyFill="1" applyBorder="1" applyAlignment="1">
      <alignment horizontal="center" vertical="center" wrapText="1"/>
    </xf>
    <xf numFmtId="176" fontId="104" fillId="0" borderId="12" xfId="15" applyNumberFormat="1" applyFont="1" applyFill="1" applyBorder="1" applyAlignment="1">
      <alignment vertical="center" wrapText="1"/>
    </xf>
    <xf numFmtId="181" fontId="105" fillId="2" borderId="27" xfId="8" applyNumberFormat="1" applyFont="1" applyFill="1" applyBorder="1" applyAlignment="1" applyProtection="1">
      <alignment vertical="center" wrapText="1" readingOrder="1"/>
      <protection locked="0"/>
    </xf>
    <xf numFmtId="181" fontId="105" fillId="2" borderId="28" xfId="8" applyNumberFormat="1" applyFont="1" applyFill="1" applyBorder="1" applyAlignment="1" applyProtection="1">
      <alignment vertical="center" wrapText="1" readingOrder="1"/>
      <protection locked="0"/>
    </xf>
    <xf numFmtId="9" fontId="95" fillId="2" borderId="14" xfId="14" applyFont="1" applyFill="1" applyBorder="1" applyAlignment="1">
      <alignment horizontal="center" vertical="center"/>
    </xf>
    <xf numFmtId="2" fontId="84" fillId="2" borderId="14" xfId="8" applyNumberFormat="1" applyFont="1" applyFill="1" applyBorder="1" applyAlignment="1">
      <alignment horizontal="center" vertical="center" wrapText="1"/>
    </xf>
    <xf numFmtId="2" fontId="84" fillId="0" borderId="14" xfId="8" applyNumberFormat="1" applyFont="1" applyFill="1" applyBorder="1" applyAlignment="1">
      <alignment horizontal="center" vertical="center" wrapText="1"/>
    </xf>
    <xf numFmtId="174" fontId="84" fillId="0" borderId="14" xfId="15" applyNumberFormat="1" applyFont="1" applyFill="1" applyBorder="1" applyAlignment="1">
      <alignment horizontal="center" vertical="center" wrapText="1"/>
    </xf>
    <xf numFmtId="174" fontId="95" fillId="0" borderId="1" xfId="15" applyNumberFormat="1" applyFont="1" applyFill="1" applyBorder="1" applyAlignment="1">
      <alignment horizontal="center" vertical="center" wrapText="1"/>
    </xf>
    <xf numFmtId="9" fontId="28" fillId="0" borderId="14" xfId="14" applyFont="1" applyFill="1" applyBorder="1" applyAlignment="1">
      <alignment horizontal="center" vertical="center"/>
    </xf>
    <xf numFmtId="0" fontId="104" fillId="0" borderId="12" xfId="8" applyFont="1" applyFill="1" applyBorder="1" applyAlignment="1">
      <alignment horizontal="center" vertical="center" wrapText="1"/>
    </xf>
    <xf numFmtId="0" fontId="104" fillId="0" borderId="14" xfId="8" applyFont="1" applyFill="1" applyBorder="1" applyAlignment="1">
      <alignment horizontal="center" vertical="center" wrapText="1"/>
    </xf>
    <xf numFmtId="174" fontId="28" fillId="23" borderId="3" xfId="15" applyNumberFormat="1" applyFont="1" applyFill="1" applyBorder="1" applyAlignment="1">
      <alignment vertical="center"/>
    </xf>
    <xf numFmtId="0" fontId="101" fillId="0" borderId="14" xfId="8" applyFont="1" applyFill="1" applyBorder="1" applyAlignment="1">
      <alignment horizontal="justify" vertical="center" wrapText="1"/>
    </xf>
    <xf numFmtId="0" fontId="108" fillId="17" borderId="3" xfId="8" applyNumberFormat="1" applyFont="1" applyFill="1" applyBorder="1" applyAlignment="1">
      <alignment horizontal="center" vertical="center" wrapText="1"/>
    </xf>
    <xf numFmtId="0" fontId="109" fillId="18" borderId="3" xfId="8" applyNumberFormat="1" applyFont="1" applyFill="1" applyBorder="1" applyAlignment="1">
      <alignment horizontal="center" vertical="center" wrapText="1"/>
    </xf>
    <xf numFmtId="3" fontId="109" fillId="30" borderId="3" xfId="8" applyNumberFormat="1" applyFont="1" applyFill="1" applyBorder="1" applyAlignment="1">
      <alignment horizontal="center" vertical="center" wrapText="1"/>
    </xf>
    <xf numFmtId="0" fontId="109" fillId="29" borderId="3" xfId="8" applyNumberFormat="1" applyFont="1" applyFill="1" applyBorder="1" applyAlignment="1">
      <alignment horizontal="center" vertical="center" wrapText="1"/>
    </xf>
    <xf numFmtId="0" fontId="109" fillId="28" borderId="3" xfId="8" applyNumberFormat="1" applyFont="1" applyFill="1" applyBorder="1" applyAlignment="1">
      <alignment horizontal="center" vertical="center" wrapText="1"/>
    </xf>
    <xf numFmtId="0" fontId="109" fillId="31" borderId="3" xfId="8" applyNumberFormat="1" applyFont="1" applyFill="1" applyBorder="1" applyAlignment="1">
      <alignment horizontal="center" vertical="center" wrapText="1"/>
    </xf>
    <xf numFmtId="0" fontId="109" fillId="32" borderId="3" xfId="8" applyNumberFormat="1" applyFont="1" applyFill="1" applyBorder="1" applyAlignment="1">
      <alignment horizontal="center" vertical="center" wrapText="1"/>
    </xf>
    <xf numFmtId="3" fontId="109" fillId="33" borderId="3" xfId="8" applyNumberFormat="1" applyFont="1" applyFill="1" applyBorder="1" applyAlignment="1">
      <alignment horizontal="center" vertical="center" wrapText="1"/>
    </xf>
    <xf numFmtId="3" fontId="109" fillId="34" borderId="3" xfId="8" applyNumberFormat="1" applyFont="1" applyFill="1" applyBorder="1" applyAlignment="1">
      <alignment horizontal="center" vertical="center" wrapText="1"/>
    </xf>
    <xf numFmtId="0" fontId="109" fillId="17" borderId="3" xfId="8" applyNumberFormat="1" applyFont="1" applyFill="1" applyBorder="1" applyAlignment="1">
      <alignment horizontal="center" vertical="center" wrapText="1"/>
    </xf>
    <xf numFmtId="0" fontId="109" fillId="35" borderId="3" xfId="8" applyNumberFormat="1" applyFont="1" applyFill="1" applyBorder="1" applyAlignment="1">
      <alignment horizontal="center" vertical="center" wrapText="1"/>
    </xf>
    <xf numFmtId="0" fontId="109" fillId="36" borderId="3" xfId="8" applyNumberFormat="1" applyFont="1" applyFill="1" applyBorder="1" applyAlignment="1">
      <alignment horizontal="center" vertical="center" wrapText="1"/>
    </xf>
    <xf numFmtId="0" fontId="109" fillId="12" borderId="3" xfId="8" applyNumberFormat="1" applyFont="1" applyFill="1" applyBorder="1" applyAlignment="1">
      <alignment horizontal="center" vertical="center" wrapText="1"/>
    </xf>
    <xf numFmtId="0" fontId="109" fillId="37" borderId="3" xfId="8" applyNumberFormat="1" applyFont="1" applyFill="1" applyBorder="1" applyAlignment="1">
      <alignment horizontal="center" vertical="center" wrapText="1"/>
    </xf>
    <xf numFmtId="9" fontId="109" fillId="36" borderId="3" xfId="14" applyFont="1" applyFill="1" applyBorder="1" applyAlignment="1">
      <alignment horizontal="center" vertical="center" wrapText="1"/>
    </xf>
    <xf numFmtId="0" fontId="109" fillId="38" borderId="3" xfId="8" applyNumberFormat="1" applyFont="1" applyFill="1" applyBorder="1" applyAlignment="1">
      <alignment horizontal="center" vertical="center" wrapText="1"/>
    </xf>
    <xf numFmtId="0" fontId="87" fillId="0" borderId="0" xfId="8" applyFont="1" applyFill="1" applyAlignment="1">
      <alignment horizontal="center"/>
    </xf>
    <xf numFmtId="0" fontId="84" fillId="0" borderId="14" xfId="8" applyFont="1" applyFill="1" applyBorder="1" applyAlignment="1">
      <alignment horizontal="justify" vertical="center" wrapText="1"/>
    </xf>
    <xf numFmtId="0" fontId="84" fillId="0" borderId="14" xfId="8" applyNumberFormat="1" applyFont="1" applyFill="1" applyBorder="1" applyAlignment="1">
      <alignment horizontal="justify" vertical="center" wrapText="1"/>
    </xf>
    <xf numFmtId="0" fontId="84" fillId="0" borderId="3" xfId="8" applyFont="1" applyFill="1" applyBorder="1" applyAlignment="1">
      <alignment horizontal="justify" vertical="center" wrapText="1"/>
    </xf>
    <xf numFmtId="0" fontId="84" fillId="0" borderId="3" xfId="8" applyNumberFormat="1" applyFont="1" applyFill="1" applyBorder="1" applyAlignment="1">
      <alignment horizontal="justify" vertical="center" wrapText="1"/>
    </xf>
    <xf numFmtId="0" fontId="84" fillId="0" borderId="13" xfId="8" applyFont="1" applyFill="1" applyBorder="1" applyAlignment="1">
      <alignment horizontal="justify" vertical="center" wrapText="1"/>
    </xf>
    <xf numFmtId="0" fontId="95" fillId="0" borderId="3" xfId="8" applyNumberFormat="1" applyFont="1" applyFill="1" applyBorder="1" applyAlignment="1">
      <alignment horizontal="justify" vertical="center" wrapText="1"/>
    </xf>
    <xf numFmtId="0" fontId="95" fillId="0" borderId="13" xfId="8" applyFont="1" applyFill="1" applyBorder="1" applyAlignment="1">
      <alignment horizontal="justify" vertical="center" wrapText="1"/>
    </xf>
    <xf numFmtId="0" fontId="95" fillId="0" borderId="13" xfId="18" applyFont="1" applyFill="1" applyBorder="1" applyAlignment="1">
      <alignment horizontal="justify" vertical="center" wrapText="1"/>
    </xf>
    <xf numFmtId="0" fontId="95" fillId="0" borderId="14" xfId="8" applyFont="1" applyFill="1" applyBorder="1" applyAlignment="1">
      <alignment horizontal="justify" vertical="center" wrapText="1"/>
    </xf>
    <xf numFmtId="0" fontId="95" fillId="0" borderId="3" xfId="18" applyFont="1" applyFill="1" applyBorder="1" applyAlignment="1">
      <alignment horizontal="justify" wrapText="1"/>
    </xf>
    <xf numFmtId="0" fontId="1" fillId="0" borderId="3" xfId="8" applyFont="1" applyFill="1" applyBorder="1" applyAlignment="1">
      <alignment horizontal="justify" vertical="center" wrapText="1"/>
    </xf>
    <xf numFmtId="0" fontId="111" fillId="25" borderId="0" xfId="8" applyFont="1" applyFill="1" applyBorder="1" applyAlignment="1">
      <alignment horizontal="center"/>
    </xf>
    <xf numFmtId="0" fontId="112" fillId="20" borderId="14" xfId="8" applyFont="1" applyFill="1" applyBorder="1" applyAlignment="1">
      <alignment horizontal="center" vertical="center" wrapText="1"/>
    </xf>
    <xf numFmtId="0" fontId="112" fillId="20" borderId="3" xfId="8" applyFont="1" applyFill="1" applyBorder="1" applyAlignment="1">
      <alignment horizontal="center" vertical="center" wrapText="1"/>
    </xf>
    <xf numFmtId="0" fontId="112" fillId="20" borderId="13" xfId="8" applyFont="1" applyFill="1" applyBorder="1" applyAlignment="1">
      <alignment horizontal="center" vertical="center" wrapText="1"/>
    </xf>
    <xf numFmtId="0" fontId="22" fillId="18" borderId="3" xfId="0" applyNumberFormat="1" applyFont="1" applyFill="1" applyBorder="1" applyAlignment="1">
      <alignment horizontal="center" vertical="center" wrapText="1"/>
    </xf>
    <xf numFmtId="3" fontId="80" fillId="0" borderId="3" xfId="0" applyNumberFormat="1" applyFont="1" applyFill="1" applyBorder="1" applyAlignment="1">
      <alignment horizontal="center" vertical="center" wrapText="1"/>
    </xf>
    <xf numFmtId="3" fontId="71" fillId="0" borderId="3" xfId="7" applyNumberFormat="1" applyFont="1" applyFill="1" applyBorder="1" applyAlignment="1" applyProtection="1">
      <alignment horizontal="center" vertical="center"/>
      <protection hidden="1"/>
    </xf>
    <xf numFmtId="0" fontId="32" fillId="6" borderId="3" xfId="7" applyNumberFormat="1" applyFont="1" applyFill="1" applyBorder="1" applyAlignment="1">
      <alignment horizontal="center" vertical="center" wrapText="1"/>
    </xf>
    <xf numFmtId="3" fontId="32" fillId="6" borderId="3" xfId="7" applyNumberFormat="1" applyFont="1" applyFill="1" applyBorder="1" applyAlignment="1">
      <alignment horizontal="center" vertical="center" wrapText="1"/>
    </xf>
    <xf numFmtId="0" fontId="113" fillId="5" borderId="3" xfId="7" applyFont="1" applyFill="1" applyBorder="1" applyAlignment="1">
      <alignment horizontal="center" vertical="center"/>
    </xf>
    <xf numFmtId="0" fontId="113" fillId="5" borderId="13" xfId="7" applyFont="1" applyFill="1" applyBorder="1" applyAlignment="1">
      <alignment horizontal="center" vertical="center"/>
    </xf>
    <xf numFmtId="0" fontId="44" fillId="0" borderId="3" xfId="7" applyFont="1" applyFill="1" applyBorder="1" applyAlignment="1">
      <alignment horizontal="center" vertical="center" wrapText="1"/>
    </xf>
    <xf numFmtId="0" fontId="114" fillId="0" borderId="0" xfId="7" applyFont="1" applyFill="1" applyBorder="1" applyAlignment="1" applyProtection="1">
      <alignment horizontal="center"/>
      <protection hidden="1"/>
    </xf>
    <xf numFmtId="164" fontId="29" fillId="0" borderId="0" xfId="7" applyNumberFormat="1" applyFont="1" applyFill="1" applyBorder="1" applyProtection="1">
      <protection hidden="1"/>
    </xf>
    <xf numFmtId="0" fontId="53" fillId="0" borderId="0" xfId="8" applyFont="1" applyFill="1" applyBorder="1"/>
    <xf numFmtId="0" fontId="53" fillId="0" borderId="0" xfId="8" applyFont="1" applyFill="1" applyBorder="1" applyAlignment="1">
      <alignment horizontal="center" vertical="center"/>
    </xf>
    <xf numFmtId="0" fontId="115" fillId="0" borderId="0" xfId="8" applyFont="1" applyFill="1" applyBorder="1"/>
    <xf numFmtId="0" fontId="116" fillId="0" borderId="0" xfId="8" applyFont="1" applyFill="1" applyBorder="1"/>
    <xf numFmtId="0" fontId="53" fillId="0" borderId="0" xfId="8" applyFont="1" applyFill="1" applyBorder="1" applyAlignment="1"/>
    <xf numFmtId="0" fontId="117" fillId="0" borderId="0" xfId="8" applyFont="1" applyFill="1" applyBorder="1"/>
    <xf numFmtId="0" fontId="117" fillId="0" borderId="0" xfId="8" applyFont="1" applyFill="1" applyBorder="1" applyAlignment="1">
      <alignment horizontal="center"/>
    </xf>
    <xf numFmtId="0" fontId="53" fillId="0" borderId="0" xfId="8" applyFont="1" applyFill="1" applyBorder="1" applyAlignment="1">
      <alignment vertical="center"/>
    </xf>
    <xf numFmtId="0" fontId="109" fillId="6" borderId="3" xfId="8" applyNumberFormat="1" applyFont="1" applyFill="1" applyBorder="1" applyAlignment="1">
      <alignment horizontal="center" vertical="center" wrapText="1"/>
    </xf>
    <xf numFmtId="3" fontId="80" fillId="0" borderId="15" xfId="0" applyNumberFormat="1" applyFont="1" applyFill="1" applyBorder="1" applyAlignment="1">
      <alignment horizontal="center" vertical="center" wrapText="1"/>
    </xf>
    <xf numFmtId="0" fontId="117" fillId="0" borderId="0" xfId="8" applyFont="1" applyFill="1" applyBorder="1" applyAlignment="1" applyProtection="1">
      <alignment horizontal="center"/>
    </xf>
    <xf numFmtId="0" fontId="109" fillId="16" borderId="3" xfId="8" applyNumberFormat="1" applyFont="1" applyFill="1" applyBorder="1" applyAlignment="1">
      <alignment horizontal="center" vertical="center" wrapText="1"/>
    </xf>
    <xf numFmtId="0" fontId="109" fillId="32" borderId="3" xfId="8" applyNumberFormat="1" applyFont="1" applyFill="1" applyBorder="1" applyAlignment="1" applyProtection="1">
      <alignment horizontal="center" vertical="center" wrapText="1"/>
    </xf>
    <xf numFmtId="0" fontId="28" fillId="2" borderId="0" xfId="8" applyFont="1" applyFill="1" applyBorder="1"/>
    <xf numFmtId="0" fontId="28" fillId="2" borderId="0" xfId="8" applyFont="1" applyFill="1" applyBorder="1" applyAlignment="1">
      <alignment horizontal="center" vertical="center"/>
    </xf>
    <xf numFmtId="0" fontId="102" fillId="2" borderId="0" xfId="8" applyFont="1" applyFill="1" applyBorder="1"/>
    <xf numFmtId="0" fontId="1" fillId="2" borderId="0" xfId="8" applyFont="1" applyFill="1" applyBorder="1"/>
    <xf numFmtId="0" fontId="28" fillId="2" borderId="0" xfId="8" applyFont="1" applyFill="1" applyBorder="1" applyAlignment="1"/>
    <xf numFmtId="0" fontId="58" fillId="2" borderId="0" xfId="8" applyFont="1" applyFill="1" applyBorder="1"/>
    <xf numFmtId="0" fontId="58" fillId="2" borderId="0" xfId="8" applyFont="1" applyFill="1" applyBorder="1" applyAlignment="1">
      <alignment horizontal="center"/>
    </xf>
    <xf numFmtId="0" fontId="58" fillId="2" borderId="0" xfId="8" applyFont="1" applyFill="1" applyBorder="1" applyAlignment="1" applyProtection="1">
      <alignment horizontal="center"/>
    </xf>
    <xf numFmtId="0" fontId="28" fillId="2" borderId="0" xfId="8" applyFont="1" applyFill="1" applyBorder="1" applyAlignment="1">
      <alignment vertical="center"/>
    </xf>
    <xf numFmtId="0" fontId="101" fillId="0" borderId="13" xfId="8" applyFont="1" applyFill="1" applyBorder="1" applyAlignment="1">
      <alignment horizontal="justify" vertical="center" wrapText="1"/>
    </xf>
    <xf numFmtId="0" fontId="104" fillId="0" borderId="13" xfId="8" applyFont="1" applyFill="1" applyBorder="1" applyAlignment="1">
      <alignment horizontal="center" vertical="center" wrapText="1"/>
    </xf>
    <xf numFmtId="174" fontId="104" fillId="2" borderId="4" xfId="15" applyNumberFormat="1" applyFont="1" applyFill="1" applyBorder="1" applyAlignment="1">
      <alignment vertical="center" wrapText="1"/>
    </xf>
    <xf numFmtId="2" fontId="104" fillId="26" borderId="4" xfId="15" applyNumberFormat="1" applyFont="1" applyFill="1" applyBorder="1" applyAlignment="1">
      <alignment vertical="center" wrapText="1"/>
    </xf>
    <xf numFmtId="2" fontId="104" fillId="0" borderId="13" xfId="15" applyNumberFormat="1" applyFont="1" applyFill="1" applyBorder="1" applyAlignment="1">
      <alignment vertical="center" wrapText="1"/>
    </xf>
    <xf numFmtId="2" fontId="104" fillId="0" borderId="4" xfId="15" applyNumberFormat="1" applyFont="1" applyFill="1" applyBorder="1" applyAlignment="1">
      <alignment vertical="center" wrapText="1"/>
    </xf>
    <xf numFmtId="169" fontId="104" fillId="0" borderId="4" xfId="8" applyNumberFormat="1" applyFont="1" applyFill="1" applyBorder="1" applyAlignment="1">
      <alignment horizontal="center" vertical="center" wrapText="1"/>
    </xf>
    <xf numFmtId="2" fontId="104" fillId="0" borderId="15" xfId="8" applyNumberFormat="1" applyFont="1" applyFill="1" applyBorder="1" applyAlignment="1">
      <alignment horizontal="center" vertical="center" wrapText="1"/>
    </xf>
    <xf numFmtId="169" fontId="104" fillId="0" borderId="4" xfId="15" applyNumberFormat="1" applyFont="1" applyFill="1" applyBorder="1" applyAlignment="1">
      <alignment vertical="center" wrapText="1"/>
    </xf>
    <xf numFmtId="169" fontId="84" fillId="27" borderId="13" xfId="17" applyNumberFormat="1" applyFont="1" applyFill="1" applyBorder="1"/>
    <xf numFmtId="174" fontId="104" fillId="2" borderId="3" xfId="15" applyNumberFormat="1" applyFont="1" applyFill="1" applyBorder="1" applyAlignment="1">
      <alignment vertical="center" wrapText="1"/>
    </xf>
    <xf numFmtId="176" fontId="104" fillId="2" borderId="3" xfId="15" applyNumberFormat="1" applyFont="1" applyFill="1" applyBorder="1" applyAlignment="1">
      <alignment vertical="center" wrapText="1"/>
    </xf>
    <xf numFmtId="169" fontId="104" fillId="0" borderId="3" xfId="15" applyNumberFormat="1" applyFont="1" applyFill="1" applyBorder="1" applyAlignment="1">
      <alignment vertical="center" wrapText="1"/>
    </xf>
    <xf numFmtId="2" fontId="95" fillId="0" borderId="3" xfId="8" applyNumberFormat="1" applyFont="1" applyFill="1" applyBorder="1"/>
    <xf numFmtId="2" fontId="104" fillId="26" borderId="7" xfId="15" applyNumberFormat="1" applyFont="1" applyFill="1" applyBorder="1" applyAlignment="1">
      <alignment vertical="center" wrapText="1"/>
    </xf>
    <xf numFmtId="0" fontId="3" fillId="6" borderId="0" xfId="0" applyFont="1" applyFill="1" applyBorder="1" applyProtection="1">
      <protection hidden="1"/>
    </xf>
    <xf numFmtId="0" fontId="13" fillId="6" borderId="0" xfId="0" applyFont="1" applyFill="1" applyBorder="1" applyProtection="1">
      <protection hidden="1"/>
    </xf>
    <xf numFmtId="0" fontId="18" fillId="6" borderId="0" xfId="0" applyFont="1" applyFill="1" applyBorder="1" applyProtection="1">
      <protection hidden="1"/>
    </xf>
    <xf numFmtId="0" fontId="22" fillId="6" borderId="0" xfId="0" applyFont="1" applyFill="1" applyBorder="1" applyProtection="1">
      <protection hidden="1"/>
    </xf>
    <xf numFmtId="173" fontId="15" fillId="6" borderId="0" xfId="0" applyNumberFormat="1" applyFont="1" applyFill="1" applyBorder="1" applyAlignment="1" applyProtection="1">
      <alignment horizontal="center"/>
    </xf>
    <xf numFmtId="0" fontId="44" fillId="6" borderId="0" xfId="0" applyFont="1" applyFill="1" applyBorder="1" applyAlignment="1" applyProtection="1">
      <alignment vertical="center"/>
      <protection hidden="1"/>
    </xf>
    <xf numFmtId="0" fontId="47" fillId="6" borderId="0" xfId="0" applyFont="1" applyFill="1" applyBorder="1" applyAlignment="1" applyProtection="1">
      <alignment vertical="center"/>
      <protection hidden="1"/>
    </xf>
    <xf numFmtId="0" fontId="44" fillId="6" borderId="0" xfId="0" applyFont="1" applyFill="1" applyBorder="1" applyAlignment="1" applyProtection="1">
      <protection hidden="1"/>
    </xf>
    <xf numFmtId="0" fontId="74" fillId="6" borderId="0" xfId="0" applyFont="1" applyFill="1" applyBorder="1" applyAlignment="1" applyProtection="1">
      <alignment vertical="center" shrinkToFit="1"/>
      <protection locked="0" hidden="1"/>
    </xf>
    <xf numFmtId="0" fontId="29" fillId="6" borderId="0" xfId="0" applyFont="1" applyFill="1" applyBorder="1" applyProtection="1">
      <protection hidden="1"/>
    </xf>
    <xf numFmtId="0" fontId="13" fillId="6" borderId="0" xfId="0" applyNumberFormat="1" applyFont="1" applyFill="1" applyBorder="1" applyAlignment="1" applyProtection="1">
      <alignment vertical="center"/>
      <protection hidden="1"/>
    </xf>
    <xf numFmtId="0" fontId="18" fillId="6" borderId="0" xfId="0" applyFont="1" applyFill="1" applyBorder="1" applyAlignment="1" applyProtection="1">
      <alignment horizontal="center"/>
      <protection hidden="1"/>
    </xf>
    <xf numFmtId="0" fontId="30" fillId="6" borderId="0" xfId="0" applyFont="1" applyFill="1" applyBorder="1" applyAlignment="1" applyProtection="1">
      <alignment horizontal="center" vertical="center"/>
      <protection hidden="1"/>
    </xf>
    <xf numFmtId="0" fontId="18" fillId="6" borderId="0" xfId="0" applyFont="1" applyFill="1" applyBorder="1" applyAlignment="1" applyProtection="1">
      <alignment horizontal="center" vertical="center"/>
      <protection hidden="1"/>
    </xf>
    <xf numFmtId="0" fontId="79" fillId="6" borderId="0" xfId="0" applyFont="1" applyFill="1" applyBorder="1" applyAlignment="1" applyProtection="1">
      <alignment horizontal="center" vertical="center"/>
      <protection hidden="1"/>
    </xf>
    <xf numFmtId="0" fontId="31" fillId="6" borderId="0" xfId="0" applyFont="1" applyFill="1" applyBorder="1" applyAlignment="1" applyProtection="1">
      <alignment horizontal="left" vertical="top" wrapText="1" readingOrder="1"/>
      <protection hidden="1"/>
    </xf>
    <xf numFmtId="0" fontId="80" fillId="6" borderId="0" xfId="0" applyFont="1" applyFill="1" applyBorder="1" applyAlignment="1" applyProtection="1">
      <alignment horizontal="left" vertical="top" wrapText="1" readingOrder="1"/>
      <protection hidden="1"/>
    </xf>
    <xf numFmtId="0" fontId="13" fillId="6" borderId="0" xfId="0" applyFont="1" applyFill="1" applyBorder="1" applyAlignment="1" applyProtection="1">
      <alignment horizontal="left" vertical="top" wrapText="1" readingOrder="1"/>
      <protection hidden="1"/>
    </xf>
    <xf numFmtId="0" fontId="18" fillId="6" borderId="0" xfId="0" applyFont="1" applyFill="1" applyBorder="1" applyAlignment="1" applyProtection="1">
      <alignment horizontal="left" vertical="top" wrapText="1" readingOrder="1"/>
      <protection hidden="1"/>
    </xf>
    <xf numFmtId="10" fontId="3" fillId="6" borderId="0" xfId="13" applyNumberFormat="1" applyFont="1" applyFill="1" applyBorder="1" applyProtection="1">
      <protection hidden="1"/>
    </xf>
    <xf numFmtId="0" fontId="14" fillId="6" borderId="0" xfId="0" applyFont="1" applyFill="1" applyBorder="1" applyAlignment="1" applyProtection="1">
      <alignment horizontal="center"/>
      <protection hidden="1"/>
    </xf>
    <xf numFmtId="0" fontId="25" fillId="6" borderId="0" xfId="0" applyFont="1" applyFill="1" applyBorder="1" applyAlignment="1" applyProtection="1">
      <alignment horizontal="center"/>
      <protection hidden="1"/>
    </xf>
    <xf numFmtId="0" fontId="13" fillId="6" borderId="0" xfId="0" applyFont="1" applyFill="1" applyBorder="1" applyAlignment="1" applyProtection="1">
      <alignment vertical="center" wrapText="1"/>
      <protection hidden="1"/>
    </xf>
    <xf numFmtId="0" fontId="18" fillId="6" borderId="0" xfId="0" applyFont="1" applyFill="1" applyBorder="1" applyAlignment="1" applyProtection="1">
      <alignment vertical="center" wrapText="1"/>
      <protection hidden="1"/>
    </xf>
    <xf numFmtId="0" fontId="9" fillId="6" borderId="0" xfId="0" applyFont="1" applyFill="1" applyBorder="1" applyAlignment="1">
      <alignment vertical="center" wrapText="1"/>
    </xf>
    <xf numFmtId="0" fontId="13" fillId="6" borderId="0" xfId="0" applyFont="1" applyFill="1" applyBorder="1" applyAlignment="1" applyProtection="1">
      <alignment vertical="top" wrapText="1"/>
      <protection hidden="1"/>
    </xf>
    <xf numFmtId="0" fontId="18" fillId="6" borderId="0" xfId="0" applyFont="1" applyFill="1" applyBorder="1" applyAlignment="1" applyProtection="1">
      <alignment vertical="top" wrapText="1"/>
      <protection hidden="1"/>
    </xf>
    <xf numFmtId="0" fontId="8" fillId="6" borderId="0" xfId="0" applyNumberFormat="1" applyFont="1" applyFill="1" applyBorder="1" applyAlignment="1" applyProtection="1">
      <alignment vertical="center" wrapText="1"/>
      <protection hidden="1"/>
    </xf>
    <xf numFmtId="0" fontId="7" fillId="6" borderId="0" xfId="0" applyFont="1" applyFill="1" applyBorder="1" applyAlignment="1">
      <alignment horizontal="left" vertical="center" wrapText="1"/>
    </xf>
    <xf numFmtId="0" fontId="8" fillId="6" borderId="0" xfId="0" applyFont="1" applyFill="1" applyBorder="1" applyAlignment="1" applyProtection="1">
      <alignment vertical="center" wrapText="1"/>
      <protection hidden="1"/>
    </xf>
    <xf numFmtId="3" fontId="8" fillId="6" borderId="0" xfId="0" applyNumberFormat="1" applyFont="1" applyFill="1" applyBorder="1" applyAlignment="1" applyProtection="1">
      <alignment horizontal="right" vertical="center"/>
      <protection hidden="1"/>
    </xf>
    <xf numFmtId="3" fontId="21" fillId="6" borderId="0" xfId="0" applyNumberFormat="1" applyFont="1" applyFill="1" applyBorder="1" applyAlignment="1" applyProtection="1">
      <alignment horizontal="left" vertical="center"/>
      <protection hidden="1"/>
    </xf>
    <xf numFmtId="0" fontId="3" fillId="6" borderId="0" xfId="0" applyFont="1" applyFill="1" applyBorder="1" applyAlignment="1" applyProtection="1">
      <alignment vertical="center" wrapText="1"/>
      <protection hidden="1"/>
    </xf>
    <xf numFmtId="3" fontId="5" fillId="6" borderId="0" xfId="0" applyNumberFormat="1" applyFont="1" applyFill="1" applyBorder="1" applyAlignment="1" applyProtection="1">
      <alignment horizontal="left" vertical="center"/>
      <protection hidden="1"/>
    </xf>
    <xf numFmtId="0" fontId="3" fillId="6" borderId="0" xfId="0" applyFont="1" applyFill="1" applyBorder="1" applyAlignment="1" applyProtection="1">
      <alignment vertical="top" wrapText="1"/>
      <protection hidden="1"/>
    </xf>
    <xf numFmtId="166" fontId="104" fillId="6" borderId="0" xfId="0" applyNumberFormat="1" applyFont="1" applyFill="1" applyBorder="1" applyAlignment="1">
      <alignment horizontal="center" vertical="center" wrapText="1"/>
    </xf>
    <xf numFmtId="49" fontId="19" fillId="12" borderId="36" xfId="10" applyNumberFormat="1" applyFont="1" applyFill="1" applyBorder="1" applyAlignment="1">
      <alignment horizontal="left" vertical="center"/>
    </xf>
    <xf numFmtId="0" fontId="78" fillId="42" borderId="36" xfId="0" applyNumberFormat="1" applyFont="1" applyFill="1" applyBorder="1" applyAlignment="1" applyProtection="1">
      <alignment horizontal="center" vertical="center"/>
      <protection hidden="1"/>
    </xf>
    <xf numFmtId="0" fontId="8" fillId="12" borderId="36" xfId="0" applyNumberFormat="1" applyFont="1" applyFill="1" applyBorder="1" applyAlignment="1" applyProtection="1">
      <alignment horizontal="center" vertical="center" wrapText="1"/>
      <protection hidden="1"/>
    </xf>
    <xf numFmtId="0" fontId="7" fillId="12" borderId="36" xfId="0" applyNumberFormat="1" applyFont="1" applyFill="1" applyBorder="1" applyAlignment="1" applyProtection="1">
      <alignment horizontal="center" vertical="center"/>
      <protection hidden="1"/>
    </xf>
    <xf numFmtId="0" fontId="23" fillId="12" borderId="36" xfId="0" applyNumberFormat="1" applyFont="1" applyFill="1" applyBorder="1" applyAlignment="1" applyProtection="1">
      <alignment horizontal="center" vertical="center"/>
      <protection hidden="1"/>
    </xf>
    <xf numFmtId="49" fontId="16" fillId="12" borderId="36" xfId="10" applyNumberFormat="1" applyFont="1" applyFill="1" applyBorder="1" applyAlignment="1">
      <alignment horizontal="center" vertical="center" wrapText="1"/>
    </xf>
    <xf numFmtId="0" fontId="98" fillId="6" borderId="36" xfId="10" applyNumberFormat="1" applyFont="1" applyFill="1" applyBorder="1" applyAlignment="1">
      <alignment horizontal="center" vertical="center"/>
    </xf>
    <xf numFmtId="167" fontId="99" fillId="6" borderId="36" xfId="0" applyNumberFormat="1" applyFont="1" applyFill="1" applyBorder="1" applyAlignment="1" applyProtection="1">
      <alignment horizontal="center" vertical="center"/>
      <protection hidden="1"/>
    </xf>
    <xf numFmtId="1" fontId="99" fillId="6" borderId="36" xfId="0" applyNumberFormat="1" applyFont="1" applyFill="1" applyBorder="1" applyAlignment="1" applyProtection="1">
      <alignment horizontal="center" vertical="center"/>
      <protection hidden="1"/>
    </xf>
    <xf numFmtId="167" fontId="99" fillId="6" borderId="36" xfId="2" applyNumberFormat="1" applyFont="1" applyFill="1" applyBorder="1" applyAlignment="1" applyProtection="1">
      <alignment horizontal="right" vertical="center"/>
      <protection hidden="1"/>
    </xf>
    <xf numFmtId="0" fontId="98" fillId="42" borderId="36" xfId="10" applyNumberFormat="1" applyFont="1" applyFill="1" applyBorder="1" applyAlignment="1">
      <alignment horizontal="center" vertical="center"/>
    </xf>
    <xf numFmtId="170" fontId="99" fillId="42" borderId="36" xfId="0" applyNumberFormat="1" applyFont="1" applyFill="1" applyBorder="1" applyAlignment="1" applyProtection="1">
      <alignment horizontal="center" vertical="center"/>
      <protection hidden="1"/>
    </xf>
    <xf numFmtId="1" fontId="99" fillId="42" borderId="36" xfId="0" applyNumberFormat="1" applyFont="1" applyFill="1" applyBorder="1" applyAlignment="1" applyProtection="1">
      <alignment horizontal="center" vertical="center"/>
      <protection hidden="1"/>
    </xf>
    <xf numFmtId="166" fontId="99" fillId="42" borderId="36" xfId="13" applyNumberFormat="1" applyFont="1" applyFill="1" applyBorder="1" applyAlignment="1" applyProtection="1">
      <alignment horizontal="right" vertical="center"/>
      <protection hidden="1"/>
    </xf>
    <xf numFmtId="167" fontId="99" fillId="42" borderId="36" xfId="2" applyNumberFormat="1" applyFont="1" applyFill="1" applyBorder="1" applyAlignment="1" applyProtection="1">
      <alignment horizontal="right" vertical="center"/>
      <protection hidden="1"/>
    </xf>
    <xf numFmtId="170" fontId="99" fillId="6" borderId="36" xfId="0" applyNumberFormat="1" applyFont="1" applyFill="1" applyBorder="1" applyAlignment="1" applyProtection="1">
      <alignment horizontal="center" vertical="center"/>
      <protection hidden="1"/>
    </xf>
    <xf numFmtId="49" fontId="98" fillId="42" borderId="36" xfId="10" applyNumberFormat="1" applyFont="1" applyFill="1" applyBorder="1" applyAlignment="1">
      <alignment horizontal="center" vertical="center"/>
    </xf>
    <xf numFmtId="0" fontId="28" fillId="40" borderId="36" xfId="0" applyFont="1" applyFill="1" applyBorder="1" applyAlignment="1" applyProtection="1">
      <alignment horizontal="center" vertical="center"/>
      <protection hidden="1"/>
    </xf>
    <xf numFmtId="0" fontId="28" fillId="40" borderId="36" xfId="0" applyFont="1" applyFill="1" applyBorder="1" applyAlignment="1" applyProtection="1">
      <alignment vertical="center"/>
      <protection hidden="1"/>
    </xf>
    <xf numFmtId="0" fontId="28" fillId="40" borderId="36" xfId="0" applyFont="1" applyFill="1" applyBorder="1" applyProtection="1">
      <protection hidden="1"/>
    </xf>
    <xf numFmtId="0" fontId="3" fillId="40" borderId="36" xfId="0" applyFont="1" applyFill="1" applyBorder="1" applyProtection="1">
      <protection hidden="1"/>
    </xf>
    <xf numFmtId="49" fontId="12" fillId="40" borderId="37" xfId="10" applyNumberFormat="1" applyFont="1" applyFill="1" applyBorder="1" applyAlignment="1">
      <alignment horizontal="left" vertical="center"/>
    </xf>
    <xf numFmtId="0" fontId="9" fillId="40" borderId="38" xfId="0" applyNumberFormat="1" applyFont="1" applyFill="1" applyBorder="1" applyAlignment="1" applyProtection="1">
      <alignment vertical="center"/>
      <protection hidden="1"/>
    </xf>
    <xf numFmtId="0" fontId="48" fillId="40" borderId="38" xfId="0" applyNumberFormat="1" applyFont="1" applyFill="1" applyBorder="1" applyAlignment="1" applyProtection="1">
      <alignment horizontal="center" vertical="center"/>
      <protection hidden="1"/>
    </xf>
    <xf numFmtId="0" fontId="9" fillId="40" borderId="39" xfId="0" applyNumberFormat="1" applyFont="1" applyFill="1" applyBorder="1" applyAlignment="1" applyProtection="1">
      <alignment vertical="center"/>
      <protection hidden="1"/>
    </xf>
    <xf numFmtId="0" fontId="9" fillId="6" borderId="38" xfId="0" applyFont="1" applyFill="1" applyBorder="1" applyAlignment="1">
      <alignment vertical="center" wrapText="1"/>
    </xf>
    <xf numFmtId="49" fontId="9" fillId="6" borderId="38" xfId="10" applyNumberFormat="1" applyFont="1" applyFill="1" applyBorder="1" applyAlignment="1">
      <alignment vertical="center"/>
    </xf>
    <xf numFmtId="0" fontId="9" fillId="6" borderId="38" xfId="0" applyFont="1" applyFill="1" applyBorder="1" applyAlignment="1">
      <alignment horizontal="left" vertical="center" wrapText="1"/>
    </xf>
    <xf numFmtId="0" fontId="9" fillId="6" borderId="39" xfId="0" applyFont="1" applyFill="1" applyBorder="1" applyAlignment="1">
      <alignment horizontal="left" vertical="center" wrapText="1"/>
    </xf>
    <xf numFmtId="0" fontId="3" fillId="6" borderId="41" xfId="1" applyFont="1" applyFill="1" applyBorder="1" applyAlignment="1" applyProtection="1">
      <alignment horizontal="center" vertical="center" wrapText="1"/>
    </xf>
    <xf numFmtId="0" fontId="9" fillId="6" borderId="41" xfId="0" applyFont="1" applyFill="1" applyBorder="1" applyAlignment="1">
      <alignment horizontal="left" vertical="center" wrapText="1"/>
    </xf>
    <xf numFmtId="0" fontId="9" fillId="6" borderId="41" xfId="0" applyFont="1" applyFill="1" applyBorder="1" applyAlignment="1">
      <alignment horizontal="center" vertical="center" wrapText="1"/>
    </xf>
    <xf numFmtId="0" fontId="9" fillId="6" borderId="41" xfId="0" applyFont="1" applyFill="1" applyBorder="1" applyAlignment="1">
      <alignment vertical="center"/>
    </xf>
    <xf numFmtId="0" fontId="9" fillId="6" borderId="41" xfId="0" applyFont="1" applyFill="1" applyBorder="1" applyAlignment="1">
      <alignment horizontal="justify" vertical="center" wrapText="1"/>
    </xf>
    <xf numFmtId="0" fontId="3" fillId="6" borderId="43" xfId="0" applyFont="1" applyFill="1" applyBorder="1" applyAlignment="1" applyProtection="1">
      <alignment vertical="center" wrapText="1"/>
      <protection hidden="1"/>
    </xf>
    <xf numFmtId="0" fontId="3" fillId="6" borderId="43" xfId="0" applyFont="1" applyFill="1" applyBorder="1" applyAlignment="1" applyProtection="1">
      <alignment vertical="top" wrapText="1"/>
      <protection hidden="1"/>
    </xf>
    <xf numFmtId="0" fontId="3" fillId="6" borderId="44" xfId="0" applyFont="1" applyFill="1" applyBorder="1" applyAlignment="1" applyProtection="1">
      <alignment vertical="top" wrapText="1"/>
      <protection hidden="1"/>
    </xf>
    <xf numFmtId="0" fontId="109" fillId="29" borderId="5" xfId="8" applyNumberFormat="1" applyFont="1" applyFill="1" applyBorder="1" applyAlignment="1">
      <alignment horizontal="center" vertical="center" wrapText="1"/>
    </xf>
    <xf numFmtId="0" fontId="109" fillId="18" borderId="7" xfId="8" applyNumberFormat="1" applyFont="1" applyFill="1" applyBorder="1" applyAlignment="1">
      <alignment horizontal="center" vertical="center" wrapText="1"/>
    </xf>
    <xf numFmtId="0" fontId="109" fillId="29" borderId="46" xfId="8" applyNumberFormat="1" applyFont="1" applyFill="1" applyBorder="1" applyAlignment="1">
      <alignment horizontal="center" vertical="center" wrapText="1"/>
    </xf>
    <xf numFmtId="3" fontId="109" fillId="30" borderId="47" xfId="8" applyNumberFormat="1" applyFont="1" applyFill="1" applyBorder="1" applyAlignment="1">
      <alignment horizontal="center" vertical="center" wrapText="1"/>
    </xf>
    <xf numFmtId="3" fontId="110" fillId="29" borderId="47" xfId="8" applyNumberFormat="1" applyFont="1" applyFill="1" applyBorder="1" applyAlignment="1">
      <alignment horizontal="center" vertical="center" wrapText="1"/>
    </xf>
    <xf numFmtId="3" fontId="110" fillId="28" borderId="47" xfId="8" applyNumberFormat="1" applyFont="1" applyFill="1" applyBorder="1" applyAlignment="1">
      <alignment horizontal="center" vertical="center" wrapText="1"/>
    </xf>
    <xf numFmtId="0" fontId="109" fillId="7" borderId="48" xfId="8" applyNumberFormat="1" applyFont="1" applyFill="1" applyBorder="1" applyAlignment="1">
      <alignment horizontal="center" vertical="center" wrapText="1"/>
    </xf>
    <xf numFmtId="0" fontId="109" fillId="24" borderId="45" xfId="8" applyNumberFormat="1" applyFont="1" applyFill="1" applyBorder="1" applyAlignment="1">
      <alignment horizontal="center" vertical="center" wrapText="1"/>
    </xf>
    <xf numFmtId="9" fontId="95" fillId="26" borderId="5" xfId="14" applyFont="1" applyFill="1" applyBorder="1" applyAlignment="1">
      <alignment horizontal="center" vertical="center"/>
    </xf>
    <xf numFmtId="0" fontId="26" fillId="0" borderId="5" xfId="0" applyFont="1" applyFill="1" applyBorder="1" applyAlignment="1" applyProtection="1">
      <alignment horizontal="center" vertical="center"/>
      <protection hidden="1"/>
    </xf>
    <xf numFmtId="2" fontId="95" fillId="0" borderId="5" xfId="8" applyNumberFormat="1" applyFont="1" applyFill="1" applyBorder="1"/>
    <xf numFmtId="3" fontId="0" fillId="0" borderId="3" xfId="0" applyNumberFormat="1" applyBorder="1"/>
    <xf numFmtId="0" fontId="84" fillId="12" borderId="4" xfId="8" applyFont="1" applyFill="1" applyBorder="1" applyAlignment="1">
      <alignment horizontal="center" vertical="center" wrapText="1"/>
    </xf>
    <xf numFmtId="0" fontId="84" fillId="12" borderId="9" xfId="8" applyFont="1" applyFill="1" applyBorder="1" applyAlignment="1">
      <alignment horizontal="center" vertical="center" wrapText="1"/>
    </xf>
    <xf numFmtId="0" fontId="84" fillId="12" borderId="7" xfId="8" applyFont="1" applyFill="1" applyBorder="1" applyAlignment="1">
      <alignment horizontal="center" vertical="center" wrapText="1"/>
    </xf>
    <xf numFmtId="2" fontId="84" fillId="12" borderId="7" xfId="8" applyNumberFormat="1" applyFont="1" applyFill="1" applyBorder="1" applyAlignment="1">
      <alignment horizontal="center" vertical="center" wrapText="1"/>
    </xf>
    <xf numFmtId="0" fontId="84" fillId="12" borderId="3" xfId="8" applyFont="1" applyFill="1" applyBorder="1" applyAlignment="1">
      <alignment horizontal="center" vertical="center" wrapText="1"/>
    </xf>
    <xf numFmtId="0" fontId="84" fillId="12" borderId="7" xfId="8" applyFont="1" applyFill="1" applyBorder="1" applyAlignment="1">
      <alignment vertical="center" wrapText="1"/>
    </xf>
    <xf numFmtId="0" fontId="1" fillId="12" borderId="7" xfId="8" applyFont="1" applyFill="1" applyBorder="1" applyAlignment="1">
      <alignment vertical="center" wrapText="1"/>
    </xf>
    <xf numFmtId="0" fontId="95" fillId="12" borderId="7" xfId="8" applyFont="1" applyFill="1" applyBorder="1"/>
    <xf numFmtId="0" fontId="95" fillId="12" borderId="3" xfId="8" applyFont="1" applyFill="1" applyBorder="1"/>
    <xf numFmtId="0" fontId="28" fillId="8" borderId="3" xfId="8" applyFont="1" applyFill="1" applyBorder="1" applyAlignment="1">
      <alignment horizontal="center" vertical="center"/>
    </xf>
    <xf numFmtId="0" fontId="28" fillId="8" borderId="13" xfId="8" applyFont="1" applyFill="1" applyBorder="1" applyAlignment="1">
      <alignment horizontal="center" vertical="center"/>
    </xf>
    <xf numFmtId="0" fontId="95" fillId="8" borderId="3" xfId="8" applyFont="1" applyFill="1" applyBorder="1"/>
    <xf numFmtId="0" fontId="28" fillId="8" borderId="14" xfId="8" applyFont="1" applyFill="1" applyBorder="1" applyAlignment="1">
      <alignment horizontal="center" vertical="center"/>
    </xf>
    <xf numFmtId="0" fontId="28" fillId="8" borderId="3" xfId="14" applyNumberFormat="1" applyFont="1" applyFill="1" applyBorder="1" applyAlignment="1">
      <alignment horizontal="center" vertical="center"/>
    </xf>
    <xf numFmtId="0" fontId="28" fillId="8" borderId="3" xfId="8" applyNumberFormat="1" applyFont="1" applyFill="1" applyBorder="1" applyAlignment="1">
      <alignment horizontal="center" vertical="center"/>
    </xf>
    <xf numFmtId="2" fontId="28" fillId="8" borderId="3" xfId="8" applyNumberFormat="1" applyFont="1" applyFill="1" applyBorder="1" applyAlignment="1">
      <alignment horizontal="center" vertical="center"/>
    </xf>
    <xf numFmtId="174" fontId="28" fillId="8" borderId="3" xfId="15" applyNumberFormat="1" applyFont="1" applyFill="1" applyBorder="1" applyAlignment="1">
      <alignment horizontal="center" vertical="center"/>
    </xf>
    <xf numFmtId="1" fontId="28" fillId="8" borderId="3" xfId="8" applyNumberFormat="1" applyFont="1" applyFill="1" applyBorder="1" applyAlignment="1">
      <alignment horizontal="center" vertical="center"/>
    </xf>
    <xf numFmtId="0" fontId="1" fillId="8" borderId="3" xfId="14" applyNumberFormat="1" applyFont="1" applyFill="1" applyBorder="1" applyAlignment="1">
      <alignment horizontal="center" vertical="center" wrapText="1"/>
    </xf>
    <xf numFmtId="0" fontId="100" fillId="8" borderId="3" xfId="8" applyFont="1" applyFill="1" applyBorder="1" applyAlignment="1">
      <alignment horizontal="center" vertical="center"/>
    </xf>
    <xf numFmtId="181" fontId="105" fillId="10" borderId="14" xfId="8" applyNumberFormat="1" applyFont="1" applyFill="1" applyBorder="1" applyAlignment="1" applyProtection="1">
      <alignment vertical="center" wrapText="1" readingOrder="1"/>
    </xf>
    <xf numFmtId="181" fontId="105" fillId="10" borderId="3" xfId="8" applyNumberFormat="1" applyFont="1" applyFill="1" applyBorder="1" applyAlignment="1" applyProtection="1">
      <alignment vertical="center" wrapText="1" readingOrder="1"/>
    </xf>
    <xf numFmtId="0" fontId="105" fillId="10" borderId="3" xfId="8" applyFont="1" applyFill="1" applyBorder="1" applyAlignment="1" applyProtection="1">
      <alignment vertical="center" wrapText="1" readingOrder="1"/>
    </xf>
    <xf numFmtId="0" fontId="103" fillId="10" borderId="3" xfId="8" applyFont="1" applyFill="1" applyBorder="1" applyAlignment="1" applyProtection="1">
      <alignment horizontal="center" vertical="center"/>
    </xf>
    <xf numFmtId="2" fontId="105" fillId="10" borderId="3" xfId="8" applyNumberFormat="1" applyFont="1" applyFill="1" applyBorder="1" applyAlignment="1" applyProtection="1">
      <alignment vertical="center" wrapText="1" readingOrder="1"/>
    </xf>
    <xf numFmtId="182" fontId="105" fillId="10" borderId="3" xfId="8" applyNumberFormat="1" applyFont="1" applyFill="1" applyBorder="1" applyAlignment="1" applyProtection="1">
      <alignment vertical="center" wrapText="1" readingOrder="1"/>
    </xf>
    <xf numFmtId="181" fontId="105" fillId="10" borderId="3" xfId="8" applyNumberFormat="1" applyFont="1" applyFill="1" applyBorder="1" applyAlignment="1" applyProtection="1">
      <alignment horizontal="center" vertical="center" wrapText="1" readingOrder="1"/>
    </xf>
    <xf numFmtId="0" fontId="103" fillId="10" borderId="3" xfId="8" applyFont="1" applyFill="1" applyBorder="1" applyAlignment="1" applyProtection="1">
      <alignment horizontal="center" vertical="center" readingOrder="1"/>
    </xf>
    <xf numFmtId="169" fontId="105" fillId="10" borderId="3" xfId="8" applyNumberFormat="1" applyFont="1" applyFill="1" applyBorder="1" applyAlignment="1" applyProtection="1">
      <alignment vertical="center" wrapText="1" readingOrder="1"/>
    </xf>
    <xf numFmtId="2" fontId="103" fillId="10" borderId="3" xfId="8" applyNumberFormat="1" applyFont="1" applyFill="1" applyBorder="1" applyAlignment="1" applyProtection="1">
      <alignment horizontal="center" vertical="center"/>
    </xf>
    <xf numFmtId="0" fontId="95" fillId="10" borderId="3" xfId="8" applyFont="1" applyFill="1" applyBorder="1" applyProtection="1"/>
    <xf numFmtId="184" fontId="105" fillId="10" borderId="3" xfId="8" applyNumberFormat="1" applyFont="1" applyFill="1" applyBorder="1" applyAlignment="1" applyProtection="1">
      <alignment vertical="center" wrapText="1" readingOrder="1"/>
    </xf>
    <xf numFmtId="0" fontId="103" fillId="10" borderId="3" xfId="8" applyFont="1" applyFill="1" applyBorder="1" applyAlignment="1" applyProtection="1">
      <alignment vertical="center"/>
    </xf>
    <xf numFmtId="2" fontId="28" fillId="10" borderId="3" xfId="8" applyNumberFormat="1" applyFont="1" applyFill="1" applyBorder="1" applyAlignment="1">
      <alignment horizontal="center" vertical="center"/>
    </xf>
    <xf numFmtId="2" fontId="104" fillId="43" borderId="12" xfId="8" applyNumberFormat="1" applyFont="1" applyFill="1" applyBorder="1" applyAlignment="1" applyProtection="1">
      <alignment horizontal="center" vertical="center" wrapText="1"/>
      <protection hidden="1"/>
    </xf>
    <xf numFmtId="166" fontId="104" fillId="43" borderId="12" xfId="8" applyNumberFormat="1" applyFont="1" applyFill="1" applyBorder="1" applyAlignment="1" applyProtection="1">
      <alignment horizontal="center" vertical="center" wrapText="1"/>
      <protection hidden="1"/>
    </xf>
    <xf numFmtId="175" fontId="104" fillId="43" borderId="12" xfId="8" applyNumberFormat="1" applyFont="1" applyFill="1" applyBorder="1" applyAlignment="1" applyProtection="1">
      <alignment horizontal="center" vertical="center" wrapText="1"/>
      <protection hidden="1"/>
    </xf>
    <xf numFmtId="2" fontId="104" fillId="43" borderId="4" xfId="8" applyNumberFormat="1" applyFont="1" applyFill="1" applyBorder="1" applyAlignment="1" applyProtection="1">
      <alignment horizontal="center" vertical="center" wrapText="1"/>
      <protection hidden="1"/>
    </xf>
    <xf numFmtId="4" fontId="95" fillId="6" borderId="7" xfId="0" applyNumberFormat="1" applyFont="1" applyFill="1" applyBorder="1" applyAlignment="1" applyProtection="1">
      <alignment horizontal="justify" vertical="center" wrapText="1"/>
      <protection locked="0"/>
    </xf>
    <xf numFmtId="3" fontId="22" fillId="13" borderId="3" xfId="0" applyNumberFormat="1" applyFont="1" applyFill="1" applyBorder="1" applyAlignment="1">
      <alignment horizontal="center" vertical="center" wrapText="1"/>
    </xf>
    <xf numFmtId="3" fontId="119" fillId="11" borderId="13" xfId="0" applyNumberFormat="1" applyFont="1" applyFill="1" applyBorder="1" applyAlignment="1">
      <alignment horizontal="center" vertical="center" wrapText="1"/>
    </xf>
    <xf numFmtId="0" fontId="95" fillId="0" borderId="0" xfId="8" applyFont="1" applyFill="1" applyBorder="1"/>
    <xf numFmtId="0" fontId="95" fillId="0" borderId="0" xfId="8" applyFont="1" applyFill="1" applyBorder="1" applyAlignment="1">
      <alignment horizontal="center" vertical="center"/>
    </xf>
    <xf numFmtId="0" fontId="123" fillId="0" borderId="0" xfId="8" applyFont="1" applyFill="1" applyBorder="1"/>
    <xf numFmtId="0" fontId="122" fillId="0" borderId="0" xfId="8" applyFont="1" applyFill="1" applyBorder="1"/>
    <xf numFmtId="0" fontId="95" fillId="0" borderId="0" xfId="8" applyFont="1" applyFill="1" applyBorder="1" applyAlignment="1"/>
    <xf numFmtId="0" fontId="103" fillId="0" borderId="0" xfId="8" applyFont="1" applyFill="1" applyBorder="1"/>
    <xf numFmtId="0" fontId="103" fillId="0" borderId="0" xfId="8" applyFont="1" applyFill="1" applyBorder="1" applyAlignment="1">
      <alignment horizontal="center"/>
    </xf>
    <xf numFmtId="0" fontId="103" fillId="0" borderId="0" xfId="8" applyFont="1" applyFill="1" applyBorder="1" applyAlignment="1" applyProtection="1">
      <alignment horizontal="center"/>
    </xf>
    <xf numFmtId="0" fontId="95" fillId="0" borderId="0" xfId="8" applyFont="1" applyFill="1" applyBorder="1" applyAlignment="1">
      <alignment vertical="center"/>
    </xf>
    <xf numFmtId="0" fontId="95" fillId="26" borderId="0" xfId="8" applyFont="1" applyFill="1" applyBorder="1" applyAlignment="1">
      <alignment vertical="center"/>
    </xf>
    <xf numFmtId="0" fontId="96" fillId="0" borderId="0" xfId="8" applyFont="1" applyFill="1" applyBorder="1"/>
    <xf numFmtId="49" fontId="124" fillId="0" borderId="0" xfId="0" applyNumberFormat="1" applyFont="1" applyFill="1" applyBorder="1" applyAlignment="1">
      <alignment horizontal="center" vertical="center" wrapText="1"/>
    </xf>
    <xf numFmtId="0" fontId="125" fillId="0" borderId="0" xfId="0" applyFont="1" applyFill="1" applyBorder="1" applyAlignment="1">
      <alignment horizontal="center" vertical="center"/>
    </xf>
    <xf numFmtId="49" fontId="124" fillId="0" borderId="3" xfId="0" applyNumberFormat="1" applyFont="1" applyFill="1" applyBorder="1" applyAlignment="1">
      <alignment horizontal="center" vertical="center" wrapText="1"/>
    </xf>
    <xf numFmtId="0" fontId="125" fillId="0" borderId="3" xfId="0" applyFont="1" applyFill="1" applyBorder="1" applyAlignment="1">
      <alignment horizontal="center" vertical="center"/>
    </xf>
    <xf numFmtId="0" fontId="81" fillId="0" borderId="0" xfId="0" applyFont="1" applyFill="1" applyBorder="1" applyProtection="1">
      <protection hidden="1"/>
    </xf>
    <xf numFmtId="0" fontId="81" fillId="0" borderId="0" xfId="0" applyFont="1" applyFill="1" applyBorder="1" applyAlignment="1">
      <alignment horizontal="justify" vertical="center" wrapText="1"/>
    </xf>
    <xf numFmtId="0" fontId="81" fillId="0" borderId="0" xfId="0" applyFont="1" applyFill="1" applyBorder="1" applyAlignment="1" applyProtection="1">
      <protection hidden="1"/>
    </xf>
    <xf numFmtId="0" fontId="125" fillId="0" borderId="0" xfId="0" applyFont="1" applyFill="1" applyBorder="1" applyAlignment="1">
      <alignment horizontal="center"/>
    </xf>
    <xf numFmtId="0" fontId="69" fillId="0" borderId="0" xfId="0" applyFont="1" applyFill="1" applyBorder="1" applyProtection="1">
      <protection hidden="1"/>
    </xf>
    <xf numFmtId="0" fontId="126" fillId="0" borderId="0" xfId="0" applyFont="1" applyFill="1" applyBorder="1"/>
    <xf numFmtId="0" fontId="125" fillId="0" borderId="3" xfId="0" applyFont="1" applyFill="1" applyBorder="1" applyAlignment="1">
      <alignment horizontal="center"/>
    </xf>
    <xf numFmtId="0" fontId="125" fillId="0" borderId="15" xfId="0" applyFont="1" applyFill="1" applyBorder="1" applyAlignment="1">
      <alignment horizontal="center" vertical="center"/>
    </xf>
    <xf numFmtId="0" fontId="84" fillId="0" borderId="7" xfId="8" applyFont="1" applyFill="1" applyBorder="1" applyAlignment="1">
      <alignment horizontal="center" vertical="center" wrapText="1"/>
    </xf>
    <xf numFmtId="2" fontId="127" fillId="44" borderId="3" xfId="15" applyNumberFormat="1" applyFont="1" applyFill="1" applyBorder="1" applyAlignment="1" applyProtection="1">
      <alignment vertical="center" wrapText="1"/>
      <protection locked="0"/>
    </xf>
    <xf numFmtId="181" fontId="127" fillId="44" borderId="3" xfId="0" applyNumberFormat="1" applyFont="1" applyFill="1" applyBorder="1" applyAlignment="1" applyProtection="1">
      <alignment vertical="center" wrapText="1" readingOrder="1"/>
      <protection locked="0"/>
    </xf>
    <xf numFmtId="0" fontId="127" fillId="44" borderId="3" xfId="0" applyFont="1" applyFill="1" applyBorder="1" applyAlignment="1" applyProtection="1">
      <alignment vertical="center" wrapText="1" readingOrder="1"/>
      <protection locked="0"/>
    </xf>
    <xf numFmtId="0" fontId="128" fillId="44" borderId="3" xfId="0" applyFont="1" applyFill="1" applyBorder="1" applyProtection="1">
      <protection locked="0"/>
    </xf>
    <xf numFmtId="187" fontId="127" fillId="44" borderId="3" xfId="0" applyNumberFormat="1" applyFont="1" applyFill="1" applyBorder="1" applyAlignment="1" applyProtection="1">
      <alignment vertical="center" wrapText="1" readingOrder="1"/>
      <protection locked="0"/>
    </xf>
    <xf numFmtId="182" fontId="127" fillId="44" borderId="3" xfId="0" applyNumberFormat="1" applyFont="1" applyFill="1" applyBorder="1" applyAlignment="1" applyProtection="1">
      <alignment vertical="center" wrapText="1" readingOrder="1"/>
      <protection locked="0"/>
    </xf>
    <xf numFmtId="2" fontId="127" fillId="44" borderId="3" xfId="15" applyNumberFormat="1" applyFont="1" applyFill="1" applyBorder="1" applyAlignment="1" applyProtection="1">
      <alignment horizontal="right" vertical="center" wrapText="1"/>
      <protection locked="0"/>
    </xf>
    <xf numFmtId="181" fontId="127" fillId="44" borderId="3" xfId="0" applyNumberFormat="1" applyFont="1" applyFill="1" applyBorder="1" applyAlignment="1" applyProtection="1">
      <alignment horizontal="right" vertical="center" wrapText="1"/>
      <protection locked="0"/>
    </xf>
    <xf numFmtId="0" fontId="127" fillId="44" borderId="3" xfId="0" applyFont="1" applyFill="1" applyBorder="1" applyAlignment="1" applyProtection="1">
      <alignment horizontal="right" vertical="center" wrapText="1"/>
      <protection locked="0"/>
    </xf>
    <xf numFmtId="181" fontId="105" fillId="10" borderId="3" xfId="8" applyNumberFormat="1" applyFont="1" applyFill="1" applyBorder="1" applyAlignment="1" applyProtection="1">
      <alignment horizontal="center" vertical="center" wrapText="1"/>
    </xf>
    <xf numFmtId="0" fontId="105" fillId="10" borderId="3" xfId="8" applyFont="1" applyFill="1" applyBorder="1" applyAlignment="1" applyProtection="1">
      <alignment horizontal="center" vertical="center" wrapText="1"/>
    </xf>
    <xf numFmtId="181" fontId="127" fillId="44" borderId="3" xfId="0" applyNumberFormat="1" applyFont="1" applyFill="1" applyBorder="1" applyAlignment="1" applyProtection="1">
      <alignment horizontal="right" vertical="center" wrapText="1" readingOrder="1"/>
      <protection locked="0"/>
    </xf>
    <xf numFmtId="2" fontId="127" fillId="44" borderId="3" xfId="15" applyNumberFormat="1" applyFont="1" applyFill="1" applyBorder="1" applyAlignment="1" applyProtection="1">
      <alignment horizontal="right" vertical="center" wrapText="1" readingOrder="1"/>
      <protection locked="0"/>
    </xf>
    <xf numFmtId="0" fontId="127" fillId="44" borderId="3" xfId="0" applyFont="1" applyFill="1" applyBorder="1" applyAlignment="1" applyProtection="1">
      <alignment horizontal="right" vertical="center" wrapText="1" readingOrder="1"/>
      <protection locked="0"/>
    </xf>
    <xf numFmtId="2" fontId="121" fillId="42" borderId="36" xfId="0" applyNumberFormat="1" applyFont="1" applyFill="1" applyBorder="1" applyAlignment="1" applyProtection="1">
      <alignment horizontal="center" vertical="center"/>
      <protection hidden="1"/>
    </xf>
    <xf numFmtId="166" fontId="129" fillId="6" borderId="55" xfId="13" applyNumberFormat="1" applyFont="1" applyFill="1" applyBorder="1" applyAlignment="1" applyProtection="1">
      <alignment vertical="center"/>
      <protection hidden="1"/>
    </xf>
    <xf numFmtId="166" fontId="130" fillId="42" borderId="55" xfId="13" applyNumberFormat="1" applyFont="1" applyFill="1" applyBorder="1" applyAlignment="1" applyProtection="1">
      <alignment vertical="center"/>
      <protection hidden="1"/>
    </xf>
    <xf numFmtId="0" fontId="131" fillId="6" borderId="0" xfId="0" applyFont="1" applyFill="1" applyBorder="1" applyProtection="1">
      <protection hidden="1"/>
    </xf>
    <xf numFmtId="0" fontId="132" fillId="6" borderId="0" xfId="0" applyFont="1" applyFill="1" applyBorder="1" applyProtection="1">
      <protection hidden="1"/>
    </xf>
    <xf numFmtId="173" fontId="133" fillId="6" borderId="0" xfId="0" applyNumberFormat="1" applyFont="1" applyFill="1" applyBorder="1" applyAlignment="1" applyProtection="1">
      <alignment horizontal="center"/>
    </xf>
    <xf numFmtId="1" fontId="134" fillId="6" borderId="0" xfId="0" applyNumberFormat="1" applyFont="1" applyFill="1" applyBorder="1" applyAlignment="1" applyProtection="1">
      <alignment horizontal="center" vertical="center"/>
      <protection hidden="1"/>
    </xf>
    <xf numFmtId="0" fontId="135" fillId="6" borderId="0" xfId="0" applyFont="1" applyFill="1" applyBorder="1" applyProtection="1">
      <protection hidden="1"/>
    </xf>
    <xf numFmtId="0" fontId="131" fillId="6" borderId="0" xfId="0" applyFont="1" applyFill="1" applyBorder="1" applyAlignment="1" applyProtection="1">
      <alignment horizontal="center"/>
      <protection hidden="1"/>
    </xf>
    <xf numFmtId="0" fontId="136" fillId="6" borderId="0" xfId="1" applyFont="1" applyFill="1" applyAlignment="1" applyProtection="1"/>
    <xf numFmtId="0" fontId="131" fillId="6" borderId="0" xfId="0" applyFont="1" applyFill="1" applyBorder="1" applyAlignment="1" applyProtection="1">
      <alignment horizontal="center" vertical="center"/>
      <protection hidden="1"/>
    </xf>
    <xf numFmtId="0" fontId="137" fillId="6" borderId="0" xfId="0" applyFont="1" applyFill="1" applyBorder="1" applyAlignment="1" applyProtection="1">
      <alignment horizontal="center" vertical="center"/>
      <protection hidden="1"/>
    </xf>
    <xf numFmtId="49" fontId="19" fillId="12" borderId="36" xfId="10" applyNumberFormat="1" applyFont="1" applyFill="1" applyBorder="1" applyAlignment="1">
      <alignment vertical="center"/>
    </xf>
    <xf numFmtId="166" fontId="99" fillId="6" borderId="53" xfId="13" applyNumberFormat="1" applyFont="1" applyFill="1" applyBorder="1" applyAlignment="1" applyProtection="1">
      <alignment horizontal="right" vertical="top"/>
      <protection hidden="1"/>
    </xf>
    <xf numFmtId="166" fontId="99" fillId="42" borderId="53" xfId="13" applyNumberFormat="1" applyFont="1" applyFill="1" applyBorder="1" applyAlignment="1" applyProtection="1">
      <alignment horizontal="right" vertical="center"/>
      <protection hidden="1"/>
    </xf>
    <xf numFmtId="166" fontId="99" fillId="6" borderId="53" xfId="13" applyNumberFormat="1" applyFont="1" applyFill="1" applyBorder="1" applyAlignment="1" applyProtection="1">
      <alignment horizontal="right" vertical="center"/>
      <protection hidden="1"/>
    </xf>
    <xf numFmtId="169" fontId="95" fillId="0" borderId="0" xfId="8" applyNumberFormat="1" applyFont="1" applyFill="1" applyBorder="1"/>
    <xf numFmtId="1" fontId="95" fillId="0" borderId="3" xfId="8" applyNumberFormat="1" applyFont="1" applyFill="1" applyBorder="1" applyAlignment="1">
      <alignment horizontal="center" vertical="center" wrapText="1"/>
    </xf>
    <xf numFmtId="1" fontId="104" fillId="0" borderId="3" xfId="8" applyNumberFormat="1" applyFont="1" applyFill="1" applyBorder="1" applyAlignment="1">
      <alignment horizontal="center" vertical="center" wrapText="1"/>
    </xf>
    <xf numFmtId="3" fontId="109" fillId="17" borderId="3" xfId="8" applyNumberFormat="1" applyFont="1" applyFill="1" applyBorder="1" applyAlignment="1">
      <alignment horizontal="center" vertical="center" wrapText="1"/>
    </xf>
    <xf numFmtId="168" fontId="139" fillId="6" borderId="0" xfId="13" applyNumberFormat="1" applyFont="1" applyFill="1" applyBorder="1" applyAlignment="1" applyProtection="1">
      <alignment vertical="center"/>
      <protection hidden="1"/>
    </xf>
    <xf numFmtId="0" fontId="143" fillId="42" borderId="36" xfId="0" applyNumberFormat="1" applyFont="1" applyFill="1" applyBorder="1" applyAlignment="1" applyProtection="1">
      <alignment horizontal="center" vertical="center"/>
      <protection hidden="1"/>
    </xf>
    <xf numFmtId="181" fontId="105" fillId="2" borderId="21" xfId="8" applyNumberFormat="1" applyFont="1" applyFill="1" applyBorder="1" applyAlignment="1" applyProtection="1">
      <alignment vertical="center" wrapText="1" readingOrder="1"/>
      <protection locked="0"/>
    </xf>
    <xf numFmtId="181" fontId="105" fillId="2" borderId="26" xfId="8" applyNumberFormat="1" applyFont="1" applyFill="1" applyBorder="1" applyAlignment="1" applyProtection="1">
      <alignment vertical="center" wrapText="1" readingOrder="1"/>
      <protection locked="0"/>
    </xf>
    <xf numFmtId="167" fontId="99" fillId="42" borderId="36" xfId="2" applyNumberFormat="1" applyFont="1" applyFill="1" applyBorder="1" applyAlignment="1" applyProtection="1">
      <alignment horizontal="center" vertical="center"/>
      <protection hidden="1"/>
    </xf>
    <xf numFmtId="167" fontId="99" fillId="6" borderId="36" xfId="2" applyNumberFormat="1" applyFont="1" applyFill="1" applyBorder="1" applyAlignment="1" applyProtection="1">
      <alignment horizontal="center" vertical="center"/>
      <protection hidden="1"/>
    </xf>
    <xf numFmtId="167" fontId="99" fillId="42" borderId="36" xfId="2" applyNumberFormat="1" applyFont="1" applyFill="1" applyBorder="1" applyAlignment="1" applyProtection="1">
      <alignment vertical="center"/>
      <protection hidden="1"/>
    </xf>
    <xf numFmtId="1" fontId="99" fillId="6" borderId="36" xfId="13" applyNumberFormat="1" applyFont="1" applyFill="1" applyBorder="1" applyAlignment="1" applyProtection="1">
      <alignment horizontal="right" vertical="center"/>
      <protection hidden="1"/>
    </xf>
    <xf numFmtId="1" fontId="99" fillId="42" borderId="36" xfId="13" applyNumberFormat="1" applyFont="1" applyFill="1" applyBorder="1" applyAlignment="1" applyProtection="1">
      <alignment horizontal="right" vertical="center"/>
      <protection hidden="1"/>
    </xf>
    <xf numFmtId="167" fontId="7" fillId="42" borderId="36" xfId="0" applyNumberFormat="1" applyFont="1" applyFill="1" applyBorder="1" applyAlignment="1" applyProtection="1">
      <alignment horizontal="center" vertical="center"/>
      <protection hidden="1"/>
    </xf>
    <xf numFmtId="167" fontId="138" fillId="45" borderId="36" xfId="2" applyNumberFormat="1" applyFont="1" applyFill="1" applyBorder="1" applyAlignment="1" applyProtection="1">
      <alignment horizontal="center" vertical="center"/>
      <protection hidden="1"/>
    </xf>
    <xf numFmtId="0" fontId="122" fillId="0" borderId="0" xfId="0" applyFont="1"/>
    <xf numFmtId="0" fontId="77" fillId="0" borderId="0" xfId="0" applyFont="1"/>
    <xf numFmtId="0" fontId="122" fillId="6" borderId="0" xfId="0" applyFont="1" applyFill="1"/>
    <xf numFmtId="0" fontId="122" fillId="46" borderId="0" xfId="0" applyFont="1" applyFill="1"/>
    <xf numFmtId="0" fontId="77" fillId="46" borderId="0" xfId="0" applyFont="1" applyFill="1"/>
    <xf numFmtId="0" fontId="1" fillId="46" borderId="0" xfId="0" applyFont="1" applyFill="1"/>
    <xf numFmtId="0" fontId="144" fillId="0" borderId="0" xfId="0" applyFont="1"/>
    <xf numFmtId="0" fontId="116" fillId="46" borderId="0" xfId="0" applyFont="1" applyFill="1"/>
    <xf numFmtId="0" fontId="144" fillId="2" borderId="0" xfId="0" applyFont="1" applyFill="1"/>
    <xf numFmtId="0" fontId="77" fillId="46" borderId="0" xfId="0" applyFont="1" applyFill="1" applyBorder="1"/>
    <xf numFmtId="0" fontId="116" fillId="46" borderId="0" xfId="0" applyFont="1" applyFill="1" applyBorder="1"/>
    <xf numFmtId="0" fontId="0" fillId="2" borderId="0" xfId="0" applyFill="1"/>
    <xf numFmtId="0" fontId="145" fillId="46" borderId="0" xfId="0" applyFont="1" applyFill="1"/>
    <xf numFmtId="0" fontId="0" fillId="46" borderId="0" xfId="0" applyFill="1"/>
    <xf numFmtId="0" fontId="0" fillId="46" borderId="0" xfId="0" applyFill="1" applyBorder="1"/>
    <xf numFmtId="0" fontId="28" fillId="46" borderId="0" xfId="0" applyFont="1" applyFill="1" applyBorder="1"/>
    <xf numFmtId="0" fontId="123" fillId="46" borderId="0" xfId="1" applyFont="1" applyFill="1" applyBorder="1" applyAlignment="1" applyProtection="1">
      <protection locked="0"/>
    </xf>
    <xf numFmtId="0" fontId="146" fillId="46" borderId="0" xfId="0" applyFont="1" applyFill="1" applyAlignment="1">
      <alignment horizontal="left" vertical="center" readingOrder="1"/>
    </xf>
    <xf numFmtId="0" fontId="148" fillId="2" borderId="0" xfId="0" applyFont="1" applyFill="1" applyBorder="1" applyProtection="1">
      <protection hidden="1"/>
    </xf>
    <xf numFmtId="0" fontId="96" fillId="2" borderId="0" xfId="0" applyFont="1" applyFill="1" applyBorder="1" applyProtection="1">
      <protection hidden="1"/>
    </xf>
    <xf numFmtId="0" fontId="149" fillId="2" borderId="0" xfId="0" applyFont="1" applyFill="1" applyBorder="1" applyProtection="1">
      <protection hidden="1"/>
    </xf>
    <xf numFmtId="0" fontId="150" fillId="0" borderId="0" xfId="0" applyFont="1" applyFill="1" applyBorder="1" applyProtection="1">
      <protection hidden="1"/>
    </xf>
    <xf numFmtId="0" fontId="100" fillId="0" borderId="0" xfId="0" applyFont="1" applyFill="1" applyBorder="1" applyProtection="1">
      <protection hidden="1"/>
    </xf>
    <xf numFmtId="0" fontId="100" fillId="0" borderId="0" xfId="0" applyFont="1" applyFill="1" applyBorder="1" applyAlignment="1" applyProtection="1">
      <alignment vertical="center"/>
      <protection hidden="1"/>
    </xf>
    <xf numFmtId="0" fontId="100" fillId="0" borderId="0" xfId="0" applyFont="1" applyFill="1" applyBorder="1" applyAlignment="1" applyProtection="1">
      <alignment horizontal="center" vertical="center"/>
      <protection hidden="1"/>
    </xf>
    <xf numFmtId="0" fontId="150" fillId="6" borderId="0" xfId="0" applyFont="1" applyFill="1" applyBorder="1" applyProtection="1">
      <protection hidden="1"/>
    </xf>
    <xf numFmtId="0" fontId="100" fillId="6" borderId="0" xfId="0" applyFont="1" applyFill="1" applyBorder="1" applyProtection="1">
      <protection hidden="1"/>
    </xf>
    <xf numFmtId="0" fontId="100" fillId="6" borderId="0" xfId="0" applyFont="1" applyFill="1" applyBorder="1" applyAlignment="1" applyProtection="1">
      <alignment vertical="center"/>
      <protection hidden="1"/>
    </xf>
    <xf numFmtId="0" fontId="100" fillId="6" borderId="0" xfId="0" applyFont="1" applyFill="1" applyBorder="1" applyAlignment="1" applyProtection="1">
      <alignment horizontal="center" vertical="center"/>
      <protection hidden="1"/>
    </xf>
    <xf numFmtId="9" fontId="100" fillId="6" borderId="0" xfId="13" applyFont="1" applyFill="1" applyBorder="1" applyAlignment="1" applyProtection="1">
      <alignment horizontal="right" vertical="center"/>
      <protection hidden="1"/>
    </xf>
    <xf numFmtId="3" fontId="100" fillId="6" borderId="0" xfId="0" applyNumberFormat="1" applyFont="1" applyFill="1" applyBorder="1" applyAlignment="1" applyProtection="1">
      <alignment horizontal="right" vertical="center"/>
      <protection hidden="1"/>
    </xf>
    <xf numFmtId="49" fontId="62" fillId="6" borderId="0" xfId="8" applyNumberFormat="1" applyFont="1" applyFill="1" applyBorder="1" applyAlignment="1">
      <alignment vertical="center"/>
    </xf>
    <xf numFmtId="0" fontId="28" fillId="3" borderId="0" xfId="0" applyFont="1" applyFill="1" applyBorder="1" applyProtection="1">
      <protection hidden="1"/>
    </xf>
    <xf numFmtId="0" fontId="96" fillId="6" borderId="0" xfId="0" applyFont="1" applyFill="1" applyBorder="1" applyProtection="1">
      <protection hidden="1"/>
    </xf>
    <xf numFmtId="0" fontId="95" fillId="6" borderId="0" xfId="0" applyFont="1" applyFill="1" applyBorder="1" applyProtection="1">
      <protection hidden="1"/>
    </xf>
    <xf numFmtId="0" fontId="95" fillId="6" borderId="0" xfId="0" applyFont="1" applyFill="1" applyBorder="1" applyAlignment="1" applyProtection="1">
      <alignment vertical="center"/>
      <protection hidden="1"/>
    </xf>
    <xf numFmtId="0" fontId="95" fillId="6" borderId="0" xfId="0" applyFont="1" applyFill="1" applyBorder="1" applyAlignment="1" applyProtection="1">
      <alignment horizontal="center" vertical="center"/>
      <protection hidden="1"/>
    </xf>
    <xf numFmtId="0" fontId="151" fillId="6" borderId="0" xfId="0" applyFont="1" applyFill="1" applyBorder="1" applyProtection="1">
      <protection hidden="1"/>
    </xf>
    <xf numFmtId="0" fontId="152" fillId="6" borderId="0" xfId="0" applyFont="1" applyFill="1" applyBorder="1" applyProtection="1">
      <protection hidden="1"/>
    </xf>
    <xf numFmtId="9" fontId="28" fillId="6" borderId="0" xfId="13" applyFont="1" applyFill="1" applyBorder="1" applyAlignment="1" applyProtection="1">
      <alignment horizontal="right" vertical="center"/>
      <protection hidden="1"/>
    </xf>
    <xf numFmtId="3" fontId="28" fillId="6" borderId="0" xfId="0" applyNumberFormat="1" applyFont="1" applyFill="1" applyBorder="1" applyAlignment="1" applyProtection="1">
      <alignment horizontal="right" vertical="center"/>
      <protection hidden="1"/>
    </xf>
    <xf numFmtId="166" fontId="152" fillId="6" borderId="0" xfId="0" applyNumberFormat="1" applyFont="1" applyFill="1" applyBorder="1" applyProtection="1">
      <protection hidden="1"/>
    </xf>
    <xf numFmtId="1" fontId="152" fillId="6" borderId="0" xfId="13" applyNumberFormat="1" applyFont="1" applyFill="1" applyBorder="1" applyProtection="1">
      <protection hidden="1"/>
    </xf>
    <xf numFmtId="2" fontId="153" fillId="6" borderId="0" xfId="0" applyNumberFormat="1" applyFont="1" applyFill="1" applyBorder="1" applyAlignment="1" applyProtection="1">
      <alignment horizontal="center" vertical="center" wrapText="1"/>
      <protection hidden="1"/>
    </xf>
    <xf numFmtId="4" fontId="28" fillId="6" borderId="0" xfId="0" applyNumberFormat="1" applyFont="1" applyFill="1" applyBorder="1" applyAlignment="1" applyProtection="1">
      <alignment horizontal="right" vertical="center"/>
      <protection hidden="1"/>
    </xf>
    <xf numFmtId="49" fontId="3" fillId="6" borderId="0" xfId="8" applyNumberFormat="1" applyFont="1" applyFill="1" applyBorder="1" applyAlignment="1">
      <alignment vertical="center"/>
    </xf>
    <xf numFmtId="0" fontId="156" fillId="6" borderId="0" xfId="0" applyFont="1" applyFill="1" applyBorder="1" applyAlignment="1">
      <alignment horizontal="center" vertical="center"/>
    </xf>
    <xf numFmtId="0" fontId="152" fillId="6" borderId="0" xfId="0" applyFont="1" applyFill="1" applyBorder="1" applyAlignment="1" applyProtection="1">
      <alignment vertical="center"/>
      <protection hidden="1"/>
    </xf>
    <xf numFmtId="0" fontId="152" fillId="6" borderId="0" xfId="0" applyFont="1" applyFill="1" applyBorder="1" applyAlignment="1" applyProtection="1">
      <alignment horizontal="center" vertical="center"/>
      <protection hidden="1"/>
    </xf>
    <xf numFmtId="0" fontId="157" fillId="2" borderId="0" xfId="0" applyFont="1" applyFill="1" applyBorder="1" applyProtection="1">
      <protection hidden="1"/>
    </xf>
    <xf numFmtId="0" fontId="28" fillId="6" borderId="0" xfId="0" applyFont="1" applyFill="1" applyBorder="1" applyProtection="1">
      <protection hidden="1"/>
    </xf>
    <xf numFmtId="167" fontId="28" fillId="6" borderId="0" xfId="2" applyNumberFormat="1" applyFont="1" applyFill="1" applyBorder="1" applyProtection="1">
      <protection hidden="1"/>
    </xf>
    <xf numFmtId="0" fontId="28" fillId="6" borderId="0" xfId="0" applyFont="1" applyFill="1" applyBorder="1" applyAlignment="1" applyProtection="1">
      <alignment vertical="center"/>
      <protection hidden="1"/>
    </xf>
    <xf numFmtId="0" fontId="13" fillId="2" borderId="0" xfId="0" applyFont="1" applyFill="1" applyBorder="1" applyAlignment="1" applyProtection="1">
      <alignment vertical="top" wrapText="1"/>
      <protection hidden="1"/>
    </xf>
    <xf numFmtId="167" fontId="28" fillId="6" borderId="0" xfId="2" applyNumberFormat="1" applyFont="1" applyFill="1" applyBorder="1" applyAlignment="1" applyProtection="1">
      <alignment vertical="center"/>
      <protection hidden="1"/>
    </xf>
    <xf numFmtId="0" fontId="57" fillId="6" borderId="0" xfId="1" applyFont="1" applyFill="1" applyBorder="1" applyAlignment="1" applyProtection="1">
      <alignment horizontal="center" vertical="center" wrapText="1"/>
    </xf>
    <xf numFmtId="49" fontId="56" fillId="6" borderId="0" xfId="8" applyNumberFormat="1" applyFont="1" applyFill="1" applyBorder="1" applyAlignment="1">
      <alignment horizontal="left" vertical="center"/>
    </xf>
    <xf numFmtId="167" fontId="56" fillId="6" borderId="0" xfId="2" applyNumberFormat="1" applyFont="1" applyFill="1" applyBorder="1" applyAlignment="1">
      <alignment horizontal="left" vertical="center"/>
    </xf>
    <xf numFmtId="0" fontId="55" fillId="6" borderId="0" xfId="0" applyFont="1" applyFill="1" applyBorder="1" applyAlignment="1">
      <alignment horizontal="left" vertical="center" wrapText="1"/>
    </xf>
    <xf numFmtId="0" fontId="13" fillId="2" borderId="0" xfId="0" applyFont="1" applyFill="1" applyBorder="1" applyAlignment="1" applyProtection="1">
      <alignment vertical="center" wrapText="1"/>
      <protection hidden="1"/>
    </xf>
    <xf numFmtId="0" fontId="2" fillId="6" borderId="0" xfId="0" applyFont="1" applyFill="1" applyBorder="1" applyAlignment="1" applyProtection="1">
      <alignment horizontal="center"/>
      <protection hidden="1"/>
    </xf>
    <xf numFmtId="0" fontId="59" fillId="6" borderId="0" xfId="8" applyNumberFormat="1" applyFont="1" applyFill="1" applyBorder="1" applyAlignment="1">
      <alignment vertical="center"/>
    </xf>
    <xf numFmtId="0" fontId="13" fillId="2" borderId="0" xfId="0" applyFont="1" applyFill="1" applyBorder="1" applyAlignment="1" applyProtection="1">
      <alignment horizontal="left" vertical="top" wrapText="1" readingOrder="1"/>
      <protection hidden="1"/>
    </xf>
    <xf numFmtId="0" fontId="52" fillId="6" borderId="0" xfId="0" applyNumberFormat="1" applyFont="1" applyFill="1" applyBorder="1" applyAlignment="1" applyProtection="1">
      <alignment vertical="center"/>
      <protection hidden="1"/>
    </xf>
    <xf numFmtId="0" fontId="13" fillId="2" borderId="0" xfId="0" applyFont="1" applyFill="1" applyBorder="1" applyAlignment="1" applyProtection="1">
      <alignment horizontal="center" vertical="top" wrapText="1" readingOrder="1"/>
      <protection hidden="1"/>
    </xf>
    <xf numFmtId="0" fontId="29" fillId="6" borderId="0" xfId="0" applyNumberFormat="1" applyFont="1" applyFill="1" applyBorder="1" applyAlignment="1" applyProtection="1">
      <alignment vertical="center"/>
      <protection hidden="1"/>
    </xf>
    <xf numFmtId="0" fontId="159" fillId="6" borderId="0" xfId="0" applyNumberFormat="1" applyFont="1" applyFill="1" applyBorder="1" applyAlignment="1" applyProtection="1">
      <alignment vertical="center"/>
      <protection hidden="1"/>
    </xf>
    <xf numFmtId="0" fontId="159" fillId="6" borderId="0" xfId="0" applyNumberFormat="1" applyFont="1" applyFill="1" applyBorder="1" applyAlignment="1" applyProtection="1">
      <alignment horizontal="center" vertical="center"/>
      <protection hidden="1"/>
    </xf>
    <xf numFmtId="0" fontId="28" fillId="6" borderId="0" xfId="0" applyNumberFormat="1" applyFont="1" applyFill="1" applyBorder="1" applyAlignment="1" applyProtection="1">
      <alignment vertical="center" wrapText="1"/>
      <protection hidden="1"/>
    </xf>
    <xf numFmtId="49" fontId="18" fillId="6" borderId="0" xfId="0" applyNumberFormat="1" applyFont="1" applyFill="1" applyBorder="1" applyAlignment="1" applyProtection="1">
      <alignment vertical="center" wrapText="1"/>
      <protection locked="0"/>
    </xf>
    <xf numFmtId="49" fontId="2" fillId="6" borderId="0" xfId="8" applyNumberFormat="1" applyFont="1" applyFill="1" applyBorder="1" applyAlignment="1">
      <alignment vertical="center"/>
    </xf>
    <xf numFmtId="49" fontId="160" fillId="6" borderId="0" xfId="8" applyNumberFormat="1" applyFont="1" applyFill="1" applyBorder="1" applyAlignment="1">
      <alignment vertical="center"/>
    </xf>
    <xf numFmtId="9" fontId="29" fillId="6" borderId="0" xfId="0" applyNumberFormat="1" applyFont="1" applyFill="1" applyBorder="1" applyAlignment="1" applyProtection="1">
      <alignment vertical="center" wrapText="1"/>
      <protection hidden="1"/>
    </xf>
    <xf numFmtId="169" fontId="29" fillId="6" borderId="0" xfId="0" applyNumberFormat="1" applyFont="1" applyFill="1" applyBorder="1" applyAlignment="1" applyProtection="1">
      <alignment vertical="center" wrapText="1"/>
      <protection hidden="1"/>
    </xf>
    <xf numFmtId="0" fontId="49" fillId="6" borderId="0" xfId="0" applyNumberFormat="1" applyFont="1" applyFill="1" applyBorder="1" applyAlignment="1" applyProtection="1">
      <alignment horizontal="left" vertical="center"/>
      <protection hidden="1"/>
    </xf>
    <xf numFmtId="49" fontId="12" fillId="2" borderId="0" xfId="8" applyNumberFormat="1" applyFont="1" applyFill="1" applyBorder="1" applyAlignment="1">
      <alignment vertical="center"/>
    </xf>
    <xf numFmtId="0" fontId="31" fillId="2" borderId="0" xfId="0" applyFont="1" applyFill="1" applyBorder="1" applyAlignment="1" applyProtection="1">
      <alignment horizontal="left" vertical="top" wrapText="1" readingOrder="1"/>
      <protection hidden="1"/>
    </xf>
    <xf numFmtId="0" fontId="18" fillId="6" borderId="0" xfId="0" applyNumberFormat="1" applyFont="1" applyFill="1" applyBorder="1" applyAlignment="1" applyProtection="1">
      <alignment vertical="center"/>
      <protection hidden="1"/>
    </xf>
    <xf numFmtId="2" fontId="161" fillId="6" borderId="0" xfId="0" applyNumberFormat="1" applyFont="1" applyFill="1" applyBorder="1" applyAlignment="1" applyProtection="1">
      <alignment horizontal="center" vertical="center" wrapText="1"/>
      <protection hidden="1"/>
    </xf>
    <xf numFmtId="0" fontId="29" fillId="6" borderId="0" xfId="0" applyNumberFormat="1" applyFont="1" applyFill="1" applyBorder="1" applyAlignment="1" applyProtection="1">
      <alignment vertical="center" wrapText="1"/>
      <protection hidden="1"/>
    </xf>
    <xf numFmtId="0" fontId="30" fillId="2" borderId="0" xfId="0" applyFont="1" applyFill="1" applyBorder="1" applyAlignment="1" applyProtection="1">
      <alignment horizontal="center" vertical="center"/>
      <protection hidden="1"/>
    </xf>
    <xf numFmtId="0" fontId="18" fillId="6" borderId="0" xfId="0" applyNumberFormat="1" applyFont="1" applyFill="1" applyBorder="1" applyAlignment="1" applyProtection="1">
      <alignment vertical="center" wrapText="1"/>
      <protection hidden="1"/>
    </xf>
    <xf numFmtId="0" fontId="38" fillId="2" borderId="0" xfId="0" applyFont="1" applyFill="1" applyBorder="1" applyAlignment="1">
      <alignment vertical="center" wrapText="1"/>
    </xf>
    <xf numFmtId="49" fontId="12" fillId="6" borderId="0" xfId="8" applyNumberFormat="1" applyFont="1" applyFill="1" applyBorder="1" applyAlignment="1">
      <alignment vertical="center"/>
    </xf>
    <xf numFmtId="0" fontId="150" fillId="2" borderId="0" xfId="0" applyFont="1" applyFill="1" applyBorder="1" applyAlignment="1" applyProtection="1">
      <alignment horizontal="center" vertical="center"/>
      <protection hidden="1"/>
    </xf>
    <xf numFmtId="2" fontId="160" fillId="6" borderId="0" xfId="0" applyNumberFormat="1" applyFont="1" applyFill="1" applyBorder="1" applyAlignment="1" applyProtection="1">
      <alignment vertical="center" wrapText="1"/>
      <protection hidden="1"/>
    </xf>
    <xf numFmtId="0" fontId="16" fillId="6" borderId="0" xfId="0" applyNumberFormat="1" applyFont="1" applyFill="1" applyBorder="1" applyAlignment="1" applyProtection="1">
      <alignment vertical="center" wrapText="1"/>
      <protection hidden="1"/>
    </xf>
    <xf numFmtId="0" fontId="10" fillId="6" borderId="61" xfId="1" applyFill="1" applyBorder="1" applyAlignment="1" applyProtection="1">
      <alignment horizontal="center" vertical="center"/>
      <protection locked="0"/>
    </xf>
    <xf numFmtId="0" fontId="57" fillId="2" borderId="0" xfId="0" applyFont="1" applyFill="1" applyBorder="1" applyProtection="1">
      <protection hidden="1"/>
    </xf>
    <xf numFmtId="0" fontId="150" fillId="2" borderId="0" xfId="0" applyFont="1" applyFill="1" applyBorder="1" applyProtection="1">
      <protection hidden="1"/>
    </xf>
    <xf numFmtId="0" fontId="3" fillId="2" borderId="0" xfId="0" applyFont="1" applyFill="1" applyBorder="1" applyAlignment="1" applyProtection="1">
      <protection hidden="1"/>
    </xf>
    <xf numFmtId="0" fontId="13" fillId="2" borderId="0" xfId="0" applyNumberFormat="1" applyFont="1" applyFill="1" applyBorder="1" applyAlignment="1" applyProtection="1">
      <alignment vertical="center"/>
      <protection hidden="1"/>
    </xf>
    <xf numFmtId="0" fontId="9" fillId="3" borderId="0" xfId="0" applyNumberFormat="1" applyFont="1" applyFill="1" applyBorder="1" applyAlignment="1" applyProtection="1">
      <alignment vertical="center"/>
      <protection hidden="1"/>
    </xf>
    <xf numFmtId="0" fontId="48" fillId="3" borderId="0" xfId="0" applyNumberFormat="1" applyFont="1" applyFill="1" applyBorder="1" applyAlignment="1" applyProtection="1">
      <alignment horizontal="center" vertical="center"/>
      <protection hidden="1"/>
    </xf>
    <xf numFmtId="0" fontId="47" fillId="48" borderId="0" xfId="0" applyFont="1" applyFill="1" applyBorder="1" applyAlignment="1" applyProtection="1">
      <alignment horizontal="right" vertical="center"/>
      <protection hidden="1"/>
    </xf>
    <xf numFmtId="0" fontId="44" fillId="48" borderId="0" xfId="0" applyFont="1" applyFill="1" applyBorder="1" applyAlignment="1" applyProtection="1">
      <alignment vertical="center"/>
      <protection hidden="1"/>
    </xf>
    <xf numFmtId="0" fontId="3" fillId="48" borderId="0" xfId="0" applyFont="1" applyFill="1" applyBorder="1" applyProtection="1">
      <protection hidden="1"/>
    </xf>
    <xf numFmtId="0" fontId="46" fillId="48" borderId="0" xfId="0" applyFont="1" applyFill="1" applyBorder="1" applyAlignment="1" applyProtection="1">
      <protection locked="0" hidden="1"/>
    </xf>
    <xf numFmtId="0" fontId="28" fillId="48" borderId="0" xfId="0" applyFont="1" applyFill="1" applyBorder="1" applyAlignment="1" applyProtection="1">
      <alignment vertical="center"/>
      <protection hidden="1"/>
    </xf>
    <xf numFmtId="0" fontId="46" fillId="48" borderId="0" xfId="0" applyFont="1" applyFill="1" applyBorder="1" applyAlignment="1" applyProtection="1">
      <alignment horizontal="right"/>
      <protection locked="0" hidden="1"/>
    </xf>
    <xf numFmtId="0" fontId="45" fillId="48" borderId="0" xfId="0" applyFont="1" applyFill="1" applyBorder="1" applyAlignment="1" applyProtection="1">
      <alignment horizontal="right" vertical="center"/>
      <protection hidden="1"/>
    </xf>
    <xf numFmtId="49" fontId="46" fillId="48" borderId="0" xfId="0" applyNumberFormat="1" applyFont="1" applyFill="1" applyBorder="1" applyAlignment="1" applyProtection="1">
      <protection locked="0" hidden="1"/>
    </xf>
    <xf numFmtId="0" fontId="164" fillId="48" borderId="0" xfId="0" applyFont="1" applyFill="1" applyBorder="1" applyAlignment="1" applyProtection="1">
      <alignment horizontal="center" vertical="center"/>
      <protection hidden="1"/>
    </xf>
    <xf numFmtId="0" fontId="28" fillId="2" borderId="0" xfId="0" applyFont="1" applyFill="1" applyBorder="1" applyProtection="1">
      <protection hidden="1"/>
    </xf>
    <xf numFmtId="0" fontId="28" fillId="2" borderId="0" xfId="0" applyFont="1" applyFill="1" applyBorder="1" applyAlignment="1" applyProtection="1">
      <alignment vertical="center"/>
      <protection hidden="1"/>
    </xf>
    <xf numFmtId="0" fontId="28" fillId="2" borderId="0" xfId="0" applyFont="1" applyFill="1" applyBorder="1" applyAlignment="1" applyProtection="1">
      <alignment horizontal="center" vertical="center"/>
      <protection hidden="1"/>
    </xf>
    <xf numFmtId="0" fontId="28" fillId="2" borderId="0" xfId="0" applyNumberFormat="1" applyFont="1" applyFill="1" applyBorder="1" applyAlignment="1" applyProtection="1">
      <alignment vertical="center" wrapText="1"/>
      <protection hidden="1"/>
    </xf>
    <xf numFmtId="49" fontId="10" fillId="6" borderId="0" xfId="1" applyNumberFormat="1" applyFill="1" applyBorder="1" applyAlignment="1" applyProtection="1">
      <alignment vertical="center"/>
    </xf>
    <xf numFmtId="0" fontId="29" fillId="0" borderId="0" xfId="0" applyFont="1" applyFill="1" applyBorder="1" applyAlignment="1">
      <alignment horizontal="center" vertical="center" wrapText="1"/>
    </xf>
    <xf numFmtId="3" fontId="29" fillId="0" borderId="0" xfId="13" applyNumberFormat="1" applyFont="1" applyFill="1" applyBorder="1" applyAlignment="1">
      <alignment horizontal="center" vertical="center" wrapText="1"/>
    </xf>
    <xf numFmtId="3" fontId="29" fillId="0" borderId="0" xfId="0" applyNumberFormat="1" applyFont="1" applyFill="1" applyBorder="1" applyAlignment="1">
      <alignment horizontal="right" vertical="center" wrapText="1"/>
    </xf>
    <xf numFmtId="2" fontId="29" fillId="0" borderId="0" xfId="0" applyNumberFormat="1" applyFont="1" applyFill="1" applyBorder="1" applyAlignment="1">
      <alignment horizontal="right" vertical="center" wrapText="1"/>
    </xf>
    <xf numFmtId="2" fontId="33" fillId="0" borderId="0" xfId="0" applyNumberFormat="1" applyFont="1" applyFill="1" applyBorder="1" applyAlignment="1">
      <alignment horizontal="justify" vertical="center" wrapText="1"/>
    </xf>
    <xf numFmtId="0" fontId="169" fillId="51" borderId="0" xfId="0" applyFont="1" applyFill="1" applyBorder="1" applyAlignment="1">
      <alignment horizontal="center" vertical="center" wrapText="1"/>
    </xf>
    <xf numFmtId="0" fontId="170" fillId="51" borderId="0" xfId="0" applyFont="1" applyFill="1" applyBorder="1" applyAlignment="1">
      <alignment horizontal="center" vertical="center"/>
    </xf>
    <xf numFmtId="166" fontId="33" fillId="0" borderId="0" xfId="0" applyNumberFormat="1" applyFont="1" applyFill="1" applyBorder="1" applyAlignment="1">
      <alignment horizontal="justify" vertical="center" wrapText="1"/>
    </xf>
    <xf numFmtId="2" fontId="33" fillId="0" borderId="0" xfId="0" applyNumberFormat="1" applyFont="1" applyFill="1" applyBorder="1" applyAlignment="1">
      <alignment horizontal="right" vertical="center" wrapText="1"/>
    </xf>
    <xf numFmtId="2" fontId="33" fillId="0" borderId="0" xfId="0" applyNumberFormat="1" applyFont="1" applyFill="1" applyBorder="1"/>
    <xf numFmtId="0" fontId="52" fillId="0" borderId="0" xfId="0" applyFont="1" applyFill="1" applyBorder="1" applyAlignment="1">
      <alignment horizontal="justify" vertical="center" wrapText="1"/>
    </xf>
    <xf numFmtId="2" fontId="38" fillId="0" borderId="0" xfId="0" applyNumberFormat="1" applyFont="1" applyFill="1" applyBorder="1" applyAlignment="1">
      <alignment horizontal="right" vertical="center" wrapText="1"/>
    </xf>
    <xf numFmtId="167" fontId="38" fillId="0" borderId="0" xfId="2" applyNumberFormat="1" applyFont="1" applyFill="1" applyBorder="1" applyAlignment="1">
      <alignment horizontal="right" vertical="center" wrapText="1"/>
    </xf>
    <xf numFmtId="2" fontId="38" fillId="0" borderId="0" xfId="2" applyNumberFormat="1" applyFont="1" applyFill="1" applyBorder="1" applyAlignment="1">
      <alignment horizontal="right" vertical="center" wrapText="1"/>
    </xf>
    <xf numFmtId="2" fontId="38" fillId="0" borderId="0" xfId="0" applyNumberFormat="1" applyFont="1" applyFill="1" applyBorder="1" applyAlignment="1">
      <alignment horizontal="justify" vertical="center" wrapText="1"/>
    </xf>
    <xf numFmtId="3" fontId="29" fillId="0" borderId="0" xfId="0" applyNumberFormat="1" applyFont="1" applyFill="1" applyBorder="1" applyAlignment="1" applyProtection="1">
      <alignment horizontal="right"/>
      <protection hidden="1"/>
    </xf>
    <xf numFmtId="0" fontId="171" fillId="51" borderId="0" xfId="0" applyFont="1" applyFill="1" applyBorder="1" applyAlignment="1" applyProtection="1">
      <alignment horizontal="center"/>
      <protection hidden="1"/>
    </xf>
    <xf numFmtId="2" fontId="52" fillId="0" borderId="0" xfId="0" applyNumberFormat="1" applyFont="1" applyFill="1" applyBorder="1"/>
    <xf numFmtId="0" fontId="52" fillId="0" borderId="0" xfId="0" applyFont="1" applyFill="1" applyBorder="1" applyAlignment="1">
      <alignment horizontal="center" vertical="center" wrapText="1"/>
    </xf>
    <xf numFmtId="3" fontId="52" fillId="0" borderId="0" xfId="0" applyNumberFormat="1" applyFont="1" applyFill="1" applyBorder="1" applyAlignment="1">
      <alignment horizontal="justify" vertical="center" wrapText="1"/>
    </xf>
    <xf numFmtId="3" fontId="52" fillId="0" borderId="0" xfId="0" applyNumberFormat="1" applyFont="1" applyFill="1" applyBorder="1" applyAlignment="1">
      <alignment horizontal="center" vertical="center" wrapText="1"/>
    </xf>
    <xf numFmtId="3" fontId="52" fillId="0" borderId="0" xfId="13" applyNumberFormat="1" applyFont="1" applyFill="1" applyBorder="1" applyAlignment="1">
      <alignment horizontal="center" vertical="center" wrapText="1"/>
    </xf>
    <xf numFmtId="3" fontId="52" fillId="0" borderId="0" xfId="0" applyNumberFormat="1" applyFont="1" applyFill="1" applyBorder="1" applyAlignment="1">
      <alignment horizontal="center" vertical="center"/>
    </xf>
    <xf numFmtId="166" fontId="52" fillId="0" borderId="0" xfId="0" applyNumberFormat="1" applyFont="1" applyFill="1" applyBorder="1" applyAlignment="1">
      <alignment horizontal="justify" vertical="center" wrapText="1"/>
    </xf>
    <xf numFmtId="2" fontId="52" fillId="0" borderId="0" xfId="0" applyNumberFormat="1" applyFont="1" applyFill="1" applyBorder="1" applyAlignment="1">
      <alignment horizontal="right" vertical="center" wrapText="1"/>
    </xf>
    <xf numFmtId="167" fontId="52" fillId="0" borderId="0" xfId="2" applyNumberFormat="1" applyFont="1" applyFill="1" applyBorder="1" applyAlignment="1">
      <alignment horizontal="right" vertical="center" wrapText="1"/>
    </xf>
    <xf numFmtId="2" fontId="52" fillId="0" borderId="0" xfId="2" applyNumberFormat="1" applyFont="1" applyFill="1" applyBorder="1" applyAlignment="1">
      <alignment horizontal="right" vertical="center" wrapText="1"/>
    </xf>
    <xf numFmtId="0" fontId="85" fillId="0" borderId="0" xfId="0" applyFont="1" applyFill="1" applyBorder="1" applyAlignment="1">
      <alignment horizontal="center" vertical="center"/>
    </xf>
    <xf numFmtId="2" fontId="52" fillId="0" borderId="0" xfId="0" applyNumberFormat="1" applyFont="1" applyFill="1" applyBorder="1" applyAlignment="1">
      <alignment horizontal="justify" vertical="center" wrapText="1"/>
    </xf>
    <xf numFmtId="2" fontId="38" fillId="0" borderId="0" xfId="0" applyNumberFormat="1" applyFont="1" applyFill="1" applyBorder="1" applyAlignment="1">
      <alignment horizontal="center" vertical="center" wrapText="1"/>
    </xf>
    <xf numFmtId="0" fontId="154" fillId="6" borderId="0" xfId="0" applyFont="1" applyFill="1" applyBorder="1" applyAlignment="1">
      <alignment horizontal="center" vertical="center"/>
    </xf>
    <xf numFmtId="1" fontId="38" fillId="0" borderId="0" xfId="0" applyNumberFormat="1" applyFont="1" applyFill="1" applyBorder="1" applyAlignment="1">
      <alignment horizontal="right" vertical="center" wrapText="1"/>
    </xf>
    <xf numFmtId="2" fontId="29" fillId="0" borderId="0" xfId="0" applyNumberFormat="1" applyFont="1" applyFill="1" applyBorder="1" applyProtection="1">
      <protection hidden="1"/>
    </xf>
    <xf numFmtId="0" fontId="38" fillId="6" borderId="0" xfId="0" applyFont="1" applyFill="1" applyBorder="1" applyAlignment="1">
      <alignment horizontal="justify" vertical="center" wrapText="1"/>
    </xf>
    <xf numFmtId="0" fontId="154" fillId="0" borderId="0" xfId="0" applyFont="1" applyFill="1" applyBorder="1" applyAlignment="1">
      <alignment horizontal="center" vertical="center"/>
    </xf>
    <xf numFmtId="0" fontId="60" fillId="0" borderId="5" xfId="0" applyFont="1" applyFill="1" applyBorder="1" applyAlignment="1">
      <alignment horizontal="center" vertical="center"/>
    </xf>
    <xf numFmtId="0" fontId="171" fillId="51" borderId="0" xfId="0" applyFont="1" applyFill="1" applyBorder="1" applyProtection="1">
      <protection hidden="1"/>
    </xf>
    <xf numFmtId="0" fontId="172" fillId="51" borderId="0" xfId="0" applyFont="1" applyFill="1" applyBorder="1" applyAlignment="1" applyProtection="1">
      <protection hidden="1"/>
    </xf>
    <xf numFmtId="0" fontId="33" fillId="2" borderId="0" xfId="0" applyFont="1" applyFill="1" applyBorder="1" applyAlignment="1">
      <alignment vertical="center" wrapText="1"/>
    </xf>
    <xf numFmtId="0" fontId="29" fillId="0" borderId="0" xfId="0" applyFont="1"/>
    <xf numFmtId="0" fontId="173" fillId="49" borderId="0" xfId="0" applyFont="1" applyFill="1" applyAlignment="1">
      <alignment horizontal="center"/>
    </xf>
    <xf numFmtId="0" fontId="174" fillId="49" borderId="0" xfId="0" applyFont="1" applyFill="1" applyAlignment="1">
      <alignment horizontal="center"/>
    </xf>
    <xf numFmtId="169" fontId="123" fillId="0" borderId="0" xfId="8" applyNumberFormat="1" applyFont="1" applyFill="1" applyBorder="1"/>
    <xf numFmtId="0" fontId="17" fillId="2" borderId="0" xfId="0" applyFont="1" applyFill="1" applyBorder="1" applyAlignment="1">
      <alignment horizontal="left" vertical="center" wrapText="1"/>
    </xf>
    <xf numFmtId="0" fontId="29" fillId="2" borderId="0" xfId="0" applyFont="1" applyFill="1" applyBorder="1" applyAlignment="1" applyProtection="1">
      <protection hidden="1"/>
    </xf>
    <xf numFmtId="0" fontId="18" fillId="2" borderId="0" xfId="0" applyFont="1" applyFill="1" applyBorder="1" applyProtection="1">
      <protection hidden="1"/>
    </xf>
    <xf numFmtId="0" fontId="18" fillId="2" borderId="0" xfId="0" applyFont="1" applyFill="1" applyBorder="1" applyAlignment="1" applyProtection="1">
      <alignment horizontal="left"/>
      <protection hidden="1"/>
    </xf>
    <xf numFmtId="0" fontId="18" fillId="2" borderId="0" xfId="0" applyFont="1" applyFill="1" applyBorder="1" applyAlignment="1" applyProtection="1">
      <alignment horizontal="left" vertical="center"/>
      <protection hidden="1"/>
    </xf>
    <xf numFmtId="0" fontId="18" fillId="2" borderId="0" xfId="0" applyFont="1" applyFill="1" applyBorder="1" applyAlignment="1" applyProtection="1">
      <alignment horizontal="center" vertical="center"/>
      <protection hidden="1"/>
    </xf>
    <xf numFmtId="0" fontId="177" fillId="0" borderId="0" xfId="0" applyFont="1" applyFill="1" applyBorder="1" applyAlignment="1" applyProtection="1">
      <alignment horizontal="center" vertical="center"/>
      <protection hidden="1"/>
    </xf>
    <xf numFmtId="0" fontId="29" fillId="0" borderId="0" xfId="0" applyFont="1" applyBorder="1" applyAlignment="1">
      <alignment horizontal="justify" vertical="center" wrapText="1"/>
    </xf>
    <xf numFmtId="167" fontId="33" fillId="0" borderId="0" xfId="2" applyNumberFormat="1" applyFont="1" applyFill="1" applyBorder="1" applyAlignment="1">
      <alignment horizontal="right" vertical="center" wrapText="1"/>
    </xf>
    <xf numFmtId="0" fontId="35" fillId="0" borderId="0" xfId="0" applyFont="1" applyFill="1" applyBorder="1" applyAlignment="1" applyProtection="1">
      <alignment horizontal="center" vertical="center" wrapText="1"/>
      <protection hidden="1"/>
    </xf>
    <xf numFmtId="0" fontId="63" fillId="0" borderId="0" xfId="0" applyFont="1" applyFill="1" applyBorder="1" applyAlignment="1">
      <alignment horizontal="center" vertical="center" wrapText="1"/>
    </xf>
    <xf numFmtId="0" fontId="29" fillId="0" borderId="0" xfId="0" applyFont="1" applyFill="1" applyBorder="1" applyAlignment="1" applyProtection="1">
      <alignment horizontal="center" vertical="center" wrapText="1"/>
      <protection hidden="1"/>
    </xf>
    <xf numFmtId="0" fontId="29" fillId="0" borderId="0" xfId="0" applyNumberFormat="1" applyFont="1" applyFill="1" applyBorder="1" applyAlignment="1">
      <alignment horizontal="center" vertical="center" wrapText="1"/>
    </xf>
    <xf numFmtId="0" fontId="33" fillId="0" borderId="0" xfId="0" applyFont="1" applyFill="1" applyBorder="1" applyAlignment="1">
      <alignment horizontal="center" vertical="center" wrapText="1"/>
    </xf>
    <xf numFmtId="2" fontId="33" fillId="0" borderId="0" xfId="0" applyNumberFormat="1" applyFont="1" applyFill="1" applyBorder="1" applyAlignment="1">
      <alignment horizontal="center" vertical="center" wrapText="1"/>
    </xf>
    <xf numFmtId="166" fontId="41" fillId="0" borderId="0" xfId="0" applyNumberFormat="1" applyFont="1" applyFill="1" applyBorder="1" applyAlignment="1">
      <alignment horizontal="center" vertical="center" wrapText="1"/>
    </xf>
    <xf numFmtId="3" fontId="40" fillId="0" borderId="0" xfId="0" applyNumberFormat="1" applyFont="1" applyFill="1" applyBorder="1" applyAlignment="1">
      <alignment horizontal="center" vertical="center" wrapText="1"/>
    </xf>
    <xf numFmtId="3" fontId="41" fillId="0" borderId="0" xfId="13" applyNumberFormat="1" applyFont="1" applyFill="1" applyBorder="1" applyAlignment="1">
      <alignment horizontal="center" vertical="center" wrapText="1"/>
    </xf>
    <xf numFmtId="3" fontId="29" fillId="0" borderId="0" xfId="0" applyNumberFormat="1" applyFont="1" applyFill="1" applyBorder="1" applyAlignment="1" applyProtection="1">
      <alignment horizontal="center" vertical="center" wrapText="1"/>
      <protection hidden="1"/>
    </xf>
    <xf numFmtId="0" fontId="43" fillId="0" borderId="3" xfId="0" applyFont="1" applyFill="1" applyBorder="1" applyAlignment="1">
      <alignment horizontal="center" vertical="center"/>
    </xf>
    <xf numFmtId="0" fontId="33" fillId="0" borderId="3" xfId="0" applyFont="1" applyFill="1" applyBorder="1" applyAlignment="1">
      <alignment horizontal="justify" vertical="center" wrapText="1"/>
    </xf>
    <xf numFmtId="0" fontId="29" fillId="0" borderId="3" xfId="0" applyFont="1" applyFill="1" applyBorder="1" applyAlignment="1">
      <alignment horizontal="center" vertical="center"/>
    </xf>
    <xf numFmtId="0" fontId="38" fillId="0" borderId="3" xfId="0" applyFont="1" applyFill="1" applyBorder="1" applyAlignment="1">
      <alignment horizontal="justify" vertical="center" wrapText="1"/>
    </xf>
    <xf numFmtId="0" fontId="29" fillId="52" borderId="0" xfId="0" applyFont="1" applyFill="1" applyBorder="1" applyAlignment="1">
      <alignment horizontal="center" vertical="center" wrapText="1"/>
    </xf>
    <xf numFmtId="0" fontId="29" fillId="52" borderId="0" xfId="0" applyFont="1" applyFill="1" applyBorder="1" applyAlignment="1" applyProtection="1">
      <alignment horizontal="justify" vertical="center" wrapText="1"/>
      <protection hidden="1"/>
    </xf>
    <xf numFmtId="0" fontId="63" fillId="52" borderId="0" xfId="0" applyFont="1" applyFill="1" applyBorder="1" applyAlignment="1">
      <alignment horizontal="justify" vertical="center" wrapText="1"/>
    </xf>
    <xf numFmtId="0" fontId="33" fillId="13" borderId="3" xfId="0" applyFont="1" applyFill="1" applyBorder="1" applyAlignment="1">
      <alignment horizontal="justify" vertical="center" wrapText="1"/>
    </xf>
    <xf numFmtId="0" fontId="178" fillId="15" borderId="0" xfId="0" applyFont="1" applyFill="1" applyBorder="1" applyAlignment="1">
      <alignment vertical="center" wrapText="1"/>
    </xf>
    <xf numFmtId="0" fontId="2" fillId="48" borderId="0" xfId="0" applyFont="1" applyFill="1" applyBorder="1" applyAlignment="1" applyProtection="1">
      <alignment horizontal="center"/>
      <protection locked="0" hidden="1"/>
    </xf>
    <xf numFmtId="0" fontId="3" fillId="20" borderId="0" xfId="0" applyFont="1" applyFill="1" applyBorder="1" applyProtection="1">
      <protection hidden="1"/>
    </xf>
    <xf numFmtId="0" fontId="168" fillId="20" borderId="0" xfId="0" applyFont="1" applyFill="1" applyBorder="1" applyAlignment="1" applyProtection="1">
      <alignment horizontal="left" vertical="center"/>
      <protection hidden="1"/>
    </xf>
    <xf numFmtId="0" fontId="46" fillId="20" borderId="0" xfId="0" applyFont="1" applyFill="1" applyBorder="1" applyAlignment="1" applyProtection="1">
      <protection locked="0" hidden="1"/>
    </xf>
    <xf numFmtId="0" fontId="168" fillId="48" borderId="0" xfId="0" applyFont="1" applyFill="1" applyBorder="1" applyAlignment="1" applyProtection="1">
      <alignment horizontal="left" vertical="center"/>
      <protection hidden="1"/>
    </xf>
    <xf numFmtId="0" fontId="165" fillId="48" borderId="0" xfId="0" applyFont="1" applyFill="1" applyBorder="1" applyAlignment="1" applyProtection="1">
      <alignment horizontal="center"/>
      <protection locked="0"/>
    </xf>
    <xf numFmtId="0" fontId="179" fillId="48" borderId="0" xfId="0" applyFont="1" applyFill="1" applyBorder="1" applyAlignment="1" applyProtection="1">
      <alignment horizontal="right"/>
      <protection hidden="1"/>
    </xf>
    <xf numFmtId="0" fontId="121" fillId="48" borderId="0" xfId="0" applyFont="1" applyFill="1" applyBorder="1" applyAlignment="1" applyProtection="1">
      <alignment horizontal="center" vertical="center"/>
      <protection locked="0" hidden="1"/>
    </xf>
    <xf numFmtId="0" fontId="165" fillId="20" borderId="0" xfId="0" applyFont="1" applyFill="1" applyBorder="1" applyAlignment="1" applyProtection="1">
      <alignment horizontal="center"/>
      <protection locked="0"/>
    </xf>
    <xf numFmtId="0" fontId="42" fillId="48" borderId="0" xfId="0" applyFont="1" applyFill="1" applyBorder="1" applyAlignment="1" applyProtection="1">
      <alignment horizontal="left" vertical="center"/>
      <protection hidden="1"/>
    </xf>
    <xf numFmtId="49" fontId="20" fillId="48" borderId="69" xfId="8" applyNumberFormat="1" applyFont="1" applyFill="1" applyBorder="1" applyAlignment="1">
      <alignment vertical="center"/>
    </xf>
    <xf numFmtId="49" fontId="155" fillId="0" borderId="69" xfId="8" applyNumberFormat="1" applyFont="1" applyFill="1" applyBorder="1" applyAlignment="1">
      <alignment horizontal="center" vertical="center"/>
    </xf>
    <xf numFmtId="0" fontId="154" fillId="0" borderId="69" xfId="0" applyFont="1" applyFill="1" applyBorder="1" applyAlignment="1">
      <alignment horizontal="center" vertical="center"/>
    </xf>
    <xf numFmtId="0" fontId="28" fillId="48" borderId="69" xfId="8" applyNumberFormat="1" applyFont="1" applyFill="1" applyBorder="1" applyAlignment="1">
      <alignment horizontal="center" vertical="center"/>
    </xf>
    <xf numFmtId="0" fontId="28" fillId="2" borderId="69" xfId="8" applyNumberFormat="1" applyFont="1" applyFill="1" applyBorder="1" applyAlignment="1">
      <alignment horizontal="center" vertical="center"/>
    </xf>
    <xf numFmtId="49" fontId="28" fillId="2" borderId="69" xfId="8" applyNumberFormat="1" applyFont="1" applyFill="1" applyBorder="1" applyAlignment="1">
      <alignment horizontal="center" vertical="center"/>
    </xf>
    <xf numFmtId="49" fontId="12" fillId="36" borderId="72" xfId="8" applyNumberFormat="1" applyFont="1" applyFill="1" applyBorder="1" applyAlignment="1">
      <alignment vertical="center"/>
    </xf>
    <xf numFmtId="1" fontId="159" fillId="6" borderId="69" xfId="0" applyNumberFormat="1" applyFont="1" applyFill="1" applyBorder="1" applyAlignment="1" applyProtection="1">
      <alignment horizontal="center" vertical="center"/>
      <protection hidden="1"/>
    </xf>
    <xf numFmtId="1" fontId="58" fillId="6" borderId="69" xfId="0" applyNumberFormat="1" applyFont="1" applyFill="1" applyBorder="1" applyAlignment="1" applyProtection="1">
      <alignment horizontal="center" vertical="center"/>
      <protection hidden="1"/>
    </xf>
    <xf numFmtId="167" fontId="33" fillId="43" borderId="13" xfId="2" applyNumberFormat="1" applyFont="1" applyFill="1" applyBorder="1" applyAlignment="1">
      <alignment horizontal="center" vertical="center" wrapText="1"/>
    </xf>
    <xf numFmtId="49" fontId="38" fillId="48" borderId="69" xfId="2" applyNumberFormat="1" applyFont="1" applyFill="1" applyBorder="1" applyAlignment="1">
      <alignment horizontal="justify" vertical="center" wrapText="1"/>
    </xf>
    <xf numFmtId="49" fontId="38" fillId="2" borderId="69" xfId="2" applyNumberFormat="1" applyFont="1" applyFill="1" applyBorder="1" applyAlignment="1">
      <alignment horizontal="justify" vertical="center" wrapText="1"/>
    </xf>
    <xf numFmtId="49" fontId="38" fillId="0" borderId="0" xfId="2" applyNumberFormat="1" applyFont="1" applyFill="1" applyBorder="1" applyAlignment="1">
      <alignment horizontal="justify" vertical="center" wrapText="1"/>
    </xf>
    <xf numFmtId="49" fontId="33" fillId="0" borderId="0" xfId="2" applyNumberFormat="1" applyFont="1" applyFill="1" applyBorder="1" applyAlignment="1">
      <alignment horizontal="justify" vertical="center" wrapText="1"/>
    </xf>
    <xf numFmtId="0" fontId="64" fillId="2" borderId="0" xfId="0" applyFont="1" applyFill="1" applyBorder="1" applyAlignment="1">
      <alignment vertical="center" wrapText="1"/>
    </xf>
    <xf numFmtId="0" fontId="28" fillId="0" borderId="0" xfId="0" applyFont="1"/>
    <xf numFmtId="2" fontId="29" fillId="0" borderId="0" xfId="0" applyNumberFormat="1" applyFont="1" applyFill="1" applyBorder="1" applyAlignment="1" applyProtection="1">
      <protection hidden="1"/>
    </xf>
    <xf numFmtId="0" fontId="2" fillId="48" borderId="0" xfId="0" applyFont="1" applyFill="1" applyBorder="1" applyAlignment="1" applyProtection="1">
      <protection locked="0" hidden="1"/>
    </xf>
    <xf numFmtId="0" fontId="181" fillId="55" borderId="0" xfId="0" applyFont="1" applyFill="1" applyBorder="1" applyAlignment="1">
      <alignment horizontal="center" vertical="center"/>
    </xf>
    <xf numFmtId="0" fontId="180" fillId="15" borderId="0" xfId="0" applyFont="1" applyFill="1" applyBorder="1" applyAlignment="1" applyProtection="1">
      <protection hidden="1"/>
    </xf>
    <xf numFmtId="0" fontId="181" fillId="55" borderId="0" xfId="0" applyFont="1" applyFill="1" applyBorder="1" applyAlignment="1" applyProtection="1">
      <protection hidden="1"/>
    </xf>
    <xf numFmtId="0" fontId="125" fillId="0" borderId="12" xfId="0" applyFont="1" applyFill="1" applyBorder="1" applyAlignment="1">
      <alignment horizontal="center" vertical="center"/>
    </xf>
    <xf numFmtId="0" fontId="125" fillId="0" borderId="7" xfId="0" applyFont="1" applyFill="1" applyBorder="1" applyAlignment="1">
      <alignment horizontal="center" vertical="center"/>
    </xf>
    <xf numFmtId="0" fontId="184" fillId="54" borderId="79" xfId="8" applyFont="1" applyFill="1" applyBorder="1" applyAlignment="1">
      <alignment horizontal="center"/>
    </xf>
    <xf numFmtId="1" fontId="186" fillId="2" borderId="79" xfId="0" applyNumberFormat="1" applyFont="1" applyFill="1" applyBorder="1" applyAlignment="1" applyProtection="1">
      <alignment horizontal="center" vertical="center"/>
      <protection locked="0"/>
    </xf>
    <xf numFmtId="1" fontId="186" fillId="0" borderId="0" xfId="0" applyNumberFormat="1" applyFont="1" applyFill="1" applyBorder="1" applyAlignment="1" applyProtection="1">
      <alignment horizontal="center" vertical="center"/>
      <protection locked="0"/>
    </xf>
    <xf numFmtId="0" fontId="58" fillId="54" borderId="79" xfId="0" applyFont="1" applyFill="1" applyBorder="1" applyAlignment="1" applyProtection="1">
      <alignment horizontal="center" vertical="center"/>
      <protection hidden="1"/>
    </xf>
    <xf numFmtId="0" fontId="163" fillId="48" borderId="0" xfId="0" applyFont="1" applyFill="1" applyBorder="1" applyAlignment="1" applyProtection="1">
      <alignment vertical="center"/>
      <protection hidden="1"/>
    </xf>
    <xf numFmtId="9" fontId="3" fillId="2" borderId="0" xfId="13" applyFont="1" applyFill="1" applyBorder="1" applyAlignment="1" applyProtection="1">
      <alignment horizontal="right" vertical="center"/>
      <protection hidden="1"/>
    </xf>
    <xf numFmtId="9" fontId="9" fillId="6" borderId="79" xfId="13" applyFont="1" applyFill="1" applyBorder="1" applyAlignment="1" applyProtection="1">
      <alignment horizontal="right" vertical="center"/>
      <protection hidden="1"/>
    </xf>
    <xf numFmtId="0" fontId="23" fillId="2" borderId="0" xfId="0" applyFont="1" applyFill="1" applyBorder="1" applyAlignment="1" applyProtection="1">
      <alignment horizontal="center" vertical="center" wrapText="1"/>
      <protection hidden="1"/>
    </xf>
    <xf numFmtId="0" fontId="23" fillId="2" borderId="0" xfId="0" applyFont="1" applyFill="1" applyBorder="1" applyAlignment="1" applyProtection="1">
      <alignment vertical="center" wrapText="1"/>
      <protection hidden="1"/>
    </xf>
    <xf numFmtId="0" fontId="23" fillId="56" borderId="79" xfId="0" applyFont="1" applyFill="1" applyBorder="1" applyAlignment="1" applyProtection="1">
      <alignment horizontal="center" vertical="center" wrapText="1"/>
      <protection hidden="1"/>
    </xf>
    <xf numFmtId="0" fontId="23" fillId="52" borderId="79" xfId="0" applyFont="1" applyFill="1" applyBorder="1" applyAlignment="1" applyProtection="1">
      <alignment horizontal="center" vertical="center" wrapText="1"/>
      <protection hidden="1"/>
    </xf>
    <xf numFmtId="0" fontId="23" fillId="19" borderId="79" xfId="0" applyFont="1" applyFill="1" applyBorder="1" applyAlignment="1" applyProtection="1">
      <alignment horizontal="center" vertical="center" wrapText="1"/>
      <protection hidden="1"/>
    </xf>
    <xf numFmtId="0" fontId="2" fillId="13" borderId="79" xfId="0" applyFont="1" applyFill="1" applyBorder="1" applyAlignment="1" applyProtection="1">
      <alignment horizontal="center"/>
      <protection hidden="1"/>
    </xf>
    <xf numFmtId="0" fontId="188" fillId="2" borderId="0" xfId="0" applyFont="1" applyFill="1" applyBorder="1" applyAlignment="1" applyProtection="1">
      <alignment horizontal="left" vertical="top" wrapText="1" readingOrder="1"/>
      <protection hidden="1"/>
    </xf>
    <xf numFmtId="0" fontId="188" fillId="0" borderId="0" xfId="0" applyFont="1" applyFill="1" applyBorder="1" applyAlignment="1" applyProtection="1">
      <alignment horizontal="left" vertical="top" wrapText="1" readingOrder="1"/>
      <protection hidden="1"/>
    </xf>
    <xf numFmtId="0" fontId="57" fillId="0" borderId="0" xfId="0" applyFont="1" applyFill="1" applyBorder="1" applyProtection="1">
      <protection hidden="1"/>
    </xf>
    <xf numFmtId="0" fontId="188" fillId="2" borderId="0" xfId="0" applyFont="1" applyFill="1" applyBorder="1" applyProtection="1">
      <protection hidden="1"/>
    </xf>
    <xf numFmtId="0" fontId="28" fillId="3" borderId="0" xfId="0" applyFont="1" applyFill="1" applyBorder="1" applyAlignment="1" applyProtection="1">
      <alignment horizontal="center" vertical="center"/>
      <protection hidden="1"/>
    </xf>
    <xf numFmtId="0" fontId="28" fillId="3" borderId="0" xfId="0" applyFont="1" applyFill="1" applyBorder="1" applyAlignment="1" applyProtection="1">
      <alignment vertical="center"/>
      <protection hidden="1"/>
    </xf>
    <xf numFmtId="0" fontId="3" fillId="3" borderId="0" xfId="0" applyFont="1" applyFill="1" applyBorder="1" applyProtection="1">
      <protection hidden="1"/>
    </xf>
    <xf numFmtId="0" fontId="188" fillId="0" borderId="0" xfId="0" applyFont="1" applyFill="1" applyBorder="1" applyProtection="1">
      <protection hidden="1"/>
    </xf>
    <xf numFmtId="0" fontId="190" fillId="6" borderId="0" xfId="0" applyFont="1" applyFill="1" applyBorder="1" applyAlignment="1" applyProtection="1">
      <alignment horizontal="center" vertical="center"/>
      <protection hidden="1"/>
    </xf>
    <xf numFmtId="0" fontId="190" fillId="6" borderId="0" xfId="0" applyFont="1" applyFill="1" applyBorder="1" applyAlignment="1" applyProtection="1">
      <alignment vertical="center"/>
      <protection hidden="1"/>
    </xf>
    <xf numFmtId="0" fontId="190" fillId="6" borderId="0" xfId="0" applyFont="1" applyFill="1" applyBorder="1" applyProtection="1">
      <protection hidden="1"/>
    </xf>
    <xf numFmtId="2" fontId="190" fillId="6" borderId="0" xfId="0" applyNumberFormat="1" applyFont="1" applyFill="1" applyBorder="1" applyAlignment="1" applyProtection="1">
      <alignment horizontal="center" vertical="center"/>
      <protection hidden="1"/>
    </xf>
    <xf numFmtId="9" fontId="190" fillId="6" borderId="0" xfId="13" applyFont="1" applyFill="1" applyBorder="1" applyAlignment="1" applyProtection="1">
      <alignment vertical="center"/>
      <protection hidden="1"/>
    </xf>
    <xf numFmtId="3" fontId="190" fillId="6" borderId="0" xfId="0" applyNumberFormat="1" applyFont="1" applyFill="1" applyBorder="1" applyProtection="1">
      <protection hidden="1"/>
    </xf>
    <xf numFmtId="0" fontId="95" fillId="0" borderId="0" xfId="0" applyFont="1" applyFill="1" applyBorder="1" applyAlignment="1">
      <alignment horizontal="justify" vertical="center" wrapText="1"/>
    </xf>
    <xf numFmtId="0" fontId="28" fillId="0" borderId="0" xfId="0" applyFont="1" applyFill="1" applyBorder="1" applyAlignment="1" applyProtection="1">
      <alignment horizontal="justify" vertical="center" wrapText="1"/>
      <protection hidden="1"/>
    </xf>
    <xf numFmtId="0" fontId="28" fillId="0" borderId="0" xfId="0" applyFont="1" applyFill="1" applyBorder="1" applyAlignment="1" applyProtection="1">
      <protection hidden="1"/>
    </xf>
    <xf numFmtId="49" fontId="3" fillId="13" borderId="69" xfId="8" applyNumberFormat="1" applyFont="1" applyFill="1" applyBorder="1" applyAlignment="1">
      <alignment vertical="center"/>
    </xf>
    <xf numFmtId="49" fontId="10" fillId="2" borderId="0" xfId="1" applyNumberFormat="1" applyFill="1" applyBorder="1" applyAlignment="1" applyProtection="1">
      <alignment vertical="center"/>
    </xf>
    <xf numFmtId="3" fontId="28" fillId="2" borderId="0" xfId="0" applyNumberFormat="1" applyFont="1" applyFill="1" applyBorder="1" applyAlignment="1" applyProtection="1">
      <alignment horizontal="right" vertical="center"/>
      <protection hidden="1"/>
    </xf>
    <xf numFmtId="9" fontId="28" fillId="2" borderId="0" xfId="13" applyFont="1" applyFill="1" applyBorder="1" applyAlignment="1" applyProtection="1">
      <alignment horizontal="right" vertical="center"/>
      <protection hidden="1"/>
    </xf>
    <xf numFmtId="169" fontId="187" fillId="2" borderId="0" xfId="0" applyNumberFormat="1" applyFont="1" applyFill="1" applyBorder="1" applyAlignment="1" applyProtection="1">
      <alignment vertical="center"/>
      <protection locked="0"/>
    </xf>
    <xf numFmtId="49" fontId="185" fillId="54" borderId="69" xfId="8" applyNumberFormat="1" applyFont="1" applyFill="1" applyBorder="1" applyAlignment="1">
      <alignment vertical="center"/>
    </xf>
    <xf numFmtId="2" fontId="182" fillId="54" borderId="69" xfId="2" applyNumberFormat="1" applyFont="1" applyFill="1" applyBorder="1" applyAlignment="1" applyProtection="1">
      <alignment horizontal="right" vertical="center"/>
      <protection hidden="1"/>
    </xf>
    <xf numFmtId="0" fontId="185" fillId="54" borderId="69" xfId="0" applyFont="1" applyFill="1" applyBorder="1" applyProtection="1">
      <protection hidden="1"/>
    </xf>
    <xf numFmtId="169" fontId="183" fillId="54" borderId="69" xfId="0" applyNumberFormat="1" applyFont="1" applyFill="1" applyBorder="1" applyAlignment="1" applyProtection="1">
      <alignment horizontal="center" vertical="center"/>
      <protection locked="0"/>
    </xf>
    <xf numFmtId="168" fontId="182" fillId="54" borderId="69" xfId="13" applyNumberFormat="1" applyFont="1" applyFill="1" applyBorder="1" applyAlignment="1" applyProtection="1">
      <alignment horizontal="right" vertical="center"/>
      <protection hidden="1"/>
    </xf>
    <xf numFmtId="0" fontId="191" fillId="48" borderId="0" xfId="0" applyFont="1" applyFill="1" applyBorder="1" applyAlignment="1" applyProtection="1">
      <alignment horizontal="left" vertical="center"/>
      <protection hidden="1"/>
    </xf>
    <xf numFmtId="0" fontId="193" fillId="46" borderId="57" xfId="1" applyFont="1" applyFill="1" applyBorder="1" applyAlignment="1" applyProtection="1">
      <alignment horizontal="center"/>
    </xf>
    <xf numFmtId="174" fontId="17" fillId="0" borderId="0" xfId="2" applyNumberFormat="1" applyFont="1" applyAlignment="1">
      <alignment horizontal="center" vertical="center" wrapText="1"/>
    </xf>
    <xf numFmtId="167" fontId="38" fillId="0" borderId="0" xfId="2" applyNumberFormat="1" applyFont="1" applyFill="1" applyBorder="1" applyAlignment="1">
      <alignment horizontal="center" vertical="center" wrapText="1"/>
    </xf>
    <xf numFmtId="0" fontId="52" fillId="0" borderId="0" xfId="0" applyFont="1" applyFill="1" applyBorder="1" applyAlignment="1" applyProtection="1">
      <alignment horizontal="center" vertical="center" wrapText="1"/>
      <protection hidden="1"/>
    </xf>
    <xf numFmtId="49" fontId="143" fillId="6" borderId="0" xfId="0" applyNumberFormat="1" applyFont="1" applyFill="1" applyBorder="1" applyAlignment="1" applyProtection="1">
      <alignment vertical="center" wrapText="1"/>
      <protection locked="0"/>
    </xf>
    <xf numFmtId="172" fontId="42" fillId="6" borderId="0" xfId="0" applyNumberFormat="1" applyFont="1" applyFill="1" applyBorder="1" applyAlignment="1" applyProtection="1">
      <alignment horizontal="center" vertical="center"/>
      <protection hidden="1"/>
    </xf>
    <xf numFmtId="0" fontId="100" fillId="6" borderId="0" xfId="0" applyNumberFormat="1" applyFont="1" applyFill="1" applyBorder="1" applyAlignment="1" applyProtection="1">
      <alignment vertical="center" wrapText="1"/>
      <protection hidden="1"/>
    </xf>
    <xf numFmtId="0" fontId="43" fillId="6" borderId="0" xfId="0" applyNumberFormat="1" applyFont="1" applyFill="1" applyBorder="1" applyAlignment="1" applyProtection="1">
      <alignment horizontal="center" vertical="center"/>
      <protection hidden="1"/>
    </xf>
    <xf numFmtId="0" fontId="43" fillId="6" borderId="0" xfId="0" applyNumberFormat="1" applyFont="1" applyFill="1" applyBorder="1" applyAlignment="1" applyProtection="1">
      <alignment vertical="center"/>
      <protection hidden="1"/>
    </xf>
    <xf numFmtId="0" fontId="61" fillId="6" borderId="0" xfId="0" applyNumberFormat="1" applyFont="1" applyFill="1" applyBorder="1" applyAlignment="1" applyProtection="1">
      <alignment vertical="center"/>
      <protection hidden="1"/>
    </xf>
    <xf numFmtId="0" fontId="64" fillId="6" borderId="0" xfId="0" applyNumberFormat="1" applyFont="1" applyFill="1" applyBorder="1" applyAlignment="1" applyProtection="1">
      <alignment vertical="center"/>
      <protection hidden="1"/>
    </xf>
    <xf numFmtId="2" fontId="195" fillId="42" borderId="79" xfId="0" applyNumberFormat="1" applyFont="1" applyFill="1" applyBorder="1" applyAlignment="1" applyProtection="1">
      <alignment horizontal="right" vertical="center" wrapText="1"/>
      <protection hidden="1"/>
    </xf>
    <xf numFmtId="0" fontId="85" fillId="6" borderId="0" xfId="0" applyFont="1" applyFill="1" applyBorder="1" applyAlignment="1">
      <alignment horizontal="center" vertical="center"/>
    </xf>
    <xf numFmtId="0" fontId="199" fillId="6" borderId="0" xfId="0" applyFont="1" applyFill="1" applyBorder="1" applyAlignment="1">
      <alignment horizontal="center" vertical="center"/>
    </xf>
    <xf numFmtId="9" fontId="53" fillId="6" borderId="0" xfId="13" applyFont="1" applyFill="1" applyBorder="1" applyAlignment="1" applyProtection="1">
      <alignment horizontal="right" vertical="center"/>
      <protection hidden="1"/>
    </xf>
    <xf numFmtId="169" fontId="196" fillId="2" borderId="0" xfId="0" applyNumberFormat="1" applyFont="1" applyFill="1" applyBorder="1" applyAlignment="1" applyProtection="1">
      <alignment vertical="center"/>
      <protection hidden="1"/>
    </xf>
    <xf numFmtId="49" fontId="197" fillId="2" borderId="0" xfId="0" applyNumberFormat="1" applyFont="1" applyFill="1" applyBorder="1" applyAlignment="1" applyProtection="1">
      <alignment vertical="center" wrapText="1"/>
      <protection locked="0"/>
    </xf>
    <xf numFmtId="0" fontId="199" fillId="2" borderId="0" xfId="0" applyFont="1" applyFill="1" applyBorder="1" applyAlignment="1">
      <alignment horizontal="center" vertical="center"/>
    </xf>
    <xf numFmtId="0" fontId="53" fillId="2" borderId="0" xfId="0" applyNumberFormat="1" applyFont="1" applyFill="1" applyBorder="1" applyAlignment="1" applyProtection="1">
      <alignment vertical="center" wrapText="1"/>
      <protection hidden="1"/>
    </xf>
    <xf numFmtId="9" fontId="53" fillId="2" borderId="0" xfId="13" applyFont="1" applyFill="1" applyBorder="1" applyAlignment="1" applyProtection="1">
      <alignment horizontal="right" vertical="center"/>
      <protection hidden="1"/>
    </xf>
    <xf numFmtId="0" fontId="200" fillId="2" borderId="0" xfId="0" applyNumberFormat="1" applyFont="1" applyFill="1" applyBorder="1" applyAlignment="1" applyProtection="1">
      <alignment horizontal="center" vertical="center"/>
      <protection hidden="1"/>
    </xf>
    <xf numFmtId="0" fontId="200" fillId="2" borderId="0" xfId="0" applyNumberFormat="1" applyFont="1" applyFill="1" applyBorder="1" applyAlignment="1" applyProtection="1">
      <alignment vertical="center"/>
      <protection hidden="1"/>
    </xf>
    <xf numFmtId="0" fontId="201" fillId="2" borderId="0" xfId="0" applyNumberFormat="1" applyFont="1" applyFill="1" applyBorder="1" applyAlignment="1" applyProtection="1">
      <alignment vertical="center"/>
      <protection hidden="1"/>
    </xf>
    <xf numFmtId="0" fontId="194" fillId="2" borderId="0" xfId="0" applyNumberFormat="1" applyFont="1" applyFill="1" applyBorder="1" applyAlignment="1" applyProtection="1">
      <alignment vertical="center"/>
      <protection hidden="1"/>
    </xf>
    <xf numFmtId="2" fontId="53" fillId="2" borderId="0" xfId="0" applyNumberFormat="1" applyFont="1" applyFill="1" applyBorder="1" applyAlignment="1" applyProtection="1">
      <alignment vertical="center"/>
      <protection hidden="1"/>
    </xf>
    <xf numFmtId="49" fontId="57" fillId="2" borderId="0" xfId="8" applyNumberFormat="1" applyFont="1" applyFill="1" applyBorder="1" applyAlignment="1">
      <alignment vertical="center"/>
    </xf>
    <xf numFmtId="0" fontId="202" fillId="2" borderId="0" xfId="0" applyFont="1" applyFill="1" applyBorder="1" applyAlignment="1" applyProtection="1">
      <alignment vertical="center" wrapText="1"/>
      <protection hidden="1"/>
    </xf>
    <xf numFmtId="0" fontId="202" fillId="2" borderId="0" xfId="0" applyFont="1" applyFill="1" applyBorder="1" applyAlignment="1" applyProtection="1">
      <alignment horizontal="center" vertical="center" wrapText="1"/>
      <protection hidden="1"/>
    </xf>
    <xf numFmtId="3" fontId="202" fillId="2" borderId="0" xfId="0" applyNumberFormat="1" applyFont="1" applyFill="1" applyBorder="1" applyAlignment="1" applyProtection="1">
      <alignment horizontal="center" vertical="center"/>
      <protection hidden="1"/>
    </xf>
    <xf numFmtId="167" fontId="29" fillId="0" borderId="0" xfId="2" applyNumberFormat="1" applyFont="1" applyFill="1" applyBorder="1" applyAlignment="1">
      <alignment horizontal="right" vertical="center" wrapText="1"/>
    </xf>
    <xf numFmtId="0" fontId="154" fillId="0" borderId="69" xfId="0" applyFont="1" applyFill="1" applyBorder="1" applyAlignment="1">
      <alignment vertical="center" wrapText="1"/>
    </xf>
    <xf numFmtId="0" fontId="199" fillId="6" borderId="0" xfId="0" applyFont="1" applyFill="1" applyBorder="1" applyAlignment="1">
      <alignment vertical="center" wrapText="1"/>
    </xf>
    <xf numFmtId="3" fontId="53" fillId="6" borderId="0" xfId="0" applyNumberFormat="1" applyFont="1" applyFill="1" applyBorder="1" applyAlignment="1" applyProtection="1">
      <alignment horizontal="right" vertical="center"/>
      <protection hidden="1"/>
    </xf>
    <xf numFmtId="169" fontId="44" fillId="7" borderId="0" xfId="0" applyNumberFormat="1" applyFont="1" applyFill="1" applyBorder="1" applyAlignment="1" applyProtection="1">
      <alignment vertical="center"/>
      <protection hidden="1"/>
    </xf>
    <xf numFmtId="0" fontId="96" fillId="2" borderId="0" xfId="0" applyFont="1" applyFill="1" applyBorder="1" applyAlignment="1" applyProtection="1">
      <alignment horizontal="center" vertical="center"/>
      <protection hidden="1"/>
    </xf>
    <xf numFmtId="169" fontId="192" fillId="7" borderId="0" xfId="0" applyNumberFormat="1" applyFont="1" applyFill="1" applyBorder="1" applyAlignment="1" applyProtection="1">
      <alignment vertical="center"/>
      <protection hidden="1"/>
    </xf>
    <xf numFmtId="0" fontId="63" fillId="0" borderId="69" xfId="0" applyFont="1" applyFill="1" applyBorder="1" applyAlignment="1">
      <alignment horizontal="center" vertical="center"/>
    </xf>
    <xf numFmtId="0" fontId="1" fillId="46" borderId="0" xfId="0" applyFont="1" applyFill="1" applyBorder="1"/>
    <xf numFmtId="0" fontId="52" fillId="47" borderId="0" xfId="0" applyFont="1" applyFill="1" applyBorder="1"/>
    <xf numFmtId="0" fontId="52" fillId="47" borderId="0" xfId="0" applyFont="1" applyFill="1" applyBorder="1" applyAlignment="1">
      <alignment horizontal="justify" vertical="center" wrapText="1"/>
    </xf>
    <xf numFmtId="0" fontId="52" fillId="46" borderId="0" xfId="0" applyFont="1" applyFill="1" applyBorder="1"/>
    <xf numFmtId="166" fontId="52" fillId="46" borderId="0" xfId="0" applyNumberFormat="1" applyFont="1" applyFill="1" applyBorder="1"/>
    <xf numFmtId="1" fontId="52" fillId="46" borderId="0" xfId="0" applyNumberFormat="1" applyFont="1" applyFill="1" applyBorder="1"/>
    <xf numFmtId="0" fontId="85" fillId="46" borderId="0" xfId="0" applyFont="1" applyFill="1" applyBorder="1"/>
    <xf numFmtId="1" fontId="85" fillId="46" borderId="0" xfId="13" applyNumberFormat="1" applyFont="1" applyFill="1" applyBorder="1"/>
    <xf numFmtId="166" fontId="85" fillId="46" borderId="0" xfId="13" applyNumberFormat="1" applyFont="1" applyFill="1" applyBorder="1"/>
    <xf numFmtId="2" fontId="85" fillId="46" borderId="0" xfId="13" applyNumberFormat="1" applyFont="1" applyFill="1" applyBorder="1"/>
    <xf numFmtId="49" fontId="203" fillId="6" borderId="0" xfId="8" applyNumberFormat="1" applyFont="1" applyFill="1" applyBorder="1" applyAlignment="1">
      <alignment vertical="center"/>
    </xf>
    <xf numFmtId="0" fontId="203" fillId="6" borderId="0" xfId="0" applyFont="1" applyFill="1" applyBorder="1" applyProtection="1">
      <protection hidden="1"/>
    </xf>
    <xf numFmtId="0" fontId="33" fillId="0" borderId="5" xfId="0" applyFont="1" applyFill="1" applyBorder="1" applyAlignment="1">
      <alignment horizontal="justify" vertical="center" wrapText="1"/>
    </xf>
    <xf numFmtId="2" fontId="29" fillId="45" borderId="85" xfId="0" applyNumberFormat="1" applyFont="1" applyFill="1" applyBorder="1" applyAlignment="1">
      <alignment horizontal="justify" vertical="center" wrapText="1"/>
    </xf>
    <xf numFmtId="2" fontId="29" fillId="45" borderId="85" xfId="0" applyNumberFormat="1" applyFont="1" applyFill="1" applyBorder="1" applyAlignment="1">
      <alignment horizontal="right" vertical="center" wrapText="1"/>
    </xf>
    <xf numFmtId="2" fontId="38" fillId="45" borderId="85" xfId="0" applyNumberFormat="1" applyFont="1" applyFill="1" applyBorder="1" applyAlignment="1">
      <alignment horizontal="right" vertical="center" wrapText="1"/>
    </xf>
    <xf numFmtId="2" fontId="29" fillId="45" borderId="85" xfId="0" applyNumberFormat="1" applyFont="1" applyFill="1" applyBorder="1" applyAlignment="1" applyProtection="1">
      <alignment horizontal="right"/>
      <protection hidden="1"/>
    </xf>
    <xf numFmtId="49" fontId="124" fillId="0" borderId="5" xfId="0" applyNumberFormat="1" applyFont="1" applyFill="1" applyBorder="1" applyAlignment="1">
      <alignment horizontal="left" vertical="center" wrapText="1"/>
    </xf>
    <xf numFmtId="49" fontId="124" fillId="0" borderId="7" xfId="0" applyNumberFormat="1" applyFont="1" applyFill="1" applyBorder="1" applyAlignment="1">
      <alignment horizontal="justify" vertical="center" wrapText="1"/>
    </xf>
    <xf numFmtId="2" fontId="81" fillId="45" borderId="85" xfId="0" applyNumberFormat="1" applyFont="1" applyFill="1" applyBorder="1" applyAlignment="1">
      <alignment horizontal="right" vertical="center" wrapText="1"/>
    </xf>
    <xf numFmtId="2" fontId="81" fillId="45" borderId="85" xfId="0" applyNumberFormat="1" applyFont="1" applyFill="1" applyBorder="1" applyAlignment="1">
      <alignment horizontal="center" vertical="center" wrapText="1"/>
    </xf>
    <xf numFmtId="2" fontId="124" fillId="45" borderId="85" xfId="0" applyNumberFormat="1" applyFont="1" applyFill="1" applyBorder="1" applyAlignment="1">
      <alignment horizontal="center" vertical="center" wrapText="1"/>
    </xf>
    <xf numFmtId="0" fontId="32" fillId="45" borderId="85" xfId="0" applyFont="1" applyFill="1" applyBorder="1" applyProtection="1">
      <protection hidden="1"/>
    </xf>
    <xf numFmtId="2" fontId="29" fillId="45" borderId="85" xfId="0" applyNumberFormat="1" applyFont="1" applyFill="1" applyBorder="1" applyAlignment="1" applyProtection="1">
      <protection hidden="1"/>
    </xf>
    <xf numFmtId="2" fontId="52" fillId="45" borderId="85" xfId="0" applyNumberFormat="1" applyFont="1" applyFill="1" applyBorder="1" applyProtection="1">
      <protection hidden="1"/>
    </xf>
    <xf numFmtId="2" fontId="38" fillId="45" borderId="85" xfId="2" applyNumberFormat="1" applyFont="1" applyFill="1" applyBorder="1" applyAlignment="1">
      <alignment horizontal="right" vertical="center" wrapText="1"/>
    </xf>
    <xf numFmtId="165" fontId="29" fillId="6" borderId="0" xfId="13" applyNumberFormat="1" applyFont="1" applyFill="1" applyBorder="1" applyAlignment="1" applyProtection="1">
      <alignment vertical="center"/>
      <protection hidden="1"/>
    </xf>
    <xf numFmtId="169" fontId="29" fillId="6" borderId="0" xfId="0" applyNumberFormat="1" applyFont="1" applyFill="1" applyBorder="1" applyAlignment="1" applyProtection="1">
      <alignment horizontal="center" vertical="center"/>
      <protection hidden="1"/>
    </xf>
    <xf numFmtId="167" fontId="29" fillId="6" borderId="0" xfId="2" applyNumberFormat="1" applyFont="1" applyFill="1" applyBorder="1" applyAlignment="1" applyProtection="1">
      <alignment horizontal="center" vertical="center" wrapText="1"/>
      <protection hidden="1"/>
    </xf>
    <xf numFmtId="9" fontId="29" fillId="6" borderId="0" xfId="13" applyFont="1" applyFill="1" applyBorder="1" applyProtection="1">
      <protection hidden="1"/>
    </xf>
    <xf numFmtId="0" fontId="102" fillId="46" borderId="0" xfId="0" applyFont="1" applyFill="1"/>
    <xf numFmtId="0" fontId="205" fillId="46" borderId="0" xfId="0" applyFont="1" applyFill="1"/>
    <xf numFmtId="0" fontId="16" fillId="48" borderId="0" xfId="0" applyFont="1" applyFill="1" applyBorder="1" applyAlignment="1" applyProtection="1">
      <alignment vertical="center"/>
      <protection hidden="1"/>
    </xf>
    <xf numFmtId="169" fontId="206" fillId="48" borderId="69" xfId="0" applyNumberFormat="1" applyFont="1" applyFill="1" applyBorder="1" applyAlignment="1" applyProtection="1">
      <alignment vertical="center"/>
      <protection hidden="1"/>
    </xf>
    <xf numFmtId="9" fontId="207" fillId="48" borderId="69" xfId="13" applyFont="1" applyFill="1" applyBorder="1" applyAlignment="1" applyProtection="1">
      <alignment horizontal="right" vertical="center"/>
      <protection hidden="1"/>
    </xf>
    <xf numFmtId="169" fontId="206" fillId="2" borderId="69" xfId="0" applyNumberFormat="1" applyFont="1" applyFill="1" applyBorder="1" applyAlignment="1" applyProtection="1">
      <alignment vertical="center"/>
      <protection hidden="1"/>
    </xf>
    <xf numFmtId="9" fontId="207" fillId="2" borderId="69" xfId="13" applyFont="1" applyFill="1" applyBorder="1" applyAlignment="1" applyProtection="1">
      <alignment horizontal="right" vertical="center"/>
      <protection hidden="1"/>
    </xf>
    <xf numFmtId="2" fontId="208" fillId="13" borderId="69" xfId="2" applyNumberFormat="1" applyFont="1" applyFill="1" applyBorder="1" applyAlignment="1" applyProtection="1">
      <alignment horizontal="right" vertical="center"/>
      <protection hidden="1"/>
    </xf>
    <xf numFmtId="0" fontId="209" fillId="13" borderId="69" xfId="0" applyFont="1" applyFill="1" applyBorder="1" applyProtection="1">
      <protection hidden="1"/>
    </xf>
    <xf numFmtId="168" fontId="207" fillId="13" borderId="69" xfId="13" applyNumberFormat="1" applyFont="1" applyFill="1" applyBorder="1" applyAlignment="1" applyProtection="1">
      <alignment horizontal="right" vertical="center"/>
      <protection hidden="1"/>
    </xf>
    <xf numFmtId="0" fontId="207" fillId="48" borderId="69" xfId="8" applyNumberFormat="1" applyFont="1" applyFill="1" applyBorder="1" applyAlignment="1">
      <alignment horizontal="center" vertical="center"/>
    </xf>
    <xf numFmtId="2" fontId="207" fillId="48" borderId="69" xfId="0" applyNumberFormat="1" applyFont="1" applyFill="1" applyBorder="1" applyAlignment="1" applyProtection="1">
      <alignment horizontal="right" vertical="center"/>
      <protection hidden="1"/>
    </xf>
    <xf numFmtId="167" fontId="207" fillId="48" borderId="69" xfId="2" applyNumberFormat="1" applyFont="1" applyFill="1" applyBorder="1" applyAlignment="1" applyProtection="1">
      <alignment horizontal="right" vertical="center"/>
      <protection hidden="1"/>
    </xf>
    <xf numFmtId="0" fontId="207" fillId="0" borderId="69" xfId="8" applyNumberFormat="1" applyFont="1" applyFill="1" applyBorder="1" applyAlignment="1">
      <alignment horizontal="center" vertical="center"/>
    </xf>
    <xf numFmtId="2" fontId="207" fillId="0" borderId="69" xfId="0" applyNumberFormat="1" applyFont="1" applyFill="1" applyBorder="1" applyAlignment="1" applyProtection="1">
      <alignment horizontal="right" vertical="center"/>
      <protection hidden="1"/>
    </xf>
    <xf numFmtId="9" fontId="207" fillId="0" borderId="69" xfId="13" applyFont="1" applyFill="1" applyBorder="1" applyAlignment="1" applyProtection="1">
      <alignment horizontal="right" vertical="center"/>
      <protection hidden="1"/>
    </xf>
    <xf numFmtId="167" fontId="207" fillId="0" borderId="69" xfId="2" applyNumberFormat="1" applyFont="1" applyFill="1" applyBorder="1" applyAlignment="1" applyProtection="1">
      <alignment horizontal="right" vertical="center"/>
      <protection hidden="1"/>
    </xf>
    <xf numFmtId="49" fontId="207" fillId="0" borderId="69" xfId="8" applyNumberFormat="1" applyFont="1" applyFill="1" applyBorder="1" applyAlignment="1">
      <alignment horizontal="center" vertical="center"/>
    </xf>
    <xf numFmtId="49" fontId="209" fillId="46" borderId="69" xfId="8" applyNumberFormat="1" applyFont="1" applyFill="1" applyBorder="1" applyAlignment="1">
      <alignment vertical="center"/>
    </xf>
    <xf numFmtId="2" fontId="206" fillId="48" borderId="69" xfId="0" applyNumberFormat="1" applyFont="1" applyFill="1" applyBorder="1" applyAlignment="1" applyProtection="1">
      <alignment horizontal="right" vertical="center"/>
      <protection hidden="1"/>
    </xf>
    <xf numFmtId="168" fontId="206" fillId="48" borderId="69" xfId="13" applyNumberFormat="1" applyFont="1" applyFill="1" applyBorder="1" applyAlignment="1" applyProtection="1">
      <alignment horizontal="right" vertical="center"/>
      <protection hidden="1"/>
    </xf>
    <xf numFmtId="3" fontId="207" fillId="48" borderId="69" xfId="0" applyNumberFormat="1" applyFont="1" applyFill="1" applyBorder="1" applyAlignment="1" applyProtection="1">
      <alignment horizontal="right" vertical="center"/>
      <protection hidden="1"/>
    </xf>
    <xf numFmtId="49" fontId="210" fillId="6" borderId="69" xfId="8" applyNumberFormat="1" applyFont="1" applyFill="1" applyBorder="1" applyAlignment="1">
      <alignment horizontal="center" vertical="center"/>
    </xf>
    <xf numFmtId="0" fontId="211" fillId="6" borderId="69" xfId="0" applyFont="1" applyFill="1" applyBorder="1" applyAlignment="1">
      <alignment horizontal="center" vertical="center"/>
    </xf>
    <xf numFmtId="0" fontId="211" fillId="0" borderId="69" xfId="0" applyFont="1" applyFill="1" applyBorder="1" applyAlignment="1">
      <alignment vertical="center" wrapText="1"/>
    </xf>
    <xf numFmtId="49" fontId="209" fillId="48" borderId="69" xfId="8" applyNumberFormat="1" applyFont="1" applyFill="1" applyBorder="1" applyAlignment="1">
      <alignment vertical="center"/>
    </xf>
    <xf numFmtId="2" fontId="207" fillId="46" borderId="69" xfId="0" applyNumberFormat="1" applyFont="1" applyFill="1" applyBorder="1" applyAlignment="1" applyProtection="1">
      <alignment horizontal="right" vertical="center"/>
      <protection hidden="1"/>
    </xf>
    <xf numFmtId="49" fontId="210" fillId="0" borderId="69" xfId="8" applyNumberFormat="1" applyFont="1" applyFill="1" applyBorder="1" applyAlignment="1">
      <alignment horizontal="center" vertical="center"/>
    </xf>
    <xf numFmtId="0" fontId="211" fillId="0" borderId="69" xfId="0" applyFont="1" applyFill="1" applyBorder="1" applyAlignment="1">
      <alignment horizontal="center" vertical="center"/>
    </xf>
    <xf numFmtId="0" fontId="207" fillId="6" borderId="69" xfId="8" applyNumberFormat="1" applyFont="1" applyFill="1" applyBorder="1" applyAlignment="1">
      <alignment horizontal="center" vertical="center"/>
    </xf>
    <xf numFmtId="49" fontId="207" fillId="6" borderId="69" xfId="8" applyNumberFormat="1" applyFont="1" applyFill="1" applyBorder="1" applyAlignment="1">
      <alignment horizontal="center" vertical="center"/>
    </xf>
    <xf numFmtId="9" fontId="207" fillId="48" borderId="69" xfId="13" applyNumberFormat="1" applyFont="1" applyFill="1" applyBorder="1" applyAlignment="1" applyProtection="1">
      <alignment horizontal="right" vertical="center"/>
      <protection hidden="1"/>
    </xf>
    <xf numFmtId="49" fontId="210" fillId="0" borderId="78" xfId="8" applyNumberFormat="1" applyFont="1" applyFill="1" applyBorder="1" applyAlignment="1">
      <alignment horizontal="center" vertical="center"/>
    </xf>
    <xf numFmtId="0" fontId="211" fillId="0" borderId="78" xfId="0" applyFont="1" applyFill="1" applyBorder="1" applyAlignment="1">
      <alignment horizontal="center" vertical="center"/>
    </xf>
    <xf numFmtId="169" fontId="212" fillId="48" borderId="69" xfId="0" applyNumberFormat="1" applyFont="1" applyFill="1" applyBorder="1" applyAlignment="1" applyProtection="1">
      <alignment vertical="center"/>
      <protection locked="0"/>
    </xf>
    <xf numFmtId="169" fontId="213" fillId="48" borderId="69" xfId="0" applyNumberFormat="1" applyFont="1" applyFill="1" applyBorder="1" applyAlignment="1" applyProtection="1">
      <alignment vertical="center"/>
      <protection hidden="1"/>
    </xf>
    <xf numFmtId="9" fontId="214" fillId="48" borderId="69" xfId="13" applyFont="1" applyFill="1" applyBorder="1" applyAlignment="1" applyProtection="1">
      <alignment horizontal="right" vertical="center"/>
      <protection hidden="1"/>
    </xf>
    <xf numFmtId="0" fontId="207" fillId="2" borderId="69" xfId="8" applyNumberFormat="1" applyFont="1" applyFill="1" applyBorder="1" applyAlignment="1">
      <alignment horizontal="center" vertical="center"/>
    </xf>
    <xf numFmtId="169" fontId="212" fillId="2" borderId="69" xfId="0" applyNumberFormat="1" applyFont="1" applyFill="1" applyBorder="1" applyAlignment="1" applyProtection="1">
      <alignment vertical="center"/>
      <protection locked="0"/>
    </xf>
    <xf numFmtId="169" fontId="213" fillId="2" borderId="69" xfId="0" applyNumberFormat="1" applyFont="1" applyFill="1" applyBorder="1" applyAlignment="1" applyProtection="1">
      <alignment vertical="center"/>
      <protection hidden="1"/>
    </xf>
    <xf numFmtId="9" fontId="214" fillId="2" borderId="69" xfId="13" applyFont="1" applyFill="1" applyBorder="1" applyAlignment="1" applyProtection="1">
      <alignment horizontal="right" vertical="center"/>
      <protection hidden="1"/>
    </xf>
    <xf numFmtId="49" fontId="207" fillId="2" borderId="69" xfId="8" applyNumberFormat="1" applyFont="1" applyFill="1" applyBorder="1" applyAlignment="1">
      <alignment horizontal="center" vertical="center"/>
    </xf>
    <xf numFmtId="0" fontId="215" fillId="46" borderId="0" xfId="0" applyFont="1" applyFill="1" applyProtection="1"/>
    <xf numFmtId="3" fontId="29" fillId="0" borderId="0" xfId="0" applyNumberFormat="1" applyFont="1" applyFill="1" applyBorder="1" applyAlignment="1">
      <alignment horizontal="justify" vertical="center" wrapText="1"/>
    </xf>
    <xf numFmtId="0" fontId="29" fillId="9" borderId="0" xfId="0" applyFont="1" applyFill="1" applyBorder="1" applyAlignment="1">
      <alignment horizontal="center" vertical="center" wrapText="1"/>
    </xf>
    <xf numFmtId="49" fontId="216" fillId="6" borderId="86" xfId="8" applyNumberFormat="1" applyFont="1" applyFill="1" applyBorder="1" applyAlignment="1">
      <alignment vertical="center"/>
    </xf>
    <xf numFmtId="0" fontId="100" fillId="2" borderId="0" xfId="0" applyFont="1" applyFill="1" applyBorder="1" applyAlignment="1" applyProtection="1">
      <alignment horizontal="center" vertical="center"/>
      <protection hidden="1"/>
    </xf>
    <xf numFmtId="0" fontId="100" fillId="2" borderId="0" xfId="0" applyFont="1" applyFill="1" applyBorder="1" applyAlignment="1" applyProtection="1">
      <alignment vertical="center"/>
      <protection hidden="1"/>
    </xf>
    <xf numFmtId="0" fontId="100" fillId="2" borderId="0" xfId="0" applyFont="1" applyFill="1" applyBorder="1" applyProtection="1">
      <protection hidden="1"/>
    </xf>
    <xf numFmtId="0" fontId="3" fillId="57" borderId="0" xfId="0" applyFont="1" applyFill="1" applyBorder="1" applyProtection="1">
      <protection hidden="1"/>
    </xf>
    <xf numFmtId="0" fontId="38" fillId="0" borderId="0" xfId="2" applyNumberFormat="1" applyFont="1" applyFill="1" applyBorder="1" applyAlignment="1">
      <alignment horizontal="justify" vertical="center" wrapText="1"/>
    </xf>
    <xf numFmtId="0" fontId="29" fillId="12" borderId="36" xfId="0" applyFont="1" applyFill="1" applyBorder="1" applyAlignment="1" applyProtection="1">
      <alignment horizontal="center" vertical="center" wrapText="1"/>
      <protection hidden="1"/>
    </xf>
    <xf numFmtId="0" fontId="29" fillId="12" borderId="36" xfId="0" applyFont="1" applyFill="1" applyBorder="1" applyAlignment="1" applyProtection="1">
      <alignment vertical="center" wrapText="1"/>
      <protection hidden="1"/>
    </xf>
    <xf numFmtId="0" fontId="218" fillId="46" borderId="0" xfId="0" applyFont="1" applyFill="1"/>
    <xf numFmtId="0" fontId="64" fillId="47" borderId="0" xfId="0" applyFont="1" applyFill="1" applyBorder="1" applyAlignment="1">
      <alignment horizontal="justify" vertical="center" wrapText="1"/>
    </xf>
    <xf numFmtId="167" fontId="64" fillId="46" borderId="0" xfId="2" applyNumberFormat="1" applyFont="1" applyFill="1" applyBorder="1"/>
    <xf numFmtId="0" fontId="64" fillId="46" borderId="0" xfId="0" applyFont="1" applyFill="1" applyBorder="1"/>
    <xf numFmtId="167" fontId="64" fillId="46" borderId="0" xfId="0" applyNumberFormat="1" applyFont="1" applyFill="1" applyBorder="1"/>
    <xf numFmtId="168" fontId="64" fillId="46" borderId="0" xfId="13" applyNumberFormat="1" applyFont="1" applyFill="1" applyBorder="1"/>
    <xf numFmtId="0" fontId="77" fillId="46" borderId="0" xfId="0" applyFont="1" applyFill="1" applyProtection="1"/>
    <xf numFmtId="169" fontId="44" fillId="7" borderId="0" xfId="0" applyNumberFormat="1" applyFont="1" applyFill="1" applyBorder="1" applyAlignment="1" applyProtection="1">
      <alignment horizontal="center" vertical="center"/>
      <protection hidden="1"/>
    </xf>
    <xf numFmtId="169" fontId="44" fillId="2" borderId="0" xfId="0" applyNumberFormat="1" applyFont="1" applyFill="1" applyBorder="1" applyAlignment="1" applyProtection="1">
      <alignment horizontal="center" vertical="center"/>
      <protection hidden="1"/>
    </xf>
    <xf numFmtId="0" fontId="116" fillId="2" borderId="0" xfId="0" applyFont="1" applyFill="1" applyBorder="1" applyAlignment="1">
      <alignment horizontal="left" vertical="center" wrapText="1"/>
    </xf>
    <xf numFmtId="0" fontId="57" fillId="2" borderId="0" xfId="0" applyFont="1" applyFill="1" applyBorder="1" applyAlignment="1" applyProtection="1">
      <alignment horizontal="left"/>
      <protection hidden="1"/>
    </xf>
    <xf numFmtId="0" fontId="57" fillId="2" borderId="0" xfId="0" applyFont="1" applyFill="1" applyBorder="1" applyAlignment="1" applyProtection="1">
      <alignment horizontal="center" vertical="center"/>
      <protection hidden="1"/>
    </xf>
    <xf numFmtId="0" fontId="203" fillId="2" borderId="0" xfId="0" applyFont="1" applyFill="1" applyBorder="1" applyProtection="1">
      <protection hidden="1"/>
    </xf>
    <xf numFmtId="0" fontId="203" fillId="2" borderId="0" xfId="0" applyFont="1" applyFill="1" applyBorder="1" applyAlignment="1" applyProtection="1">
      <alignment horizontal="left"/>
      <protection hidden="1"/>
    </xf>
    <xf numFmtId="0" fontId="203" fillId="2" borderId="0" xfId="0" applyFont="1" applyFill="1" applyBorder="1" applyAlignment="1" applyProtection="1">
      <alignment horizontal="left" vertical="center"/>
      <protection hidden="1"/>
    </xf>
    <xf numFmtId="0" fontId="203" fillId="2" borderId="0" xfId="0" applyFont="1" applyFill="1" applyBorder="1" applyAlignment="1" applyProtection="1">
      <alignment horizontal="center" vertical="center"/>
      <protection hidden="1"/>
    </xf>
    <xf numFmtId="0" fontId="219" fillId="2" borderId="0" xfId="0" applyFont="1" applyFill="1" applyBorder="1" applyAlignment="1">
      <alignment horizontal="left" vertical="center" wrapText="1"/>
    </xf>
    <xf numFmtId="49" fontId="220" fillId="2" borderId="0" xfId="8" applyNumberFormat="1" applyFont="1" applyFill="1" applyBorder="1" applyAlignment="1">
      <alignment vertical="center"/>
    </xf>
    <xf numFmtId="49" fontId="216" fillId="6" borderId="0" xfId="8" applyNumberFormat="1" applyFont="1" applyFill="1" applyBorder="1" applyAlignment="1">
      <alignment vertical="center"/>
    </xf>
    <xf numFmtId="0" fontId="46" fillId="50" borderId="0" xfId="0" applyFont="1" applyFill="1" applyBorder="1" applyAlignment="1" applyProtection="1">
      <alignment vertical="center"/>
      <protection locked="0"/>
    </xf>
    <xf numFmtId="0" fontId="46" fillId="48" borderId="0" xfId="0" applyFont="1" applyFill="1" applyBorder="1" applyAlignment="1" applyProtection="1">
      <alignment vertical="center"/>
      <protection locked="0"/>
    </xf>
    <xf numFmtId="3" fontId="69" fillId="0" borderId="69" xfId="2" applyNumberFormat="1" applyFont="1" applyFill="1" applyBorder="1" applyAlignment="1" applyProtection="1">
      <alignment horizontal="center" vertical="center" wrapText="1"/>
      <protection hidden="1"/>
    </xf>
    <xf numFmtId="165" fontId="69" fillId="0" borderId="69" xfId="2" applyNumberFormat="1" applyFont="1" applyFill="1" applyBorder="1" applyAlignment="1" applyProtection="1">
      <alignment horizontal="center" vertical="center" wrapText="1"/>
      <protection hidden="1"/>
    </xf>
    <xf numFmtId="170" fontId="69" fillId="0" borderId="69" xfId="2" applyNumberFormat="1" applyFont="1" applyFill="1" applyBorder="1" applyAlignment="1" applyProtection="1">
      <alignment horizontal="center" vertical="center" wrapText="1"/>
      <protection hidden="1"/>
    </xf>
    <xf numFmtId="167" fontId="69" fillId="6" borderId="69" xfId="2" applyNumberFormat="1" applyFont="1" applyFill="1" applyBorder="1" applyAlignment="1" applyProtection="1">
      <alignment horizontal="center" vertical="center" wrapText="1"/>
      <protection hidden="1"/>
    </xf>
    <xf numFmtId="170" fontId="69" fillId="6" borderId="69" xfId="2" applyNumberFormat="1" applyFont="1" applyFill="1" applyBorder="1" applyAlignment="1" applyProtection="1">
      <alignment horizontal="center" vertical="center" wrapText="1"/>
      <protection hidden="1"/>
    </xf>
    <xf numFmtId="167" fontId="69" fillId="0" borderId="69" xfId="2" applyNumberFormat="1" applyFont="1" applyFill="1" applyBorder="1" applyAlignment="1" applyProtection="1">
      <alignment horizontal="center" vertical="center" wrapText="1"/>
      <protection hidden="1"/>
    </xf>
    <xf numFmtId="0" fontId="52" fillId="58" borderId="3" xfId="7" applyFont="1" applyFill="1" applyBorder="1" applyAlignment="1">
      <alignment horizontal="center" vertical="center"/>
    </xf>
    <xf numFmtId="2" fontId="52" fillId="58" borderId="3" xfId="7" applyNumberFormat="1" applyFont="1" applyFill="1" applyBorder="1" applyAlignment="1">
      <alignment horizontal="center" vertical="center" wrapText="1"/>
    </xf>
    <xf numFmtId="0" fontId="52" fillId="58" borderId="3" xfId="7" applyFont="1" applyFill="1" applyBorder="1" applyAlignment="1">
      <alignment horizontal="center" vertical="center" wrapText="1"/>
    </xf>
    <xf numFmtId="9" fontId="52" fillId="58" borderId="3" xfId="13" applyFont="1" applyFill="1" applyBorder="1" applyAlignment="1">
      <alignment horizontal="center" vertical="center"/>
    </xf>
    <xf numFmtId="3" fontId="52" fillId="58" borderId="3" xfId="13" applyNumberFormat="1" applyFont="1" applyFill="1" applyBorder="1" applyAlignment="1">
      <alignment horizontal="center" vertical="center" wrapText="1"/>
    </xf>
    <xf numFmtId="168" fontId="52" fillId="58" borderId="3" xfId="13" applyNumberFormat="1" applyFont="1" applyFill="1" applyBorder="1" applyAlignment="1">
      <alignment horizontal="center" vertical="center" wrapText="1"/>
    </xf>
    <xf numFmtId="171" fontId="52" fillId="58" borderId="3" xfId="7" applyNumberFormat="1" applyFont="1" applyFill="1" applyBorder="1" applyAlignment="1">
      <alignment horizontal="center" vertical="center" wrapText="1"/>
    </xf>
    <xf numFmtId="3" fontId="52" fillId="58" borderId="3" xfId="7" applyNumberFormat="1" applyFont="1" applyFill="1" applyBorder="1" applyAlignment="1">
      <alignment horizontal="center" vertical="center" wrapText="1"/>
    </xf>
    <xf numFmtId="0" fontId="52" fillId="58" borderId="3" xfId="7" applyFont="1" applyFill="1" applyBorder="1" applyAlignment="1" applyProtection="1">
      <alignment horizontal="justify" vertical="center" wrapText="1"/>
      <protection hidden="1"/>
    </xf>
    <xf numFmtId="167" fontId="52" fillId="58" borderId="3" xfId="2" applyNumberFormat="1" applyFont="1" applyFill="1" applyBorder="1" applyAlignment="1">
      <alignment horizontal="center" vertical="center"/>
    </xf>
    <xf numFmtId="167" fontId="52" fillId="58" borderId="3" xfId="2" applyNumberFormat="1" applyFont="1" applyFill="1" applyBorder="1" applyAlignment="1">
      <alignment horizontal="center" vertical="center" wrapText="1"/>
    </xf>
    <xf numFmtId="3" fontId="52" fillId="58" borderId="3" xfId="7" applyNumberFormat="1" applyFont="1" applyFill="1" applyBorder="1" applyAlignment="1">
      <alignment horizontal="justify" vertical="center" wrapText="1"/>
    </xf>
    <xf numFmtId="164" fontId="52" fillId="58" borderId="3" xfId="2" applyFont="1" applyFill="1" applyBorder="1" applyAlignment="1">
      <alignment horizontal="center" vertical="center" wrapText="1"/>
    </xf>
    <xf numFmtId="0" fontId="52" fillId="58" borderId="3" xfId="7" applyNumberFormat="1" applyFont="1" applyFill="1" applyBorder="1" applyAlignment="1">
      <alignment horizontal="center" vertical="center"/>
    </xf>
    <xf numFmtId="0" fontId="52" fillId="58" borderId="3" xfId="7" applyNumberFormat="1" applyFont="1" applyFill="1" applyBorder="1" applyAlignment="1">
      <alignment horizontal="center" vertical="center" wrapText="1"/>
    </xf>
    <xf numFmtId="1" fontId="52" fillId="58" borderId="3" xfId="7" applyNumberFormat="1" applyFont="1" applyFill="1" applyBorder="1" applyAlignment="1">
      <alignment horizontal="center" vertical="center" wrapText="1"/>
    </xf>
    <xf numFmtId="0" fontId="52" fillId="58" borderId="3" xfId="7" applyFont="1" applyFill="1" applyBorder="1" applyAlignment="1">
      <alignment horizontal="justify" vertical="center" wrapText="1"/>
    </xf>
    <xf numFmtId="168" fontId="52" fillId="58" borderId="3" xfId="13" applyNumberFormat="1" applyFont="1" applyFill="1" applyBorder="1" applyAlignment="1">
      <alignment horizontal="justify" vertical="center" wrapText="1"/>
    </xf>
    <xf numFmtId="171" fontId="52" fillId="58" borderId="3" xfId="7" applyNumberFormat="1" applyFont="1" applyFill="1" applyBorder="1" applyAlignment="1">
      <alignment horizontal="justify" vertical="center" wrapText="1"/>
    </xf>
    <xf numFmtId="3" fontId="52" fillId="58" borderId="3" xfId="7" applyNumberFormat="1" applyFont="1" applyFill="1" applyBorder="1" applyAlignment="1">
      <alignment horizontal="center" vertical="center"/>
    </xf>
    <xf numFmtId="0" fontId="52" fillId="58" borderId="3" xfId="0" applyNumberFormat="1" applyFont="1" applyFill="1" applyBorder="1" applyAlignment="1">
      <alignment horizontal="center" vertical="center"/>
    </xf>
    <xf numFmtId="0" fontId="52" fillId="58" borderId="3" xfId="0" applyNumberFormat="1" applyFont="1" applyFill="1" applyBorder="1" applyAlignment="1">
      <alignment horizontal="center" vertical="center" wrapText="1"/>
    </xf>
    <xf numFmtId="0" fontId="52" fillId="58" borderId="3" xfId="0" applyFont="1" applyFill="1" applyBorder="1" applyAlignment="1">
      <alignment horizontal="justify" vertical="center" wrapText="1"/>
    </xf>
    <xf numFmtId="171" fontId="52" fillId="58" borderId="3" xfId="0" applyNumberFormat="1" applyFont="1" applyFill="1" applyBorder="1" applyAlignment="1">
      <alignment horizontal="center" vertical="center" wrapText="1"/>
    </xf>
    <xf numFmtId="3" fontId="52" fillId="58" borderId="3" xfId="0" applyNumberFormat="1" applyFont="1" applyFill="1" applyBorder="1" applyAlignment="1">
      <alignment horizontal="left" vertical="center" wrapText="1"/>
    </xf>
    <xf numFmtId="0" fontId="52" fillId="58" borderId="3" xfId="0" applyFont="1" applyFill="1" applyBorder="1" applyAlignment="1">
      <alignment horizontal="center" vertical="center"/>
    </xf>
    <xf numFmtId="1" fontId="52" fillId="58" borderId="3" xfId="0" applyNumberFormat="1" applyFont="1" applyFill="1" applyBorder="1" applyAlignment="1">
      <alignment horizontal="center" vertical="center" wrapText="1"/>
    </xf>
    <xf numFmtId="0" fontId="52" fillId="58" borderId="3" xfId="0" applyFont="1" applyFill="1" applyBorder="1" applyAlignment="1">
      <alignment horizontal="center" vertical="center" wrapText="1"/>
    </xf>
    <xf numFmtId="9" fontId="52" fillId="58" borderId="3" xfId="13" applyNumberFormat="1" applyFont="1" applyFill="1" applyBorder="1" applyAlignment="1">
      <alignment horizontal="center" vertical="center"/>
    </xf>
    <xf numFmtId="2" fontId="52" fillId="58" borderId="3" xfId="0" applyNumberFormat="1" applyFont="1" applyFill="1" applyBorder="1" applyAlignment="1">
      <alignment horizontal="center" vertical="center" wrapText="1"/>
    </xf>
    <xf numFmtId="0" fontId="52" fillId="58" borderId="0" xfId="0" applyFont="1" applyFill="1" applyBorder="1" applyAlignment="1" applyProtection="1">
      <alignment horizontal="justify" vertical="center" wrapText="1"/>
      <protection hidden="1"/>
    </xf>
    <xf numFmtId="0" fontId="52" fillId="58" borderId="3" xfId="0" applyFont="1" applyFill="1" applyBorder="1" applyAlignment="1" applyProtection="1">
      <alignment horizontal="center" vertical="center"/>
      <protection hidden="1"/>
    </xf>
    <xf numFmtId="0" fontId="52" fillId="58" borderId="3" xfId="0" applyFont="1" applyFill="1" applyBorder="1" applyProtection="1">
      <protection hidden="1"/>
    </xf>
    <xf numFmtId="0" fontId="52" fillId="58" borderId="3" xfId="0" applyFont="1" applyFill="1" applyBorder="1" applyAlignment="1" applyProtection="1">
      <alignment vertical="center" wrapText="1"/>
      <protection hidden="1"/>
    </xf>
    <xf numFmtId="3" fontId="52" fillId="58" borderId="3" xfId="13" applyNumberFormat="1" applyFont="1" applyFill="1" applyBorder="1" applyAlignment="1">
      <alignment horizontal="justify" vertical="center" wrapText="1"/>
    </xf>
    <xf numFmtId="1" fontId="52" fillId="58" borderId="3" xfId="7" applyNumberFormat="1" applyFont="1" applyFill="1" applyBorder="1" applyAlignment="1">
      <alignment horizontal="center" vertical="center"/>
    </xf>
    <xf numFmtId="167" fontId="52" fillId="58" borderId="3" xfId="7" applyNumberFormat="1" applyFont="1" applyFill="1" applyBorder="1" applyAlignment="1">
      <alignment horizontal="center" vertical="center"/>
    </xf>
    <xf numFmtId="167" fontId="52" fillId="58" borderId="3" xfId="7" applyNumberFormat="1" applyFont="1" applyFill="1" applyBorder="1" applyAlignment="1">
      <alignment horizontal="center" vertical="center" wrapText="1"/>
    </xf>
    <xf numFmtId="3" fontId="52" fillId="58" borderId="3" xfId="13" applyNumberFormat="1" applyFont="1" applyFill="1" applyBorder="1" applyAlignment="1">
      <alignment horizontal="center" vertical="center"/>
    </xf>
    <xf numFmtId="0" fontId="52" fillId="58" borderId="3" xfId="7" applyFont="1" applyFill="1" applyBorder="1" applyAlignment="1" applyProtection="1">
      <alignment horizontal="center"/>
      <protection hidden="1"/>
    </xf>
    <xf numFmtId="3" fontId="52" fillId="58" borderId="3" xfId="7" applyNumberFormat="1" applyFont="1" applyFill="1" applyBorder="1" applyAlignment="1" applyProtection="1">
      <alignment horizontal="center"/>
      <protection hidden="1"/>
    </xf>
    <xf numFmtId="3" fontId="52" fillId="58" borderId="3" xfId="7" applyNumberFormat="1" applyFont="1" applyFill="1" applyBorder="1" applyProtection="1">
      <protection hidden="1"/>
    </xf>
    <xf numFmtId="0" fontId="52" fillId="58" borderId="3" xfId="13" applyNumberFormat="1" applyFont="1" applyFill="1" applyBorder="1" applyAlignment="1">
      <alignment horizontal="center" vertical="center"/>
    </xf>
    <xf numFmtId="0" fontId="52" fillId="58" borderId="3" xfId="7" applyFont="1" applyFill="1" applyBorder="1" applyAlignment="1">
      <alignment horizontal="left" vertical="center" wrapText="1"/>
    </xf>
    <xf numFmtId="167" fontId="52" fillId="58" borderId="3" xfId="2" applyNumberFormat="1" applyFont="1" applyFill="1" applyBorder="1" applyAlignment="1">
      <alignment vertical="center"/>
    </xf>
    <xf numFmtId="167" fontId="52" fillId="58" borderId="3" xfId="2" applyNumberFormat="1" applyFont="1" applyFill="1" applyBorder="1" applyAlignment="1">
      <alignment vertical="center" wrapText="1"/>
    </xf>
    <xf numFmtId="3" fontId="52" fillId="58" borderId="3" xfId="7" applyNumberFormat="1" applyFont="1" applyFill="1" applyBorder="1" applyAlignment="1">
      <alignment horizontal="left" vertical="center" wrapText="1"/>
    </xf>
    <xf numFmtId="166" fontId="52" fillId="58" borderId="3" xfId="7" applyNumberFormat="1" applyFont="1" applyFill="1" applyBorder="1" applyAlignment="1">
      <alignment horizontal="center" vertical="center" wrapText="1"/>
    </xf>
    <xf numFmtId="0" fontId="52" fillId="58" borderId="3" xfId="13" applyNumberFormat="1" applyFont="1" applyFill="1" applyBorder="1" applyAlignment="1">
      <alignment horizontal="center" vertical="center" wrapText="1"/>
    </xf>
    <xf numFmtId="3" fontId="52" fillId="58" borderId="3" xfId="7" applyNumberFormat="1" applyFont="1" applyFill="1" applyBorder="1" applyAlignment="1">
      <alignment horizontal="justify" vertical="top" wrapText="1"/>
    </xf>
    <xf numFmtId="0" fontId="52" fillId="58" borderId="3" xfId="7" applyFont="1" applyFill="1" applyBorder="1" applyAlignment="1">
      <alignment vertical="center" wrapText="1"/>
    </xf>
    <xf numFmtId="1" fontId="52" fillId="58" borderId="3" xfId="13" applyNumberFormat="1" applyFont="1" applyFill="1" applyBorder="1" applyAlignment="1">
      <alignment horizontal="center" vertical="center" wrapText="1"/>
    </xf>
    <xf numFmtId="0" fontId="52" fillId="2" borderId="5" xfId="7" applyFont="1" applyFill="1" applyBorder="1" applyAlignment="1">
      <alignment horizontal="center" vertical="center" wrapText="1"/>
    </xf>
    <xf numFmtId="0" fontId="52" fillId="2" borderId="11" xfId="7" applyFont="1" applyFill="1" applyBorder="1" applyAlignment="1">
      <alignment horizontal="center" vertical="center" wrapText="1"/>
    </xf>
    <xf numFmtId="0" fontId="52" fillId="58" borderId="13" xfId="7" applyFont="1" applyFill="1" applyBorder="1" applyAlignment="1">
      <alignment horizontal="center" vertical="center" wrapText="1"/>
    </xf>
    <xf numFmtId="168" fontId="52" fillId="58" borderId="13" xfId="13" applyNumberFormat="1" applyFont="1" applyFill="1" applyBorder="1" applyAlignment="1">
      <alignment horizontal="center" vertical="center" wrapText="1"/>
    </xf>
    <xf numFmtId="171" fontId="52" fillId="58" borderId="13" xfId="0" applyNumberFormat="1" applyFont="1" applyFill="1" applyBorder="1" applyAlignment="1">
      <alignment horizontal="center" vertical="center" wrapText="1"/>
    </xf>
    <xf numFmtId="3" fontId="52" fillId="58" borderId="13" xfId="7" applyNumberFormat="1" applyFont="1" applyFill="1" applyBorder="1" applyAlignment="1">
      <alignment horizontal="center" vertical="center" wrapText="1"/>
    </xf>
    <xf numFmtId="0" fontId="52" fillId="58" borderId="69" xfId="7" applyFont="1" applyFill="1" applyBorder="1" applyAlignment="1">
      <alignment horizontal="center" vertical="center"/>
    </xf>
    <xf numFmtId="0" fontId="52" fillId="58" borderId="69" xfId="7" applyFont="1" applyFill="1" applyBorder="1" applyAlignment="1">
      <alignment horizontal="center" vertical="center" wrapText="1"/>
    </xf>
    <xf numFmtId="9" fontId="52" fillId="58" borderId="69" xfId="13" applyFont="1" applyFill="1" applyBorder="1" applyAlignment="1">
      <alignment horizontal="center" vertical="center"/>
    </xf>
    <xf numFmtId="0" fontId="52" fillId="58" borderId="69" xfId="7" applyFont="1" applyFill="1" applyBorder="1"/>
    <xf numFmtId="168" fontId="52" fillId="58" borderId="69" xfId="13" applyNumberFormat="1" applyFont="1" applyFill="1" applyBorder="1" applyAlignment="1">
      <alignment horizontal="center" vertical="center" wrapText="1"/>
    </xf>
    <xf numFmtId="0" fontId="52" fillId="58" borderId="69" xfId="7" applyFont="1" applyFill="1" applyBorder="1" applyAlignment="1">
      <alignment vertical="center"/>
    </xf>
    <xf numFmtId="171" fontId="52" fillId="58" borderId="69" xfId="7" applyNumberFormat="1" applyFont="1" applyFill="1" applyBorder="1" applyAlignment="1">
      <alignment horizontal="center" vertical="center" wrapText="1"/>
    </xf>
    <xf numFmtId="3" fontId="52" fillId="58" borderId="69" xfId="7" applyNumberFormat="1" applyFont="1" applyFill="1" applyBorder="1" applyAlignment="1">
      <alignment horizontal="center" vertical="center" wrapText="1"/>
    </xf>
    <xf numFmtId="0" fontId="52" fillId="58" borderId="69" xfId="7" applyFont="1" applyFill="1" applyBorder="1" applyAlignment="1">
      <alignment horizontal="justify"/>
    </xf>
    <xf numFmtId="168" fontId="52" fillId="58" borderId="69" xfId="13" applyNumberFormat="1" applyFont="1" applyFill="1" applyBorder="1" applyAlignment="1">
      <alignment horizontal="justify" vertical="center" wrapText="1"/>
    </xf>
    <xf numFmtId="0" fontId="52" fillId="58" borderId="69" xfId="7" applyFont="1" applyFill="1" applyBorder="1" applyAlignment="1">
      <alignment horizontal="justify" vertical="center"/>
    </xf>
    <xf numFmtId="0" fontId="52" fillId="58" borderId="69" xfId="7" applyFont="1" applyFill="1" applyBorder="1" applyAlignment="1">
      <alignment wrapText="1"/>
    </xf>
    <xf numFmtId="0" fontId="52" fillId="58" borderId="69" xfId="7" applyFont="1" applyFill="1" applyBorder="1" applyAlignment="1">
      <alignment horizontal="justify" wrapText="1"/>
    </xf>
    <xf numFmtId="0" fontId="52" fillId="58" borderId="69" xfId="7" applyFont="1" applyFill="1" applyBorder="1" applyAlignment="1" applyProtection="1">
      <alignment horizontal="justify" wrapText="1"/>
      <protection hidden="1"/>
    </xf>
    <xf numFmtId="3" fontId="52" fillId="58" borderId="69" xfId="7" applyNumberFormat="1" applyFont="1" applyFill="1" applyBorder="1" applyAlignment="1">
      <alignment horizontal="justify" vertical="center" wrapText="1"/>
    </xf>
    <xf numFmtId="0" fontId="52" fillId="58" borderId="69" xfId="7" applyFont="1" applyFill="1" applyBorder="1" applyProtection="1">
      <protection hidden="1"/>
    </xf>
    <xf numFmtId="4" fontId="95" fillId="15" borderId="7" xfId="0" applyNumberFormat="1" applyFont="1" applyFill="1" applyBorder="1" applyAlignment="1" applyProtection="1">
      <alignment horizontal="justify" vertical="center" wrapText="1"/>
      <protection locked="0"/>
    </xf>
    <xf numFmtId="0" fontId="95" fillId="15" borderId="7" xfId="0" applyFont="1" applyFill="1" applyBorder="1" applyAlignment="1" applyProtection="1">
      <alignment horizontal="justify" vertical="center" wrapText="1"/>
      <protection locked="0"/>
    </xf>
    <xf numFmtId="0" fontId="96" fillId="15" borderId="7" xfId="0" applyFont="1" applyFill="1" applyBorder="1" applyAlignment="1" applyProtection="1">
      <alignment horizontal="justify" vertical="center" wrapText="1"/>
      <protection locked="0"/>
    </xf>
    <xf numFmtId="0" fontId="96" fillId="15" borderId="0" xfId="0" applyFont="1" applyFill="1" applyBorder="1" applyAlignment="1" applyProtection="1">
      <alignment horizontal="justify" vertical="center" wrapText="1"/>
      <protection locked="0"/>
    </xf>
    <xf numFmtId="0" fontId="3" fillId="15" borderId="7" xfId="0" applyFont="1" applyFill="1" applyBorder="1" applyAlignment="1" applyProtection="1">
      <alignment horizontal="justify" vertical="center" wrapText="1"/>
      <protection locked="0"/>
    </xf>
    <xf numFmtId="2" fontId="221" fillId="15" borderId="14" xfId="15" applyNumberFormat="1" applyFont="1" applyFill="1" applyBorder="1" applyAlignment="1" applyProtection="1">
      <alignment vertical="center" wrapText="1"/>
      <protection locked="0"/>
    </xf>
    <xf numFmtId="2" fontId="221" fillId="15" borderId="3" xfId="15" applyNumberFormat="1" applyFont="1" applyFill="1" applyBorder="1" applyAlignment="1" applyProtection="1">
      <alignment vertical="center" wrapText="1"/>
      <protection locked="0"/>
    </xf>
    <xf numFmtId="181" fontId="221" fillId="15" borderId="3" xfId="0" applyNumberFormat="1" applyFont="1" applyFill="1" applyBorder="1" applyAlignment="1" applyProtection="1">
      <alignment vertical="center" wrapText="1" readingOrder="1"/>
      <protection locked="0"/>
    </xf>
    <xf numFmtId="0" fontId="221" fillId="15" borderId="3" xfId="0" applyFont="1" applyFill="1" applyBorder="1" applyAlignment="1" applyProtection="1">
      <alignment vertical="center" wrapText="1" readingOrder="1"/>
      <protection locked="0"/>
    </xf>
    <xf numFmtId="185" fontId="221" fillId="15" borderId="3" xfId="0" applyNumberFormat="1" applyFont="1" applyFill="1" applyBorder="1" applyAlignment="1" applyProtection="1">
      <alignment vertical="center" wrapText="1" readingOrder="1"/>
      <protection locked="0"/>
    </xf>
    <xf numFmtId="182" fontId="221" fillId="15" borderId="3" xfId="0" applyNumberFormat="1" applyFont="1" applyFill="1" applyBorder="1" applyAlignment="1" applyProtection="1">
      <alignment vertical="center" wrapText="1" readingOrder="1"/>
      <protection locked="0"/>
    </xf>
    <xf numFmtId="0" fontId="222" fillId="15" borderId="3" xfId="0" applyFont="1" applyFill="1" applyBorder="1" applyProtection="1">
      <protection locked="0"/>
    </xf>
    <xf numFmtId="0" fontId="52" fillId="58" borderId="5" xfId="7" applyFont="1" applyFill="1" applyBorder="1" applyAlignment="1" applyProtection="1">
      <alignment horizontal="justify" vertical="center" wrapText="1"/>
      <protection hidden="1"/>
    </xf>
    <xf numFmtId="0" fontId="52" fillId="58" borderId="5" xfId="0" applyFont="1" applyFill="1" applyBorder="1" applyAlignment="1" applyProtection="1">
      <alignment horizontal="justify" vertical="center" wrapText="1"/>
      <protection hidden="1"/>
    </xf>
    <xf numFmtId="0" fontId="52" fillId="58" borderId="5" xfId="0" applyFont="1" applyFill="1" applyBorder="1" applyAlignment="1" applyProtection="1">
      <alignment wrapText="1"/>
      <protection hidden="1"/>
    </xf>
    <xf numFmtId="0" fontId="52" fillId="58" borderId="5" xfId="0" applyFont="1" applyFill="1" applyBorder="1" applyAlignment="1" applyProtection="1">
      <alignment vertical="center" wrapText="1"/>
      <protection hidden="1"/>
    </xf>
    <xf numFmtId="0" fontId="52" fillId="58" borderId="5" xfId="0" applyFont="1" applyFill="1" applyBorder="1" applyAlignment="1">
      <alignment horizontal="justify" vertical="center" wrapText="1"/>
    </xf>
    <xf numFmtId="3" fontId="52" fillId="58" borderId="5" xfId="7" applyNumberFormat="1" applyFont="1" applyFill="1" applyBorder="1" applyAlignment="1">
      <alignment horizontal="justify" vertical="center" wrapText="1"/>
    </xf>
    <xf numFmtId="0" fontId="52" fillId="58" borderId="5" xfId="7" applyFont="1" applyFill="1" applyBorder="1" applyAlignment="1">
      <alignment horizontal="justify" vertical="center" wrapText="1"/>
    </xf>
    <xf numFmtId="3" fontId="52" fillId="58" borderId="5" xfId="7" applyNumberFormat="1" applyFont="1" applyFill="1" applyBorder="1" applyAlignment="1">
      <alignment horizontal="justify" vertical="top" wrapText="1"/>
    </xf>
    <xf numFmtId="0" fontId="52" fillId="58" borderId="11" xfId="0" applyFont="1" applyFill="1" applyBorder="1" applyAlignment="1" applyProtection="1">
      <alignment horizontal="justify" vertical="center" wrapText="1"/>
      <protection hidden="1"/>
    </xf>
    <xf numFmtId="0" fontId="52" fillId="58" borderId="70" xfId="7" applyFont="1" applyFill="1" applyBorder="1" applyAlignment="1" applyProtection="1">
      <alignment horizontal="justify" vertical="center" wrapText="1"/>
      <protection hidden="1"/>
    </xf>
    <xf numFmtId="0" fontId="28" fillId="2" borderId="5" xfId="7" applyFont="1" applyFill="1" applyBorder="1" applyAlignment="1">
      <alignment horizontal="center" vertical="center" wrapText="1"/>
    </xf>
    <xf numFmtId="0" fontId="44" fillId="0" borderId="5" xfId="7" applyFont="1" applyFill="1" applyBorder="1" applyAlignment="1">
      <alignment horizontal="center" vertical="center"/>
    </xf>
    <xf numFmtId="0" fontId="52" fillId="0" borderId="7" xfId="7" applyFont="1" applyFill="1" applyBorder="1" applyAlignment="1">
      <alignment horizontal="center" vertical="center" wrapText="1"/>
    </xf>
    <xf numFmtId="0" fontId="52" fillId="0" borderId="7" xfId="7" applyFont="1" applyBorder="1"/>
    <xf numFmtId="3" fontId="32" fillId="16" borderId="13" xfId="7" applyNumberFormat="1" applyFont="1" applyFill="1" applyBorder="1" applyAlignment="1">
      <alignment horizontal="center" vertical="center" wrapText="1"/>
    </xf>
    <xf numFmtId="0" fontId="32" fillId="16" borderId="13" xfId="7" applyNumberFormat="1" applyFont="1" applyFill="1" applyBorder="1" applyAlignment="1">
      <alignment horizontal="center" vertical="center" wrapText="1"/>
    </xf>
    <xf numFmtId="3" fontId="52" fillId="50" borderId="69" xfId="7" applyNumberFormat="1" applyFont="1" applyFill="1" applyBorder="1" applyAlignment="1">
      <alignment horizontal="center" vertical="center" wrapText="1"/>
    </xf>
    <xf numFmtId="3" fontId="52" fillId="50" borderId="69" xfId="13" applyNumberFormat="1" applyFont="1" applyFill="1" applyBorder="1" applyAlignment="1">
      <alignment horizontal="center" vertical="center"/>
    </xf>
    <xf numFmtId="3" fontId="52" fillId="50" borderId="69" xfId="7" applyNumberFormat="1" applyFont="1" applyFill="1" applyBorder="1" applyAlignment="1">
      <alignment horizontal="center" vertical="center"/>
    </xf>
    <xf numFmtId="3" fontId="52" fillId="50" borderId="69" xfId="13" applyNumberFormat="1" applyFont="1" applyFill="1" applyBorder="1" applyAlignment="1">
      <alignment horizontal="center" vertical="center" wrapText="1"/>
    </xf>
    <xf numFmtId="3" fontId="52" fillId="50" borderId="69" xfId="7" applyNumberFormat="1" applyFont="1" applyFill="1" applyBorder="1" applyAlignment="1">
      <alignment horizontal="justify" vertical="center" wrapText="1"/>
    </xf>
    <xf numFmtId="3" fontId="52" fillId="50" borderId="69" xfId="7" applyNumberFormat="1" applyFont="1" applyFill="1" applyBorder="1" applyAlignment="1" applyProtection="1">
      <alignment horizontal="center" vertical="center"/>
      <protection hidden="1"/>
    </xf>
    <xf numFmtId="3" fontId="52" fillId="50" borderId="69" xfId="7" applyNumberFormat="1" applyFont="1" applyFill="1" applyBorder="1" applyAlignment="1" applyProtection="1">
      <alignment horizontal="justify" vertical="center" wrapText="1"/>
      <protection hidden="1"/>
    </xf>
    <xf numFmtId="3" fontId="52" fillId="50" borderId="69" xfId="7" applyNumberFormat="1" applyFont="1" applyFill="1" applyBorder="1" applyProtection="1">
      <protection hidden="1"/>
    </xf>
    <xf numFmtId="3" fontId="52" fillId="50" borderId="69" xfId="7" applyNumberFormat="1" applyFont="1" applyFill="1" applyBorder="1" applyAlignment="1" applyProtection="1">
      <alignment horizontal="center" vertical="center" wrapText="1"/>
      <protection hidden="1"/>
    </xf>
    <xf numFmtId="4" fontId="52" fillId="50" borderId="69" xfId="7" applyNumberFormat="1" applyFont="1" applyFill="1" applyBorder="1" applyAlignment="1">
      <alignment horizontal="center" vertical="center" wrapText="1"/>
    </xf>
    <xf numFmtId="4" fontId="52" fillId="50" borderId="69" xfId="13" applyNumberFormat="1" applyFont="1" applyFill="1" applyBorder="1" applyAlignment="1">
      <alignment horizontal="center" vertical="center" wrapText="1"/>
    </xf>
    <xf numFmtId="3" fontId="52" fillId="50" borderId="69" xfId="2" applyNumberFormat="1" applyFont="1" applyFill="1" applyBorder="1" applyAlignment="1">
      <alignment horizontal="center" vertical="center"/>
    </xf>
    <xf numFmtId="4" fontId="52" fillId="50" borderId="69" xfId="13" applyNumberFormat="1" applyFont="1" applyFill="1" applyBorder="1" applyAlignment="1">
      <alignment horizontal="center" vertical="center"/>
    </xf>
    <xf numFmtId="4" fontId="52" fillId="50" borderId="69" xfId="7" applyNumberFormat="1" applyFont="1" applyFill="1" applyBorder="1" applyAlignment="1">
      <alignment horizontal="justify" vertical="center" wrapText="1"/>
    </xf>
    <xf numFmtId="4" fontId="52" fillId="50" borderId="69" xfId="7" applyNumberFormat="1" applyFont="1" applyFill="1" applyBorder="1" applyAlignment="1" applyProtection="1">
      <alignment horizontal="center" vertical="center" wrapText="1"/>
      <protection hidden="1"/>
    </xf>
    <xf numFmtId="165" fontId="52" fillId="50" borderId="69" xfId="7" applyNumberFormat="1" applyFont="1" applyFill="1" applyBorder="1" applyAlignment="1">
      <alignment horizontal="center" vertical="center"/>
    </xf>
    <xf numFmtId="4" fontId="52" fillId="50" borderId="69" xfId="7" applyNumberFormat="1" applyFont="1" applyFill="1" applyBorder="1" applyAlignment="1" applyProtection="1">
      <alignment horizontal="center" vertical="center"/>
      <protection hidden="1"/>
    </xf>
    <xf numFmtId="4" fontId="52" fillId="50" borderId="69" xfId="7" applyNumberFormat="1" applyFont="1" applyFill="1" applyBorder="1" applyAlignment="1" applyProtection="1">
      <alignment horizontal="justify" vertical="center" wrapText="1"/>
      <protection hidden="1"/>
    </xf>
    <xf numFmtId="165" fontId="52" fillId="50" borderId="69" xfId="13" applyNumberFormat="1" applyFont="1" applyFill="1" applyBorder="1" applyAlignment="1">
      <alignment horizontal="center" vertical="center"/>
    </xf>
    <xf numFmtId="165" fontId="52" fillId="50" borderId="69" xfId="7" applyNumberFormat="1" applyFont="1" applyFill="1" applyBorder="1" applyAlignment="1">
      <alignment horizontal="center" vertical="center" wrapText="1"/>
    </xf>
    <xf numFmtId="165" fontId="52" fillId="50" borderId="69" xfId="7" applyNumberFormat="1" applyFont="1" applyFill="1" applyBorder="1" applyAlignment="1">
      <alignment horizontal="justify" vertical="center" wrapText="1"/>
    </xf>
    <xf numFmtId="165" fontId="52" fillId="50" borderId="69" xfId="7" applyNumberFormat="1" applyFont="1" applyFill="1" applyBorder="1" applyAlignment="1" applyProtection="1">
      <alignment horizontal="center" vertical="center"/>
      <protection hidden="1"/>
    </xf>
    <xf numFmtId="0" fontId="52" fillId="50" borderId="69" xfId="7" applyFont="1" applyFill="1" applyBorder="1" applyAlignment="1" applyProtection="1">
      <alignment horizontal="justify" vertical="center" wrapText="1"/>
      <protection hidden="1"/>
    </xf>
    <xf numFmtId="3" fontId="52" fillId="50" borderId="69" xfId="7" applyNumberFormat="1" applyFont="1" applyFill="1" applyBorder="1"/>
    <xf numFmtId="0" fontId="52" fillId="50" borderId="69" xfId="7" applyFont="1" applyFill="1" applyBorder="1" applyProtection="1">
      <protection hidden="1"/>
    </xf>
    <xf numFmtId="3" fontId="29" fillId="50" borderId="69" xfId="7" applyNumberFormat="1" applyFont="1" applyFill="1" applyBorder="1" applyProtection="1">
      <protection hidden="1"/>
    </xf>
    <xf numFmtId="3" fontId="29" fillId="50" borderId="69" xfId="7" applyNumberFormat="1" applyFont="1" applyFill="1" applyBorder="1"/>
    <xf numFmtId="3" fontId="28" fillId="50" borderId="69" xfId="7" applyNumberFormat="1" applyFont="1" applyFill="1" applyBorder="1" applyProtection="1">
      <protection hidden="1"/>
    </xf>
    <xf numFmtId="3" fontId="28" fillId="50" borderId="69" xfId="7" applyNumberFormat="1" applyFont="1" applyFill="1" applyBorder="1" applyAlignment="1">
      <alignment horizontal="center" vertical="center" wrapText="1"/>
    </xf>
    <xf numFmtId="3" fontId="93" fillId="50" borderId="69" xfId="7" applyNumberFormat="1" applyFont="1" applyFill="1" applyBorder="1" applyAlignment="1">
      <alignment horizontal="center" vertical="center" wrapText="1"/>
    </xf>
    <xf numFmtId="3" fontId="29" fillId="50" borderId="69" xfId="7" applyNumberFormat="1" applyFont="1" applyFill="1" applyBorder="1" applyAlignment="1">
      <alignment horizontal="center" vertical="center" wrapText="1"/>
    </xf>
    <xf numFmtId="0" fontId="44" fillId="50" borderId="69" xfId="7" applyFont="1" applyFill="1" applyBorder="1" applyAlignment="1">
      <alignment horizontal="center" vertical="center"/>
    </xf>
    <xf numFmtId="0" fontId="29" fillId="50" borderId="69" xfId="7" applyFont="1" applyFill="1" applyBorder="1" applyProtection="1">
      <protection hidden="1"/>
    </xf>
    <xf numFmtId="0" fontId="28" fillId="50" borderId="69" xfId="7" applyFont="1" applyFill="1" applyBorder="1" applyProtection="1">
      <protection hidden="1"/>
    </xf>
    <xf numFmtId="0" fontId="29" fillId="50" borderId="69" xfId="7" applyFont="1" applyFill="1" applyBorder="1" applyAlignment="1">
      <alignment horizontal="justify" vertical="center" wrapText="1"/>
    </xf>
    <xf numFmtId="0" fontId="29" fillId="50" borderId="69" xfId="7" applyFont="1" applyFill="1" applyBorder="1"/>
    <xf numFmtId="0" fontId="123" fillId="46" borderId="57" xfId="1" applyFont="1" applyFill="1" applyBorder="1" applyAlignment="1" applyProtection="1">
      <alignment horizontal="justify"/>
    </xf>
    <xf numFmtId="167" fontId="52" fillId="58" borderId="13" xfId="2" applyNumberFormat="1" applyFont="1" applyFill="1" applyBorder="1" applyAlignment="1">
      <alignment horizontal="center" vertical="center"/>
    </xf>
    <xf numFmtId="167" fontId="52" fillId="58" borderId="13" xfId="2" applyNumberFormat="1" applyFont="1" applyFill="1" applyBorder="1" applyAlignment="1">
      <alignment horizontal="center" vertical="center" wrapText="1"/>
    </xf>
    <xf numFmtId="3" fontId="69" fillId="0" borderId="69" xfId="2" applyNumberFormat="1" applyFont="1" applyFill="1" applyBorder="1" applyAlignment="1" applyProtection="1">
      <alignment horizontal="right" vertical="center" wrapText="1"/>
      <protection hidden="1"/>
    </xf>
    <xf numFmtId="0" fontId="223" fillId="0" borderId="0" xfId="0" applyFont="1"/>
    <xf numFmtId="164" fontId="99" fillId="6" borderId="36" xfId="2" applyNumberFormat="1" applyFont="1" applyFill="1" applyBorder="1" applyAlignment="1" applyProtection="1">
      <alignment horizontal="right" vertical="center"/>
      <protection hidden="1"/>
    </xf>
    <xf numFmtId="164" fontId="99" fillId="42" borderId="36" xfId="2" applyNumberFormat="1" applyFont="1" applyFill="1" applyBorder="1" applyAlignment="1" applyProtection="1">
      <alignment horizontal="right" vertical="center"/>
      <protection hidden="1"/>
    </xf>
    <xf numFmtId="164" fontId="99" fillId="42" borderId="36" xfId="2" applyNumberFormat="1" applyFont="1" applyFill="1" applyBorder="1" applyAlignment="1" applyProtection="1">
      <alignment horizontal="center" vertical="center"/>
      <protection hidden="1"/>
    </xf>
    <xf numFmtId="0" fontId="61" fillId="0" borderId="0" xfId="0" applyFont="1"/>
    <xf numFmtId="2" fontId="38" fillId="0" borderId="85" xfId="0" applyNumberFormat="1" applyFont="1" applyFill="1" applyBorder="1" applyAlignment="1">
      <alignment horizontal="right" vertical="center" wrapText="1"/>
    </xf>
    <xf numFmtId="2" fontId="29" fillId="0" borderId="85" xfId="0" applyNumberFormat="1" applyFont="1" applyFill="1" applyBorder="1" applyAlignment="1" applyProtection="1">
      <alignment horizontal="right"/>
      <protection hidden="1"/>
    </xf>
    <xf numFmtId="49" fontId="38" fillId="0" borderId="69" xfId="2" applyNumberFormat="1" applyFont="1" applyFill="1" applyBorder="1" applyAlignment="1">
      <alignment horizontal="justify" vertical="center" wrapText="1"/>
    </xf>
    <xf numFmtId="174" fontId="17" fillId="0" borderId="0" xfId="2" applyNumberFormat="1" applyFont="1" applyFill="1" applyAlignment="1">
      <alignment horizontal="center" vertical="center" wrapText="1"/>
    </xf>
    <xf numFmtId="167" fontId="38" fillId="0" borderId="69" xfId="2" applyNumberFormat="1" applyFont="1" applyFill="1" applyBorder="1" applyAlignment="1">
      <alignment horizontal="right" vertical="center" wrapText="1"/>
    </xf>
    <xf numFmtId="166" fontId="215" fillId="46" borderId="0" xfId="0" applyNumberFormat="1" applyFont="1" applyFill="1" applyProtection="1"/>
    <xf numFmtId="0" fontId="215" fillId="46" borderId="0" xfId="0" applyFont="1" applyFill="1"/>
    <xf numFmtId="3" fontId="52" fillId="50" borderId="69" xfId="7" applyNumberFormat="1" applyFont="1" applyFill="1" applyBorder="1" applyAlignment="1" applyProtection="1">
      <alignment vertical="center" wrapText="1"/>
      <protection hidden="1"/>
    </xf>
    <xf numFmtId="4" fontId="52" fillId="50" borderId="69" xfId="7" applyNumberFormat="1" applyFont="1" applyFill="1" applyBorder="1" applyAlignment="1" applyProtection="1">
      <alignment vertical="center" wrapText="1"/>
      <protection hidden="1"/>
    </xf>
    <xf numFmtId="9" fontId="52" fillId="58" borderId="3" xfId="13" applyFont="1" applyFill="1" applyBorder="1" applyAlignment="1">
      <alignment horizontal="center" vertical="center" wrapText="1"/>
    </xf>
    <xf numFmtId="164" fontId="99" fillId="6" borderId="36" xfId="2" applyNumberFormat="1" applyFont="1" applyFill="1" applyBorder="1" applyAlignment="1" applyProtection="1">
      <alignment vertical="center"/>
      <protection hidden="1"/>
    </xf>
    <xf numFmtId="164" fontId="99" fillId="42" borderId="36" xfId="2" applyNumberFormat="1" applyFont="1" applyFill="1" applyBorder="1" applyAlignment="1" applyProtection="1">
      <alignment vertical="center"/>
      <protection hidden="1"/>
    </xf>
    <xf numFmtId="0" fontId="52" fillId="0" borderId="5" xfId="0" applyFont="1" applyFill="1" applyBorder="1" applyAlignment="1">
      <alignment horizontal="center" vertical="center" wrapText="1"/>
    </xf>
    <xf numFmtId="174" fontId="52" fillId="0" borderId="5" xfId="2" applyNumberFormat="1" applyFont="1" applyFill="1" applyBorder="1" applyAlignment="1">
      <alignment vertical="center"/>
    </xf>
    <xf numFmtId="0" fontId="52" fillId="0" borderId="5" xfId="0" applyFont="1" applyFill="1" applyBorder="1" applyAlignment="1">
      <alignment vertical="center"/>
    </xf>
    <xf numFmtId="1" fontId="52" fillId="0" borderId="5" xfId="0" applyNumberFormat="1" applyFont="1" applyFill="1" applyBorder="1" applyAlignment="1">
      <alignment vertical="center"/>
    </xf>
    <xf numFmtId="0" fontId="0" fillId="0" borderId="5" xfId="0" applyFill="1" applyBorder="1" applyAlignment="1">
      <alignment vertical="center"/>
    </xf>
    <xf numFmtId="174" fontId="0" fillId="0" borderId="5" xfId="0" applyNumberFormat="1" applyFill="1" applyBorder="1" applyAlignment="1">
      <alignment vertical="center"/>
    </xf>
    <xf numFmtId="9" fontId="52" fillId="0" borderId="5" xfId="13" applyFont="1" applyFill="1" applyBorder="1" applyAlignment="1">
      <alignment vertical="center"/>
    </xf>
    <xf numFmtId="168" fontId="52" fillId="0" borderId="5" xfId="13" applyNumberFormat="1" applyFont="1" applyFill="1" applyBorder="1" applyAlignment="1">
      <alignment vertical="center"/>
    </xf>
    <xf numFmtId="9" fontId="52" fillId="0" borderId="5" xfId="0" applyNumberFormat="1" applyFont="1" applyFill="1" applyBorder="1" applyAlignment="1">
      <alignment vertical="center"/>
    </xf>
    <xf numFmtId="10" fontId="52" fillId="0" borderId="5" xfId="13" applyNumberFormat="1" applyFont="1" applyFill="1" applyBorder="1" applyAlignment="1">
      <alignment vertical="center"/>
    </xf>
    <xf numFmtId="10" fontId="52" fillId="0" borderId="5" xfId="0" applyNumberFormat="1" applyFont="1" applyFill="1" applyBorder="1" applyAlignment="1">
      <alignment vertical="center"/>
    </xf>
    <xf numFmtId="9" fontId="52" fillId="0" borderId="5" xfId="13" applyFont="1" applyFill="1" applyBorder="1" applyAlignment="1">
      <alignment horizontal="center" vertical="center" wrapText="1"/>
    </xf>
    <xf numFmtId="166" fontId="52" fillId="0" borderId="5" xfId="0" applyNumberFormat="1" applyFont="1" applyFill="1" applyBorder="1" applyAlignment="1">
      <alignment vertical="center"/>
    </xf>
    <xf numFmtId="9" fontId="0" fillId="0" borderId="5" xfId="13" applyFont="1" applyFill="1" applyBorder="1" applyAlignment="1">
      <alignment vertical="center"/>
    </xf>
    <xf numFmtId="9" fontId="0" fillId="0" borderId="5" xfId="13" applyFont="1" applyFill="1" applyBorder="1" applyAlignment="1">
      <alignment wrapText="1"/>
    </xf>
    <xf numFmtId="174" fontId="0" fillId="0" borderId="5" xfId="2" applyNumberFormat="1" applyFont="1" applyFill="1" applyBorder="1" applyAlignment="1">
      <alignment vertical="center"/>
    </xf>
    <xf numFmtId="179" fontId="0" fillId="0" borderId="5" xfId="0" applyNumberFormat="1" applyFill="1" applyBorder="1" applyAlignment="1">
      <alignment vertical="center"/>
    </xf>
    <xf numFmtId="168" fontId="52" fillId="0" borderId="5" xfId="13" applyNumberFormat="1" applyFont="1" applyFill="1" applyBorder="1" applyAlignment="1">
      <alignment horizontal="center" vertical="center" wrapText="1"/>
    </xf>
    <xf numFmtId="0" fontId="1" fillId="0" borderId="0" xfId="0" applyFont="1" applyBorder="1"/>
    <xf numFmtId="0" fontId="52" fillId="0" borderId="0" xfId="7" applyFont="1" applyBorder="1"/>
    <xf numFmtId="0" fontId="52" fillId="0" borderId="0" xfId="0" applyFont="1" applyBorder="1"/>
    <xf numFmtId="0" fontId="52" fillId="0" borderId="0" xfId="7" applyFont="1" applyFill="1" applyBorder="1" applyAlignment="1">
      <alignment horizontal="center" vertical="center" wrapText="1"/>
    </xf>
    <xf numFmtId="0" fontId="28" fillId="0" borderId="0" xfId="7" applyFont="1" applyBorder="1"/>
    <xf numFmtId="174" fontId="28" fillId="0" borderId="14" xfId="16" applyNumberFormat="1" applyFont="1" applyFill="1" applyBorder="1" applyAlignment="1">
      <alignment horizontal="justify" vertical="center" wrapText="1"/>
    </xf>
    <xf numFmtId="0" fontId="95" fillId="0" borderId="14" xfId="18" applyFont="1" applyFill="1" applyBorder="1" applyAlignment="1">
      <alignment horizontal="justify" vertical="center" wrapText="1"/>
    </xf>
    <xf numFmtId="0" fontId="101" fillId="13" borderId="13" xfId="8" applyFont="1" applyFill="1" applyBorder="1" applyAlignment="1">
      <alignment horizontal="justify" vertical="center" wrapText="1"/>
    </xf>
    <xf numFmtId="0" fontId="95" fillId="0" borderId="13" xfId="8" applyFont="1" applyFill="1" applyBorder="1" applyAlignment="1">
      <alignment vertical="center" wrapText="1"/>
    </xf>
    <xf numFmtId="169" fontId="95" fillId="0" borderId="14" xfId="8" applyNumberFormat="1" applyFont="1" applyFill="1" applyBorder="1" applyAlignment="1">
      <alignment horizontal="center" vertical="center"/>
    </xf>
    <xf numFmtId="169" fontId="28" fillId="0" borderId="15" xfId="8" applyNumberFormat="1" applyFont="1" applyFill="1" applyBorder="1" applyAlignment="1">
      <alignment horizontal="center" vertical="center" wrapText="1"/>
    </xf>
    <xf numFmtId="166" fontId="95" fillId="0" borderId="14" xfId="8" applyNumberFormat="1" applyFont="1" applyFill="1" applyBorder="1" applyAlignment="1">
      <alignment horizontal="center" vertical="center"/>
    </xf>
    <xf numFmtId="0" fontId="95" fillId="0" borderId="11" xfId="8" applyFont="1" applyFill="1" applyBorder="1" applyAlignment="1">
      <alignment vertical="center" wrapText="1"/>
    </xf>
    <xf numFmtId="0" fontId="95" fillId="16" borderId="5" xfId="8" applyFont="1" applyFill="1" applyBorder="1" applyAlignment="1">
      <alignment horizontal="center" vertical="center" wrapText="1"/>
    </xf>
    <xf numFmtId="9" fontId="95" fillId="0" borderId="14" xfId="14" applyFont="1" applyFill="1" applyBorder="1" applyAlignment="1">
      <alignment horizontal="center" vertical="center"/>
    </xf>
    <xf numFmtId="0" fontId="84" fillId="12" borderId="9" xfId="8" applyFont="1" applyFill="1" applyBorder="1" applyAlignment="1">
      <alignment vertical="center" wrapText="1"/>
    </xf>
    <xf numFmtId="0" fontId="77" fillId="12" borderId="7" xfId="8" applyFont="1" applyFill="1" applyBorder="1" applyAlignment="1">
      <alignment horizontal="center" vertical="center" wrapText="1"/>
    </xf>
    <xf numFmtId="0" fontId="95" fillId="12" borderId="3" xfId="8" applyFont="1" applyFill="1" applyBorder="1" applyAlignment="1">
      <alignment horizontal="center" vertical="center" wrapText="1"/>
    </xf>
    <xf numFmtId="0" fontId="95" fillId="12" borderId="13" xfId="8" applyFont="1" applyFill="1" applyBorder="1"/>
    <xf numFmtId="0" fontId="95" fillId="0" borderId="13" xfId="8" applyFont="1" applyBorder="1"/>
    <xf numFmtId="3" fontId="95" fillId="0" borderId="13" xfId="8" applyNumberFormat="1" applyFont="1" applyFill="1" applyBorder="1" applyAlignment="1">
      <alignment vertical="center" wrapText="1"/>
    </xf>
    <xf numFmtId="0" fontId="95" fillId="0" borderId="13" xfId="8" applyFont="1" applyFill="1" applyBorder="1"/>
    <xf numFmtId="1" fontId="104" fillId="8" borderId="7" xfId="8" applyNumberFormat="1" applyFont="1" applyFill="1" applyBorder="1" applyAlignment="1">
      <alignment horizontal="center" vertical="center" wrapText="1"/>
    </xf>
    <xf numFmtId="0" fontId="95" fillId="8" borderId="13" xfId="8" applyFont="1" applyFill="1" applyBorder="1"/>
    <xf numFmtId="2" fontId="104" fillId="0" borderId="9" xfId="8" applyNumberFormat="1" applyFont="1" applyFill="1" applyBorder="1" applyAlignment="1">
      <alignment horizontal="center" vertical="center" wrapText="1"/>
    </xf>
    <xf numFmtId="0" fontId="95" fillId="2" borderId="13" xfId="8" applyFont="1" applyFill="1" applyBorder="1"/>
    <xf numFmtId="174" fontId="95" fillId="0" borderId="11" xfId="15" applyNumberFormat="1" applyFont="1" applyFill="1" applyBorder="1" applyAlignment="1">
      <alignment horizontal="center" vertical="center" wrapText="1"/>
    </xf>
    <xf numFmtId="174" fontId="84" fillId="0" borderId="13" xfId="15" applyNumberFormat="1" applyFont="1" applyFill="1" applyBorder="1" applyAlignment="1">
      <alignment horizontal="center" vertical="center" wrapText="1"/>
    </xf>
    <xf numFmtId="174" fontId="104" fillId="0" borderId="14" xfId="15" applyNumberFormat="1" applyFont="1" applyFill="1" applyBorder="1" applyAlignment="1">
      <alignment horizontal="center" vertical="center" wrapText="1"/>
    </xf>
    <xf numFmtId="0" fontId="103" fillId="2" borderId="0" xfId="8" applyFont="1" applyFill="1" applyBorder="1" applyAlignment="1">
      <alignment horizontal="center" vertical="center"/>
    </xf>
    <xf numFmtId="0" fontId="103" fillId="2" borderId="3" xfId="8" applyFont="1" applyFill="1" applyBorder="1" applyAlignment="1">
      <alignment horizontal="right" vertical="center"/>
    </xf>
    <xf numFmtId="181" fontId="105" fillId="2" borderId="25" xfId="8" applyNumberFormat="1" applyFont="1" applyFill="1" applyBorder="1" applyAlignment="1" applyProtection="1">
      <alignment vertical="center" wrapText="1" readingOrder="1"/>
      <protection locked="0"/>
    </xf>
    <xf numFmtId="0" fontId="103" fillId="2" borderId="5" xfId="8" applyFont="1" applyFill="1" applyBorder="1" applyAlignment="1">
      <alignment horizontal="center" vertical="center" readingOrder="1"/>
    </xf>
    <xf numFmtId="181" fontId="105" fillId="2" borderId="5" xfId="8" applyNumberFormat="1" applyFont="1" applyFill="1" applyBorder="1" applyAlignment="1" applyProtection="1">
      <alignment horizontal="center" vertical="center" wrapText="1" readingOrder="1"/>
      <protection locked="0"/>
    </xf>
    <xf numFmtId="181" fontId="105" fillId="2" borderId="24" xfId="8" applyNumberFormat="1" applyFont="1" applyFill="1" applyBorder="1" applyAlignment="1" applyProtection="1">
      <alignment vertical="center" wrapText="1" readingOrder="1"/>
      <protection locked="0"/>
    </xf>
    <xf numFmtId="2" fontId="103" fillId="2" borderId="5" xfId="8" applyNumberFormat="1" applyFont="1" applyFill="1" applyBorder="1" applyAlignment="1">
      <alignment horizontal="center" vertical="center"/>
    </xf>
    <xf numFmtId="0" fontId="105" fillId="2" borderId="5" xfId="8" applyFont="1" applyFill="1" applyBorder="1" applyAlignment="1" applyProtection="1">
      <alignment horizontal="center" wrapText="1"/>
      <protection locked="0"/>
    </xf>
    <xf numFmtId="0" fontId="95" fillId="10" borderId="9" xfId="8" applyFont="1" applyFill="1" applyBorder="1" applyProtection="1"/>
    <xf numFmtId="174" fontId="104" fillId="0" borderId="9" xfId="15" applyNumberFormat="1" applyFont="1" applyFill="1" applyBorder="1" applyAlignment="1">
      <alignment vertical="center" wrapText="1"/>
    </xf>
    <xf numFmtId="176" fontId="104" fillId="0" borderId="9" xfId="15" applyNumberFormat="1" applyFont="1" applyFill="1" applyBorder="1" applyAlignment="1">
      <alignment vertical="center" wrapText="1"/>
    </xf>
    <xf numFmtId="4" fontId="84" fillId="0" borderId="13" xfId="8" applyNumberFormat="1" applyFont="1" applyFill="1" applyBorder="1" applyAlignment="1">
      <alignment horizontal="center" vertical="center" wrapText="1"/>
    </xf>
    <xf numFmtId="2" fontId="84" fillId="0" borderId="7" xfId="15" applyNumberFormat="1" applyFont="1" applyFill="1" applyBorder="1" applyAlignment="1">
      <alignment vertical="center" wrapText="1"/>
    </xf>
    <xf numFmtId="2" fontId="84" fillId="26" borderId="7" xfId="15" applyNumberFormat="1" applyFont="1" applyFill="1" applyBorder="1" applyAlignment="1">
      <alignment vertical="center" wrapText="1"/>
    </xf>
    <xf numFmtId="2" fontId="221" fillId="15" borderId="15" xfId="15" applyNumberFormat="1" applyFont="1" applyFill="1" applyBorder="1" applyAlignment="1" applyProtection="1">
      <alignment vertical="center" wrapText="1"/>
      <protection locked="0"/>
    </xf>
    <xf numFmtId="2" fontId="221" fillId="15" borderId="51" xfId="15" applyNumberFormat="1" applyFont="1" applyFill="1" applyBorder="1" applyAlignment="1" applyProtection="1">
      <alignment vertical="center" wrapText="1"/>
      <protection locked="0"/>
    </xf>
    <xf numFmtId="2" fontId="221" fillId="15" borderId="50" xfId="15" applyNumberFormat="1" applyFont="1" applyFill="1" applyBorder="1" applyAlignment="1" applyProtection="1">
      <alignment vertical="center" wrapText="1"/>
      <protection locked="0"/>
    </xf>
    <xf numFmtId="2" fontId="221" fillId="15" borderId="49" xfId="15" applyNumberFormat="1" applyFont="1" applyFill="1" applyBorder="1" applyAlignment="1" applyProtection="1">
      <alignment vertical="center" wrapText="1"/>
      <protection locked="0"/>
    </xf>
    <xf numFmtId="3" fontId="95" fillId="0" borderId="13" xfId="8" applyNumberFormat="1" applyFont="1" applyBorder="1"/>
    <xf numFmtId="0" fontId="0" fillId="0" borderId="0" xfId="0" applyBorder="1"/>
    <xf numFmtId="0" fontId="3" fillId="15" borderId="0" xfId="0" applyFont="1" applyFill="1" applyBorder="1" applyAlignment="1" applyProtection="1">
      <alignment wrapText="1"/>
      <protection locked="0"/>
    </xf>
    <xf numFmtId="0" fontId="3" fillId="15" borderId="3" xfId="0" applyFont="1" applyFill="1" applyBorder="1" applyAlignment="1" applyProtection="1">
      <alignment horizontal="justify" vertical="center" wrapText="1"/>
      <protection locked="0"/>
    </xf>
    <xf numFmtId="0" fontId="127" fillId="44" borderId="15" xfId="0" applyFont="1" applyFill="1" applyBorder="1" applyAlignment="1" applyProtection="1">
      <alignment vertical="center" wrapText="1" readingOrder="1"/>
      <protection locked="0"/>
    </xf>
    <xf numFmtId="181" fontId="127" fillId="44" borderId="50" xfId="0" applyNumberFormat="1" applyFont="1" applyFill="1" applyBorder="1" applyAlignment="1" applyProtection="1">
      <alignment vertical="center" wrapText="1" readingOrder="1"/>
      <protection locked="0"/>
    </xf>
    <xf numFmtId="181" fontId="127" fillId="44" borderId="14" xfId="0" applyNumberFormat="1" applyFont="1" applyFill="1" applyBorder="1" applyAlignment="1" applyProtection="1">
      <alignment horizontal="right" vertical="center" wrapText="1"/>
      <protection locked="0"/>
    </xf>
    <xf numFmtId="181" fontId="127" fillId="44" borderId="49" xfId="0" applyNumberFormat="1" applyFont="1" applyFill="1" applyBorder="1" applyAlignment="1" applyProtection="1">
      <alignment horizontal="right" vertical="center" wrapText="1"/>
      <protection locked="0"/>
    </xf>
    <xf numFmtId="181" fontId="127" fillId="44" borderId="51" xfId="0" applyNumberFormat="1" applyFont="1" applyFill="1" applyBorder="1" applyAlignment="1" applyProtection="1">
      <alignment vertical="center" wrapText="1" readingOrder="1"/>
      <protection locked="0"/>
    </xf>
    <xf numFmtId="0" fontId="29" fillId="0" borderId="0" xfId="0" applyFont="1" applyAlignment="1">
      <alignment horizontal="left"/>
    </xf>
    <xf numFmtId="0" fontId="29" fillId="0" borderId="0" xfId="0" applyFont="1" applyAlignment="1">
      <alignment horizontal="center" vertical="center" wrapText="1"/>
    </xf>
    <xf numFmtId="0" fontId="29" fillId="0" borderId="0" xfId="0" pivotButton="1" applyFont="1"/>
    <xf numFmtId="2" fontId="29" fillId="0" borderId="0" xfId="0" applyNumberFormat="1" applyFont="1"/>
    <xf numFmtId="169" fontId="29" fillId="0" borderId="0" xfId="0" applyNumberFormat="1" applyFont="1"/>
    <xf numFmtId="2" fontId="61" fillId="0" borderId="0" xfId="0" applyNumberFormat="1" applyFont="1"/>
    <xf numFmtId="9" fontId="9" fillId="6" borderId="79" xfId="13" applyNumberFormat="1" applyFont="1" applyFill="1" applyBorder="1" applyAlignment="1" applyProtection="1">
      <alignment horizontal="right" vertical="center"/>
      <protection hidden="1"/>
    </xf>
    <xf numFmtId="168" fontId="214" fillId="2" borderId="69" xfId="13" applyNumberFormat="1" applyFont="1" applyFill="1" applyBorder="1" applyAlignment="1" applyProtection="1">
      <alignment horizontal="right" vertical="center"/>
      <protection hidden="1"/>
    </xf>
    <xf numFmtId="0" fontId="44" fillId="46" borderId="0" xfId="0" applyFont="1" applyFill="1" applyAlignment="1">
      <alignment horizontal="center"/>
    </xf>
    <xf numFmtId="0" fontId="147" fillId="46" borderId="0" xfId="0" applyFont="1" applyFill="1" applyAlignment="1">
      <alignment horizontal="center"/>
    </xf>
    <xf numFmtId="0" fontId="0" fillId="46" borderId="0" xfId="0" applyFill="1" applyAlignment="1">
      <alignment horizontal="center"/>
    </xf>
    <xf numFmtId="2" fontId="95" fillId="12" borderId="79" xfId="0" applyNumberFormat="1" applyFont="1" applyFill="1" applyBorder="1" applyAlignment="1" applyProtection="1">
      <alignment horizontal="justify" vertical="center"/>
      <protection hidden="1"/>
    </xf>
    <xf numFmtId="2" fontId="95" fillId="2" borderId="79" xfId="0" applyNumberFormat="1" applyFont="1" applyFill="1" applyBorder="1" applyAlignment="1" applyProtection="1">
      <alignment horizontal="justify" vertical="center"/>
      <protection hidden="1"/>
    </xf>
    <xf numFmtId="2" fontId="95" fillId="5" borderId="79" xfId="0" applyNumberFormat="1" applyFont="1" applyFill="1" applyBorder="1" applyAlignment="1" applyProtection="1">
      <alignment vertical="center"/>
      <protection hidden="1"/>
    </xf>
    <xf numFmtId="2" fontId="95" fillId="2" borderId="79" xfId="0" applyNumberFormat="1" applyFont="1" applyFill="1" applyBorder="1" applyAlignment="1" applyProtection="1">
      <alignment vertical="center"/>
      <protection hidden="1"/>
    </xf>
    <xf numFmtId="169" fontId="44" fillId="7" borderId="0" xfId="0" applyNumberFormat="1" applyFont="1" applyFill="1" applyBorder="1" applyAlignment="1" applyProtection="1">
      <alignment horizontal="center" vertical="center"/>
      <protection hidden="1"/>
    </xf>
    <xf numFmtId="169" fontId="44" fillId="56" borderId="0" xfId="0" applyNumberFormat="1" applyFont="1" applyFill="1" applyBorder="1" applyAlignment="1" applyProtection="1">
      <alignment horizontal="center" vertical="center"/>
      <protection hidden="1"/>
    </xf>
    <xf numFmtId="169" fontId="166" fillId="24" borderId="0" xfId="0" applyNumberFormat="1" applyFont="1" applyFill="1" applyBorder="1" applyAlignment="1" applyProtection="1">
      <alignment horizontal="center" vertical="center"/>
      <protection hidden="1"/>
    </xf>
    <xf numFmtId="0" fontId="217" fillId="2" borderId="79" xfId="0" applyFont="1" applyFill="1" applyBorder="1" applyAlignment="1">
      <alignment horizontal="justify" vertical="center"/>
    </xf>
    <xf numFmtId="2" fontId="95" fillId="8" borderId="79" xfId="0" applyNumberFormat="1" applyFont="1" applyFill="1" applyBorder="1" applyAlignment="1" applyProtection="1">
      <alignment horizontal="justify" vertical="center"/>
      <protection hidden="1"/>
    </xf>
    <xf numFmtId="0" fontId="217" fillId="8" borderId="79" xfId="0" applyFont="1" applyFill="1" applyBorder="1" applyAlignment="1">
      <alignment horizontal="justify" vertical="center"/>
    </xf>
    <xf numFmtId="49" fontId="216" fillId="6" borderId="0" xfId="8" applyNumberFormat="1" applyFont="1" applyFill="1" applyBorder="1" applyAlignment="1">
      <alignment horizontal="center" vertical="center"/>
    </xf>
    <xf numFmtId="49" fontId="50" fillId="6" borderId="0" xfId="8" applyNumberFormat="1" applyFont="1" applyFill="1" applyBorder="1" applyAlignment="1">
      <alignment horizontal="center" vertical="center"/>
    </xf>
    <xf numFmtId="49" fontId="2" fillId="6" borderId="0" xfId="8" applyNumberFormat="1" applyFont="1" applyFill="1" applyBorder="1" applyAlignment="1">
      <alignment horizontal="center" vertical="center"/>
    </xf>
    <xf numFmtId="167" fontId="29" fillId="6" borderId="0" xfId="2" applyNumberFormat="1" applyFont="1" applyFill="1" applyBorder="1" applyAlignment="1" applyProtection="1">
      <alignment horizontal="center" vertical="center" wrapText="1"/>
      <protection hidden="1"/>
    </xf>
    <xf numFmtId="0" fontId="87" fillId="48" borderId="0" xfId="0" applyFont="1" applyFill="1" applyBorder="1" applyAlignment="1" applyProtection="1">
      <alignment horizontal="center" vertical="center"/>
      <protection hidden="1"/>
    </xf>
    <xf numFmtId="0" fontId="88" fillId="48" borderId="0" xfId="0" applyFont="1" applyFill="1" applyBorder="1" applyAlignment="1" applyProtection="1">
      <alignment horizontal="center" vertical="center"/>
      <protection hidden="1"/>
    </xf>
    <xf numFmtId="0" fontId="163" fillId="48" borderId="0" xfId="0" applyFont="1" applyFill="1" applyBorder="1" applyAlignment="1" applyProtection="1">
      <alignment horizontal="right" vertical="center"/>
      <protection hidden="1"/>
    </xf>
    <xf numFmtId="0" fontId="46" fillId="7" borderId="64" xfId="0" applyFont="1" applyFill="1" applyBorder="1" applyAlignment="1" applyProtection="1">
      <alignment horizontal="center"/>
      <protection hidden="1"/>
    </xf>
    <xf numFmtId="0" fontId="46" fillId="7" borderId="63" xfId="0" applyFont="1" applyFill="1" applyBorder="1" applyAlignment="1" applyProtection="1">
      <alignment horizontal="center"/>
      <protection hidden="1"/>
    </xf>
    <xf numFmtId="0" fontId="46" fillId="7" borderId="62" xfId="0" applyFont="1" applyFill="1" applyBorder="1" applyAlignment="1" applyProtection="1">
      <alignment horizontal="center"/>
      <protection hidden="1"/>
    </xf>
    <xf numFmtId="167" fontId="29" fillId="6" borderId="0" xfId="2" applyNumberFormat="1" applyFont="1" applyFill="1" applyBorder="1" applyAlignment="1" applyProtection="1">
      <alignment horizontal="justify" vertical="center" wrapText="1"/>
      <protection hidden="1"/>
    </xf>
    <xf numFmtId="49" fontId="95" fillId="2" borderId="80" xfId="2" applyNumberFormat="1" applyFont="1" applyFill="1" applyBorder="1" applyAlignment="1" applyProtection="1">
      <alignment horizontal="justify" vertical="center" wrapText="1"/>
      <protection hidden="1"/>
    </xf>
    <xf numFmtId="49" fontId="95" fillId="2" borderId="82" xfId="2" applyNumberFormat="1" applyFont="1" applyFill="1" applyBorder="1" applyAlignment="1" applyProtection="1">
      <alignment horizontal="justify" vertical="center" wrapText="1"/>
      <protection hidden="1"/>
    </xf>
    <xf numFmtId="49" fontId="95" fillId="2" borderId="81" xfId="2" applyNumberFormat="1" applyFont="1" applyFill="1" applyBorder="1" applyAlignment="1" applyProtection="1">
      <alignment horizontal="justify" vertical="center" wrapText="1"/>
      <protection hidden="1"/>
    </xf>
    <xf numFmtId="49" fontId="95" fillId="43" borderId="80" xfId="2" applyNumberFormat="1" applyFont="1" applyFill="1" applyBorder="1" applyAlignment="1" applyProtection="1">
      <alignment horizontal="justify" vertical="center" wrapText="1"/>
      <protection hidden="1"/>
    </xf>
    <xf numFmtId="49" fontId="95" fillId="43" borderId="82" xfId="2" applyNumberFormat="1" applyFont="1" applyFill="1" applyBorder="1" applyAlignment="1" applyProtection="1">
      <alignment horizontal="justify" vertical="center" wrapText="1"/>
      <protection hidden="1"/>
    </xf>
    <xf numFmtId="49" fontId="95" fillId="43" borderId="81" xfId="2" applyNumberFormat="1" applyFont="1" applyFill="1" applyBorder="1" applyAlignment="1" applyProtection="1">
      <alignment horizontal="justify" vertical="center" wrapText="1"/>
      <protection hidden="1"/>
    </xf>
    <xf numFmtId="49" fontId="158" fillId="6" borderId="0" xfId="8" applyNumberFormat="1" applyFont="1" applyFill="1" applyBorder="1" applyAlignment="1">
      <alignment horizontal="center" vertical="center"/>
    </xf>
    <xf numFmtId="49" fontId="216" fillId="6" borderId="86" xfId="8" applyNumberFormat="1" applyFont="1" applyFill="1" applyBorder="1" applyAlignment="1">
      <alignment horizontal="center" vertical="center"/>
    </xf>
    <xf numFmtId="0" fontId="219" fillId="2" borderId="0" xfId="0" applyFont="1" applyFill="1" applyBorder="1" applyAlignment="1">
      <alignment horizontal="left" vertical="center" wrapText="1"/>
    </xf>
    <xf numFmtId="49" fontId="162" fillId="22" borderId="60" xfId="8" applyNumberFormat="1" applyFont="1" applyFill="1" applyBorder="1" applyAlignment="1">
      <alignment horizontal="center" vertical="center"/>
    </xf>
    <xf numFmtId="49" fontId="162" fillId="22" borderId="59" xfId="8" applyNumberFormat="1" applyFont="1" applyFill="1" applyBorder="1" applyAlignment="1">
      <alignment horizontal="center" vertical="center"/>
    </xf>
    <xf numFmtId="49" fontId="162" fillId="22" borderId="58" xfId="8" applyNumberFormat="1" applyFont="1" applyFill="1" applyBorder="1" applyAlignment="1">
      <alignment horizontal="center" vertical="center"/>
    </xf>
    <xf numFmtId="49" fontId="18" fillId="6" borderId="0" xfId="0" applyNumberFormat="1" applyFont="1" applyFill="1" applyBorder="1" applyAlignment="1" applyProtection="1">
      <alignment horizontal="center" vertical="center" wrapText="1"/>
      <protection locked="0"/>
    </xf>
    <xf numFmtId="169" fontId="44" fillId="50" borderId="0" xfId="0" applyNumberFormat="1" applyFont="1" applyFill="1" applyBorder="1" applyAlignment="1" applyProtection="1">
      <alignment horizontal="center" vertical="center"/>
      <protection hidden="1"/>
    </xf>
    <xf numFmtId="169" fontId="192" fillId="7" borderId="0" xfId="0" applyNumberFormat="1" applyFont="1" applyFill="1" applyBorder="1" applyAlignment="1" applyProtection="1">
      <alignment horizontal="center" vertical="center"/>
      <protection hidden="1"/>
    </xf>
    <xf numFmtId="169" fontId="44" fillId="36" borderId="0" xfId="0" applyNumberFormat="1" applyFont="1" applyFill="1" applyBorder="1" applyAlignment="1" applyProtection="1">
      <alignment horizontal="center" vertical="center"/>
      <protection hidden="1"/>
    </xf>
    <xf numFmtId="169" fontId="44" fillId="53" borderId="0" xfId="0" applyNumberFormat="1" applyFont="1" applyFill="1" applyBorder="1" applyAlignment="1" applyProtection="1">
      <alignment horizontal="center" vertical="center"/>
      <protection hidden="1"/>
    </xf>
    <xf numFmtId="2" fontId="28" fillId="6" borderId="0" xfId="0" applyNumberFormat="1" applyFont="1" applyFill="1" applyBorder="1" applyAlignment="1" applyProtection="1">
      <alignment horizontal="justify" vertical="center"/>
      <protection hidden="1"/>
    </xf>
    <xf numFmtId="49" fontId="16" fillId="6" borderId="0" xfId="0" applyNumberFormat="1" applyFont="1" applyFill="1" applyBorder="1" applyAlignment="1" applyProtection="1">
      <alignment horizontal="center" vertical="center" wrapText="1"/>
      <protection locked="0"/>
    </xf>
    <xf numFmtId="49" fontId="139" fillId="6" borderId="0" xfId="0" applyNumberFormat="1" applyFont="1" applyFill="1" applyBorder="1" applyAlignment="1" applyProtection="1">
      <alignment horizontal="left" vertical="center" wrapText="1"/>
      <protection locked="0"/>
    </xf>
    <xf numFmtId="0" fontId="2" fillId="7" borderId="66" xfId="0" applyFont="1" applyFill="1" applyBorder="1" applyAlignment="1" applyProtection="1">
      <alignment horizontal="center" vertical="center"/>
      <protection locked="0"/>
    </xf>
    <xf numFmtId="0" fontId="2" fillId="7" borderId="35" xfId="0" applyFont="1" applyFill="1" applyBorder="1" applyAlignment="1" applyProtection="1">
      <alignment horizontal="center" vertical="center"/>
      <protection locked="0"/>
    </xf>
    <xf numFmtId="0" fontId="2" fillId="7" borderId="32" xfId="0" applyFont="1" applyFill="1" applyBorder="1" applyAlignment="1" applyProtection="1">
      <alignment horizontal="center" vertical="center"/>
      <protection locked="0"/>
    </xf>
    <xf numFmtId="169" fontId="29" fillId="6" borderId="70" xfId="0" applyNumberFormat="1" applyFont="1" applyFill="1" applyBorder="1" applyAlignment="1" applyProtection="1">
      <alignment horizontal="justify" vertical="center"/>
      <protection hidden="1"/>
    </xf>
    <xf numFmtId="169" fontId="29" fillId="6" borderId="76" xfId="0" applyNumberFormat="1" applyFont="1" applyFill="1" applyBorder="1" applyAlignment="1" applyProtection="1">
      <alignment horizontal="justify" vertical="center"/>
      <protection hidden="1"/>
    </xf>
    <xf numFmtId="169" fontId="29" fillId="6" borderId="71" xfId="0" applyNumberFormat="1" applyFont="1" applyFill="1" applyBorder="1" applyAlignment="1" applyProtection="1">
      <alignment horizontal="justify" vertical="center"/>
      <protection hidden="1"/>
    </xf>
    <xf numFmtId="169" fontId="206" fillId="13" borderId="70" xfId="0" applyNumberFormat="1" applyFont="1" applyFill="1" applyBorder="1" applyAlignment="1" applyProtection="1">
      <alignment horizontal="center" vertical="center"/>
      <protection hidden="1"/>
    </xf>
    <xf numFmtId="169" fontId="206" fillId="13" borderId="71" xfId="0" applyNumberFormat="1" applyFont="1" applyFill="1" applyBorder="1" applyAlignment="1" applyProtection="1">
      <alignment horizontal="center" vertical="center"/>
      <protection hidden="1"/>
    </xf>
    <xf numFmtId="169" fontId="58" fillId="6" borderId="70" xfId="0" applyNumberFormat="1" applyFont="1" applyFill="1" applyBorder="1" applyAlignment="1" applyProtection="1">
      <alignment horizontal="justify" vertical="center"/>
      <protection hidden="1"/>
    </xf>
    <xf numFmtId="169" fontId="58" fillId="6" borderId="76" xfId="0" applyNumberFormat="1" applyFont="1" applyFill="1" applyBorder="1" applyAlignment="1" applyProtection="1">
      <alignment horizontal="justify" vertical="center"/>
      <protection hidden="1"/>
    </xf>
    <xf numFmtId="169" fontId="58" fillId="6" borderId="71" xfId="0" applyNumberFormat="1" applyFont="1" applyFill="1" applyBorder="1" applyAlignment="1" applyProtection="1">
      <alignment horizontal="justify" vertical="center"/>
      <protection hidden="1"/>
    </xf>
    <xf numFmtId="0" fontId="29" fillId="6" borderId="70" xfId="0" applyNumberFormat="1" applyFont="1" applyFill="1" applyBorder="1" applyAlignment="1" applyProtection="1">
      <alignment vertical="center"/>
      <protection hidden="1"/>
    </xf>
    <xf numFmtId="0" fontId="29" fillId="6" borderId="76" xfId="0" applyNumberFormat="1" applyFont="1" applyFill="1" applyBorder="1" applyAlignment="1" applyProtection="1">
      <alignment vertical="center"/>
      <protection hidden="1"/>
    </xf>
    <xf numFmtId="0" fontId="29" fillId="6" borderId="71" xfId="0" applyNumberFormat="1" applyFont="1" applyFill="1" applyBorder="1" applyAlignment="1" applyProtection="1">
      <alignment vertical="center"/>
      <protection hidden="1"/>
    </xf>
    <xf numFmtId="49" fontId="167" fillId="50" borderId="73" xfId="8" applyNumberFormat="1" applyFont="1" applyFill="1" applyBorder="1" applyAlignment="1">
      <alignment horizontal="center" vertical="center"/>
    </xf>
    <xf numFmtId="49" fontId="167" fillId="50" borderId="74" xfId="8" applyNumberFormat="1" applyFont="1" applyFill="1" applyBorder="1" applyAlignment="1">
      <alignment horizontal="center" vertical="center"/>
    </xf>
    <xf numFmtId="49" fontId="167" fillId="50" borderId="75" xfId="8" applyNumberFormat="1" applyFont="1" applyFill="1" applyBorder="1" applyAlignment="1">
      <alignment horizontal="center" vertical="center"/>
    </xf>
    <xf numFmtId="0" fontId="121" fillId="53" borderId="67" xfId="0" applyFont="1" applyFill="1" applyBorder="1" applyAlignment="1" applyProtection="1">
      <alignment horizontal="center" vertical="center"/>
      <protection locked="0" hidden="1"/>
    </xf>
    <xf numFmtId="0" fontId="121" fillId="53" borderId="33" xfId="0" applyFont="1" applyFill="1" applyBorder="1" applyAlignment="1" applyProtection="1">
      <alignment horizontal="center" vertical="center"/>
      <protection locked="0" hidden="1"/>
    </xf>
    <xf numFmtId="0" fontId="121" fillId="53" borderId="68" xfId="0" applyFont="1" applyFill="1" applyBorder="1" applyAlignment="1" applyProtection="1">
      <alignment horizontal="center" vertical="center"/>
      <protection locked="0" hidden="1"/>
    </xf>
    <xf numFmtId="167" fontId="204" fillId="6" borderId="0" xfId="2" applyNumberFormat="1" applyFont="1" applyFill="1" applyBorder="1" applyAlignment="1" applyProtection="1">
      <alignment horizontal="right" vertical="center" wrapText="1"/>
      <protection hidden="1"/>
    </xf>
    <xf numFmtId="0" fontId="179" fillId="48" borderId="0" xfId="0" applyFont="1" applyFill="1" applyBorder="1" applyAlignment="1" applyProtection="1">
      <alignment horizontal="right"/>
      <protection hidden="1"/>
    </xf>
    <xf numFmtId="0" fontId="179" fillId="48" borderId="65" xfId="0" applyFont="1" applyFill="1" applyBorder="1" applyAlignment="1" applyProtection="1">
      <alignment horizontal="right"/>
      <protection hidden="1"/>
    </xf>
    <xf numFmtId="3" fontId="23" fillId="41" borderId="88" xfId="0" applyNumberFormat="1" applyFont="1" applyFill="1" applyBorder="1" applyAlignment="1" applyProtection="1">
      <alignment horizontal="center" vertical="center"/>
      <protection hidden="1"/>
    </xf>
    <xf numFmtId="3" fontId="23" fillId="41" borderId="38" xfId="0" applyNumberFormat="1" applyFont="1" applyFill="1" applyBorder="1" applyAlignment="1" applyProtection="1">
      <alignment horizontal="center" vertical="center"/>
      <protection hidden="1"/>
    </xf>
    <xf numFmtId="3" fontId="23" fillId="41" borderId="89" xfId="0" applyNumberFormat="1" applyFont="1" applyFill="1" applyBorder="1" applyAlignment="1" applyProtection="1">
      <alignment horizontal="center" vertical="center"/>
      <protection hidden="1"/>
    </xf>
    <xf numFmtId="0" fontId="23" fillId="41" borderId="40" xfId="0" applyFont="1" applyFill="1" applyBorder="1" applyAlignment="1" applyProtection="1">
      <alignment horizontal="center" vertical="center" wrapText="1"/>
      <protection hidden="1"/>
    </xf>
    <xf numFmtId="0" fontId="23" fillId="41" borderId="0" xfId="0" applyFont="1" applyFill="1" applyBorder="1" applyAlignment="1" applyProtection="1">
      <alignment horizontal="center" vertical="center" wrapText="1"/>
      <protection hidden="1"/>
    </xf>
    <xf numFmtId="0" fontId="23" fillId="41" borderId="87" xfId="0" applyFont="1" applyFill="1" applyBorder="1" applyAlignment="1" applyProtection="1">
      <alignment horizontal="center" vertical="center" wrapText="1"/>
      <protection hidden="1"/>
    </xf>
    <xf numFmtId="169" fontId="117" fillId="36" borderId="83" xfId="0" applyNumberFormat="1" applyFont="1" applyFill="1" applyBorder="1" applyAlignment="1" applyProtection="1">
      <alignment horizontal="center" vertical="center"/>
      <protection hidden="1"/>
    </xf>
    <xf numFmtId="169" fontId="117" fillId="36" borderId="84" xfId="0" applyNumberFormat="1" applyFont="1" applyFill="1" applyBorder="1" applyAlignment="1" applyProtection="1">
      <alignment horizontal="center" vertical="center"/>
      <protection hidden="1"/>
    </xf>
    <xf numFmtId="0" fontId="63" fillId="0" borderId="69" xfId="0" applyFont="1" applyFill="1" applyBorder="1" applyAlignment="1">
      <alignment horizontal="center" vertical="center" wrapText="1"/>
    </xf>
    <xf numFmtId="167" fontId="206" fillId="48" borderId="69" xfId="2" applyNumberFormat="1" applyFont="1" applyFill="1" applyBorder="1" applyAlignment="1" applyProtection="1">
      <alignment horizontal="center" vertical="center"/>
      <protection hidden="1"/>
    </xf>
    <xf numFmtId="167" fontId="206" fillId="2" borderId="69" xfId="2" applyNumberFormat="1" applyFont="1" applyFill="1" applyBorder="1" applyAlignment="1" applyProtection="1">
      <alignment horizontal="center" vertical="center"/>
      <protection hidden="1"/>
    </xf>
    <xf numFmtId="49" fontId="16" fillId="6" borderId="84" xfId="0" applyNumberFormat="1" applyFont="1" applyFill="1" applyBorder="1" applyAlignment="1" applyProtection="1">
      <alignment horizontal="center" vertical="center" wrapText="1"/>
      <protection locked="0"/>
    </xf>
    <xf numFmtId="49" fontId="20" fillId="48" borderId="69" xfId="8" applyNumberFormat="1" applyFont="1" applyFill="1" applyBorder="1" applyAlignment="1">
      <alignment horizontal="left" vertical="center"/>
    </xf>
    <xf numFmtId="1" fontId="29" fillId="6" borderId="70" xfId="0" applyNumberFormat="1" applyFont="1" applyFill="1" applyBorder="1" applyAlignment="1" applyProtection="1">
      <alignment vertical="center"/>
      <protection hidden="1"/>
    </xf>
    <xf numFmtId="1" fontId="29" fillId="6" borderId="76" xfId="0" applyNumberFormat="1" applyFont="1" applyFill="1" applyBorder="1" applyAlignment="1" applyProtection="1">
      <alignment vertical="center"/>
      <protection hidden="1"/>
    </xf>
    <xf numFmtId="1" fontId="29" fillId="6" borderId="71" xfId="0" applyNumberFormat="1" applyFont="1" applyFill="1" applyBorder="1" applyAlignment="1" applyProtection="1">
      <alignment vertical="center"/>
      <protection hidden="1"/>
    </xf>
    <xf numFmtId="1" fontId="29" fillId="6" borderId="70" xfId="0" applyNumberFormat="1" applyFont="1" applyFill="1" applyBorder="1" applyAlignment="1" applyProtection="1">
      <alignment horizontal="justify" vertical="center"/>
      <protection hidden="1"/>
    </xf>
    <xf numFmtId="1" fontId="29" fillId="6" borderId="76" xfId="0" applyNumberFormat="1" applyFont="1" applyFill="1" applyBorder="1" applyAlignment="1" applyProtection="1">
      <alignment horizontal="justify" vertical="center"/>
      <protection hidden="1"/>
    </xf>
    <xf numFmtId="1" fontId="29" fillId="6" borderId="71" xfId="0" applyNumberFormat="1" applyFont="1" applyFill="1" applyBorder="1" applyAlignment="1" applyProtection="1">
      <alignment horizontal="justify" vertical="center"/>
      <protection hidden="1"/>
    </xf>
    <xf numFmtId="167" fontId="207" fillId="13" borderId="69" xfId="2" applyNumberFormat="1" applyFont="1" applyFill="1" applyBorder="1" applyAlignment="1" applyProtection="1">
      <alignment horizontal="center" vertical="center"/>
      <protection hidden="1"/>
    </xf>
    <xf numFmtId="169" fontId="38" fillId="12" borderId="80" xfId="0" applyNumberFormat="1" applyFont="1" applyFill="1" applyBorder="1" applyAlignment="1" applyProtection="1">
      <alignment horizontal="justify" vertical="center"/>
      <protection hidden="1"/>
    </xf>
    <xf numFmtId="169" fontId="38" fillId="12" borderId="82" xfId="0" applyNumberFormat="1" applyFont="1" applyFill="1" applyBorder="1" applyAlignment="1" applyProtection="1">
      <alignment horizontal="justify" vertical="center"/>
      <protection hidden="1"/>
    </xf>
    <xf numFmtId="169" fontId="38" fillId="12" borderId="81" xfId="0" applyNumberFormat="1" applyFont="1" applyFill="1" applyBorder="1" applyAlignment="1" applyProtection="1">
      <alignment horizontal="justify" vertical="center"/>
      <protection hidden="1"/>
    </xf>
    <xf numFmtId="169" fontId="38" fillId="2" borderId="80" xfId="0" applyNumberFormat="1" applyFont="1" applyFill="1" applyBorder="1" applyAlignment="1" applyProtection="1">
      <alignment horizontal="justify" vertical="center"/>
      <protection hidden="1"/>
    </xf>
    <xf numFmtId="169" fontId="38" fillId="2" borderId="82" xfId="0" applyNumberFormat="1" applyFont="1" applyFill="1" applyBorder="1" applyAlignment="1" applyProtection="1">
      <alignment horizontal="justify" vertical="center"/>
      <protection hidden="1"/>
    </xf>
    <xf numFmtId="169" fontId="38" fillId="2" borderId="81" xfId="0" applyNumberFormat="1" applyFont="1" applyFill="1" applyBorder="1" applyAlignment="1" applyProtection="1">
      <alignment horizontal="justify" vertical="center"/>
      <protection hidden="1"/>
    </xf>
    <xf numFmtId="0" fontId="23" fillId="0" borderId="80" xfId="0" applyFont="1" applyFill="1" applyBorder="1" applyAlignment="1" applyProtection="1">
      <alignment horizontal="justify" vertical="center" wrapText="1"/>
      <protection hidden="1"/>
    </xf>
    <xf numFmtId="0" fontId="23" fillId="0" borderId="81" xfId="0" applyFont="1" applyFill="1" applyBorder="1" applyAlignment="1" applyProtection="1">
      <alignment horizontal="justify" vertical="center" wrapText="1"/>
      <protection hidden="1"/>
    </xf>
    <xf numFmtId="0" fontId="18" fillId="42" borderId="79" xfId="0" applyNumberFormat="1" applyFont="1" applyFill="1" applyBorder="1" applyAlignment="1" applyProtection="1">
      <alignment horizontal="justify" vertical="center" wrapText="1"/>
      <protection hidden="1"/>
    </xf>
    <xf numFmtId="0" fontId="85" fillId="54" borderId="79" xfId="0" applyFont="1" applyFill="1" applyBorder="1" applyAlignment="1" applyProtection="1">
      <alignment horizontal="center"/>
      <protection hidden="1"/>
    </xf>
    <xf numFmtId="0" fontId="159" fillId="54" borderId="80" xfId="0" applyFont="1" applyFill="1" applyBorder="1" applyAlignment="1" applyProtection="1">
      <alignment horizontal="center" vertical="center"/>
      <protection hidden="1"/>
    </xf>
    <xf numFmtId="0" fontId="159" fillId="54" borderId="82" xfId="0" applyFont="1" applyFill="1" applyBorder="1" applyAlignment="1" applyProtection="1">
      <alignment horizontal="center" vertical="center"/>
      <protection hidden="1"/>
    </xf>
    <xf numFmtId="0" fontId="159" fillId="54" borderId="81" xfId="0" applyFont="1" applyFill="1" applyBorder="1" applyAlignment="1" applyProtection="1">
      <alignment horizontal="center" vertical="center"/>
      <protection hidden="1"/>
    </xf>
    <xf numFmtId="0" fontId="189" fillId="50" borderId="0" xfId="0" applyFont="1" applyFill="1" applyBorder="1" applyAlignment="1" applyProtection="1">
      <alignment horizontal="center" vertical="center"/>
      <protection hidden="1"/>
    </xf>
    <xf numFmtId="3" fontId="202" fillId="2" borderId="0" xfId="0" applyNumberFormat="1" applyFont="1" applyFill="1" applyBorder="1" applyAlignment="1" applyProtection="1">
      <alignment horizontal="center" vertical="center"/>
      <protection hidden="1"/>
    </xf>
    <xf numFmtId="0" fontId="10" fillId="13" borderId="80" xfId="1" applyFill="1" applyBorder="1" applyAlignment="1" applyProtection="1">
      <alignment horizontal="center"/>
      <protection hidden="1"/>
    </xf>
    <xf numFmtId="0" fontId="10" fillId="13" borderId="81" xfId="1" applyFill="1" applyBorder="1" applyAlignment="1" applyProtection="1">
      <alignment horizontal="center"/>
      <protection hidden="1"/>
    </xf>
    <xf numFmtId="49" fontId="198" fillId="2" borderId="0" xfId="0" applyNumberFormat="1" applyFont="1" applyFill="1" applyBorder="1" applyAlignment="1" applyProtection="1">
      <alignment horizontal="left" vertical="center" wrapText="1"/>
      <protection locked="0"/>
    </xf>
    <xf numFmtId="0" fontId="179" fillId="48" borderId="0" xfId="0" applyFont="1" applyFill="1" applyBorder="1" applyAlignment="1" applyProtection="1">
      <alignment horizontal="right" vertical="center"/>
      <protection hidden="1"/>
    </xf>
    <xf numFmtId="0" fontId="179" fillId="48" borderId="65" xfId="0" applyFont="1" applyFill="1" applyBorder="1" applyAlignment="1" applyProtection="1">
      <alignment horizontal="right" vertical="center"/>
      <protection hidden="1"/>
    </xf>
    <xf numFmtId="0" fontId="46" fillId="50" borderId="77" xfId="0" applyFont="1" applyFill="1" applyBorder="1" applyAlignment="1" applyProtection="1">
      <alignment horizontal="center" vertical="center"/>
      <protection locked="0"/>
    </xf>
    <xf numFmtId="0" fontId="46" fillId="50" borderId="0" xfId="0" applyFont="1" applyFill="1" applyBorder="1" applyAlignment="1" applyProtection="1">
      <alignment horizontal="center" vertical="center"/>
      <protection locked="0"/>
    </xf>
    <xf numFmtId="0" fontId="178" fillId="15" borderId="0" xfId="0" applyFont="1" applyFill="1" applyBorder="1" applyAlignment="1">
      <alignment horizontal="center" vertical="center" wrapText="1"/>
    </xf>
    <xf numFmtId="0" fontId="21" fillId="6" borderId="37" xfId="0" applyNumberFormat="1" applyFont="1" applyFill="1" applyBorder="1" applyAlignment="1" applyProtection="1">
      <alignment horizontal="justify" vertical="center" wrapText="1"/>
      <protection hidden="1"/>
    </xf>
    <xf numFmtId="0" fontId="21" fillId="6" borderId="38" xfId="0" applyNumberFormat="1" applyFont="1" applyFill="1" applyBorder="1" applyAlignment="1" applyProtection="1">
      <alignment horizontal="justify" vertical="center" wrapText="1"/>
      <protection hidden="1"/>
    </xf>
    <xf numFmtId="0" fontId="21" fillId="6" borderId="39" xfId="0" applyNumberFormat="1" applyFont="1" applyFill="1" applyBorder="1" applyAlignment="1" applyProtection="1">
      <alignment horizontal="justify" vertical="center" wrapText="1"/>
      <protection hidden="1"/>
    </xf>
    <xf numFmtId="0" fontId="21" fillId="6" borderId="40" xfId="0" applyNumberFormat="1" applyFont="1" applyFill="1" applyBorder="1" applyAlignment="1" applyProtection="1">
      <alignment horizontal="justify" vertical="center" wrapText="1"/>
      <protection hidden="1"/>
    </xf>
    <xf numFmtId="0" fontId="21" fillId="6" borderId="0" xfId="0" applyNumberFormat="1" applyFont="1" applyFill="1" applyBorder="1" applyAlignment="1" applyProtection="1">
      <alignment horizontal="justify" vertical="center" wrapText="1"/>
      <protection hidden="1"/>
    </xf>
    <xf numFmtId="0" fontId="21" fillId="6" borderId="41" xfId="0" applyNumberFormat="1" applyFont="1" applyFill="1" applyBorder="1" applyAlignment="1" applyProtection="1">
      <alignment horizontal="justify" vertical="center" wrapText="1"/>
      <protection hidden="1"/>
    </xf>
    <xf numFmtId="0" fontId="21" fillId="6" borderId="42" xfId="0" applyNumberFormat="1" applyFont="1" applyFill="1" applyBorder="1" applyAlignment="1" applyProtection="1">
      <alignment horizontal="justify" vertical="center" wrapText="1"/>
      <protection hidden="1"/>
    </xf>
    <xf numFmtId="0" fontId="21" fillId="6" borderId="43" xfId="0" applyNumberFormat="1" applyFont="1" applyFill="1" applyBorder="1" applyAlignment="1" applyProtection="1">
      <alignment horizontal="justify" vertical="center" wrapText="1"/>
      <protection hidden="1"/>
    </xf>
    <xf numFmtId="0" fontId="21" fillId="6" borderId="44" xfId="0" applyNumberFormat="1" applyFont="1" applyFill="1" applyBorder="1" applyAlignment="1" applyProtection="1">
      <alignment horizontal="justify" vertical="center" wrapText="1"/>
      <protection hidden="1"/>
    </xf>
    <xf numFmtId="0" fontId="20" fillId="41" borderId="36" xfId="0" applyFont="1" applyFill="1" applyBorder="1" applyAlignment="1" applyProtection="1">
      <alignment horizontal="center"/>
      <protection hidden="1"/>
    </xf>
    <xf numFmtId="0" fontId="2" fillId="41" borderId="36" xfId="0" applyFont="1" applyFill="1" applyBorder="1" applyAlignment="1" applyProtection="1">
      <alignment horizontal="center"/>
      <protection hidden="1"/>
    </xf>
    <xf numFmtId="167" fontId="99" fillId="6" borderId="36" xfId="2" applyNumberFormat="1" applyFont="1" applyFill="1" applyBorder="1" applyAlignment="1" applyProtection="1">
      <alignment vertical="center"/>
      <protection hidden="1"/>
    </xf>
    <xf numFmtId="3" fontId="99" fillId="6" borderId="36" xfId="10" applyNumberFormat="1" applyFont="1" applyFill="1" applyBorder="1" applyAlignment="1">
      <alignment horizontal="right" vertical="center"/>
    </xf>
    <xf numFmtId="167" fontId="99" fillId="42" borderId="36" xfId="2" applyNumberFormat="1" applyFont="1" applyFill="1" applyBorder="1" applyAlignment="1" applyProtection="1">
      <alignment vertical="center"/>
      <protection hidden="1"/>
    </xf>
    <xf numFmtId="3" fontId="99" fillId="42" borderId="36" xfId="10" applyNumberFormat="1" applyFont="1" applyFill="1" applyBorder="1" applyAlignment="1">
      <alignment horizontal="right" vertical="center"/>
    </xf>
    <xf numFmtId="168" fontId="141" fillId="45" borderId="52" xfId="13" applyNumberFormat="1" applyFont="1" applyFill="1" applyBorder="1" applyAlignment="1" applyProtection="1">
      <alignment horizontal="center" vertical="center"/>
      <protection hidden="1"/>
    </xf>
    <xf numFmtId="168" fontId="141" fillId="45" borderId="53" xfId="13" applyNumberFormat="1" applyFont="1" applyFill="1" applyBorder="1" applyAlignment="1" applyProtection="1">
      <alignment horizontal="center" vertical="center"/>
      <protection hidden="1"/>
    </xf>
    <xf numFmtId="49" fontId="140" fillId="39" borderId="52" xfId="10" applyNumberFormat="1" applyFont="1" applyFill="1" applyBorder="1" applyAlignment="1">
      <alignment horizontal="center" vertical="center"/>
    </xf>
    <xf numFmtId="49" fontId="140" fillId="39" borderId="54" xfId="10" applyNumberFormat="1" applyFont="1" applyFill="1" applyBorder="1" applyAlignment="1">
      <alignment horizontal="center" vertical="center"/>
    </xf>
    <xf numFmtId="49" fontId="140" fillId="39" borderId="53" xfId="10" applyNumberFormat="1" applyFont="1" applyFill="1" applyBorder="1" applyAlignment="1">
      <alignment horizontal="center" vertical="center"/>
    </xf>
    <xf numFmtId="167" fontId="99" fillId="2" borderId="52" xfId="2" applyNumberFormat="1" applyFont="1" applyFill="1" applyBorder="1" applyAlignment="1" applyProtection="1">
      <alignment horizontal="center" vertical="center"/>
      <protection hidden="1"/>
    </xf>
    <xf numFmtId="167" fontId="99" fillId="2" borderId="54" xfId="2" applyNumberFormat="1" applyFont="1" applyFill="1" applyBorder="1" applyAlignment="1" applyProtection="1">
      <alignment horizontal="center" vertical="center"/>
      <protection hidden="1"/>
    </xf>
    <xf numFmtId="167" fontId="99" fillId="2" borderId="53" xfId="2" applyNumberFormat="1" applyFont="1" applyFill="1" applyBorder="1" applyAlignment="1" applyProtection="1">
      <alignment horizontal="center" vertical="center"/>
      <protection hidden="1"/>
    </xf>
    <xf numFmtId="0" fontId="57" fillId="6" borderId="0" xfId="0" applyNumberFormat="1" applyFont="1" applyFill="1" applyBorder="1" applyAlignment="1" applyProtection="1">
      <alignment horizontal="center" vertical="center"/>
      <protection hidden="1"/>
    </xf>
    <xf numFmtId="49" fontId="97" fillId="39" borderId="36" xfId="10" applyNumberFormat="1" applyFont="1" applyFill="1" applyBorder="1" applyAlignment="1">
      <alignment horizontal="center" vertical="center"/>
    </xf>
    <xf numFmtId="0" fontId="29" fillId="12" borderId="36" xfId="0" applyFont="1" applyFill="1" applyBorder="1" applyAlignment="1" applyProtection="1">
      <alignment horizontal="center" vertical="center" wrapText="1"/>
      <protection hidden="1"/>
    </xf>
    <xf numFmtId="49" fontId="120" fillId="41" borderId="36" xfId="10" applyNumberFormat="1" applyFont="1" applyFill="1" applyBorder="1" applyAlignment="1">
      <alignment horizontal="center" vertical="center"/>
    </xf>
    <xf numFmtId="0" fontId="90" fillId="40" borderId="36" xfId="0" applyFont="1" applyFill="1" applyBorder="1" applyAlignment="1">
      <alignment horizontal="center" vertical="center" wrapText="1"/>
    </xf>
    <xf numFmtId="0" fontId="1" fillId="42" borderId="52" xfId="0" applyNumberFormat="1" applyFont="1" applyFill="1" applyBorder="1" applyAlignment="1" applyProtection="1">
      <alignment horizontal="center" vertical="center"/>
      <protection hidden="1"/>
    </xf>
    <xf numFmtId="0" fontId="1" fillId="42" borderId="54" xfId="0" applyNumberFormat="1" applyFont="1" applyFill="1" applyBorder="1" applyAlignment="1" applyProtection="1">
      <alignment horizontal="center" vertical="center"/>
      <protection hidden="1"/>
    </xf>
    <xf numFmtId="0" fontId="1" fillId="42" borderId="53" xfId="0" applyNumberFormat="1" applyFont="1" applyFill="1" applyBorder="1" applyAlignment="1" applyProtection="1">
      <alignment horizontal="center" vertical="center"/>
      <protection hidden="1"/>
    </xf>
    <xf numFmtId="49" fontId="11" fillId="12" borderId="52" xfId="10" applyNumberFormat="1" applyFont="1" applyFill="1" applyBorder="1" applyAlignment="1">
      <alignment horizontal="center" vertical="center"/>
    </xf>
    <xf numFmtId="49" fontId="11" fillId="12" borderId="53" xfId="10" applyNumberFormat="1" applyFont="1" applyFill="1" applyBorder="1" applyAlignment="1">
      <alignment horizontal="center" vertical="center"/>
    </xf>
    <xf numFmtId="49" fontId="19" fillId="12" borderId="52" xfId="10" applyNumberFormat="1" applyFont="1" applyFill="1" applyBorder="1" applyAlignment="1">
      <alignment horizontal="center" vertical="center"/>
    </xf>
    <xf numFmtId="49" fontId="19" fillId="12" borderId="53" xfId="10" applyNumberFormat="1" applyFont="1" applyFill="1" applyBorder="1" applyAlignment="1">
      <alignment horizontal="center" vertical="center"/>
    </xf>
    <xf numFmtId="0" fontId="3" fillId="42" borderId="36" xfId="0" applyFont="1" applyFill="1" applyBorder="1" applyAlignment="1" applyProtection="1">
      <alignment horizontal="center" vertical="center"/>
      <protection hidden="1"/>
    </xf>
    <xf numFmtId="0" fontId="3" fillId="42" borderId="52" xfId="0" applyNumberFormat="1" applyFont="1" applyFill="1" applyBorder="1" applyAlignment="1" applyProtection="1">
      <alignment horizontal="justify" vertical="center" wrapText="1"/>
      <protection hidden="1"/>
    </xf>
    <xf numFmtId="0" fontId="3" fillId="42" borderId="54" xfId="0" applyNumberFormat="1" applyFont="1" applyFill="1" applyBorder="1" applyAlignment="1" applyProtection="1">
      <alignment horizontal="justify" vertical="center" wrapText="1"/>
      <protection hidden="1"/>
    </xf>
    <xf numFmtId="0" fontId="3" fillId="42" borderId="53" xfId="0" applyNumberFormat="1" applyFont="1" applyFill="1" applyBorder="1" applyAlignment="1" applyProtection="1">
      <alignment horizontal="justify" vertical="center" wrapText="1"/>
      <protection hidden="1"/>
    </xf>
    <xf numFmtId="49" fontId="11" fillId="12" borderId="52" xfId="10" applyNumberFormat="1" applyFont="1" applyFill="1" applyBorder="1" applyAlignment="1">
      <alignment horizontal="left" vertical="center"/>
    </xf>
    <xf numFmtId="49" fontId="11" fillId="12" borderId="53" xfId="10" applyNumberFormat="1" applyFont="1" applyFill="1" applyBorder="1" applyAlignment="1">
      <alignment horizontal="left" vertical="center"/>
    </xf>
    <xf numFmtId="49" fontId="224" fillId="12" borderId="52" xfId="10" applyNumberFormat="1" applyFont="1" applyFill="1" applyBorder="1" applyAlignment="1">
      <alignment horizontal="center" vertical="center"/>
    </xf>
    <xf numFmtId="49" fontId="224" fillId="12" borderId="53" xfId="10" applyNumberFormat="1" applyFont="1" applyFill="1" applyBorder="1" applyAlignment="1">
      <alignment horizontal="center" vertical="center"/>
    </xf>
    <xf numFmtId="0" fontId="3" fillId="42" borderId="36" xfId="0" applyNumberFormat="1" applyFont="1" applyFill="1" applyBorder="1" applyAlignment="1" applyProtection="1">
      <alignment horizontal="justify" vertical="center"/>
      <protection hidden="1"/>
    </xf>
    <xf numFmtId="0" fontId="89" fillId="5" borderId="0" xfId="0" applyNumberFormat="1" applyFont="1" applyFill="1" applyBorder="1" applyAlignment="1" applyProtection="1">
      <alignment horizontal="center" vertical="center"/>
      <protection hidden="1"/>
    </xf>
    <xf numFmtId="0" fontId="89" fillId="5" borderId="29" xfId="0" applyNumberFormat="1" applyFont="1" applyFill="1" applyBorder="1" applyAlignment="1" applyProtection="1">
      <alignment horizontal="center" vertical="center"/>
      <protection hidden="1"/>
    </xf>
    <xf numFmtId="49" fontId="12" fillId="6" borderId="0" xfId="10" applyNumberFormat="1" applyFont="1" applyFill="1" applyBorder="1" applyAlignment="1">
      <alignment horizontal="center" vertical="center"/>
    </xf>
    <xf numFmtId="0" fontId="87" fillId="6" borderId="0" xfId="0" applyFont="1" applyFill="1" applyBorder="1" applyAlignment="1" applyProtection="1">
      <alignment horizontal="center" vertical="center"/>
      <protection hidden="1"/>
    </xf>
    <xf numFmtId="0" fontId="88" fillId="6" borderId="0" xfId="0" applyFont="1" applyFill="1" applyBorder="1" applyAlignment="1" applyProtection="1">
      <alignment horizontal="center" vertical="center"/>
      <protection hidden="1"/>
    </xf>
    <xf numFmtId="0" fontId="47" fillId="6" borderId="0" xfId="0" applyFont="1" applyFill="1" applyBorder="1" applyAlignment="1" applyProtection="1">
      <alignment horizontal="right" vertical="center"/>
      <protection hidden="1"/>
    </xf>
    <xf numFmtId="0" fontId="118" fillId="12" borderId="30" xfId="0" applyFont="1" applyFill="1" applyBorder="1" applyAlignment="1" applyProtection="1">
      <alignment horizontal="right"/>
      <protection locked="0" hidden="1"/>
    </xf>
    <xf numFmtId="0" fontId="118" fillId="12" borderId="31" xfId="0" applyFont="1" applyFill="1" applyBorder="1" applyAlignment="1" applyProtection="1">
      <alignment horizontal="right"/>
      <protection locked="0" hidden="1"/>
    </xf>
    <xf numFmtId="0" fontId="118" fillId="12" borderId="33" xfId="0" applyFont="1" applyFill="1" applyBorder="1" applyAlignment="1" applyProtection="1">
      <alignment horizontal="right"/>
      <protection locked="0" hidden="1"/>
    </xf>
    <xf numFmtId="0" fontId="118" fillId="12" borderId="34" xfId="0" applyFont="1" applyFill="1" applyBorder="1" applyAlignment="1" applyProtection="1">
      <alignment horizontal="right"/>
      <protection locked="0" hidden="1"/>
    </xf>
    <xf numFmtId="186" fontId="142" fillId="6" borderId="0" xfId="0" applyNumberFormat="1" applyFont="1" applyFill="1" applyBorder="1" applyAlignment="1" applyProtection="1">
      <alignment horizontal="center" vertical="distributed" wrapText="1"/>
      <protection hidden="1"/>
    </xf>
    <xf numFmtId="0" fontId="91" fillId="12" borderId="35" xfId="0" applyFont="1" applyFill="1" applyBorder="1" applyAlignment="1" applyProtection="1">
      <alignment horizontal="right" vertical="center" shrinkToFit="1"/>
      <protection locked="0"/>
    </xf>
    <xf numFmtId="0" fontId="91" fillId="12" borderId="32" xfId="0" applyFont="1" applyFill="1" applyBorder="1" applyAlignment="1" applyProtection="1">
      <alignment horizontal="right" vertical="center" shrinkToFit="1"/>
      <protection locked="0"/>
    </xf>
    <xf numFmtId="0" fontId="47" fillId="6" borderId="56" xfId="0" applyFont="1" applyFill="1" applyBorder="1" applyAlignment="1" applyProtection="1">
      <alignment horizontal="center" vertical="center"/>
      <protection hidden="1"/>
    </xf>
    <xf numFmtId="49" fontId="19" fillId="12" borderId="36" xfId="10" applyNumberFormat="1" applyFont="1" applyFill="1" applyBorder="1" applyAlignment="1">
      <alignment horizontal="center" vertical="center"/>
    </xf>
    <xf numFmtId="0" fontId="90" fillId="6" borderId="36" xfId="0" applyFont="1" applyFill="1" applyBorder="1" applyAlignment="1">
      <alignment horizontal="center" vertical="center" wrapText="1"/>
    </xf>
    <xf numFmtId="49" fontId="19" fillId="12" borderId="36" xfId="10" applyNumberFormat="1" applyFont="1" applyFill="1" applyBorder="1" applyAlignment="1">
      <alignment horizontal="left" vertical="center"/>
    </xf>
    <xf numFmtId="49" fontId="3" fillId="42" borderId="36" xfId="2" applyNumberFormat="1" applyFont="1" applyFill="1" applyBorder="1" applyAlignment="1" applyProtection="1">
      <alignment horizontal="justify" vertical="center" wrapText="1"/>
      <protection hidden="1"/>
    </xf>
    <xf numFmtId="0" fontId="28" fillId="2" borderId="3" xfId="8" applyNumberFormat="1" applyFont="1" applyFill="1" applyBorder="1" applyAlignment="1">
      <alignment horizontal="left" vertical="center"/>
    </xf>
    <xf numFmtId="0" fontId="28" fillId="2" borderId="5" xfId="8" applyNumberFormat="1" applyFont="1" applyFill="1" applyBorder="1" applyAlignment="1">
      <alignment horizontal="left" vertical="center"/>
    </xf>
    <xf numFmtId="49" fontId="8" fillId="14" borderId="5" xfId="8" applyNumberFormat="1" applyFont="1" applyFill="1" applyBorder="1" applyAlignment="1">
      <alignment horizontal="center" vertical="center"/>
    </xf>
    <xf numFmtId="49" fontId="8" fillId="14" borderId="7" xfId="8" applyNumberFormat="1" applyFont="1" applyFill="1" applyBorder="1" applyAlignment="1">
      <alignment horizontal="center" vertical="center"/>
    </xf>
    <xf numFmtId="3" fontId="28" fillId="0" borderId="5" xfId="7" applyNumberFormat="1" applyFont="1" applyFill="1" applyBorder="1" applyAlignment="1" applyProtection="1">
      <alignment horizontal="center" vertical="center"/>
      <protection hidden="1"/>
    </xf>
    <xf numFmtId="3" fontId="28" fillId="0" borderId="7" xfId="7" applyNumberFormat="1" applyFont="1" applyFill="1" applyBorder="1" applyAlignment="1" applyProtection="1">
      <alignment horizontal="center" vertical="center"/>
      <protection hidden="1"/>
    </xf>
    <xf numFmtId="0" fontId="28" fillId="0" borderId="3" xfId="7" applyNumberFormat="1" applyFont="1" applyFill="1" applyBorder="1" applyAlignment="1" applyProtection="1">
      <alignment horizontal="justify" vertical="center" wrapText="1"/>
      <protection hidden="1"/>
    </xf>
    <xf numFmtId="0" fontId="28" fillId="6" borderId="3" xfId="8" applyNumberFormat="1" applyFont="1" applyFill="1" applyBorder="1" applyAlignment="1">
      <alignment horizontal="left" vertical="center"/>
    </xf>
    <xf numFmtId="0" fontId="28" fillId="6" borderId="5" xfId="8" applyNumberFormat="1" applyFont="1" applyFill="1" applyBorder="1" applyAlignment="1">
      <alignment horizontal="left" vertical="center"/>
    </xf>
    <xf numFmtId="49" fontId="8" fillId="14" borderId="5" xfId="8" applyNumberFormat="1" applyFont="1" applyFill="1" applyBorder="1" applyAlignment="1">
      <alignment horizontal="left" vertical="center"/>
    </xf>
    <xf numFmtId="49" fontId="8" fillId="14" borderId="6" xfId="8" applyNumberFormat="1" applyFont="1" applyFill="1" applyBorder="1" applyAlignment="1">
      <alignment horizontal="left" vertical="center"/>
    </xf>
    <xf numFmtId="49" fontId="8" fillId="14" borderId="7" xfId="8" applyNumberFormat="1" applyFont="1" applyFill="1" applyBorder="1" applyAlignment="1">
      <alignment horizontal="left" vertical="center"/>
    </xf>
    <xf numFmtId="0" fontId="28" fillId="0" borderId="5" xfId="7" applyNumberFormat="1" applyFont="1" applyFill="1" applyBorder="1" applyAlignment="1" applyProtection="1">
      <alignment horizontal="justify" vertical="center" wrapText="1"/>
      <protection hidden="1"/>
    </xf>
    <xf numFmtId="0" fontId="28" fillId="0" borderId="6" xfId="7" applyNumberFormat="1" applyFont="1" applyFill="1" applyBorder="1" applyAlignment="1" applyProtection="1">
      <alignment horizontal="justify" vertical="center" wrapText="1"/>
      <protection hidden="1"/>
    </xf>
    <xf numFmtId="0" fontId="28" fillId="0" borderId="7" xfId="7" applyNumberFormat="1" applyFont="1" applyFill="1" applyBorder="1" applyAlignment="1" applyProtection="1">
      <alignment horizontal="justify" vertical="center" wrapText="1"/>
      <protection hidden="1"/>
    </xf>
    <xf numFmtId="49" fontId="50" fillId="22" borderId="3" xfId="8" applyNumberFormat="1" applyFont="1" applyFill="1" applyBorder="1" applyAlignment="1">
      <alignment horizontal="center" vertical="center"/>
    </xf>
    <xf numFmtId="49" fontId="50" fillId="22" borderId="13" xfId="8" applyNumberFormat="1" applyFont="1" applyFill="1" applyBorder="1" applyAlignment="1">
      <alignment horizontal="center" vertical="center"/>
    </xf>
    <xf numFmtId="0" fontId="59" fillId="5" borderId="13" xfId="8" applyNumberFormat="1" applyFont="1" applyFill="1" applyBorder="1" applyAlignment="1">
      <alignment horizontal="left" vertical="center"/>
    </xf>
    <xf numFmtId="0" fontId="28" fillId="0" borderId="3" xfId="8" applyNumberFormat="1" applyFont="1" applyFill="1" applyBorder="1" applyAlignment="1">
      <alignment horizontal="left" vertical="center"/>
    </xf>
    <xf numFmtId="0" fontId="28" fillId="0" borderId="5" xfId="8" applyNumberFormat="1" applyFont="1" applyFill="1" applyBorder="1" applyAlignment="1">
      <alignment horizontal="left" vertical="center"/>
    </xf>
    <xf numFmtId="49" fontId="50" fillId="13" borderId="5" xfId="8" applyNumberFormat="1" applyFont="1" applyFill="1" applyBorder="1" applyAlignment="1">
      <alignment horizontal="center" vertical="center"/>
    </xf>
    <xf numFmtId="49" fontId="50" fillId="13" borderId="6" xfId="8" applyNumberFormat="1" applyFont="1" applyFill="1" applyBorder="1" applyAlignment="1">
      <alignment horizontal="center" vertical="center"/>
    </xf>
    <xf numFmtId="49" fontId="50" fillId="11" borderId="6" xfId="8" applyNumberFormat="1" applyFont="1" applyFill="1" applyBorder="1" applyAlignment="1">
      <alignment horizontal="center" vertical="center"/>
    </xf>
    <xf numFmtId="49" fontId="50" fillId="11" borderId="7" xfId="8" applyNumberFormat="1" applyFont="1" applyFill="1" applyBorder="1" applyAlignment="1">
      <alignment horizontal="center" vertical="center"/>
    </xf>
    <xf numFmtId="3" fontId="28" fillId="0" borderId="5" xfId="7" applyNumberFormat="1" applyFont="1" applyFill="1" applyBorder="1" applyAlignment="1" applyProtection="1">
      <alignment horizontal="left" vertical="center"/>
      <protection hidden="1"/>
    </xf>
    <xf numFmtId="3" fontId="28" fillId="0" borderId="6" xfId="7" applyNumberFormat="1" applyFont="1" applyFill="1" applyBorder="1" applyAlignment="1" applyProtection="1">
      <alignment horizontal="left" vertical="center"/>
      <protection hidden="1"/>
    </xf>
    <xf numFmtId="3" fontId="28" fillId="0" borderId="7" xfId="7" applyNumberFormat="1" applyFont="1" applyFill="1" applyBorder="1" applyAlignment="1" applyProtection="1">
      <alignment horizontal="left" vertical="center"/>
      <protection hidden="1"/>
    </xf>
    <xf numFmtId="0" fontId="87" fillId="13" borderId="0" xfId="7" applyFont="1" applyFill="1" applyBorder="1" applyAlignment="1" applyProtection="1">
      <alignment horizontal="center" vertical="center"/>
      <protection hidden="1"/>
    </xf>
    <xf numFmtId="0" fontId="88" fillId="13" borderId="0" xfId="7" applyFont="1" applyFill="1" applyBorder="1" applyAlignment="1" applyProtection="1">
      <alignment horizontal="center" vertical="center"/>
      <protection hidden="1"/>
    </xf>
    <xf numFmtId="0" fontId="39" fillId="13" borderId="0" xfId="7" applyFont="1" applyFill="1" applyBorder="1" applyAlignment="1" applyProtection="1">
      <alignment horizontal="right" vertical="center"/>
      <protection hidden="1"/>
    </xf>
    <xf numFmtId="0" fontId="47" fillId="13" borderId="0" xfId="7" applyFont="1" applyFill="1" applyBorder="1" applyAlignment="1" applyProtection="1">
      <alignment horizontal="right" vertical="center"/>
      <protection hidden="1"/>
    </xf>
    <xf numFmtId="0" fontId="46" fillId="13" borderId="19" xfId="7" applyFont="1" applyFill="1" applyBorder="1" applyAlignment="1" applyProtection="1">
      <alignment horizontal="right"/>
      <protection locked="0" hidden="1"/>
    </xf>
    <xf numFmtId="0" fontId="46" fillId="13" borderId="18" xfId="7" applyFont="1" applyFill="1" applyBorder="1" applyAlignment="1" applyProtection="1">
      <alignment horizontal="right"/>
      <protection locked="0" hidden="1"/>
    </xf>
    <xf numFmtId="0" fontId="46" fillId="13" borderId="20" xfId="7" applyFont="1" applyFill="1" applyBorder="1" applyAlignment="1" applyProtection="1">
      <alignment horizontal="right"/>
      <protection locked="0" hidden="1"/>
    </xf>
    <xf numFmtId="0" fontId="28" fillId="6" borderId="1" xfId="7" applyNumberFormat="1" applyFont="1" applyFill="1" applyBorder="1" applyAlignment="1" applyProtection="1">
      <alignment horizontal="justify" vertical="center"/>
      <protection hidden="1"/>
    </xf>
    <xf numFmtId="0" fontId="28" fillId="6" borderId="2" xfId="7" applyNumberFormat="1" applyFont="1" applyFill="1" applyBorder="1" applyAlignment="1" applyProtection="1">
      <alignment horizontal="justify" vertical="center"/>
      <protection hidden="1"/>
    </xf>
    <xf numFmtId="0" fontId="28" fillId="6" borderId="12" xfId="7" applyNumberFormat="1" applyFont="1" applyFill="1" applyBorder="1" applyAlignment="1" applyProtection="1">
      <alignment horizontal="justify" vertical="center"/>
      <protection hidden="1"/>
    </xf>
    <xf numFmtId="0" fontId="51" fillId="2" borderId="0" xfId="7" applyFont="1" applyFill="1" applyBorder="1" applyAlignment="1" applyProtection="1">
      <alignment horizontal="center" vertical="center" wrapText="1"/>
      <protection hidden="1"/>
    </xf>
    <xf numFmtId="0" fontId="89" fillId="6" borderId="6" xfId="7" applyNumberFormat="1" applyFont="1" applyFill="1" applyBorder="1" applyAlignment="1" applyProtection="1">
      <alignment horizontal="center" vertical="center"/>
      <protection hidden="1"/>
    </xf>
    <xf numFmtId="49" fontId="8" fillId="14" borderId="3" xfId="8" applyNumberFormat="1" applyFont="1" applyFill="1" applyBorder="1" applyAlignment="1">
      <alignment horizontal="left" vertical="center"/>
    </xf>
    <xf numFmtId="0" fontId="90" fillId="4" borderId="5" xfId="7" applyFont="1" applyFill="1" applyBorder="1" applyAlignment="1">
      <alignment horizontal="center" vertical="center" wrapText="1"/>
    </xf>
    <xf numFmtId="0" fontId="90" fillId="4" borderId="6" xfId="7" applyFont="1" applyFill="1" applyBorder="1" applyAlignment="1">
      <alignment horizontal="center" vertical="center" wrapText="1"/>
    </xf>
    <xf numFmtId="0" fontId="90" fillId="4" borderId="7" xfId="7" applyFont="1" applyFill="1" applyBorder="1" applyAlignment="1">
      <alignment horizontal="center" vertical="center" wrapText="1"/>
    </xf>
    <xf numFmtId="3" fontId="71" fillId="0" borderId="5" xfId="7" applyNumberFormat="1" applyFont="1" applyFill="1" applyBorder="1" applyAlignment="1" applyProtection="1">
      <alignment horizontal="center" vertical="center"/>
      <protection hidden="1"/>
    </xf>
    <xf numFmtId="3" fontId="71" fillId="0" borderId="7" xfId="7" applyNumberFormat="1" applyFont="1" applyFill="1" applyBorder="1" applyAlignment="1" applyProtection="1">
      <alignment horizontal="center" vertical="center"/>
      <protection hidden="1"/>
    </xf>
    <xf numFmtId="0" fontId="53" fillId="13" borderId="6" xfId="7" applyFont="1" applyFill="1" applyBorder="1" applyAlignment="1" applyProtection="1">
      <alignment horizontal="left" vertical="center"/>
      <protection hidden="1"/>
    </xf>
    <xf numFmtId="171" fontId="28" fillId="0" borderId="5" xfId="7" applyNumberFormat="1" applyFont="1" applyFill="1" applyBorder="1" applyAlignment="1" applyProtection="1">
      <alignment horizontal="center" vertical="center"/>
      <protection hidden="1"/>
    </xf>
    <xf numFmtId="171" fontId="28" fillId="0" borderId="7" xfId="7" applyNumberFormat="1" applyFont="1" applyFill="1" applyBorder="1" applyAlignment="1" applyProtection="1">
      <alignment horizontal="center" vertical="center"/>
      <protection hidden="1"/>
    </xf>
    <xf numFmtId="49" fontId="2" fillId="11" borderId="1" xfId="8" applyNumberFormat="1" applyFont="1" applyFill="1" applyBorder="1" applyAlignment="1">
      <alignment horizontal="center" vertical="center"/>
    </xf>
    <xf numFmtId="49" fontId="2" fillId="11" borderId="2" xfId="8" applyNumberFormat="1" applyFont="1" applyFill="1" applyBorder="1" applyAlignment="1">
      <alignment horizontal="center" vertical="center"/>
    </xf>
    <xf numFmtId="0" fontId="44" fillId="15" borderId="3" xfId="7" applyFont="1" applyFill="1" applyBorder="1" applyAlignment="1" applyProtection="1">
      <alignment horizontal="center"/>
      <protection hidden="1"/>
    </xf>
    <xf numFmtId="0" fontId="58" fillId="7" borderId="2" xfId="7" applyFont="1" applyFill="1" applyBorder="1" applyAlignment="1" applyProtection="1">
      <alignment horizontal="center"/>
      <protection hidden="1"/>
    </xf>
    <xf numFmtId="0" fontId="42" fillId="5" borderId="2" xfId="7" applyFont="1" applyFill="1" applyBorder="1" applyAlignment="1" applyProtection="1">
      <alignment horizontal="center"/>
      <protection hidden="1"/>
    </xf>
  </cellXfs>
  <cellStyles count="19">
    <cellStyle name="Hipervínculo" xfId="1" builtinId="8"/>
    <cellStyle name="Millares" xfId="2" builtinId="3"/>
    <cellStyle name="Millares 2" xfId="15"/>
    <cellStyle name="Millares 3" xfId="16"/>
    <cellStyle name="Millares 6" xfId="3"/>
    <cellStyle name="Normal" xfId="0" builtinId="0"/>
    <cellStyle name="Normal 2" xfId="4"/>
    <cellStyle name="Normal 2 2" xfId="5"/>
    <cellStyle name="Normal 2 3" xfId="17"/>
    <cellStyle name="Normal 3" xfId="6"/>
    <cellStyle name="Normal 4" xfId="18"/>
    <cellStyle name="Normal 4 2" xfId="7"/>
    <cellStyle name="Normal 7" xfId="8"/>
    <cellStyle name="Normal 7 2" xfId="9"/>
    <cellStyle name="Normal 7 3" xfId="10"/>
    <cellStyle name="Normal 8" xfId="11"/>
    <cellStyle name="Normal_Censos 1951-1993" xfId="12"/>
    <cellStyle name="Porcentaje" xfId="13" builtinId="5"/>
    <cellStyle name="Porcentaje 2" xfId="14"/>
  </cellStyles>
  <dxfs count="92">
    <dxf>
      <font>
        <condense val="0"/>
        <extend val="0"/>
        <color rgb="FF9C0006"/>
      </font>
      <fill>
        <patternFill>
          <bgColor rgb="FFFFC7CE"/>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sz val="8"/>
      </font>
    </dxf>
    <dxf>
      <font>
        <sz val="8"/>
      </font>
    </dxf>
    <dxf>
      <font>
        <sz val="8"/>
      </font>
    </dxf>
    <dxf>
      <font>
        <name val="Calibri"/>
        <scheme val="minor"/>
      </font>
    </dxf>
    <dxf>
      <font>
        <name val="Calibri"/>
        <scheme val="minor"/>
      </font>
    </dxf>
    <dxf>
      <font>
        <name val="Calibri"/>
        <scheme val="minor"/>
      </font>
    </dxf>
    <dxf>
      <font>
        <sz val="8"/>
        <name val="Calibri"/>
        <scheme val="minor"/>
      </font>
    </dxf>
    <dxf>
      <font>
        <b val="0"/>
      </font>
    </dxf>
    <dxf>
      <font>
        <b val="0"/>
      </font>
    </dxf>
    <dxf>
      <numFmt numFmtId="2" formatCode="0.00"/>
    </dxf>
    <dxf>
      <numFmt numFmtId="2" formatCode="0.00"/>
    </dxf>
    <dxf>
      <numFmt numFmtId="2" formatCode="0.00"/>
    </dxf>
    <dxf>
      <numFmt numFmtId="2" formatCode="0.00"/>
    </dxf>
    <dxf>
      <numFmt numFmtId="2" formatCode="0.00"/>
    </dxf>
    <dxf>
      <numFmt numFmtId="2" formatCode="0.00"/>
    </dxf>
    <dxf>
      <alignment horizontal="center" vertical="center" wrapText="1" readingOrder="0"/>
    </dxf>
    <dxf>
      <numFmt numFmtId="2" formatCode="0.00"/>
    </dxf>
    <dxf>
      <font>
        <sz val="8"/>
      </font>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169" formatCode="0.000"/>
    </dxf>
    <dxf>
      <font>
        <sz val="8"/>
      </font>
    </dxf>
    <dxf>
      <font>
        <sz val="8"/>
      </font>
    </dxf>
    <dxf>
      <font>
        <sz val="8"/>
      </font>
    </dxf>
    <dxf>
      <font>
        <name val="Calibri"/>
        <scheme val="minor"/>
      </font>
    </dxf>
    <dxf>
      <font>
        <name val="Calibri"/>
        <scheme val="minor"/>
      </font>
    </dxf>
    <dxf>
      <font>
        <name val="Calibri"/>
        <scheme val="minor"/>
      </font>
    </dxf>
    <dxf>
      <alignment horizontal="center" vertical="center" wrapText="1" readingOrder="0"/>
    </dxf>
    <dxf>
      <numFmt numFmtId="2" formatCode="0.00"/>
    </dxf>
    <dxf>
      <font>
        <sz val="8"/>
      </font>
    </dxf>
    <dxf>
      <font>
        <color rgb="FFFF0000"/>
      </font>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169" formatCode="0.000"/>
    </dxf>
    <dxf>
      <font>
        <sz val="8"/>
      </font>
    </dxf>
    <dxf>
      <font>
        <sz val="8"/>
      </font>
    </dxf>
    <dxf>
      <font>
        <sz val="8"/>
      </font>
    </dxf>
    <dxf>
      <font>
        <name val="Calibri"/>
        <scheme val="minor"/>
      </font>
    </dxf>
    <dxf>
      <font>
        <name val="Calibri"/>
        <scheme val="minor"/>
      </font>
    </dxf>
    <dxf>
      <font>
        <name val="Calibri"/>
        <scheme val="minor"/>
      </font>
    </dxf>
    <dxf>
      <alignment horizontal="center" vertical="center" wrapText="1" readingOrder="0"/>
    </dxf>
    <dxf>
      <numFmt numFmtId="2" formatCode="0.00"/>
    </dxf>
    <dxf>
      <font>
        <sz val="8"/>
      </font>
    </dxf>
    <dxf>
      <fill>
        <patternFill>
          <bgColor theme="9" tint="0.79998168889431442"/>
        </patternFill>
      </fill>
    </dxf>
    <dxf>
      <fill>
        <patternFill>
          <bgColor theme="9" tint="0.79998168889431442"/>
        </patternFill>
      </fill>
    </dxf>
  </dxfs>
  <tableStyles count="0" defaultTableStyle="TableStyleMedium9" defaultPivotStyle="PivotStyleLight16"/>
  <colors>
    <mruColors>
      <color rgb="FFFF0000"/>
      <color rgb="FF8D75AB"/>
      <color rgb="FF9900FF"/>
      <color rgb="FFFFFFCC"/>
      <color rgb="FFF8FAF4"/>
      <color rgb="FF66FFFF"/>
      <color rgb="FF9933FF"/>
      <color rgb="FFFF00FF"/>
      <color rgb="FF00FFCC"/>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6.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8.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0"/>
      <c:rotY val="310"/>
      <c:depthPercent val="100"/>
      <c:rAngAx val="0"/>
      <c:perspective val="0"/>
    </c:view3D>
    <c:floor>
      <c:thickness val="0"/>
      <c:spPr>
        <a:noFill/>
        <a:ln w="9525">
          <a:noFill/>
        </a:ln>
      </c:spPr>
    </c:floor>
    <c:sideWall>
      <c:thickness val="0"/>
      <c:spPr>
        <a:noFill/>
        <a:ln w="25400">
          <a:noFill/>
        </a:ln>
      </c:spPr>
    </c:sideWall>
    <c:backWall>
      <c:thickness val="0"/>
      <c:spPr>
        <a:noFill/>
        <a:ln w="25400">
          <a:noFill/>
        </a:ln>
      </c:spPr>
    </c:backWall>
    <c:plotArea>
      <c:layout>
        <c:manualLayout>
          <c:layoutTarget val="inner"/>
          <c:xMode val="edge"/>
          <c:yMode val="edge"/>
          <c:x val="3.4700226642453932E-3"/>
          <c:y val="6.4158392379969065E-2"/>
          <c:w val="0.83511538652008133"/>
          <c:h val="0.83908171170233681"/>
        </c:manualLayout>
      </c:layout>
      <c:bar3DChart>
        <c:barDir val="col"/>
        <c:grouping val="standard"/>
        <c:varyColors val="0"/>
        <c:ser>
          <c:idx val="0"/>
          <c:order val="0"/>
          <c:tx>
            <c:v>PLAN</c:v>
          </c:tx>
          <c:spPr>
            <a:solidFill>
              <a:schemeClr val="bg1"/>
            </a:solidFill>
            <a:ln>
              <a:noFill/>
            </a:ln>
            <a:effectLst/>
            <a:sp3d/>
          </c:spPr>
          <c:invertIfNegative val="0"/>
          <c:dPt>
            <c:idx val="0"/>
            <c:invertIfNegative val="0"/>
            <c:bubble3D val="0"/>
            <c:spPr>
              <a:solidFill>
                <a:srgbClr val="00B050">
                  <a:alpha val="80000"/>
                </a:srgbClr>
              </a:solidFill>
              <a:ln>
                <a:noFill/>
              </a:ln>
              <a:effectLst/>
              <a:sp3d/>
            </c:spPr>
          </c:dPt>
          <c:dPt>
            <c:idx val="1"/>
            <c:invertIfNegative val="0"/>
            <c:bubble3D val="0"/>
            <c:spPr>
              <a:solidFill>
                <a:schemeClr val="tx2">
                  <a:lumMod val="60000"/>
                  <a:lumOff val="40000"/>
                  <a:alpha val="80000"/>
                </a:schemeClr>
              </a:solidFill>
              <a:ln>
                <a:noFill/>
              </a:ln>
              <a:effectLst/>
              <a:sp3d/>
            </c:spPr>
          </c:dPt>
          <c:dPt>
            <c:idx val="2"/>
            <c:invertIfNegative val="0"/>
            <c:bubble3D val="0"/>
            <c:spPr>
              <a:solidFill>
                <a:schemeClr val="bg2">
                  <a:lumMod val="75000"/>
                  <a:alpha val="80000"/>
                </a:schemeClr>
              </a:solidFill>
              <a:ln>
                <a:noFill/>
              </a:ln>
              <a:effectLst/>
              <a:sp3d/>
            </c:spPr>
          </c:dPt>
          <c:dPt>
            <c:idx val="3"/>
            <c:invertIfNegative val="0"/>
            <c:bubble3D val="0"/>
            <c:spPr>
              <a:solidFill>
                <a:schemeClr val="accent4">
                  <a:lumMod val="60000"/>
                  <a:lumOff val="40000"/>
                  <a:alpha val="80000"/>
                </a:schemeClr>
              </a:solidFill>
              <a:ln>
                <a:noFill/>
              </a:ln>
              <a:effectLst/>
              <a:sp3d/>
            </c:spPr>
          </c:dPt>
          <c:dLbls>
            <c:dLbl>
              <c:idx val="0"/>
              <c:layout>
                <c:manualLayout>
                  <c:x val="-0.13064083975017715"/>
                  <c:y val="-5.26691054037985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11718842695657596"/>
                  <c:y val="-3.788054137425456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124545759855528"/>
                  <c:y val="-3.50687296492746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15714413079166667"/>
                  <c:y val="-4.4492636184568252E-2"/>
                </c:manualLayout>
              </c:layout>
              <c:showLegendKey val="0"/>
              <c:showVal val="1"/>
              <c:showCatName val="0"/>
              <c:showSerName val="0"/>
              <c:showPercent val="0"/>
              <c:showBubbleSize val="0"/>
              <c:extLst>
                <c:ext xmlns:c15="http://schemas.microsoft.com/office/drawing/2012/chart" uri="{CE6537A1-D6FC-4f65-9D91-7224C49458BB}">
                  <c15:layout/>
                </c:ext>
              </c:extLst>
            </c:dLbl>
            <c:numFmt formatCode="0.0%" sourceLinked="0"/>
            <c:spPr>
              <a:noFill/>
              <a:ln w="25400">
                <a:noFill/>
              </a:ln>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Objetivos!$B$95:$B$98</c:f>
              <c:numCache>
                <c:formatCode>General</c:formatCode>
                <c:ptCount val="4"/>
                <c:pt idx="0">
                  <c:v>2012</c:v>
                </c:pt>
                <c:pt idx="1">
                  <c:v>2013</c:v>
                </c:pt>
                <c:pt idx="2">
                  <c:v>2014</c:v>
                </c:pt>
                <c:pt idx="3">
                  <c:v>2015</c:v>
                </c:pt>
              </c:numCache>
            </c:numRef>
          </c:cat>
          <c:val>
            <c:numRef>
              <c:f>Objetivos!$E$95:$E$98</c:f>
              <c:numCache>
                <c:formatCode>0%</c:formatCode>
                <c:ptCount val="4"/>
                <c:pt idx="0">
                  <c:v>0.12808943948947851</c:v>
                </c:pt>
                <c:pt idx="1">
                  <c:v>0.37046053668569046</c:v>
                </c:pt>
                <c:pt idx="2">
                  <c:v>0.60920130056246102</c:v>
                </c:pt>
                <c:pt idx="3">
                  <c:v>0.94272286843261865</c:v>
                </c:pt>
              </c:numCache>
            </c:numRef>
          </c:val>
        </c:ser>
        <c:dLbls>
          <c:showLegendKey val="0"/>
          <c:showVal val="0"/>
          <c:showCatName val="0"/>
          <c:showSerName val="0"/>
          <c:showPercent val="0"/>
          <c:showBubbleSize val="0"/>
        </c:dLbls>
        <c:gapWidth val="49"/>
        <c:gapDepth val="30"/>
        <c:shape val="box"/>
        <c:axId val="249147120"/>
        <c:axId val="249154456"/>
        <c:axId val="221295144"/>
      </c:bar3DChart>
      <c:catAx>
        <c:axId val="249147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CO"/>
          </a:p>
        </c:txPr>
        <c:crossAx val="249154456"/>
        <c:crosses val="autoZero"/>
        <c:auto val="1"/>
        <c:lblAlgn val="ctr"/>
        <c:lblOffset val="100"/>
        <c:noMultiLvlLbl val="0"/>
      </c:catAx>
      <c:valAx>
        <c:axId val="249154456"/>
        <c:scaling>
          <c:orientation val="minMax"/>
        </c:scaling>
        <c:delete val="1"/>
        <c:axPos val="l"/>
        <c:numFmt formatCode="0%" sourceLinked="1"/>
        <c:majorTickMark val="out"/>
        <c:minorTickMark val="none"/>
        <c:tickLblPos val="nextTo"/>
        <c:crossAx val="249147120"/>
        <c:crosses val="autoZero"/>
        <c:crossBetween val="between"/>
      </c:valAx>
      <c:serAx>
        <c:axId val="221295144"/>
        <c:scaling>
          <c:orientation val="minMax"/>
        </c:scaling>
        <c:delete val="1"/>
        <c:axPos val="b"/>
        <c:majorTickMark val="out"/>
        <c:minorTickMark val="none"/>
        <c:tickLblPos val="nextTo"/>
        <c:crossAx val="249154456"/>
        <c:crosses val="autoZero"/>
      </c:serAx>
      <c:spPr>
        <a:noFill/>
        <a:ln w="25400">
          <a:noFill/>
        </a:ln>
      </c:spPr>
    </c:plotArea>
    <c:plotVisOnly val="1"/>
    <c:dispBlanksAs val="gap"/>
    <c:showDLblsOverMax val="0"/>
  </c:chart>
  <c:spPr>
    <a:solidFill>
      <a:srgbClr val="EDF7F9">
        <a:alpha val="73000"/>
      </a:srgbClr>
    </a:solidFill>
    <a:ln w="9525" cap="flat" cmpd="sng" algn="ctr">
      <a:noFill/>
      <a:round/>
    </a:ln>
    <a:effectLst>
      <a:outerShdw blurRad="50800" dist="50800" dir="5400000" algn="ctr" rotWithShape="0">
        <a:srgbClr val="000000">
          <a:alpha val="1000"/>
        </a:srgbClr>
      </a:outerShdw>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10"/>
      <c:depthPercent val="100"/>
      <c:rAngAx val="1"/>
    </c:view3D>
    <c:floor>
      <c:thickness val="0"/>
      <c:spPr>
        <a:solidFill>
          <a:schemeClr val="accent3">
            <a:lumMod val="60000"/>
            <a:lumOff val="40000"/>
          </a:schemeClr>
        </a:solidFill>
        <a:ln>
          <a:noFill/>
        </a:ln>
        <a:effectLst/>
        <a:sp3d/>
      </c:spPr>
    </c:floor>
    <c:sideWall>
      <c:thickness val="0"/>
      <c:spPr>
        <a:solidFill>
          <a:srgbClr val="EEECE1"/>
        </a:solidFill>
        <a:ln w="25400">
          <a:noFill/>
        </a:ln>
      </c:spPr>
    </c:sideWall>
    <c:backWall>
      <c:thickness val="0"/>
      <c:spPr>
        <a:solidFill>
          <a:schemeClr val="bg1">
            <a:lumMod val="95000"/>
          </a:schemeClr>
        </a:solidFill>
        <a:ln w="25400">
          <a:noFill/>
        </a:ln>
      </c:spPr>
    </c:backWall>
    <c:plotArea>
      <c:layout>
        <c:manualLayout>
          <c:layoutTarget val="inner"/>
          <c:xMode val="edge"/>
          <c:yMode val="edge"/>
          <c:x val="1.433391227473213E-2"/>
          <c:y val="4.2646144041438482E-2"/>
          <c:w val="0.97005982549530334"/>
          <c:h val="0.81246681298260937"/>
        </c:manualLayout>
      </c:layout>
      <c:bar3DChart>
        <c:barDir val="col"/>
        <c:grouping val="clustered"/>
        <c:varyColors val="0"/>
        <c:ser>
          <c:idx val="1"/>
          <c:order val="0"/>
          <c:tx>
            <c:strRef>
              <c:f>Objetivos!$E$22</c:f>
              <c:strCache>
                <c:ptCount val="1"/>
                <c:pt idx="0">
                  <c:v>% Ejecutado</c:v>
                </c:pt>
              </c:strCache>
            </c:strRef>
          </c:tx>
          <c:spPr>
            <a:solidFill>
              <a:srgbClr val="F68222"/>
            </a:solidFill>
            <a:ln w="25400">
              <a:noFill/>
            </a:ln>
          </c:spPr>
          <c:invertIfNegative val="0"/>
          <c:dPt>
            <c:idx val="4"/>
            <c:invertIfNegative val="0"/>
            <c:bubble3D val="0"/>
            <c:spPr>
              <a:solidFill>
                <a:srgbClr val="A86ED4"/>
              </a:solidFill>
              <a:ln w="25400">
                <a:noFill/>
              </a:ln>
            </c:spPr>
          </c:dPt>
          <c:dLbls>
            <c:dLbl>
              <c:idx val="0"/>
              <c:layout>
                <c:manualLayout>
                  <c:x val="1.2516763963152421E-2"/>
                  <c:y val="-2.1526043970758479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2516763963152364E-2"/>
                  <c:y val="-1.6144532978068858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5645954953940468E-2"/>
                  <c:y val="-3.2289065956137723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2.1904336935516737E-2"/>
                  <c:y val="-3.2289065956137744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5645954953940413E-2"/>
                  <c:y val="-1.6144532978068855E-2"/>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Objetivos!$B$23:$B$27</c:f>
              <c:strCache>
                <c:ptCount val="5"/>
                <c:pt idx="0">
                  <c:v>2012</c:v>
                </c:pt>
                <c:pt idx="1">
                  <c:v>2013</c:v>
                </c:pt>
                <c:pt idx="2">
                  <c:v>2014</c:v>
                </c:pt>
                <c:pt idx="3">
                  <c:v>2015</c:v>
                </c:pt>
                <c:pt idx="4">
                  <c:v>CUATRIENIO</c:v>
                </c:pt>
              </c:strCache>
            </c:strRef>
          </c:cat>
          <c:val>
            <c:numRef>
              <c:f>Objetivos!$E$55:$E$59</c:f>
              <c:numCache>
                <c:formatCode>0%</c:formatCode>
                <c:ptCount val="5"/>
                <c:pt idx="0">
                  <c:v>0.77677110405553085</c:v>
                </c:pt>
                <c:pt idx="1">
                  <c:v>0.8976860731676064</c:v>
                </c:pt>
                <c:pt idx="2">
                  <c:v>0.76636486915441382</c:v>
                </c:pt>
                <c:pt idx="3">
                  <c:v>0.8269569256397018</c:v>
                </c:pt>
                <c:pt idx="4">
                  <c:v>0.96040306599891367</c:v>
                </c:pt>
              </c:numCache>
            </c:numRef>
          </c:val>
          <c:shape val="cylinder"/>
        </c:ser>
        <c:dLbls>
          <c:showLegendKey val="0"/>
          <c:showVal val="0"/>
          <c:showCatName val="0"/>
          <c:showSerName val="0"/>
          <c:showPercent val="0"/>
          <c:showBubbleSize val="0"/>
        </c:dLbls>
        <c:gapWidth val="78"/>
        <c:gapDepth val="110"/>
        <c:shape val="box"/>
        <c:axId val="272952936"/>
        <c:axId val="273059584"/>
        <c:axId val="0"/>
      </c:bar3DChart>
      <c:catAx>
        <c:axId val="272952936"/>
        <c:scaling>
          <c:orientation val="minMax"/>
        </c:scaling>
        <c:delete val="0"/>
        <c:axPos val="b"/>
        <c:majorGridlines>
          <c:spPr>
            <a:ln>
              <a:solidFill>
                <a:schemeClr val="tx2">
                  <a:lumMod val="60000"/>
                  <a:lumOff val="40000"/>
                </a:schemeClr>
              </a:solidFill>
            </a:ln>
          </c:spPr>
        </c:majorGridlines>
        <c:numFmt formatCode="General" sourceLinked="1"/>
        <c:majorTickMark val="none"/>
        <c:minorTickMark val="none"/>
        <c:tickLblPos val="low"/>
        <c:spPr>
          <a:ln w="9525">
            <a:noFill/>
          </a:ln>
        </c:spPr>
        <c:txPr>
          <a:bodyPr rot="0" vert="horz"/>
          <a:lstStyle/>
          <a:p>
            <a:pPr>
              <a:defRPr sz="900" b="1" i="0" u="none" strike="noStrike" baseline="0">
                <a:solidFill>
                  <a:srgbClr val="333333"/>
                </a:solidFill>
                <a:latin typeface="Calibri"/>
                <a:ea typeface="Calibri"/>
                <a:cs typeface="Calibri"/>
              </a:defRPr>
            </a:pPr>
            <a:endParaRPr lang="es-CO"/>
          </a:p>
        </c:txPr>
        <c:crossAx val="273059584"/>
        <c:crosses val="autoZero"/>
        <c:auto val="1"/>
        <c:lblAlgn val="ctr"/>
        <c:lblOffset val="100"/>
        <c:noMultiLvlLbl val="0"/>
      </c:catAx>
      <c:valAx>
        <c:axId val="273059584"/>
        <c:scaling>
          <c:orientation val="minMax"/>
          <c:max val="1"/>
        </c:scaling>
        <c:delete val="1"/>
        <c:axPos val="l"/>
        <c:numFmt formatCode="0%" sourceLinked="1"/>
        <c:majorTickMark val="out"/>
        <c:minorTickMark val="none"/>
        <c:tickLblPos val="nextTo"/>
        <c:crossAx val="272952936"/>
        <c:crosses val="autoZero"/>
        <c:crossBetween val="between"/>
      </c:valAx>
      <c:spPr>
        <a:solidFill>
          <a:schemeClr val="bg1">
            <a:lumMod val="95000"/>
          </a:schemeClr>
        </a:solidFill>
        <a:ln w="25400">
          <a:noFill/>
        </a:ln>
      </c:spPr>
    </c:plotArea>
    <c:plotVisOnly val="1"/>
    <c:dispBlanksAs val="gap"/>
    <c:showDLblsOverMax val="0"/>
  </c:chart>
  <c:spPr>
    <a:solidFill>
      <a:schemeClr val="bg1">
        <a:lumMod val="95000"/>
      </a:schemeClr>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11" l="0.70000000000000007" r="0.70000000000000007" t="0.75000000000000011" header="0.30000000000000004" footer="0.30000000000000004"/>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10"/>
      <c:depthPercent val="100"/>
      <c:rAngAx val="1"/>
    </c:view3D>
    <c:floor>
      <c:thickness val="0"/>
      <c:spPr>
        <a:solidFill>
          <a:schemeClr val="accent3">
            <a:lumMod val="60000"/>
            <a:lumOff val="40000"/>
          </a:schemeClr>
        </a:solidFill>
        <a:ln>
          <a:noFill/>
        </a:ln>
        <a:effectLst/>
        <a:sp3d/>
      </c:spPr>
    </c:floor>
    <c:sideWall>
      <c:thickness val="0"/>
      <c:spPr>
        <a:solidFill>
          <a:srgbClr val="EEECE1"/>
        </a:solidFill>
        <a:ln w="25400">
          <a:noFill/>
        </a:ln>
      </c:spPr>
    </c:sideWall>
    <c:backWall>
      <c:thickness val="0"/>
      <c:spPr>
        <a:solidFill>
          <a:schemeClr val="bg1">
            <a:lumMod val="95000"/>
          </a:schemeClr>
        </a:solidFill>
        <a:ln w="25400">
          <a:noFill/>
        </a:ln>
      </c:spPr>
    </c:backWall>
    <c:plotArea>
      <c:layout>
        <c:manualLayout>
          <c:layoutTarget val="inner"/>
          <c:xMode val="edge"/>
          <c:yMode val="edge"/>
          <c:x val="1.433391227473213E-2"/>
          <c:y val="4.2646144041438482E-2"/>
          <c:w val="0.97005982549530334"/>
          <c:h val="0.81246681298260937"/>
        </c:manualLayout>
      </c:layout>
      <c:bar3DChart>
        <c:barDir val="col"/>
        <c:grouping val="clustered"/>
        <c:varyColors val="0"/>
        <c:ser>
          <c:idx val="1"/>
          <c:order val="0"/>
          <c:tx>
            <c:strRef>
              <c:f>Objetivos!$E$22</c:f>
              <c:strCache>
                <c:ptCount val="1"/>
                <c:pt idx="0">
                  <c:v>% Ejecutado</c:v>
                </c:pt>
              </c:strCache>
            </c:strRef>
          </c:tx>
          <c:spPr>
            <a:solidFill>
              <a:srgbClr val="F68222"/>
            </a:solidFill>
            <a:ln w="25400">
              <a:noFill/>
            </a:ln>
          </c:spPr>
          <c:invertIfNegative val="0"/>
          <c:dPt>
            <c:idx val="4"/>
            <c:invertIfNegative val="0"/>
            <c:bubble3D val="0"/>
            <c:spPr>
              <a:solidFill>
                <a:srgbClr val="A86ED4"/>
              </a:solidFill>
              <a:ln w="25400">
                <a:noFill/>
              </a:ln>
            </c:spPr>
          </c:dPt>
          <c:dLbls>
            <c:dLbl>
              <c:idx val="0"/>
              <c:layout>
                <c:manualLayout>
                  <c:x val="1.2516763963152421E-2"/>
                  <c:y val="-2.1526043970758479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2516763963152364E-2"/>
                  <c:y val="-1.6144532978068858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5645954953940468E-2"/>
                  <c:y val="-3.2289065956137723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2.1904336935516737E-2"/>
                  <c:y val="-3.2289065956137744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5645954953940413E-2"/>
                  <c:y val="-1.6144532978068855E-2"/>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Objetivos!$B$23:$B$27</c:f>
              <c:strCache>
                <c:ptCount val="5"/>
                <c:pt idx="0">
                  <c:v>2012</c:v>
                </c:pt>
                <c:pt idx="1">
                  <c:v>2013</c:v>
                </c:pt>
                <c:pt idx="2">
                  <c:v>2014</c:v>
                </c:pt>
                <c:pt idx="3">
                  <c:v>2015</c:v>
                </c:pt>
                <c:pt idx="4">
                  <c:v>CUATRIENIO</c:v>
                </c:pt>
              </c:strCache>
            </c:strRef>
          </c:cat>
          <c:val>
            <c:numRef>
              <c:f>Objetivos!$E$71:$E$75</c:f>
              <c:numCache>
                <c:formatCode>0%</c:formatCode>
                <c:ptCount val="5"/>
                <c:pt idx="0">
                  <c:v>0.8384844643018442</c:v>
                </c:pt>
                <c:pt idx="1">
                  <c:v>0.79168989902548748</c:v>
                </c:pt>
                <c:pt idx="2">
                  <c:v>0.80477522894729348</c:v>
                </c:pt>
                <c:pt idx="3">
                  <c:v>0.72428794043632361</c:v>
                </c:pt>
                <c:pt idx="4">
                  <c:v>0.94224990332986169</c:v>
                </c:pt>
              </c:numCache>
            </c:numRef>
          </c:val>
          <c:shape val="cylinder"/>
        </c:ser>
        <c:dLbls>
          <c:showLegendKey val="0"/>
          <c:showVal val="0"/>
          <c:showCatName val="0"/>
          <c:showSerName val="0"/>
          <c:showPercent val="0"/>
          <c:showBubbleSize val="0"/>
        </c:dLbls>
        <c:gapWidth val="78"/>
        <c:gapDepth val="110"/>
        <c:shape val="box"/>
        <c:axId val="273060368"/>
        <c:axId val="273060760"/>
        <c:axId val="0"/>
      </c:bar3DChart>
      <c:catAx>
        <c:axId val="273060368"/>
        <c:scaling>
          <c:orientation val="minMax"/>
        </c:scaling>
        <c:delete val="0"/>
        <c:axPos val="b"/>
        <c:majorGridlines>
          <c:spPr>
            <a:ln>
              <a:solidFill>
                <a:schemeClr val="tx2">
                  <a:lumMod val="60000"/>
                  <a:lumOff val="40000"/>
                </a:schemeClr>
              </a:solidFill>
            </a:ln>
          </c:spPr>
        </c:majorGridlines>
        <c:numFmt formatCode="General" sourceLinked="1"/>
        <c:majorTickMark val="none"/>
        <c:minorTickMark val="none"/>
        <c:tickLblPos val="low"/>
        <c:spPr>
          <a:ln w="9525">
            <a:noFill/>
          </a:ln>
        </c:spPr>
        <c:txPr>
          <a:bodyPr rot="0" vert="horz"/>
          <a:lstStyle/>
          <a:p>
            <a:pPr>
              <a:defRPr sz="900" b="1" i="0" u="none" strike="noStrike" baseline="0">
                <a:solidFill>
                  <a:srgbClr val="333333"/>
                </a:solidFill>
                <a:latin typeface="Calibri"/>
                <a:ea typeface="Calibri"/>
                <a:cs typeface="Calibri"/>
              </a:defRPr>
            </a:pPr>
            <a:endParaRPr lang="es-CO"/>
          </a:p>
        </c:txPr>
        <c:crossAx val="273060760"/>
        <c:crosses val="autoZero"/>
        <c:auto val="1"/>
        <c:lblAlgn val="ctr"/>
        <c:lblOffset val="100"/>
        <c:noMultiLvlLbl val="0"/>
      </c:catAx>
      <c:valAx>
        <c:axId val="273060760"/>
        <c:scaling>
          <c:orientation val="minMax"/>
          <c:max val="1"/>
        </c:scaling>
        <c:delete val="1"/>
        <c:axPos val="l"/>
        <c:numFmt formatCode="0%" sourceLinked="1"/>
        <c:majorTickMark val="out"/>
        <c:minorTickMark val="none"/>
        <c:tickLblPos val="nextTo"/>
        <c:crossAx val="273060368"/>
        <c:crosses val="autoZero"/>
        <c:crossBetween val="between"/>
      </c:valAx>
      <c:spPr>
        <a:solidFill>
          <a:schemeClr val="bg1">
            <a:lumMod val="95000"/>
          </a:schemeClr>
        </a:solidFill>
        <a:ln w="25400">
          <a:noFill/>
        </a:ln>
      </c:spPr>
    </c:plotArea>
    <c:plotVisOnly val="1"/>
    <c:dispBlanksAs val="gap"/>
    <c:showDLblsOverMax val="0"/>
  </c:chart>
  <c:spPr>
    <a:solidFill>
      <a:schemeClr val="bg1">
        <a:lumMod val="95000"/>
      </a:schemeClr>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11" l="0.70000000000000007" r="0.70000000000000007" t="0.75000000000000011" header="0.30000000000000004" footer="0.30000000000000004"/>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10"/>
      <c:depthPercent val="100"/>
      <c:rAngAx val="1"/>
    </c:view3D>
    <c:floor>
      <c:thickness val="0"/>
      <c:spPr>
        <a:solidFill>
          <a:schemeClr val="accent3">
            <a:lumMod val="60000"/>
            <a:lumOff val="40000"/>
          </a:schemeClr>
        </a:solidFill>
        <a:ln>
          <a:noFill/>
        </a:ln>
        <a:effectLst/>
        <a:sp3d/>
      </c:spPr>
    </c:floor>
    <c:sideWall>
      <c:thickness val="0"/>
      <c:spPr>
        <a:solidFill>
          <a:srgbClr val="EEECE1"/>
        </a:solidFill>
        <a:ln w="25400">
          <a:noFill/>
        </a:ln>
      </c:spPr>
    </c:sideWall>
    <c:backWall>
      <c:thickness val="0"/>
      <c:spPr>
        <a:solidFill>
          <a:schemeClr val="bg1">
            <a:lumMod val="95000"/>
          </a:schemeClr>
        </a:solidFill>
        <a:ln w="25400">
          <a:noFill/>
        </a:ln>
      </c:spPr>
    </c:backWall>
    <c:plotArea>
      <c:layout>
        <c:manualLayout>
          <c:layoutTarget val="inner"/>
          <c:xMode val="edge"/>
          <c:yMode val="edge"/>
          <c:x val="1.433391227473213E-2"/>
          <c:y val="4.2646144041438482E-2"/>
          <c:w val="0.97005982549530334"/>
          <c:h val="0.81246681298260937"/>
        </c:manualLayout>
      </c:layout>
      <c:bar3DChart>
        <c:barDir val="col"/>
        <c:grouping val="clustered"/>
        <c:varyColors val="0"/>
        <c:ser>
          <c:idx val="1"/>
          <c:order val="0"/>
          <c:tx>
            <c:strRef>
              <c:f>Objetivos!$E$22</c:f>
              <c:strCache>
                <c:ptCount val="1"/>
                <c:pt idx="0">
                  <c:v>% Ejecutado</c:v>
                </c:pt>
              </c:strCache>
            </c:strRef>
          </c:tx>
          <c:spPr>
            <a:solidFill>
              <a:srgbClr val="F68222"/>
            </a:solidFill>
            <a:ln w="25400">
              <a:noFill/>
            </a:ln>
          </c:spPr>
          <c:invertIfNegative val="0"/>
          <c:dPt>
            <c:idx val="4"/>
            <c:invertIfNegative val="0"/>
            <c:bubble3D val="0"/>
            <c:spPr>
              <a:solidFill>
                <a:srgbClr val="A86ED4"/>
              </a:solidFill>
              <a:ln w="25400">
                <a:noFill/>
              </a:ln>
            </c:spPr>
          </c:dPt>
          <c:dLbls>
            <c:dLbl>
              <c:idx val="0"/>
              <c:layout>
                <c:manualLayout>
                  <c:x val="1.2516763963152421E-2"/>
                  <c:y val="-2.1526043970758479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2516763963152364E-2"/>
                  <c:y val="-1.6144532978068858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5645954953940468E-2"/>
                  <c:y val="-3.2289065956137723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2.1904336935516737E-2"/>
                  <c:y val="-3.2289065956137744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5645954953940413E-2"/>
                  <c:y val="-1.6144532978068855E-2"/>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Objetivos!$B$23:$B$27</c:f>
              <c:strCache>
                <c:ptCount val="5"/>
                <c:pt idx="0">
                  <c:v>2012</c:v>
                </c:pt>
                <c:pt idx="1">
                  <c:v>2013</c:v>
                </c:pt>
                <c:pt idx="2">
                  <c:v>2014</c:v>
                </c:pt>
                <c:pt idx="3">
                  <c:v>2015</c:v>
                </c:pt>
                <c:pt idx="4">
                  <c:v>CUATRIENIO</c:v>
                </c:pt>
              </c:strCache>
            </c:strRef>
          </c:cat>
          <c:val>
            <c:numRef>
              <c:f>Objetivos!$E$87:$E$91</c:f>
              <c:numCache>
                <c:formatCode>0%</c:formatCode>
                <c:ptCount val="5"/>
                <c:pt idx="0">
                  <c:v>0.84943213638368353</c:v>
                </c:pt>
                <c:pt idx="1">
                  <c:v>0.8779771981696024</c:v>
                </c:pt>
                <c:pt idx="2">
                  <c:v>0.84056311243593063</c:v>
                </c:pt>
                <c:pt idx="3">
                  <c:v>0.75589871759818006</c:v>
                </c:pt>
                <c:pt idx="4">
                  <c:v>0.94267761990686383</c:v>
                </c:pt>
              </c:numCache>
            </c:numRef>
          </c:val>
          <c:shape val="cylinder"/>
        </c:ser>
        <c:dLbls>
          <c:showLegendKey val="0"/>
          <c:showVal val="0"/>
          <c:showCatName val="0"/>
          <c:showSerName val="0"/>
          <c:showPercent val="0"/>
          <c:showBubbleSize val="0"/>
        </c:dLbls>
        <c:gapWidth val="78"/>
        <c:gapDepth val="110"/>
        <c:shape val="box"/>
        <c:axId val="273061544"/>
        <c:axId val="273061936"/>
        <c:axId val="0"/>
      </c:bar3DChart>
      <c:catAx>
        <c:axId val="273061544"/>
        <c:scaling>
          <c:orientation val="minMax"/>
        </c:scaling>
        <c:delete val="0"/>
        <c:axPos val="b"/>
        <c:majorGridlines>
          <c:spPr>
            <a:ln>
              <a:solidFill>
                <a:schemeClr val="tx2">
                  <a:lumMod val="60000"/>
                  <a:lumOff val="40000"/>
                </a:schemeClr>
              </a:solidFill>
            </a:ln>
          </c:spPr>
        </c:majorGridlines>
        <c:numFmt formatCode="General" sourceLinked="1"/>
        <c:majorTickMark val="none"/>
        <c:minorTickMark val="none"/>
        <c:tickLblPos val="low"/>
        <c:spPr>
          <a:ln w="9525">
            <a:noFill/>
          </a:ln>
        </c:spPr>
        <c:txPr>
          <a:bodyPr rot="0" vert="horz"/>
          <a:lstStyle/>
          <a:p>
            <a:pPr>
              <a:defRPr sz="900" b="1" i="0" u="none" strike="noStrike" baseline="0">
                <a:solidFill>
                  <a:srgbClr val="333333"/>
                </a:solidFill>
                <a:latin typeface="Calibri"/>
                <a:ea typeface="Calibri"/>
                <a:cs typeface="Calibri"/>
              </a:defRPr>
            </a:pPr>
            <a:endParaRPr lang="es-CO"/>
          </a:p>
        </c:txPr>
        <c:crossAx val="273061936"/>
        <c:crosses val="autoZero"/>
        <c:auto val="1"/>
        <c:lblAlgn val="ctr"/>
        <c:lblOffset val="100"/>
        <c:noMultiLvlLbl val="0"/>
      </c:catAx>
      <c:valAx>
        <c:axId val="273061936"/>
        <c:scaling>
          <c:orientation val="minMax"/>
          <c:max val="1"/>
        </c:scaling>
        <c:delete val="1"/>
        <c:axPos val="l"/>
        <c:numFmt formatCode="0%" sourceLinked="1"/>
        <c:majorTickMark val="out"/>
        <c:minorTickMark val="none"/>
        <c:tickLblPos val="nextTo"/>
        <c:crossAx val="273061544"/>
        <c:crosses val="autoZero"/>
        <c:crossBetween val="between"/>
      </c:valAx>
      <c:spPr>
        <a:solidFill>
          <a:schemeClr val="bg1">
            <a:lumMod val="95000"/>
          </a:schemeClr>
        </a:solidFill>
        <a:ln w="25400">
          <a:noFill/>
        </a:ln>
      </c:spPr>
    </c:plotArea>
    <c:plotVisOnly val="1"/>
    <c:dispBlanksAs val="gap"/>
    <c:showDLblsOverMax val="0"/>
  </c:chart>
  <c:spPr>
    <a:solidFill>
      <a:schemeClr val="bg1">
        <a:lumMod val="95000"/>
      </a:schemeClr>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11" l="0.70000000000000007" r="0.70000000000000007" t="0.75000000000000011" header="0.30000000000000004" footer="0.30000000000000004"/>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22753762541491"/>
          <c:y val="5.7432606352857199E-2"/>
          <c:w val="0.72733222799791653"/>
          <c:h val="0.90709141012599093"/>
        </c:manualLayout>
      </c:layout>
      <c:barChart>
        <c:barDir val="bar"/>
        <c:grouping val="clustered"/>
        <c:varyColors val="0"/>
        <c:ser>
          <c:idx val="1"/>
          <c:order val="0"/>
          <c:tx>
            <c:strRef>
              <c:f>Objetivos!$O$23</c:f>
              <c:strCache>
                <c:ptCount val="1"/>
                <c:pt idx="0">
                  <c:v>$ Ejecutados Cuatrienio</c:v>
                </c:pt>
              </c:strCache>
            </c:strRef>
          </c:tx>
          <c:spPr>
            <a:solidFill>
              <a:schemeClr val="tx2">
                <a:lumMod val="60000"/>
                <a:lumOff val="40000"/>
              </a:schemeClr>
            </a:solidFill>
            <a:ln>
              <a:noFill/>
            </a:ln>
            <a:effectLst/>
            <a:scene3d>
              <a:camera prst="orthographicFront"/>
              <a:lightRig rig="threePt" dir="t"/>
            </a:scene3d>
            <a:sp3d/>
          </c:spPr>
          <c:invertIfNegative val="0"/>
          <c:dPt>
            <c:idx val="4"/>
            <c:invertIfNegative val="0"/>
            <c:bubble3D val="0"/>
            <c:spPr>
              <a:solidFill>
                <a:srgbClr val="7030A0"/>
              </a:solidFill>
              <a:ln>
                <a:noFill/>
              </a:ln>
              <a:effectLst/>
              <a:scene3d>
                <a:camera prst="orthographicFront"/>
                <a:lightRig rig="threePt" dir="t"/>
              </a:scene3d>
              <a:sp3d/>
            </c:spPr>
          </c:dPt>
          <c:dLbls>
            <c:dLbl>
              <c:idx val="0"/>
              <c:spPr>
                <a:noFill/>
                <a:ln w="25400">
                  <a:noFill/>
                </a:ln>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dLbl>
            <c:spPr>
              <a:noFill/>
              <a:ln w="25400">
                <a:noFill/>
              </a:ln>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Objetivos!$B$23:$B$27</c:f>
              <c:strCache>
                <c:ptCount val="5"/>
                <c:pt idx="0">
                  <c:v>2012</c:v>
                </c:pt>
                <c:pt idx="1">
                  <c:v>2013</c:v>
                </c:pt>
                <c:pt idx="2">
                  <c:v>2014</c:v>
                </c:pt>
                <c:pt idx="3">
                  <c:v>2015</c:v>
                </c:pt>
                <c:pt idx="4">
                  <c:v>CUATRIENIO</c:v>
                </c:pt>
              </c:strCache>
            </c:strRef>
          </c:cat>
          <c:val>
            <c:numRef>
              <c:f>Objetivos!$F$55:$F$59</c:f>
              <c:numCache>
                <c:formatCode>_ * #,##0_ ;_ * \-#,##0_ ;_ * "-"??_ ;_ @_ </c:formatCode>
                <c:ptCount val="5"/>
                <c:pt idx="0">
                  <c:v>199260.12509099999</c:v>
                </c:pt>
                <c:pt idx="1">
                  <c:v>237108.36742900003</c:v>
                </c:pt>
                <c:pt idx="2">
                  <c:v>233381.88209699999</c:v>
                </c:pt>
                <c:pt idx="3">
                  <c:v>198156.34679299995</c:v>
                </c:pt>
                <c:pt idx="4" formatCode="#,##0">
                  <c:v>867906.72141</c:v>
                </c:pt>
              </c:numCache>
            </c:numRef>
          </c:val>
        </c:ser>
        <c:dLbls>
          <c:showLegendKey val="0"/>
          <c:showVal val="0"/>
          <c:showCatName val="0"/>
          <c:showSerName val="0"/>
          <c:showPercent val="0"/>
          <c:showBubbleSize val="0"/>
        </c:dLbls>
        <c:gapWidth val="45"/>
        <c:overlap val="-1"/>
        <c:axId val="273062720"/>
        <c:axId val="273063112"/>
      </c:barChart>
      <c:catAx>
        <c:axId val="273062720"/>
        <c:scaling>
          <c:orientation val="minMax"/>
        </c:scaling>
        <c:delete val="0"/>
        <c:axPos val="l"/>
        <c:majorGridlines>
          <c:spPr>
            <a:ln>
              <a:solidFill>
                <a:schemeClr val="tx2">
                  <a:lumMod val="40000"/>
                  <a:lumOff val="60000"/>
                </a:schemeClr>
              </a:solidFill>
            </a:ln>
          </c:spPr>
        </c:majorGridlines>
        <c:numFmt formatCode="General" sourceLinked="1"/>
        <c:majorTickMark val="out"/>
        <c:minorTickMark val="none"/>
        <c:tickLblPos val="nextTo"/>
        <c:crossAx val="273063112"/>
        <c:crosses val="autoZero"/>
        <c:auto val="1"/>
        <c:lblAlgn val="ctr"/>
        <c:lblOffset val="100"/>
        <c:noMultiLvlLbl val="0"/>
      </c:catAx>
      <c:valAx>
        <c:axId val="273063112"/>
        <c:scaling>
          <c:orientation val="minMax"/>
        </c:scaling>
        <c:delete val="1"/>
        <c:axPos val="b"/>
        <c:numFmt formatCode="_ * #,##0_ ;_ * \-#,##0_ ;_ * &quot;-&quot;??_ ;_ @_ " sourceLinked="1"/>
        <c:majorTickMark val="out"/>
        <c:minorTickMark val="none"/>
        <c:tickLblPos val="nextTo"/>
        <c:crossAx val="273062720"/>
        <c:crosses val="autoZero"/>
        <c:crossBetween val="between"/>
      </c:valAx>
      <c:spPr>
        <a:noFill/>
        <a:ln w="25400">
          <a:noFill/>
        </a:ln>
      </c:spPr>
    </c:plotArea>
    <c:plotVisOnly val="1"/>
    <c:dispBlanksAs val="gap"/>
    <c:showDLblsOverMax val="0"/>
  </c:chart>
  <c:spPr>
    <a:solidFill>
      <a:schemeClr val="bg1">
        <a:lumMod val="95000"/>
      </a:schemeClr>
    </a:solidFill>
    <a:ln w="9525" cap="flat" cmpd="sng" algn="ctr">
      <a:noFill/>
      <a:round/>
    </a:ln>
    <a:effectLst/>
  </c:spPr>
  <c:txPr>
    <a:bodyPr/>
    <a:lstStyle/>
    <a:p>
      <a:pPr>
        <a:defRPr sz="900"/>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22753762541491"/>
          <c:y val="5.7432606352857199E-2"/>
          <c:w val="0.72733222799791653"/>
          <c:h val="0.85591851042997191"/>
        </c:manualLayout>
      </c:layout>
      <c:barChart>
        <c:barDir val="bar"/>
        <c:grouping val="clustered"/>
        <c:varyColors val="0"/>
        <c:ser>
          <c:idx val="1"/>
          <c:order val="0"/>
          <c:tx>
            <c:strRef>
              <c:f>Objetivos!$O$23</c:f>
              <c:strCache>
                <c:ptCount val="1"/>
                <c:pt idx="0">
                  <c:v>$ Ejecutados Cuatrienio</c:v>
                </c:pt>
              </c:strCache>
            </c:strRef>
          </c:tx>
          <c:spPr>
            <a:solidFill>
              <a:schemeClr val="tx2">
                <a:lumMod val="60000"/>
                <a:lumOff val="40000"/>
              </a:schemeClr>
            </a:solidFill>
            <a:ln>
              <a:noFill/>
            </a:ln>
            <a:effectLst/>
            <a:scene3d>
              <a:camera prst="orthographicFront"/>
              <a:lightRig rig="threePt" dir="t"/>
            </a:scene3d>
            <a:sp3d/>
          </c:spPr>
          <c:invertIfNegative val="0"/>
          <c:dPt>
            <c:idx val="4"/>
            <c:invertIfNegative val="0"/>
            <c:bubble3D val="0"/>
            <c:spPr>
              <a:solidFill>
                <a:srgbClr val="7030A0"/>
              </a:solidFill>
              <a:ln>
                <a:noFill/>
              </a:ln>
              <a:effectLst/>
              <a:scene3d>
                <a:camera prst="orthographicFront"/>
                <a:lightRig rig="threePt" dir="t"/>
              </a:scene3d>
              <a:sp3d/>
            </c:spPr>
          </c:dPt>
          <c:dLbls>
            <c:dLbl>
              <c:idx val="0"/>
              <c:spPr>
                <a:noFill/>
                <a:ln w="25400">
                  <a:noFill/>
                </a:ln>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dLbl>
            <c:spPr>
              <a:noFill/>
              <a:ln w="25400">
                <a:noFill/>
              </a:ln>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Objetivos!$B$23:$B$27</c:f>
              <c:strCache>
                <c:ptCount val="5"/>
                <c:pt idx="0">
                  <c:v>2012</c:v>
                </c:pt>
                <c:pt idx="1">
                  <c:v>2013</c:v>
                </c:pt>
                <c:pt idx="2">
                  <c:v>2014</c:v>
                </c:pt>
                <c:pt idx="3">
                  <c:v>2015</c:v>
                </c:pt>
                <c:pt idx="4">
                  <c:v>CUATRIENIO</c:v>
                </c:pt>
              </c:strCache>
            </c:strRef>
          </c:cat>
          <c:val>
            <c:numRef>
              <c:f>Objetivos!$F$71:$F$75</c:f>
              <c:numCache>
                <c:formatCode>_ * #,##0_ ;_ * \-#,##0_ ;_ * "-"??_ ;_ @_ </c:formatCode>
                <c:ptCount val="5"/>
                <c:pt idx="0">
                  <c:v>309242.35819499998</c:v>
                </c:pt>
                <c:pt idx="1">
                  <c:v>346760.93192399997</c:v>
                </c:pt>
                <c:pt idx="2">
                  <c:v>365478.12843200006</c:v>
                </c:pt>
                <c:pt idx="3">
                  <c:v>238432.72781500002</c:v>
                </c:pt>
                <c:pt idx="4" formatCode="#,##0">
                  <c:v>1259914.1463660002</c:v>
                </c:pt>
              </c:numCache>
            </c:numRef>
          </c:val>
        </c:ser>
        <c:dLbls>
          <c:showLegendKey val="0"/>
          <c:showVal val="0"/>
          <c:showCatName val="0"/>
          <c:showSerName val="0"/>
          <c:showPercent val="0"/>
          <c:showBubbleSize val="0"/>
        </c:dLbls>
        <c:gapWidth val="45"/>
        <c:overlap val="-1"/>
        <c:axId val="273223672"/>
        <c:axId val="273224064"/>
      </c:barChart>
      <c:catAx>
        <c:axId val="273223672"/>
        <c:scaling>
          <c:orientation val="minMax"/>
        </c:scaling>
        <c:delete val="0"/>
        <c:axPos val="l"/>
        <c:majorGridlines>
          <c:spPr>
            <a:ln>
              <a:solidFill>
                <a:schemeClr val="tx2">
                  <a:lumMod val="40000"/>
                  <a:lumOff val="60000"/>
                </a:schemeClr>
              </a:solidFill>
            </a:ln>
          </c:spPr>
        </c:majorGridlines>
        <c:numFmt formatCode="General" sourceLinked="1"/>
        <c:majorTickMark val="out"/>
        <c:minorTickMark val="none"/>
        <c:tickLblPos val="nextTo"/>
        <c:crossAx val="273224064"/>
        <c:crosses val="autoZero"/>
        <c:auto val="1"/>
        <c:lblAlgn val="ctr"/>
        <c:lblOffset val="100"/>
        <c:noMultiLvlLbl val="0"/>
      </c:catAx>
      <c:valAx>
        <c:axId val="273224064"/>
        <c:scaling>
          <c:orientation val="minMax"/>
        </c:scaling>
        <c:delete val="1"/>
        <c:axPos val="b"/>
        <c:numFmt formatCode="_ * #,##0_ ;_ * \-#,##0_ ;_ * &quot;-&quot;??_ ;_ @_ " sourceLinked="1"/>
        <c:majorTickMark val="out"/>
        <c:minorTickMark val="none"/>
        <c:tickLblPos val="nextTo"/>
        <c:crossAx val="273223672"/>
        <c:crosses val="autoZero"/>
        <c:crossBetween val="between"/>
      </c:valAx>
      <c:spPr>
        <a:noFill/>
        <a:ln w="25400">
          <a:noFill/>
        </a:ln>
      </c:spPr>
    </c:plotArea>
    <c:plotVisOnly val="1"/>
    <c:dispBlanksAs val="gap"/>
    <c:showDLblsOverMax val="0"/>
  </c:chart>
  <c:spPr>
    <a:solidFill>
      <a:schemeClr val="bg1">
        <a:lumMod val="95000"/>
      </a:schemeClr>
    </a:solidFill>
    <a:ln w="9525" cap="flat" cmpd="sng" algn="ctr">
      <a:noFill/>
      <a:round/>
    </a:ln>
    <a:effectLst/>
  </c:spPr>
  <c:txPr>
    <a:bodyPr/>
    <a:lstStyle/>
    <a:p>
      <a:pPr>
        <a:defRPr sz="900"/>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22753762541491"/>
          <c:y val="5.7432606352857199E-2"/>
          <c:w val="0.72733222799791653"/>
          <c:h val="0.90709141012599093"/>
        </c:manualLayout>
      </c:layout>
      <c:barChart>
        <c:barDir val="bar"/>
        <c:grouping val="clustered"/>
        <c:varyColors val="0"/>
        <c:ser>
          <c:idx val="1"/>
          <c:order val="0"/>
          <c:tx>
            <c:strRef>
              <c:f>Objetivos!$O$23</c:f>
              <c:strCache>
                <c:ptCount val="1"/>
                <c:pt idx="0">
                  <c:v>$ Ejecutados Cuatrienio</c:v>
                </c:pt>
              </c:strCache>
            </c:strRef>
          </c:tx>
          <c:spPr>
            <a:solidFill>
              <a:schemeClr val="tx2">
                <a:lumMod val="60000"/>
                <a:lumOff val="40000"/>
              </a:schemeClr>
            </a:solidFill>
            <a:ln>
              <a:noFill/>
            </a:ln>
            <a:effectLst/>
            <a:scene3d>
              <a:camera prst="orthographicFront"/>
              <a:lightRig rig="threePt" dir="t"/>
            </a:scene3d>
            <a:sp3d/>
          </c:spPr>
          <c:invertIfNegative val="0"/>
          <c:dPt>
            <c:idx val="4"/>
            <c:invertIfNegative val="0"/>
            <c:bubble3D val="0"/>
            <c:spPr>
              <a:solidFill>
                <a:srgbClr val="7030A0"/>
              </a:solidFill>
              <a:ln>
                <a:noFill/>
              </a:ln>
              <a:effectLst/>
              <a:scene3d>
                <a:camera prst="orthographicFront"/>
                <a:lightRig rig="threePt" dir="t"/>
              </a:scene3d>
              <a:sp3d/>
            </c:spPr>
          </c:dPt>
          <c:dLbls>
            <c:dLbl>
              <c:idx val="0"/>
              <c:spPr>
                <a:noFill/>
                <a:ln w="25400">
                  <a:noFill/>
                </a:ln>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dLbl>
            <c:spPr>
              <a:noFill/>
              <a:ln w="25400">
                <a:noFill/>
              </a:ln>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Objetivos!$B$23:$B$27</c:f>
              <c:strCache>
                <c:ptCount val="5"/>
                <c:pt idx="0">
                  <c:v>2012</c:v>
                </c:pt>
                <c:pt idx="1">
                  <c:v>2013</c:v>
                </c:pt>
                <c:pt idx="2">
                  <c:v>2014</c:v>
                </c:pt>
                <c:pt idx="3">
                  <c:v>2015</c:v>
                </c:pt>
                <c:pt idx="4">
                  <c:v>CUATRIENIO</c:v>
                </c:pt>
              </c:strCache>
            </c:strRef>
          </c:cat>
          <c:val>
            <c:numRef>
              <c:f>Objetivos!$F$87:$F$91</c:f>
              <c:numCache>
                <c:formatCode>_ * #,##0_ ;_ * \-#,##0_ ;_ * "-"??_ ;_ @_ </c:formatCode>
                <c:ptCount val="5"/>
                <c:pt idx="0">
                  <c:v>1317429.236973</c:v>
                </c:pt>
                <c:pt idx="1">
                  <c:v>1373429.3556919999</c:v>
                </c:pt>
                <c:pt idx="2">
                  <c:v>1499761.8954100001</c:v>
                </c:pt>
                <c:pt idx="3">
                  <c:v>1159628.3406170001</c:v>
                </c:pt>
                <c:pt idx="4" formatCode="#,##0">
                  <c:v>5350248.8286920004</c:v>
                </c:pt>
              </c:numCache>
            </c:numRef>
          </c:val>
        </c:ser>
        <c:dLbls>
          <c:showLegendKey val="0"/>
          <c:showVal val="0"/>
          <c:showCatName val="0"/>
          <c:showSerName val="0"/>
          <c:showPercent val="0"/>
          <c:showBubbleSize val="0"/>
        </c:dLbls>
        <c:gapWidth val="45"/>
        <c:overlap val="-1"/>
        <c:axId val="273224848"/>
        <c:axId val="273225240"/>
      </c:barChart>
      <c:catAx>
        <c:axId val="273224848"/>
        <c:scaling>
          <c:orientation val="minMax"/>
        </c:scaling>
        <c:delete val="0"/>
        <c:axPos val="l"/>
        <c:majorGridlines>
          <c:spPr>
            <a:ln>
              <a:solidFill>
                <a:schemeClr val="tx2">
                  <a:lumMod val="40000"/>
                  <a:lumOff val="60000"/>
                </a:schemeClr>
              </a:solidFill>
            </a:ln>
          </c:spPr>
        </c:majorGridlines>
        <c:numFmt formatCode="General" sourceLinked="1"/>
        <c:majorTickMark val="out"/>
        <c:minorTickMark val="none"/>
        <c:tickLblPos val="nextTo"/>
        <c:crossAx val="273225240"/>
        <c:crosses val="autoZero"/>
        <c:auto val="1"/>
        <c:lblAlgn val="ctr"/>
        <c:lblOffset val="100"/>
        <c:noMultiLvlLbl val="0"/>
      </c:catAx>
      <c:valAx>
        <c:axId val="273225240"/>
        <c:scaling>
          <c:orientation val="minMax"/>
        </c:scaling>
        <c:delete val="1"/>
        <c:axPos val="b"/>
        <c:numFmt formatCode="_ * #,##0_ ;_ * \-#,##0_ ;_ * &quot;-&quot;??_ ;_ @_ " sourceLinked="1"/>
        <c:majorTickMark val="out"/>
        <c:minorTickMark val="none"/>
        <c:tickLblPos val="nextTo"/>
        <c:crossAx val="273224848"/>
        <c:crosses val="autoZero"/>
        <c:crossBetween val="between"/>
      </c:valAx>
      <c:spPr>
        <a:noFill/>
        <a:ln w="25400">
          <a:noFill/>
        </a:ln>
      </c:spPr>
    </c:plotArea>
    <c:plotVisOnly val="1"/>
    <c:dispBlanksAs val="gap"/>
    <c:showDLblsOverMax val="0"/>
  </c:chart>
  <c:spPr>
    <a:solidFill>
      <a:schemeClr val="bg1">
        <a:lumMod val="95000"/>
      </a:schemeClr>
    </a:solidFill>
    <a:ln w="9525" cap="flat" cmpd="sng" algn="ctr">
      <a:noFill/>
      <a:round/>
    </a:ln>
    <a:effectLst/>
  </c:spPr>
  <c:txPr>
    <a:bodyPr/>
    <a:lstStyle/>
    <a:p>
      <a:pPr>
        <a:defRPr sz="900"/>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n-US" sz="1300"/>
              <a:t>% EJECUCIÓN DEL PDD</a:t>
            </a:r>
          </a:p>
        </c:rich>
      </c:tx>
      <c:layout/>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solidFill>
          <a:schemeClr val="bg2">
            <a:lumMod val="75000"/>
          </a:schemeClr>
        </a:solidFill>
        <a:ln>
          <a:noFill/>
        </a:ln>
        <a:effectLst/>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6.0392138214562852E-2"/>
          <c:y val="0.117307858215093"/>
          <c:w val="0.8792157235708743"/>
          <c:h val="0.7804312442125968"/>
        </c:manualLayout>
      </c:layout>
      <c:bar3DChart>
        <c:barDir val="col"/>
        <c:grouping val="clustered"/>
        <c:varyColors val="0"/>
        <c:ser>
          <c:idx val="0"/>
          <c:order val="0"/>
          <c:tx>
            <c:strRef>
              <c:f>Objetivos!$C$16</c:f>
              <c:strCache>
                <c:ptCount val="1"/>
                <c:pt idx="0">
                  <c:v>PDD</c:v>
                </c:pt>
              </c:strCache>
            </c:strRef>
          </c:tx>
          <c:spPr>
            <a:gradFill flip="none" rotWithShape="1">
              <a:gsLst>
                <a:gs pos="0">
                  <a:schemeClr val="accent4">
                    <a:lumMod val="0"/>
                    <a:lumOff val="100000"/>
                  </a:schemeClr>
                </a:gs>
                <a:gs pos="35000">
                  <a:schemeClr val="accent4">
                    <a:lumMod val="0"/>
                    <a:lumOff val="100000"/>
                  </a:schemeClr>
                </a:gs>
                <a:gs pos="100000">
                  <a:schemeClr val="accent4">
                    <a:lumMod val="100000"/>
                  </a:schemeClr>
                </a:gs>
              </a:gsLst>
              <a:path path="circle">
                <a:fillToRect l="50000" t="-80000" r="50000" b="180000"/>
              </a:path>
              <a:tileRect/>
            </a:gradFill>
            <a:ln>
              <a:noFill/>
            </a:ln>
            <a:effectLst/>
            <a:sp3d/>
          </c:spPr>
          <c:invertIfNegative val="0"/>
          <c:dLbls>
            <c:dLbl>
              <c:idx val="0"/>
              <c:layout>
                <c:manualLayout>
                  <c:x val="8.0854254520818569E-2"/>
                  <c:y val="-4.0687337401530292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400" b="1" i="0" u="none" strike="noStrike" kern="1200" baseline="0">
                      <a:solidFill>
                        <a:srgbClr val="7030A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0.33974228212479396"/>
                      <c:h val="0.1080069861025638"/>
                    </c:manualLayout>
                  </c15:layout>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Objetivos!$F$16</c:f>
              <c:strCache>
                <c:ptCount val="1"/>
                <c:pt idx="0">
                  <c:v>2012 - 2015</c:v>
                </c:pt>
              </c:strCache>
            </c:strRef>
          </c:cat>
          <c:val>
            <c:numRef>
              <c:f>Objetivos!$D$16</c:f>
              <c:numCache>
                <c:formatCode>0%</c:formatCode>
                <c:ptCount val="1"/>
                <c:pt idx="0">
                  <c:v>0.94267761990686383</c:v>
                </c:pt>
              </c:numCache>
            </c:numRef>
          </c:val>
        </c:ser>
        <c:dLbls>
          <c:showLegendKey val="0"/>
          <c:showVal val="0"/>
          <c:showCatName val="0"/>
          <c:showSerName val="0"/>
          <c:showPercent val="0"/>
          <c:showBubbleSize val="0"/>
        </c:dLbls>
        <c:gapWidth val="150"/>
        <c:shape val="box"/>
        <c:axId val="273226024"/>
        <c:axId val="273226416"/>
        <c:axId val="0"/>
      </c:bar3DChart>
      <c:catAx>
        <c:axId val="273226024"/>
        <c:scaling>
          <c:orientation val="minMax"/>
        </c:scaling>
        <c:delete val="0"/>
        <c:axPos val="b"/>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crossAx val="273226416"/>
        <c:crosses val="autoZero"/>
        <c:auto val="1"/>
        <c:lblAlgn val="ctr"/>
        <c:lblOffset val="100"/>
        <c:noMultiLvlLbl val="0"/>
      </c:catAx>
      <c:valAx>
        <c:axId val="273226416"/>
        <c:scaling>
          <c:orientation val="minMax"/>
        </c:scaling>
        <c:delete val="1"/>
        <c:axPos val="l"/>
        <c:numFmt formatCode="0%" sourceLinked="1"/>
        <c:majorTickMark val="out"/>
        <c:minorTickMark val="none"/>
        <c:tickLblPos val="nextTo"/>
        <c:crossAx val="273226024"/>
        <c:crosses val="autoZero"/>
        <c:crossBetween val="between"/>
      </c:valAx>
      <c:spPr>
        <a:noFill/>
        <a:ln>
          <a:noFill/>
        </a:ln>
        <a:effectLst/>
      </c:spPr>
    </c:plotArea>
    <c:plotVisOnly val="1"/>
    <c:dispBlanksAs val="gap"/>
    <c:showDLblsOverMax val="0"/>
  </c:chart>
  <c:spPr>
    <a:solidFill>
      <a:schemeClr val="bg1">
        <a:lumMod val="85000"/>
      </a:schemeClr>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10"/>
      <c:depthPercent val="100"/>
      <c:rAngAx val="1"/>
    </c:view3D>
    <c:floor>
      <c:thickness val="0"/>
      <c:spPr>
        <a:solidFill>
          <a:schemeClr val="accent3">
            <a:lumMod val="60000"/>
            <a:lumOff val="40000"/>
          </a:schemeClr>
        </a:solidFill>
        <a:ln>
          <a:noFill/>
        </a:ln>
        <a:effectLst/>
        <a:sp3d/>
      </c:spPr>
    </c:floor>
    <c:sideWall>
      <c:thickness val="0"/>
      <c:spPr>
        <a:noFill/>
        <a:ln w="25400">
          <a:noFill/>
        </a:ln>
      </c:spPr>
    </c:sideWall>
    <c:backWall>
      <c:thickness val="0"/>
      <c:spPr>
        <a:solidFill>
          <a:schemeClr val="bg1">
            <a:lumMod val="95000"/>
          </a:schemeClr>
        </a:solidFill>
        <a:ln w="25400">
          <a:noFill/>
        </a:ln>
      </c:spPr>
    </c:backWall>
    <c:plotArea>
      <c:layout>
        <c:manualLayout>
          <c:layoutTarget val="inner"/>
          <c:xMode val="edge"/>
          <c:yMode val="edge"/>
          <c:x val="1.7812788635051348E-2"/>
          <c:y val="3.6615056089105785E-2"/>
          <c:w val="0.97005982549530334"/>
          <c:h val="0.8138059896083506"/>
        </c:manualLayout>
      </c:layout>
      <c:bar3DChart>
        <c:barDir val="col"/>
        <c:grouping val="clustered"/>
        <c:varyColors val="0"/>
        <c:ser>
          <c:idx val="1"/>
          <c:order val="0"/>
          <c:tx>
            <c:strRef>
              <c:f>Programas!$G$20</c:f>
              <c:strCache>
                <c:ptCount val="1"/>
                <c:pt idx="0">
                  <c:v>% Ejecutado</c:v>
                </c:pt>
              </c:strCache>
            </c:strRef>
          </c:tx>
          <c:spPr>
            <a:solidFill>
              <a:srgbClr val="F68222"/>
            </a:solidFill>
            <a:ln w="25400">
              <a:noFill/>
            </a:ln>
          </c:spPr>
          <c:invertIfNegative val="0"/>
          <c:dPt>
            <c:idx val="4"/>
            <c:invertIfNegative val="0"/>
            <c:bubble3D val="0"/>
            <c:spPr>
              <a:solidFill>
                <a:srgbClr val="A86ED4"/>
              </a:solidFill>
              <a:ln w="25400">
                <a:noFill/>
              </a:ln>
            </c:spPr>
          </c:dPt>
          <c:dLbls>
            <c:dLbl>
              <c:idx val="0"/>
              <c:layout>
                <c:manualLayout>
                  <c:x val="7.0808526982907441E-3"/>
                  <c:y val="-4.8080476754257466E-2"/>
                </c:manualLayout>
              </c:layout>
              <c:spPr>
                <a:noFill/>
                <a:ln w="25400">
                  <a:noFill/>
                </a:ln>
              </c:spPr>
              <c:txPr>
                <a:bodyPr/>
                <a:lstStyle/>
                <a:p>
                  <a:pPr>
                    <a:defRPr sz="800" b="0" i="0" u="none" strike="noStrike" baseline="0">
                      <a:solidFill>
                        <a:schemeClr val="tx1"/>
                      </a:solidFill>
                      <a:latin typeface="Calibri"/>
                      <a:ea typeface="Calibri"/>
                      <a:cs typeface="Calibri"/>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1"/>
              <c:layout>
                <c:manualLayout>
                  <c:x val="1.1306574483067666E-2"/>
                  <c:y val="-1.1507421087764126E-2"/>
                </c:manualLayout>
              </c:layout>
              <c:spPr>
                <a:noFill/>
                <a:ln w="25400">
                  <a:noFill/>
                </a:ln>
              </c:spPr>
              <c:txPr>
                <a:bodyPr/>
                <a:lstStyle/>
                <a:p>
                  <a:pPr>
                    <a:defRPr sz="800" b="0" i="0" u="none" strike="noStrike" baseline="0">
                      <a:solidFill>
                        <a:schemeClr val="tx1"/>
                      </a:solidFill>
                      <a:latin typeface="Calibri"/>
                      <a:ea typeface="Calibri"/>
                      <a:cs typeface="Calibri"/>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2"/>
              <c:layout>
                <c:manualLayout>
                  <c:x val="2.0282312271941542E-2"/>
                  <c:y val="-3.1163624024261982E-2"/>
                </c:manualLayout>
              </c:layout>
              <c:spPr>
                <a:noFill/>
                <a:ln w="25400">
                  <a:noFill/>
                </a:ln>
              </c:spPr>
              <c:txPr>
                <a:bodyPr/>
                <a:lstStyle/>
                <a:p>
                  <a:pPr>
                    <a:defRPr sz="800" b="0" i="0" u="none" strike="noStrike" baseline="0">
                      <a:solidFill>
                        <a:schemeClr val="tx1"/>
                      </a:solidFill>
                      <a:latin typeface="Calibri"/>
                      <a:ea typeface="Calibri"/>
                      <a:cs typeface="Calibri"/>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3"/>
              <c:layout>
                <c:manualLayout>
                  <c:x val="6.7972600985851629E-3"/>
                  <c:y val="-5.3709337950867547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7052045323602841E-2"/>
                  <c:y val="-2.8489769801922256E-2"/>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wrap="square" lIns="38100" tIns="19050" rIns="38100" bIns="19050" anchor="ctr">
                <a:spAutoFit/>
              </a:bodyPr>
              <a:lstStyle/>
              <a:p>
                <a:pPr>
                  <a:defRPr sz="800" b="0" i="0" u="none" strike="noStrike" baseline="0">
                    <a:solidFill>
                      <a:schemeClr val="tx1"/>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Programas!$B$21:$B$25</c:f>
              <c:strCache>
                <c:ptCount val="5"/>
                <c:pt idx="0">
                  <c:v>2012</c:v>
                </c:pt>
                <c:pt idx="1">
                  <c:v>2013</c:v>
                </c:pt>
                <c:pt idx="2">
                  <c:v>2014</c:v>
                </c:pt>
                <c:pt idx="3">
                  <c:v>2015</c:v>
                </c:pt>
                <c:pt idx="4">
                  <c:v>CUATRIENIO</c:v>
                </c:pt>
              </c:strCache>
            </c:strRef>
          </c:cat>
          <c:val>
            <c:numRef>
              <c:f>Programas!$G$21:$G$25</c:f>
              <c:numCache>
                <c:formatCode>0%</c:formatCode>
                <c:ptCount val="5"/>
                <c:pt idx="0">
                  <c:v>0.73348017621145367</c:v>
                </c:pt>
                <c:pt idx="1">
                  <c:v>0.93566547935584199</c:v>
                </c:pt>
                <c:pt idx="2">
                  <c:v>0.65755093122196373</c:v>
                </c:pt>
                <c:pt idx="3">
                  <c:v>0.95039343140608978</c:v>
                </c:pt>
                <c:pt idx="4" formatCode="0.0%">
                  <c:v>1</c:v>
                </c:pt>
              </c:numCache>
            </c:numRef>
          </c:val>
          <c:shape val="cylinder"/>
        </c:ser>
        <c:dLbls>
          <c:showLegendKey val="0"/>
          <c:showVal val="0"/>
          <c:showCatName val="0"/>
          <c:showSerName val="0"/>
          <c:showPercent val="0"/>
          <c:showBubbleSize val="0"/>
        </c:dLbls>
        <c:gapWidth val="78"/>
        <c:gapDepth val="110"/>
        <c:shape val="box"/>
        <c:axId val="250679648"/>
        <c:axId val="250680040"/>
        <c:axId val="0"/>
      </c:bar3DChart>
      <c:catAx>
        <c:axId val="250679648"/>
        <c:scaling>
          <c:orientation val="minMax"/>
        </c:scaling>
        <c:delete val="0"/>
        <c:axPos val="b"/>
        <c:majorGridlines>
          <c:spPr>
            <a:ln>
              <a:solidFill>
                <a:schemeClr val="tx2">
                  <a:lumMod val="40000"/>
                  <a:lumOff val="60000"/>
                </a:schemeClr>
              </a:solidFill>
            </a:ln>
          </c:spPr>
        </c:majorGridlines>
        <c:numFmt formatCode="General" sourceLinked="1"/>
        <c:majorTickMark val="none"/>
        <c:minorTickMark val="none"/>
        <c:tickLblPos val="low"/>
        <c:spPr>
          <a:ln w="9525">
            <a:noFill/>
          </a:ln>
        </c:spPr>
        <c:txPr>
          <a:bodyPr rot="0" vert="horz"/>
          <a:lstStyle/>
          <a:p>
            <a:pPr>
              <a:defRPr sz="750" b="1" i="0" u="none" strike="noStrike" baseline="0">
                <a:solidFill>
                  <a:srgbClr val="333333"/>
                </a:solidFill>
                <a:latin typeface="Calibri"/>
                <a:ea typeface="Calibri"/>
                <a:cs typeface="Calibri"/>
              </a:defRPr>
            </a:pPr>
            <a:endParaRPr lang="es-CO"/>
          </a:p>
        </c:txPr>
        <c:crossAx val="250680040"/>
        <c:crosses val="autoZero"/>
        <c:auto val="1"/>
        <c:lblAlgn val="ctr"/>
        <c:lblOffset val="100"/>
        <c:noMultiLvlLbl val="0"/>
      </c:catAx>
      <c:valAx>
        <c:axId val="250680040"/>
        <c:scaling>
          <c:orientation val="minMax"/>
          <c:max val="1"/>
        </c:scaling>
        <c:delete val="1"/>
        <c:axPos val="l"/>
        <c:numFmt formatCode="0%" sourceLinked="1"/>
        <c:majorTickMark val="out"/>
        <c:minorTickMark val="none"/>
        <c:tickLblPos val="nextTo"/>
        <c:crossAx val="250679648"/>
        <c:crosses val="autoZero"/>
        <c:crossBetween val="between"/>
      </c:valAx>
      <c:spPr>
        <a:solidFill>
          <a:schemeClr val="bg1">
            <a:lumMod val="95000"/>
          </a:schemeClr>
        </a:solidFill>
        <a:ln w="25400">
          <a:noFill/>
        </a:ln>
      </c:spPr>
    </c:plotArea>
    <c:plotVisOnly val="1"/>
    <c:dispBlanksAs val="gap"/>
    <c:showDLblsOverMax val="0"/>
  </c:chart>
  <c:spPr>
    <a:solidFill>
      <a:schemeClr val="bg1">
        <a:lumMod val="95000"/>
      </a:schemeClr>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11" l="0.70000000000000007" r="0.70000000000000007" t="0.75000000000000011" header="0.30000000000000004" footer="0.30000000000000004"/>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106617218922719"/>
          <c:y val="9.7440092715683269E-2"/>
          <c:w val="0.72887694498938482"/>
          <c:h val="0.81778164093124706"/>
        </c:manualLayout>
      </c:layout>
      <c:barChart>
        <c:barDir val="bar"/>
        <c:grouping val="clustered"/>
        <c:varyColors val="0"/>
        <c:ser>
          <c:idx val="0"/>
          <c:order val="0"/>
          <c:spPr>
            <a:solidFill>
              <a:schemeClr val="tx2">
                <a:lumMod val="60000"/>
                <a:lumOff val="40000"/>
              </a:schemeClr>
            </a:solidFill>
            <a:ln>
              <a:noFill/>
            </a:ln>
            <a:effectLst/>
          </c:spPr>
          <c:invertIfNegative val="0"/>
          <c:dPt>
            <c:idx val="4"/>
            <c:invertIfNegative val="0"/>
            <c:bubble3D val="0"/>
            <c:spPr>
              <a:solidFill>
                <a:schemeClr val="accent6">
                  <a:lumMod val="60000"/>
                  <a:lumOff val="40000"/>
                </a:schemeClr>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Programas!$B$21:$B$25</c:f>
              <c:strCache>
                <c:ptCount val="5"/>
                <c:pt idx="0">
                  <c:v>2012</c:v>
                </c:pt>
                <c:pt idx="1">
                  <c:v>2013</c:v>
                </c:pt>
                <c:pt idx="2">
                  <c:v>2014</c:v>
                </c:pt>
                <c:pt idx="3">
                  <c:v>2015</c:v>
                </c:pt>
                <c:pt idx="4">
                  <c:v>CUATRIENIO</c:v>
                </c:pt>
              </c:strCache>
            </c:strRef>
          </c:cat>
          <c:val>
            <c:numRef>
              <c:f>Programas!$H$21:$H$25</c:f>
              <c:numCache>
                <c:formatCode>_ * #,##0_ ;_ * \-#,##0_ ;_ * "-"??_ ;_ @_ </c:formatCode>
                <c:ptCount val="5"/>
                <c:pt idx="0">
                  <c:v>719.02049999999997</c:v>
                </c:pt>
                <c:pt idx="1">
                  <c:v>691.86189999999999</c:v>
                </c:pt>
                <c:pt idx="2">
                  <c:v>912.90474400000005</c:v>
                </c:pt>
                <c:pt idx="3">
                  <c:v>265.92</c:v>
                </c:pt>
                <c:pt idx="4">
                  <c:v>2589.707144</c:v>
                </c:pt>
              </c:numCache>
            </c:numRef>
          </c:val>
        </c:ser>
        <c:ser>
          <c:idx val="1"/>
          <c:order val="1"/>
          <c:spPr>
            <a:solidFill>
              <a:schemeClr val="accent2"/>
            </a:solidFill>
            <a:ln>
              <a:noFill/>
            </a:ln>
            <a:effectLst/>
          </c:spPr>
          <c:invertIfNegative val="0"/>
          <c:cat>
            <c:strRef>
              <c:f>Programas!$B$21:$B$25</c:f>
              <c:strCache>
                <c:ptCount val="5"/>
                <c:pt idx="0">
                  <c:v>2012</c:v>
                </c:pt>
                <c:pt idx="1">
                  <c:v>2013</c:v>
                </c:pt>
                <c:pt idx="2">
                  <c:v>2014</c:v>
                </c:pt>
                <c:pt idx="3">
                  <c:v>2015</c:v>
                </c:pt>
                <c:pt idx="4">
                  <c:v>CUATRIENIO</c:v>
                </c:pt>
              </c:strCache>
            </c:strRef>
          </c:cat>
          <c:val>
            <c:numRef>
              <c:f>Programas!$I$21:$I$25</c:f>
              <c:numCache>
                <c:formatCode>_ * #,##0_ ;_ * \-#,##0_ ;_ * "-"??_ ;_ @_ </c:formatCode>
                <c:ptCount val="5"/>
              </c:numCache>
            </c:numRef>
          </c:val>
        </c:ser>
        <c:dLbls>
          <c:showLegendKey val="0"/>
          <c:showVal val="0"/>
          <c:showCatName val="0"/>
          <c:showSerName val="0"/>
          <c:showPercent val="0"/>
          <c:showBubbleSize val="0"/>
        </c:dLbls>
        <c:gapWidth val="33"/>
        <c:overlap val="100"/>
        <c:axId val="250680824"/>
        <c:axId val="250681216"/>
      </c:barChart>
      <c:catAx>
        <c:axId val="250680824"/>
        <c:scaling>
          <c:orientation val="minMax"/>
        </c:scaling>
        <c:delete val="0"/>
        <c:axPos val="l"/>
        <c:majorGridlines>
          <c:spPr>
            <a:ln w="9525" cap="flat" cmpd="sng" algn="ctr">
              <a:solidFill>
                <a:schemeClr val="tx2">
                  <a:lumMod val="40000"/>
                  <a:lumOff val="60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chemeClr val="tx1">
                    <a:lumMod val="65000"/>
                    <a:lumOff val="35000"/>
                  </a:schemeClr>
                </a:solidFill>
                <a:latin typeface="+mn-lt"/>
                <a:ea typeface="+mn-ea"/>
                <a:cs typeface="+mn-cs"/>
              </a:defRPr>
            </a:pPr>
            <a:endParaRPr lang="es-CO"/>
          </a:p>
        </c:txPr>
        <c:crossAx val="250681216"/>
        <c:crosses val="autoZero"/>
        <c:auto val="1"/>
        <c:lblAlgn val="ctr"/>
        <c:lblOffset val="100"/>
        <c:noMultiLvlLbl val="0"/>
      </c:catAx>
      <c:valAx>
        <c:axId val="250681216"/>
        <c:scaling>
          <c:orientation val="minMax"/>
        </c:scaling>
        <c:delete val="1"/>
        <c:axPos val="b"/>
        <c:numFmt formatCode="_ * #,##0_ ;_ * \-#,##0_ ;_ * &quot;-&quot;??_ ;_ @_ " sourceLinked="1"/>
        <c:majorTickMark val="none"/>
        <c:minorTickMark val="none"/>
        <c:tickLblPos val="nextTo"/>
        <c:crossAx val="250680824"/>
        <c:crosses val="autoZero"/>
        <c:crossBetween val="between"/>
      </c:valAx>
      <c:spPr>
        <a:noFill/>
        <a:ln>
          <a:noFill/>
        </a:ln>
        <a:effectLst/>
      </c:spPr>
    </c:plotArea>
    <c:plotVisOnly val="1"/>
    <c:dispBlanksAs val="gap"/>
    <c:showDLblsOverMax val="0"/>
  </c:chart>
  <c:spPr>
    <a:solidFill>
      <a:schemeClr val="bg1">
        <a:lumMod val="95000"/>
      </a:schemeClr>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a:pPr>
            <a:r>
              <a:rPr lang="es-ES" sz="1400" b="1"/>
              <a:t>% Ejecución Física Anual </a:t>
            </a:r>
          </a:p>
        </c:rich>
      </c:tx>
      <c:layout>
        <c:manualLayout>
          <c:xMode val="edge"/>
          <c:yMode val="edge"/>
          <c:x val="0.35932588389686582"/>
          <c:y val="9.2974901574803172E-3"/>
        </c:manualLayout>
      </c:layout>
      <c:overlay val="0"/>
    </c:title>
    <c:autoTitleDeleted val="0"/>
    <c:view3D>
      <c:rotX val="15"/>
      <c:rotY val="10"/>
      <c:depthPercent val="100"/>
      <c:rAngAx val="1"/>
    </c:view3D>
    <c:floor>
      <c:thickness val="0"/>
      <c:spPr>
        <a:solidFill>
          <a:schemeClr val="accent3">
            <a:lumMod val="60000"/>
            <a:lumOff val="40000"/>
          </a:schemeClr>
        </a:solidFill>
        <a:ln>
          <a:noFill/>
        </a:ln>
        <a:effectLst/>
        <a:sp3d/>
      </c:spPr>
    </c:floor>
    <c:sideWall>
      <c:thickness val="0"/>
      <c:spPr>
        <a:solidFill>
          <a:schemeClr val="bg1">
            <a:lumMod val="95000"/>
          </a:schemeClr>
        </a:solidFill>
        <a:ln w="25400">
          <a:noFill/>
        </a:ln>
      </c:spPr>
    </c:sideWall>
    <c:backWall>
      <c:thickness val="0"/>
      <c:spPr>
        <a:solidFill>
          <a:schemeClr val="bg1">
            <a:lumMod val="95000"/>
          </a:schemeClr>
        </a:solidFill>
        <a:ln w="25400">
          <a:noFill/>
        </a:ln>
      </c:spPr>
    </c:backWall>
    <c:plotArea>
      <c:layout>
        <c:manualLayout>
          <c:layoutTarget val="inner"/>
          <c:xMode val="edge"/>
          <c:yMode val="edge"/>
          <c:x val="1.7812788635051348E-2"/>
          <c:y val="0.13247563352826508"/>
          <c:w val="0.97005982549530334"/>
          <c:h val="0.71794508142622526"/>
        </c:manualLayout>
      </c:layout>
      <c:bar3DChart>
        <c:barDir val="col"/>
        <c:grouping val="clustered"/>
        <c:varyColors val="0"/>
        <c:ser>
          <c:idx val="1"/>
          <c:order val="0"/>
          <c:tx>
            <c:strRef>
              <c:f>Entidades!$G$12</c:f>
              <c:strCache>
                <c:ptCount val="1"/>
                <c:pt idx="0">
                  <c:v>% Ejecutado</c:v>
                </c:pt>
              </c:strCache>
            </c:strRef>
          </c:tx>
          <c:spPr>
            <a:solidFill>
              <a:srgbClr val="F68222"/>
            </a:solidFill>
            <a:ln w="25400">
              <a:noFill/>
            </a:ln>
          </c:spPr>
          <c:invertIfNegative val="0"/>
          <c:dPt>
            <c:idx val="4"/>
            <c:invertIfNegative val="0"/>
            <c:bubble3D val="0"/>
            <c:spPr>
              <a:solidFill>
                <a:srgbClr val="A86ED4"/>
              </a:solidFill>
              <a:ln w="25400">
                <a:noFill/>
              </a:ln>
            </c:spPr>
          </c:dPt>
          <c:dLbls>
            <c:dLbl>
              <c:idx val="0"/>
              <c:layout>
                <c:manualLayout>
                  <c:x val="9.4721707580669844E-3"/>
                  <c:y val="-4.7832595144356976E-2"/>
                </c:manualLayout>
              </c:layout>
              <c:spPr>
                <a:noFill/>
                <a:ln w="25400">
                  <a:noFill/>
                </a:ln>
              </c:spPr>
              <c:txPr>
                <a:bodyPr/>
                <a:lstStyle/>
                <a:p>
                  <a:pPr>
                    <a:defRPr sz="800" b="0" i="0" u="none" strike="noStrike" baseline="0">
                      <a:solidFill>
                        <a:schemeClr val="tx1"/>
                      </a:solidFill>
                      <a:latin typeface="Calibri"/>
                      <a:ea typeface="Calibri"/>
                      <a:cs typeface="Calibri"/>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1"/>
              <c:layout>
                <c:manualLayout>
                  <c:x val="6.1656631156399569E-3"/>
                  <c:y val="-4.042979002624672E-2"/>
                </c:manualLayout>
              </c:layout>
              <c:spPr>
                <a:noFill/>
                <a:ln w="25400">
                  <a:noFill/>
                </a:ln>
              </c:spPr>
              <c:txPr>
                <a:bodyPr/>
                <a:lstStyle/>
                <a:p>
                  <a:pPr>
                    <a:defRPr sz="800" b="0" i="0" u="none" strike="noStrike" baseline="0">
                      <a:solidFill>
                        <a:schemeClr val="tx1"/>
                      </a:solidFill>
                      <a:latin typeface="Calibri"/>
                      <a:ea typeface="Calibri"/>
                      <a:cs typeface="Calibri"/>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2"/>
              <c:layout>
                <c:manualLayout>
                  <c:x val="9.4623282383819677E-3"/>
                  <c:y val="-5.0550360892388478E-2"/>
                </c:manualLayout>
              </c:layout>
              <c:spPr>
                <a:noFill/>
                <a:ln w="25400">
                  <a:noFill/>
                </a:ln>
              </c:spPr>
              <c:txPr>
                <a:bodyPr/>
                <a:lstStyle/>
                <a:p>
                  <a:pPr>
                    <a:defRPr sz="800" b="0" i="0" u="none" strike="noStrike" baseline="0">
                      <a:solidFill>
                        <a:schemeClr val="tx1"/>
                      </a:solidFill>
                      <a:latin typeface="Calibri"/>
                      <a:ea typeface="Calibri"/>
                      <a:cs typeface="Calibri"/>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3"/>
              <c:layout>
                <c:manualLayout>
                  <c:x val="4.9440327312027174E-3"/>
                  <c:y val="-5.7714074803149606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2.8427512737378417E-4"/>
                  <c:y val="-3.3697916666666668E-2"/>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wrap="square" lIns="38100" tIns="19050" rIns="38100" bIns="19050" anchor="ctr">
                <a:spAutoFit/>
              </a:bodyPr>
              <a:lstStyle/>
              <a:p>
                <a:pPr>
                  <a:defRPr sz="800" b="0" i="0" u="none" strike="noStrike" baseline="0">
                    <a:solidFill>
                      <a:schemeClr val="tx1"/>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Entidades!$B$13:$B$17</c:f>
              <c:strCache>
                <c:ptCount val="5"/>
                <c:pt idx="0">
                  <c:v>2012</c:v>
                </c:pt>
                <c:pt idx="1">
                  <c:v>2013</c:v>
                </c:pt>
                <c:pt idx="2">
                  <c:v>2014</c:v>
                </c:pt>
                <c:pt idx="3">
                  <c:v>2015</c:v>
                </c:pt>
                <c:pt idx="4">
                  <c:v>CUATRIENIO</c:v>
                </c:pt>
              </c:strCache>
            </c:strRef>
          </c:cat>
          <c:val>
            <c:numRef>
              <c:f>Entidades!$G$13:$G$17</c:f>
              <c:numCache>
                <c:formatCode>0%</c:formatCode>
                <c:ptCount val="5"/>
                <c:pt idx="0">
                  <c:v>0.83632489541326138</c:v>
                </c:pt>
                <c:pt idx="1">
                  <c:v>0.81626446940316422</c:v>
                </c:pt>
                <c:pt idx="2">
                  <c:v>0.77473274971156114</c:v>
                </c:pt>
                <c:pt idx="3" formatCode="0.0%">
                  <c:v>0.58888004384298132</c:v>
                </c:pt>
                <c:pt idx="4" formatCode="0.0%">
                  <c:v>0.86613286997902361</c:v>
                </c:pt>
              </c:numCache>
            </c:numRef>
          </c:val>
          <c:shape val="cylinder"/>
        </c:ser>
        <c:dLbls>
          <c:showLegendKey val="0"/>
          <c:showVal val="0"/>
          <c:showCatName val="0"/>
          <c:showSerName val="0"/>
          <c:showPercent val="0"/>
          <c:showBubbleSize val="0"/>
        </c:dLbls>
        <c:gapWidth val="78"/>
        <c:gapDepth val="110"/>
        <c:shape val="box"/>
        <c:axId val="250682392"/>
        <c:axId val="250682784"/>
        <c:axId val="0"/>
      </c:bar3DChart>
      <c:catAx>
        <c:axId val="250682392"/>
        <c:scaling>
          <c:orientation val="minMax"/>
        </c:scaling>
        <c:delete val="0"/>
        <c:axPos val="b"/>
        <c:majorGridlines>
          <c:spPr>
            <a:ln>
              <a:solidFill>
                <a:schemeClr val="tx2">
                  <a:lumMod val="40000"/>
                  <a:lumOff val="60000"/>
                </a:schemeClr>
              </a:solidFill>
            </a:ln>
          </c:spPr>
        </c:majorGridlines>
        <c:numFmt formatCode="General" sourceLinked="1"/>
        <c:majorTickMark val="none"/>
        <c:minorTickMark val="none"/>
        <c:tickLblPos val="low"/>
        <c:spPr>
          <a:ln w="9525">
            <a:noFill/>
          </a:ln>
        </c:spPr>
        <c:txPr>
          <a:bodyPr rot="0" vert="horz"/>
          <a:lstStyle/>
          <a:p>
            <a:pPr>
              <a:defRPr sz="900" b="1" i="0" u="none" strike="noStrike" baseline="0">
                <a:solidFill>
                  <a:srgbClr val="333333"/>
                </a:solidFill>
                <a:latin typeface="Calibri"/>
                <a:ea typeface="Calibri"/>
                <a:cs typeface="Calibri"/>
              </a:defRPr>
            </a:pPr>
            <a:endParaRPr lang="es-CO"/>
          </a:p>
        </c:txPr>
        <c:crossAx val="250682784"/>
        <c:crosses val="autoZero"/>
        <c:auto val="1"/>
        <c:lblAlgn val="ctr"/>
        <c:lblOffset val="100"/>
        <c:noMultiLvlLbl val="0"/>
      </c:catAx>
      <c:valAx>
        <c:axId val="250682784"/>
        <c:scaling>
          <c:orientation val="minMax"/>
          <c:max val="1"/>
          <c:min val="0"/>
        </c:scaling>
        <c:delete val="1"/>
        <c:axPos val="l"/>
        <c:numFmt formatCode="0%" sourceLinked="1"/>
        <c:majorTickMark val="out"/>
        <c:minorTickMark val="none"/>
        <c:tickLblPos val="nextTo"/>
        <c:crossAx val="250682392"/>
        <c:crosses val="autoZero"/>
        <c:crossBetween val="between"/>
      </c:valAx>
      <c:spPr>
        <a:solidFill>
          <a:schemeClr val="bg1">
            <a:lumMod val="95000"/>
          </a:schemeClr>
        </a:solidFill>
        <a:ln w="25400">
          <a:noFill/>
        </a:ln>
      </c:spPr>
    </c:plotArea>
    <c:plotVisOnly val="1"/>
    <c:dispBlanksAs val="gap"/>
    <c:showDLblsOverMax val="0"/>
  </c:chart>
  <c:spPr>
    <a:solidFill>
      <a:schemeClr val="bg1">
        <a:lumMod val="95000"/>
      </a:schemeClr>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11" l="0.70000000000000007" r="0.70000000000000007" t="0.75000000000000011" header="0.30000000000000004" footer="0.3000000000000000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471212498948961E-4"/>
          <c:y val="1.4671916010498687E-2"/>
          <c:w val="0.97081081578023976"/>
          <c:h val="0.98459477626272307"/>
        </c:manualLayout>
      </c:layout>
      <c:lineChart>
        <c:grouping val="standard"/>
        <c:varyColors val="0"/>
        <c:ser>
          <c:idx val="0"/>
          <c:order val="0"/>
          <c:marker>
            <c:symbol val="circle"/>
            <c:size val="7"/>
            <c:spPr>
              <a:solidFill>
                <a:schemeClr val="bg1"/>
              </a:solidFill>
            </c:spPr>
          </c:marker>
          <c:dLbls>
            <c:dLbl>
              <c:idx val="0"/>
              <c:layout>
                <c:manualLayout>
                  <c:x val="1.9816531220081399E-2"/>
                  <c:y val="8.0323036543507101E-3"/>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dLblPos val="l"/>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Objetivos!$B$95:$B$98</c:f>
              <c:numCache>
                <c:formatCode>General</c:formatCode>
                <c:ptCount val="4"/>
                <c:pt idx="0">
                  <c:v>2012</c:v>
                </c:pt>
                <c:pt idx="1">
                  <c:v>2013</c:v>
                </c:pt>
                <c:pt idx="2">
                  <c:v>2014</c:v>
                </c:pt>
                <c:pt idx="3">
                  <c:v>2015</c:v>
                </c:pt>
              </c:numCache>
            </c:numRef>
          </c:cat>
          <c:val>
            <c:numRef>
              <c:f>Objetivos!$G$95:$G$98</c:f>
              <c:numCache>
                <c:formatCode>#,##0</c:formatCode>
                <c:ptCount val="4"/>
                <c:pt idx="0">
                  <c:v>1317429.236973</c:v>
                </c:pt>
                <c:pt idx="1">
                  <c:v>2690858.5926649999</c:v>
                </c:pt>
                <c:pt idx="2">
                  <c:v>4190620.4880750002</c:v>
                </c:pt>
                <c:pt idx="3">
                  <c:v>5350248.8286920004</c:v>
                </c:pt>
              </c:numCache>
            </c:numRef>
          </c:val>
          <c:smooth val="0"/>
        </c:ser>
        <c:dLbls>
          <c:showLegendKey val="0"/>
          <c:showVal val="0"/>
          <c:showCatName val="0"/>
          <c:showSerName val="0"/>
          <c:showPercent val="0"/>
          <c:showBubbleSize val="0"/>
        </c:dLbls>
        <c:marker val="1"/>
        <c:smooth val="0"/>
        <c:axId val="250858928"/>
        <c:axId val="249192112"/>
      </c:lineChart>
      <c:catAx>
        <c:axId val="250858928"/>
        <c:scaling>
          <c:orientation val="minMax"/>
        </c:scaling>
        <c:delete val="1"/>
        <c:axPos val="b"/>
        <c:numFmt formatCode="General" sourceLinked="1"/>
        <c:majorTickMark val="out"/>
        <c:minorTickMark val="none"/>
        <c:tickLblPos val="nextTo"/>
        <c:crossAx val="249192112"/>
        <c:crosses val="autoZero"/>
        <c:auto val="1"/>
        <c:lblAlgn val="ctr"/>
        <c:lblOffset val="100"/>
        <c:noMultiLvlLbl val="0"/>
      </c:catAx>
      <c:valAx>
        <c:axId val="249192112"/>
        <c:scaling>
          <c:orientation val="minMax"/>
        </c:scaling>
        <c:delete val="1"/>
        <c:axPos val="l"/>
        <c:numFmt formatCode="#,##0" sourceLinked="1"/>
        <c:majorTickMark val="out"/>
        <c:minorTickMark val="none"/>
        <c:tickLblPos val="nextTo"/>
        <c:crossAx val="250858928"/>
        <c:crosses val="autoZero"/>
        <c:crossBetween val="between"/>
      </c:valAx>
      <c:spPr>
        <a:noFill/>
        <a:ln w="25400">
          <a:noFill/>
        </a:ln>
      </c:spPr>
    </c:plotArea>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70"/>
      <c:rotY val="15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407132931912923"/>
          <c:y val="0"/>
          <c:w val="0.74513888888888891"/>
          <c:h val="1"/>
        </c:manualLayout>
      </c:layout>
      <c:pie3DChart>
        <c:varyColors val="1"/>
        <c:ser>
          <c:idx val="0"/>
          <c:order val="0"/>
          <c:dPt>
            <c:idx val="0"/>
            <c:bubble3D val="0"/>
            <c:spPr>
              <a:solidFill>
                <a:srgbClr val="00B050"/>
              </a:solidFill>
              <a:ln w="25400">
                <a:solidFill>
                  <a:schemeClr val="lt1"/>
                </a:solidFill>
              </a:ln>
              <a:effectLst/>
              <a:sp3d contourW="25400">
                <a:contourClr>
                  <a:schemeClr val="lt1"/>
                </a:contourClr>
              </a:sp3d>
            </c:spPr>
          </c:dPt>
          <c:dPt>
            <c:idx val="1"/>
            <c:bubble3D val="0"/>
            <c:spPr>
              <a:solidFill>
                <a:srgbClr val="FFC000"/>
              </a:solidFill>
              <a:ln w="25400">
                <a:solidFill>
                  <a:schemeClr val="lt1"/>
                </a:solidFill>
              </a:ln>
              <a:effectLst/>
              <a:sp3d contourW="25400">
                <a:contourClr>
                  <a:schemeClr val="lt1"/>
                </a:contourClr>
              </a:sp3d>
            </c:spPr>
          </c:dPt>
          <c:dPt>
            <c:idx val="2"/>
            <c:bubble3D val="0"/>
            <c:spPr>
              <a:solidFill>
                <a:srgbClr val="FF0000"/>
              </a:solidFill>
              <a:ln w="25400">
                <a:solidFill>
                  <a:schemeClr val="lt1"/>
                </a:solidFill>
              </a:ln>
              <a:effectLst/>
              <a:sp3d contourW="25400">
                <a:contourClr>
                  <a:schemeClr val="lt1"/>
                </a:contourClr>
              </a:sp3d>
            </c:spPr>
          </c:dPt>
          <c:dLbls>
            <c:dLbl>
              <c:idx val="0"/>
              <c:layout>
                <c:manualLayout>
                  <c:x val="-0.10363336935824198"/>
                  <c:y val="0.20657140079712255"/>
                </c:manualLayout>
              </c:layout>
              <c:showLegendKey val="0"/>
              <c:showVal val="0"/>
              <c:showCatName val="0"/>
              <c:showSerName val="0"/>
              <c:showPercent val="1"/>
              <c:showBubbleSize val="0"/>
              <c:extLst>
                <c:ext xmlns:c15="http://schemas.microsoft.com/office/drawing/2012/chart" uri="{CE6537A1-D6FC-4f65-9D91-7224C49458BB}"/>
              </c:extLst>
            </c:dLbl>
            <c:dLbl>
              <c:idx val="1"/>
              <c:layout>
                <c:manualLayout>
                  <c:x val="0.11748906386701663"/>
                  <c:y val="-0.10308026311525874"/>
                </c:manualLayout>
              </c:layout>
              <c:showLegendKey val="0"/>
              <c:showVal val="0"/>
              <c:showCatName val="0"/>
              <c:showSerName val="0"/>
              <c:showPercent val="1"/>
              <c:showBubbleSize val="0"/>
              <c:extLst>
                <c:ext xmlns:c15="http://schemas.microsoft.com/office/drawing/2012/chart" uri="{CE6537A1-D6FC-4f65-9D91-7224C49458BB}"/>
              </c:extLst>
            </c:dLbl>
            <c:dLbl>
              <c:idx val="2"/>
              <c:layout>
                <c:manualLayout>
                  <c:x val="0.16653183058000104"/>
                  <c:y val="-4.9382716049382568E-2"/>
                </c:manualLayout>
              </c:layout>
              <c:showLegendKey val="0"/>
              <c:showVal val="0"/>
              <c:showCatName val="0"/>
              <c:showSerName val="0"/>
              <c:showPercent val="1"/>
              <c:showBubbleSize val="0"/>
              <c:extLst>
                <c:ext xmlns:c15="http://schemas.microsoft.com/office/drawing/2012/chart" uri="{CE6537A1-D6FC-4f65-9D91-7224C49458BB}"/>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Entidades!$D$21:$D$23</c:f>
              <c:numCache>
                <c:formatCode>General</c:formatCode>
                <c:ptCount val="3"/>
                <c:pt idx="0">
                  <c:v>17</c:v>
                </c:pt>
                <c:pt idx="1">
                  <c:v>6</c:v>
                </c:pt>
                <c:pt idx="2">
                  <c:v>2</c:v>
                </c:pt>
              </c:numCache>
            </c:numRef>
          </c:val>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0"/>
      <c:rotY val="7"/>
      <c:depthPercent val="100"/>
      <c:rAngAx val="1"/>
    </c:view3D>
    <c:floor>
      <c:thickness val="0"/>
      <c:spPr>
        <a:solidFill>
          <a:schemeClr val="accent3">
            <a:lumMod val="60000"/>
            <a:lumOff val="40000"/>
          </a:schemeClr>
        </a:solidFill>
        <a:ln>
          <a:noFill/>
        </a:ln>
        <a:effectLst/>
        <a:sp3d/>
      </c:spPr>
    </c:floor>
    <c:sideWall>
      <c:thickness val="0"/>
      <c:spPr>
        <a:noFill/>
        <a:ln w="25400">
          <a:noFill/>
        </a:ln>
      </c:spPr>
    </c:sideWall>
    <c:backWall>
      <c:thickness val="0"/>
      <c:spPr>
        <a:noFill/>
        <a:ln w="25400">
          <a:noFill/>
        </a:ln>
      </c:spPr>
    </c:backWall>
    <c:plotArea>
      <c:layout>
        <c:manualLayout>
          <c:layoutTarget val="inner"/>
          <c:xMode val="edge"/>
          <c:yMode val="edge"/>
          <c:x val="1.7762092391970491E-2"/>
          <c:y val="3.3986321052934067E-2"/>
          <c:w val="0.97005982549530334"/>
          <c:h val="0.76284108282085172"/>
        </c:manualLayout>
      </c:layout>
      <c:bar3DChart>
        <c:barDir val="col"/>
        <c:grouping val="clustered"/>
        <c:varyColors val="0"/>
        <c:ser>
          <c:idx val="1"/>
          <c:order val="0"/>
          <c:tx>
            <c:strRef>
              <c:f>'Meta de Producto'!$J$21</c:f>
              <c:strCache>
                <c:ptCount val="1"/>
                <c:pt idx="0">
                  <c:v>Ejec. Acumulada</c:v>
                </c:pt>
              </c:strCache>
            </c:strRef>
          </c:tx>
          <c:spPr>
            <a:solidFill>
              <a:srgbClr val="F68222"/>
            </a:solidFill>
            <a:ln w="25400">
              <a:noFill/>
            </a:ln>
          </c:spPr>
          <c:invertIfNegative val="0"/>
          <c:dLbls>
            <c:dLbl>
              <c:idx val="0"/>
              <c:layout>
                <c:manualLayout>
                  <c:x val="-9.1505713169903243E-3"/>
                  <c:y val="-6.2456372386935591E-4"/>
                </c:manualLayout>
              </c:layout>
              <c:spPr>
                <a:noFill/>
                <a:ln w="25400">
                  <a:noFill/>
                </a:ln>
              </c:spPr>
              <c:txPr>
                <a:bodyPr/>
                <a:lstStyle/>
                <a:p>
                  <a:pPr>
                    <a:defRPr sz="800" b="0" i="0" u="none" strike="noStrike" baseline="0">
                      <a:solidFill>
                        <a:srgbClr val="333333"/>
                      </a:solidFill>
                      <a:latin typeface="Calibri"/>
                      <a:ea typeface="Calibri"/>
                      <a:cs typeface="Calibri"/>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1"/>
              <c:layout>
                <c:manualLayout>
                  <c:x val="-1.3570757577001461E-2"/>
                  <c:y val="-7.7267075576637496E-3"/>
                </c:manualLayout>
              </c:layout>
              <c:spPr>
                <a:noFill/>
                <a:ln w="25400">
                  <a:noFill/>
                </a:ln>
              </c:spPr>
              <c:txPr>
                <a:bodyPr/>
                <a:lstStyle/>
                <a:p>
                  <a:pPr>
                    <a:defRPr sz="800" b="0" i="0" u="none" strike="noStrike" baseline="0">
                      <a:solidFill>
                        <a:srgbClr val="333333"/>
                      </a:solidFill>
                      <a:latin typeface="Calibri"/>
                      <a:ea typeface="Calibri"/>
                      <a:cs typeface="Calibri"/>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2"/>
              <c:layout>
                <c:manualLayout>
                  <c:x val="-3.0626707119560819E-2"/>
                  <c:y val="-2.3391704147129735E-2"/>
                </c:manualLayout>
              </c:layout>
              <c:spPr>
                <a:noFill/>
                <a:ln w="25400">
                  <a:noFill/>
                </a:ln>
              </c:spPr>
              <c:txPr>
                <a:bodyPr/>
                <a:lstStyle/>
                <a:p>
                  <a:pPr>
                    <a:defRPr sz="800" b="0" i="0" u="none" strike="noStrike" baseline="0">
                      <a:solidFill>
                        <a:srgbClr val="333333"/>
                      </a:solidFill>
                      <a:latin typeface="Calibri"/>
                      <a:ea typeface="Calibri"/>
                      <a:cs typeface="Calibri"/>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3"/>
              <c:layout>
                <c:manualLayout>
                  <c:x val="3.3221999312544135E-3"/>
                  <c:y val="-1.1766991335605895E-2"/>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wrap="square" lIns="38100" tIns="19050" rIns="38100" bIns="19050" anchor="ctr">
                <a:spAutoFit/>
              </a:bodyPr>
              <a:lstStyle/>
              <a:p>
                <a:pPr>
                  <a:defRPr sz="800" b="0" i="0" u="none" strike="noStrike" baseline="0">
                    <a:solidFill>
                      <a:srgbClr val="333333"/>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'Meta de Producto'!$B$22:$B$25</c:f>
              <c:numCache>
                <c:formatCode>General</c:formatCode>
                <c:ptCount val="4"/>
                <c:pt idx="0">
                  <c:v>2012</c:v>
                </c:pt>
                <c:pt idx="1">
                  <c:v>2013</c:v>
                </c:pt>
                <c:pt idx="2">
                  <c:v>2014</c:v>
                </c:pt>
                <c:pt idx="3" formatCode="@">
                  <c:v>2015</c:v>
                </c:pt>
              </c:numCache>
            </c:numRef>
          </c:cat>
          <c:val>
            <c:numRef>
              <c:f>'Meta de Producto'!$J$22:$J$25</c:f>
              <c:numCache>
                <c:formatCode>_ * #,##0_ ;_ * \-#,##0_ ;_ * "-"??_ ;_ @_ </c:formatCode>
                <c:ptCount val="4"/>
                <c:pt idx="0">
                  <c:v>0</c:v>
                </c:pt>
                <c:pt idx="1">
                  <c:v>53.2</c:v>
                </c:pt>
                <c:pt idx="2" formatCode="_ * #,##0.00_ ;_ * \-#,##0.00_ ;_ * &quot;-&quot;??_ ;_ @_ ">
                  <c:v>73.92</c:v>
                </c:pt>
                <c:pt idx="3" formatCode="_ * #,##0.00_ ;_ * \-#,##0.00_ ;_ * &quot;-&quot;??_ ;_ @_ ">
                  <c:v>83.92</c:v>
                </c:pt>
              </c:numCache>
            </c:numRef>
          </c:val>
          <c:shape val="cylinder"/>
        </c:ser>
        <c:ser>
          <c:idx val="0"/>
          <c:order val="1"/>
          <c:tx>
            <c:strRef>
              <c:f>'Meta de Producto'!$D$21</c:f>
              <c:strCache>
                <c:ptCount val="1"/>
                <c:pt idx="0">
                  <c:v>Prog. Acumulado</c:v>
                </c:pt>
              </c:strCache>
            </c:strRef>
          </c:tx>
          <c:spPr>
            <a:solidFill>
              <a:schemeClr val="tx2">
                <a:lumMod val="60000"/>
                <a:lumOff val="40000"/>
              </a:schemeClr>
            </a:solidFill>
            <a:ln w="25400">
              <a:noFill/>
            </a:ln>
          </c:spPr>
          <c:invertIfNegative val="0"/>
          <c:dLbls>
            <c:dLbl>
              <c:idx val="0"/>
              <c:layout>
                <c:manualLayout>
                  <c:x val="5.4146988491565991E-3"/>
                  <c:y val="-6.983826411122275E-2"/>
                </c:manualLayout>
              </c:layout>
              <c:spPr>
                <a:noFill/>
                <a:ln w="25400">
                  <a:noFill/>
                </a:ln>
              </c:spPr>
              <c:txPr>
                <a:bodyPr/>
                <a:lstStyle/>
                <a:p>
                  <a:pPr>
                    <a:defRPr sz="800" b="0" i="0" u="none" strike="noStrike" baseline="0">
                      <a:solidFill>
                        <a:srgbClr val="333333"/>
                      </a:solidFill>
                      <a:latin typeface="Calibri"/>
                      <a:ea typeface="Calibri"/>
                      <a:cs typeface="Calibri"/>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1"/>
              <c:layout>
                <c:manualLayout>
                  <c:x val="-7.2712005338536787E-5"/>
                  <c:y val="-3.5692643825605573E-2"/>
                </c:manualLayout>
              </c:layout>
              <c:spPr>
                <a:noFill/>
                <a:ln w="25400">
                  <a:noFill/>
                </a:ln>
              </c:spPr>
              <c:txPr>
                <a:bodyPr/>
                <a:lstStyle/>
                <a:p>
                  <a:pPr>
                    <a:defRPr sz="800" b="0" i="0" u="none" strike="noStrike" baseline="0">
                      <a:solidFill>
                        <a:srgbClr val="333333"/>
                      </a:solidFill>
                      <a:latin typeface="Calibri"/>
                      <a:ea typeface="Calibri"/>
                      <a:cs typeface="Calibri"/>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2"/>
              <c:layout>
                <c:manualLayout>
                  <c:x val="1.8434449150315356E-2"/>
                  <c:y val="-3.1552570961375627E-2"/>
                </c:manualLayout>
              </c:layout>
              <c:spPr>
                <a:noFill/>
                <a:ln w="25400">
                  <a:noFill/>
                </a:ln>
              </c:spPr>
              <c:txPr>
                <a:bodyPr/>
                <a:lstStyle/>
                <a:p>
                  <a:pPr>
                    <a:defRPr sz="800" b="0" i="0" u="none" strike="noStrike" baseline="0">
                      <a:solidFill>
                        <a:srgbClr val="333333"/>
                      </a:solidFill>
                      <a:latin typeface="Calibri"/>
                      <a:ea typeface="Calibri"/>
                      <a:cs typeface="Calibri"/>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3"/>
              <c:layout>
                <c:manualLayout>
                  <c:x val="-2.8776948886978571E-3"/>
                  <c:y val="-2.2486064615565755E-2"/>
                </c:manualLayout>
              </c:layout>
              <c:spPr>
                <a:noFill/>
                <a:ln w="25400">
                  <a:noFill/>
                </a:ln>
              </c:spPr>
              <c:txPr>
                <a:bodyPr/>
                <a:lstStyle/>
                <a:p>
                  <a:pPr>
                    <a:defRPr sz="800" b="0" i="0" u="none" strike="noStrike" baseline="0">
                      <a:solidFill>
                        <a:srgbClr val="333333"/>
                      </a:solidFill>
                      <a:latin typeface="Calibri"/>
                      <a:ea typeface="Calibri"/>
                      <a:cs typeface="Calibri"/>
                    </a:defRPr>
                  </a:pPr>
                  <a:endParaRPr lang="es-CO"/>
                </a:p>
              </c:txPr>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wrap="square" lIns="38100" tIns="19050" rIns="38100" bIns="19050" anchor="ctr">
                <a:spAutoFit/>
              </a:bodyPr>
              <a:lstStyle/>
              <a:p>
                <a:pPr>
                  <a:defRPr sz="800" b="0" i="0" u="none" strike="noStrike" baseline="0">
                    <a:solidFill>
                      <a:srgbClr val="333333"/>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'Meta de Producto'!$B$22:$B$25</c:f>
              <c:numCache>
                <c:formatCode>General</c:formatCode>
                <c:ptCount val="4"/>
                <c:pt idx="0">
                  <c:v>2012</c:v>
                </c:pt>
                <c:pt idx="1">
                  <c:v>2013</c:v>
                </c:pt>
                <c:pt idx="2">
                  <c:v>2014</c:v>
                </c:pt>
                <c:pt idx="3" formatCode="@">
                  <c:v>2015</c:v>
                </c:pt>
              </c:numCache>
            </c:numRef>
          </c:cat>
          <c:val>
            <c:numRef>
              <c:f>'Meta de Producto'!$D$22:$D$25</c:f>
              <c:numCache>
                <c:formatCode>_ * #,##0_ ;_ * \-#,##0_ ;_ * "-"??_ ;_ @_ </c:formatCode>
                <c:ptCount val="4"/>
                <c:pt idx="0">
                  <c:v>5</c:v>
                </c:pt>
                <c:pt idx="1">
                  <c:v>35</c:v>
                </c:pt>
                <c:pt idx="2">
                  <c:v>65</c:v>
                </c:pt>
                <c:pt idx="3">
                  <c:v>100</c:v>
                </c:pt>
              </c:numCache>
            </c:numRef>
          </c:val>
          <c:shape val="cylinder"/>
        </c:ser>
        <c:dLbls>
          <c:showLegendKey val="0"/>
          <c:showVal val="0"/>
          <c:showCatName val="0"/>
          <c:showSerName val="0"/>
          <c:showPercent val="0"/>
          <c:showBubbleSize val="0"/>
        </c:dLbls>
        <c:gapWidth val="60"/>
        <c:gapDepth val="40"/>
        <c:shape val="box"/>
        <c:axId val="274695000"/>
        <c:axId val="274695392"/>
        <c:axId val="0"/>
      </c:bar3DChart>
      <c:catAx>
        <c:axId val="274695000"/>
        <c:scaling>
          <c:orientation val="minMax"/>
        </c:scaling>
        <c:delete val="0"/>
        <c:axPos val="b"/>
        <c:majorGridlines>
          <c:spPr>
            <a:ln w="3175">
              <a:solidFill>
                <a:schemeClr val="bg1">
                  <a:lumMod val="75000"/>
                </a:schemeClr>
              </a:solidFill>
            </a:ln>
          </c:spPr>
        </c:majorGridlines>
        <c:numFmt formatCode="General" sourceLinked="1"/>
        <c:majorTickMark val="none"/>
        <c:minorTickMark val="none"/>
        <c:tickLblPos val="nextTo"/>
        <c:spPr>
          <a:ln w="9525">
            <a:noFill/>
          </a:ln>
        </c:spPr>
        <c:txPr>
          <a:bodyPr rot="0" vert="horz"/>
          <a:lstStyle/>
          <a:p>
            <a:pPr>
              <a:defRPr sz="900" b="1" i="0" u="none" strike="noStrike" baseline="0">
                <a:solidFill>
                  <a:srgbClr val="333333"/>
                </a:solidFill>
                <a:latin typeface="Calibri"/>
                <a:ea typeface="Calibri"/>
                <a:cs typeface="Calibri"/>
              </a:defRPr>
            </a:pPr>
            <a:endParaRPr lang="es-CO"/>
          </a:p>
        </c:txPr>
        <c:crossAx val="274695392"/>
        <c:crosses val="autoZero"/>
        <c:auto val="1"/>
        <c:lblAlgn val="ctr"/>
        <c:lblOffset val="100"/>
        <c:noMultiLvlLbl val="0"/>
      </c:catAx>
      <c:valAx>
        <c:axId val="274695392"/>
        <c:scaling>
          <c:orientation val="minMax"/>
        </c:scaling>
        <c:delete val="1"/>
        <c:axPos val="l"/>
        <c:numFmt formatCode="_ * #,##0_ ;_ * \-#,##0_ ;_ * &quot;-&quot;??_ ;_ @_ " sourceLinked="1"/>
        <c:majorTickMark val="out"/>
        <c:minorTickMark val="none"/>
        <c:tickLblPos val="nextTo"/>
        <c:crossAx val="274695000"/>
        <c:crosses val="autoZero"/>
        <c:crossBetween val="between"/>
      </c:valAx>
      <c:spPr>
        <a:solidFill>
          <a:srgbClr val="EEECE1"/>
        </a:solidFill>
        <a:ln w="25400">
          <a:noFill/>
        </a:ln>
      </c:spPr>
    </c:plotArea>
    <c:legend>
      <c:legendPos val="r"/>
      <c:layout>
        <c:manualLayout>
          <c:xMode val="edge"/>
          <c:yMode val="edge"/>
          <c:x val="1.1742400914969427E-2"/>
          <c:y val="0.89938953751470718"/>
          <c:w val="0.85306856623156935"/>
          <c:h val="0.10061038353974593"/>
        </c:manualLayout>
      </c:layout>
      <c:overlay val="0"/>
      <c:spPr>
        <a:noFill/>
        <a:ln w="25400">
          <a:noFill/>
        </a:ln>
      </c:spPr>
      <c:txPr>
        <a:bodyPr/>
        <a:lstStyle/>
        <a:p>
          <a:pPr>
            <a:defRPr sz="10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11" l="0.70000000000000007" r="0.70000000000000007" t="0.75000000000000011" header="0.30000000000000004" footer="0.30000000000000004"/>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201936438297942"/>
          <c:y val="4.2553191489361701E-2"/>
          <c:w val="0.8753761974179497"/>
          <c:h val="0.83829787234042552"/>
        </c:manualLayout>
      </c:layout>
      <c:barChart>
        <c:barDir val="bar"/>
        <c:grouping val="clustered"/>
        <c:varyColors val="0"/>
        <c:ser>
          <c:idx val="0"/>
          <c:order val="0"/>
          <c:tx>
            <c:strRef>
              <c:f>'Meta de Producto'!$M$21</c:f>
              <c:strCache>
                <c:ptCount val="1"/>
                <c:pt idx="0">
                  <c:v>Inversión Programada P.I</c:v>
                </c:pt>
              </c:strCache>
            </c:strRef>
          </c:tx>
          <c:spPr>
            <a:solidFill>
              <a:srgbClr val="4F81BD"/>
            </a:solidFill>
            <a:ln w="25400">
              <a:noFill/>
            </a:ln>
            <a:scene3d>
              <a:camera prst="orthographicFront"/>
              <a:lightRig rig="threePt" dir="t">
                <a:rot lat="0" lon="0" rev="0"/>
              </a:lightRig>
            </a:scene3d>
            <a:sp3d prstMaterial="metal">
              <a:bevelT w="25400" h="25400"/>
            </a:sp3d>
          </c:spPr>
          <c:invertIfNegative val="0"/>
          <c:dLbls>
            <c:dLbl>
              <c:idx val="0"/>
              <c:layout>
                <c:manualLayout>
                  <c:x val="3.1914943079787365E-2"/>
                  <c:y val="1.7826586109725973E-2"/>
                </c:manualLayout>
              </c:layout>
              <c:spPr>
                <a:noFill/>
                <a:ln w="25400">
                  <a:noFill/>
                </a:ln>
              </c:spPr>
              <c:txPr>
                <a:bodyPr/>
                <a:lstStyle/>
                <a:p>
                  <a:pPr>
                    <a:defRPr sz="800" b="0" i="0" u="none" strike="noStrike" baseline="0">
                      <a:solidFill>
                        <a:srgbClr val="333333"/>
                      </a:solidFill>
                      <a:latin typeface="Calibri"/>
                      <a:ea typeface="Calibri"/>
                      <a:cs typeface="Calibri"/>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dLbl>
              <c:idx val="1"/>
              <c:layout>
                <c:manualLayout>
                  <c:x val="-4.7583114610674935E-3"/>
                  <c:y val="6.2871502764282128E-3"/>
                </c:manualLayout>
              </c:layout>
              <c:spPr>
                <a:noFill/>
                <a:ln w="25400">
                  <a:noFill/>
                </a:ln>
              </c:spPr>
              <c:txPr>
                <a:bodyPr/>
                <a:lstStyle/>
                <a:p>
                  <a:pPr>
                    <a:defRPr sz="800" b="0" i="0" u="none" strike="noStrike" baseline="0">
                      <a:solidFill>
                        <a:srgbClr val="333333"/>
                      </a:solidFill>
                      <a:latin typeface="Calibri"/>
                      <a:ea typeface="Calibri"/>
                      <a:cs typeface="Calibri"/>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dLbl>
              <c:idx val="2"/>
              <c:layout>
                <c:manualLayout>
                  <c:x val="-2.5680738464590441E-3"/>
                  <c:y val="7.2923358806953253E-3"/>
                </c:manualLayout>
              </c:layout>
              <c:spPr>
                <a:noFill/>
                <a:ln w="25400">
                  <a:noFill/>
                </a:ln>
              </c:spPr>
              <c:txPr>
                <a:bodyPr/>
                <a:lstStyle/>
                <a:p>
                  <a:pPr>
                    <a:defRPr sz="800" b="0" i="0" u="none" strike="noStrike" baseline="0">
                      <a:solidFill>
                        <a:srgbClr val="333333"/>
                      </a:solidFill>
                      <a:latin typeface="Calibri"/>
                      <a:ea typeface="Calibri"/>
                      <a:cs typeface="Calibri"/>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dLbl>
              <c:idx val="3"/>
              <c:layout>
                <c:manualLayout>
                  <c:x val="-5.0757041926091553E-4"/>
                  <c:y val="3.1036842044229007E-3"/>
                </c:manualLayout>
              </c:layout>
              <c:spPr>
                <a:noFill/>
                <a:ln w="25400">
                  <a:noFill/>
                </a:ln>
              </c:spPr>
              <c:txPr>
                <a:bodyPr/>
                <a:lstStyle/>
                <a:p>
                  <a:pPr>
                    <a:defRPr sz="800" b="0" i="0" u="none" strike="noStrike" baseline="0">
                      <a:solidFill>
                        <a:srgbClr val="333333"/>
                      </a:solidFill>
                      <a:latin typeface="Calibri"/>
                      <a:ea typeface="Calibri"/>
                      <a:cs typeface="Calibri"/>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wrap="square" lIns="38100" tIns="19050" rIns="38100" bIns="19050" anchor="ctr">
                <a:spAutoFit/>
              </a:bodyPr>
              <a:lstStyle/>
              <a:p>
                <a:pPr>
                  <a:defRPr sz="800" b="0" i="0" u="none" strike="noStrike" baseline="0">
                    <a:solidFill>
                      <a:srgbClr val="333333"/>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'Meta de Producto'!$B$22:$B$25</c:f>
              <c:numCache>
                <c:formatCode>General</c:formatCode>
                <c:ptCount val="4"/>
                <c:pt idx="0">
                  <c:v>2012</c:v>
                </c:pt>
                <c:pt idx="1">
                  <c:v>2013</c:v>
                </c:pt>
                <c:pt idx="2">
                  <c:v>2014</c:v>
                </c:pt>
                <c:pt idx="3" formatCode="@">
                  <c:v>2015</c:v>
                </c:pt>
              </c:numCache>
            </c:numRef>
          </c:cat>
          <c:val>
            <c:numRef>
              <c:f>'Meta de Producto'!$M$22:$M$25</c:f>
              <c:numCache>
                <c:formatCode>_ * #,##0_ ;_ * \-#,##0_ ;_ * "-"??_ ;_ @_ </c:formatCode>
                <c:ptCount val="4"/>
                <c:pt idx="0">
                  <c:v>11</c:v>
                </c:pt>
                <c:pt idx="1">
                  <c:v>0</c:v>
                </c:pt>
                <c:pt idx="2">
                  <c:v>137</c:v>
                </c:pt>
                <c:pt idx="3">
                  <c:v>0</c:v>
                </c:pt>
              </c:numCache>
            </c:numRef>
          </c:val>
        </c:ser>
        <c:ser>
          <c:idx val="1"/>
          <c:order val="1"/>
          <c:tx>
            <c:strRef>
              <c:f>'Meta de Producto'!$N$21</c:f>
              <c:strCache>
                <c:ptCount val="1"/>
                <c:pt idx="0">
                  <c:v>Inversión Ejecutada</c:v>
                </c:pt>
              </c:strCache>
            </c:strRef>
          </c:tx>
          <c:spPr>
            <a:solidFill>
              <a:srgbClr val="F68222"/>
            </a:solidFill>
            <a:ln w="25400">
              <a:noFill/>
            </a:ln>
            <a:scene3d>
              <a:camera prst="orthographicFront"/>
              <a:lightRig rig="threePt" dir="t"/>
            </a:scene3d>
            <a:sp3d>
              <a:bevelT w="25400" h="25400"/>
            </a:sp3d>
          </c:spPr>
          <c:invertIfNegative val="0"/>
          <c:dLbls>
            <c:dLbl>
              <c:idx val="0"/>
              <c:layout>
                <c:manualLayout>
                  <c:x val="0.18370691205005754"/>
                  <c:y val="-1.626013243189962E-2"/>
                </c:manualLayout>
              </c:layout>
              <c:spPr>
                <a:noFill/>
                <a:ln w="25400">
                  <a:noFill/>
                </a:ln>
              </c:spPr>
              <c:txPr>
                <a:bodyPr/>
                <a:lstStyle/>
                <a:p>
                  <a:pPr>
                    <a:defRPr sz="800" b="0" i="0" u="none" strike="noStrike" baseline="0">
                      <a:solidFill>
                        <a:srgbClr val="333333"/>
                      </a:solidFill>
                      <a:latin typeface="Calibri"/>
                      <a:ea typeface="Calibri"/>
                      <a:cs typeface="Calibri"/>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dLbl>
              <c:idx val="1"/>
              <c:layout>
                <c:manualLayout>
                  <c:x val="9.2400863892413594E-3"/>
                  <c:y val="-1.4839901720073558E-3"/>
                </c:manualLayout>
              </c:layout>
              <c:spPr>
                <a:noFill/>
                <a:ln w="25400">
                  <a:noFill/>
                </a:ln>
              </c:spPr>
              <c:txPr>
                <a:bodyPr/>
                <a:lstStyle/>
                <a:p>
                  <a:pPr>
                    <a:defRPr sz="800" b="0" i="0" u="none" strike="noStrike" baseline="0">
                      <a:solidFill>
                        <a:srgbClr val="333333"/>
                      </a:solidFill>
                      <a:latin typeface="Calibri"/>
                      <a:ea typeface="Calibri"/>
                      <a:cs typeface="Calibri"/>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wrap="square" lIns="38100" tIns="19050" rIns="38100" bIns="19050" anchor="ctr">
                <a:spAutoFit/>
              </a:bodyPr>
              <a:lstStyle/>
              <a:p>
                <a:pPr>
                  <a:defRPr sz="800" b="0" i="0" u="none" strike="noStrike" baseline="0">
                    <a:solidFill>
                      <a:srgbClr val="333333"/>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'Meta de Producto'!$B$22:$B$25</c:f>
              <c:numCache>
                <c:formatCode>General</c:formatCode>
                <c:ptCount val="4"/>
                <c:pt idx="0">
                  <c:v>2012</c:v>
                </c:pt>
                <c:pt idx="1">
                  <c:v>2013</c:v>
                </c:pt>
                <c:pt idx="2">
                  <c:v>2014</c:v>
                </c:pt>
                <c:pt idx="3" formatCode="@">
                  <c:v>2015</c:v>
                </c:pt>
              </c:numCache>
            </c:numRef>
          </c:cat>
          <c:val>
            <c:numRef>
              <c:f>'Meta de Producto'!$N$22:$N$25</c:f>
              <c:numCache>
                <c:formatCode>_ * #,##0_ ;_ * \-#,##0_ ;_ * "-"??_ ;_ @_ </c:formatCode>
                <c:ptCount val="4"/>
                <c:pt idx="0">
                  <c:v>0</c:v>
                </c:pt>
                <c:pt idx="1">
                  <c:v>94.4</c:v>
                </c:pt>
                <c:pt idx="2">
                  <c:v>0</c:v>
                </c:pt>
                <c:pt idx="3">
                  <c:v>0</c:v>
                </c:pt>
              </c:numCache>
            </c:numRef>
          </c:val>
        </c:ser>
        <c:dLbls>
          <c:showLegendKey val="0"/>
          <c:showVal val="0"/>
          <c:showCatName val="0"/>
          <c:showSerName val="0"/>
          <c:showPercent val="0"/>
          <c:showBubbleSize val="0"/>
        </c:dLbls>
        <c:gapWidth val="17"/>
        <c:axId val="274696176"/>
        <c:axId val="274696568"/>
      </c:barChart>
      <c:catAx>
        <c:axId val="274696176"/>
        <c:scaling>
          <c:orientation val="minMax"/>
        </c:scaling>
        <c:delete val="0"/>
        <c:axPos val="l"/>
        <c:minorGridlines>
          <c:spPr>
            <a:ln w="9525" cap="flat" cmpd="sng" algn="ctr">
              <a:solidFill>
                <a:schemeClr val="tx2">
                  <a:lumMod val="40000"/>
                  <a:lumOff val="60000"/>
                </a:schemeClr>
              </a:solidFill>
              <a:round/>
            </a:ln>
            <a:effectLst/>
          </c:spPr>
        </c:minorGridlines>
        <c:numFmt formatCode="General" sourceLinked="1"/>
        <c:majorTickMark val="none"/>
        <c:minorTickMark val="none"/>
        <c:tickLblPos val="nextTo"/>
        <c:spPr>
          <a:noFill/>
          <a:ln>
            <a:solidFill>
              <a:schemeClr val="bg1">
                <a:lumMod val="85000"/>
              </a:schemeClr>
            </a:solidFill>
          </a:ln>
          <a:effectLst/>
        </c:spPr>
        <c:txPr>
          <a:bodyPr rot="0" vert="horz"/>
          <a:lstStyle/>
          <a:p>
            <a:pPr>
              <a:defRPr sz="700" b="1" i="0" u="none" strike="noStrike" baseline="0">
                <a:solidFill>
                  <a:srgbClr val="333333"/>
                </a:solidFill>
                <a:latin typeface="Calibri"/>
                <a:ea typeface="Calibri"/>
                <a:cs typeface="Calibri"/>
              </a:defRPr>
            </a:pPr>
            <a:endParaRPr lang="es-CO"/>
          </a:p>
        </c:txPr>
        <c:crossAx val="274696568"/>
        <c:crosses val="autoZero"/>
        <c:auto val="1"/>
        <c:lblAlgn val="ctr"/>
        <c:lblOffset val="100"/>
        <c:noMultiLvlLbl val="0"/>
      </c:catAx>
      <c:valAx>
        <c:axId val="274696568"/>
        <c:scaling>
          <c:orientation val="minMax"/>
        </c:scaling>
        <c:delete val="1"/>
        <c:axPos val="b"/>
        <c:numFmt formatCode="_ * #,##0_ ;_ * \-#,##0_ ;_ * &quot;-&quot;??_ ;_ @_ " sourceLinked="1"/>
        <c:majorTickMark val="out"/>
        <c:minorTickMark val="none"/>
        <c:tickLblPos val="nextTo"/>
        <c:crossAx val="274696176"/>
        <c:crosses val="autoZero"/>
        <c:crossBetween val="between"/>
      </c:valAx>
      <c:spPr>
        <a:solidFill>
          <a:schemeClr val="bg2"/>
        </a:solidFill>
        <a:ln>
          <a:solidFill>
            <a:schemeClr val="bg1">
              <a:lumMod val="85000"/>
            </a:schemeClr>
          </a:solidFill>
        </a:ln>
        <a:effectLst/>
      </c:spPr>
    </c:plotArea>
    <c:legend>
      <c:legendPos val="r"/>
      <c:layout>
        <c:manualLayout>
          <c:xMode val="edge"/>
          <c:yMode val="edge"/>
          <c:x val="1.5018225023662322E-2"/>
          <c:y val="0.8921034232423074"/>
          <c:w val="0.92388773653932632"/>
          <c:h val="0.10061048751884738"/>
        </c:manualLayout>
      </c:layout>
      <c:overlay val="0"/>
      <c:spPr>
        <a:noFill/>
        <a:ln w="25400">
          <a:noFill/>
        </a:ln>
      </c:spPr>
      <c:txPr>
        <a:bodyPr/>
        <a:lstStyle/>
        <a:p>
          <a:pPr>
            <a:defRPr sz="10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2"/>
    </a:solidFill>
    <a:ln w="9525" cap="rnd"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11" l="0.70000000000000007" r="0.70000000000000007" t="0.75000000000000011" header="0.30000000000000004" footer="0.30000000000000004"/>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267477203647418"/>
          <c:y val="6.1111111111111109E-2"/>
          <c:w val="0.67477203647416417"/>
          <c:h val="0.8833333333333333"/>
        </c:manualLayout>
      </c:layout>
      <c:barChart>
        <c:barDir val="bar"/>
        <c:grouping val="clustered"/>
        <c:varyColors val="0"/>
        <c:ser>
          <c:idx val="2"/>
          <c:order val="0"/>
          <c:tx>
            <c:strRef>
              <c:f>'Metas de Resultado'!$H$24</c:f>
              <c:strCache>
                <c:ptCount val="1"/>
                <c:pt idx="0">
                  <c:v>2015</c:v>
                </c:pt>
              </c:strCache>
            </c:strRef>
          </c:tx>
          <c:spPr>
            <a:solidFill>
              <a:schemeClr val="accent6">
                <a:lumMod val="60000"/>
                <a:lumOff val="40000"/>
              </a:schemeClr>
            </a:solidFill>
            <a:scene3d>
              <a:camera prst="orthographicFront"/>
              <a:lightRig rig="threePt" dir="t"/>
            </a:scene3d>
            <a:sp3d>
              <a:bevelB/>
            </a:sp3d>
          </c:spPr>
          <c:invertIfNegative val="0"/>
          <c:dPt>
            <c:idx val="1"/>
            <c:invertIfNegative val="0"/>
            <c:bubble3D val="0"/>
            <c:spPr>
              <a:solidFill>
                <a:schemeClr val="accent5">
                  <a:lumMod val="75000"/>
                </a:schemeClr>
              </a:solidFill>
              <a:scene3d>
                <a:camera prst="orthographicFront"/>
                <a:lightRig rig="threePt" dir="t"/>
              </a:scene3d>
              <a:sp3d>
                <a:bevelB/>
              </a:sp3d>
            </c:spPr>
          </c:dPt>
          <c:dPt>
            <c:idx val="2"/>
            <c:invertIfNegative val="0"/>
            <c:bubble3D val="0"/>
            <c:spPr>
              <a:solidFill>
                <a:schemeClr val="accent5">
                  <a:lumMod val="75000"/>
                </a:schemeClr>
              </a:solidFill>
              <a:scene3d>
                <a:camera prst="orthographicFront"/>
                <a:lightRig rig="threePt" dir="t"/>
              </a:scene3d>
              <a:sp3d>
                <a:bevelB/>
              </a:sp3d>
            </c:spPr>
          </c:dPt>
          <c:dPt>
            <c:idx val="3"/>
            <c:invertIfNegative val="0"/>
            <c:bubble3D val="0"/>
            <c:spPr>
              <a:solidFill>
                <a:schemeClr val="accent5">
                  <a:lumMod val="75000"/>
                </a:schemeClr>
              </a:solidFill>
              <a:scene3d>
                <a:camera prst="orthographicFront"/>
                <a:lightRig rig="threePt" dir="t"/>
              </a:scene3d>
              <a:sp3d>
                <a:bevelB/>
              </a:sp3d>
            </c:spPr>
          </c:dPt>
          <c:dPt>
            <c:idx val="4"/>
            <c:invertIfNegative val="0"/>
            <c:bubble3D val="0"/>
            <c:spPr>
              <a:solidFill>
                <a:schemeClr val="accent5">
                  <a:lumMod val="75000"/>
                </a:schemeClr>
              </a:solidFill>
              <a:scene3d>
                <a:camera prst="orthographicFront"/>
                <a:lightRig rig="threePt" dir="t"/>
              </a:scene3d>
              <a:sp3d>
                <a:bevelB/>
              </a:sp3d>
            </c:spPr>
          </c:dPt>
          <c:dPt>
            <c:idx val="5"/>
            <c:invertIfNegative val="0"/>
            <c:bubble3D val="0"/>
            <c:spPr>
              <a:solidFill>
                <a:schemeClr val="accent5">
                  <a:lumMod val="75000"/>
                </a:schemeClr>
              </a:solidFill>
              <a:scene3d>
                <a:camera prst="orthographicFront"/>
                <a:lightRig rig="threePt" dir="t"/>
              </a:scene3d>
              <a:sp3d>
                <a:bevelB/>
              </a:sp3d>
            </c:spPr>
          </c:dPt>
          <c:dPt>
            <c:idx val="6"/>
            <c:invertIfNegative val="0"/>
            <c:bubble3D val="0"/>
            <c:spPr>
              <a:solidFill>
                <a:schemeClr val="accent5">
                  <a:lumMod val="75000"/>
                </a:schemeClr>
              </a:solidFill>
              <a:scene3d>
                <a:camera prst="orthographicFront"/>
                <a:lightRig rig="threePt" dir="t"/>
              </a:scene3d>
              <a:sp3d>
                <a:bevelB/>
              </a:sp3d>
            </c:spPr>
          </c:dPt>
          <c:dPt>
            <c:idx val="7"/>
            <c:invertIfNegative val="0"/>
            <c:bubble3D val="0"/>
            <c:spPr>
              <a:solidFill>
                <a:schemeClr val="accent5">
                  <a:lumMod val="75000"/>
                </a:schemeClr>
              </a:solidFill>
              <a:scene3d>
                <a:camera prst="orthographicFront"/>
                <a:lightRig rig="threePt" dir="t"/>
              </a:scene3d>
              <a:sp3d>
                <a:bevelB/>
              </a:sp3d>
            </c:spPr>
          </c:dPt>
          <c:dLbls>
            <c:dLbl>
              <c:idx val="0"/>
              <c:spPr>
                <a:noFill/>
                <a:ln w="25400">
                  <a:noFill/>
                </a:ln>
              </c:spPr>
              <c:txPr>
                <a:bodyPr/>
                <a:lstStyle/>
                <a:p>
                  <a:pPr>
                    <a:defRPr sz="800" b="0" i="0" u="none" strike="noStrike" baseline="0">
                      <a:solidFill>
                        <a:srgbClr val="000000"/>
                      </a:solidFill>
                      <a:latin typeface="Arial Narrow"/>
                      <a:ea typeface="Arial Narrow"/>
                      <a:cs typeface="Arial Narrow"/>
                    </a:defRPr>
                  </a:pPr>
                  <a:endParaRPr lang="es-CO"/>
                </a:p>
              </c:txPr>
              <c:dLblPos val="inEnd"/>
              <c:showLegendKey val="0"/>
              <c:showVal val="1"/>
              <c:showCatName val="0"/>
              <c:showSerName val="0"/>
              <c:showPercent val="0"/>
              <c:showBubbleSize val="0"/>
            </c:dLbl>
            <c:spPr>
              <a:noFill/>
              <a:ln w="25400">
                <a:noFill/>
              </a:ln>
            </c:spPr>
            <c:txPr>
              <a:bodyPr wrap="square" lIns="38100" tIns="19050" rIns="38100" bIns="19050" anchor="ctr">
                <a:spAutoFit/>
              </a:bodyPr>
              <a:lstStyle/>
              <a:p>
                <a:pPr>
                  <a:defRPr sz="800" b="0" i="0" u="none" strike="noStrike" baseline="0">
                    <a:solidFill>
                      <a:srgbClr val="000000"/>
                    </a:solidFill>
                    <a:latin typeface="Arial Narrow"/>
                    <a:ea typeface="Arial Narrow"/>
                    <a:cs typeface="Arial Narrow"/>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'Metas de Resultado'!$B$27:$C$34</c:f>
              <c:strCache>
                <c:ptCount val="8"/>
                <c:pt idx="0">
                  <c:v>CUNDINAMARCA</c:v>
                </c:pt>
                <c:pt idx="1">
                  <c:v>NACIÓN</c:v>
                </c:pt>
                <c:pt idx="2">
                  <c:v>ANTIOQUIA</c:v>
                </c:pt>
                <c:pt idx="3">
                  <c:v>ATLÁNTICO</c:v>
                </c:pt>
                <c:pt idx="4">
                  <c:v>BOGOTÁ D.C.</c:v>
                </c:pt>
                <c:pt idx="5">
                  <c:v>BOYACÁ</c:v>
                </c:pt>
                <c:pt idx="6">
                  <c:v>SANTANDER</c:v>
                </c:pt>
                <c:pt idx="7">
                  <c:v>VALLE</c:v>
                </c:pt>
              </c:strCache>
            </c:strRef>
          </c:cat>
          <c:val>
            <c:numRef>
              <c:f>'Metas de Resultado'!$H$27:$H$34</c:f>
              <c:numCache>
                <c:formatCode>_ * #,##0_ ;_ * \-#,##0_ ;_ * "-"??_ ;_ @_ </c:formatCode>
                <c:ptCount val="8"/>
                <c:pt idx="0" formatCode="#,##0">
                  <c:v>228</c:v>
                </c:pt>
                <c:pt idx="1">
                  <c:v>0</c:v>
                </c:pt>
                <c:pt idx="2">
                  <c:v>0</c:v>
                </c:pt>
                <c:pt idx="3">
                  <c:v>0</c:v>
                </c:pt>
                <c:pt idx="4">
                  <c:v>0</c:v>
                </c:pt>
                <c:pt idx="5">
                  <c:v>0</c:v>
                </c:pt>
                <c:pt idx="6">
                  <c:v>0</c:v>
                </c:pt>
                <c:pt idx="7">
                  <c:v>0</c:v>
                </c:pt>
              </c:numCache>
            </c:numRef>
          </c:val>
        </c:ser>
        <c:dLbls>
          <c:showLegendKey val="0"/>
          <c:showVal val="0"/>
          <c:showCatName val="0"/>
          <c:showSerName val="0"/>
          <c:showPercent val="0"/>
          <c:showBubbleSize val="0"/>
        </c:dLbls>
        <c:gapWidth val="30"/>
        <c:axId val="275214888"/>
        <c:axId val="275215280"/>
      </c:barChart>
      <c:catAx>
        <c:axId val="275214888"/>
        <c:scaling>
          <c:orientation val="minMax"/>
        </c:scaling>
        <c:delete val="0"/>
        <c:axPos val="l"/>
        <c:majorGridlines>
          <c:spPr>
            <a:ln>
              <a:solidFill>
                <a:srgbClr val="DDE7F3"/>
              </a:solidFill>
            </a:ln>
          </c:spPr>
        </c:majorGridlines>
        <c:numFmt formatCode="General" sourceLinked="1"/>
        <c:majorTickMark val="none"/>
        <c:minorTickMark val="none"/>
        <c:tickLblPos val="nextTo"/>
        <c:spPr>
          <a:ln w="9525">
            <a:noFill/>
          </a:ln>
        </c:spPr>
        <c:txPr>
          <a:bodyPr rot="0" vert="horz"/>
          <a:lstStyle/>
          <a:p>
            <a:pPr>
              <a:defRPr sz="750" b="1" i="0" u="none" strike="noStrike" baseline="0">
                <a:solidFill>
                  <a:srgbClr val="333333"/>
                </a:solidFill>
                <a:latin typeface="Calibri"/>
                <a:ea typeface="Calibri"/>
                <a:cs typeface="Calibri"/>
              </a:defRPr>
            </a:pPr>
            <a:endParaRPr lang="es-CO"/>
          </a:p>
        </c:txPr>
        <c:crossAx val="275215280"/>
        <c:crosses val="autoZero"/>
        <c:auto val="1"/>
        <c:lblAlgn val="ctr"/>
        <c:lblOffset val="100"/>
        <c:noMultiLvlLbl val="0"/>
      </c:catAx>
      <c:valAx>
        <c:axId val="275215280"/>
        <c:scaling>
          <c:orientation val="minMax"/>
        </c:scaling>
        <c:delete val="1"/>
        <c:axPos val="b"/>
        <c:numFmt formatCode="#,##0" sourceLinked="1"/>
        <c:majorTickMark val="out"/>
        <c:minorTickMark val="none"/>
        <c:tickLblPos val="nextTo"/>
        <c:crossAx val="275214888"/>
        <c:crosses val="autoZero"/>
        <c:crossBetween val="between"/>
      </c:valAx>
      <c:spPr>
        <a:solidFill>
          <a:schemeClr val="accent3">
            <a:lumMod val="20000"/>
            <a:lumOff val="80000"/>
          </a:schemeClr>
        </a:solidFill>
        <a:ln w="12700">
          <a:solidFill>
            <a:schemeClr val="bg1">
              <a:lumMod val="95000"/>
            </a:schemeClr>
          </a:solidFill>
        </a:ln>
      </c:spPr>
    </c:plotArea>
    <c:plotVisOnly val="1"/>
    <c:dispBlanksAs val="gap"/>
    <c:showDLblsOverMax val="0"/>
  </c:chart>
  <c:spPr>
    <a:solidFill>
      <a:srgbClr val="FAFBF7"/>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33" l="0.70000000000000029" r="0.70000000000000029" t="0.75000000000000033" header="0.30000000000000016" footer="0.30000000000000016"/>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708729553459757E-2"/>
          <c:y val="5.3571358211483976E-2"/>
          <c:w val="0.89482679864451364"/>
          <c:h val="0.63218075478667723"/>
        </c:manualLayout>
      </c:layout>
      <c:lineChart>
        <c:grouping val="standard"/>
        <c:varyColors val="0"/>
        <c:ser>
          <c:idx val="0"/>
          <c:order val="0"/>
          <c:tx>
            <c:strRef>
              <c:f>'Metas de Resultado'!$B$23:$G$23</c:f>
              <c:strCache>
                <c:ptCount val="6"/>
                <c:pt idx="0">
                  <c:v>AVANCE DEL INDICADOR</c:v>
                </c:pt>
              </c:strCache>
            </c:strRef>
          </c:tx>
          <c:spPr>
            <a:ln w="19050" cap="rnd">
              <a:solidFill>
                <a:schemeClr val="accent1"/>
              </a:solidFill>
              <a:round/>
            </a:ln>
            <a:effectLst/>
          </c:spPr>
          <c:marker>
            <c:symbol val="none"/>
          </c:marker>
          <c:dPt>
            <c:idx val="2"/>
            <c:marker>
              <c:symbol val="none"/>
            </c:marker>
            <c:bubble3D val="0"/>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accent1"/>
                    </a:solidFill>
                    <a:latin typeface="+mn-lt"/>
                    <a:ea typeface="+mn-ea"/>
                    <a:cs typeface="+mn-cs"/>
                  </a:defRPr>
                </a:pPr>
                <a:endParaRPr lang="es-C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'Metas de Resultado'!$E$24:$H$24</c:f>
              <c:numCache>
                <c:formatCode>General</c:formatCode>
                <c:ptCount val="4"/>
                <c:pt idx="0">
                  <c:v>2012</c:v>
                </c:pt>
                <c:pt idx="1">
                  <c:v>2013</c:v>
                </c:pt>
                <c:pt idx="2">
                  <c:v>2014</c:v>
                </c:pt>
                <c:pt idx="3">
                  <c:v>2015</c:v>
                </c:pt>
              </c:numCache>
            </c:numRef>
          </c:cat>
          <c:val>
            <c:numRef>
              <c:f>'Metas de Resultado'!$E$27:$H$27</c:f>
              <c:numCache>
                <c:formatCode>#,##0</c:formatCode>
                <c:ptCount val="4"/>
                <c:pt idx="0">
                  <c:v>1745</c:v>
                </c:pt>
                <c:pt idx="1">
                  <c:v>1689</c:v>
                </c:pt>
                <c:pt idx="2">
                  <c:v>1442</c:v>
                </c:pt>
                <c:pt idx="3">
                  <c:v>228</c:v>
                </c:pt>
              </c:numCache>
            </c:numRef>
          </c:val>
          <c:smooth val="0"/>
        </c:ser>
        <c:dLbls>
          <c:dLblPos val="ctr"/>
          <c:showLegendKey val="0"/>
          <c:showVal val="1"/>
          <c:showCatName val="0"/>
          <c:showSerName val="0"/>
          <c:showPercent val="0"/>
          <c:showBubbleSize val="0"/>
        </c:dLbls>
        <c:marker val="1"/>
        <c:smooth val="0"/>
        <c:axId val="275216064"/>
        <c:axId val="275216456"/>
      </c:lineChart>
      <c:lineChart>
        <c:grouping val="standard"/>
        <c:varyColors val="0"/>
        <c:ser>
          <c:idx val="1"/>
          <c:order val="1"/>
          <c:tx>
            <c:strRef>
              <c:f>'Metas de Resultado'!$B$26:$C$26</c:f>
              <c:strCache>
                <c:ptCount val="2"/>
                <c:pt idx="0">
                  <c:v>PROG _ ACUMULADO</c:v>
                </c:pt>
              </c:strCache>
            </c:strRef>
          </c:tx>
          <c:spPr>
            <a:ln w="19050"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0000"/>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'Metas de Resultado'!$E$24:$H$24</c:f>
              <c:numCache>
                <c:formatCode>General</c:formatCode>
                <c:ptCount val="4"/>
                <c:pt idx="0">
                  <c:v>2012</c:v>
                </c:pt>
                <c:pt idx="1">
                  <c:v>2013</c:v>
                </c:pt>
                <c:pt idx="2">
                  <c:v>2014</c:v>
                </c:pt>
                <c:pt idx="3">
                  <c:v>2015</c:v>
                </c:pt>
              </c:numCache>
            </c:numRef>
          </c:cat>
          <c:val>
            <c:numRef>
              <c:f>'Metas de Resultado'!$E$26:$H$26</c:f>
              <c:numCache>
                <c:formatCode>#,##0</c:formatCode>
                <c:ptCount val="4"/>
                <c:pt idx="0">
                  <c:v>1838</c:v>
                </c:pt>
                <c:pt idx="1">
                  <c:v>1863</c:v>
                </c:pt>
                <c:pt idx="2">
                  <c:v>1863</c:v>
                </c:pt>
                <c:pt idx="3">
                  <c:v>2225</c:v>
                </c:pt>
              </c:numCache>
            </c:numRef>
          </c:val>
          <c:smooth val="0"/>
        </c:ser>
        <c:dLbls>
          <c:showLegendKey val="0"/>
          <c:showVal val="0"/>
          <c:showCatName val="0"/>
          <c:showSerName val="0"/>
          <c:showPercent val="0"/>
          <c:showBubbleSize val="0"/>
        </c:dLbls>
        <c:marker val="1"/>
        <c:smooth val="0"/>
        <c:axId val="275217240"/>
        <c:axId val="275216848"/>
      </c:lineChart>
      <c:catAx>
        <c:axId val="27521606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75216456"/>
        <c:crosses val="autoZero"/>
        <c:auto val="1"/>
        <c:lblAlgn val="ctr"/>
        <c:lblOffset val="100"/>
        <c:noMultiLvlLbl val="0"/>
      </c:catAx>
      <c:valAx>
        <c:axId val="275216456"/>
        <c:scaling>
          <c:orientation val="minMax"/>
          <c:min val="0"/>
        </c:scaling>
        <c:delete val="1"/>
        <c:axPos val="l"/>
        <c:numFmt formatCode="#,##0" sourceLinked="1"/>
        <c:majorTickMark val="out"/>
        <c:minorTickMark val="none"/>
        <c:tickLblPos val="nextTo"/>
        <c:crossAx val="275216064"/>
        <c:crosses val="autoZero"/>
        <c:crossBetween val="between"/>
      </c:valAx>
      <c:valAx>
        <c:axId val="27521684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75217240"/>
        <c:crosses val="max"/>
        <c:crossBetween val="between"/>
      </c:valAx>
      <c:catAx>
        <c:axId val="275217240"/>
        <c:scaling>
          <c:orientation val="minMax"/>
        </c:scaling>
        <c:delete val="1"/>
        <c:axPos val="b"/>
        <c:numFmt formatCode="General" sourceLinked="1"/>
        <c:majorTickMark val="out"/>
        <c:minorTickMark val="none"/>
        <c:tickLblPos val="nextTo"/>
        <c:crossAx val="27521684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000000000000033" l="0.70000000000000029" r="0.70000000000000029" t="0.75000000000000033" header="0.30000000000000016" footer="0.30000000000000016"/>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ES"/>
              <a:t>CONFORMACIÓN DEL PLAN</a:t>
            </a:r>
          </a:p>
        </c:rich>
      </c:tx>
      <c:layout/>
      <c:overlay val="0"/>
      <c:spPr>
        <a:noFill/>
        <a:ln w="25400">
          <a:noFill/>
        </a:ln>
      </c:spPr>
    </c:title>
    <c:autoTitleDeleted val="0"/>
    <c:view3D>
      <c:rotX val="40"/>
      <c:rotY val="180"/>
      <c:rAngAx val="0"/>
      <c:perspective val="0"/>
    </c:view3D>
    <c:floor>
      <c:thickness val="0"/>
    </c:floor>
    <c:sideWall>
      <c:thickness val="0"/>
    </c:sideWall>
    <c:backWall>
      <c:thickness val="0"/>
    </c:backWall>
    <c:plotArea>
      <c:layout>
        <c:manualLayout>
          <c:layoutTarget val="inner"/>
          <c:xMode val="edge"/>
          <c:yMode val="edge"/>
          <c:x val="0.34001357738025745"/>
          <c:y val="0.17201825262038323"/>
          <c:w val="0.6599864226197425"/>
          <c:h val="0.66650575540802492"/>
        </c:manualLayout>
      </c:layout>
      <c:pie3DChart>
        <c:varyColors val="1"/>
        <c:ser>
          <c:idx val="0"/>
          <c:order val="0"/>
          <c:explosion val="3"/>
          <c:dPt>
            <c:idx val="0"/>
            <c:bubble3D val="0"/>
            <c:explosion val="5"/>
            <c:spPr>
              <a:solidFill>
                <a:schemeClr val="accent6">
                  <a:lumMod val="75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explosion val="5"/>
            <c:spPr>
              <a:solidFill>
                <a:srgbClr val="00B05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spPr>
              <a:solidFill>
                <a:schemeClr val="accent4">
                  <a:lumMod val="60000"/>
                  <a:lumOff val="4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explosion val="4"/>
            <c:spPr>
              <a:solidFill>
                <a:schemeClr val="tx2">
                  <a:lumMod val="60000"/>
                  <a:lumOff val="4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0.15472892774283287"/>
                  <c:y val="-0.13720173259617949"/>
                </c:manualLayout>
              </c:layout>
              <c:dLblPos val="bestFit"/>
              <c:showLegendKey val="0"/>
              <c:showVal val="0"/>
              <c:showCatName val="0"/>
              <c:showSerName val="0"/>
              <c:showPercent val="1"/>
              <c:showBubbleSize val="0"/>
              <c:extLst>
                <c:ext xmlns:c15="http://schemas.microsoft.com/office/drawing/2012/chart" uri="{CE6537A1-D6FC-4f65-9D91-7224C49458BB}">
                  <c15:layout/>
                </c:ext>
              </c:extLst>
            </c:dLbl>
            <c:dLbl>
              <c:idx val="1"/>
              <c:layout>
                <c:manualLayout>
                  <c:x val="-6.053234641607913E-2"/>
                  <c:y val="0.11203858187856705"/>
                </c:manualLayout>
              </c:layout>
              <c:dLblPos val="bestFit"/>
              <c:showLegendKey val="0"/>
              <c:showVal val="0"/>
              <c:showCatName val="0"/>
              <c:showSerName val="0"/>
              <c:showPercent val="1"/>
              <c:showBubbleSize val="0"/>
              <c:extLst>
                <c:ext xmlns:c15="http://schemas.microsoft.com/office/drawing/2012/chart" uri="{CE6537A1-D6FC-4f65-9D91-7224C49458BB}">
                  <c15:layout/>
                </c:ext>
              </c:extLst>
            </c:dLbl>
            <c:dLbl>
              <c:idx val="2"/>
              <c:layout>
                <c:manualLayout>
                  <c:x val="-0.10822705188930697"/>
                  <c:y val="1.0524930260143967E-2"/>
                </c:manualLayout>
              </c:layout>
              <c:dLblPos val="bestFit"/>
              <c:showLegendKey val="0"/>
              <c:showVal val="0"/>
              <c:showCatName val="0"/>
              <c:showSerName val="0"/>
              <c:showPercent val="1"/>
              <c:showBubbleSize val="0"/>
              <c:extLst>
                <c:ext xmlns:c15="http://schemas.microsoft.com/office/drawing/2012/chart" uri="{CE6537A1-D6FC-4f65-9D91-7224C49458BB}">
                  <c15:layout/>
                </c:ext>
              </c:extLst>
            </c:dLbl>
            <c:dLbl>
              <c:idx val="3"/>
              <c:layout>
                <c:manualLayout>
                  <c:x val="-6.9632495164410155E-2"/>
                  <c:y val="-0.20398001959493101"/>
                </c:manualLayout>
              </c:layout>
              <c:dLblPos val="bestFit"/>
              <c:showLegendKey val="0"/>
              <c:showVal val="0"/>
              <c:showCatName val="0"/>
              <c:showSerName val="0"/>
              <c:showPercent val="1"/>
              <c:showBubbleSize val="0"/>
              <c:extLst>
                <c:ext xmlns:c15="http://schemas.microsoft.com/office/drawing/2012/chart" uri="{CE6537A1-D6FC-4f65-9D91-7224C49458BB}">
                  <c15:layout/>
                </c:ext>
              </c:extLst>
            </c:dLbl>
            <c:numFmt formatCode="0.0%" sourceLinked="0"/>
            <c:spPr>
              <a:noFill/>
              <a:ln w="25400">
                <a:noFill/>
              </a:ln>
            </c:spPr>
            <c:txPr>
              <a:bodyPr rot="0" spcFirstLastPara="1" vertOverflow="ellipsis" vert="horz" wrap="square" lIns="38100" tIns="19050" rIns="38100" bIns="19050" anchor="ctr" anchorCtr="1">
                <a:spAutoFit/>
              </a:bodyPr>
              <a:lstStyle/>
              <a:p>
                <a:pPr>
                  <a:defRPr sz="1200" b="1" i="0" u="none" strike="noStrike" kern="1200" spc="0" baseline="0">
                    <a:solidFill>
                      <a:schemeClr val="tx1"/>
                    </a:solidFill>
                    <a:latin typeface="+mn-lt"/>
                    <a:ea typeface="+mn-ea"/>
                    <a:cs typeface="+mn-cs"/>
                  </a:defRPr>
                </a:pPr>
                <a:endParaRPr lang="es-CO"/>
              </a:p>
            </c:tx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PORTADA!$J$206:$J$209</c:f>
              <c:strCache>
                <c:ptCount val="4"/>
                <c:pt idx="0">
                  <c:v>DESARROLLO INTEGRAL DEL SER HUMANO</c:v>
                </c:pt>
                <c:pt idx="1">
                  <c:v>SOSTENIBILIDAD Y RURALIDAD</c:v>
                </c:pt>
                <c:pt idx="2">
                  <c:v>COMPETITIVIDAD, INNOVACIÓN, MOVILIDAD Y REGIÓN</c:v>
                </c:pt>
                <c:pt idx="3">
                  <c:v>FORTALECIMIENTO INSTITUCIONAL PARA GENERAR VALOR DE LO PÚBLICO</c:v>
                </c:pt>
              </c:strCache>
            </c:strRef>
          </c:cat>
          <c:val>
            <c:numRef>
              <c:f>PORTADA!$K$206:$K$209</c:f>
              <c:numCache>
                <c:formatCode>0.0</c:formatCode>
                <c:ptCount val="4"/>
                <c:pt idx="0" formatCode="General">
                  <c:v>49.504519999999843</c:v>
                </c:pt>
                <c:pt idx="1">
                  <c:v>16.571999999999971</c:v>
                </c:pt>
                <c:pt idx="2">
                  <c:v>15.166639999999989</c:v>
                </c:pt>
                <c:pt idx="3">
                  <c:v>18.761639999999979</c:v>
                </c:pt>
              </c:numCache>
            </c:numRef>
          </c:val>
        </c:ser>
        <c:dLbls>
          <c:showLegendKey val="0"/>
          <c:showVal val="0"/>
          <c:showCatName val="0"/>
          <c:showSerName val="0"/>
          <c:showPercent val="0"/>
          <c:showBubbleSize val="0"/>
          <c:showLeaderLines val="0"/>
        </c:dLbls>
      </c:pie3DChart>
      <c:spPr>
        <a:noFill/>
        <a:ln w="25400">
          <a:noFill/>
        </a:ln>
      </c:spPr>
    </c:plotArea>
    <c:legend>
      <c:legendPos val="r"/>
      <c:layout>
        <c:manualLayout>
          <c:xMode val="edge"/>
          <c:yMode val="edge"/>
          <c:x val="3.8888384421469559E-2"/>
          <c:y val="0.30726570943337966"/>
          <c:w val="0.34359644912590209"/>
          <c:h val="0.51413926200401416"/>
        </c:manualLayout>
      </c:layout>
      <c:overlay val="0"/>
      <c:txPr>
        <a:bodyPr/>
        <a:lstStyle/>
        <a:p>
          <a:pPr>
            <a:defRPr sz="900" baseline="0"/>
          </a:pPr>
          <a:endParaRPr lang="es-CO"/>
        </a:p>
      </c:txPr>
    </c:legend>
    <c:plotVisOnly val="1"/>
    <c:dispBlanksAs val="gap"/>
    <c:showDLblsOverMax val="0"/>
  </c:chart>
  <c:spPr>
    <a:noFill/>
    <a:ln w="9525">
      <a:noFill/>
    </a:ln>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10"/>
      <c:depthPercent val="100"/>
      <c:rAngAx val="1"/>
    </c:view3D>
    <c:floor>
      <c:thickness val="0"/>
      <c:spPr>
        <a:solidFill>
          <a:schemeClr val="accent3">
            <a:lumMod val="60000"/>
            <a:lumOff val="40000"/>
          </a:schemeClr>
        </a:solidFill>
        <a:ln>
          <a:noFill/>
        </a:ln>
        <a:effectLst/>
        <a:sp3d/>
      </c:spPr>
    </c:floor>
    <c:sideWall>
      <c:thickness val="0"/>
      <c:spPr>
        <a:solidFill>
          <a:srgbClr val="EEECE1"/>
        </a:solidFill>
        <a:ln w="25400">
          <a:noFill/>
        </a:ln>
      </c:spPr>
    </c:sideWall>
    <c:backWall>
      <c:thickness val="0"/>
      <c:spPr>
        <a:solidFill>
          <a:schemeClr val="bg1">
            <a:lumMod val="95000"/>
          </a:schemeClr>
        </a:solidFill>
        <a:ln w="25400">
          <a:noFill/>
        </a:ln>
      </c:spPr>
    </c:backWall>
    <c:plotArea>
      <c:layout>
        <c:manualLayout>
          <c:layoutTarget val="inner"/>
          <c:xMode val="edge"/>
          <c:yMode val="edge"/>
          <c:x val="1.433391227473213E-2"/>
          <c:y val="4.2646144041438482E-2"/>
          <c:w val="0.97005982549530334"/>
          <c:h val="0.81246681298260937"/>
        </c:manualLayout>
      </c:layout>
      <c:bar3DChart>
        <c:barDir val="col"/>
        <c:grouping val="clustered"/>
        <c:varyColors val="0"/>
        <c:ser>
          <c:idx val="1"/>
          <c:order val="0"/>
          <c:tx>
            <c:strRef>
              <c:f>Objetivos!$E$22</c:f>
              <c:strCache>
                <c:ptCount val="1"/>
                <c:pt idx="0">
                  <c:v>% Ejecutado</c:v>
                </c:pt>
              </c:strCache>
            </c:strRef>
          </c:tx>
          <c:spPr>
            <a:solidFill>
              <a:srgbClr val="F68222"/>
            </a:solidFill>
            <a:ln w="25400">
              <a:noFill/>
            </a:ln>
          </c:spPr>
          <c:invertIfNegative val="0"/>
          <c:dPt>
            <c:idx val="4"/>
            <c:invertIfNegative val="0"/>
            <c:bubble3D val="0"/>
            <c:spPr>
              <a:solidFill>
                <a:srgbClr val="A86ED4"/>
              </a:solidFill>
              <a:ln w="25400">
                <a:noFill/>
              </a:ln>
            </c:spPr>
          </c:dPt>
          <c:dLbls>
            <c:dLbl>
              <c:idx val="0"/>
              <c:layout>
                <c:manualLayout>
                  <c:x val="1.2516763963152421E-2"/>
                  <c:y val="-2.15260439707584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2516763963152364E-2"/>
                  <c:y val="-1.614453297806885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645954953940468E-2"/>
                  <c:y val="-3.22890659561377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1904336935516737E-2"/>
                  <c:y val="-3.22890659561377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5645954953940413E-2"/>
                  <c:y val="-1.614453297806885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Objetivos!$B$23:$B$27</c:f>
              <c:strCache>
                <c:ptCount val="5"/>
                <c:pt idx="0">
                  <c:v>2012</c:v>
                </c:pt>
                <c:pt idx="1">
                  <c:v>2013</c:v>
                </c:pt>
                <c:pt idx="2">
                  <c:v>2014</c:v>
                </c:pt>
                <c:pt idx="3">
                  <c:v>2015</c:v>
                </c:pt>
                <c:pt idx="4">
                  <c:v>CUATRIENIO</c:v>
                </c:pt>
              </c:strCache>
            </c:strRef>
          </c:cat>
          <c:val>
            <c:numRef>
              <c:f>Objetivos!$E$23:$E$27</c:f>
              <c:numCache>
                <c:formatCode>0%</c:formatCode>
                <c:ptCount val="5"/>
                <c:pt idx="0">
                  <c:v>0.84942628382822927</c:v>
                </c:pt>
                <c:pt idx="1">
                  <c:v>0.89977962208314011</c:v>
                </c:pt>
                <c:pt idx="2">
                  <c:v>0.89778412747557712</c:v>
                </c:pt>
                <c:pt idx="3">
                  <c:v>0.77898898807522221</c:v>
                </c:pt>
                <c:pt idx="4" formatCode="0.0%">
                  <c:v>0.93666989614045082</c:v>
                </c:pt>
              </c:numCache>
            </c:numRef>
          </c:val>
          <c:shape val="cylinder"/>
        </c:ser>
        <c:dLbls>
          <c:showLegendKey val="0"/>
          <c:showVal val="0"/>
          <c:showCatName val="0"/>
          <c:showSerName val="0"/>
          <c:showPercent val="0"/>
          <c:showBubbleSize val="0"/>
        </c:dLbls>
        <c:gapWidth val="78"/>
        <c:gapDepth val="110"/>
        <c:shape val="box"/>
        <c:axId val="248979088"/>
        <c:axId val="248979472"/>
        <c:axId val="0"/>
      </c:bar3DChart>
      <c:catAx>
        <c:axId val="248979088"/>
        <c:scaling>
          <c:orientation val="minMax"/>
        </c:scaling>
        <c:delete val="0"/>
        <c:axPos val="b"/>
        <c:majorGridlines>
          <c:spPr>
            <a:ln>
              <a:solidFill>
                <a:schemeClr val="tx2">
                  <a:lumMod val="60000"/>
                  <a:lumOff val="40000"/>
                </a:schemeClr>
              </a:solidFill>
            </a:ln>
          </c:spPr>
        </c:majorGridlines>
        <c:numFmt formatCode="General" sourceLinked="1"/>
        <c:majorTickMark val="none"/>
        <c:minorTickMark val="none"/>
        <c:tickLblPos val="low"/>
        <c:spPr>
          <a:ln w="9525">
            <a:noFill/>
          </a:ln>
        </c:spPr>
        <c:txPr>
          <a:bodyPr rot="0" vert="horz"/>
          <a:lstStyle/>
          <a:p>
            <a:pPr>
              <a:defRPr sz="900" b="1" i="0" u="none" strike="noStrike" baseline="0">
                <a:solidFill>
                  <a:srgbClr val="333333"/>
                </a:solidFill>
                <a:latin typeface="Calibri"/>
                <a:ea typeface="Calibri"/>
                <a:cs typeface="Calibri"/>
              </a:defRPr>
            </a:pPr>
            <a:endParaRPr lang="es-CO"/>
          </a:p>
        </c:txPr>
        <c:crossAx val="248979472"/>
        <c:crosses val="autoZero"/>
        <c:auto val="1"/>
        <c:lblAlgn val="ctr"/>
        <c:lblOffset val="100"/>
        <c:noMultiLvlLbl val="0"/>
      </c:catAx>
      <c:valAx>
        <c:axId val="248979472"/>
        <c:scaling>
          <c:orientation val="minMax"/>
          <c:max val="1"/>
        </c:scaling>
        <c:delete val="1"/>
        <c:axPos val="l"/>
        <c:numFmt formatCode="0%" sourceLinked="1"/>
        <c:majorTickMark val="out"/>
        <c:minorTickMark val="none"/>
        <c:tickLblPos val="nextTo"/>
        <c:crossAx val="248979088"/>
        <c:crosses val="autoZero"/>
        <c:crossBetween val="between"/>
      </c:valAx>
      <c:spPr>
        <a:solidFill>
          <a:schemeClr val="bg1">
            <a:lumMod val="95000"/>
          </a:schemeClr>
        </a:solidFill>
        <a:ln w="25400">
          <a:noFill/>
        </a:ln>
      </c:spPr>
    </c:plotArea>
    <c:plotVisOnly val="1"/>
    <c:dispBlanksAs val="gap"/>
    <c:showDLblsOverMax val="0"/>
  </c:chart>
  <c:spPr>
    <a:solidFill>
      <a:schemeClr val="bg1">
        <a:lumMod val="95000"/>
      </a:schemeClr>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11" l="0.70000000000000007" r="0.70000000000000007" t="0.75000000000000011" header="0.30000000000000004" footer="0.30000000000000004"/>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22753762541491"/>
          <c:y val="5.7432606352857199E-2"/>
          <c:w val="0.72733222799791653"/>
          <c:h val="0.90709141012599093"/>
        </c:manualLayout>
      </c:layout>
      <c:barChart>
        <c:barDir val="bar"/>
        <c:grouping val="clustered"/>
        <c:varyColors val="0"/>
        <c:ser>
          <c:idx val="1"/>
          <c:order val="0"/>
          <c:tx>
            <c:strRef>
              <c:f>Objetivos!$O$23</c:f>
              <c:strCache>
                <c:ptCount val="1"/>
                <c:pt idx="0">
                  <c:v>$ Ejecutados Cuatrienio</c:v>
                </c:pt>
              </c:strCache>
            </c:strRef>
          </c:tx>
          <c:spPr>
            <a:solidFill>
              <a:schemeClr val="tx2">
                <a:lumMod val="60000"/>
                <a:lumOff val="40000"/>
              </a:schemeClr>
            </a:solidFill>
            <a:ln>
              <a:noFill/>
            </a:ln>
            <a:effectLst/>
            <a:scene3d>
              <a:camera prst="orthographicFront"/>
              <a:lightRig rig="threePt" dir="t"/>
            </a:scene3d>
            <a:sp3d/>
          </c:spPr>
          <c:invertIfNegative val="0"/>
          <c:dPt>
            <c:idx val="4"/>
            <c:invertIfNegative val="0"/>
            <c:bubble3D val="0"/>
            <c:spPr>
              <a:solidFill>
                <a:srgbClr val="7030A0"/>
              </a:solidFill>
              <a:ln>
                <a:noFill/>
              </a:ln>
              <a:effectLst/>
              <a:scene3d>
                <a:camera prst="orthographicFront"/>
                <a:lightRig rig="threePt" dir="t"/>
              </a:scene3d>
              <a:sp3d/>
            </c:spPr>
          </c:dPt>
          <c:dLbls>
            <c:dLbl>
              <c:idx val="0"/>
              <c:spPr>
                <a:noFill/>
                <a:ln w="25400">
                  <a:noFill/>
                </a:ln>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dLbl>
            <c:spPr>
              <a:noFill/>
              <a:ln w="25400">
                <a:noFill/>
              </a:ln>
            </c:sp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Objetivos!$B$23:$B$27</c:f>
              <c:strCache>
                <c:ptCount val="5"/>
                <c:pt idx="0">
                  <c:v>2012</c:v>
                </c:pt>
                <c:pt idx="1">
                  <c:v>2013</c:v>
                </c:pt>
                <c:pt idx="2">
                  <c:v>2014</c:v>
                </c:pt>
                <c:pt idx="3">
                  <c:v>2015</c:v>
                </c:pt>
                <c:pt idx="4">
                  <c:v>CUATRIENIO</c:v>
                </c:pt>
              </c:strCache>
            </c:strRef>
          </c:cat>
          <c:val>
            <c:numRef>
              <c:f>Objetivos!$F$23:$F$27</c:f>
              <c:numCache>
                <c:formatCode>_ * #,##0_ ;_ * \-#,##0_ ;_ * "-"??_ ;_ @_ </c:formatCode>
                <c:ptCount val="5"/>
                <c:pt idx="0">
                  <c:v>785788.82320800005</c:v>
                </c:pt>
                <c:pt idx="1">
                  <c:v>753178.16115599999</c:v>
                </c:pt>
                <c:pt idx="2">
                  <c:v>862171.66980600008</c:v>
                </c:pt>
                <c:pt idx="3">
                  <c:v>660652.78100100008</c:v>
                </c:pt>
                <c:pt idx="4" formatCode="#,##0">
                  <c:v>3061791.4351710002</c:v>
                </c:pt>
              </c:numCache>
            </c:numRef>
          </c:val>
        </c:ser>
        <c:dLbls>
          <c:showLegendKey val="0"/>
          <c:showVal val="0"/>
          <c:showCatName val="0"/>
          <c:showSerName val="0"/>
          <c:showPercent val="0"/>
          <c:showBubbleSize val="0"/>
        </c:dLbls>
        <c:gapWidth val="45"/>
        <c:overlap val="-1"/>
        <c:axId val="272825568"/>
        <c:axId val="272825952"/>
      </c:barChart>
      <c:catAx>
        <c:axId val="272825568"/>
        <c:scaling>
          <c:orientation val="minMax"/>
        </c:scaling>
        <c:delete val="0"/>
        <c:axPos val="l"/>
        <c:majorGridlines>
          <c:spPr>
            <a:ln>
              <a:solidFill>
                <a:schemeClr val="tx2">
                  <a:lumMod val="40000"/>
                  <a:lumOff val="60000"/>
                </a:schemeClr>
              </a:solidFill>
            </a:ln>
          </c:spPr>
        </c:majorGridlines>
        <c:numFmt formatCode="General" sourceLinked="1"/>
        <c:majorTickMark val="out"/>
        <c:minorTickMark val="none"/>
        <c:tickLblPos val="nextTo"/>
        <c:crossAx val="272825952"/>
        <c:crosses val="autoZero"/>
        <c:auto val="1"/>
        <c:lblAlgn val="ctr"/>
        <c:lblOffset val="100"/>
        <c:noMultiLvlLbl val="0"/>
      </c:catAx>
      <c:valAx>
        <c:axId val="272825952"/>
        <c:scaling>
          <c:orientation val="minMax"/>
        </c:scaling>
        <c:delete val="1"/>
        <c:axPos val="b"/>
        <c:numFmt formatCode="_ * #,##0_ ;_ * \-#,##0_ ;_ * &quot;-&quot;??_ ;_ @_ " sourceLinked="1"/>
        <c:majorTickMark val="out"/>
        <c:minorTickMark val="none"/>
        <c:tickLblPos val="nextTo"/>
        <c:crossAx val="272825568"/>
        <c:crosses val="autoZero"/>
        <c:crossBetween val="between"/>
      </c:valAx>
      <c:spPr>
        <a:noFill/>
        <a:ln w="25400">
          <a:noFill/>
        </a:ln>
      </c:spPr>
    </c:plotArea>
    <c:plotVisOnly val="1"/>
    <c:dispBlanksAs val="gap"/>
    <c:showDLblsOverMax val="0"/>
  </c:chart>
  <c:spPr>
    <a:solidFill>
      <a:schemeClr val="bg1">
        <a:lumMod val="95000"/>
      </a:schemeClr>
    </a:solidFill>
    <a:ln w="9525" cap="flat" cmpd="sng" algn="ctr">
      <a:noFill/>
      <a:round/>
    </a:ln>
    <a:effectLst/>
  </c:spPr>
  <c:txPr>
    <a:bodyPr/>
    <a:lstStyle/>
    <a:p>
      <a:pPr>
        <a:defRPr sz="900"/>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s-CO" sz="1100"/>
              <a:t>EJECUCIÓN</a:t>
            </a:r>
            <a:r>
              <a:rPr lang="es-CO" sz="1100" baseline="0"/>
              <a:t> FISICA DE OBJETIVOS DEL PDDD</a:t>
            </a:r>
            <a:endParaRPr lang="es-CO" sz="1100"/>
          </a:p>
        </c:rich>
      </c:tx>
      <c:layout>
        <c:manualLayout>
          <c:xMode val="edge"/>
          <c:yMode val="edge"/>
          <c:x val="0.18934304554171003"/>
          <c:y val="4.5670854581783598E-4"/>
        </c:manualLayout>
      </c:layout>
      <c:overlay val="0"/>
      <c:spPr>
        <a:noFill/>
        <a:ln w="25400">
          <a:noFill/>
        </a:ln>
      </c:spPr>
    </c:title>
    <c:autoTitleDeleted val="0"/>
    <c:view3D>
      <c:rotX val="10"/>
      <c:rotY val="10"/>
      <c:depthPercent val="100"/>
      <c:rAngAx val="1"/>
    </c:view3D>
    <c:floor>
      <c:thickness val="0"/>
      <c:spPr>
        <a:solidFill>
          <a:schemeClr val="accent3">
            <a:lumMod val="40000"/>
            <a:lumOff val="60000"/>
          </a:schemeClr>
        </a:solidFill>
        <a:ln>
          <a:noFill/>
        </a:ln>
        <a:effectLst/>
        <a:sp3d/>
      </c:spPr>
    </c:floor>
    <c:sideWall>
      <c:thickness val="0"/>
      <c:spPr>
        <a:solidFill>
          <a:schemeClr val="bg1">
            <a:lumMod val="95000"/>
          </a:schemeClr>
        </a:solidFill>
        <a:ln>
          <a:noFill/>
        </a:ln>
        <a:effectLst/>
        <a:sp3d/>
      </c:spPr>
    </c:sideWall>
    <c:backWall>
      <c:thickness val="0"/>
      <c:spPr>
        <a:solidFill>
          <a:schemeClr val="bg1">
            <a:lumMod val="95000"/>
          </a:schemeClr>
        </a:solidFill>
        <a:ln>
          <a:noFill/>
        </a:ln>
        <a:effectLst/>
        <a:sp3d/>
      </c:spPr>
    </c:backWall>
    <c:plotArea>
      <c:layout>
        <c:manualLayout>
          <c:layoutTarget val="inner"/>
          <c:xMode val="edge"/>
          <c:yMode val="edge"/>
          <c:x val="0"/>
          <c:y val="0.10552167636540855"/>
          <c:w val="0.96369844031920948"/>
          <c:h val="0.46537613685458401"/>
        </c:manualLayout>
      </c:layout>
      <c:bar3DChart>
        <c:barDir val="col"/>
        <c:grouping val="clustered"/>
        <c:varyColors val="0"/>
        <c:ser>
          <c:idx val="0"/>
          <c:order val="0"/>
          <c:spPr>
            <a:solidFill>
              <a:srgbClr val="4F81BD"/>
            </a:solidFill>
            <a:ln w="25400">
              <a:noFill/>
            </a:ln>
          </c:spPr>
          <c:invertIfNegative val="0"/>
          <c:dPt>
            <c:idx val="0"/>
            <c:invertIfNegative val="0"/>
            <c:bubble3D val="0"/>
            <c:spPr>
              <a:solidFill>
                <a:schemeClr val="accent6">
                  <a:lumMod val="60000"/>
                  <a:lumOff val="40000"/>
                </a:schemeClr>
              </a:solidFill>
              <a:ln w="25400">
                <a:noFill/>
              </a:ln>
            </c:spPr>
          </c:dPt>
          <c:dPt>
            <c:idx val="1"/>
            <c:invertIfNegative val="0"/>
            <c:bubble3D val="0"/>
            <c:spPr>
              <a:solidFill>
                <a:srgbClr val="00B050"/>
              </a:solidFill>
              <a:ln>
                <a:noFill/>
              </a:ln>
              <a:effectLst/>
              <a:sp3d/>
            </c:spPr>
          </c:dPt>
          <c:dPt>
            <c:idx val="2"/>
            <c:invertIfNegative val="0"/>
            <c:bubble3D val="0"/>
            <c:spPr>
              <a:solidFill>
                <a:srgbClr val="8D75AB"/>
              </a:solidFill>
              <a:ln>
                <a:noFill/>
              </a:ln>
              <a:effectLst/>
              <a:sp3d/>
            </c:spPr>
          </c:dPt>
          <c:dPt>
            <c:idx val="3"/>
            <c:invertIfNegative val="0"/>
            <c:bubble3D val="0"/>
            <c:spPr>
              <a:solidFill>
                <a:schemeClr val="tx2">
                  <a:lumMod val="40000"/>
                  <a:lumOff val="60000"/>
                </a:schemeClr>
              </a:solidFill>
              <a:ln w="25400">
                <a:noFill/>
              </a:ln>
            </c:spPr>
          </c:dPt>
          <c:dPt>
            <c:idx val="4"/>
            <c:invertIfNegative val="0"/>
            <c:bubble3D val="0"/>
            <c:spPr>
              <a:solidFill>
                <a:srgbClr val="FF00FF"/>
              </a:solidFill>
              <a:ln w="25400">
                <a:noFill/>
              </a:ln>
            </c:spPr>
          </c:dPt>
          <c:dLbls>
            <c:dLbl>
              <c:idx val="0"/>
              <c:layout>
                <c:manualLayout>
                  <c:x val="9.2761295605050167E-3"/>
                  <c:y val="-4.25262573516606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3060476347512606E-3"/>
                  <c:y val="-2.75923563650743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0897443622861788E-2"/>
                  <c:y val="-3.504162662831235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426314480513015E-2"/>
                  <c:y val="-2.94458338158562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4.6380647802525083E-3"/>
                  <c:y val="-2.3885106793009626E-2"/>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Objetivos!$C$11:$C$14</c:f>
              <c:strCache>
                <c:ptCount val="4"/>
                <c:pt idx="0">
                  <c:v>1-DESARROLLO INTEGRAL DEL SER HUMANO</c:v>
                </c:pt>
                <c:pt idx="1">
                  <c:v>2-SOSTENIBILIDAD Y RURALIDAD</c:v>
                </c:pt>
                <c:pt idx="2">
                  <c:v>3-COMPETITIVIDAD, INNOVACION, MOVILIDAD Y REGION</c:v>
                </c:pt>
                <c:pt idx="3">
                  <c:v>4-FORTALECIMIENTO INSTITUCIONAL PARA GENERAR VALOR DE LO PUBLICO</c:v>
                </c:pt>
              </c:strCache>
            </c:strRef>
          </c:cat>
          <c:val>
            <c:numRef>
              <c:f>Objetivos!$D$11:$D$14</c:f>
              <c:numCache>
                <c:formatCode>0%</c:formatCode>
                <c:ptCount val="4"/>
                <c:pt idx="0">
                  <c:v>0.93666989614045082</c:v>
                </c:pt>
                <c:pt idx="1">
                  <c:v>0.94488608515373107</c:v>
                </c:pt>
                <c:pt idx="2">
                  <c:v>0.96040306599891367</c:v>
                </c:pt>
                <c:pt idx="3">
                  <c:v>0.94224990332986169</c:v>
                </c:pt>
              </c:numCache>
            </c:numRef>
          </c:val>
          <c:shape val="cylinder"/>
        </c:ser>
        <c:dLbls>
          <c:showLegendKey val="0"/>
          <c:showVal val="0"/>
          <c:showCatName val="0"/>
          <c:showSerName val="0"/>
          <c:showPercent val="0"/>
          <c:showBubbleSize val="0"/>
        </c:dLbls>
        <c:gapWidth val="60"/>
        <c:gapDepth val="30"/>
        <c:shape val="box"/>
        <c:axId val="272817776"/>
        <c:axId val="251372672"/>
        <c:axId val="0"/>
      </c:bar3DChart>
      <c:catAx>
        <c:axId val="272817776"/>
        <c:scaling>
          <c:orientation val="minMax"/>
        </c:scaling>
        <c:delete val="0"/>
        <c:axPos val="b"/>
        <c:majorGridlines>
          <c:spPr>
            <a:ln w="9525" cap="flat" cmpd="sng" algn="ctr">
              <a:solidFill>
                <a:srgbClr val="00B0F0"/>
              </a:solidFill>
              <a:round/>
            </a:ln>
            <a:effectLst/>
          </c:spPr>
        </c:majorGridlines>
        <c:numFmt formatCode="General" sourceLinked="1"/>
        <c:majorTickMark val="none"/>
        <c:minorTickMark val="none"/>
        <c:tickLblPos val="nextTo"/>
        <c:spPr>
          <a:ln w="9525">
            <a:noFill/>
          </a:ln>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251372672"/>
        <c:crosses val="autoZero"/>
        <c:auto val="1"/>
        <c:lblAlgn val="ctr"/>
        <c:lblOffset val="100"/>
        <c:noMultiLvlLbl val="0"/>
      </c:catAx>
      <c:valAx>
        <c:axId val="251372672"/>
        <c:scaling>
          <c:orientation val="minMax"/>
          <c:max val="1"/>
          <c:min val="0"/>
        </c:scaling>
        <c:delete val="1"/>
        <c:axPos val="l"/>
        <c:numFmt formatCode="0%" sourceLinked="1"/>
        <c:majorTickMark val="out"/>
        <c:minorTickMark val="none"/>
        <c:tickLblPos val="nextTo"/>
        <c:crossAx val="272817776"/>
        <c:crosses val="autoZero"/>
        <c:crossBetween val="between"/>
      </c:valAx>
      <c:spPr>
        <a:noFill/>
        <a:ln w="25400">
          <a:noFill/>
        </a:ln>
      </c:spPr>
    </c:plotArea>
    <c:plotVisOnly val="1"/>
    <c:dispBlanksAs val="gap"/>
    <c:showDLblsOverMax val="0"/>
  </c:chart>
  <c:spPr>
    <a:solidFill>
      <a:schemeClr val="bg1">
        <a:lumMod val="95000"/>
      </a:schemeClr>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s-CO" sz="1100" b="0" i="0" baseline="0">
                <a:effectLst/>
              </a:rPr>
              <a:t>EJECUCIÓN FINANCIERA DE OBJETIVOS DEL PDDD</a:t>
            </a:r>
          </a:p>
          <a:p>
            <a:pPr>
              <a:defRPr sz="1100"/>
            </a:pPr>
            <a:r>
              <a:rPr lang="es-CO" sz="1100" b="0" i="0" baseline="0">
                <a:effectLst/>
              </a:rPr>
              <a:t>EN MILLONES DE $</a:t>
            </a:r>
            <a:endParaRPr lang="es-ES" sz="1100">
              <a:effectLst/>
            </a:endParaRPr>
          </a:p>
        </c:rich>
      </c:tx>
      <c:layout/>
      <c:overlay val="0"/>
    </c:title>
    <c:autoTitleDeleted val="0"/>
    <c:view3D>
      <c:rotX val="-10"/>
      <c:rotY val="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manualLayout>
          <c:layoutTarget val="inner"/>
          <c:xMode val="edge"/>
          <c:yMode val="edge"/>
          <c:x val="0.38935846750499464"/>
          <c:y val="0.16342335172183581"/>
          <c:w val="0.57442594899518162"/>
          <c:h val="0.78943597659857168"/>
        </c:manualLayout>
      </c:layout>
      <c:bar3DChart>
        <c:barDir val="bar"/>
        <c:grouping val="clustered"/>
        <c:varyColors val="0"/>
        <c:ser>
          <c:idx val="0"/>
          <c:order val="0"/>
          <c:tx>
            <c:strRef>
              <c:f>Objetivos!$O$22</c:f>
              <c:strCache>
                <c:ptCount val="1"/>
                <c:pt idx="0">
                  <c:v>$ Programados Cuatrienio</c:v>
                </c:pt>
              </c:strCache>
            </c:strRef>
          </c:tx>
          <c:spPr>
            <a:solidFill>
              <a:schemeClr val="tx2">
                <a:lumMod val="60000"/>
                <a:lumOff val="40000"/>
              </a:schemeClr>
            </a:solidFill>
            <a:ln>
              <a:noFill/>
            </a:ln>
            <a:effectLst/>
            <a:scene3d>
              <a:camera prst="orthographicFront"/>
              <a:lightRig rig="threePt" dir="t"/>
            </a:scene3d>
            <a:sp3d>
              <a:bevelB/>
            </a:sp3d>
          </c:spPr>
          <c:invertIfNegative val="0"/>
          <c:dPt>
            <c:idx val="0"/>
            <c:invertIfNegative val="0"/>
            <c:bubble3D val="0"/>
            <c:spPr>
              <a:solidFill>
                <a:schemeClr val="accent6">
                  <a:lumMod val="60000"/>
                  <a:lumOff val="40000"/>
                </a:schemeClr>
              </a:solidFill>
              <a:ln>
                <a:noFill/>
              </a:ln>
              <a:effectLst/>
              <a:scene3d>
                <a:camera prst="orthographicFront"/>
                <a:lightRig rig="threePt" dir="t"/>
              </a:scene3d>
              <a:sp3d>
                <a:bevelB/>
              </a:sp3d>
            </c:spPr>
          </c:dPt>
          <c:dPt>
            <c:idx val="1"/>
            <c:invertIfNegative val="0"/>
            <c:bubble3D val="0"/>
            <c:spPr>
              <a:solidFill>
                <a:srgbClr val="00B050"/>
              </a:solidFill>
              <a:ln>
                <a:noFill/>
              </a:ln>
              <a:effectLst/>
              <a:scene3d>
                <a:camera prst="orthographicFront"/>
                <a:lightRig rig="threePt" dir="t"/>
              </a:scene3d>
              <a:sp3d>
                <a:bevelB/>
              </a:sp3d>
            </c:spPr>
          </c:dPt>
          <c:dPt>
            <c:idx val="2"/>
            <c:invertIfNegative val="0"/>
            <c:bubble3D val="0"/>
            <c:spPr>
              <a:solidFill>
                <a:srgbClr val="7030A0"/>
              </a:solidFill>
              <a:ln>
                <a:noFill/>
              </a:ln>
              <a:effectLst/>
              <a:scene3d>
                <a:camera prst="orthographicFront"/>
                <a:lightRig rig="threePt" dir="t"/>
              </a:scene3d>
              <a:sp3d>
                <a:bevelB/>
              </a:sp3d>
            </c:spPr>
          </c:dPt>
          <c:dPt>
            <c:idx val="4"/>
            <c:invertIfNegative val="0"/>
            <c:bubble3D val="0"/>
            <c:spPr>
              <a:solidFill>
                <a:srgbClr val="9933FF"/>
              </a:solidFill>
              <a:ln>
                <a:noFill/>
              </a:ln>
              <a:effectLst/>
              <a:scene3d>
                <a:camera prst="orthographicFront"/>
                <a:lightRig rig="threePt" dir="t"/>
              </a:scene3d>
              <a:sp3d>
                <a:bevelB/>
              </a:sp3d>
            </c:spPr>
          </c:dPt>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Objetivos!$C$11:$C$16</c:f>
              <c:strCache>
                <c:ptCount val="5"/>
                <c:pt idx="0">
                  <c:v>1-DESARROLLO INTEGRAL DEL SER HUMANO</c:v>
                </c:pt>
                <c:pt idx="1">
                  <c:v>2-SOSTENIBILIDAD Y RURALIDAD</c:v>
                </c:pt>
                <c:pt idx="2">
                  <c:v>3-COMPETITIVIDAD, INNOVACION, MOVILIDAD Y REGION</c:v>
                </c:pt>
                <c:pt idx="3">
                  <c:v>4-FORTALECIMIENTO INSTITUCIONAL PARA GENERAR VALOR DE LO PUBLICO</c:v>
                </c:pt>
                <c:pt idx="4">
                  <c:v>PDD</c:v>
                </c:pt>
              </c:strCache>
            </c:strRef>
          </c:cat>
          <c:val>
            <c:numRef>
              <c:f>(Objetivos!$F$27,Objetivos!$F$43,Objetivos!$F$59,Objetivos!$F$75,Objetivos!$F$91)</c:f>
              <c:numCache>
                <c:formatCode>#,##0</c:formatCode>
                <c:ptCount val="5"/>
                <c:pt idx="0">
                  <c:v>3061791.4351710002</c:v>
                </c:pt>
                <c:pt idx="1">
                  <c:v>160636.52574499999</c:v>
                </c:pt>
                <c:pt idx="2">
                  <c:v>867906.72141</c:v>
                </c:pt>
                <c:pt idx="3">
                  <c:v>1259914.1463660002</c:v>
                </c:pt>
                <c:pt idx="4">
                  <c:v>5350248.8286920004</c:v>
                </c:pt>
              </c:numCache>
            </c:numRef>
          </c:val>
        </c:ser>
        <c:ser>
          <c:idx val="1"/>
          <c:order val="1"/>
          <c:tx>
            <c:strRef>
              <c:f>Objetivos!$O$23</c:f>
              <c:strCache>
                <c:ptCount val="1"/>
                <c:pt idx="0">
                  <c:v>$ Ejecutados Cuatrienio</c:v>
                </c:pt>
              </c:strCache>
            </c:strRef>
          </c:tx>
          <c:spPr>
            <a:solidFill>
              <a:srgbClr val="F79646"/>
            </a:solidFill>
            <a:ln w="25400">
              <a:noFill/>
            </a:ln>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Objetivos!$C$11:$C$16</c:f>
              <c:strCache>
                <c:ptCount val="5"/>
                <c:pt idx="0">
                  <c:v>1-DESARROLLO INTEGRAL DEL SER HUMANO</c:v>
                </c:pt>
                <c:pt idx="1">
                  <c:v>2-SOSTENIBILIDAD Y RURALIDAD</c:v>
                </c:pt>
                <c:pt idx="2">
                  <c:v>3-COMPETITIVIDAD, INNOVACION, MOVILIDAD Y REGION</c:v>
                </c:pt>
                <c:pt idx="3">
                  <c:v>4-FORTALECIMIENTO INSTITUCIONAL PARA GENERAR VALOR DE LO PUBLICO</c:v>
                </c:pt>
                <c:pt idx="4">
                  <c:v>PDD</c:v>
                </c:pt>
              </c:strCache>
            </c:strRef>
          </c:cat>
          <c:val>
            <c:numRef>
              <c:f>(Objetivos!$G$27,Objetivos!$G$43,Objetivos!$G$59,Objetivos!$G$75,Objetivos!$G$91)</c:f>
              <c:numCache>
                <c:formatCode>#,##0</c:formatCode>
                <c:ptCount val="5"/>
              </c:numCache>
            </c:numRef>
          </c:val>
        </c:ser>
        <c:dLbls>
          <c:showLegendKey val="0"/>
          <c:showVal val="0"/>
          <c:showCatName val="0"/>
          <c:showSerName val="0"/>
          <c:showPercent val="0"/>
          <c:showBubbleSize val="0"/>
        </c:dLbls>
        <c:gapWidth val="40"/>
        <c:shape val="box"/>
        <c:axId val="272949408"/>
        <c:axId val="272949800"/>
        <c:axId val="0"/>
      </c:bar3DChart>
      <c:catAx>
        <c:axId val="272949408"/>
        <c:scaling>
          <c:orientation val="minMax"/>
        </c:scaling>
        <c:delete val="0"/>
        <c:axPos val="l"/>
        <c:majorGridlines>
          <c:spPr>
            <a:ln w="9525" cap="flat" cmpd="sng" algn="ctr">
              <a:solidFill>
                <a:schemeClr val="accent1">
                  <a:lumMod val="60000"/>
                  <a:lumOff val="40000"/>
                </a:schemeClr>
              </a:solidFill>
              <a:round/>
            </a:ln>
            <a:effectLst/>
          </c:spPr>
        </c:majorGridlines>
        <c:numFmt formatCode="General" sourceLinked="1"/>
        <c:majorTickMark val="out"/>
        <c:minorTickMark val="none"/>
        <c:tickLblPos val="nextTo"/>
        <c:spPr>
          <a:ln w="9525">
            <a:noFill/>
          </a:ln>
        </c:spPr>
        <c:txPr>
          <a:bodyPr rot="-60000000" spcFirstLastPara="1" vertOverflow="ellipsis" vert="horz" wrap="square" anchor="ctr" anchorCtr="1"/>
          <a:lstStyle/>
          <a:p>
            <a:pPr algn="just">
              <a:defRPr sz="800" b="0" i="0" u="none" strike="noStrike" kern="1200" baseline="0">
                <a:solidFill>
                  <a:schemeClr val="tx1">
                    <a:lumMod val="65000"/>
                    <a:lumOff val="35000"/>
                  </a:schemeClr>
                </a:solidFill>
                <a:latin typeface="+mn-lt"/>
                <a:ea typeface="+mn-ea"/>
                <a:cs typeface="+mn-cs"/>
              </a:defRPr>
            </a:pPr>
            <a:endParaRPr lang="es-CO"/>
          </a:p>
        </c:txPr>
        <c:crossAx val="272949800"/>
        <c:crosses val="autoZero"/>
        <c:auto val="1"/>
        <c:lblAlgn val="ctr"/>
        <c:lblOffset val="100"/>
        <c:noMultiLvlLbl val="0"/>
      </c:catAx>
      <c:valAx>
        <c:axId val="272949800"/>
        <c:scaling>
          <c:orientation val="minMax"/>
        </c:scaling>
        <c:delete val="1"/>
        <c:axPos val="b"/>
        <c:numFmt formatCode="#,##0" sourceLinked="1"/>
        <c:majorTickMark val="out"/>
        <c:minorTickMark val="none"/>
        <c:tickLblPos val="nextTo"/>
        <c:crossAx val="272949408"/>
        <c:crosses val="autoZero"/>
        <c:crossBetween val="between"/>
      </c:valAx>
      <c:spPr>
        <a:noFill/>
        <a:ln w="25400">
          <a:noFill/>
        </a:ln>
      </c:spPr>
    </c:plotArea>
    <c:plotVisOnly val="1"/>
    <c:dispBlanksAs val="gap"/>
    <c:showDLblsOverMax val="0"/>
  </c:chart>
  <c:spPr>
    <a:solidFill>
      <a:schemeClr val="bg1">
        <a:lumMod val="95000"/>
      </a:schemeClr>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22753762541491"/>
          <c:y val="5.7432606352857199E-2"/>
          <c:w val="0.72733222799791653"/>
          <c:h val="0.90709141012599093"/>
        </c:manualLayout>
      </c:layout>
      <c:barChart>
        <c:barDir val="bar"/>
        <c:grouping val="clustered"/>
        <c:varyColors val="0"/>
        <c:ser>
          <c:idx val="1"/>
          <c:order val="0"/>
          <c:tx>
            <c:strRef>
              <c:f>Objetivos!$O$23</c:f>
              <c:strCache>
                <c:ptCount val="1"/>
                <c:pt idx="0">
                  <c:v>$ Ejecutados Cuatrienio</c:v>
                </c:pt>
              </c:strCache>
            </c:strRef>
          </c:tx>
          <c:spPr>
            <a:solidFill>
              <a:schemeClr val="tx2">
                <a:lumMod val="60000"/>
                <a:lumOff val="40000"/>
              </a:schemeClr>
            </a:solidFill>
            <a:ln>
              <a:noFill/>
            </a:ln>
            <a:effectLst/>
            <a:scene3d>
              <a:camera prst="orthographicFront"/>
              <a:lightRig rig="threePt" dir="t"/>
            </a:scene3d>
            <a:sp3d/>
          </c:spPr>
          <c:invertIfNegative val="0"/>
          <c:dPt>
            <c:idx val="4"/>
            <c:invertIfNegative val="0"/>
            <c:bubble3D val="0"/>
            <c:spPr>
              <a:solidFill>
                <a:srgbClr val="7030A0"/>
              </a:solidFill>
              <a:ln>
                <a:noFill/>
              </a:ln>
              <a:effectLst/>
              <a:scene3d>
                <a:camera prst="orthographicFront"/>
                <a:lightRig rig="threePt" dir="t"/>
              </a:scene3d>
              <a:sp3d/>
            </c:spPr>
          </c:dPt>
          <c:dLbls>
            <c:dLbl>
              <c:idx val="0"/>
              <c:spPr>
                <a:noFill/>
                <a:ln w="25400">
                  <a:noFill/>
                </a:ln>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dLbl>
            <c:spPr>
              <a:noFill/>
              <a:ln w="25400">
                <a:noFill/>
              </a:ln>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Objetivos!$B$23:$B$27</c:f>
              <c:strCache>
                <c:ptCount val="5"/>
                <c:pt idx="0">
                  <c:v>2012</c:v>
                </c:pt>
                <c:pt idx="1">
                  <c:v>2013</c:v>
                </c:pt>
                <c:pt idx="2">
                  <c:v>2014</c:v>
                </c:pt>
                <c:pt idx="3">
                  <c:v>2015</c:v>
                </c:pt>
                <c:pt idx="4">
                  <c:v>CUATRIENIO</c:v>
                </c:pt>
              </c:strCache>
            </c:strRef>
          </c:cat>
          <c:val>
            <c:numRef>
              <c:f>Objetivos!$F$39:$F$43</c:f>
              <c:numCache>
                <c:formatCode>_ * #,##0_ ;_ * \-#,##0_ ;_ * "-"??_ ;_ @_ </c:formatCode>
                <c:ptCount val="5"/>
                <c:pt idx="0">
                  <c:v>23137.930479000002</c:v>
                </c:pt>
                <c:pt idx="1">
                  <c:v>36381.895183000001</c:v>
                </c:pt>
                <c:pt idx="2">
                  <c:v>38730.215075</c:v>
                </c:pt>
                <c:pt idx="3">
                  <c:v>62386.485008000003</c:v>
                </c:pt>
                <c:pt idx="4" formatCode="#,##0">
                  <c:v>160636.52574499999</c:v>
                </c:pt>
              </c:numCache>
            </c:numRef>
          </c:val>
        </c:ser>
        <c:dLbls>
          <c:showLegendKey val="0"/>
          <c:showVal val="0"/>
          <c:showCatName val="0"/>
          <c:showSerName val="0"/>
          <c:showPercent val="0"/>
          <c:showBubbleSize val="0"/>
        </c:dLbls>
        <c:gapWidth val="45"/>
        <c:overlap val="-1"/>
        <c:axId val="272950584"/>
        <c:axId val="272950976"/>
      </c:barChart>
      <c:catAx>
        <c:axId val="272950584"/>
        <c:scaling>
          <c:orientation val="minMax"/>
        </c:scaling>
        <c:delete val="0"/>
        <c:axPos val="l"/>
        <c:majorGridlines>
          <c:spPr>
            <a:ln>
              <a:solidFill>
                <a:schemeClr val="tx2">
                  <a:lumMod val="40000"/>
                  <a:lumOff val="60000"/>
                </a:schemeClr>
              </a:solidFill>
            </a:ln>
          </c:spPr>
        </c:majorGridlines>
        <c:numFmt formatCode="General" sourceLinked="1"/>
        <c:majorTickMark val="out"/>
        <c:minorTickMark val="none"/>
        <c:tickLblPos val="nextTo"/>
        <c:crossAx val="272950976"/>
        <c:crosses val="autoZero"/>
        <c:auto val="1"/>
        <c:lblAlgn val="ctr"/>
        <c:lblOffset val="100"/>
        <c:noMultiLvlLbl val="0"/>
      </c:catAx>
      <c:valAx>
        <c:axId val="272950976"/>
        <c:scaling>
          <c:orientation val="minMax"/>
        </c:scaling>
        <c:delete val="1"/>
        <c:axPos val="b"/>
        <c:numFmt formatCode="_ * #,##0_ ;_ * \-#,##0_ ;_ * &quot;-&quot;??_ ;_ @_ " sourceLinked="1"/>
        <c:majorTickMark val="out"/>
        <c:minorTickMark val="none"/>
        <c:tickLblPos val="nextTo"/>
        <c:crossAx val="272950584"/>
        <c:crosses val="autoZero"/>
        <c:crossBetween val="between"/>
      </c:valAx>
      <c:spPr>
        <a:noFill/>
        <a:ln w="25400">
          <a:noFill/>
        </a:ln>
      </c:spPr>
    </c:plotArea>
    <c:plotVisOnly val="1"/>
    <c:dispBlanksAs val="gap"/>
    <c:showDLblsOverMax val="0"/>
  </c:chart>
  <c:spPr>
    <a:solidFill>
      <a:schemeClr val="bg1">
        <a:lumMod val="95000"/>
      </a:schemeClr>
    </a:solidFill>
    <a:ln w="9525" cap="flat" cmpd="sng" algn="ctr">
      <a:noFill/>
      <a:round/>
    </a:ln>
    <a:effectLst/>
  </c:spPr>
  <c:txPr>
    <a:bodyPr/>
    <a:lstStyle/>
    <a:p>
      <a:pPr>
        <a:defRPr sz="900"/>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10"/>
      <c:depthPercent val="100"/>
      <c:rAngAx val="1"/>
    </c:view3D>
    <c:floor>
      <c:thickness val="0"/>
      <c:spPr>
        <a:solidFill>
          <a:schemeClr val="accent3">
            <a:lumMod val="60000"/>
            <a:lumOff val="40000"/>
          </a:schemeClr>
        </a:solidFill>
        <a:ln>
          <a:noFill/>
        </a:ln>
        <a:effectLst/>
        <a:sp3d/>
      </c:spPr>
    </c:floor>
    <c:sideWall>
      <c:thickness val="0"/>
      <c:spPr>
        <a:solidFill>
          <a:srgbClr val="EEECE1"/>
        </a:solidFill>
        <a:ln w="25400">
          <a:noFill/>
        </a:ln>
      </c:spPr>
    </c:sideWall>
    <c:backWall>
      <c:thickness val="0"/>
      <c:spPr>
        <a:solidFill>
          <a:schemeClr val="bg1">
            <a:lumMod val="95000"/>
          </a:schemeClr>
        </a:solidFill>
        <a:ln w="25400">
          <a:noFill/>
        </a:ln>
      </c:spPr>
    </c:backWall>
    <c:plotArea>
      <c:layout>
        <c:manualLayout>
          <c:layoutTarget val="inner"/>
          <c:xMode val="edge"/>
          <c:yMode val="edge"/>
          <c:x val="1.433391227473213E-2"/>
          <c:y val="4.2646144041438482E-2"/>
          <c:w val="0.97005982549530334"/>
          <c:h val="0.81246681298260937"/>
        </c:manualLayout>
      </c:layout>
      <c:bar3DChart>
        <c:barDir val="col"/>
        <c:grouping val="clustered"/>
        <c:varyColors val="0"/>
        <c:ser>
          <c:idx val="1"/>
          <c:order val="0"/>
          <c:tx>
            <c:strRef>
              <c:f>Objetivos!$E$22</c:f>
              <c:strCache>
                <c:ptCount val="1"/>
                <c:pt idx="0">
                  <c:v>% Ejecutado</c:v>
                </c:pt>
              </c:strCache>
            </c:strRef>
          </c:tx>
          <c:spPr>
            <a:solidFill>
              <a:srgbClr val="F68222"/>
            </a:solidFill>
            <a:ln w="25400">
              <a:noFill/>
            </a:ln>
          </c:spPr>
          <c:invertIfNegative val="0"/>
          <c:dPt>
            <c:idx val="4"/>
            <c:invertIfNegative val="0"/>
            <c:bubble3D val="0"/>
            <c:spPr>
              <a:solidFill>
                <a:srgbClr val="A86ED4"/>
              </a:solidFill>
              <a:ln w="25400">
                <a:noFill/>
              </a:ln>
            </c:spPr>
          </c:dPt>
          <c:dLbls>
            <c:dLbl>
              <c:idx val="0"/>
              <c:layout>
                <c:manualLayout>
                  <c:x val="1.2516763963152421E-2"/>
                  <c:y val="-2.1526043970758479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2516763963152364E-2"/>
                  <c:y val="-1.6144532978068858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5645954953940468E-2"/>
                  <c:y val="-3.2289065956137723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2.1904336935516737E-2"/>
                  <c:y val="-3.2289065956137744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5645954953940413E-2"/>
                  <c:y val="-1.6144532978068855E-2"/>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Objetivos!$B$23:$B$27</c:f>
              <c:strCache>
                <c:ptCount val="5"/>
                <c:pt idx="0">
                  <c:v>2012</c:v>
                </c:pt>
                <c:pt idx="1">
                  <c:v>2013</c:v>
                </c:pt>
                <c:pt idx="2">
                  <c:v>2014</c:v>
                </c:pt>
                <c:pt idx="3">
                  <c:v>2015</c:v>
                </c:pt>
                <c:pt idx="4">
                  <c:v>CUATRIENIO</c:v>
                </c:pt>
              </c:strCache>
            </c:strRef>
          </c:cat>
          <c:val>
            <c:numRef>
              <c:f>Objetivos!$E$39:$E$43</c:f>
              <c:numCache>
                <c:formatCode>0%</c:formatCode>
                <c:ptCount val="5"/>
                <c:pt idx="0">
                  <c:v>0.9560356250639156</c:v>
                </c:pt>
                <c:pt idx="1">
                  <c:v>0.90356986412141727</c:v>
                </c:pt>
                <c:pt idx="2">
                  <c:v>0.7786011682788242</c:v>
                </c:pt>
                <c:pt idx="3">
                  <c:v>0.67477422171588897</c:v>
                </c:pt>
                <c:pt idx="4">
                  <c:v>0.94488608515373107</c:v>
                </c:pt>
              </c:numCache>
            </c:numRef>
          </c:val>
          <c:shape val="cylinder"/>
        </c:ser>
        <c:dLbls>
          <c:showLegendKey val="0"/>
          <c:showVal val="0"/>
          <c:showCatName val="0"/>
          <c:showSerName val="0"/>
          <c:showPercent val="0"/>
          <c:showBubbleSize val="0"/>
        </c:dLbls>
        <c:gapWidth val="78"/>
        <c:gapDepth val="110"/>
        <c:shape val="box"/>
        <c:axId val="272951760"/>
        <c:axId val="272952152"/>
        <c:axId val="0"/>
      </c:bar3DChart>
      <c:catAx>
        <c:axId val="272951760"/>
        <c:scaling>
          <c:orientation val="minMax"/>
        </c:scaling>
        <c:delete val="0"/>
        <c:axPos val="b"/>
        <c:majorGridlines>
          <c:spPr>
            <a:ln>
              <a:solidFill>
                <a:schemeClr val="tx2">
                  <a:lumMod val="60000"/>
                  <a:lumOff val="40000"/>
                </a:schemeClr>
              </a:solidFill>
            </a:ln>
          </c:spPr>
        </c:majorGridlines>
        <c:numFmt formatCode="General" sourceLinked="1"/>
        <c:majorTickMark val="none"/>
        <c:minorTickMark val="none"/>
        <c:tickLblPos val="low"/>
        <c:spPr>
          <a:ln w="9525">
            <a:noFill/>
          </a:ln>
        </c:spPr>
        <c:txPr>
          <a:bodyPr rot="0" vert="horz"/>
          <a:lstStyle/>
          <a:p>
            <a:pPr>
              <a:defRPr sz="900" b="1" i="0" u="none" strike="noStrike" baseline="0">
                <a:solidFill>
                  <a:srgbClr val="333333"/>
                </a:solidFill>
                <a:latin typeface="Calibri"/>
                <a:ea typeface="Calibri"/>
                <a:cs typeface="Calibri"/>
              </a:defRPr>
            </a:pPr>
            <a:endParaRPr lang="es-CO"/>
          </a:p>
        </c:txPr>
        <c:crossAx val="272952152"/>
        <c:crosses val="autoZero"/>
        <c:auto val="1"/>
        <c:lblAlgn val="ctr"/>
        <c:lblOffset val="100"/>
        <c:noMultiLvlLbl val="0"/>
      </c:catAx>
      <c:valAx>
        <c:axId val="272952152"/>
        <c:scaling>
          <c:orientation val="minMax"/>
          <c:max val="1"/>
        </c:scaling>
        <c:delete val="1"/>
        <c:axPos val="l"/>
        <c:numFmt formatCode="0%" sourceLinked="1"/>
        <c:majorTickMark val="out"/>
        <c:minorTickMark val="none"/>
        <c:tickLblPos val="nextTo"/>
        <c:crossAx val="272951760"/>
        <c:crosses val="autoZero"/>
        <c:crossBetween val="between"/>
      </c:valAx>
      <c:spPr>
        <a:solidFill>
          <a:schemeClr val="bg1">
            <a:lumMod val="95000"/>
          </a:schemeClr>
        </a:solidFill>
        <a:ln w="25400">
          <a:noFill/>
        </a:ln>
      </c:spPr>
    </c:plotArea>
    <c:plotVisOnly val="1"/>
    <c:dispBlanksAs val="gap"/>
    <c:showDLblsOverMax val="0"/>
  </c:chart>
  <c:spPr>
    <a:solidFill>
      <a:schemeClr val="bg1">
        <a:lumMod val="95000"/>
      </a:schemeClr>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11" l="0.70000000000000007" r="0.70000000000000007" t="0.75000000000000011" header="0.30000000000000004" footer="0.30000000000000004"/>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11.xml"/><Relationship Id="rId13" Type="http://schemas.openxmlformats.org/officeDocument/2006/relationships/chart" Target="../charts/chart16.xml"/><Relationship Id="rId3" Type="http://schemas.openxmlformats.org/officeDocument/2006/relationships/chart" Target="../charts/chart6.xml"/><Relationship Id="rId7" Type="http://schemas.openxmlformats.org/officeDocument/2006/relationships/chart" Target="../charts/chart10.xml"/><Relationship Id="rId12" Type="http://schemas.openxmlformats.org/officeDocument/2006/relationships/chart" Target="../charts/chart15.xml"/><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chart" Target="../charts/chart9.xml"/><Relationship Id="rId11" Type="http://schemas.openxmlformats.org/officeDocument/2006/relationships/chart" Target="../charts/chart14.xml"/><Relationship Id="rId5" Type="http://schemas.openxmlformats.org/officeDocument/2006/relationships/chart" Target="../charts/chart8.xml"/><Relationship Id="rId10" Type="http://schemas.openxmlformats.org/officeDocument/2006/relationships/chart" Target="../charts/chart13.xml"/><Relationship Id="rId4" Type="http://schemas.openxmlformats.org/officeDocument/2006/relationships/chart" Target="../charts/chart7.xml"/><Relationship Id="rId9" Type="http://schemas.openxmlformats.org/officeDocument/2006/relationships/chart" Target="../charts/chart12.xml"/></Relationships>
</file>

<file path=xl/drawings/_rels/drawing3.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5.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6.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4</xdr:col>
      <xdr:colOff>28574</xdr:colOff>
      <xdr:row>26</xdr:row>
      <xdr:rowOff>19050</xdr:rowOff>
    </xdr:from>
    <xdr:to>
      <xdr:col>9</xdr:col>
      <xdr:colOff>495300</xdr:colOff>
      <xdr:row>41</xdr:row>
      <xdr:rowOff>66675</xdr:rowOff>
    </xdr:to>
    <xdr:grpSp>
      <xdr:nvGrpSpPr>
        <xdr:cNvPr id="2" name="Grupo 1"/>
        <xdr:cNvGrpSpPr/>
      </xdr:nvGrpSpPr>
      <xdr:grpSpPr>
        <a:xfrm>
          <a:off x="3076574" y="4343400"/>
          <a:ext cx="4124326" cy="2476500"/>
          <a:chOff x="2628899" y="4019550"/>
          <a:chExt cx="4476751" cy="3124200"/>
        </a:xfrm>
      </xdr:grpSpPr>
      <xdr:graphicFrame macro="">
        <xdr:nvGraphicFramePr>
          <xdr:cNvPr id="4" name="Gráfico 11"/>
          <xdr:cNvGraphicFramePr>
            <a:graphicFrameLocks/>
          </xdr:cNvGraphicFramePr>
        </xdr:nvGraphicFramePr>
        <xdr:xfrm>
          <a:off x="3867150" y="4029075"/>
          <a:ext cx="3238500" cy="2981325"/>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7" name="Gráfico 12"/>
          <xdr:cNvGraphicFramePr>
            <a:graphicFrameLocks/>
          </xdr:cNvGraphicFramePr>
        </xdr:nvGraphicFramePr>
        <xdr:xfrm>
          <a:off x="2628899" y="4019550"/>
          <a:ext cx="2943225" cy="312420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oneCellAnchor>
    <xdr:from>
      <xdr:col>3</xdr:col>
      <xdr:colOff>194273</xdr:colOff>
      <xdr:row>3</xdr:row>
      <xdr:rowOff>156633</xdr:rowOff>
    </xdr:from>
    <xdr:ext cx="5760969" cy="485775"/>
    <xdr:sp macro="" textlink="">
      <xdr:nvSpPr>
        <xdr:cNvPr id="5" name="2 Rectángulo"/>
        <xdr:cNvSpPr/>
      </xdr:nvSpPr>
      <xdr:spPr>
        <a:xfrm>
          <a:off x="2480273" y="699558"/>
          <a:ext cx="5760969" cy="485775"/>
        </a:xfrm>
        <a:prstGeom prst="rect">
          <a:avLst/>
        </a:prstGeom>
        <a:noFill/>
      </xdr:spPr>
      <xdr:txBody>
        <a:bodyPr wrap="none" lIns="91440" tIns="45720" rIns="91440" bIns="45720">
          <a:noAutofit/>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r>
            <a:rPr lang="es-ES" sz="2200" b="1" cap="all" spc="0">
              <a:ln w="0"/>
              <a:solidFill>
                <a:schemeClr val="accent2"/>
              </a:solidFill>
              <a:effectLst>
                <a:reflection blurRad="12700" stA="50000" endPos="50000" dist="5000" dir="5400000" sy="-100000" rotWithShape="0"/>
              </a:effectLst>
            </a:rPr>
            <a:t>EJECUCIÓN DEL PDD - DICIEMBRE 30 DE 2015</a:t>
          </a:r>
        </a:p>
      </xdr:txBody>
    </xdr:sp>
    <xdr:clientData/>
  </xdr:oneCellAnchor>
  <xdr:twoCellAnchor>
    <xdr:from>
      <xdr:col>1</xdr:col>
      <xdr:colOff>304800</xdr:colOff>
      <xdr:row>7</xdr:row>
      <xdr:rowOff>19050</xdr:rowOff>
    </xdr:from>
    <xdr:to>
      <xdr:col>11</xdr:col>
      <xdr:colOff>85725</xdr:colOff>
      <xdr:row>24</xdr:row>
      <xdr:rowOff>123825</xdr:rowOff>
    </xdr:to>
    <xdr:graphicFrame macro="">
      <xdr:nvGraphicFramePr>
        <xdr:cNvPr id="9"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304799</xdr:colOff>
      <xdr:row>1</xdr:row>
      <xdr:rowOff>104775</xdr:rowOff>
    </xdr:from>
    <xdr:to>
      <xdr:col>1</xdr:col>
      <xdr:colOff>691514</xdr:colOff>
      <xdr:row>7</xdr:row>
      <xdr:rowOff>133350</xdr:rowOff>
    </xdr:to>
    <xdr:pic>
      <xdr:nvPicPr>
        <xdr:cNvPr id="10" name="Picture 2" descr="C:\Users\FenalprensaTV\Downloads\logo Calidad de vida 2014 (1).png"/>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4799" y="209550"/>
          <a:ext cx="1148715" cy="111442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13</xdr:col>
      <xdr:colOff>10950</xdr:colOff>
      <xdr:row>0</xdr:row>
      <xdr:rowOff>87587</xdr:rowOff>
    </xdr:from>
    <xdr:ext cx="3819212" cy="289983"/>
    <xdr:sp macro="" textlink="">
      <xdr:nvSpPr>
        <xdr:cNvPr id="2" name="3 Rectángulo"/>
        <xdr:cNvSpPr/>
      </xdr:nvSpPr>
      <xdr:spPr>
        <a:xfrm>
          <a:off x="10031250" y="87587"/>
          <a:ext cx="3819212" cy="289983"/>
        </a:xfrm>
        <a:prstGeom prst="rect">
          <a:avLst/>
        </a:prstGeom>
        <a:noFill/>
        <a:effectLst>
          <a:glow rad="127000">
            <a:srgbClr val="7D4199"/>
          </a:glow>
          <a:outerShdw blurRad="50800" dist="38100" dir="2700000" algn="tl" rotWithShape="0">
            <a:prstClr val="black">
              <a:alpha val="40000"/>
            </a:prstClr>
          </a:outerShdw>
        </a:effectLst>
      </xdr:spPr>
      <xdr:txBody>
        <a:bodyPr wrap="square" lIns="91440" tIns="45720" rIns="91440" bIns="45720">
          <a:noAutofit/>
        </a:bodyPr>
        <a:lstStyle/>
        <a:p>
          <a:pPr algn="ctr">
            <a:lnSpc>
              <a:spcPts val="1300"/>
            </a:lnSpc>
          </a:pPr>
          <a:r>
            <a:rPr lang="es-ES" sz="1600" b="1" cap="none" spc="50" baseline="0">
              <a:ln w="13500">
                <a:solidFill>
                  <a:schemeClr val="accent1">
                    <a:shade val="2500"/>
                    <a:alpha val="6500"/>
                  </a:schemeClr>
                </a:solidFill>
                <a:prstDash val="solid"/>
              </a:ln>
              <a:solidFill>
                <a:schemeClr val="tx2">
                  <a:lumMod val="60000"/>
                  <a:lumOff val="40000"/>
                  <a:alpha val="95000"/>
                </a:schemeClr>
              </a:solidFill>
              <a:effectLst>
                <a:innerShdw blurRad="50900" dist="38500" dir="13500000">
                  <a:srgbClr val="000000">
                    <a:alpha val="60000"/>
                  </a:srgbClr>
                </a:innerShdw>
              </a:effectLst>
            </a:rPr>
            <a:t>AVANCE DICIEMBRE 30 DE 2015</a:t>
          </a:r>
          <a:endParaRPr lang="es-ES" sz="1600" b="1" cap="none" spc="50">
            <a:ln w="13500">
              <a:solidFill>
                <a:schemeClr val="accent1">
                  <a:shade val="2500"/>
                  <a:alpha val="6500"/>
                </a:schemeClr>
              </a:solidFill>
              <a:prstDash val="solid"/>
            </a:ln>
            <a:solidFill>
              <a:schemeClr val="tx2">
                <a:lumMod val="60000"/>
                <a:lumOff val="40000"/>
                <a:alpha val="95000"/>
              </a:schemeClr>
            </a:solidFill>
            <a:effectLst>
              <a:innerShdw blurRad="50900" dist="38500" dir="13500000">
                <a:srgbClr val="000000">
                  <a:alpha val="60000"/>
                </a:srgbClr>
              </a:innerShdw>
            </a:effectLst>
          </a:endParaRPr>
        </a:p>
      </xdr:txBody>
    </xdr:sp>
    <xdr:clientData/>
  </xdr:oneCellAnchor>
  <xdr:twoCellAnchor>
    <xdr:from>
      <xdr:col>6</xdr:col>
      <xdr:colOff>241299</xdr:colOff>
      <xdr:row>21</xdr:row>
      <xdr:rowOff>89354</xdr:rowOff>
    </xdr:from>
    <xdr:to>
      <xdr:col>12</xdr:col>
      <xdr:colOff>351064</xdr:colOff>
      <xdr:row>27</xdr:row>
      <xdr:rowOff>419552</xdr:rowOff>
    </xdr:to>
    <xdr:graphicFrame macro="">
      <xdr:nvGraphicFramePr>
        <xdr:cNvPr id="3"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306161</xdr:colOff>
      <xdr:row>21</xdr:row>
      <xdr:rowOff>53068</xdr:rowOff>
    </xdr:from>
    <xdr:to>
      <xdr:col>17</xdr:col>
      <xdr:colOff>442232</xdr:colOff>
      <xdr:row>27</xdr:row>
      <xdr:rowOff>396875</xdr:rowOff>
    </xdr:to>
    <xdr:graphicFrame macro="">
      <xdr:nvGraphicFramePr>
        <xdr:cNvPr id="4"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11793</xdr:colOff>
      <xdr:row>8</xdr:row>
      <xdr:rowOff>45357</xdr:rowOff>
    </xdr:from>
    <xdr:to>
      <xdr:col>6</xdr:col>
      <xdr:colOff>328839</xdr:colOff>
      <xdr:row>17</xdr:row>
      <xdr:rowOff>11340</xdr:rowOff>
    </xdr:to>
    <xdr:graphicFrame macro="">
      <xdr:nvGraphicFramePr>
        <xdr:cNvPr id="5"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22679</xdr:colOff>
      <xdr:row>8</xdr:row>
      <xdr:rowOff>170090</xdr:rowOff>
    </xdr:from>
    <xdr:to>
      <xdr:col>18</xdr:col>
      <xdr:colOff>0</xdr:colOff>
      <xdr:row>16</xdr:row>
      <xdr:rowOff>170089</xdr:rowOff>
    </xdr:to>
    <xdr:graphicFrame macro="">
      <xdr:nvGraphicFramePr>
        <xdr:cNvPr id="13" name="Gráfico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226787</xdr:colOff>
      <xdr:row>37</xdr:row>
      <xdr:rowOff>30391</xdr:rowOff>
    </xdr:from>
    <xdr:to>
      <xdr:col>17</xdr:col>
      <xdr:colOff>362858</xdr:colOff>
      <xdr:row>43</xdr:row>
      <xdr:rowOff>306159</xdr:rowOff>
    </xdr:to>
    <xdr:graphicFrame macro="">
      <xdr:nvGraphicFramePr>
        <xdr:cNvPr id="15"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173263</xdr:colOff>
      <xdr:row>37</xdr:row>
      <xdr:rowOff>45360</xdr:rowOff>
    </xdr:from>
    <xdr:to>
      <xdr:col>12</xdr:col>
      <xdr:colOff>283028</xdr:colOff>
      <xdr:row>43</xdr:row>
      <xdr:rowOff>374196</xdr:rowOff>
    </xdr:to>
    <xdr:graphicFrame macro="">
      <xdr:nvGraphicFramePr>
        <xdr:cNvPr id="16"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207281</xdr:colOff>
      <xdr:row>53</xdr:row>
      <xdr:rowOff>68036</xdr:rowOff>
    </xdr:from>
    <xdr:to>
      <xdr:col>12</xdr:col>
      <xdr:colOff>317046</xdr:colOff>
      <xdr:row>59</xdr:row>
      <xdr:rowOff>396875</xdr:rowOff>
    </xdr:to>
    <xdr:graphicFrame macro="">
      <xdr:nvGraphicFramePr>
        <xdr:cNvPr id="18"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229960</xdr:colOff>
      <xdr:row>69</xdr:row>
      <xdr:rowOff>43998</xdr:rowOff>
    </xdr:from>
    <xdr:to>
      <xdr:col>12</xdr:col>
      <xdr:colOff>339725</xdr:colOff>
      <xdr:row>76</xdr:row>
      <xdr:rowOff>0</xdr:rowOff>
    </xdr:to>
    <xdr:graphicFrame macro="">
      <xdr:nvGraphicFramePr>
        <xdr:cNvPr id="19"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195942</xdr:colOff>
      <xdr:row>85</xdr:row>
      <xdr:rowOff>112033</xdr:rowOff>
    </xdr:from>
    <xdr:to>
      <xdr:col>12</xdr:col>
      <xdr:colOff>305707</xdr:colOff>
      <xdr:row>99</xdr:row>
      <xdr:rowOff>45357</xdr:rowOff>
    </xdr:to>
    <xdr:graphicFrame macro="">
      <xdr:nvGraphicFramePr>
        <xdr:cNvPr id="20"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283484</xdr:colOff>
      <xdr:row>53</xdr:row>
      <xdr:rowOff>53069</xdr:rowOff>
    </xdr:from>
    <xdr:to>
      <xdr:col>17</xdr:col>
      <xdr:colOff>419555</xdr:colOff>
      <xdr:row>59</xdr:row>
      <xdr:rowOff>340179</xdr:rowOff>
    </xdr:to>
    <xdr:graphicFrame macro="">
      <xdr:nvGraphicFramePr>
        <xdr:cNvPr id="21"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294824</xdr:colOff>
      <xdr:row>69</xdr:row>
      <xdr:rowOff>109765</xdr:rowOff>
    </xdr:from>
    <xdr:to>
      <xdr:col>17</xdr:col>
      <xdr:colOff>430895</xdr:colOff>
      <xdr:row>76</xdr:row>
      <xdr:rowOff>0</xdr:rowOff>
    </xdr:to>
    <xdr:graphicFrame macro="">
      <xdr:nvGraphicFramePr>
        <xdr:cNvPr id="22"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374199</xdr:colOff>
      <xdr:row>85</xdr:row>
      <xdr:rowOff>98425</xdr:rowOff>
    </xdr:from>
    <xdr:to>
      <xdr:col>17</xdr:col>
      <xdr:colOff>510270</xdr:colOff>
      <xdr:row>98</xdr:row>
      <xdr:rowOff>147411</xdr:rowOff>
    </xdr:to>
    <xdr:graphicFrame macro="">
      <xdr:nvGraphicFramePr>
        <xdr:cNvPr id="23"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xdr:col>
      <xdr:colOff>861785</xdr:colOff>
      <xdr:row>8</xdr:row>
      <xdr:rowOff>79375</xdr:rowOff>
    </xdr:from>
    <xdr:to>
      <xdr:col>10</xdr:col>
      <xdr:colOff>158750</xdr:colOff>
      <xdr:row>17</xdr:row>
      <xdr:rowOff>136072</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9</xdr:col>
      <xdr:colOff>47625</xdr:colOff>
      <xdr:row>18</xdr:row>
      <xdr:rowOff>219074</xdr:rowOff>
    </xdr:from>
    <xdr:to>
      <xdr:col>14</xdr:col>
      <xdr:colOff>190500</xdr:colOff>
      <xdr:row>26</xdr:row>
      <xdr:rowOff>19050</xdr:rowOff>
    </xdr:to>
    <xdr:graphicFrame macro="">
      <xdr:nvGraphicFramePr>
        <xdr:cNvPr id="3"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7</xdr:row>
      <xdr:rowOff>133350</xdr:rowOff>
    </xdr:from>
    <xdr:to>
      <xdr:col>12</xdr:col>
      <xdr:colOff>276225</xdr:colOff>
      <xdr:row>7</xdr:row>
      <xdr:rowOff>142875</xdr:rowOff>
    </xdr:to>
    <xdr:cxnSp macro="">
      <xdr:nvCxnSpPr>
        <xdr:cNvPr id="5" name="Conector recto de flecha 2"/>
        <xdr:cNvCxnSpPr>
          <a:cxnSpLocks noChangeShapeType="1"/>
        </xdr:cNvCxnSpPr>
      </xdr:nvCxnSpPr>
      <xdr:spPr bwMode="auto">
        <a:xfrm flipH="1" flipV="1">
          <a:off x="7553325" y="1200150"/>
          <a:ext cx="276225" cy="9525"/>
        </a:xfrm>
        <a:prstGeom prst="straightConnector1">
          <a:avLst/>
        </a:prstGeom>
        <a:noFill/>
        <a:ln w="38100" algn="ctr">
          <a:solidFill>
            <a:srgbClr val="FF0000"/>
          </a:solidFill>
          <a:round/>
          <a:headEnd/>
          <a:tailEnd type="triangle" w="med" len="med"/>
        </a:ln>
        <a:extLst>
          <a:ext uri="{909E8E84-426E-40DD-AFC4-6F175D3DCCD1}">
            <a14:hiddenFill xmlns:a14="http://schemas.microsoft.com/office/drawing/2010/main">
              <a:noFill/>
            </a14:hiddenFill>
          </a:ext>
        </a:extLst>
      </xdr:spPr>
    </xdr:cxnSp>
    <xdr:clientData/>
  </xdr:twoCellAnchor>
  <xdr:oneCellAnchor>
    <xdr:from>
      <xdr:col>12</xdr:col>
      <xdr:colOff>409575</xdr:colOff>
      <xdr:row>0</xdr:row>
      <xdr:rowOff>106719</xdr:rowOff>
    </xdr:from>
    <xdr:ext cx="3404896" cy="289983"/>
    <xdr:sp macro="" textlink="">
      <xdr:nvSpPr>
        <xdr:cNvPr id="22" name="3 Rectángulo"/>
        <xdr:cNvSpPr/>
      </xdr:nvSpPr>
      <xdr:spPr>
        <a:xfrm>
          <a:off x="7962900" y="106719"/>
          <a:ext cx="3404896" cy="289983"/>
        </a:xfrm>
        <a:prstGeom prst="rect">
          <a:avLst/>
        </a:prstGeom>
        <a:noFill/>
        <a:effectLst>
          <a:glow rad="127000">
            <a:srgbClr val="7D4199"/>
          </a:glow>
          <a:outerShdw blurRad="50800" dist="38100" dir="2700000" algn="tl" rotWithShape="0">
            <a:prstClr val="black">
              <a:alpha val="40000"/>
            </a:prstClr>
          </a:outerShdw>
        </a:effectLst>
      </xdr:spPr>
      <xdr:txBody>
        <a:bodyPr wrap="square" lIns="91440" tIns="45720" rIns="91440" bIns="45720">
          <a:noAutofit/>
        </a:bodyPr>
        <a:lstStyle/>
        <a:p>
          <a:pPr algn="ctr">
            <a:lnSpc>
              <a:spcPts val="1300"/>
            </a:lnSpc>
          </a:pPr>
          <a:r>
            <a:rPr lang="es-ES" sz="1600" b="1" cap="none" spc="50" baseline="0">
              <a:ln w="13500">
                <a:solidFill>
                  <a:schemeClr val="accent1">
                    <a:shade val="2500"/>
                    <a:alpha val="6500"/>
                  </a:schemeClr>
                </a:solidFill>
                <a:prstDash val="solid"/>
              </a:ln>
              <a:solidFill>
                <a:schemeClr val="tx2">
                  <a:lumMod val="60000"/>
                  <a:lumOff val="40000"/>
                  <a:alpha val="95000"/>
                </a:schemeClr>
              </a:solidFill>
              <a:effectLst>
                <a:innerShdw blurRad="50900" dist="38500" dir="13500000">
                  <a:srgbClr val="000000">
                    <a:alpha val="60000"/>
                  </a:srgbClr>
                </a:innerShdw>
              </a:effectLst>
            </a:rPr>
            <a:t>AVANCE DICIEMBRE 30 DE 2015</a:t>
          </a:r>
          <a:endParaRPr lang="es-ES" sz="1600" b="1" cap="none" spc="50">
            <a:ln w="13500">
              <a:solidFill>
                <a:schemeClr val="accent1">
                  <a:shade val="2500"/>
                  <a:alpha val="6500"/>
                </a:schemeClr>
              </a:solidFill>
              <a:prstDash val="solid"/>
            </a:ln>
            <a:solidFill>
              <a:schemeClr val="tx2">
                <a:lumMod val="60000"/>
                <a:lumOff val="40000"/>
                <a:alpha val="95000"/>
              </a:schemeClr>
            </a:solidFill>
            <a:effectLst>
              <a:innerShdw blurRad="50900" dist="38500" dir="13500000">
                <a:srgbClr val="000000">
                  <a:alpha val="60000"/>
                </a:srgbClr>
              </a:innerShdw>
            </a:effectLst>
          </a:endParaRPr>
        </a:p>
      </xdr:txBody>
    </xdr:sp>
    <xdr:clientData/>
  </xdr:oneCellAnchor>
  <xdr:twoCellAnchor>
    <xdr:from>
      <xdr:col>13</xdr:col>
      <xdr:colOff>504826</xdr:colOff>
      <xdr:row>18</xdr:row>
      <xdr:rowOff>209550</xdr:rowOff>
    </xdr:from>
    <xdr:to>
      <xdr:col>17</xdr:col>
      <xdr:colOff>533401</xdr:colOff>
      <xdr:row>26</xdr:row>
      <xdr:rowOff>19050</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752475</xdr:colOff>
      <xdr:row>4</xdr:row>
      <xdr:rowOff>123825</xdr:rowOff>
    </xdr:from>
    <xdr:to>
      <xdr:col>12</xdr:col>
      <xdr:colOff>266700</xdr:colOff>
      <xdr:row>4</xdr:row>
      <xdr:rowOff>133350</xdr:rowOff>
    </xdr:to>
    <xdr:cxnSp macro="">
      <xdr:nvCxnSpPr>
        <xdr:cNvPr id="6" name="Conector recto de flecha 2"/>
        <xdr:cNvCxnSpPr>
          <a:cxnSpLocks noChangeShapeType="1"/>
        </xdr:cNvCxnSpPr>
      </xdr:nvCxnSpPr>
      <xdr:spPr bwMode="auto">
        <a:xfrm flipH="1" flipV="1">
          <a:off x="7543800" y="838200"/>
          <a:ext cx="276225" cy="9525"/>
        </a:xfrm>
        <a:prstGeom prst="straightConnector1">
          <a:avLst/>
        </a:prstGeom>
        <a:noFill/>
        <a:ln w="38100" algn="ctr">
          <a:solidFill>
            <a:srgbClr val="FF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123826</xdr:colOff>
      <xdr:row>11</xdr:row>
      <xdr:rowOff>95250</xdr:rowOff>
    </xdr:from>
    <xdr:to>
      <xdr:col>15</xdr:col>
      <xdr:colOff>514350</xdr:colOff>
      <xdr:row>23</xdr:row>
      <xdr:rowOff>114300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742950</xdr:colOff>
      <xdr:row>7</xdr:row>
      <xdr:rowOff>152400</xdr:rowOff>
    </xdr:from>
    <xdr:to>
      <xdr:col>12</xdr:col>
      <xdr:colOff>209550</xdr:colOff>
      <xdr:row>7</xdr:row>
      <xdr:rowOff>161925</xdr:rowOff>
    </xdr:to>
    <xdr:cxnSp macro="">
      <xdr:nvCxnSpPr>
        <xdr:cNvPr id="3" name="Conector recto de flecha 2"/>
        <xdr:cNvCxnSpPr>
          <a:cxnSpLocks noChangeShapeType="1"/>
        </xdr:cNvCxnSpPr>
      </xdr:nvCxnSpPr>
      <xdr:spPr bwMode="auto">
        <a:xfrm flipH="1" flipV="1">
          <a:off x="7896225" y="1019175"/>
          <a:ext cx="228600" cy="9525"/>
        </a:xfrm>
        <a:prstGeom prst="straightConnector1">
          <a:avLst/>
        </a:prstGeom>
        <a:noFill/>
        <a:ln w="38100" algn="ctr">
          <a:solidFill>
            <a:srgbClr val="FF0000"/>
          </a:solidFill>
          <a:round/>
          <a:headEnd/>
          <a:tailEnd type="triangle" w="med" len="med"/>
        </a:ln>
        <a:extLst>
          <a:ext uri="{909E8E84-426E-40DD-AFC4-6F175D3DCCD1}">
            <a14:hiddenFill xmlns:a14="http://schemas.microsoft.com/office/drawing/2010/main">
              <a:noFill/>
            </a14:hiddenFill>
          </a:ext>
        </a:extLst>
      </xdr:spPr>
    </xdr:cxnSp>
    <xdr:clientData/>
  </xdr:twoCellAnchor>
  <xdr:oneCellAnchor>
    <xdr:from>
      <xdr:col>5</xdr:col>
      <xdr:colOff>228600</xdr:colOff>
      <xdr:row>2</xdr:row>
      <xdr:rowOff>68619</xdr:rowOff>
    </xdr:from>
    <xdr:ext cx="3404896" cy="289983"/>
    <xdr:sp macro="" textlink="">
      <xdr:nvSpPr>
        <xdr:cNvPr id="4" name="3 Rectángulo"/>
        <xdr:cNvSpPr/>
      </xdr:nvSpPr>
      <xdr:spPr>
        <a:xfrm>
          <a:off x="3114675" y="506769"/>
          <a:ext cx="3404896" cy="289983"/>
        </a:xfrm>
        <a:prstGeom prst="rect">
          <a:avLst/>
        </a:prstGeom>
        <a:noFill/>
        <a:effectLst>
          <a:glow rad="127000">
            <a:srgbClr val="7D4199"/>
          </a:glow>
          <a:outerShdw blurRad="50800" dist="38100" dir="2700000" algn="tl" rotWithShape="0">
            <a:prstClr val="black">
              <a:alpha val="40000"/>
            </a:prstClr>
          </a:outerShdw>
        </a:effectLst>
      </xdr:spPr>
      <xdr:txBody>
        <a:bodyPr wrap="square" lIns="91440" tIns="45720" rIns="91440" bIns="45720">
          <a:noAutofit/>
        </a:bodyPr>
        <a:lstStyle/>
        <a:p>
          <a:pPr algn="ctr">
            <a:lnSpc>
              <a:spcPts val="1300"/>
            </a:lnSpc>
          </a:pPr>
          <a:r>
            <a:rPr lang="es-ES" sz="1600" b="1" cap="none" spc="50" baseline="0">
              <a:ln w="13500">
                <a:solidFill>
                  <a:schemeClr val="accent1">
                    <a:shade val="2500"/>
                    <a:alpha val="6500"/>
                  </a:schemeClr>
                </a:solidFill>
                <a:prstDash val="solid"/>
              </a:ln>
              <a:solidFill>
                <a:schemeClr val="tx2">
                  <a:lumMod val="60000"/>
                  <a:lumOff val="40000"/>
                  <a:alpha val="95000"/>
                </a:schemeClr>
              </a:solidFill>
              <a:effectLst>
                <a:innerShdw blurRad="50900" dist="38500" dir="13500000">
                  <a:srgbClr val="000000">
                    <a:alpha val="60000"/>
                  </a:srgbClr>
                </a:innerShdw>
              </a:effectLst>
            </a:rPr>
            <a:t>AVANCE DICIEMBRE 30 DE 2015</a:t>
          </a:r>
          <a:endParaRPr lang="es-ES" sz="1600" b="1" cap="none" spc="50">
            <a:ln w="13500">
              <a:solidFill>
                <a:schemeClr val="accent1">
                  <a:shade val="2500"/>
                  <a:alpha val="6500"/>
                </a:schemeClr>
              </a:solidFill>
              <a:prstDash val="solid"/>
            </a:ln>
            <a:solidFill>
              <a:schemeClr val="tx2">
                <a:lumMod val="60000"/>
                <a:lumOff val="40000"/>
                <a:alpha val="95000"/>
              </a:schemeClr>
            </a:solidFill>
            <a:effectLst>
              <a:innerShdw blurRad="50900" dist="38500" dir="13500000">
                <a:srgbClr val="000000">
                  <a:alpha val="60000"/>
                </a:srgbClr>
              </a:innerShdw>
            </a:effectLst>
          </a:endParaRPr>
        </a:p>
      </xdr:txBody>
    </xdr:sp>
    <xdr:clientData/>
  </xdr:oneCellAnchor>
  <xdr:twoCellAnchor>
    <xdr:from>
      <xdr:col>4</xdr:col>
      <xdr:colOff>9525</xdr:colOff>
      <xdr:row>19</xdr:row>
      <xdr:rowOff>57149</xdr:rowOff>
    </xdr:from>
    <xdr:to>
      <xdr:col>6</xdr:col>
      <xdr:colOff>485775</xdr:colOff>
      <xdr:row>23</xdr:row>
      <xdr:rowOff>276224</xdr:rowOff>
    </xdr:to>
    <xdr:graphicFrame macro="">
      <xdr:nvGraphicFramePr>
        <xdr:cNvPr id="7" name="Gráfico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14</xdr:col>
      <xdr:colOff>0</xdr:colOff>
      <xdr:row>2</xdr:row>
      <xdr:rowOff>217710</xdr:rowOff>
    </xdr:from>
    <xdr:to>
      <xdr:col>14</xdr:col>
      <xdr:colOff>328083</xdr:colOff>
      <xdr:row>4</xdr:row>
      <xdr:rowOff>0</xdr:rowOff>
    </xdr:to>
    <xdr:sp macro="" textlink="">
      <xdr:nvSpPr>
        <xdr:cNvPr id="2" name="35 Flecha izquierda"/>
        <xdr:cNvSpPr/>
      </xdr:nvSpPr>
      <xdr:spPr bwMode="auto">
        <a:xfrm rot="10800000">
          <a:off x="9353550" y="636810"/>
          <a:ext cx="328083" cy="315690"/>
        </a:xfrm>
        <a:prstGeom prst="leftArrow">
          <a:avLst/>
        </a:prstGeom>
        <a:solidFill>
          <a:srgbClr val="FFFFFF">
            <a:alpha val="0"/>
          </a:srgbClr>
        </a:solidFill>
        <a:ln w="3175">
          <a:solidFill>
            <a:srgbClr val="FF0000"/>
          </a:solidFill>
          <a:headEnd type="none" w="med" len="med"/>
          <a:tailEnd type="none" w="med" len="med"/>
        </a:ln>
      </xdr:spPr>
      <xdr:style>
        <a:lnRef idx="2">
          <a:schemeClr val="accent5"/>
        </a:lnRef>
        <a:fillRef idx="1">
          <a:schemeClr val="lt1"/>
        </a:fillRef>
        <a:effectRef idx="0">
          <a:schemeClr val="accent5"/>
        </a:effectRef>
        <a:fontRef idx="minor">
          <a:schemeClr val="dk1"/>
        </a:fontRef>
      </xdr:style>
      <xdr:txBody>
        <a:bodyPr vertOverflow="clip" wrap="square" lIns="18288" tIns="0" rIns="0" bIns="0" rtlCol="0" anchor="ctr" upright="1"/>
        <a:lstStyle/>
        <a:p>
          <a:pPr algn="r"/>
          <a:endParaRPr lang="es-CO" sz="1100"/>
        </a:p>
      </xdr:txBody>
    </xdr:sp>
    <xdr:clientData/>
  </xdr:twoCellAnchor>
  <xdr:twoCellAnchor>
    <xdr:from>
      <xdr:col>7</xdr:col>
      <xdr:colOff>10949</xdr:colOff>
      <xdr:row>27</xdr:row>
      <xdr:rowOff>43795</xdr:rowOff>
    </xdr:from>
    <xdr:to>
      <xdr:col>12</xdr:col>
      <xdr:colOff>273707</xdr:colOff>
      <xdr:row>39</xdr:row>
      <xdr:rowOff>175172</xdr:rowOff>
    </xdr:to>
    <xdr:graphicFrame macro="">
      <xdr:nvGraphicFramePr>
        <xdr:cNvPr id="3"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208017</xdr:colOff>
      <xdr:row>27</xdr:row>
      <xdr:rowOff>43792</xdr:rowOff>
    </xdr:from>
    <xdr:to>
      <xdr:col>15</xdr:col>
      <xdr:colOff>351439</xdr:colOff>
      <xdr:row>39</xdr:row>
      <xdr:rowOff>175171</xdr:rowOff>
    </xdr:to>
    <xdr:graphicFrame macro="">
      <xdr:nvGraphicFramePr>
        <xdr:cNvPr id="4"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68035</xdr:colOff>
      <xdr:row>1</xdr:row>
      <xdr:rowOff>158748</xdr:rowOff>
    </xdr:from>
    <xdr:to>
      <xdr:col>12</xdr:col>
      <xdr:colOff>544287</xdr:colOff>
      <xdr:row>3</xdr:row>
      <xdr:rowOff>42332</xdr:rowOff>
    </xdr:to>
    <xdr:sp macro="" textlink="">
      <xdr:nvSpPr>
        <xdr:cNvPr id="5" name="35 Flecha izquierda"/>
        <xdr:cNvSpPr/>
      </xdr:nvSpPr>
      <xdr:spPr bwMode="auto">
        <a:xfrm rot="10800000">
          <a:off x="7411810" y="396873"/>
          <a:ext cx="476252" cy="302684"/>
        </a:xfrm>
        <a:prstGeom prst="leftArrow">
          <a:avLst/>
        </a:prstGeom>
        <a:solidFill>
          <a:schemeClr val="accent1">
            <a:lumMod val="60000"/>
            <a:lumOff val="40000"/>
            <a:alpha val="0"/>
          </a:schemeClr>
        </a:solidFill>
        <a:ln w="3175">
          <a:solidFill>
            <a:srgbClr val="FF0000"/>
          </a:solidFill>
          <a:headEnd type="none" w="med" len="med"/>
          <a:tailEnd type="none" w="med" len="med"/>
        </a:ln>
      </xdr:spPr>
      <xdr:style>
        <a:lnRef idx="2">
          <a:schemeClr val="accent5"/>
        </a:lnRef>
        <a:fillRef idx="1">
          <a:schemeClr val="lt1"/>
        </a:fillRef>
        <a:effectRef idx="0">
          <a:schemeClr val="accent5"/>
        </a:effectRef>
        <a:fontRef idx="minor">
          <a:schemeClr val="dk1"/>
        </a:fontRef>
      </xdr:style>
      <xdr:txBody>
        <a:bodyPr vertOverflow="clip" wrap="square" lIns="18288" tIns="0" rIns="0" bIns="0" rtlCol="0" anchor="ctr" upright="1"/>
        <a:lstStyle/>
        <a:p>
          <a:pPr algn="ctr"/>
          <a:endParaRPr lang="es-CO" sz="1100"/>
        </a:p>
      </xdr:txBody>
    </xdr:sp>
    <xdr:clientData/>
  </xdr:twoCellAnchor>
  <xdr:oneCellAnchor>
    <xdr:from>
      <xdr:col>1</xdr:col>
      <xdr:colOff>727137</xdr:colOff>
      <xdr:row>2</xdr:row>
      <xdr:rowOff>164223</xdr:rowOff>
    </xdr:from>
    <xdr:ext cx="4099576" cy="210356"/>
    <xdr:sp macro="" textlink="">
      <xdr:nvSpPr>
        <xdr:cNvPr id="6" name="3 Rectángulo"/>
        <xdr:cNvSpPr/>
      </xdr:nvSpPr>
      <xdr:spPr>
        <a:xfrm>
          <a:off x="844862" y="581611"/>
          <a:ext cx="4099576" cy="210356"/>
        </a:xfrm>
        <a:prstGeom prst="rect">
          <a:avLst/>
        </a:prstGeom>
        <a:noFill/>
        <a:effectLst>
          <a:glow rad="127000">
            <a:srgbClr val="7D4199"/>
          </a:glow>
          <a:outerShdw blurRad="50800" dist="38100" dir="2700000" algn="tl" rotWithShape="0">
            <a:prstClr val="black">
              <a:alpha val="40000"/>
            </a:prstClr>
          </a:outerShdw>
        </a:effectLst>
      </xdr:spPr>
      <xdr:txBody>
        <a:bodyPr wrap="square" lIns="91440" tIns="45720" rIns="91440" bIns="45720">
          <a:noAutofit/>
        </a:bodyPr>
        <a:lstStyle/>
        <a:p>
          <a:pPr algn="ctr">
            <a:lnSpc>
              <a:spcPts val="1300"/>
            </a:lnSpc>
          </a:pPr>
          <a:r>
            <a:rPr lang="es-ES" sz="2000" b="1" cap="none" spc="50" baseline="0">
              <a:ln w="13500">
                <a:solidFill>
                  <a:schemeClr val="accent1">
                    <a:shade val="2500"/>
                    <a:alpha val="6500"/>
                  </a:schemeClr>
                </a:solidFill>
                <a:prstDash val="solid"/>
              </a:ln>
              <a:solidFill>
                <a:srgbClr val="C00000">
                  <a:alpha val="95000"/>
                </a:srgbClr>
              </a:solidFill>
              <a:effectLst>
                <a:innerShdw blurRad="50900" dist="38500" dir="13500000">
                  <a:srgbClr val="000000">
                    <a:alpha val="60000"/>
                  </a:srgbClr>
                </a:innerShdw>
              </a:effectLst>
            </a:rPr>
            <a:t>Diciembre 30 de 2015</a:t>
          </a:r>
        </a:p>
        <a:p>
          <a:pPr algn="ctr">
            <a:lnSpc>
              <a:spcPts val="1300"/>
            </a:lnSpc>
          </a:pPr>
          <a:endParaRPr lang="es-ES" sz="2000" b="1" cap="none" spc="50">
            <a:ln w="13500">
              <a:solidFill>
                <a:schemeClr val="accent1">
                  <a:shade val="2500"/>
                  <a:alpha val="6500"/>
                </a:schemeClr>
              </a:solidFill>
              <a:prstDash val="solid"/>
            </a:ln>
            <a:solidFill>
              <a:srgbClr val="C00000">
                <a:alpha val="95000"/>
              </a:srgbClr>
            </a:solidFill>
            <a:effectLst>
              <a:innerShdw blurRad="50900" dist="38500" dir="13500000">
                <a:srgbClr val="000000">
                  <a:alpha val="60000"/>
                </a:srgbClr>
              </a:innerShdw>
            </a:effectLst>
          </a:endParaRPr>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13</xdr:col>
      <xdr:colOff>190500</xdr:colOff>
      <xdr:row>23</xdr:row>
      <xdr:rowOff>22151</xdr:rowOff>
    </xdr:from>
    <xdr:to>
      <xdr:col>16</xdr:col>
      <xdr:colOff>971550</xdr:colOff>
      <xdr:row>33</xdr:row>
      <xdr:rowOff>120723</xdr:rowOff>
    </xdr:to>
    <xdr:graphicFrame macro="">
      <xdr:nvGraphicFramePr>
        <xdr:cNvPr id="4670"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31897</xdr:colOff>
      <xdr:row>23</xdr:row>
      <xdr:rowOff>39650</xdr:rowOff>
    </xdr:from>
    <xdr:to>
      <xdr:col>13</xdr:col>
      <xdr:colOff>132906</xdr:colOff>
      <xdr:row>33</xdr:row>
      <xdr:rowOff>153950</xdr:rowOff>
    </xdr:to>
    <xdr:graphicFrame macro="">
      <xdr:nvGraphicFramePr>
        <xdr:cNvPr id="4671"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228600</xdr:colOff>
      <xdr:row>4</xdr:row>
      <xdr:rowOff>133350</xdr:rowOff>
    </xdr:from>
    <xdr:to>
      <xdr:col>15</xdr:col>
      <xdr:colOff>676275</xdr:colOff>
      <xdr:row>4</xdr:row>
      <xdr:rowOff>142875</xdr:rowOff>
    </xdr:to>
    <xdr:cxnSp macro="">
      <xdr:nvCxnSpPr>
        <xdr:cNvPr id="4672" name="Conector recto de flecha 2"/>
        <xdr:cNvCxnSpPr>
          <a:cxnSpLocks noChangeShapeType="1"/>
        </xdr:cNvCxnSpPr>
      </xdr:nvCxnSpPr>
      <xdr:spPr bwMode="auto">
        <a:xfrm>
          <a:off x="9267825" y="857250"/>
          <a:ext cx="447675" cy="9525"/>
        </a:xfrm>
        <a:prstGeom prst="straightConnector1">
          <a:avLst/>
        </a:prstGeom>
        <a:noFill/>
        <a:ln w="38100" algn="ctr">
          <a:solidFill>
            <a:srgbClr val="FF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17</xdr:col>
      <xdr:colOff>8200</xdr:colOff>
      <xdr:row>2</xdr:row>
      <xdr:rowOff>142876</xdr:rowOff>
    </xdr:from>
    <xdr:to>
      <xdr:col>18</xdr:col>
      <xdr:colOff>22151</xdr:colOff>
      <xdr:row>2</xdr:row>
      <xdr:rowOff>143982</xdr:rowOff>
    </xdr:to>
    <xdr:cxnSp macro="">
      <xdr:nvCxnSpPr>
        <xdr:cNvPr id="4673" name="Conector recto de flecha 17"/>
        <xdr:cNvCxnSpPr>
          <a:cxnSpLocks noChangeShapeType="1"/>
        </xdr:cNvCxnSpPr>
      </xdr:nvCxnSpPr>
      <xdr:spPr bwMode="auto">
        <a:xfrm flipH="1" flipV="1">
          <a:off x="10817967" y="596975"/>
          <a:ext cx="434824" cy="1106"/>
        </a:xfrm>
        <a:prstGeom prst="straightConnector1">
          <a:avLst/>
        </a:prstGeom>
        <a:noFill/>
        <a:ln w="63500" algn="ctr">
          <a:solidFill>
            <a:schemeClr val="accent2"/>
          </a:solidFill>
          <a:round/>
          <a:headEnd/>
          <a:tailEnd type="triangle" w="med" len="med"/>
        </a:ln>
        <a:extLst>
          <a:ext uri="{909E8E84-426E-40DD-AFC4-6F175D3DCCD1}">
            <a14:hiddenFill xmlns:a14="http://schemas.microsoft.com/office/drawing/2010/main">
              <a:noFill/>
            </a14:hiddenFill>
          </a:ext>
        </a:extLst>
      </xdr:spPr>
    </xdr:cxnSp>
    <xdr:clientData/>
  </xdr:twoCellAnchor>
  <xdr:oneCellAnchor>
    <xdr:from>
      <xdr:col>0</xdr:col>
      <xdr:colOff>0</xdr:colOff>
      <xdr:row>3</xdr:row>
      <xdr:rowOff>11077</xdr:rowOff>
    </xdr:from>
    <xdr:ext cx="4784651" cy="365494"/>
    <xdr:sp macro="" textlink="">
      <xdr:nvSpPr>
        <xdr:cNvPr id="8" name="3 Rectángulo"/>
        <xdr:cNvSpPr/>
      </xdr:nvSpPr>
      <xdr:spPr>
        <a:xfrm>
          <a:off x="0" y="719914"/>
          <a:ext cx="4784651" cy="365494"/>
        </a:xfrm>
        <a:prstGeom prst="rect">
          <a:avLst/>
        </a:prstGeom>
        <a:noFill/>
        <a:effectLst>
          <a:glow rad="127000">
            <a:srgbClr val="7D4199"/>
          </a:glow>
          <a:outerShdw blurRad="50800" dist="38100" dir="2700000" algn="tl" rotWithShape="0">
            <a:prstClr val="black">
              <a:alpha val="40000"/>
            </a:prstClr>
          </a:outerShdw>
        </a:effectLst>
      </xdr:spPr>
      <xdr:txBody>
        <a:bodyPr wrap="square" lIns="91440" tIns="45720" rIns="91440" bIns="45720">
          <a:noAutofit/>
        </a:bodyPr>
        <a:lstStyle/>
        <a:p>
          <a:pPr algn="ctr">
            <a:lnSpc>
              <a:spcPts val="1300"/>
            </a:lnSpc>
          </a:pPr>
          <a:r>
            <a:rPr lang="es-ES" sz="2000" b="1" cap="none" spc="50" baseline="0">
              <a:ln w="13500">
                <a:solidFill>
                  <a:schemeClr val="accent1">
                    <a:shade val="2500"/>
                    <a:alpha val="6500"/>
                  </a:schemeClr>
                </a:solidFill>
                <a:prstDash val="solid"/>
              </a:ln>
              <a:solidFill>
                <a:srgbClr val="C00000">
                  <a:alpha val="95000"/>
                </a:srgbClr>
              </a:solidFill>
              <a:effectLst>
                <a:innerShdw blurRad="50900" dist="38500" dir="13500000">
                  <a:srgbClr val="000000">
                    <a:alpha val="60000"/>
                  </a:srgbClr>
                </a:innerShdw>
              </a:effectLst>
            </a:rPr>
            <a:t>Diciembre 30 de 2015</a:t>
          </a:r>
        </a:p>
        <a:p>
          <a:pPr algn="ctr">
            <a:lnSpc>
              <a:spcPts val="1300"/>
            </a:lnSpc>
          </a:pPr>
          <a:endParaRPr lang="es-ES" sz="2000" b="1" cap="none" spc="50">
            <a:ln w="13500">
              <a:solidFill>
                <a:schemeClr val="accent1">
                  <a:shade val="2500"/>
                  <a:alpha val="6500"/>
                </a:schemeClr>
              </a:solidFill>
              <a:prstDash val="solid"/>
            </a:ln>
            <a:solidFill>
              <a:srgbClr val="C00000">
                <a:alpha val="95000"/>
              </a:srgbClr>
            </a:solidFill>
            <a:effectLst>
              <a:innerShdw blurRad="50900" dist="38500" dir="13500000">
                <a:srgbClr val="000000">
                  <a:alpha val="60000"/>
                </a:srgbClr>
              </a:innerShdw>
            </a:effectLst>
          </a:endParaRP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ldelgado/Desktop/ANAPOIMA/ANAPOIMA_Visor%20PLAN%20INDICATIVO_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Ejes"/>
      <sheetName val="Sectores"/>
      <sheetName val="Programas"/>
      <sheetName val="Datos_Sector"/>
      <sheetName val="M_Producto"/>
      <sheetName val="Hoja1"/>
      <sheetName val="DatosP"/>
      <sheetName val="M_Resultado"/>
      <sheetName val="Captura_R"/>
    </sheetNames>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ose Leimar Delgado Torres" refreshedDate="42396.653741087961" createdVersion="5" refreshedVersion="5" minRefreshableVersion="3" recordCount="537">
  <cacheSource type="worksheet">
    <worksheetSource ref="E4:EE541" sheet="Datos_Producto"/>
  </cacheSource>
  <cacheFields count="131">
    <cacheField name="No M.P." numFmtId="0">
      <sharedItems containsSemiMixedTypes="0" containsString="0" containsNumber="1" containsInteger="1" minValue="11" maxValue="627"/>
    </cacheField>
    <cacheField name="OBJETIVO" numFmtId="0">
      <sharedItems count="4">
        <s v="1-DESARROLLO INTEGRAL DEL SER HUMANO"/>
        <s v="2-SOSTENIBILIDAD Y RURALIDAD"/>
        <s v="3-COMPETITIVIDAD, INNOVACION, MOVILIDAD Y REGION"/>
        <s v="4-FORTALECIMIENTO INSTITUCIONAL PARA GENERAR VALOR DE LO PUBLICO"/>
      </sharedItems>
    </cacheField>
    <cacheField name="ENTIDAD" numFmtId="0">
      <sharedItems count="28">
        <s v="SECRETARIA DE SALUD"/>
        <s v="SECRETARIA DE DESARROLLO SOCIAL"/>
        <s v="SECRETARIA DE GOBIERNO"/>
        <s v="SECRETARIA DE EDUCACION"/>
        <s v="INDEPORTES"/>
        <s v="IDECUT"/>
        <s v="BENEFICENCIA"/>
        <s v="INSTITUTO DE ACCION COMUNAL"/>
        <s v="SECRETARIA DE AMBIENTE "/>
        <s v="INSTITUTO DE VIVIENDA"/>
        <s v="ICCU"/>
        <s v="SECRETARIA DE COMPETITIVIDAD"/>
        <s v="SECRETARIA DE AGRICULTURA"/>
        <s v="EPC"/>
        <s v="SECRETARIA DE PLANEACION"/>
        <s v="SECRETARIA DE INTEGRACION REGIONAL"/>
        <s v="UAEGRDC"/>
        <s v="SECRETARIA DE MINAS"/>
        <s v="SECRETARIA DE MOVILIDAD"/>
        <s v="SECRETARIA DE CIENCIA Y TECNOLOGÍA"/>
        <s v="SECRETARIA DE FUNCION PUBLICA"/>
        <s v="SECRETARIA DE GENERAL"/>
        <s v="CORSOCUN / SERVICIOS CORPORATIVOS"/>
        <s v="SECRETARIA DE PRENSA "/>
        <s v="SECRETARIA DE HACIENDA"/>
        <s v="SECRETARIA DE COOPERACION "/>
        <s v="SECRETARIA DE LAS TICS"/>
        <s v="BOSQUES / DESPACHO" u="1"/>
      </sharedItems>
    </cacheField>
    <cacheField name="PROGRAMA" numFmtId="0">
      <sharedItems count="67">
        <s v="1.1. INICIO PAREJO DE LA VIDA "/>
        <s v="1.2. ALIANZA POR LA INFANCIA"/>
        <s v="1.3. VIVE Y CRECE ADOLESCENCIA"/>
        <s v="1.4. JOVENES CONSTRUCTORES DE PAZ"/>
        <s v="1.5. ADULTAS Y ADULTOS CON EQUIDAD"/>
        <s v="1.6. VEJEZ DIVINO TESORO"/>
        <s v="1.8. FAMILIAS FORJADORAS DE SOCIEDAD"/>
        <s v="1.9. MUJERES LIDERES Y LIBRES DE VIOLENCIA"/>
        <s v="1.10. EQUIPAMIENTO SOCIAL PARA EL DESARROLLO INTEGRAL"/>
        <s v="1.7. VICTIMAS DEL CONFLICTO ARMADO CON GARANTIA DE DERECHOS"/>
        <s v="2.1. TERRITORIO SOPORTE PARA EL DESARROLLO"/>
        <s v="2.2. BIENES Y SERVICIOS AMBIENTALES PATRIMONIO DE CUNDINAMARCA"/>
        <s v="2.3. AGUA POTABLE Y SANEAMIENTO BASICO PARA LA SALUD DE LOS CUNDINAMARQUESES"/>
        <s v="2.4. DESARROLLO COMPETITIVO DEL SECTOR AGROPECUARIO"/>
        <s v="2.5. DESARROLLO RURAL INTEGRAL"/>
        <s v="2.6. GESTION INTEGRAL DE RESIDUOS SOLIDOS"/>
        <s v="2.7. GESTION DEL RIESGO Y ADAPTACION AL CAMBIO Y VARIABILIDAD CLIMATICA"/>
        <s v="2.8. CUNDINAMARCA VERDE: CALIDAD DE VIDA"/>
        <s v="3.1. CUNDINAMARCA COMPETITIVA, EMPRENDEDORA Y EMPRESARIAL"/>
        <s v="3.2. CUNDINAMARCA DINAMICA ATRACTIVA E INTERNACIONAL"/>
        <s v="3.3. MINERIA Y ENERGIA RESPONSABLE PARA CUNDINAMARCA"/>
        <s v="3.4. INFRAESTRUCTURA Y SERVICIOS PARA LA COMPETITIVIDAD Y LA MOVILIDAD"/>
        <s v="3.5. CUNDINAMARCA INNOVADORA CON CIENCIA Y TECNOLOGIA"/>
        <s v="3.6. TURISMO REGIONAL"/>
        <s v="3.7. INTEGRACION REGIONAL"/>
        <s v="4.1. SEGURIDAD Y CONVIVENCIA CON DERECHOS HUMANOS"/>
        <s v="4.2. MODERNIZACION DE LA GESTION"/>
        <s v="4.3. EMPODERAMIENTO LOCAL PARA LA EQUIDAD Y LA UNIDAD TERRITORIAL"/>
        <s v="4.4. CUNDINAMARCA CON ESPACIOS DE PARTICIPACION REAL"/>
        <s v="4.5. CULTURA E IDENTIDAD CUNDINAMARQUESA"/>
        <s v="4.6. TIC EN CUNDINAMARCA"/>
        <s v="4.7. CUNDINAMARCA GOBIERNO INTELIGENTE CON DECISIONES INFORMADAS"/>
        <s v="4.8. SEGUIMIENTO Y EVALUACION PARA MEJOR DESEMPEÑO"/>
        <s v="7. INTEGRACION REGIONAL" u="1"/>
        <s v="4. DESARROLLO COMPETITIVO DEL SECTOR AGROPECUARIO" u="1"/>
        <s v="7. GESTION DEL RIESGO Y ADAPTACION AL CAMBIO Y VARIABILIDAD CLIMATICA" u="1"/>
        <s v="9. MUJERES LIDERES Y LIBRES DE VIOLENCIA" u="1"/>
        <s v="3. VIVE Y CRECE ADOLESCENCIA" u="1"/>
        <s v="3.3. AGUA POTABLE Y SANEAMIENTO BASICO PARA LA SALUD DE LOS CUNDINAMARQUESES" u="1"/>
        <s v="3. MINERIA Y ENERGIA RESPONSABLE PARA CUNDINAMARCA" u="1"/>
        <s v="3. EMPODERAMIENTO LOCAL PARA LA EQUIDAD Y LA UNIDAD TERRITORIAL" u="1"/>
        <s v="5. CUNDINAMARCA INNOVADORA CON CIENCIA Y TECNOLOGIA" u="1"/>
        <s v="5. CULTURA E IDENTIDAD CUNDINAMARQUESA" u="1"/>
        <s v="3. AGUA POTABLE Y SANEAMIENTO BASICO PARA LA SALUD DE LOS CUNDINAMARQUESES" u="1"/>
        <s v="7. VICTIMAS DEL CONFLICTO ARMADO CON GARANTIA DE DERECHOS" u="1"/>
        <s v="1. INICIO PAREJO DE LA VIDA " u="1"/>
        <s v="1. SEGURIDAD Y CONVIVENCIA CON DERECHOS HUMANOS" u="1"/>
        <s v="4. CUNDINAMARCA CON ESPACIOS DE PARTICIPACION REAL" u="1"/>
        <s v="5. DESARROLLO RURAL INTEGRAL" u="1"/>
        <s v="8. SEGUIMIENTO Y EVALUACION PARA MEJOR DESEMPEÑO" u="1"/>
        <s v="1. TERRITORIO SOPORTE PARA EL DESARROLLO" u="1"/>
        <s v="6. TURISMO REGIONAL" u="1"/>
        <s v="6. TIC EN CUNDINAMARCA" u="1"/>
        <s v="7. CUNDINAMARCA GOBIERNO INTELIGENTE CON DECISIONES INFORMADAS" u="1"/>
        <s v="1. CUNDINAMARCA COMPETITIVA, EMPRENDEDORA Y EMPRESARIAL" u="1"/>
        <s v="2. BIENES Y SERVICIOS AMBIENTALES PATRIMONIO DE CUNDINAMARCA" u="1"/>
        <s v="2. MODERNIZACION DE LA GESTION" u="1"/>
        <s v="4. JOVENES CONSTRUCTORES DE PAZ" u="1"/>
        <s v="5. ADULTAS Y ADULTOS CON EQUIDAD" u="1"/>
        <s v="8. CUNDINAMARCA VERDE: CALIDAD DE VIDA" u="1"/>
        <s v="2. CUNDINAMARCA DINAMICA ATRACTIVA E INTERNACIONAL" u="1"/>
        <s v="4. INFRAESTRUCTURA Y SERVICIOS PARA LA COMPETITIVIDAD Y LA MOVILIDAD" u="1"/>
        <s v="2. ALIANZA POR LA INFANCIA" u="1"/>
        <s v="6. VEJEZ DIVINO TESORO" u="1"/>
        <s v="10. EQUIPAMIENTO SOCIAL PARA EL DESARROLLO INTEGRAL" u="1"/>
        <s v="8. FAMILIAS FORJADORAS DE SOCIEDAD" u="1"/>
        <s v="6. GESTION INTEGRAL DE RESIDUOS SOLIDOS" u="1"/>
      </sharedItems>
    </cacheField>
    <cacheField name="SUBPROGRAMA" numFmtId="0">
      <sharedItems/>
    </cacheField>
    <cacheField name="DESCRIPCION META DE PRODUCTO" numFmtId="0">
      <sharedItems longText="1"/>
    </cacheField>
    <cacheField name="NOMBRE DEL INDICADOR META DE PRODUCTO" numFmtId="0">
      <sharedItems/>
    </cacheField>
    <cacheField name="UNIDAD DE MEDIDA" numFmtId="0">
      <sharedItems/>
    </cacheField>
    <cacheField name="TIPO DE META" numFmtId="0">
      <sharedItems/>
    </cacheField>
    <cacheField name="LINEA BASE INDICADOR PRODUCTO DIC. 2011" numFmtId="0">
      <sharedItems containsSemiMixedTypes="0" containsString="0" containsNumber="1" minValue="0" maxValue="1625582"/>
    </cacheField>
    <cacheField name="INDICADOR PRODUCTO 2015" numFmtId="0">
      <sharedItems containsSemiMixedTypes="0" containsString="0" containsNumber="1" minValue="1" maxValue="2900000"/>
    </cacheField>
    <cacheField name="VALOR ESPERADO DEL INDICADOR PRODUCTO CUATRIENIO" numFmtId="0">
      <sharedItems containsSemiMixedTypes="0" containsString="0" containsNumber="1" minValue="0.8" maxValue="1400000"/>
    </cacheField>
    <cacheField name="PONDERADOR META DE PRODUCTO CUATRIENIO (%)" numFmtId="0">
      <sharedItems containsSemiMixedTypes="0" containsString="0" containsNumber="1" minValue="2.92E-2" maxValue="0.33"/>
    </cacheField>
    <cacheField name="PONDERADOR META DE PRODUCTO 2012 (%)" numFmtId="0">
      <sharedItems containsSemiMixedTypes="0" containsString="0" containsNumber="1" minValue="0" maxValue="0.29399999999999998"/>
    </cacheField>
    <cacheField name="PROGRAMADO META PRODUCTO 2012" numFmtId="0">
      <sharedItems containsSemiMixedTypes="0" containsString="0" containsNumber="1" minValue="0" maxValue="400000"/>
    </cacheField>
    <cacheField name="% PROGRAMADO 2012" numFmtId="0">
      <sharedItems containsSemiMixedTypes="0" containsString="0" containsNumber="1" minValue="0" maxValue="1"/>
    </cacheField>
    <cacheField name="EJECUTADO META PRODUCTO 2012" numFmtId="0">
      <sharedItems containsSemiMixedTypes="0" containsString="0" containsNumber="1" minValue="0" maxValue="466223"/>
    </cacheField>
    <cacheField name="AVANCE META_2012 " numFmtId="0">
      <sharedItems containsMixedTypes="1" containsNumber="1" minValue="0" maxValue="350000"/>
    </cacheField>
    <cacheField name="PORCENTAJE DE AVANCE 2012 " numFmtId="0">
      <sharedItems containsSemiMixedTypes="0" containsString="0" containsNumber="1" minValue="0" maxValue="1700"/>
    </cacheField>
    <cacheField name="AJUSTE AL 100%" numFmtId="0">
      <sharedItems containsSemiMixedTypes="0" containsString="0" containsNumber="1" minValue="0" maxValue="100"/>
    </cacheField>
    <cacheField name="AVANCE PONDERADO 2012" numFmtId="0">
      <sharedItems containsSemiMixedTypes="0" containsString="0" containsNumber="1" minValue="0" maxValue="0.29399999999999998"/>
    </cacheField>
    <cacheField name="% AVANCE REAL 2012" numFmtId="0">
      <sharedItems containsSemiMixedTypes="0" containsString="0" containsNumber="1" minValue="0" maxValue="100"/>
    </cacheField>
    <cacheField name="RECURSOS PROGRAMADOS 2012 " numFmtId="0">
      <sharedItems containsSemiMixedTypes="0" containsString="0" containsNumber="1" containsInteger="1" minValue="0" maxValue="305000000000"/>
    </cacheField>
    <cacheField name="RECURSO PROPIO" numFmtId="0">
      <sharedItems containsSemiMixedTypes="0" containsString="0" containsNumber="1" containsInteger="1" minValue="0" maxValue="305000000000"/>
    </cacheField>
    <cacheField name="SGP " numFmtId="0">
      <sharedItems containsSemiMixedTypes="0" containsString="0" containsNumber="1" containsInteger="1" minValue="0" maxValue="236237000000"/>
    </cacheField>
    <cacheField name="APORTES TRANSFERENCIAS COFINANCIACION NACION " numFmtId="0">
      <sharedItems containsSemiMixedTypes="0" containsString="0" containsNumber="1" containsInteger="1" minValue="0" maxValue="15250000000"/>
    </cacheField>
    <cacheField name="APORTES TRANSFERENCIAS COFINANCIACION MUNICIPIOS" numFmtId="0">
      <sharedItems containsSemiMixedTypes="0" containsString="0" containsNumber="1" containsInteger="1" minValue="0" maxValue="0"/>
    </cacheField>
    <cacheField name="SGR" numFmtId="0">
      <sharedItems containsSemiMixedTypes="0" containsString="0" containsNumber="1" containsInteger="1" minValue="0" maxValue="3800000000"/>
    </cacheField>
    <cacheField name="CREDITO" numFmtId="0">
      <sharedItems containsSemiMixedTypes="0" containsString="0" containsNumber="1" containsInteger="1" minValue="0" maxValue="0"/>
    </cacheField>
    <cacheField name="OTROS INGRESOS " numFmtId="0">
      <sharedItems containsSemiMixedTypes="0" containsString="0" containsNumber="1" containsInteger="1" minValue="0" maxValue="9022000000"/>
    </cacheField>
    <cacheField name="RECURSOS EJECUTADOS 2012 " numFmtId="0">
      <sharedItems containsSemiMixedTypes="0" containsString="0" containsNumber="1" containsInteger="1" minValue="0" maxValue="358948948000"/>
    </cacheField>
    <cacheField name="RECURSO PROPIO2" numFmtId="0">
      <sharedItems containsSemiMixedTypes="0" containsString="0" containsNumber="1" containsInteger="1" minValue="0" maxValue="96016278000"/>
    </cacheField>
    <cacheField name="SGP 2" numFmtId="0">
      <sharedItems containsSemiMixedTypes="0" containsString="0" containsNumber="1" containsInteger="1" minValue="0" maxValue="358948948000"/>
    </cacheField>
    <cacheField name="APORTES TRANSFERENCIAS COFINANCIACION NACION 2" numFmtId="0">
      <sharedItems containsSemiMixedTypes="0" containsString="0" containsNumber="1" containsInteger="1" minValue="0" maxValue="53756301000"/>
    </cacheField>
    <cacheField name="APORTES TRANSFERENCIAS COFINANCIACION MUNICIPIOS2" numFmtId="0">
      <sharedItems containsSemiMixedTypes="0" containsString="0" containsNumber="1" containsInteger="1" minValue="0" maxValue="0"/>
    </cacheField>
    <cacheField name="SGR2" numFmtId="0">
      <sharedItems containsSemiMixedTypes="0" containsString="0" containsNumber="1" containsInteger="1" minValue="0" maxValue="1549458000"/>
    </cacheField>
    <cacheField name="CREDITO2" numFmtId="0">
      <sharedItems containsSemiMixedTypes="0" containsString="0" containsNumber="1" containsInteger="1" minValue="0" maxValue="5262710000"/>
    </cacheField>
    <cacheField name="OTROS INGRESOS 2" numFmtId="0">
      <sharedItems containsSemiMixedTypes="0" containsString="0" containsNumber="1" containsInteger="1" minValue="0" maxValue="149358942000"/>
    </cacheField>
    <cacheField name="RECURSOS DE FUNCIONAMIENTO" numFmtId="0">
      <sharedItems containsSemiMixedTypes="0" containsString="0" containsNumber="1" containsInteger="1" minValue="0" maxValue="0"/>
    </cacheField>
    <cacheField name="RECURSOS GESTIONADOS" numFmtId="0">
      <sharedItems containsSemiMixedTypes="0" containsString="0" containsNumber="1" containsInteger="1" minValue="0" maxValue="17671719000"/>
    </cacheField>
    <cacheField name="FUENTE RECURSOS GESTIONADOS" numFmtId="0">
      <sharedItems containsMixedTypes="1" containsNumber="1" containsInteger="1" minValue="0" maxValue="0" longText="1"/>
    </cacheField>
    <cacheField name="PONDERADOR META DE PRODUCTO 2013 (%)" numFmtId="0">
      <sharedItems containsSemiMixedTypes="0" containsString="0" containsNumber="1" minValue="0" maxValue="0.25"/>
    </cacheField>
    <cacheField name="PROGRAMADO META PRODUCTO 2013" numFmtId="0">
      <sharedItems containsSemiMixedTypes="0" containsString="0" containsNumber="1" minValue="0" maxValue="400000"/>
    </cacheField>
    <cacheField name="% PROGRAMADO o 2013" numFmtId="0">
      <sharedItems containsSemiMixedTypes="0" containsString="0" containsNumber="1" minValue="0" maxValue="1"/>
    </cacheField>
    <cacheField name="EJECUTADO META DE PRODUCTO 2013 - 31 DE DICIEMBRE" numFmtId="0">
      <sharedItems containsSemiMixedTypes="0" containsString="0" containsNumber="1" minValue="0" maxValue="421844"/>
    </cacheField>
    <cacheField name="AVANCE DE LA META A 2013" numFmtId="0">
      <sharedItems containsSemiMixedTypes="0" containsString="0" containsNumber="1" minValue="0" maxValue="421844"/>
    </cacheField>
    <cacheField name="PORCENTAJE DE AVANCE DE LA META EN 2013" numFmtId="0">
      <sharedItems containsSemiMixedTypes="0" containsString="0" containsNumber="1" minValue="0" maxValue="1260"/>
    </cacheField>
    <cacheField name="AJUSTADO AL 100%" numFmtId="0">
      <sharedItems containsSemiMixedTypes="0" containsString="0" containsNumber="1" minValue="0" maxValue="100"/>
    </cacheField>
    <cacheField name="AVANCE PONDERADO 2013" numFmtId="0">
      <sharedItems containsSemiMixedTypes="0" containsString="0" containsNumber="1" minValue="0" maxValue="0.25"/>
    </cacheField>
    <cacheField name="% AVANCE REAL 2013" numFmtId="0">
      <sharedItems containsSemiMixedTypes="0" containsString="0" containsNumber="1" minValue="0" maxValue="100"/>
    </cacheField>
    <cacheField name="RECURSOS PROGRAMADOS 2013 " numFmtId="0">
      <sharedItems containsSemiMixedTypes="0" containsString="0" containsNumber="1" containsInteger="1" minValue="0" maxValue="236237000000"/>
    </cacheField>
    <cacheField name="RECURSO PROPIO3" numFmtId="0">
      <sharedItems containsSemiMixedTypes="0" containsString="0" containsNumber="1" containsInteger="1" minValue="0" maxValue="5200000000"/>
    </cacheField>
    <cacheField name="SGP 3" numFmtId="0">
      <sharedItems containsSemiMixedTypes="0" containsString="0" containsNumber="1" containsInteger="1" minValue="0" maxValue="7350000000"/>
    </cacheField>
    <cacheField name="APORTES TRANSFERENCIAS COFINANCIACION NACION 3" numFmtId="0">
      <sharedItems containsSemiMixedTypes="0" containsString="0" containsNumber="1" containsInteger="1" minValue="0" maxValue="0"/>
    </cacheField>
    <cacheField name="APORTES TRANSFERENCIAS COFINANCIACION MUNICIPIOS3" numFmtId="0">
      <sharedItems containsSemiMixedTypes="0" containsString="0" containsNumber="1" containsInteger="1" minValue="0" maxValue="0"/>
    </cacheField>
    <cacheField name="SGR3" numFmtId="0">
      <sharedItems containsSemiMixedTypes="0" containsString="0" containsNumber="1" containsInteger="1" minValue="0" maxValue="0"/>
    </cacheField>
    <cacheField name="CREDITO3" numFmtId="0">
      <sharedItems containsSemiMixedTypes="0" containsString="0" containsNumber="1" containsInteger="1" minValue="0" maxValue="0"/>
    </cacheField>
    <cacheField name="OTROS INGRESOS 3" numFmtId="0">
      <sharedItems containsSemiMixedTypes="0" containsString="0" containsNumber="1" containsInteger="1" minValue="0" maxValue="7753000000"/>
    </cacheField>
    <cacheField name="RECURSOS EJECUTADOS 2013 " numFmtId="0">
      <sharedItems containsSemiMixedTypes="0" containsString="0" containsNumber="1" minValue="0" maxValue="360799432021"/>
    </cacheField>
    <cacheField name="RECURSO PROPIO4" numFmtId="0">
      <sharedItems containsSemiMixedTypes="0" containsString="0" containsNumber="1" minValue="0" maxValue="107388947018"/>
    </cacheField>
    <cacheField name="SGP 4" numFmtId="0">
      <sharedItems containsSemiMixedTypes="0" containsString="0" containsNumber="1" containsInteger="1" minValue="0" maxValue="360735866035"/>
    </cacheField>
    <cacheField name="APORTES TRANSFERENCIAS COFINANCIACION NACION 4" numFmtId="0">
      <sharedItems containsSemiMixedTypes="0" containsString="0" containsNumber="1" containsInteger="1" minValue="0" maxValue="7432516949"/>
    </cacheField>
    <cacheField name="APORTES TRANSFERENCIAS COFINANCIACION MUNICIPIOS4" numFmtId="0">
      <sharedItems containsSemiMixedTypes="0" containsString="0" containsNumber="1" containsInteger="1" minValue="0" maxValue="70000000"/>
    </cacheField>
    <cacheField name="SGR4" numFmtId="0">
      <sharedItems containsSemiMixedTypes="0" containsString="0" containsNumber="1" containsInteger="1" minValue="0" maxValue="17163168182"/>
    </cacheField>
    <cacheField name="CREDITO4" numFmtId="0">
      <sharedItems containsSemiMixedTypes="0" containsString="0" containsNumber="1" containsInteger="1" minValue="0" maxValue="4875137928"/>
    </cacheField>
    <cacheField name="OTROS INGRESOS 4" numFmtId="0">
      <sharedItems containsSemiMixedTypes="0" containsString="0" containsNumber="1" containsInteger="1" minValue="0" maxValue="24876091615"/>
    </cacheField>
    <cacheField name="RECURSOS DE FUNCIONAMIENTO2" numFmtId="0">
      <sharedItems containsSemiMixedTypes="0" containsString="0" containsNumber="1" containsInteger="1" minValue="0" maxValue="0"/>
    </cacheField>
    <cacheField name="RECURSOS GESTIONADOS2" numFmtId="0">
      <sharedItems containsSemiMixedTypes="0" containsString="0" containsNumber="1" minValue="0" maxValue="10058874880"/>
    </cacheField>
    <cacheField name="FUENTE RECURSOS GESTIONADOS2" numFmtId="0">
      <sharedItems containsMixedTypes="1" containsNumber="1" containsInteger="1" minValue="0" maxValue="0" longText="1"/>
    </cacheField>
    <cacheField name="PONDERADOR META DE PRODUCTO 2014 (%)" numFmtId="2">
      <sharedItems containsSemiMixedTypes="0" containsString="0" containsNumber="1" minValue="0" maxValue="0.203125"/>
    </cacheField>
    <cacheField name=" PROGRAMADO META PRODUCTO 2014" numFmtId="0">
      <sharedItems containsSemiMixedTypes="0" containsString="0" containsNumber="1" minValue="0" maxValue="400000"/>
    </cacheField>
    <cacheField name="% PROGRAMADO 2014" numFmtId="9">
      <sharedItems containsSemiMixedTypes="0" containsString="0" containsNumber="1" minValue="0" maxValue="1"/>
    </cacheField>
    <cacheField name=" EJECUTADO META PRODUCTO 2014 - 30 DE agosto" numFmtId="0">
      <sharedItems containsSemiMixedTypes="0" containsString="0" containsNumber="1" minValue="0" maxValue="331785"/>
    </cacheField>
    <cacheField name=" EJECUTADO_2014_30 DE SEPTIEMBRE" numFmtId="0">
      <sharedItems containsSemiMixedTypes="0" containsString="0" containsNumber="1" minValue="0" maxValue="339122"/>
    </cacheField>
    <cacheField name=" EJECUTADO_2014_31 DE DIC" numFmtId="0">
      <sharedItems containsMixedTypes="1" containsNumber="1" minValue="-0.8" maxValue="440096"/>
    </cacheField>
    <cacheField name="AVANCE DE LA META 2014" numFmtId="0">
      <sharedItems containsMixedTypes="1" containsNumber="1" minValue="-0.8" maxValue="440096"/>
    </cacheField>
    <cacheField name="PORCENTAJE DE AVANCE DE LA META EN 2014" numFmtId="0">
      <sharedItems containsSemiMixedTypes="0" containsString="0" containsNumber="1" minValue="-200" maxValue="5742.666666666667"/>
    </cacheField>
    <cacheField name="AJUSTADO AL 100%2" numFmtId="174">
      <sharedItems containsSemiMixedTypes="0" containsString="0" containsNumber="1" minValue="-200" maxValue="100"/>
    </cacheField>
    <cacheField name="AVANCE PONDERADO 2014" numFmtId="180">
      <sharedItems containsSemiMixedTypes="0" containsString="0" containsNumber="1" minValue="-0.13200000000000001" maxValue="0.203125"/>
    </cacheField>
    <cacheField name="%AVANCE REAL" numFmtId="176">
      <sharedItems containsSemiMixedTypes="0" containsString="0" containsNumber="1" minValue="-200" maxValue="100"/>
    </cacheField>
    <cacheField name="AVANCE REAL 2014" numFmtId="0">
      <sharedItems containsSemiMixedTypes="0" containsString="0" containsNumber="1" minValue="-0.13200000000000001" maxValue="1.4213100000000001"/>
    </cacheField>
    <cacheField name="PONDERADOR META DE PRODUCTO 2015 (%)" numFmtId="0">
      <sharedItems containsSemiMixedTypes="0" containsString="0" containsNumber="1" minValue="0" maxValue="0.29700000000000004"/>
    </cacheField>
    <cacheField name=" PROGRAMADO META PRODUCTO 2015" numFmtId="0">
      <sharedItems containsSemiMixedTypes="0" containsString="0" containsNumber="1" minValue="0" maxValue="400000"/>
    </cacheField>
    <cacheField name="% PROGRAMADO 2015" numFmtId="0">
      <sharedItems containsSemiMixedTypes="0" containsString="0" containsNumber="1" minValue="0" maxValue="1"/>
    </cacheField>
    <cacheField name=" EJEC. META PRODUCTO 2015_ SEPTIEMBRE 30" numFmtId="0">
      <sharedItems containsSemiMixedTypes="0" containsString="0" containsNumber="1" minValue="0" maxValue="440000"/>
    </cacheField>
    <cacheField name="FALTA" numFmtId="2">
      <sharedItems containsSemiMixedTypes="0" containsString="0" containsNumber="1" minValue="-90000" maxValue="53730"/>
    </cacheField>
    <cacheField name="AVANCE DE LA META 2015" numFmtId="0">
      <sharedItems containsSemiMixedTypes="0" containsString="0" containsNumber="1" minValue="0" maxValue="440000"/>
    </cacheField>
    <cacheField name="PORCENTAJE DE AVANCE DE LA META EN 2015" numFmtId="0">
      <sharedItems containsSemiMixedTypes="0" containsString="0" containsNumber="1" minValue="0" maxValue="16666.666666666668"/>
    </cacheField>
    <cacheField name="AJUSTADO AL 100%3" numFmtId="2">
      <sharedItems containsSemiMixedTypes="0" containsString="0" containsNumber="1" minValue="0" maxValue="100"/>
    </cacheField>
    <cacheField name="AVANCE PONDERADO 2015" numFmtId="0">
      <sharedItems containsSemiMixedTypes="0" containsString="0" containsNumber="1" minValue="0" maxValue="0.25"/>
    </cacheField>
    <cacheField name="AVANCE REAL 2015" numFmtId="0">
      <sharedItems containsSemiMixedTypes="0" containsString="0" containsNumber="1" minValue="0" maxValue="16.500000000000004"/>
    </cacheField>
    <cacheField name="RECURSOS PROGRAMADOS 2015 " numFmtId="0">
      <sharedItems containsSemiMixedTypes="0" containsString="0" containsNumber="1" containsInteger="1" minValue="0" maxValue="248670000000"/>
    </cacheField>
    <cacheField name="RECURSO PROPIO5" numFmtId="0">
      <sharedItems containsSemiMixedTypes="0" containsString="0" containsNumber="1" containsInteger="1" minValue="0" maxValue="9420000000"/>
    </cacheField>
    <cacheField name="SGP 5" numFmtId="0">
      <sharedItems containsSemiMixedTypes="0" containsString="0" containsNumber="1" containsInteger="1" minValue="0" maxValue="5200000000"/>
    </cacheField>
    <cacheField name="APORTES TRANSFERENCIAS COFINANCIACION NACION 5" numFmtId="0">
      <sharedItems containsSemiMixedTypes="0" containsString="0" containsNumber="1" containsInteger="1" minValue="0" maxValue="0"/>
    </cacheField>
    <cacheField name="APORTES TRANSFERENCIAS COFINANCIACION MUNICIPIO " numFmtId="0">
      <sharedItems containsSemiMixedTypes="0" containsString="0" containsNumber="1" containsInteger="1" minValue="0" maxValue="0"/>
    </cacheField>
    <cacheField name="SGR5" numFmtId="0">
      <sharedItems containsSemiMixedTypes="0" containsString="0" containsNumber="1" containsInteger="1" minValue="0" maxValue="0"/>
    </cacheField>
    <cacheField name="CREDITO5" numFmtId="0">
      <sharedItems containsSemiMixedTypes="0" containsString="0" containsNumber="1" containsInteger="1" minValue="0" maxValue="0"/>
    </cacheField>
    <cacheField name="OTROS INGRESOS 5" numFmtId="0">
      <sharedItems containsSemiMixedTypes="0" containsString="0" containsNumber="1" containsInteger="1" minValue="0" maxValue="7753000000"/>
    </cacheField>
    <cacheField name="RECURSOS EJECUTADOS 2015" numFmtId="0">
      <sharedItems containsSemiMixedTypes="0" containsString="0" containsNumber="1" containsInteger="1" minValue="0" maxValue="2046"/>
    </cacheField>
    <cacheField name="RECURSO PROPIO6" numFmtId="0">
      <sharedItems containsSemiMixedTypes="0" containsString="0" containsNumber="1" minValue="0" maxValue="0.22803000000000001"/>
    </cacheField>
    <cacheField name="SGP 6" numFmtId="0">
      <sharedItems containsSemiMixedTypes="0" containsString="0" containsNumber="1" minValue="0" maxValue="68.2"/>
    </cacheField>
    <cacheField name="APORTES TRANSFERENCIAS COFINANCIACION NACION 6" numFmtId="0">
      <sharedItems containsSemiMixedTypes="0" containsString="0" containsNumber="1" minValue="0" maxValue="68.2"/>
    </cacheField>
    <cacheField name="APORTES TRANSFERENCIAS COFINANCIACION MUNICIPIO 2" numFmtId="0">
      <sharedItems containsSemiMixedTypes="0" containsString="0" containsNumber="1" minValue="0" maxValue="0.22505999999999998"/>
    </cacheField>
    <cacheField name="SGR6" numFmtId="0">
      <sharedItems containsSemiMixedTypes="0" containsString="0" containsNumber="1" containsInteger="1" minValue="0" maxValue="0"/>
    </cacheField>
    <cacheField name="CREDITO6" numFmtId="0">
      <sharedItems containsSemiMixedTypes="0" containsString="0" containsNumber="1" containsInteger="1" minValue="0" maxValue="0"/>
    </cacheField>
    <cacheField name="OTROS INGRESOS 6" numFmtId="0">
      <sharedItems containsSemiMixedTypes="0" containsString="0" containsNumber="1" containsInteger="1" minValue="0" maxValue="0"/>
    </cacheField>
    <cacheField name="RECURSOS DE FUNCIONAMIENTO3" numFmtId="0">
      <sharedItems containsSemiMixedTypes="0" containsString="0" containsNumber="1" containsInteger="1" minValue="0" maxValue="0"/>
    </cacheField>
    <cacheField name="RECURSOS GESTIONADOS3" numFmtId="0">
      <sharedItems containsSemiMixedTypes="0" containsString="0" containsNumber="1" containsInteger="1" minValue="0" maxValue="0"/>
    </cacheField>
    <cacheField name="FUENTE DE LOS RECURSOS GESTIONADOS" numFmtId="0">
      <sharedItems containsSemiMixedTypes="0" containsString="0" containsNumber="1" containsInteger="1" minValue="0" maxValue="0"/>
    </cacheField>
    <cacheField name="ACUMULADO DE LA META 2012 - 2015 " numFmtId="0">
      <sharedItems containsSemiMixedTypes="0" containsString="0" containsNumber="1" minValue="-0.50000000000000011" maxValue="1651027"/>
    </cacheField>
    <cacheField name="ACUMULADO PONDERADOR 2012 Y 2015 " numFmtId="169">
      <sharedItems containsSemiMixedTypes="0" containsString="0" containsNumber="1" minValue="2.92E-2" maxValue="0.33000000000000007"/>
    </cacheField>
    <cacheField name="PORCENTAJE DE AVANCE ACUMULADO" numFmtId="2">
      <sharedItems containsSemiMixedTypes="0" containsString="0" containsNumber="1" minValue="-50.000000000000014" maxValue="10040"/>
    </cacheField>
    <cacheField name="AJUSTE AL 100%2" numFmtId="2">
      <sharedItems containsSemiMixedTypes="0" containsString="0" containsNumber="1" minValue="-50.000000000000014" maxValue="100"/>
    </cacheField>
    <cacheField name="AVANCE PONDERADO DEL CUATRENIO" numFmtId="169">
      <sharedItems containsSemiMixedTypes="0" containsString="0" containsNumber="1" minValue="-8.2500000000000032E-2" maxValue="0.33"/>
    </cacheField>
    <cacheField name="AVANCE REAL DEL CUATRENIO" numFmtId="169">
      <sharedItems containsSemiMixedTypes="0" containsString="0" containsNumber="1" minValue="-8.2500000000000032E-2" maxValue="0.33"/>
    </cacheField>
    <cacheField name="AVANCE_CONTROLADO 2012 - 2015 " numFmtId="169">
      <sharedItems containsSemiMixedTypes="0" containsString="0" containsNumber="1" minValue="-8.2500000000000032E-2" maxValue="0.33"/>
    </cacheField>
    <cacheField name="CONTROL PROGRAMACION" numFmtId="9">
      <sharedItems containsSemiMixedTypes="0" containsString="0" containsNumber="1" minValue="0.99999999999999989" maxValue="1"/>
    </cacheField>
    <cacheField name="CONTROL PONDERADOR" numFmtId="175">
      <sharedItems containsSemiMixedTypes="0" containsString="0" containsNumber="1" minValue="-2.4286128663675299E-17" maxValue="3.2959746043559335E-17"/>
    </cacheField>
    <cacheField name="META_RESULTADO1" numFmtId="0">
      <sharedItems containsString="0" containsBlank="1" containsNumber="1" containsInteger="1" minValue="1" maxValue="623"/>
    </cacheField>
    <cacheField name="Nombre MetaR1" numFmtId="0">
      <sharedItems containsBlank="1"/>
    </cacheField>
    <cacheField name="META_RESULTADO2" numFmtId="0">
      <sharedItems containsString="0" containsBlank="1" containsNumber="1" containsInteger="1" minValue="6" maxValue="622"/>
    </cacheField>
    <cacheField name="Nombre MetaR2" numFmtId="0">
      <sharedItems containsBlank="1"/>
    </cacheField>
    <cacheField name="META_RESULTADO3" numFmtId="0">
      <sharedItems containsString="0" containsBlank="1" containsNumber="1" containsInteger="1" minValue="37" maxValue="623"/>
    </cacheField>
    <cacheField name="META_RESULTADO4" numFmtId="0">
      <sharedItems containsString="0" containsBlank="1" containsNumber="1" containsInteger="1" minValue="38" maxValue="619"/>
    </cacheField>
    <cacheField name="META_RESULTADO5" numFmtId="0">
      <sharedItems containsString="0" containsBlank="1" containsNumber="1" containsInteger="1" minValue="79" maxValue="159"/>
    </cacheField>
    <cacheField name="META_RESULTADO6" numFmtId="0">
      <sharedItems containsString="0" containsBlank="1" containsNumber="1" containsInteger="1" minValue="178" maxValue="619"/>
    </cacheField>
    <cacheField name="LOGRO ACUMULADRO CUATRIENIO" numFmtId="0">
      <sharedItems longText="1"/>
    </cacheField>
    <cacheField name="RECURSOS PROGRAMADOS_META 2014 " numFmtId="3">
      <sharedItems containsSemiMixedTypes="0" containsString="0" containsNumber="1" containsInteger="1" minValue="0" maxValue="248670000000"/>
    </cacheField>
    <cacheField name="RECURSOS EJECUTADOS_META 2014 " numFmtId="0">
      <sharedItems containsNonDate="0" containsString="0" containsBlank="1"/>
    </cacheField>
    <cacheField name="PROGRAMACION POAI_ 2016" numFmtId="0">
      <sharedItems containsMixedTypes="1" containsNumber="1" minValue="0" maxValue="4000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37">
  <r>
    <n v="11"/>
    <x v="0"/>
    <x v="0"/>
    <x v="0"/>
    <s v="EXISTENCIA"/>
    <s v="VACUNAR EN EL CUATRIENIO A 24.000 NIÑAS Y NIÑOS DE UN AÑO DE EDAD CON ESQUEMA DE VACUNACIÓN PAI PLUS (HEPATITIS A Y VARICELA)."/>
    <s v="NO. DE NIÑOS DE 1 AÑO DE EDAD VACUNADOS CON PAI PLUS"/>
    <s v="NIÑOS"/>
    <s v="I"/>
    <n v="8000"/>
    <n v="32000"/>
    <n v="24000"/>
    <n v="0.16500000000000001"/>
    <n v="0"/>
    <n v="0"/>
    <n v="0"/>
    <n v="4521"/>
    <n v="4521"/>
    <n v="0"/>
    <n v="0"/>
    <n v="0"/>
    <n v="100"/>
    <n v="0"/>
    <n v="0"/>
    <n v="0"/>
    <n v="0"/>
    <n v="0"/>
    <n v="0"/>
    <n v="0"/>
    <n v="0"/>
    <n v="1200000000"/>
    <n v="1200000000"/>
    <n v="0"/>
    <n v="0"/>
    <n v="0"/>
    <n v="0"/>
    <n v="0"/>
    <n v="0"/>
    <n v="0"/>
    <n v="0"/>
    <s v="-"/>
    <n v="5.5E-2"/>
    <n v="8000"/>
    <n v="0.33333333333333331"/>
    <n v="12515"/>
    <n v="12515"/>
    <n v="156.4375"/>
    <n v="100"/>
    <n v="5.5E-2"/>
    <n v="100"/>
    <n v="992000000"/>
    <n v="0"/>
    <n v="992000000"/>
    <n v="0"/>
    <n v="0"/>
    <n v="0"/>
    <n v="0"/>
    <n v="0"/>
    <n v="1330000000"/>
    <n v="1300000000"/>
    <n v="30000000"/>
    <n v="0"/>
    <n v="0"/>
    <n v="0"/>
    <n v="0"/>
    <n v="0"/>
    <n v="0"/>
    <n v="0"/>
    <n v="0"/>
    <n v="5.5E-2"/>
    <n v="8000"/>
    <n v="0.33333333333333331"/>
    <n v="7511"/>
    <n v="7511"/>
    <n v="8000"/>
    <n v="8000"/>
    <n v="100"/>
    <n v="100"/>
    <n v="5.5E-2"/>
    <n v="100"/>
    <n v="5.5E-2"/>
    <n v="5.5E-2"/>
    <n v="8000"/>
    <n v="0.33333333333333331"/>
    <n v="0"/>
    <n v="8000"/>
    <n v="0"/>
    <n v="0"/>
    <n v="0"/>
    <n v="0"/>
    <n v="0"/>
    <n v="960000000"/>
    <n v="960000000"/>
    <n v="0"/>
    <n v="0"/>
    <n v="0"/>
    <n v="0"/>
    <n v="0"/>
    <n v="0"/>
    <n v="0"/>
    <n v="0"/>
    <n v="0"/>
    <n v="0"/>
    <n v="0"/>
    <n v="0"/>
    <n v="0"/>
    <n v="0"/>
    <n v="0"/>
    <n v="0"/>
    <n v="0"/>
    <n v="25036"/>
    <n v="0.16500000000000001"/>
    <n v="104.31666666666666"/>
    <n v="100"/>
    <n v="0.16500000000000001"/>
    <n v="0.16500000000000001"/>
    <n v="0.16500000000000001"/>
    <n v="1"/>
    <n v="0"/>
    <n v="3"/>
    <s v="REDUCIR EN EL CUATRIENIO LA TASA DE MORTALIDAD INFANTIL (0 - 1 AÑO) A 11 POR 1.000 NACIDOS VIVOS"/>
    <m/>
    <s v=""/>
    <m/>
    <m/>
    <m/>
    <m/>
    <s v="ESTE BIOLOGICO SE INCLUYO EN ESQUEMA NACIONAL DE VACUNACION. SIEMBARGO EL LOGRO ALCANZADO ES QUE SE SUPERO LA META ANTES DE TERMINAR EL CUATRIENIO."/>
    <n v="0"/>
    <m/>
    <n v="0"/>
  </r>
  <r>
    <n v="12"/>
    <x v="0"/>
    <x v="0"/>
    <x v="0"/>
    <s v="EXISTENCIA"/>
    <s v="ATENDER CON LA ESTRATEGIA DE ATENCIÓN INTEGRAL PARA EL INICIO PAREJO DE LA VIDA EN EL 100% DE LOS HOSPITALES DE LA RED PÚBLICA A LOS NIÑOS Y NIÑAS DE 0 A 5 AÑOS."/>
    <s v="% DE HOSPITALES CON IMPLEMENTACIÓN DE LA ESTRATEGIA DE ATENCIÓN INTEGRAL PARA EL INICIO PAREJO DE LA VIDA"/>
    <s v="% DE HOSPITALES"/>
    <s v="I"/>
    <n v="0"/>
    <n v="100"/>
    <n v="100"/>
    <n v="0.16500000000000001"/>
    <n v="1.6500000000000001E-2"/>
    <n v="10"/>
    <n v="0.1"/>
    <n v="10"/>
    <n v="10"/>
    <n v="100"/>
    <n v="100"/>
    <n v="1.6500000000000001E-2"/>
    <n v="100"/>
    <n v="1241000000"/>
    <n v="0"/>
    <n v="1241000000"/>
    <n v="0"/>
    <n v="0"/>
    <n v="0"/>
    <n v="0"/>
    <n v="0"/>
    <n v="1042693000"/>
    <n v="554101000"/>
    <n v="454192000"/>
    <n v="0"/>
    <n v="0"/>
    <n v="0"/>
    <n v="0"/>
    <n v="34400000"/>
    <n v="0"/>
    <n v="0"/>
    <s v="-"/>
    <n v="4.5045000000000009E-2"/>
    <n v="27.3"/>
    <n v="0.27300000000000002"/>
    <n v="27.3"/>
    <n v="27.3"/>
    <n v="100"/>
    <n v="100"/>
    <n v="4.5045000000000009E-2"/>
    <n v="100"/>
    <n v="1609000000"/>
    <n v="1379000000"/>
    <n v="230000000"/>
    <n v="0"/>
    <n v="0"/>
    <n v="0"/>
    <n v="0"/>
    <n v="0"/>
    <n v="1004465000"/>
    <n v="404465000"/>
    <n v="600000000"/>
    <n v="0"/>
    <n v="0"/>
    <n v="0"/>
    <n v="0"/>
    <n v="0"/>
    <n v="0"/>
    <n v="0"/>
    <n v="0"/>
    <n v="5.3955000000000003E-2"/>
    <n v="32.700000000000003"/>
    <n v="0.32700000000000001"/>
    <n v="25"/>
    <n v="25"/>
    <n v="30"/>
    <n v="30"/>
    <n v="91.743119266055032"/>
    <n v="91.743119266055032"/>
    <n v="4.9499999999999995E-2"/>
    <n v="91.743119266055032"/>
    <n v="4.9499999999999995E-2"/>
    <n v="4.9500000000000002E-2"/>
    <n v="30"/>
    <n v="0.3"/>
    <n v="30"/>
    <n v="0"/>
    <n v="30"/>
    <n v="100"/>
    <n v="100"/>
    <n v="4.9500000000000002E-2"/>
    <n v="4.9500000000000002E-2"/>
    <n v="1379000000"/>
    <n v="0"/>
    <n v="1379000000"/>
    <n v="0"/>
    <n v="0"/>
    <n v="0"/>
    <n v="0"/>
    <n v="0"/>
    <n v="0"/>
    <n v="0"/>
    <n v="0"/>
    <n v="0"/>
    <n v="0"/>
    <n v="0"/>
    <n v="0"/>
    <n v="0"/>
    <n v="0"/>
    <n v="0"/>
    <n v="0"/>
    <n v="97.3"/>
    <n v="0.16500000000000004"/>
    <n v="97.3"/>
    <n v="97.3"/>
    <n v="0.16054500000000002"/>
    <n v="0.16054500000000002"/>
    <n v="0.16054500000000002"/>
    <n v="1"/>
    <n v="0"/>
    <n v="4"/>
    <s v="REDUCIR EN EL CUATRIENIO A 40 POR 100.000 NACIDOS VIVOS LA RAZÓN DE MORTALIDAD MATERNA"/>
    <n v="6"/>
    <s v="REDUCIR EN EL CUATRIENIO LA TASA DE MORTALIDAD DE NIÑOS Y NIÑAS DE 0 A 5 AÑOS A 14 POR MIL NACIDOS VIVOS"/>
    <m/>
    <m/>
    <m/>
    <m/>
    <s v="SE LOGRA BRINDAR UNA ATENCION INTEGRAL A LA GESTANTE, NIÑO Y NIÑAS DE CERO (0) A CINCO (5) AÑOS."/>
    <n v="485000000"/>
    <m/>
    <n v="100"/>
  </r>
  <r>
    <n v="13"/>
    <x v="0"/>
    <x v="0"/>
    <x v="0"/>
    <s v="EXISTENCIA"/>
    <s v="LOGRAR ANUALMENTE COBERTURA ÚTIL DE VACUNACIÓN (95%) EN NIÑOS Y NIÑAS MENORES DE UN AÑO CON ESQUEMA COMPLETO SEGÚN NACIDOS VIVOS"/>
    <s v="COBERTURA ANUAL DE VACUNACIÓN EN MENORES DE UN AÑO"/>
    <s v="COBERTURA DE VACUNACION"/>
    <s v="M"/>
    <n v="76"/>
    <n v="95"/>
    <n v="95"/>
    <n v="0.16500000000000001"/>
    <n v="4.1250000000000002E-2"/>
    <n v="95"/>
    <n v="0.25"/>
    <n v="97"/>
    <n v="24.25"/>
    <n v="102.10526315789474"/>
    <n v="100"/>
    <n v="4.1250000000000002E-2"/>
    <n v="100"/>
    <n v="442000000"/>
    <n v="0"/>
    <n v="442000000"/>
    <n v="0"/>
    <n v="0"/>
    <n v="0"/>
    <n v="0"/>
    <n v="0"/>
    <n v="362765000"/>
    <n v="0"/>
    <n v="362765000"/>
    <n v="0"/>
    <n v="0"/>
    <n v="0"/>
    <n v="0"/>
    <n v="0"/>
    <n v="0"/>
    <n v="0"/>
    <s v="-"/>
    <n v="4.1250000000000002E-2"/>
    <n v="95"/>
    <n v="0.25"/>
    <n v="100"/>
    <n v="25"/>
    <n v="105.26315789473684"/>
    <n v="100"/>
    <n v="4.1250000000000002E-2"/>
    <n v="100"/>
    <n v="491000000"/>
    <n v="491000000"/>
    <n v="0"/>
    <n v="0"/>
    <n v="0"/>
    <n v="0"/>
    <n v="0"/>
    <n v="0"/>
    <n v="856811981"/>
    <n v="0"/>
    <n v="811548867"/>
    <n v="45263114"/>
    <n v="0"/>
    <n v="0"/>
    <n v="0"/>
    <n v="0"/>
    <n v="0"/>
    <n v="0"/>
    <n v="0"/>
    <n v="4.1250000000000002E-2"/>
    <n v="95"/>
    <n v="0.25"/>
    <n v="95"/>
    <n v="95"/>
    <n v="96"/>
    <n v="24"/>
    <n v="101.05263157894737"/>
    <n v="100"/>
    <n v="4.1250000000000002E-2"/>
    <n v="100"/>
    <n v="4.1684210526315796E-2"/>
    <n v="4.1250000000000002E-2"/>
    <n v="95"/>
    <n v="0.25"/>
    <n v="95"/>
    <n v="0"/>
    <n v="23.75"/>
    <n v="100"/>
    <n v="100"/>
    <n v="4.1250000000000002E-2"/>
    <n v="4.1250000000000002E-2"/>
    <n v="491000000"/>
    <n v="0"/>
    <n v="491000000"/>
    <n v="0"/>
    <n v="0"/>
    <n v="0"/>
    <n v="0"/>
    <n v="0"/>
    <n v="0"/>
    <n v="0"/>
    <n v="0"/>
    <n v="0"/>
    <n v="0"/>
    <n v="0"/>
    <n v="0"/>
    <n v="0"/>
    <n v="0"/>
    <n v="0"/>
    <n v="0"/>
    <n v="97"/>
    <n v="0.16500000000000001"/>
    <n v="102.10526315789474"/>
    <n v="100"/>
    <n v="0.16500000000000001"/>
    <n v="0.16500000000000001"/>
    <n v="0.16500000000000001"/>
    <n v="1"/>
    <n v="0"/>
    <n v="3"/>
    <s v="REDUCIR EN EL CUATRIENIO LA TASA DE MORTALIDAD INFANTIL (0 - 1 AÑO) A 11 POR 1.000 NACIDOS VIVOS"/>
    <m/>
    <s v=""/>
    <m/>
    <m/>
    <m/>
    <m/>
    <s v="SEGÚN EL COMPORTAMIENTO DE VACUNACION DEL AÑO 2015 Y TENIENDO EN CUENTA LA PROYECCION A 31 DE DICIEMBRE DE 2015 SE OBTENDRAN COBERTURAS UTILES POR ENCIAMA DEL 95% EN LOS TRAZADORES QUE EVALUAN EL PROGRAMA: - MENOR DE UN AÑO EL - DE UN (1) AÑO Y DE 5 AÑOS "/>
    <n v="3116000000"/>
    <m/>
    <n v="0"/>
  </r>
  <r>
    <n v="14"/>
    <x v="0"/>
    <x v="0"/>
    <x v="0"/>
    <s v="EXISTENCIA"/>
    <s v="AUMENTAR EN EL CUATRIENIO LA MEDIANA DE LACTANCIA MATERNA EXCLUSIVA POR ENCIMA DE LOS 4.6 MESES."/>
    <s v="MEDIANA DE LACTANCIA MATERNA EXCLUSIVA"/>
    <s v="MESES"/>
    <s v="I"/>
    <n v="3.6"/>
    <n v="4.5999999999999996"/>
    <n v="1"/>
    <n v="0.16500000000000001"/>
    <n v="0"/>
    <n v="0"/>
    <n v="0"/>
    <n v="0"/>
    <n v="0"/>
    <n v="0"/>
    <n v="0"/>
    <n v="0"/>
    <n v="0"/>
    <n v="448000000"/>
    <n v="0"/>
    <n v="448000000"/>
    <n v="0"/>
    <n v="0"/>
    <n v="0"/>
    <n v="0"/>
    <n v="0"/>
    <n v="2553000"/>
    <n v="2399000"/>
    <n v="154000"/>
    <n v="0"/>
    <n v="0"/>
    <n v="0"/>
    <n v="0"/>
    <n v="0"/>
    <n v="0"/>
    <n v="0"/>
    <s v="-"/>
    <n v="3.3000000000000002E-2"/>
    <n v="0.2"/>
    <n v="0.2"/>
    <n v="0.2"/>
    <n v="0.2"/>
    <n v="100"/>
    <n v="100"/>
    <n v="3.3000000000000002E-2"/>
    <n v="100"/>
    <n v="893000000"/>
    <n v="498000000"/>
    <n v="395000000"/>
    <n v="0"/>
    <n v="0"/>
    <n v="0"/>
    <n v="0"/>
    <n v="0"/>
    <n v="661251874"/>
    <n v="422551874"/>
    <n v="238700000"/>
    <n v="0"/>
    <n v="0"/>
    <n v="0"/>
    <n v="0"/>
    <n v="0"/>
    <n v="0"/>
    <n v="0"/>
    <n v="0"/>
    <n v="6.6000000000000003E-2"/>
    <n v="0.4"/>
    <n v="0.4"/>
    <n v="4"/>
    <n v="0.3"/>
    <n v="-0.8"/>
    <n v="-0.8"/>
    <n v="-200"/>
    <n v="-200"/>
    <n v="-0.13200000000000001"/>
    <n v="-200"/>
    <n v="-0.13200000000000001"/>
    <n v="6.6000000000000003E-2"/>
    <n v="0.4"/>
    <n v="0.4"/>
    <n v="0.1"/>
    <n v="0.30000000000000004"/>
    <n v="0.1"/>
    <n v="25"/>
    <n v="25"/>
    <n v="1.6500000000000001E-2"/>
    <n v="1.6500000000000001E-2"/>
    <n v="804000000"/>
    <n v="306000000"/>
    <n v="498000000"/>
    <n v="0"/>
    <n v="0"/>
    <n v="0"/>
    <n v="0"/>
    <n v="0"/>
    <n v="0"/>
    <n v="0"/>
    <n v="0"/>
    <n v="0"/>
    <n v="0"/>
    <n v="0"/>
    <n v="0"/>
    <n v="0"/>
    <n v="0"/>
    <n v="0"/>
    <n v="0"/>
    <n v="-0.50000000000000011"/>
    <n v="0.16500000000000001"/>
    <n v="-50.000000000000014"/>
    <n v="-50.000000000000014"/>
    <n v="-8.2500000000000032E-2"/>
    <n v="-8.2500000000000032E-2"/>
    <n v="-8.2500000000000032E-2"/>
    <n v="1"/>
    <n v="0"/>
    <n v="3"/>
    <s v="REDUCIR EN EL CUATRIENIO LA TASA DE MORTALIDAD INFANTIL (0 - 1 AÑO) A 11 POR 1.000 NACIDOS VIVOS"/>
    <m/>
    <s v=""/>
    <m/>
    <m/>
    <m/>
    <m/>
    <s v="SI BIEN CIERTO LA META PROPUESTA DESDE EL AÑO 2012 FUE AUMENTAR EN UN PUNTO LA MEDIANA DE LACTANCIA MATERNA EXCLUSIVA TENIENDO COMO LINEA BASE 3,6 MESES, DURANTE ESTE CUATRIENIO SE HAN REALIZADO ACCIONES DESDE LA DIMENSION SAN Y GESTIONES TRASECTORIALES LAS CUALES NO FUERON SUFICIENTES PARA IMPACTAR POSITIVAMENTE EN LA DECISION DE LAS FAMILIAS DE LACTAR EXCLUSIVAMENTE DURANTE LOS PRIMEROS SEIS MESES DE VIDA. POR LO TANTO SE FIJO COMO META EN PLAN DECENAL DE SALUD PUBLICA A 2021 INCREMENTAR A 4 MESES LA LACTANCIA EXCLUSIVA Y CON UNA LINEA BASE 3 MESES A 2015. "/>
    <n v="0"/>
    <m/>
    <n v="0"/>
  </r>
  <r>
    <n v="15"/>
    <x v="0"/>
    <x v="1"/>
    <x v="0"/>
    <s v="EXISTENCIA"/>
    <s v="MEJORAR LA CONDICIÓN NUTRICIONAL DE 4.000 NIÑOS Y NIÑAS DE PRIMERA INFANCIA, CADA AÑO, CON COMPLEMENTO ALIMENTARIO, CON PRIORIDAD EN LA POBLACIÓN DE POBREZA EXTREMA"/>
    <s v="NO. DE NIÑOS DE PRIMERA INFANCIA ATENDIDOS ANUALMENTE CON COMPLEMENTO ALIMENTARIO"/>
    <s v="NIÑOS"/>
    <s v="M"/>
    <n v="3936"/>
    <n v="4000"/>
    <n v="4000"/>
    <n v="0.16500000000000001"/>
    <n v="4.1250000000000002E-2"/>
    <n v="4000"/>
    <n v="0.25"/>
    <n v="7871"/>
    <n v="1967.75"/>
    <n v="196.77500000000001"/>
    <n v="100"/>
    <n v="4.1250000000000002E-2"/>
    <n v="100"/>
    <n v="1427000000"/>
    <n v="1427000000"/>
    <n v="0"/>
    <n v="0"/>
    <n v="0"/>
    <n v="0"/>
    <n v="0"/>
    <n v="0"/>
    <n v="373817000"/>
    <n v="163117000"/>
    <n v="0"/>
    <n v="0"/>
    <n v="0"/>
    <n v="210700000"/>
    <n v="0"/>
    <n v="0"/>
    <n v="0"/>
    <n v="134611000"/>
    <s v="FUNDASET Y COMITÉ DE CAFETEROS DE CUNDINAMARCA"/>
    <n v="4.1250000000000002E-2"/>
    <n v="4000"/>
    <n v="0.25"/>
    <n v="3200"/>
    <n v="800"/>
    <n v="80"/>
    <n v="80"/>
    <n v="3.3000000000000002E-2"/>
    <n v="80"/>
    <n v="1031000000"/>
    <n v="0"/>
    <n v="1031000000"/>
    <n v="0"/>
    <n v="0"/>
    <n v="0"/>
    <n v="0"/>
    <n v="0"/>
    <n v="2740962756"/>
    <n v="812957816"/>
    <n v="0"/>
    <n v="0"/>
    <n v="0"/>
    <n v="1928004940"/>
    <n v="0"/>
    <n v="0"/>
    <n v="0"/>
    <n v="0"/>
    <n v="0"/>
    <n v="4.1250000000000002E-2"/>
    <n v="4000"/>
    <n v="0.25"/>
    <n v="6500"/>
    <n v="6500"/>
    <n v="6500"/>
    <n v="1625"/>
    <n v="162.5"/>
    <n v="100"/>
    <n v="4.1250000000000002E-2"/>
    <n v="100"/>
    <n v="6.7031250000000001E-2"/>
    <n v="4.1250000000000002E-2"/>
    <n v="4000"/>
    <n v="0.25"/>
    <n v="8696"/>
    <n v="-4696"/>
    <n v="2174"/>
    <n v="217.4"/>
    <n v="100"/>
    <n v="4.1250000000000002E-2"/>
    <n v="8.9677500000000007E-2"/>
    <n v="2379000000"/>
    <n v="2379000000"/>
    <n v="0"/>
    <n v="0"/>
    <n v="0"/>
    <n v="0"/>
    <n v="0"/>
    <n v="0"/>
    <n v="0"/>
    <n v="0"/>
    <n v="0"/>
    <n v="0"/>
    <n v="0"/>
    <n v="0"/>
    <n v="0"/>
    <n v="0"/>
    <n v="0"/>
    <n v="0"/>
    <n v="0"/>
    <n v="6566.75"/>
    <n v="0.16500000000000001"/>
    <n v="164.16874999999999"/>
    <n v="100"/>
    <n v="0.16500000000000001"/>
    <n v="0.16500000000000001"/>
    <n v="0.16500000000000001"/>
    <n v="1"/>
    <n v="0"/>
    <n v="7"/>
    <s v="REDUCIR LA PREVALENCIA DE DESNUTRICIÓN GLOBAL EN NIÑOS Y NIÑAS MENORES DE 6 AÑOS A 3.5% EN EL CUATRIENIO"/>
    <n v="8"/>
    <s v="REDUCIR LA PREVALENCIA DE DESNUTRICIÓN CRÓNICA EN NIÑOS Y NIÑAS MENORES DE 6 AÑOS A 9,5% EN EL CUATRIENIO"/>
    <m/>
    <m/>
    <m/>
    <m/>
    <s v="CONTRIBUCIÓN A LA REDUCCIÓN DE LA PREVALENCIA DE DESNUTRICIÓN GLOBAL EN MENORES DE 6 AÑOS EN 1.4 PUNTOS PORCENTUALES EN LO CORRIDO DEL CUATRIENIO, A TRAVÉS DE ENTREGA MENSUAL DE COMPLEMENTOS NUTRICIONALES A MÁS DE 19.000 NIÑOS Y NIÑAS MENORES DE CINCO (5) AÑOS EN 116 MUNICIPIOS DEL DEPARTAMENTO (PROGRAMA NUTRIR). 89 MUNICIPIOS PRESENTARON REDUCCIONES SIGNIFICATIVAS EN LA TASA DE DESNUTRICIÓN INFANTIL FRENTE A 2012._x000a_LAS FAMILIAS BENEFICIARIAS RECIBEN CAPACITACIÓN EN TEMAS DE NUTRICIÓN Y ALIMENTACIÓN SALUDABLE, Y SE REALIZA PROCESO DE RECICLAJE DE MATERIAL INCLUIDO EN LOS PAQUETES ALIMENTARIOS. _x000a_EN 2014, SE REALIZARON APOYOS A PROYECTOS PRODUCTIVOS PARA EL PROCESAMIENTO Y SIEMBRA DE QUINUA EN 5 MUNICIPIOS PRIORIZADOS."/>
    <n v="150000000"/>
    <m/>
    <n v="80"/>
  </r>
  <r>
    <n v="16"/>
    <x v="0"/>
    <x v="1"/>
    <x v="0"/>
    <s v="EXISTENCIA"/>
    <s v="MEJORAR LA CONDICIÓN NUTRICIONAL DE LOS NIÑOS, ATENDIENDO ANUALMENTE A 2.000 MADRES GESTANTES Y LACTANTES CON COMPLEMENTO ALIMENTARIO, CON PRIORIDAD EN LA POBLACIÓN DE POBREZA EXTREMA"/>
    <s v="NO. DE MADRES GESTANTES Y LACTANTES ATENDIDAS ANUALMENTE CON COMPLEMENTO ALIMENTARIO"/>
    <s v="NIÑOS"/>
    <s v="M"/>
    <n v="1532"/>
    <n v="2000"/>
    <n v="2000"/>
    <n v="0.16500000000000001"/>
    <n v="4.1250000000000002E-2"/>
    <n v="2000"/>
    <n v="0.25"/>
    <n v="3064"/>
    <n v="766"/>
    <n v="153.19999999999999"/>
    <n v="100"/>
    <n v="4.1250000000000002E-2"/>
    <n v="100"/>
    <n v="666000000"/>
    <n v="666000000"/>
    <n v="0"/>
    <n v="0"/>
    <n v="0"/>
    <n v="0"/>
    <n v="0"/>
    <n v="0"/>
    <n v="373817000"/>
    <n v="163117000"/>
    <n v="0"/>
    <n v="0"/>
    <n v="0"/>
    <n v="210700000"/>
    <n v="0"/>
    <n v="0"/>
    <n v="0"/>
    <n v="134611000"/>
    <s v="FUNDASET"/>
    <n v="4.1250000000000002E-2"/>
    <n v="2000"/>
    <n v="0.25"/>
    <n v="1210"/>
    <n v="302.5"/>
    <n v="60.5"/>
    <n v="60.5"/>
    <n v="2.4956249999999999E-2"/>
    <n v="60.5"/>
    <n v="481000000"/>
    <n v="0"/>
    <n v="481000000"/>
    <n v="0"/>
    <n v="0"/>
    <n v="0"/>
    <n v="0"/>
    <n v="0"/>
    <n v="1806739740"/>
    <n v="735544680"/>
    <n v="0"/>
    <n v="0"/>
    <n v="0"/>
    <n v="1071195060"/>
    <n v="0"/>
    <n v="0"/>
    <n v="0"/>
    <n v="0"/>
    <n v="0"/>
    <n v="4.1250000000000002E-2"/>
    <n v="2000"/>
    <n v="0.25"/>
    <n v="3000"/>
    <n v="3000"/>
    <n v="2600"/>
    <n v="650"/>
    <n v="130"/>
    <n v="100"/>
    <n v="4.1250000000000002E-2"/>
    <n v="100"/>
    <n v="5.3624999999999999E-2"/>
    <n v="4.1250000000000002E-2"/>
    <n v="2000"/>
    <n v="0.25"/>
    <n v="4000"/>
    <n v="-2000"/>
    <n v="1000"/>
    <n v="200"/>
    <n v="100"/>
    <n v="4.1250000000000002E-2"/>
    <n v="8.2500000000000004E-2"/>
    <n v="1110000000"/>
    <n v="1110000000"/>
    <n v="0"/>
    <n v="0"/>
    <n v="0"/>
    <n v="0"/>
    <n v="0"/>
    <n v="0"/>
    <n v="0"/>
    <n v="0"/>
    <n v="0"/>
    <n v="0"/>
    <n v="0"/>
    <n v="0"/>
    <n v="0"/>
    <n v="0"/>
    <n v="0"/>
    <n v="0"/>
    <n v="0"/>
    <n v="2718.5"/>
    <n v="0.16500000000000001"/>
    <n v="135.92500000000001"/>
    <n v="100"/>
    <n v="0.16500000000000001"/>
    <n v="0.16500000000000001"/>
    <n v="0.16500000000000001"/>
    <n v="1"/>
    <n v="0"/>
    <n v="7"/>
    <s v="REDUCIR LA PREVALENCIA DE DESNUTRICIÓN GLOBAL EN NIÑOS Y NIÑAS MENORES DE 6 AÑOS A 3.5% EN EL CUATRIENIO"/>
    <n v="8"/>
    <s v="REDUCIR LA PREVALENCIA DE DESNUTRICIÓN CRÓNICA EN NIÑOS Y NIÑAS MENORES DE 6 AÑOS A 9,5% EN EL CUATRIENIO"/>
    <m/>
    <m/>
    <m/>
    <m/>
    <s v="CONTRIBUCIÓN A LA REDUCCIÓN DE LA PREVALENCIA DE BAJO PESO EN MADRES GESTANTES EN 3.2 PUNTOS PORCENTUALES EN LO CORRIDO DEL CUATRIENIO, A TRAVÉS DE ENTREGA MENSUAL DE COMPLEMENTOS NUTRICIONALES A MÁS DE 7.000 MADRES GESTANTES Y LACTANTES, EN 116 MUNICIPIOS DEL DEPARTAMENTO (PROGRAMA NUTRIR)._x000a_CON LA FUNDACIÓN EXITO SE BRINDÓ APOYO EN 2014, A 400 ADOLESCENTES GESTANTES CON BAJO PESO."/>
    <n v="110000000"/>
    <m/>
    <n v="100"/>
  </r>
  <r>
    <n v="17"/>
    <x v="0"/>
    <x v="2"/>
    <x v="0"/>
    <s v="EXISTENCIA"/>
    <s v="RED DE ACTORES INSTITUCIONALES CON PROTOCOLO INTERVIENEN EN LOS 116 MUNICIPIOS PARA LA PROTECCIÓN DE LA VIDA Y LA INTEGRIDAD FÍSICA DE LOS NIÑOS Y NIÑAS DE 0 A 5 AÑOS"/>
    <s v="NO. DE MUNICIPIOS CON PROTOCOLO DE INTERVENCIÓN PARA PROTECCIÓN DE LA VIDA Y LA INTEGRIDAD FÍSICA DE LO MENORES DE 5 AÑOS"/>
    <s v="MUNICIPIOS"/>
    <s v="M"/>
    <n v="0"/>
    <n v="116"/>
    <n v="116"/>
    <n v="0.16500000000000001"/>
    <n v="4.1250000000000002E-2"/>
    <n v="116"/>
    <n v="0.25"/>
    <n v="0"/>
    <n v="0"/>
    <n v="0"/>
    <n v="0"/>
    <n v="0"/>
    <n v="0"/>
    <n v="0"/>
    <n v="0"/>
    <n v="0"/>
    <n v="0"/>
    <n v="0"/>
    <n v="0"/>
    <n v="0"/>
    <n v="0"/>
    <n v="0"/>
    <n v="0"/>
    <n v="0"/>
    <n v="0"/>
    <n v="0"/>
    <n v="0"/>
    <n v="0"/>
    <n v="0"/>
    <n v="0"/>
    <n v="0"/>
    <s v="-"/>
    <n v="4.1250000000000002E-2"/>
    <n v="116"/>
    <n v="0.25"/>
    <n v="80"/>
    <n v="20"/>
    <n v="68.965517241379317"/>
    <n v="68.965517241379317"/>
    <n v="2.8448275862068967E-2"/>
    <n v="68.965517241379317"/>
    <n v="50000000"/>
    <n v="0"/>
    <n v="50000000"/>
    <n v="0"/>
    <n v="0"/>
    <n v="0"/>
    <n v="0"/>
    <n v="0"/>
    <n v="0"/>
    <n v="0"/>
    <n v="0"/>
    <n v="0"/>
    <n v="0"/>
    <n v="0"/>
    <n v="0"/>
    <n v="0"/>
    <n v="0"/>
    <n v="0"/>
    <n v="0"/>
    <n v="4.1250000000000002E-2"/>
    <n v="116"/>
    <n v="0.25"/>
    <n v="116"/>
    <n v="116"/>
    <n v="116"/>
    <n v="29"/>
    <n v="100"/>
    <n v="100"/>
    <n v="4.1250000000000002E-2"/>
    <n v="100"/>
    <n v="4.1250000000000002E-2"/>
    <n v="4.1250000000000002E-2"/>
    <n v="0"/>
    <n v="0.25"/>
    <n v="100"/>
    <n v="-100"/>
    <n v="25"/>
    <n v="0"/>
    <n v="0"/>
    <n v="0"/>
    <n v="0"/>
    <n v="0"/>
    <n v="0"/>
    <n v="0"/>
    <n v="0"/>
    <n v="0"/>
    <n v="0"/>
    <n v="0"/>
    <n v="0"/>
    <n v="0"/>
    <n v="0"/>
    <n v="0"/>
    <n v="0"/>
    <n v="0"/>
    <n v="0"/>
    <n v="0"/>
    <n v="0"/>
    <n v="0"/>
    <n v="0"/>
    <n v="0"/>
    <n v="74"/>
    <n v="0.16500000000000001"/>
    <n v="63.793103448275865"/>
    <n v="63.793103448275865"/>
    <n v="0.10525862068965518"/>
    <n v="0.10525862068965518"/>
    <n v="0.10525862068965518"/>
    <n v="1"/>
    <n v="0"/>
    <n v="1"/>
    <s v="REDUCIR EN EL CUATRIENIO EN 50% LAS MUERTES POR HOMICIDIO EN NIÑOS Y NIÑAS DE 0 A 5 AÑOS"/>
    <m/>
    <s v=""/>
    <m/>
    <m/>
    <m/>
    <m/>
    <s v="ARTICULACION PERMANENTE ENTRE LA SECRETARIA DE GOBIERNO, ICBF, COMISIARIAS DE FAMILIA CONJUNTAMENTE CON POLICIA DE INFANCIA Y ADOLESCENCIA CON EL FIN DE PROTEGER LA VIDA INTEGRIDAD DE LOS MENORES DE 0A 5 AÑOS"/>
    <n v="0"/>
    <m/>
    <n v="4"/>
  </r>
  <r>
    <n v="18"/>
    <x v="0"/>
    <x v="3"/>
    <x v="0"/>
    <s v="DESARROLLO"/>
    <s v="GARANTIZAR, EN EL CUATRIENIO 8.000 CUPOS PARA LA ATENCIÓN EN EDUCACIÓN INICIAL A NIÑOS Y NIÑAS MENORES DE 5 AÑOS, PRIORIZANDO LA POBLACIÓN EN POBREZA EXTREMA QUE LO DEMANDE."/>
    <s v="NO. DE CUPOS GENERADOS PARA LA ATENCIÓN EN EDUCACIÓN INICIAL EN EL CUATRIENIO"/>
    <s v="NIÑOS"/>
    <s v="I"/>
    <n v="7646"/>
    <n v="15646"/>
    <n v="8000"/>
    <n v="0.25"/>
    <n v="6.25E-2"/>
    <n v="2000"/>
    <n v="0.25"/>
    <n v="2004"/>
    <n v="2004"/>
    <n v="100.2"/>
    <n v="100"/>
    <n v="6.25E-2"/>
    <n v="100"/>
    <n v="3024000000"/>
    <n v="2000000000"/>
    <n v="0"/>
    <n v="0"/>
    <n v="0"/>
    <n v="0"/>
    <n v="0"/>
    <n v="1024000000"/>
    <n v="2364000000"/>
    <n v="2000000000"/>
    <n v="0"/>
    <n v="364000000"/>
    <n v="0"/>
    <n v="0"/>
    <n v="0"/>
    <n v="0"/>
    <n v="0"/>
    <n v="304420000"/>
    <s v="ICBF"/>
    <n v="6.25E-2"/>
    <n v="2000"/>
    <n v="0.25"/>
    <n v="2100"/>
    <n v="2100"/>
    <n v="105"/>
    <n v="100"/>
    <n v="6.25E-2"/>
    <n v="100"/>
    <n v="1405000000"/>
    <n v="0"/>
    <n v="1405000000"/>
    <n v="0"/>
    <n v="0"/>
    <n v="0"/>
    <n v="0"/>
    <n v="0"/>
    <n v="702500000"/>
    <n v="702500000"/>
    <n v="0"/>
    <n v="0"/>
    <n v="0"/>
    <n v="0"/>
    <n v="0"/>
    <n v="0"/>
    <n v="0"/>
    <n v="567893472"/>
    <s v="Colsubsidio"/>
    <n v="6.25E-2"/>
    <n v="2000"/>
    <n v="0.25"/>
    <n v="2160"/>
    <n v="2160"/>
    <n v="2160"/>
    <n v="2160"/>
    <n v="108"/>
    <n v="100"/>
    <n v="6.25E-2"/>
    <n v="100"/>
    <n v="6.7500000000000004E-2"/>
    <n v="6.25E-2"/>
    <n v="2000"/>
    <n v="0.25"/>
    <n v="1268"/>
    <n v="732"/>
    <n v="1268"/>
    <n v="63.4"/>
    <n v="63.4"/>
    <n v="3.9625E-2"/>
    <n v="3.9625E-2"/>
    <n v="3242000000"/>
    <n v="3242000000"/>
    <n v="0"/>
    <n v="0"/>
    <n v="0"/>
    <n v="0"/>
    <n v="0"/>
    <n v="0"/>
    <n v="0"/>
    <n v="0"/>
    <n v="0"/>
    <n v="0"/>
    <n v="0"/>
    <n v="0"/>
    <n v="0"/>
    <n v="0"/>
    <n v="0"/>
    <n v="0"/>
    <n v="0"/>
    <n v="7532"/>
    <n v="0.25"/>
    <n v="94.15"/>
    <n v="94.15"/>
    <n v="0.235375"/>
    <n v="0.235375"/>
    <n v="0.235375"/>
    <n v="1"/>
    <n v="0"/>
    <n v="35"/>
    <s v="ALCANZAR EN EL CUATRIENIO UNA COBERTURA BRUTA EN TRANSICIÓN DE 86.95%, PRIORIZANDO LA POBLACIÓN EN POBREZA EXTREMA QUE LO DEMANDE"/>
    <n v="77"/>
    <s v="MEJORAR EN EL CUATRIENIO LOS PROCESOS EDUCATIVOS, FORMATIVOS, PEDAGÓGICOS E INSTITUCIONALES DEL 100% DE LAS INSTITUCIONES EDUCATIVAS DE LOS MUNICIPIOS NO CERTIFICADOS"/>
    <m/>
    <m/>
    <m/>
    <m/>
    <s v="PARA CUMPLIR CON LA META DE 8.000 CUPOS DE ATENCIÓN INTEGRAL A LOS MENORES DE 5 AÑOS, SE HIZO NECESARIO CONSTITUIR ALIANZAS PARA SUBSIDIAR LA ATENCIÓN INTEGRAL EN CUIDADO, NUTRICIÓN Y EDUCACIÓN INICIAL A ESTE RANGO POBLACIONAL, HASTA SU INGRESO AL GRADO OBLIGATORIO DE TRANSICIÓN._x000a_EN EL CUATRIENIO A CORTE DE AGOSTO DE 2015, SE HAN ATENDIDO 7.374 NIÑOS Y NIÑAS MENORES DE 5 AÑOS A TRAVÉS DE SUSCRIPCIÓN DE CONVENIOS DE COOPERACIÓN, ENTRE LA SECRETARÍA DE EDUCACIÓN Y COLSUBSIDIO, DONDE COLSUBSIDIO COOPERÓ CON LA SUMA DE $ 4.221.182.325 Y LA GOBERNACIÓN DE CUNDINAMARCA- SECRETARÍA DE EDUCACIÓN APORTÓ LA SUMA DE $ 10.368.182.325. ADEMÁS EN CONVENIO CON EL MEN SE ATENDIERON 444 NIÑOS Y NIÑAS EN EL AÑO 2012. ASÍ LAS COSAS EN EL CUATRIENIO A LA FECHA SE HAN ATENDIDO 7. 374 MENORES DE 5 AÑOS._x000a_"/>
    <n v="100000000"/>
    <m/>
    <n v="116"/>
  </r>
  <r>
    <n v="19"/>
    <x v="0"/>
    <x v="3"/>
    <x v="0"/>
    <s v="DESARROLLO"/>
    <s v="FORMAR, EN EL CUATRIENIO A 1.800 AGENTES EDUCATIVOS EN LOS PROCESOS PEDAGÓGICOS DE LA PRIMERA INFANCIA."/>
    <s v="NO. DE AGENTES EDUCATIVOS FORMADOS EN LOS PROCESOS PEDAGÓGICOS DE LA PRIMERA INFANCIA"/>
    <s v="PERSONAS"/>
    <s v="I"/>
    <n v="0"/>
    <n v="1800"/>
    <n v="1800"/>
    <n v="0.25"/>
    <n v="0.1111111111111111"/>
    <n v="800"/>
    <n v="0.44444444444444442"/>
    <n v="780"/>
    <n v="780"/>
    <n v="97.5"/>
    <n v="97.5"/>
    <n v="0.10833333333333332"/>
    <n v="97.5"/>
    <n v="0"/>
    <n v="0"/>
    <n v="0"/>
    <n v="0"/>
    <n v="0"/>
    <n v="0"/>
    <n v="0"/>
    <n v="0"/>
    <n v="0"/>
    <n v="0"/>
    <n v="0"/>
    <n v="0"/>
    <n v="0"/>
    <n v="0"/>
    <n v="0"/>
    <n v="0"/>
    <n v="0"/>
    <n v="0"/>
    <n v="0"/>
    <n v="8.3333333333333329E-2"/>
    <n v="600"/>
    <n v="0.33333333333333331"/>
    <n v="625"/>
    <n v="625"/>
    <n v="104.16666666666667"/>
    <n v="100"/>
    <n v="8.3333333333333315E-2"/>
    <n v="100"/>
    <n v="180000000"/>
    <n v="0"/>
    <n v="0"/>
    <n v="0"/>
    <n v="0"/>
    <n v="0"/>
    <n v="0"/>
    <n v="180000000"/>
    <n v="150000000"/>
    <n v="150000000"/>
    <n v="0"/>
    <n v="0"/>
    <n v="0"/>
    <n v="0"/>
    <n v="0"/>
    <n v="0"/>
    <n v="0"/>
    <n v="1359799996"/>
    <s v="Ministerio de Educación Nacional"/>
    <n v="4.8611111111111112E-2"/>
    <n v="350"/>
    <n v="0.19444444444444445"/>
    <n v="91"/>
    <n v="91"/>
    <n v="462"/>
    <n v="462"/>
    <n v="132"/>
    <n v="100"/>
    <n v="4.8611111111111119E-2"/>
    <n v="100"/>
    <n v="6.4166666666666664E-2"/>
    <n v="6.9444444444444441E-3"/>
    <n v="50"/>
    <n v="2.7777777777777776E-2"/>
    <n v="148"/>
    <n v="-98"/>
    <n v="148"/>
    <n v="296"/>
    <n v="100"/>
    <n v="6.9444444444444441E-3"/>
    <n v="2.0555555555555553E-2"/>
    <n v="0"/>
    <n v="0"/>
    <n v="0"/>
    <n v="0"/>
    <n v="0"/>
    <n v="0"/>
    <n v="0"/>
    <n v="0"/>
    <n v="0"/>
    <n v="0"/>
    <n v="0"/>
    <n v="0"/>
    <n v="0"/>
    <n v="0"/>
    <n v="0"/>
    <n v="0"/>
    <n v="0"/>
    <n v="0"/>
    <n v="0"/>
    <n v="2015"/>
    <n v="0.24999999999999997"/>
    <n v="111.94444444444444"/>
    <n v="100"/>
    <n v="0.25"/>
    <n v="0.25"/>
    <n v="0.25"/>
    <n v="0.99999999999999989"/>
    <n v="1.0408340855860843E-17"/>
    <n v="35"/>
    <s v="ALCANZAR EN EL CUATRIENIO UNA COBERTURA BRUTA EN TRANSICIÓN DE 86.95%, PRIORIZANDO LA POBLACIÓN EN POBREZA EXTREMA QUE LO DEMANDE"/>
    <n v="77"/>
    <s v="MEJORAR EN EL CUATRIENIO LOS PROCESOS EDUCATIVOS, FORMATIVOS, PEDAGÓGICOS E INSTITUCIONALES DEL 100% DE LAS INSTITUCIONES EDUCATIVAS DE LOS MUNICIPIOS NO CERTIFICADOS"/>
    <m/>
    <m/>
    <m/>
    <m/>
    <s v="UNA DE LAS COMPETENCIAS DE LA SECRETARIA DE EDUCACIÓN ES LA FORMACIÓN DE AGENTES EDUCATIVOS EN PROCESOS PEDAGÓGICOS PARA LA PRIMERA INFANCIA. EN EL CUATRIENIO LA META ES FORMAR A 1.800 AGENTES EDUCATIVOS._x000a_PARA LOGRAR ESTE PROPÓSITO SE AUNARON ESFUERZOS ADMINISTRATIVOS, TÉCNICOS Y FINANCIEROS, CON EL MINISTERIO DE EDUCACIÓN, CORPOEDUCACIÓN, FUNDACIÓN UNIVERSIDAD DEL NORTE, SALDARRIAGA CONCHA Y UNIVERSIDAD NACIONAL. ES ASÍ QUE ENTRE TODAS ESTAS ENTIDADES SE LOGRÓ A CORTE DE AGOSTO DE 2015, LA COOPERACIÓN PARA FORMAR UN TOTAL DE 1.921 AGENTES EDUCATIVOS. ES DE RESALTAR QUE LOS APORTES ECONÓMICOS DE LAS DIFERENTES ENTIDADES ASCENDIERON A LA SUMA DE $ 3.366.799.996,16, DONDE LA SECRETARÍA DE EDUCACIÓN DE CUNDINAMARCA PARTICIPÓ CON $200.000.000. EN ESTE PROCESO DE FORMACIÓN ESTÁN VINCULADOS LOS 116 MUNICIPIOS DE CUNDINAMARCA._x000a_"/>
    <n v="0"/>
    <m/>
    <n v="1"/>
  </r>
  <r>
    <n v="20"/>
    <x v="0"/>
    <x v="1"/>
    <x v="0"/>
    <s v="DESARROLLO"/>
    <s v="CONTRIBUIR AL DESARROLLO SICOMOTRIZ Y SOCIAL DE LOS NIÑOS FORTALECIENDO EN EL CUATRIENIO LA OPERACIÓN DE 160 LUDOTECAS CON AMBIENTE E IMPLEMENTOS ADECUADOS PARA LAS Y LOS NIÑOS DE 0 A 5 AÑOS"/>
    <s v="NO DE LUDOTECAS CON SERVICIO ADECUADO PARA PRIMERA INFANCIA"/>
    <s v="LUDOTECAS"/>
    <s v="I"/>
    <n v="132"/>
    <n v="292"/>
    <n v="160"/>
    <n v="0.16500000000000001"/>
    <n v="0"/>
    <n v="0"/>
    <n v="0"/>
    <n v="0"/>
    <n v="0"/>
    <n v="0"/>
    <n v="0"/>
    <n v="0"/>
    <n v="0"/>
    <n v="189000000"/>
    <n v="89000000"/>
    <n v="0"/>
    <n v="0"/>
    <n v="0"/>
    <n v="0"/>
    <n v="0"/>
    <n v="100000000"/>
    <n v="18000000"/>
    <n v="18000000"/>
    <n v="0"/>
    <n v="0"/>
    <n v="0"/>
    <n v="0"/>
    <n v="0"/>
    <n v="0"/>
    <n v="0"/>
    <n v="0"/>
    <n v="0"/>
    <n v="5.2593750000000002E-2"/>
    <n v="51"/>
    <n v="0.31874999999999998"/>
    <n v="70"/>
    <n v="70"/>
    <n v="137.25490196078431"/>
    <n v="100"/>
    <n v="5.2593750000000002E-2"/>
    <n v="100"/>
    <n v="328000000"/>
    <n v="0"/>
    <n v="208000000"/>
    <n v="0"/>
    <n v="0"/>
    <n v="0"/>
    <n v="0"/>
    <n v="120000000"/>
    <n v="40000000"/>
    <n v="40000000"/>
    <n v="0"/>
    <n v="0"/>
    <n v="0"/>
    <n v="0"/>
    <n v="0"/>
    <n v="0"/>
    <n v="0"/>
    <n v="0"/>
    <n v="0"/>
    <n v="5.9812499999999998E-2"/>
    <n v="58"/>
    <n v="0.36249999999999999"/>
    <n v="0"/>
    <n v="0"/>
    <n v="0"/>
    <n v="0"/>
    <n v="0"/>
    <n v="0"/>
    <n v="0"/>
    <n v="0"/>
    <n v="0"/>
    <n v="5.2593750000000002E-2"/>
    <n v="51"/>
    <n v="0.31874999999999998"/>
    <n v="0"/>
    <n v="51"/>
    <n v="0"/>
    <n v="0"/>
    <n v="0"/>
    <n v="0"/>
    <n v="0"/>
    <n v="600000000"/>
    <n v="480000000"/>
    <n v="0"/>
    <n v="0"/>
    <n v="0"/>
    <n v="0"/>
    <n v="0"/>
    <n v="120000000"/>
    <n v="0"/>
    <n v="0"/>
    <n v="0"/>
    <n v="0"/>
    <n v="0"/>
    <n v="0"/>
    <n v="0"/>
    <n v="0"/>
    <n v="0"/>
    <n v="0"/>
    <n v="0"/>
    <n v="70"/>
    <n v="0.16500000000000001"/>
    <n v="43.75"/>
    <n v="43.75"/>
    <n v="7.2187500000000002E-2"/>
    <n v="7.2187500000000002E-2"/>
    <n v="7.2187500000000002E-2"/>
    <n v="0.99999999999999989"/>
    <n v="0"/>
    <n v="9"/>
    <s v="FOMENTAR HABILIDADES Y DESTREZAS CON ACTIVIDADES LÚDICAS Y CULTURALES EN EL 15% DE LOS NIÑOS Y NIÑAS DE PRIMERA INFANCIA CADA AÑO"/>
    <m/>
    <s v=""/>
    <m/>
    <m/>
    <m/>
    <m/>
    <s v="FORTALECIMIENTO DE ESPACIOS DE PARTICIPACIÓN Y APRENDIZAJE CON DOTACIÓN A 70 LUDOTECAS EN EL MARCO DEL PROGRAMA RED DE LUDOTECAS EN 67 MUNICIPIOS, DE LAS CUALES 19 SE ENCUENTRAN A CARGO DE COLSUBSIDIO EN EL MARCO DEL CONVENIO DE COOPERACIÓN SUSCRITO. _x000a_SE HAN CAPACITADO APROXIMADAMENTE 100 LUDOEDUCADORES EN TEMAS DE: JUEGO, LUDOTECAS Y EDUCACIÓN; LUDOTECAS Y JUEGO EN EL DESAROLLO LOCAL; POLITICAS PÚBLICAS DE LUDOTECAS Y ESPACIOS DE JUEGO._x000a_ENTRE 2014 Y PRIMER SEMESTRE DE 2015, SE HA BRINDADO ATENCIÓN A MÁS DE 100 MIL NIÑOS Y NIÑAS MENORES DE 6 AÑOS."/>
    <n v="80000000"/>
    <m/>
    <n v="100"/>
  </r>
  <r>
    <n v="21"/>
    <x v="0"/>
    <x v="4"/>
    <x v="0"/>
    <s v="DESARROLLO"/>
    <s v="PROMOVER EN 35.000 NIÑAS Y NIÑOS EN EL CUATRIENIO EL JUEGO Y LA ACTIVIDAD FÍSICA A TRAVÉS DE LA MATROGIMNASIA"/>
    <s v="NO. NIÑAS Y NIÑOS DESARROLLANDO HABILIDADES POR MEDIO DE LA MATROGIMNASIA EN EL CUATRIENIO"/>
    <s v="PERSONAS"/>
    <s v="I"/>
    <n v="0"/>
    <n v="35000"/>
    <n v="35000"/>
    <n v="0.16500000000000001"/>
    <n v="0"/>
    <n v="0"/>
    <n v="0"/>
    <n v="0"/>
    <n v="0"/>
    <n v="0"/>
    <n v="0"/>
    <n v="0"/>
    <n v="0"/>
    <n v="0"/>
    <n v="0"/>
    <n v="0"/>
    <n v="0"/>
    <n v="0"/>
    <n v="0"/>
    <n v="0"/>
    <n v="0"/>
    <n v="0"/>
    <n v="0"/>
    <n v="0"/>
    <n v="0"/>
    <n v="0"/>
    <n v="0"/>
    <n v="0"/>
    <n v="0"/>
    <n v="0"/>
    <n v="0"/>
    <n v="0"/>
    <n v="5.4996857142857146E-2"/>
    <n v="11666"/>
    <n v="0.33331428571428573"/>
    <n v="10144"/>
    <n v="10144"/>
    <n v="86.953540202297276"/>
    <n v="86.953540202297276"/>
    <n v="4.7821714285714287E-2"/>
    <n v="86.953540202297276"/>
    <n v="152000000"/>
    <n v="0"/>
    <n v="152000000"/>
    <n v="0"/>
    <n v="0"/>
    <n v="0"/>
    <n v="0"/>
    <n v="0"/>
    <n v="250090688"/>
    <n v="250090688"/>
    <n v="0"/>
    <n v="0"/>
    <n v="0"/>
    <n v="0"/>
    <n v="0"/>
    <n v="0"/>
    <n v="0"/>
    <n v="0"/>
    <n v="0"/>
    <n v="5.5001571428571434E-2"/>
    <n v="11667"/>
    <n v="0.33334285714285716"/>
    <n v="6301"/>
    <n v="6301"/>
    <n v="11762"/>
    <n v="11762"/>
    <n v="100.81426244964429"/>
    <n v="100"/>
    <n v="5.5001571428571434E-2"/>
    <n v="100"/>
    <n v="5.5449428571428566E-2"/>
    <n v="5.5001571428571434E-2"/>
    <n v="11667"/>
    <n v="0.33334285714285716"/>
    <n v="1209"/>
    <n v="10458"/>
    <n v="1209"/>
    <n v="10.362561069683723"/>
    <n v="10.362561069683723"/>
    <n v="5.6995714285714297E-3"/>
    <n v="5.6995714285714297E-3"/>
    <n v="152000000"/>
    <n v="152000000"/>
    <n v="0"/>
    <n v="0"/>
    <n v="0"/>
    <n v="0"/>
    <n v="0"/>
    <n v="0"/>
    <n v="0"/>
    <n v="0"/>
    <n v="0"/>
    <n v="0"/>
    <n v="0"/>
    <n v="0"/>
    <n v="0"/>
    <n v="0"/>
    <n v="0"/>
    <n v="0"/>
    <n v="0"/>
    <n v="23115"/>
    <n v="0.16500000000000001"/>
    <n v="66.042857142857144"/>
    <n v="66.042857142857144"/>
    <n v="0.1089707142857143"/>
    <n v="0.1089707142857143"/>
    <n v="0.1089707142857143"/>
    <n v="1"/>
    <n v="0"/>
    <n v="9"/>
    <s v="FOMENTAR HABILIDADES Y DESTREZAS CON ACTIVIDADES LÚDICAS Y CULTURALES EN EL 15% DE LOS NIÑOS Y NIÑAS DE PRIMERA INFANCIA CADA AÑO"/>
    <m/>
    <s v=""/>
    <m/>
    <m/>
    <m/>
    <m/>
    <s v="SE IMPLEMENTÓ EL PROGRAMA DE MATROGIMNASIA COMO ESTRATEGIA DE ATENCIÓN Y DESARROLLO MOTRIZ A LA PRIMERA INFANCIA DEL DEPARTAMENTO, CON UNA INVERSIÓN SIGNIFICATIVA QUE LOGRÓ LA DOTACIÓN DE CENTROS PARA LA INSTALACIÓN DE GIMNASIOS DE DESARROLLO MOTRIZ DIRIGIDOS A LA PRIMERA INFANCIA E INFANCIA, EN 64 MUNICIPIOS QUE GARANTIZA LA PERMANENCIA DEL PROGRAMA EN EL TERRITORIO."/>
    <n v="751000000"/>
    <m/>
    <n v="29"/>
  </r>
  <r>
    <n v="22"/>
    <x v="0"/>
    <x v="4"/>
    <x v="0"/>
    <s v="DESARROLLO"/>
    <s v="INVOLUCRAR A LAS NIÑAS Y LOS NIÑOS DE PRIMERA INFANCIA EN ACTIVIDADES LÚDICAS Y RECREATIVAS CON LA DOTACIÓN EN EL CUATRIENIO DE 250 PARQUES INFANTILES"/>
    <s v="NO. DE PARQUES INFANTILES PARA LA PRIMERA INFANCIA DOTADOS EN EL CUATRIENIO"/>
    <s v="PARQUES"/>
    <s v="I"/>
    <n v="37"/>
    <n v="287"/>
    <n v="250"/>
    <n v="0.16500000000000001"/>
    <n v="6.6E-4"/>
    <n v="1"/>
    <n v="4.0000000000000001E-3"/>
    <n v="1"/>
    <n v="1"/>
    <n v="100"/>
    <n v="100"/>
    <n v="6.6E-4"/>
    <n v="100"/>
    <n v="166000000"/>
    <n v="166000000"/>
    <n v="0"/>
    <n v="0"/>
    <n v="0"/>
    <n v="0"/>
    <n v="0"/>
    <n v="0"/>
    <n v="90161000"/>
    <n v="90161000"/>
    <n v="0"/>
    <n v="0"/>
    <n v="0"/>
    <n v="0"/>
    <n v="0"/>
    <n v="0"/>
    <n v="0"/>
    <n v="0"/>
    <n v="0"/>
    <n v="0.12870000000000001"/>
    <n v="195"/>
    <n v="0.78"/>
    <n v="195"/>
    <n v="195"/>
    <n v="100"/>
    <n v="100"/>
    <n v="0.12870000000000001"/>
    <n v="100"/>
    <n v="229000000"/>
    <n v="0"/>
    <n v="229000000"/>
    <n v="0"/>
    <n v="0"/>
    <n v="0"/>
    <n v="0"/>
    <n v="0"/>
    <n v="494750000"/>
    <n v="494750000"/>
    <n v="0"/>
    <n v="0"/>
    <n v="0"/>
    <n v="0"/>
    <n v="0"/>
    <n v="0"/>
    <n v="0"/>
    <n v="0"/>
    <n v="0"/>
    <n v="0"/>
    <n v="0"/>
    <n v="0"/>
    <n v="0"/>
    <n v="0"/>
    <n v="0"/>
    <n v="0"/>
    <n v="0"/>
    <n v="0"/>
    <n v="0"/>
    <n v="0"/>
    <n v="0"/>
    <n v="3.5639999999999998E-2"/>
    <n v="54"/>
    <n v="0.216"/>
    <n v="25"/>
    <n v="29"/>
    <n v="25"/>
    <n v="46.296296296296298"/>
    <n v="46.296296296296298"/>
    <n v="1.6500000000000001E-2"/>
    <n v="1.6500000000000001E-2"/>
    <n v="229000000"/>
    <n v="229000000"/>
    <n v="0"/>
    <n v="0"/>
    <n v="0"/>
    <n v="0"/>
    <n v="0"/>
    <n v="0"/>
    <n v="0"/>
    <n v="0"/>
    <n v="0"/>
    <n v="0"/>
    <n v="0"/>
    <n v="0"/>
    <n v="0"/>
    <n v="0"/>
    <n v="0"/>
    <n v="0"/>
    <n v="0"/>
    <n v="221"/>
    <n v="0.16500000000000001"/>
    <n v="88.4"/>
    <n v="88.4"/>
    <n v="0.14586000000000002"/>
    <n v="0.14586000000000002"/>
    <n v="0.14586000000000002"/>
    <n v="1"/>
    <n v="0"/>
    <n v="9"/>
    <s v="FOMENTAR HABILIDADES Y DESTREZAS CON ACTIVIDADES LÚDICAS Y CULTURALES EN EL 15% DE LOS NIÑOS Y NIÑAS DE PRIMERA INFANCIA CADA AÑO"/>
    <m/>
    <s v=""/>
    <m/>
    <m/>
    <m/>
    <m/>
    <s v="CON UNA SIGNIFICATIVA INVERSIÓN SE LOGRÓ LA DOTACIÓN DE 250 PARQUES INFANTILES EN 34 MUNICIPIOS EN LAS ÁREAS RURAL Y URBANA, FOMENTANDO LA CREACIÓN DE ESPACIOS PARA LOS NIÑOS Y NIÑAS QUE FACILITEN LA ACTIVIDAD FÍSICA, EL DEPORTE Y LA RECREACIÓN COMO HÁBITO DE SALUD Y MEJORAMIENTO DE LA CALIDAD DE VIDA Y EL BIENESTAR SOCIAL, ESPECIALMENTE EN LOS SECTORES SOCIALES MÁS NECESITADOS."/>
    <n v="6450000000"/>
    <m/>
    <n v="1100"/>
  </r>
  <r>
    <n v="23"/>
    <x v="0"/>
    <x v="4"/>
    <x v="0"/>
    <s v="DESARROLLO"/>
    <s v="PROMOVER LA PARTICIPACIÓN ACTIVA DE 12.800 NIÑOS Y NIÑAS MENORES DE 6 AÑOS EN EVENTOS RECREATIVOS CON LA FAMILIA"/>
    <s v="NO. DE NIÑOS PARTICIPANTES EN EVENTOS RECREATIVOS CON LA FAMILIA"/>
    <s v="PERSONAS"/>
    <s v="I"/>
    <n v="0"/>
    <n v="12800"/>
    <n v="12800"/>
    <n v="0.16500000000000001"/>
    <n v="0"/>
    <n v="0"/>
    <n v="0"/>
    <n v="0"/>
    <n v="0"/>
    <n v="0"/>
    <n v="0"/>
    <n v="0"/>
    <n v="0"/>
    <n v="0"/>
    <n v="0"/>
    <n v="0"/>
    <n v="0"/>
    <n v="0"/>
    <n v="0"/>
    <n v="0"/>
    <n v="0"/>
    <n v="0"/>
    <n v="0"/>
    <n v="0"/>
    <n v="0"/>
    <n v="0"/>
    <n v="0"/>
    <n v="0"/>
    <n v="0"/>
    <n v="0"/>
    <n v="0"/>
    <n v="0"/>
    <n v="5.4991406249999999E-2"/>
    <n v="4266"/>
    <n v="0.33328124999999997"/>
    <n v="4513"/>
    <n v="4513"/>
    <n v="105.78996718237225"/>
    <n v="100"/>
    <n v="5.4991406249999999E-2"/>
    <n v="100"/>
    <n v="122000000"/>
    <n v="0"/>
    <n v="122000000"/>
    <n v="0"/>
    <n v="0"/>
    <n v="0"/>
    <n v="0"/>
    <n v="0"/>
    <n v="47091248"/>
    <n v="47091248"/>
    <n v="0"/>
    <n v="0"/>
    <n v="0"/>
    <n v="0"/>
    <n v="0"/>
    <n v="0"/>
    <n v="0"/>
    <n v="0"/>
    <n v="0"/>
    <n v="5.5004296875000004E-2"/>
    <n v="4267"/>
    <n v="0.33335937500000001"/>
    <n v="7640"/>
    <n v="7640"/>
    <n v="7640"/>
    <n v="7640"/>
    <n v="179.0485118350129"/>
    <n v="100"/>
    <n v="5.5004296875000004E-2"/>
    <n v="100"/>
    <n v="9.8484375000000013E-2"/>
    <n v="5.5004296875000004E-2"/>
    <n v="4267"/>
    <n v="0.33335937500000001"/>
    <n v="4592"/>
    <n v="-325"/>
    <n v="4592"/>
    <n v="107.61659245371456"/>
    <n v="100"/>
    <n v="5.5004296875000004E-2"/>
    <n v="5.9193750000000003E-2"/>
    <n v="122000000"/>
    <n v="122000000"/>
    <n v="0"/>
    <n v="0"/>
    <n v="0"/>
    <n v="0"/>
    <n v="0"/>
    <n v="0"/>
    <n v="0"/>
    <n v="0"/>
    <n v="0"/>
    <n v="0"/>
    <n v="0"/>
    <n v="0"/>
    <n v="0"/>
    <n v="0"/>
    <n v="0"/>
    <n v="0"/>
    <n v="0"/>
    <n v="16745"/>
    <n v="0.16500000000000001"/>
    <n v="130.8203125"/>
    <n v="100"/>
    <n v="0.16500000000000001"/>
    <n v="0.16500000000000001"/>
    <n v="0.16500000000000001"/>
    <n v="1"/>
    <n v="0"/>
    <n v="9"/>
    <s v="FOMENTAR HABILIDADES Y DESTREZAS CON ACTIVIDADES LÚDICAS Y CULTURALES EN EL 15% DE LOS NIÑOS Y NIÑAS DE PRIMERA INFANCIA CADA AÑO"/>
    <m/>
    <s v=""/>
    <m/>
    <m/>
    <m/>
    <m/>
    <s v="CONSOLIDACIÓN DEL GRUPO DE PROMOTORES DE LA RECREACIÓN EN EL DEPARTAMENTO, GARANTIZANDO LA ORGANIZACIÓN Y DESARROLLO DE EVENTOS RECREATIVOS EN EL 50% DE MUNICIPIOS DEL DEPARTAMENTO, BAJO PROCESOS DE ACCIÓN PARTICIPATIVA Y DINÁMICA, QUE FACILITAN EL ENTENDER LA VIDA COMO UNA VIVENCIA DE DISFRUTE, CREACIÓN Y LIBERTAD, EN EL PLENO DESARROLLO DE LAS POTENCIALIDADES DEL SER HUMANO PARA SU REALIZACIÓN Y MEJORAMIENTO DE LA CALIDAD DE VIDA INDIVIDUAL Y SOCIAL, MEDIANTE LA PRÁCTICA DE ACTIVIDADES FÍSICAS O INTELECTUALES DE ESPARCIMIENTO."/>
    <n v="180000000"/>
    <m/>
    <n v="4"/>
  </r>
  <r>
    <n v="24"/>
    <x v="0"/>
    <x v="5"/>
    <x v="0"/>
    <s v="DESARROLLO"/>
    <s v="APOYAR EL DESARROLLO INTEGRAL A TRAVÉS DE PROCESOS DE FORMACIÓN ARTÍSTICA Y CULTURAL DE NIÑAS Y NIÑOS DE 0 A 5 AÑOS EN 12 MUNICIPIOS ANUALMENTE"/>
    <s v="NO. DE MUNICIPIOS APOYADOS ANUALMENTE CON PROCESOS DE FORMACIÓN ARTÍSTICA Y CULTURAL PARA LA PRIMERA INFANCIA"/>
    <s v="MUNICIPIOS"/>
    <s v="M"/>
    <n v="0"/>
    <n v="12"/>
    <n v="12"/>
    <n v="0.16500000000000001"/>
    <n v="4.1250000000000002E-2"/>
    <n v="12"/>
    <n v="0.25"/>
    <n v="20"/>
    <n v="5"/>
    <n v="166.66666666666666"/>
    <n v="100"/>
    <n v="4.1250000000000002E-2"/>
    <n v="100"/>
    <n v="120000000"/>
    <n v="120000000"/>
    <n v="0"/>
    <n v="0"/>
    <n v="0"/>
    <n v="0"/>
    <n v="0"/>
    <n v="0"/>
    <n v="116279000"/>
    <n v="116279000"/>
    <n v="0"/>
    <n v="0"/>
    <n v="0"/>
    <n v="0"/>
    <n v="0"/>
    <n v="0"/>
    <n v="0"/>
    <n v="0"/>
    <n v="0"/>
    <n v="4.1250000000000002E-2"/>
    <n v="12"/>
    <n v="0.25"/>
    <n v="40"/>
    <n v="10"/>
    <n v="333.33333333333331"/>
    <n v="100"/>
    <n v="4.1250000000000002E-2"/>
    <n v="100"/>
    <n v="372000000"/>
    <n v="0"/>
    <n v="72000000"/>
    <n v="0"/>
    <n v="0"/>
    <n v="0"/>
    <n v="0"/>
    <n v="300000000"/>
    <n v="149900000"/>
    <n v="149900000"/>
    <n v="0"/>
    <n v="0"/>
    <n v="0"/>
    <n v="0"/>
    <n v="0"/>
    <n v="0"/>
    <n v="0"/>
    <n v="0"/>
    <n v="0"/>
    <n v="4.1250000000000002E-2"/>
    <n v="12"/>
    <n v="0.25"/>
    <n v="7"/>
    <n v="7"/>
    <n v="12"/>
    <n v="3"/>
    <n v="100"/>
    <n v="100"/>
    <n v="4.1250000000000002E-2"/>
    <n v="100"/>
    <n v="4.1250000000000002E-2"/>
    <n v="4.1250000000000002E-2"/>
    <n v="12"/>
    <n v="0.25"/>
    <n v="22"/>
    <n v="-10"/>
    <n v="5.5"/>
    <n v="183.33333333333334"/>
    <n v="100"/>
    <n v="4.1250000000000002E-2"/>
    <n v="7.5625000000000012E-2"/>
    <n v="420000000"/>
    <n v="120000000"/>
    <n v="0"/>
    <n v="0"/>
    <n v="0"/>
    <n v="0"/>
    <n v="0"/>
    <n v="300000000"/>
    <n v="0"/>
    <n v="0"/>
    <n v="0"/>
    <n v="0"/>
    <n v="0"/>
    <n v="0"/>
    <n v="0"/>
    <n v="0"/>
    <n v="0"/>
    <n v="0"/>
    <n v="0"/>
    <n v="23.5"/>
    <n v="0.16500000000000001"/>
    <n v="195.83333333333334"/>
    <n v="100"/>
    <n v="0.16500000000000001"/>
    <n v="0.16500000000000001"/>
    <n v="0.16500000000000001"/>
    <n v="1"/>
    <n v="0"/>
    <n v="9"/>
    <s v="FOMENTAR HABILIDADES Y DESTREZAS CON ACTIVIDADES LÚDICAS Y CULTURALES EN EL 15% DE LOS NIÑOS Y NIÑAS DE PRIMERA INFANCIA CADA AÑO"/>
    <m/>
    <s v=""/>
    <m/>
    <m/>
    <m/>
    <m/>
    <s v="EL IDECUT A TRAVÉS DE ACTIIVIDADES DE CAPACITACIÓN HA LOGRADO BENEFICIAR A 61 MUNICIPIOS DEL DEPARTAMENTO, CON LO CUAL PROMUEVE EL BUEN USO DE LAS DOTACIONES DE INSTRUMENTOS ORFF LAS CUALES DURANTE EL 2014 LOGRARON FAVORECER A 40 MUNICIPIOS. CON LO ANTERIOR SE HAN CONSOLIDADO LOS PROCESOS DE FORMACIÓN EN INICIACIÓN MUSICAL, LO QUE PERMITE EL DESARROLLO DE INTELIGENCIAS MÚLTIPLES DE LOS NIÑOS Y NIÑAS DE 0 A 5 AÑOS."/>
    <n v="6000000"/>
    <m/>
    <n v="0"/>
  </r>
  <r>
    <n v="25"/>
    <x v="0"/>
    <x v="5"/>
    <x v="0"/>
    <s v="DESARROLLO"/>
    <s v="APOYAR EL PROCESO FORMATIVO DE LOS NIÑOS Y NIÑAS DE 0 A 5 AÑOS CON EL FORTALECIMIENTO DE 80 BIBLIOTECAS PÚBLICAS MUNICIPALES EN EL CUATRIENIO"/>
    <s v="NO. DE BIBLIOTECAS EN EL CUATRIENIO QUE PROMUEVEN LA LECTURA EN LA PRIMERA INFANCIA"/>
    <s v="BIBLIOTECAS"/>
    <s v="M"/>
    <n v="0"/>
    <n v="80"/>
    <n v="80"/>
    <n v="0.16500000000000001"/>
    <n v="4.1250000000000002E-2"/>
    <n v="20"/>
    <n v="0.25"/>
    <n v="131"/>
    <n v="32.75"/>
    <n v="655"/>
    <n v="100"/>
    <n v="4.1250000000000002E-2"/>
    <n v="100"/>
    <n v="107000000"/>
    <n v="19000000"/>
    <n v="0"/>
    <n v="88000000"/>
    <n v="0"/>
    <n v="0"/>
    <n v="0"/>
    <n v="0"/>
    <n v="0"/>
    <n v="0"/>
    <n v="0"/>
    <n v="0"/>
    <n v="0"/>
    <n v="0"/>
    <n v="0"/>
    <n v="0"/>
    <n v="0"/>
    <n v="88073000"/>
    <s v="MINISTERIO DE CULTURA"/>
    <n v="4.1250000000000002E-2"/>
    <n v="20"/>
    <n v="0.25"/>
    <n v="134"/>
    <n v="33.5"/>
    <n v="670"/>
    <n v="100"/>
    <n v="4.1250000000000002E-2"/>
    <n v="100"/>
    <n v="280000000"/>
    <n v="0"/>
    <n v="80000000"/>
    <n v="0"/>
    <n v="0"/>
    <n v="0"/>
    <n v="0"/>
    <n v="200000000"/>
    <n v="61800000"/>
    <n v="61800000"/>
    <n v="0"/>
    <n v="0"/>
    <n v="0"/>
    <n v="0"/>
    <n v="0"/>
    <n v="0"/>
    <n v="0"/>
    <n v="0"/>
    <n v="0"/>
    <n v="4.1250000000000002E-2"/>
    <n v="20"/>
    <n v="0.25"/>
    <n v="100"/>
    <n v="100"/>
    <n v="134"/>
    <n v="33.5"/>
    <n v="670"/>
    <n v="100"/>
    <n v="4.1250000000000002E-2"/>
    <n v="100"/>
    <n v="0.27637500000000004"/>
    <n v="4.1250000000000002E-2"/>
    <n v="20"/>
    <n v="0.25"/>
    <n v="143"/>
    <n v="-123"/>
    <n v="35.75"/>
    <n v="715"/>
    <n v="100"/>
    <n v="4.1250000000000002E-2"/>
    <n v="0.29493750000000002"/>
    <n v="280000000"/>
    <n v="80000000"/>
    <n v="0"/>
    <n v="0"/>
    <n v="0"/>
    <n v="0"/>
    <n v="0"/>
    <n v="200000000"/>
    <n v="0"/>
    <n v="0"/>
    <n v="0"/>
    <n v="0"/>
    <n v="0"/>
    <n v="0"/>
    <n v="0"/>
    <n v="0"/>
    <n v="0"/>
    <n v="0"/>
    <n v="0"/>
    <n v="135.5"/>
    <n v="0.16500000000000001"/>
    <n v="169.375"/>
    <n v="100"/>
    <n v="0.16500000000000001"/>
    <n v="0.16500000000000001"/>
    <n v="0.16500000000000001"/>
    <n v="1"/>
    <n v="0"/>
    <n v="9"/>
    <s v="FOMENTAR HABILIDADES Y DESTREZAS CON ACTIVIDADES LÚDICAS Y CULTURALES EN EL 15% DE LOS NIÑOS Y NIÑAS DE PRIMERA INFANCIA CADA AÑO"/>
    <m/>
    <s v=""/>
    <m/>
    <m/>
    <m/>
    <m/>
    <s v="A TRAVÉS DE GESTIÓN POR PARTE DEL IDECUT CON EL MINISTERIO DE CULTURA Y CON FINANCIACIÓN DE RECURSOS DEL INSTITUTO SE HA LOGRADO LLEGAR AL 100% DE LAS BIBLIOTECAS PÚBLICAS MUNICIPALES, CON DOTACIÓN DE MATERIAL BIBLIOGRAFICO DE COLECCIONES EPECIALIZADAS, SE HAN BENFICIADO CON DOTACIÓN DE CONECTIVIDAD 38 BIBLIOTECAS PÚBLICAS DE 38 MUNICIPIOS, 140 BIBLIOTECAS CON DOTACIÓN DE UN KIT CONFORMADO POR UN VIDEO PROYECTOR, UN TELÓN DE TRIPODE Y UNA IMPRESORA PARA LA ELABORACIÓN DE LOS CARNETS DE LOS USUARIOS, IMPLEMENTACIÓN DEL SISTEMA LLAVE DEL SABER PARA 111 MUNICIPIOS. ADICIONALMENTE, DURANTE EL 2015 SE HA PUESTO EN MARCHA LA ESTRATEGIA DE PROMOTORES REGIONALES CUYA MISIÓN HA SIDO ACOMPAÑAR Y BRINDAR ASISTENCIA TÉCNICA INSITU INSCRITOS A LA RED DE BIBLIOTECAS PÚBLICAS."/>
    <n v="15000000"/>
    <m/>
    <n v="35"/>
  </r>
  <r>
    <n v="26"/>
    <x v="0"/>
    <x v="5"/>
    <x v="0"/>
    <s v="DESARROLLO"/>
    <s v="DESARROLLAR INTELIGENCIAS MÚLTIPLES APOYANDO LA CONFORMACIÓN DE 12 AGRUPACIONES MUSICALES DE NIÑOS Y NIÑAS DE 0 A 5 AÑOS EN EL CUATRIENIO"/>
    <s v="NO. DE AGRUPACIONES MUSICALES DE PRIMERA INFANCIA"/>
    <s v="AGRUPACIONES"/>
    <s v="I"/>
    <n v="0"/>
    <n v="12"/>
    <n v="12"/>
    <n v="0.16500000000000001"/>
    <n v="0"/>
    <n v="0"/>
    <n v="0"/>
    <n v="0"/>
    <n v="0"/>
    <n v="0"/>
    <n v="0"/>
    <n v="0"/>
    <n v="0"/>
    <n v="0"/>
    <n v="0"/>
    <n v="0"/>
    <n v="0"/>
    <n v="0"/>
    <n v="0"/>
    <n v="0"/>
    <n v="0"/>
    <n v="0"/>
    <n v="0"/>
    <n v="0"/>
    <n v="0"/>
    <n v="0"/>
    <n v="0"/>
    <n v="0"/>
    <n v="0"/>
    <n v="0"/>
    <n v="0"/>
    <s v="-"/>
    <n v="5.5E-2"/>
    <n v="4"/>
    <n v="0.33333333333333331"/>
    <n v="9"/>
    <n v="9"/>
    <n v="225"/>
    <n v="100"/>
    <n v="5.5E-2"/>
    <n v="100"/>
    <n v="360000000"/>
    <n v="0"/>
    <n v="40000000"/>
    <n v="0"/>
    <n v="0"/>
    <n v="0"/>
    <n v="0"/>
    <n v="320000000"/>
    <n v="81000000"/>
    <n v="81000000"/>
    <n v="0"/>
    <n v="0"/>
    <n v="0"/>
    <n v="0"/>
    <n v="0"/>
    <n v="0"/>
    <n v="0"/>
    <n v="0"/>
    <n v="0"/>
    <n v="6.8750000000000006E-2"/>
    <n v="5"/>
    <n v="0.41666666666666669"/>
    <n v="0"/>
    <n v="0"/>
    <n v="7"/>
    <n v="7"/>
    <n v="140"/>
    <n v="100"/>
    <n v="6.8750000000000006E-2"/>
    <n v="100"/>
    <n v="9.6250000000000002E-2"/>
    <n v="4.1250000000000002E-2"/>
    <n v="3"/>
    <n v="0.25"/>
    <n v="22"/>
    <n v="-19"/>
    <n v="22"/>
    <n v="733.33333333333337"/>
    <n v="100"/>
    <n v="4.1250000000000002E-2"/>
    <n v="0.30250000000000005"/>
    <n v="330000000"/>
    <n v="90000000"/>
    <n v="0"/>
    <n v="0"/>
    <n v="0"/>
    <n v="0"/>
    <n v="0"/>
    <n v="240000000"/>
    <n v="0"/>
    <n v="0"/>
    <n v="0"/>
    <n v="0"/>
    <n v="0"/>
    <n v="0"/>
    <n v="0"/>
    <n v="0"/>
    <n v="0"/>
    <n v="0"/>
    <n v="0"/>
    <n v="38"/>
    <n v="0.16500000000000001"/>
    <n v="316.66666666666669"/>
    <n v="100"/>
    <n v="0.16500000000000001"/>
    <n v="0.16500000000000001"/>
    <n v="0.16500000000000001"/>
    <n v="1"/>
    <n v="0"/>
    <n v="9"/>
    <s v="FOMENTAR HABILIDADES Y DESTREZAS CON ACTIVIDADES LÚDICAS Y CULTURALES EN EL 15% DE LOS NIÑOS Y NIÑAS DE PRIMERA INFANCIA CADA AÑO"/>
    <m/>
    <s v=""/>
    <m/>
    <m/>
    <m/>
    <m/>
    <s v="SE HAN APOYADO 16 AGRUPACIONES DE PRIMERA INFANCIA CON EL FIN DE DIFUNDIR, PROMOCIONAR Y HACER SEGUIMIENTO DE LOS PROCESOS MUSICALES DE LOS MUNICIPIOS."/>
    <n v="0"/>
    <m/>
    <n v="0"/>
  </r>
  <r>
    <n v="27"/>
    <x v="0"/>
    <x v="3"/>
    <x v="0"/>
    <s v="DESARROLLO"/>
    <s v="DESARROLLAR UNA CAMPAÑA EN EL CUATRIENIO PARA FOMENTAR QUE LAS NIÑAS Y NIÑOS INGRESEN AL SISTEMA EDUCATIVO AL GRADO TRANSICIÓN AL CUMPLIR 5 AÑOS"/>
    <s v="CAMPAÑA DEPARTAMENTAL DE PROMOCIÓN DE INGRESO AL GRADO TRANSICIÓN"/>
    <s v="CAMPAÑA"/>
    <s v="I"/>
    <n v="0"/>
    <n v="1"/>
    <n v="1"/>
    <n v="8.8999999999999996E-2"/>
    <n v="0"/>
    <n v="0"/>
    <n v="0"/>
    <n v="0"/>
    <n v="0"/>
    <n v="0"/>
    <n v="0"/>
    <n v="0"/>
    <n v="0"/>
    <n v="0"/>
    <n v="0"/>
    <n v="0"/>
    <n v="0"/>
    <n v="0"/>
    <n v="0"/>
    <n v="0"/>
    <n v="0"/>
    <n v="0"/>
    <n v="0"/>
    <n v="0"/>
    <n v="0"/>
    <n v="0"/>
    <n v="0"/>
    <n v="0"/>
    <n v="0"/>
    <n v="0"/>
    <n v="0"/>
    <s v="-"/>
    <n v="4.4499999999999998E-2"/>
    <n v="0.5"/>
    <n v="0.5"/>
    <n v="0.5"/>
    <n v="0.5"/>
    <n v="100"/>
    <n v="100"/>
    <n v="4.4500000000000005E-2"/>
    <n v="100"/>
    <n v="0"/>
    <n v="0"/>
    <n v="0"/>
    <n v="0"/>
    <n v="0"/>
    <n v="0"/>
    <n v="0"/>
    <n v="0"/>
    <n v="0"/>
    <n v="0"/>
    <n v="0"/>
    <n v="0"/>
    <n v="0"/>
    <n v="0"/>
    <n v="0"/>
    <n v="0"/>
    <n v="0"/>
    <n v="0"/>
    <n v="0"/>
    <n v="2.2249999999999999E-2"/>
    <n v="0.25"/>
    <n v="0.25"/>
    <n v="1"/>
    <n v="0.5"/>
    <n v="0.25"/>
    <n v="0.25"/>
    <n v="100"/>
    <n v="100"/>
    <n v="2.2250000000000002E-2"/>
    <n v="100"/>
    <n v="2.2250000000000002E-2"/>
    <n v="2.2249999999999999E-2"/>
    <n v="0.25"/>
    <n v="0.25"/>
    <n v="0.25"/>
    <n v="0"/>
    <n v="0.25"/>
    <n v="100"/>
    <n v="100"/>
    <n v="2.2250000000000002E-2"/>
    <n v="2.2250000000000002E-2"/>
    <n v="0"/>
    <n v="0"/>
    <n v="0"/>
    <n v="0"/>
    <n v="0"/>
    <n v="0"/>
    <n v="0"/>
    <n v="0"/>
    <n v="0"/>
    <n v="0"/>
    <n v="0"/>
    <n v="0"/>
    <n v="0"/>
    <n v="0"/>
    <n v="0"/>
    <n v="0"/>
    <n v="0"/>
    <n v="0"/>
    <n v="0"/>
    <n v="1"/>
    <n v="8.8999999999999996E-2"/>
    <n v="100"/>
    <n v="100"/>
    <n v="8.900000000000001E-2"/>
    <n v="8.8999999999999996E-2"/>
    <n v="8.8999999999999996E-2"/>
    <n v="1"/>
    <n v="0"/>
    <n v="9"/>
    <s v="FOMENTAR HABILIDADES Y DESTREZAS CON ACTIVIDADES LÚDICAS Y CULTURALES EN EL 15% DE LOS NIÑOS Y NIÑAS DE PRIMERA INFANCIA CADA AÑO"/>
    <m/>
    <s v=""/>
    <m/>
    <m/>
    <m/>
    <m/>
    <s v="EN EL 2013 DISEÑÓ LA CAMPAÑA PARA FOMENTAR QUE LAS NIÑAS Y LOS NIÑOS INGRESEN AL SISTEMA EDUCATICO AL GRADO TRNASICIÓN AL CUMPLIR 5 AÑOS, ESTA CAMPAÑA SE HA REPLICADO TODO LOS AÑOS CON EL MISMO FIN."/>
    <n v="0"/>
    <m/>
    <n v="116"/>
  </r>
  <r>
    <n v="28"/>
    <x v="0"/>
    <x v="1"/>
    <x v="0"/>
    <s v="CIUDADANIA"/>
    <s v="PROMOVER Y DIVULGAR LA DEFENSA DE LOS DERECHOS DE LOS NIÑOS Y NIÑAS EN LOS 116 MUNICIPIOS CON ESTRATEGIAS IEC (INFORMACIÓN, EDUCACIÓN, COMUNICACIÓN)"/>
    <s v="NO DE MUNICIPIOS CON ESTRATEGIAS IEC PARA LA DEFENSA DE LOS DERECHOS DE LOS NIÑOS"/>
    <s v="MUNICIPIOS"/>
    <s v="M"/>
    <n v="0"/>
    <n v="116"/>
    <n v="116"/>
    <n v="0.16500000000000001"/>
    <n v="4.1250000000000002E-2"/>
    <n v="116"/>
    <n v="0.25"/>
    <n v="92"/>
    <n v="23"/>
    <n v="79.310344827586206"/>
    <n v="79.310344827586206"/>
    <n v="3.2715517241379312E-2"/>
    <n v="79.310344827586206"/>
    <n v="11000000"/>
    <n v="11000000"/>
    <n v="0"/>
    <n v="0"/>
    <n v="0"/>
    <n v="0"/>
    <n v="0"/>
    <n v="0"/>
    <n v="23000000"/>
    <n v="23000000"/>
    <n v="0"/>
    <n v="0"/>
    <n v="0"/>
    <n v="0"/>
    <n v="0"/>
    <n v="0"/>
    <n v="0"/>
    <n v="0"/>
    <s v="-"/>
    <n v="4.1250000000000002E-2"/>
    <n v="116"/>
    <n v="0.25"/>
    <n v="53"/>
    <n v="13.25"/>
    <n v="45.689655172413794"/>
    <n v="45.689655172413794"/>
    <n v="1.8846982758620692E-2"/>
    <n v="45.689655172413794"/>
    <n v="8000000"/>
    <n v="0"/>
    <n v="8000000"/>
    <n v="0"/>
    <n v="0"/>
    <n v="0"/>
    <n v="0"/>
    <n v="0"/>
    <n v="28000000"/>
    <n v="28000000"/>
    <n v="0"/>
    <n v="0"/>
    <n v="0"/>
    <n v="0"/>
    <n v="0"/>
    <n v="0"/>
    <n v="0"/>
    <n v="0"/>
    <n v="0"/>
    <n v="4.1250000000000002E-2"/>
    <n v="116"/>
    <n v="0.25"/>
    <n v="0"/>
    <n v="116"/>
    <n v="116"/>
    <n v="29"/>
    <n v="100"/>
    <n v="100"/>
    <n v="4.1250000000000002E-2"/>
    <n v="100"/>
    <n v="4.1250000000000002E-2"/>
    <n v="4.1250000000000002E-2"/>
    <n v="116"/>
    <n v="0.25"/>
    <n v="116"/>
    <n v="0"/>
    <n v="29"/>
    <n v="100"/>
    <n v="100"/>
    <n v="4.1250000000000002E-2"/>
    <n v="4.1250000000000002E-2"/>
    <n v="18000000"/>
    <n v="18000000"/>
    <n v="0"/>
    <n v="0"/>
    <n v="0"/>
    <n v="0"/>
    <n v="0"/>
    <n v="0"/>
    <n v="0"/>
    <n v="0"/>
    <n v="0"/>
    <n v="0"/>
    <n v="0"/>
    <n v="0"/>
    <n v="0"/>
    <n v="0"/>
    <n v="0"/>
    <n v="0"/>
    <n v="0"/>
    <n v="94.25"/>
    <n v="0.16500000000000001"/>
    <n v="81.25"/>
    <n v="81.25"/>
    <n v="0.1340625"/>
    <n v="0.1340625"/>
    <n v="0.1340625"/>
    <n v="1"/>
    <n v="0"/>
    <n v="9"/>
    <s v="FOMENTAR HABILIDADES Y DESTREZAS CON ACTIVIDADES LÚDICAS Y CULTURALES EN EL 15% DE LOS NIÑOS Y NIÑAS DE PRIMERA INFANCIA CADA AÑO"/>
    <n v="10"/>
    <s v="LOGRAR QUE LOS NIÑOS Y NIÑAS MENORES DE 6 AÑOS INFLUYAN EN LAS DECISIONES DEL CONSEJO DE POLÍTICA SOCIAL DEPARTAMENTAL COMO VOCEROS DE LOS NIÑOS ORGANIZADOS, ASISTIENDO AL 100% DE LAS REUNIONES"/>
    <n v="39"/>
    <n v="40"/>
    <m/>
    <m/>
    <s v="IMPLEMENTACIÓN DE ESTRATEGIAS PARA LA PREVENCIÓN DEL MALTRATO Y LA VIOLENCIA INFANTIL, LA PROTECCIÓN DE LOS DERECHOS DE LOS NIÑOS Y NIÑAS, ENTRE ELLAS LA ESTRATEGIA &quot;YO CIUDADANO&quot; EN LOS 116 MUNICIPIOS DEL DEPARTAMENTO."/>
    <n v="60000000"/>
    <m/>
    <n v="100"/>
  </r>
  <r>
    <n v="31"/>
    <x v="0"/>
    <x v="1"/>
    <x v="0"/>
    <s v="PROTECCION"/>
    <s v="CUNDINAMARQUESES UNIDOS EN CAMPAÑA DEPARTAMENTAL POR AÑO PARA LA PREVENCIÓN DEL MALTRATO Y/O ABUSO SEXUAL EN NIÑOS Y NIÑAS MENORES DE 6 AÑOS"/>
    <s v="NO. DE CAMPAÑAS DEPARTAMENTALES PARA LA PREVENCIÓN DEL MALTRATO EN NIÑOS DE PRIMERA INFANCIA"/>
    <s v="CAMPAÑA"/>
    <s v="I"/>
    <n v="0"/>
    <n v="4"/>
    <n v="4"/>
    <n v="0.16500000000000001"/>
    <n v="4.1250000000000002E-2"/>
    <n v="1"/>
    <n v="0.25"/>
    <n v="0"/>
    <n v="0"/>
    <n v="0"/>
    <n v="0"/>
    <n v="0"/>
    <n v="0"/>
    <n v="27000000"/>
    <n v="27000000"/>
    <n v="0"/>
    <n v="0"/>
    <n v="0"/>
    <n v="0"/>
    <n v="0"/>
    <n v="0"/>
    <n v="0"/>
    <n v="0"/>
    <n v="0"/>
    <n v="0"/>
    <n v="0"/>
    <n v="0"/>
    <n v="0"/>
    <n v="0"/>
    <n v="0"/>
    <n v="0"/>
    <s v="-"/>
    <n v="4.1250000000000002E-2"/>
    <n v="1"/>
    <n v="0.25"/>
    <n v="2"/>
    <n v="2"/>
    <n v="200"/>
    <n v="100"/>
    <n v="4.1250000000000002E-2"/>
    <n v="100"/>
    <n v="20000000"/>
    <n v="0"/>
    <n v="20000000"/>
    <n v="0"/>
    <n v="0"/>
    <n v="0"/>
    <n v="0"/>
    <n v="0"/>
    <n v="30000000"/>
    <n v="30000000"/>
    <n v="0"/>
    <n v="0"/>
    <n v="0"/>
    <n v="0"/>
    <n v="0"/>
    <n v="0"/>
    <n v="0"/>
    <n v="0"/>
    <n v="0"/>
    <n v="4.1250000000000002E-2"/>
    <n v="1"/>
    <n v="0.25"/>
    <n v="0"/>
    <n v="1"/>
    <n v="1"/>
    <n v="1"/>
    <n v="100"/>
    <n v="100"/>
    <n v="4.1250000000000002E-2"/>
    <n v="100"/>
    <n v="4.1250000000000002E-2"/>
    <n v="4.1250000000000002E-2"/>
    <n v="1"/>
    <n v="0.25"/>
    <n v="1"/>
    <n v="0"/>
    <n v="1"/>
    <n v="100"/>
    <n v="100"/>
    <n v="4.1250000000000002E-2"/>
    <n v="4.1250000000000002E-2"/>
    <n v="45000000"/>
    <n v="45000000"/>
    <n v="0"/>
    <n v="0"/>
    <n v="0"/>
    <n v="0"/>
    <n v="0"/>
    <n v="0"/>
    <n v="0"/>
    <n v="0"/>
    <n v="0"/>
    <n v="0"/>
    <n v="0"/>
    <n v="0"/>
    <n v="0"/>
    <n v="0"/>
    <n v="0"/>
    <n v="0"/>
    <n v="0"/>
    <n v="4"/>
    <n v="0.16500000000000001"/>
    <n v="100"/>
    <n v="100"/>
    <n v="0.16500000000000001"/>
    <n v="0.16500000000000001"/>
    <n v="0.16500000000000001"/>
    <n v="1"/>
    <n v="0"/>
    <n v="1"/>
    <s v="REDUCIR EN EL CUATRIENIO EN 50% LAS MUERTES POR HOMICIDIO EN NIÑOS Y NIÑAS DE 0 A 5 AÑOS"/>
    <m/>
    <s v=""/>
    <m/>
    <m/>
    <m/>
    <m/>
    <s v="ESTRATEGIA PARA LA PREVENCIÓN CONTRA TODO TIPO DE VIOLENCIA Y LA PROTECCIÓN DE LOS DERECHOS DE LOS NNA. PARTICIPACIÓN DE 9.941 PERSONAS EN 9 MUNICIPIOS EN 2014."/>
    <n v="24000000"/>
    <m/>
    <n v="100"/>
  </r>
  <r>
    <n v="32"/>
    <x v="0"/>
    <x v="2"/>
    <x v="0"/>
    <s v="PROTECCION"/>
    <s v="GARANTIZAR LA ATENCIÓN INTEGRAL AL 100% DE LAS VÍCTIMAS Y POSIBLES VÍCTIMAS DE TRATA DE PERSONAS QUE LO DEMANDEN"/>
    <s v="% DE NIÑOS Y NIÑAS DE 0 A 5 AÑOS LIBRE DE TRATA DE PERSONAS"/>
    <s v="PORCENTAJE DE PERSONAS"/>
    <s v="M"/>
    <n v="100"/>
    <n v="100"/>
    <n v="100"/>
    <n v="0.16500000000000001"/>
    <n v="4.1250000000000002E-2"/>
    <n v="100"/>
    <n v="0.25"/>
    <n v="100"/>
    <n v="25"/>
    <n v="100"/>
    <n v="100"/>
    <n v="4.1250000000000002E-2"/>
    <n v="100"/>
    <n v="0"/>
    <n v="0"/>
    <n v="0"/>
    <n v="0"/>
    <n v="0"/>
    <n v="0"/>
    <n v="0"/>
    <n v="0"/>
    <n v="0"/>
    <n v="0"/>
    <n v="0"/>
    <n v="0"/>
    <n v="0"/>
    <n v="0"/>
    <n v="0"/>
    <n v="0"/>
    <n v="0"/>
    <n v="0"/>
    <s v="-"/>
    <n v="4.1250000000000002E-2"/>
    <n v="100"/>
    <n v="0.25"/>
    <n v="5"/>
    <n v="1.25"/>
    <n v="5"/>
    <n v="5"/>
    <n v="2.0625000000000001E-3"/>
    <n v="5"/>
    <n v="20000000"/>
    <n v="0"/>
    <n v="20000000"/>
    <n v="0"/>
    <n v="0"/>
    <n v="0"/>
    <n v="0"/>
    <n v="0"/>
    <n v="20000000"/>
    <n v="20000000"/>
    <n v="0"/>
    <n v="0"/>
    <n v="0"/>
    <n v="0"/>
    <n v="0"/>
    <n v="0"/>
    <n v="0"/>
    <n v="0"/>
    <n v="0"/>
    <n v="4.1250000000000002E-2"/>
    <n v="100"/>
    <n v="0.25"/>
    <n v="100"/>
    <n v="100"/>
    <n v="100"/>
    <n v="25"/>
    <n v="100"/>
    <n v="100"/>
    <n v="4.1250000000000002E-2"/>
    <n v="100"/>
    <n v="4.1250000000000002E-2"/>
    <n v="4.1250000000000002E-2"/>
    <n v="100"/>
    <n v="0.25"/>
    <n v="100"/>
    <n v="0"/>
    <n v="25"/>
    <n v="100"/>
    <n v="100"/>
    <n v="4.1250000000000002E-2"/>
    <n v="4.1250000000000002E-2"/>
    <n v="0"/>
    <n v="0"/>
    <n v="0"/>
    <n v="0"/>
    <n v="0"/>
    <n v="0"/>
    <n v="0"/>
    <n v="0"/>
    <n v="0"/>
    <n v="0"/>
    <n v="0"/>
    <n v="0"/>
    <n v="0"/>
    <n v="0"/>
    <n v="0"/>
    <n v="0"/>
    <n v="0"/>
    <n v="0"/>
    <n v="0"/>
    <n v="76.25"/>
    <n v="0.16500000000000001"/>
    <n v="76.25"/>
    <n v="76.25"/>
    <n v="0.12581249999999999"/>
    <n v="0.12581249999999999"/>
    <n v="0.12581249999999999"/>
    <n v="1"/>
    <n v="0"/>
    <n v="1"/>
    <s v="REDUCIR EN EL CUATRIENIO EN 50% LAS MUERTES POR HOMICIDIO EN NIÑOS Y NIÑAS DE 0 A 5 AÑOS"/>
    <m/>
    <s v=""/>
    <m/>
    <m/>
    <m/>
    <m/>
    <s v="EN EL MES DE JULIO SE DISEÑO LA RUTA DE ATENCION Y PROTECCION DE CUNDINAMARCA A VICTIMAS Y POSIBLE VICTIMAS DE LA TRATA DE PERSONAS INCLUYENDO DE MANERA ESPECIFICA A LOS NIÑOS Y NIÑAS DE 0 A 5 AÑOS. EN ESTE PROCESO SE REALIZARON TALLERES PARA QUE LAS AUTORIDADES CONOCIERAN DE FONDO COMO GARANTIZAR LA ATENCION INTEGRAL AL 100% DE LAS VICTIMAS Y POSIBLES VICTIMAS"/>
    <n v="0"/>
    <m/>
    <n v="1"/>
  </r>
  <r>
    <n v="41"/>
    <x v="0"/>
    <x v="0"/>
    <x v="1"/>
    <s v="EXISTENCIA"/>
    <s v="LOGRAR NIÑOS Y NIÑAS DE 6 A 11 AÑOS MAS SALUDABLES CON LA IMPLEMENTACIÓN EN EL CUATRIENIO DE UN PROGRAMA INTEGRAL DE ESTILOS DE VIDA SALUDABLE A NIVEL COMUNITARIO EN EL 64% DE LOS MUNICIPIOS."/>
    <s v="% DE MUNICIPIOS QUE IMPLEMENTARON EL PROGRAM INTEGRAL DE SSTILOS DE VIDA SALUDABLE"/>
    <s v="% DE MUNICIPIOS"/>
    <s v="I"/>
    <n v="0"/>
    <n v="64"/>
    <n v="64"/>
    <n v="0.25"/>
    <n v="5.078125E-2"/>
    <n v="13"/>
    <n v="0.203125"/>
    <n v="13"/>
    <n v="13"/>
    <n v="100"/>
    <n v="100"/>
    <n v="5.078125E-2"/>
    <n v="100"/>
    <n v="837000000"/>
    <n v="180000000"/>
    <n v="657000000"/>
    <n v="0"/>
    <n v="0"/>
    <n v="0"/>
    <n v="0"/>
    <n v="0"/>
    <n v="611954000"/>
    <n v="186634000"/>
    <n v="300620000"/>
    <n v="0"/>
    <n v="0"/>
    <n v="0"/>
    <n v="0"/>
    <n v="124700000"/>
    <n v="0"/>
    <n v="0"/>
    <s v="-"/>
    <n v="5.078125E-2"/>
    <n v="13"/>
    <n v="0.203125"/>
    <n v="13"/>
    <n v="13"/>
    <n v="100"/>
    <n v="100"/>
    <n v="5.078125E-2"/>
    <n v="100"/>
    <n v="860000000"/>
    <n v="730000000"/>
    <n v="130000000"/>
    <n v="0"/>
    <n v="0"/>
    <n v="0"/>
    <n v="0"/>
    <n v="0"/>
    <n v="700000000"/>
    <n v="300000000"/>
    <n v="400000000"/>
    <n v="0"/>
    <n v="0"/>
    <n v="0"/>
    <n v="0"/>
    <n v="0"/>
    <n v="0"/>
    <n v="0"/>
    <n v="0"/>
    <n v="7.421875E-2"/>
    <n v="19"/>
    <n v="0.296875"/>
    <n v="63"/>
    <n v="63"/>
    <n v="19"/>
    <n v="19"/>
    <n v="100"/>
    <n v="100"/>
    <n v="7.421875E-2"/>
    <n v="100"/>
    <n v="7.421875E-2"/>
    <n v="7.421875E-2"/>
    <n v="19"/>
    <n v="0.296875"/>
    <n v="19"/>
    <n v="0"/>
    <n v="19"/>
    <n v="100"/>
    <n v="100"/>
    <n v="7.421875E-2"/>
    <n v="7.421875E-2"/>
    <n v="1030000000"/>
    <n v="300000000"/>
    <n v="730000000"/>
    <n v="0"/>
    <n v="0"/>
    <n v="0"/>
    <n v="0"/>
    <n v="0"/>
    <n v="0"/>
    <n v="0"/>
    <n v="0"/>
    <n v="0"/>
    <n v="0"/>
    <n v="0"/>
    <n v="0"/>
    <n v="0"/>
    <n v="0"/>
    <n v="0"/>
    <n v="0"/>
    <n v="64"/>
    <n v="0.25"/>
    <n v="100"/>
    <n v="100"/>
    <n v="0.25"/>
    <n v="0.25"/>
    <n v="0.25"/>
    <n v="1"/>
    <n v="0"/>
    <n v="39"/>
    <s v="FOMENTAR HABILIDADES Y DESTREZAS CON ACTIVIDADES LÚDICAS, CULTURALES Y DEPORTIVAS EN EL 35% DE LOS NIÑOS Y NIÑAS DE 6 A 11 AÑOS"/>
    <m/>
    <s v=""/>
    <m/>
    <m/>
    <m/>
    <m/>
    <s v="SE DESARROLLARON ACCIONES DE MANERA INTEGREDA EN TEMAS RELACIONADOS CON: EL COMPONENTE DE ENFERMEDADES INMUNOPREVENIBLES LLEGANDO A CORTE DEL MES DE AGOSTO UN CUMPLIMIENTO DEL 75,7% EN VPH; IEC DISEÑO, PRODUJO Y DISTRIBUYO MATERIAL EDUCATIVO EN TEMAS RELACIONADOS CON SALUD PUBLICA PARA TODOS LOS 116 MUNICIPIOS; SALUD ORAL DESARROLLO ENCUENTROS PROVINSIALES SOBLRE HABITOS HIGIENICOS EN SALUD ORAL PARA UNA COBERTURA DE 19,333 NIÑOS Y SE REALIZARON 79 TALLERES LUDICOS PEDAGOGICOS DIRIGIDO A FAMILIARES Y CUIDADORES DE POBLACION EN CONDICION DE DISCAPACIDAD"/>
    <n v="441000000"/>
    <m/>
    <n v="400"/>
  </r>
  <r>
    <n v="42"/>
    <x v="0"/>
    <x v="0"/>
    <x v="1"/>
    <s v="EXISTENCIA"/>
    <s v="IMPLEMENTAR EN 116 SEDES DE INSTITUCIONES EDUCATIVAS PÚBLICAS DURANTE EL CUATRIENIO LA ESTRATEGIA DE &quot;ESCUELAS DE CALIDAD DE VIDA&quot; EN EL MARCO DE LA TRANSECTORIALIDAD."/>
    <s v="NO. DE SEDES DE IE PÚBLICAS CON CUMPLIMIENTO DE TODOS LOS COMPONENTES DE LA ESTRATEGIA &quot;ESCUELAS DE CALIDAD DE VIDA&quot;"/>
    <s v="INSTITUCIONES"/>
    <s v="I"/>
    <n v="0"/>
    <n v="116"/>
    <n v="116"/>
    <n v="0.25"/>
    <n v="4.3103448275862072E-2"/>
    <n v="20"/>
    <n v="0.17241379310344829"/>
    <n v="57"/>
    <n v="57"/>
    <n v="285"/>
    <n v="100"/>
    <n v="4.3103448275862072E-2"/>
    <n v="100"/>
    <n v="833000000"/>
    <n v="401000000"/>
    <n v="432000000"/>
    <n v="0"/>
    <n v="0"/>
    <n v="0"/>
    <n v="0"/>
    <n v="0"/>
    <n v="133486000"/>
    <n v="0"/>
    <n v="8786000"/>
    <n v="0"/>
    <n v="0"/>
    <n v="0"/>
    <n v="0"/>
    <n v="124700000"/>
    <n v="0"/>
    <n v="0"/>
    <s v="-"/>
    <n v="6.25E-2"/>
    <n v="29"/>
    <n v="0.25"/>
    <n v="36"/>
    <n v="36"/>
    <n v="124.13793103448276"/>
    <n v="100"/>
    <n v="6.25E-2"/>
    <n v="100"/>
    <n v="770000000"/>
    <n v="480000000"/>
    <n v="290000000"/>
    <n v="0"/>
    <n v="0"/>
    <n v="0"/>
    <n v="0"/>
    <n v="0"/>
    <n v="1128093979"/>
    <n v="624028648"/>
    <n v="504065331"/>
    <n v="0"/>
    <n v="0"/>
    <n v="0"/>
    <n v="0"/>
    <n v="0"/>
    <n v="0"/>
    <n v="0"/>
    <n v="0"/>
    <n v="7.7586206896551727E-2"/>
    <n v="36"/>
    <n v="0.31034482758620691"/>
    <n v="27"/>
    <n v="27"/>
    <n v="36"/>
    <n v="36"/>
    <n v="100"/>
    <n v="100"/>
    <n v="7.7586206896551727E-2"/>
    <n v="100"/>
    <n v="7.7586206896551727E-2"/>
    <n v="6.6810344827586202E-2"/>
    <n v="31"/>
    <n v="0.26724137931034481"/>
    <n v="48"/>
    <n v="-17"/>
    <n v="48"/>
    <n v="154.83870967741936"/>
    <n v="100"/>
    <n v="6.6810344827586202E-2"/>
    <n v="0.10344827586206896"/>
    <n v="1149000000"/>
    <n v="669000000"/>
    <n v="480000000"/>
    <n v="0"/>
    <n v="0"/>
    <n v="0"/>
    <n v="0"/>
    <n v="0"/>
    <n v="0"/>
    <n v="0"/>
    <n v="0"/>
    <n v="0"/>
    <n v="0"/>
    <n v="0"/>
    <n v="0"/>
    <n v="0"/>
    <n v="0"/>
    <n v="0"/>
    <n v="0"/>
    <n v="177"/>
    <n v="0.25"/>
    <n v="152.58620689655172"/>
    <n v="100"/>
    <n v="0.25"/>
    <n v="0.25"/>
    <n v="0.25"/>
    <n v="1"/>
    <n v="0"/>
    <n v="39"/>
    <s v="FOMENTAR HABILIDADES Y DESTREZAS CON ACTIVIDADES LÚDICAS, CULTURALES Y DEPORTIVAS EN EL 35% DE LOS NIÑOS Y NIÑAS DE 6 A 11 AÑOS"/>
    <m/>
    <s v=""/>
    <m/>
    <m/>
    <m/>
    <m/>
    <s v="A CORTE DE JUNIO DE 2015 LO PLANEADO PARA EL CUATRIENIO SE SUPERO, Y LA META SE AUMENTO LLEGANDO A 325 INSTITUCIONES EDUCATIVAS DE BASICA PRIMARIA."/>
    <n v="0"/>
    <m/>
    <n v="400"/>
  </r>
  <r>
    <n v="43"/>
    <x v="0"/>
    <x v="3"/>
    <x v="1"/>
    <s v="EXISTENCIA"/>
    <s v="CONTRIBUIR, EN EL CUATRIENIO CON LA PERMANENCIA DE 40.874 NIÑAS Y NIÑOS EN EL SISTEMA EDUCATIVO OFICIAL, MEDIANTE EL SUMINISTRO DE COMPLEMENTOS NUTRICIONALES."/>
    <s v="NO. DE INFANTES CON SUMINISTRO DE COMPLEMENTO NUTRICIONAL EN EL CUATRIENIO"/>
    <s v="ALUMNOS"/>
    <s v="I"/>
    <n v="9181"/>
    <n v="50055"/>
    <n v="40874"/>
    <n v="0.16500000000000001"/>
    <n v="0"/>
    <n v="0"/>
    <n v="0"/>
    <n v="0"/>
    <n v="0"/>
    <n v="0"/>
    <n v="0"/>
    <n v="0"/>
    <n v="0"/>
    <n v="628000000"/>
    <n v="628000000"/>
    <n v="0"/>
    <n v="0"/>
    <n v="0"/>
    <n v="0"/>
    <n v="0"/>
    <n v="0"/>
    <n v="433625000"/>
    <n v="299916000"/>
    <n v="133709000"/>
    <n v="0"/>
    <n v="0"/>
    <n v="0"/>
    <n v="0"/>
    <n v="0"/>
    <n v="0"/>
    <n v="0"/>
    <s v="-"/>
    <n v="5.1707320056759799E-2"/>
    <n v="12809"/>
    <n v="0.31337769731369575"/>
    <n v="12809"/>
    <n v="12809"/>
    <n v="100"/>
    <n v="100"/>
    <n v="5.1707320056759799E-2"/>
    <n v="100"/>
    <n v="454000000"/>
    <n v="0"/>
    <n v="454000000"/>
    <n v="0"/>
    <n v="0"/>
    <n v="0"/>
    <n v="0"/>
    <n v="0"/>
    <n v="3009889561"/>
    <n v="939535135"/>
    <n v="2070354426"/>
    <n v="0"/>
    <n v="0"/>
    <n v="0"/>
    <n v="0"/>
    <n v="0"/>
    <n v="0"/>
    <n v="0"/>
    <n v="0"/>
    <n v="9.5450041591231591E-2"/>
    <n v="23645"/>
    <n v="0.57848510055291869"/>
    <n v="10162"/>
    <n v="10162"/>
    <n v="25576"/>
    <n v="25576"/>
    <n v="108.16663142313385"/>
    <n v="100"/>
    <n v="9.5450041591231591E-2"/>
    <n v="100"/>
    <n v="0.10324509468121544"/>
    <n v="1.7842638352008614E-2"/>
    <n v="4420"/>
    <n v="0.10813720213338553"/>
    <n v="9495"/>
    <n v="-5075"/>
    <n v="9495"/>
    <n v="214.81900452488688"/>
    <n v="100"/>
    <n v="1.7842638352008614E-2"/>
    <n v="3.8329378088760586E-2"/>
    <n v="1047000000"/>
    <n v="1047000000"/>
    <n v="0"/>
    <n v="0"/>
    <n v="0"/>
    <n v="0"/>
    <n v="0"/>
    <n v="0"/>
    <n v="0"/>
    <n v="0"/>
    <n v="0"/>
    <n v="0"/>
    <n v="0"/>
    <n v="0"/>
    <n v="0"/>
    <n v="0"/>
    <n v="0"/>
    <n v="0"/>
    <n v="0"/>
    <n v="47880"/>
    <n v="0.16500000000000001"/>
    <n v="117.14048050105201"/>
    <n v="100"/>
    <n v="0.16500000000000001"/>
    <n v="0.16500000000000001"/>
    <n v="0.16500000000000001"/>
    <n v="1"/>
    <n v="0"/>
    <n v="35"/>
    <s v="ALCANZAR EN EL CUATRIENIO UNA COBERTURA BRUTA EN TRANSICIÓN DE 86.95%, PRIORIZANDO LA POBLACIÓN EN POBREZA EXTREMA QUE LO DEMANDE"/>
    <n v="36"/>
    <s v="MANTENER CADA AÑO EN 100% LA COBERTURA BRUTA EN BÁSICA PRIMARIA, PRIORIZANDO LA POBLACIÓN EN POBREZA EXTREMA QUE DEMANDE EL SERVICIO"/>
    <n v="37"/>
    <m/>
    <m/>
    <m/>
    <s v="_x000a_SE BENEFICIARON 45.272 ESTUDIANTES CON LA ESTRATEGIA DE COMPLEMENTO NUTRICIONAL, MEDIANTE CONVENIOS CON LOS MUNICIPIOS Y CONTRATACIÓN DE ALIMENTACIÓN PARA LOS ESTUDIANTES DE JORNADAS COMPLEMENTARIAS Y MEDIA TÉCNICA, ADEMÁS, SE DOTÓ CON MENAJE A INSTITUCIONES EDUCATIVAS DE LOS MUNICIPIOS NO CERTIFICADOS DEL DEPARTAMENTO. "/>
    <n v="257000000"/>
    <m/>
    <n v="0"/>
  </r>
  <r>
    <n v="44"/>
    <x v="0"/>
    <x v="2"/>
    <x v="1"/>
    <s v="EXISTENCIA"/>
    <s v="RED DE ACTORES INSTITUCIONALES CON PROTOCOLO INTERVIENEN EN LOS 116 MUNICIPIOS PARA LA PROTECCIÓN DE LA VIDA Y LA INTEGRIDAD FÍSICA DE LOS NIÑOS Y NIÑAS DE 6 A 11 AÑOS"/>
    <s v="NO. DE MUNICIPIOS CON PROTOCOLO DE INTERVENCIÓN PARA PROTECCIÓN DE LA VIDA Y LA INTEGRIDAD FÍSICA DE LOS INFANTES"/>
    <s v="MUNICIPIOS"/>
    <s v="M"/>
    <n v="0"/>
    <n v="116"/>
    <n v="116"/>
    <n v="0.16500000000000001"/>
    <n v="4.1250000000000002E-2"/>
    <n v="116"/>
    <n v="0.25"/>
    <n v="0"/>
    <n v="0"/>
    <n v="0"/>
    <n v="0"/>
    <n v="0"/>
    <n v="0"/>
    <n v="0"/>
    <n v="0"/>
    <n v="0"/>
    <n v="0"/>
    <n v="0"/>
    <n v="0"/>
    <n v="0"/>
    <n v="0"/>
    <n v="0"/>
    <n v="0"/>
    <n v="0"/>
    <n v="0"/>
    <n v="0"/>
    <n v="0"/>
    <n v="0"/>
    <n v="0"/>
    <n v="0"/>
    <n v="0"/>
    <s v="-"/>
    <n v="4.1250000000000002E-2"/>
    <n v="116"/>
    <n v="0.25"/>
    <n v="80"/>
    <n v="20"/>
    <n v="68.965517241379317"/>
    <n v="68.965517241379317"/>
    <n v="2.8448275862068967E-2"/>
    <n v="68.965517241379317"/>
    <n v="30000000"/>
    <n v="0"/>
    <n v="30000000"/>
    <n v="0"/>
    <n v="0"/>
    <n v="0"/>
    <n v="0"/>
    <n v="0"/>
    <n v="0"/>
    <n v="0"/>
    <n v="0"/>
    <n v="0"/>
    <n v="0"/>
    <n v="0"/>
    <n v="0"/>
    <n v="0"/>
    <n v="0"/>
    <n v="0"/>
    <n v="0"/>
    <n v="4.1250000000000002E-2"/>
    <n v="116"/>
    <n v="0.25"/>
    <n v="116"/>
    <n v="116"/>
    <n v="116"/>
    <n v="29"/>
    <n v="100"/>
    <n v="100"/>
    <n v="4.1250000000000002E-2"/>
    <n v="100"/>
    <n v="4.1250000000000002E-2"/>
    <n v="4.1250000000000002E-2"/>
    <n v="0"/>
    <n v="0.25"/>
    <n v="100"/>
    <n v="-100"/>
    <n v="25"/>
    <n v="0"/>
    <n v="0"/>
    <n v="0"/>
    <n v="0"/>
    <n v="0"/>
    <n v="0"/>
    <n v="0"/>
    <n v="0"/>
    <n v="0"/>
    <n v="0"/>
    <n v="0"/>
    <n v="0"/>
    <n v="0"/>
    <n v="0"/>
    <n v="0"/>
    <n v="0"/>
    <n v="0"/>
    <n v="0"/>
    <n v="0"/>
    <n v="0"/>
    <n v="0"/>
    <n v="0"/>
    <n v="0"/>
    <n v="74"/>
    <n v="0.16500000000000001"/>
    <n v="63.793103448275865"/>
    <n v="63.793103448275865"/>
    <n v="0.10525862068965518"/>
    <n v="0.10525862068965518"/>
    <n v="0.10525862068965518"/>
    <n v="1"/>
    <n v="0"/>
    <n v="33"/>
    <s v="REDUCIR EN EL CUATRIENIO EN 20% LAS MUERTES POR HOMICIDIO EN NIÑOS Y NIÑAS DE 6 A 11 AÑOS"/>
    <m/>
    <s v=""/>
    <m/>
    <m/>
    <m/>
    <m/>
    <s v="ARTICULACION PERMANENTE ENTRE LA SECRETARIA DE GOBIERNO, ICBF, COMISIARIAS DE FAMILIA CONJUNTAMENTE CON POLICIA DE INFANCIA Y ADOLESCENCIA CON EL FIN DE PROTEGER LA VIDA INTEGRIDAD DE LOS NIÑOS Y NIÑAS DE 6 A 11 AÑOS"/>
    <n v="0"/>
    <m/>
    <n v="1"/>
  </r>
  <r>
    <n v="45"/>
    <x v="0"/>
    <x v="3"/>
    <x v="1"/>
    <s v="DESARROLLO"/>
    <s v="IMPLEMENTAR DURANTE EL CUATRIENIO EN 35 MUNICIPIOS LA JORNADA COMPLEMENTARIA "/>
    <s v="NO. DE MUNICIPIOS CON JORNADA COMPLEMENTARIA EN EL CUATRIENIO"/>
    <s v="MUNICIPIOS"/>
    <s v="I"/>
    <n v="0"/>
    <n v="35"/>
    <n v="35"/>
    <n v="0.16500000000000001"/>
    <n v="1.8857142857142857E-2"/>
    <n v="4"/>
    <n v="0.11428571428571428"/>
    <n v="4"/>
    <n v="4"/>
    <n v="100"/>
    <n v="100"/>
    <n v="1.8857142857142857E-2"/>
    <n v="100"/>
    <n v="41000000"/>
    <n v="41000000"/>
    <n v="0"/>
    <n v="0"/>
    <n v="0"/>
    <n v="0"/>
    <n v="0"/>
    <n v="0"/>
    <n v="0"/>
    <n v="0"/>
    <n v="0"/>
    <n v="0"/>
    <n v="0"/>
    <n v="0"/>
    <n v="0"/>
    <n v="0"/>
    <n v="0"/>
    <n v="0"/>
    <s v="-"/>
    <n v="5.6571428571428578E-2"/>
    <n v="12"/>
    <n v="0.34285714285714286"/>
    <n v="12"/>
    <n v="12"/>
    <n v="100"/>
    <n v="100"/>
    <n v="5.6571428571428578E-2"/>
    <n v="100"/>
    <n v="29000000"/>
    <n v="0"/>
    <n v="29000000"/>
    <n v="0"/>
    <n v="0"/>
    <n v="0"/>
    <n v="0"/>
    <n v="0"/>
    <n v="29000000"/>
    <n v="29000000"/>
    <n v="0"/>
    <n v="0"/>
    <n v="0"/>
    <n v="0"/>
    <n v="0"/>
    <n v="0"/>
    <n v="0"/>
    <n v="0"/>
    <n v="0"/>
    <n v="5.1857142857142859E-2"/>
    <n v="11"/>
    <n v="0.31428571428571428"/>
    <n v="0"/>
    <n v="21"/>
    <n v="19"/>
    <n v="19"/>
    <n v="172.72727272727272"/>
    <n v="100"/>
    <n v="5.1857142857142859E-2"/>
    <n v="100"/>
    <n v="8.957142857142858E-2"/>
    <n v="3.7714285714285714E-2"/>
    <n v="8"/>
    <n v="0.22857142857142856"/>
    <n v="38"/>
    <n v="-30"/>
    <n v="38"/>
    <n v="475"/>
    <n v="100"/>
    <n v="3.7714285714285714E-2"/>
    <n v="0.17914285714285716"/>
    <n v="68000000"/>
    <n v="68000000"/>
    <n v="0"/>
    <n v="0"/>
    <n v="0"/>
    <n v="0"/>
    <n v="0"/>
    <n v="0"/>
    <n v="0"/>
    <n v="0"/>
    <n v="0"/>
    <n v="0"/>
    <n v="0"/>
    <n v="0"/>
    <n v="0"/>
    <n v="0"/>
    <n v="0"/>
    <n v="0"/>
    <n v="0"/>
    <n v="73"/>
    <n v="0.16499999999999998"/>
    <n v="208.57142857142858"/>
    <n v="100"/>
    <n v="0.16500000000000001"/>
    <n v="0.16500000000000001"/>
    <n v="0.16500000000000001"/>
    <n v="0.99999999999999989"/>
    <n v="0"/>
    <n v="36"/>
    <s v="MANTENER CADA AÑO EN 100% LA COBERTURA BRUTA EN BÁSICA PRIMARIA, PRIORIZANDO LA POBLACIÓN EN POBREZA EXTREMA QUE DEMANDE EL SERVICIO"/>
    <n v="37"/>
    <s v="REDUCIR EN EL CUATRIENIO LA TASA DE DESERCIÓN ESCOLAR AL 5.15%"/>
    <n v="38"/>
    <n v="77"/>
    <m/>
    <m/>
    <s v="LA IMPLEMENTACIÓN DE LA JORNADA ESCOLAR COMPLEMENTARIA SE HA DESARROLLADO EN EL DEPARTAMENTO DURANTE EL CUATRIENIO EN 37 MUNICIPIOS: CAJICÁ, CACHIPAY, CÁQUEZA, CÁRMEN DE CARUPA, COTA, CUCUNUBÁ, FUNZA, GACHALÁ, GUASCA, GUATAQUÍ, GUAYABETAL, GUADUAS, LA CALERA, LA MESA, LA PLAMA, LA VEGA, LENGUAZAQUE, MACHETÁ, PACHO, PUERTO SALGAR, RICAURTE, SAN JUAN DE RIOSECO, SIBATÉ, SOPÓ, SUBACHOQUE, SUESCA, TABIO, TENJO, TOCANCIPÁ, TOCAIMA, TENA, TIBIRITA, UBALÁ, UBATÉ, VERGARA Y YACOPÍ. _x000a_EN ESTOS MUNICIPIOS CONTAMOS CON UN TOTAL DE 52 INSTITUCIONES EDUCATIVAS EN LAS QUE SE HA IMPLEMENTADO LA ESTRATEGIA, BENEFICIANDO MÁS DE 20.200 ESTUDIANTES. _x000a_LAS INSTITUCIONES EDUCATIVAS BUSCAN EL APOYO CONSTANTE DE LAS ENTIDADES DE CULTURA Y TURISMO DE CADA UNO DE LOS MUNICIPIOS. _x000a_DESDE LA SECRETARÍA DE EDUCAIÓN SE HA APOYADO A LOS MUNICIPIOS CON EL APORTE DE LA ALIMENTACIÓN PARA LOS ESTUDIANTES , ADICIONALMENTE DURANTE LOS AÑOS 2014, 2015, SE HA FIRMADO CONVENIO CON LAS CAJAS DE COMPENSACIÓN COLSUBSIDIO Y COMPENSAR PARA DESARROLLAR ACTIVIDADES ESTRÁTEGICAS QUE FORTALECEN EL ADECUADO USO DEL TIEMPO LIBRE._x000a_DESDE EL AÑO 2014 A TRAVÉS DE UN CONTRATO SE ADQUIRIO LA PLATAFORMA OPERACIÓN ÉXITO, PARA LOS ESTUDIANTES QUE SE ENCUENTRAN INSCRITOS EN JORNADA ESCOLAR COMPLEMENTARIA, PERMITIENDOLES HACER USO DE UNA LICENCIA PARA EL INGRESO A LA PLATAFORMA PARA DESARROLLAR DIVERSAS ACTIVIDADES QUE FORTALECEN SU CONOCIMIENTO Y EL USO DEL TIEMPO LIBRE A TRAVÉS DE UNA HERRAMIENTA TECNOLÓGICA. "/>
    <n v="250000000"/>
    <m/>
    <n v="100"/>
  </r>
  <r>
    <n v="46"/>
    <x v="0"/>
    <x v="3"/>
    <x v="1"/>
    <s v="DESARROLLO"/>
    <s v="LOGRAR, EN EL CUATRIENIO, LA PERMANENCIA DE 34.560 NIÑAS Y NIÑOS MEDIANTE SUBSIDIO AL TRANSPORTE ESCOLAR INCREMENTANDO DE 62 A 90 DIAS LA COFINANCIACIÓN"/>
    <s v="NO. DE NIÑOS ATENDIDOS EN EL CUATRIENIO CON SUBSIDIO DE TRANSPORTE ESCOLAR/ NO. DE DIAS SUBSIDIADOS"/>
    <s v="ALUMNOS"/>
    <s v="I"/>
    <n v="36362"/>
    <n v="70922"/>
    <n v="34560"/>
    <n v="0.25"/>
    <n v="6.1487268518518517E-2"/>
    <n v="8500"/>
    <n v="0.24594907407407407"/>
    <n v="10113"/>
    <n v="10113"/>
    <n v="118.97647058823529"/>
    <n v="100"/>
    <n v="6.1487268518518517E-2"/>
    <n v="100"/>
    <n v="4631000000"/>
    <n v="1800000000"/>
    <n v="0"/>
    <n v="0"/>
    <n v="0"/>
    <n v="0"/>
    <n v="0"/>
    <n v="2831000000"/>
    <n v="800000000"/>
    <n v="800000000"/>
    <n v="0"/>
    <n v="0"/>
    <n v="0"/>
    <n v="0"/>
    <n v="0"/>
    <n v="0"/>
    <n v="0"/>
    <n v="0"/>
    <s v="-"/>
    <n v="6.2282986111111112E-2"/>
    <n v="8610"/>
    <n v="0.24913194444444445"/>
    <n v="13605"/>
    <n v="13605"/>
    <n v="158.01393728222996"/>
    <n v="100"/>
    <n v="6.2282986111111119E-2"/>
    <n v="100"/>
    <n v="4131000000"/>
    <n v="0"/>
    <n v="1300000000"/>
    <n v="0"/>
    <n v="0"/>
    <n v="0"/>
    <n v="0"/>
    <n v="2831000000"/>
    <n v="4301381744"/>
    <n v="2249956920"/>
    <n v="0"/>
    <n v="0"/>
    <n v="0"/>
    <n v="2051424824"/>
    <n v="0"/>
    <n v="0"/>
    <n v="0"/>
    <n v="0"/>
    <n v="0"/>
    <n v="6.2934027777777776E-2"/>
    <n v="8700"/>
    <n v="0.2517361111111111"/>
    <n v="10724"/>
    <n v="10724"/>
    <n v="10724"/>
    <n v="10724"/>
    <n v="123.26436781609195"/>
    <n v="100"/>
    <n v="6.2934027777777776E-2"/>
    <n v="100"/>
    <n v="7.7575231481481474E-2"/>
    <n v="6.3295717592592587E-2"/>
    <n v="8750"/>
    <n v="0.25318287037037035"/>
    <n v="11882"/>
    <n v="-3132"/>
    <n v="11882"/>
    <n v="135.79428571428571"/>
    <n v="100"/>
    <n v="6.3295717592592587E-2"/>
    <n v="8.5951967592592576E-2"/>
    <n v="5831000000"/>
    <n v="3000000000"/>
    <n v="0"/>
    <n v="0"/>
    <n v="0"/>
    <n v="0"/>
    <n v="0"/>
    <n v="2831000000"/>
    <n v="0"/>
    <n v="0"/>
    <n v="0"/>
    <n v="0"/>
    <n v="0"/>
    <n v="0"/>
    <n v="0"/>
    <n v="0"/>
    <n v="0"/>
    <n v="0"/>
    <n v="0"/>
    <n v="46324"/>
    <n v="0.24999999999999997"/>
    <n v="134.03935185185185"/>
    <n v="100"/>
    <n v="0.25"/>
    <n v="0.25"/>
    <n v="0.25"/>
    <n v="0.99999999999999989"/>
    <n v="0"/>
    <n v="35"/>
    <s v="ALCANZAR EN EL CUATRIENIO UNA COBERTURA BRUTA EN TRANSICIÓN DE 86.95%, PRIORIZANDO LA POBLACIÓN EN POBREZA EXTREMA QUE LO DEMANDE"/>
    <n v="36"/>
    <s v="MANTENER CADA AÑO EN 100% LA COBERTURA BRUTA EN BÁSICA PRIMARIA, PRIORIZANDO LA POBLACIÓN EN POBREZA EXTREMA QUE DEMANDE EL SERVICIO"/>
    <n v="37"/>
    <m/>
    <m/>
    <m/>
    <s v="CON LA ATENCIÓN EN LA ESTRATEGÍA DE TRANSPORTE ESCOLAR, SE LOGRÓ EN EL CUATRENIO LA META PROYECTADA, ATENDIENDO 46.324 INFANTES, PASANDO DE 62 A 90 DÍAS DE ATENCIÓN; AUMENTANDO ASÍ LA PERMANENCIA Y LA COBERTURA DE LA POBLACIÓN ESTUDIANTIL Y DISMINUYENDO LA DESERCIÓN ESCOLAR."/>
    <n v="4499000000"/>
    <m/>
    <n v="100"/>
  </r>
  <r>
    <n v="47"/>
    <x v="0"/>
    <x v="3"/>
    <x v="1"/>
    <s v="DESARROLLO"/>
    <s v="FORTALECER EN EL CUATRIENIO AL 70% DE LAS Y LOS DOCENTES Y DIRECTIVOS DOCENTES EN GESTIÓN, LIDERAZGO, PROCESOS ACADÉMICOS, INVESTIGATIVOS, FORMATIVOS, PEDAGÓGICOS, CON UN ENFOQUE DE INCLUSIÓN."/>
    <s v="% DE DOCENTES Y DIRECTIVOS DOCENTES FORMADOS EN EL CUATRIENIO"/>
    <s v="PORCENTAJE DE DOCENTES"/>
    <s v="I"/>
    <n v="64"/>
    <n v="134"/>
    <n v="70"/>
    <n v="0.25"/>
    <n v="8.9285714285714288E-2"/>
    <n v="25"/>
    <n v="0.35714285714285715"/>
    <n v="25"/>
    <n v="25"/>
    <n v="100"/>
    <n v="100"/>
    <n v="8.9285714285714288E-2"/>
    <n v="100"/>
    <n v="624000000"/>
    <n v="624000000"/>
    <n v="0"/>
    <n v="0"/>
    <n v="0"/>
    <n v="0"/>
    <n v="0"/>
    <n v="0"/>
    <n v="89999000"/>
    <n v="89999000"/>
    <n v="0"/>
    <n v="0"/>
    <n v="0"/>
    <n v="0"/>
    <n v="0"/>
    <n v="0"/>
    <n v="0"/>
    <n v="0"/>
    <s v="-"/>
    <n v="0.10357142857142858"/>
    <n v="29"/>
    <n v="0.41428571428571431"/>
    <n v="29"/>
    <n v="29"/>
    <n v="100"/>
    <n v="100"/>
    <n v="0.10357142857142858"/>
    <n v="100"/>
    <n v="450000000"/>
    <n v="0"/>
    <n v="450000000"/>
    <n v="0"/>
    <n v="0"/>
    <n v="0"/>
    <n v="0"/>
    <n v="0"/>
    <n v="550000000"/>
    <n v="550000000"/>
    <n v="0"/>
    <n v="0"/>
    <n v="0"/>
    <n v="0"/>
    <n v="0"/>
    <n v="0"/>
    <n v="0"/>
    <n v="672000000"/>
    <s v="Fundación Empresarios por la Educación-Fundación EXE"/>
    <n v="2.8571428571428571E-2"/>
    <n v="8"/>
    <n v="0.11428571428571428"/>
    <n v="0"/>
    <n v="0"/>
    <n v="32.990001678466797"/>
    <n v="32.990001678466797"/>
    <n v="412.37502098083496"/>
    <n v="100"/>
    <n v="2.8571428571428571E-2"/>
    <n v="100"/>
    <n v="0.11782143456595284"/>
    <n v="2.8571428571428571E-2"/>
    <n v="8"/>
    <n v="0.11428571428571428"/>
    <n v="0"/>
    <n v="8"/>
    <n v="0"/>
    <n v="0"/>
    <n v="0"/>
    <n v="0"/>
    <n v="0"/>
    <n v="1039000000"/>
    <n v="1039000000"/>
    <n v="0"/>
    <n v="0"/>
    <n v="0"/>
    <n v="0"/>
    <n v="0"/>
    <n v="0"/>
    <n v="0"/>
    <n v="0"/>
    <n v="0"/>
    <n v="0"/>
    <n v="0"/>
    <n v="0"/>
    <n v="0"/>
    <n v="0"/>
    <n v="0"/>
    <n v="0"/>
    <n v="0"/>
    <n v="86.990001678466797"/>
    <n v="0.25"/>
    <n v="124.27143096923828"/>
    <n v="100"/>
    <n v="0.25"/>
    <n v="0.25"/>
    <n v="0.25"/>
    <n v="1"/>
    <n v="0"/>
    <n v="38"/>
    <s v="MEJORAR EN EL CUATRIENIO EL PROMEDIO DE DESEMPEÑO EN LAS PRUEBAS SABER DEL GRADO 5° DE LAS INSTITUCIONES EDUCATIVAS OFICIALES EN DOS PUNTOS POR CADA ÁREA EVALUADA"/>
    <n v="75"/>
    <s v="MEJORAR EN EL CUATRIENIO, EL PROMEDIO DE DESEMPEÑO DE LAS PRUEBAS SABER DEL GRADO NOVENO DE LAS INSTITUCIONES EDUCATIVAS OFICIALES EN 2 PUNTOS EN CADA ÁREA EVALUADA"/>
    <n v="76"/>
    <n v="77"/>
    <m/>
    <m/>
    <s v="EN EL 2012 SE FORMARON 3.166 DOCENTES Y DIRECTIVOS DOCENTES EN DIFERENTES PROGRAMAS DE FORMACIÓN CONTÍNUA Y PERMANENTE ASÍ COMO POSGRADOS DESARROLLADOS CON INSTITUCIONES DE EDUCACIÓN SUPERIOR, CON EL OBJETIVO DE MEJORAR LAS PRÁCTICAS PEDAGÓGICAS DE AULA Y FORTALECER LA CUALIFICACIÓN DE LOS DOCENTES Y DIRECTIVOS DOCENTES EN LOS SIGUIENTES TEMAS: AMBIENTES EDUCATIVOS Y USO DE TICS EN LA IMPLEMENTACIÓN DE PROYECTOS PEDAGÓGICOS, FORMACIÓN DE DOCENTES EN APLICACIÓN DE PRUEBAS SABER, DOCENTES FORMADOS EN CONVIVENCIA Y REESTRUCTURACIÓN DE MANUALES DE CONVIVENCIA, CONVERSATORIO DOCENTES DE HISTORIA CATEDRA DE CUNDINAMARCA; DIRECTIVOS DOCENTES FORMADOS EN GESTIÓN DIRECTIVA, DIRECTIVOS DOCENTES FORMADOS EN SIGCE, DOCENTES DE INGLÉS FORMADOS BUNNY BONITA, DOCENTES TUTORES FORMADOS EN LECTURA Y ESCRITURA, DOCENTES FORMADOS EN FRANCÉS, TUTORES VIRTUALES EN BILINGUISMO, PLANES DE MEJORAMIENTO, MAESTRÍA EDUCACIÓN MATEMÁTICA._x000a_EN 2013, 2.236 DOCENTES Y DIRECTIVOS DOCENTES EN PROGRAMAS ACADÉMICOS DE FORMACIÓN QUE CONTRIBUYEN AL PERFECCIONAMIENTO DE LA LABOR DOCENTE E IMPACTO EL APRENDIZAJE DE LOS ESTUDIANTES, ASÍ: CAPACITACIÓN DE DOCENTES Y ESTUDIANTES EN PROCESOS DE SIMULACRO DE LAS PRUEBAS SABER, FORMACIÓN DE DOCENTES DE PRIMARIA, 9 Y 11 EN LENGUAJE, SOCIALES, MATEMÁTICAS CON EL FIN DE FORTALECER LAS PRÁCTICAS PEDAGÓGICAS EN EL MARCO DE LOS ESTÁNDARES BÁSICOS DE COMPETENCIAS, FORMACIÓN DE RECTORES LÍDERES TRANSFORMADORES DESDE LA INSTITUCIÓN EDUCATIVA-RLT (PROGRAMA EN EL CUAL TRABAJA EN EL CRECIMIENTO PERSONAL DE LOS RECTORES EN SU SER Y SU HACER, Y EN EL FORTALECIMIENTO DE LAS COMPETENCIAS COMO LÍDER PEDAGÓGICO, ADMINISTRATIVO Y COMUNITARIO, DE ACUERDO CON LOS RETOS Y COMPETENCIAS DE SU ROL COMO CABEZA DE LA INSTITUCIÓN EDUCATIVA. ASÍ MISMO, PROPONE UNA EXPERIENCIA DE APRENDIZAJE QUE FAVORECE EL DESARROLLO DE UN LÍDER COHERENTE, CÁLIDO, VALIENTE Y APASIONADO QUE LOGRA RESULTADOS POSITIVOS MEDIANTE UN TRABAJO INNOVADOR, CONTEXTUALIZADO Y COLABORATIVO EN TODAS LAS INSTANCIAS DE LA ORGANIZACIÓN)., DIPLOMADO &quot;MODELO DE PREVENCIÓN DE SALUD MENTAL&quot; PARA DOCENTES ORIENTADORES CON LA UNIVERSIDAD JAVERIANA, CONGRESO MUNDIAL DE PEDAGOGÍA, CONGRESO NACIONAL INNOVACIÓN Y USO DE TIC, ENCUENTRO DE MATEMÁTICAS GRADUADOS UNIVERSIDAD DE LOS ANDES, ENCUENTRO PARA EL APRENDIZAJE DE LA MATEMÁTICA CON RECONOCIDOS DIDÁCTAS DE LA MATEMATICA, FORMACIÓN DE DOCENTES EN INGLÉS, FORMACIÓN EN CASCADA, FORMACIÓN JUSTICIA SOCIAL, FORMACIÓN DE DOCENTES DE PREESCOLAR -PROGRAMA PISOTÓN DESARROLLO PSICOAFECTIVO, FORMACIÓN DE DOCENTES ORIENTADORES CON LA CORPORACIÓN DUNNA PARA EL MANEJO DE CONFLICTOS A TRAVÉS DE YOGA, FORMACIÓN DOCENTES COMPETENCIAS FINANCIERAS BBVA, ESPECIALIZACIÓN EN PEDAGOGÍA CON LA UNIVERSIDAD PEDAGÓGICA NACIONAL, FORMACIÓN DOCENTES ENS, TODOS A APRENDER, FORMACIÓN RECTORES MANEJO DE PLATAFORMA SIGCE, FORMACIÓN PLANES DE MEJORAMIENTO, FORMACIÓN EN CONVIVENCIA CON LA UNIVERSIDAD PEDAGÓGICA NACIONAL. ADICIONALMENTE, 1.621 DOCENTES SON FORMADOS EN INCORPORACIÓN DE LAS TIC EN EL AULA._x000a_EN 2014, 4.388 DOCENTES Y DIRECTIVOS EN: DIPLOMADO SISTEMA INSTITUCIONAL DE EVALUACIÓN, CON LA UNIVERSIDAD JAVERIANA PARA DOCENTES Y COORDINADORES DE TODAS LAS IED, MAESTRÍA EN EDUCACIÓN MATEMÁTICA CON LA UNIVERSIDAD DE LOS ANDES (7 DOCENTES), MAESTRÍA EN EDUCACIÓN CON LA UNIVERSIDAD EXTERNADO DE COLOMBIA (40 DOCENTES), ESPECIALIZACIÓN EN EVALUACIÓN EDUCATIVA CON LA UNIVERSIDAD SANTO TOMAS (23 DOCENTES), FORMACIÓN RECTORES LÍDERES TRANSFORMADORES COHORTE 2014 PARA 32 RECTORES (ESTÁ EN PROCESO PRECONTRACTUAL), FORMACIÓN DE DOCENTES EN INGLÉS CON PEARSON, FORMACIÓN DE DOCENTES EN RESIGNIFICACIÓN DE MANUALES DE CONVIVENCIA CON ENFOQUE DE DERECHOS E INCLUSIÓN, FORMACIÓN DE DOCENTES PENSAMIENTO LÓGICO MATEMÁTICO- PRODUCCIÓN Y COMPRENSIÓN DE TEXTOS CON LA FUNDACIÓN ENDESA._x000a_EN 2015, 3.639 DOCENTES Y DIRECTIVOS SE HAN FORMADO O ESTÁN ADELANTANDO POSGRADOS EN EDUCACIÓN, ESPECIALIZACIÓN EN EVALUACIÓN EDUCATIVA, ESPECIALIZACIÓN EN EDUCACIÓN AMBIENTAL, FORMACIÓN Y ACOMPAÑAMIENTO DE RECTORES LÍDERES TRANSFORMADORES, PROYECTOS DE MEJORAMIENTO DE LA CALIDAD EDUCATIVA, RESOLUCIÓN DE CONFLICTOS A TRAVÉS DE YOGA, CAFE CONVERSACIÓN PARA MEJORAR LA CONVIVENCIA ESCOLAR, FORMACIÓN PRUEBAS SABER, REDES DE APRENDIZAJE E INCORPORACIÓN DE LAS TIC EN LOS PROCESOS PEDAGÓGICOS, ENTRE OTROS PROGRAMAS."/>
    <n v="127000000"/>
    <m/>
    <n v="100"/>
  </r>
  <r>
    <n v="48"/>
    <x v="0"/>
    <x v="3"/>
    <x v="1"/>
    <s v="DESARROLLO"/>
    <s v="INCENTIVAR EN EL CUATRIENIO A 200 DOCENTES Y/O PERSONAL DE APOYO QUE PARTICIPEN EN JORNADAS COMPLEMENTARIAS O QUE PRESENTEN PROYECTOS DE INVESTIGACIÓN"/>
    <s v="NO. DE INCENTIVOS ENTREGADOS EN EL CUATRIENIO A DOCENTES Y/O PERSONAL DE APOYO"/>
    <s v="DOCENTES"/>
    <s v="I"/>
    <n v="0"/>
    <n v="200"/>
    <n v="200"/>
    <n v="0.16500000000000001"/>
    <n v="0"/>
    <n v="0"/>
    <n v="0"/>
    <n v="0"/>
    <n v="0"/>
    <n v="0"/>
    <n v="0"/>
    <n v="0"/>
    <n v="0"/>
    <n v="0"/>
    <n v="0"/>
    <n v="0"/>
    <n v="0"/>
    <n v="0"/>
    <n v="0"/>
    <n v="0"/>
    <n v="0"/>
    <n v="0"/>
    <n v="0"/>
    <n v="0"/>
    <n v="0"/>
    <n v="0"/>
    <n v="0"/>
    <n v="0"/>
    <n v="0"/>
    <n v="0"/>
    <n v="0"/>
    <s v="-"/>
    <n v="4.1250000000000002E-2"/>
    <n v="50"/>
    <n v="0.25"/>
    <n v="41"/>
    <n v="41"/>
    <n v="82"/>
    <n v="82"/>
    <n v="3.3825000000000001E-2"/>
    <n v="82"/>
    <n v="300000000"/>
    <n v="0"/>
    <n v="300000000"/>
    <n v="0"/>
    <n v="0"/>
    <n v="0"/>
    <n v="0"/>
    <n v="0"/>
    <n v="127332000"/>
    <n v="127332000"/>
    <n v="0"/>
    <n v="0"/>
    <n v="0"/>
    <n v="0"/>
    <n v="0"/>
    <n v="0"/>
    <n v="0"/>
    <n v="0"/>
    <n v="0"/>
    <n v="8.2500000000000004E-2"/>
    <n v="100"/>
    <n v="0.5"/>
    <n v="0"/>
    <n v="0"/>
    <n v="131"/>
    <n v="131"/>
    <n v="131"/>
    <n v="100"/>
    <n v="8.2500000000000004E-2"/>
    <n v="100"/>
    <n v="0.108075"/>
    <n v="4.1250000000000002E-2"/>
    <n v="50"/>
    <n v="0.25"/>
    <n v="128"/>
    <n v="-78"/>
    <n v="128"/>
    <n v="256"/>
    <n v="100"/>
    <n v="4.1250000000000002E-2"/>
    <n v="0.1056"/>
    <n v="350000000"/>
    <n v="350000000"/>
    <n v="0"/>
    <n v="0"/>
    <n v="0"/>
    <n v="0"/>
    <n v="0"/>
    <n v="0"/>
    <n v="0"/>
    <n v="0"/>
    <n v="0"/>
    <n v="0"/>
    <n v="0"/>
    <n v="0"/>
    <n v="0"/>
    <n v="0"/>
    <n v="0"/>
    <n v="0"/>
    <n v="0"/>
    <n v="300"/>
    <n v="0.16500000000000001"/>
    <n v="150"/>
    <n v="100"/>
    <n v="0.16500000000000001"/>
    <n v="0.16500000000000001"/>
    <n v="0.16500000000000001"/>
    <n v="1"/>
    <n v="0"/>
    <n v="36"/>
    <s v="MANTENER CADA AÑO EN 100% LA COBERTURA BRUTA EN BÁSICA PRIMARIA, PRIORIZANDO LA POBLACIÓN EN POBREZA EXTREMA QUE DEMANDE EL SERVICIO"/>
    <m/>
    <s v=""/>
    <m/>
    <m/>
    <m/>
    <m/>
    <s v="SE HAN ADELANTANDO POSGRADOS EN PEDAGOGÍA, MAESTRÍA EN EDUCACIÓN, EDUCACIÓN AMBIENTAL, EVALUACIÓN EDUCATIVA, MATEMÁTICAS, ENTRE OTROS PROGRAMAS. SE HAN FORMADO DESDE 2012, 220 DOCENTES EN POSGRADO."/>
    <n v="4320000000"/>
    <m/>
    <n v="600"/>
  </r>
  <r>
    <n v="49"/>
    <x v="0"/>
    <x v="3"/>
    <x v="1"/>
    <s v="DESARROLLO"/>
    <s v="MEJORAR EN EL CUATRIENIO EL FUNCIONAMIENTO DE LOS MODELOS FLEXIBLES DE APRENDIZAJE PARA PRIMARIA EN 76 SEDES EDUCATIVAS RURALES (ESCUELA NUEVA Y ACELERACIÓN DEL APRENDIZAJE)"/>
    <s v="NO. DE SEDES EDUCATIVAS RURALES CON MODELOS FLEXIBLES DE APRENDIZAJE MEJORADOS EN EL CUATRIENIO"/>
    <s v="SEDES"/>
    <s v="I"/>
    <n v="76"/>
    <n v="152"/>
    <n v="76"/>
    <n v="0.16500000000000001"/>
    <n v="4.1250000000000002E-2"/>
    <n v="19"/>
    <n v="0.25"/>
    <n v="0"/>
    <n v="0"/>
    <n v="0"/>
    <n v="0"/>
    <n v="0"/>
    <n v="0"/>
    <n v="126000000"/>
    <n v="126000000"/>
    <n v="0"/>
    <n v="0"/>
    <n v="0"/>
    <n v="0"/>
    <n v="0"/>
    <n v="0"/>
    <n v="195744000"/>
    <n v="195744000"/>
    <n v="0"/>
    <n v="0"/>
    <n v="0"/>
    <n v="0"/>
    <n v="0"/>
    <n v="0"/>
    <n v="0"/>
    <n v="0"/>
    <s v="-"/>
    <n v="4.1250000000000002E-2"/>
    <n v="19"/>
    <n v="0.25"/>
    <n v="38"/>
    <n v="38"/>
    <n v="200"/>
    <n v="100"/>
    <n v="4.1250000000000002E-2"/>
    <n v="100"/>
    <n v="91000000"/>
    <n v="0"/>
    <n v="91000000"/>
    <n v="0"/>
    <n v="0"/>
    <n v="0"/>
    <n v="0"/>
    <n v="0"/>
    <n v="231786291"/>
    <n v="231786291"/>
    <n v="0"/>
    <n v="0"/>
    <n v="0"/>
    <n v="0"/>
    <n v="0"/>
    <n v="0"/>
    <n v="0"/>
    <n v="0"/>
    <n v="0"/>
    <n v="4.1250000000000002E-2"/>
    <n v="19"/>
    <n v="0.25"/>
    <n v="14"/>
    <n v="14"/>
    <n v="19"/>
    <n v="19"/>
    <n v="100"/>
    <n v="100"/>
    <n v="4.1250000000000002E-2"/>
    <n v="100"/>
    <n v="4.1250000000000002E-2"/>
    <n v="4.1250000000000002E-2"/>
    <n v="19"/>
    <n v="0.25"/>
    <n v="88"/>
    <n v="-69"/>
    <n v="88"/>
    <n v="463.15789473684208"/>
    <n v="100"/>
    <n v="4.1250000000000002E-2"/>
    <n v="0.19105263157894736"/>
    <n v="210000000"/>
    <n v="210000000"/>
    <n v="0"/>
    <n v="0"/>
    <n v="0"/>
    <n v="0"/>
    <n v="0"/>
    <n v="0"/>
    <n v="0"/>
    <n v="0"/>
    <n v="0"/>
    <n v="0"/>
    <n v="0"/>
    <n v="0"/>
    <n v="0"/>
    <n v="0"/>
    <n v="0"/>
    <n v="0"/>
    <n v="0"/>
    <n v="145"/>
    <n v="0.16500000000000001"/>
    <n v="190.78947368421052"/>
    <n v="100"/>
    <n v="0.16500000000000001"/>
    <n v="0.16500000000000001"/>
    <n v="0.16500000000000001"/>
    <n v="1"/>
    <n v="0"/>
    <n v="37"/>
    <s v="REDUCIR EN EL CUATRIENIO LA TASA DE DESERCIÓN ESCOLAR AL 5.15%"/>
    <n v="77"/>
    <s v="MEJORAR EN EL CUATRIENIO LOS PROCESOS EDUCATIVOS, FORMATIVOS, PEDAGÓGICOS E INSTITUCIONALES DEL 100% DE LAS INSTITUCIONES EDUCATIVAS DE LOS MUNICIPIOS NO CERTIFICADOS"/>
    <n v="78"/>
    <m/>
    <m/>
    <m/>
    <s v="SE CAPACITARON 522 DOCENTES, SE ENTREGARON 4.915 JUEGOS DE GUÍAS DE APRENDIZAJE Y 57 CANASTAS EN EL MODELO ESCUELA NUEVA, LLEGANDO A 37.727 ESTUDIANTES DE 1.683 SEDES EN 84 MUNICIPIOS. CAPACITACIÓN DE 16 DOCENTES EN EL MODELO DE ACELERECIÓN DEL APRENDIZAJE. SE ENTREGARON 21 TABLEROS DIGITALES PORTÁTILES EN IGUAL NÚMEROS DE SEDES RURALES."/>
    <n v="400000000"/>
    <m/>
    <n v="0"/>
  </r>
  <r>
    <n v="50"/>
    <x v="0"/>
    <x v="3"/>
    <x v="1"/>
    <s v="DESARROLLO"/>
    <s v="IMPLEMENTAR DURANTE EL CUATRIENIO LA EDUCACIÓN INCLUSIVA PARA LA INFANCIA EN 100 INSTITUCIONES EDUCATIVAS DE LOS MUNICIPIOS NO CERTIFICADOS"/>
    <s v="NO. DE IE CON EDUCACIÓN INCLUSIVA PARA LA INFANCIA"/>
    <s v="INSTITUCIONES"/>
    <s v="I"/>
    <n v="33"/>
    <n v="133"/>
    <n v="100"/>
    <n v="0.16500000000000001"/>
    <n v="0"/>
    <n v="0"/>
    <n v="0"/>
    <n v="0"/>
    <n v="0"/>
    <n v="0"/>
    <n v="0"/>
    <n v="0"/>
    <n v="0"/>
    <n v="311000000"/>
    <n v="311000000"/>
    <n v="0"/>
    <n v="0"/>
    <n v="0"/>
    <n v="0"/>
    <n v="0"/>
    <n v="0"/>
    <n v="0"/>
    <n v="0"/>
    <n v="0"/>
    <n v="0"/>
    <n v="0"/>
    <n v="0"/>
    <n v="0"/>
    <n v="0"/>
    <n v="0"/>
    <n v="0"/>
    <s v="-"/>
    <n v="4.1250000000000002E-2"/>
    <n v="25"/>
    <n v="0.25"/>
    <n v="25"/>
    <n v="25"/>
    <n v="100"/>
    <n v="100"/>
    <n v="4.1250000000000002E-2"/>
    <n v="100"/>
    <n v="225000000"/>
    <n v="0"/>
    <n v="225000000"/>
    <n v="0"/>
    <n v="0"/>
    <n v="0"/>
    <n v="0"/>
    <n v="0"/>
    <n v="240667040"/>
    <n v="240667040"/>
    <n v="0"/>
    <n v="0"/>
    <n v="0"/>
    <n v="0"/>
    <n v="0"/>
    <n v="0"/>
    <n v="0"/>
    <n v="220900000"/>
    <s v="Fundación Saldarriaga Concha"/>
    <n v="6.2700000000000006E-2"/>
    <n v="38"/>
    <n v="0.38"/>
    <n v="14"/>
    <n v="14"/>
    <n v="49"/>
    <n v="49"/>
    <n v="128.94736842105263"/>
    <n v="100"/>
    <n v="6.2700000000000006E-2"/>
    <n v="100"/>
    <n v="8.0850000000000005E-2"/>
    <n v="6.105E-2"/>
    <n v="37"/>
    <n v="0.37"/>
    <n v="55"/>
    <n v="-18"/>
    <n v="55"/>
    <n v="148.64864864864865"/>
    <n v="100"/>
    <n v="6.1050000000000007E-2"/>
    <n v="9.0749999999999997E-2"/>
    <n v="519000000"/>
    <n v="519000000"/>
    <n v="0"/>
    <n v="0"/>
    <n v="0"/>
    <n v="0"/>
    <n v="0"/>
    <n v="0"/>
    <n v="0"/>
    <n v="0"/>
    <n v="0"/>
    <n v="0"/>
    <n v="0"/>
    <n v="0"/>
    <n v="0"/>
    <n v="0"/>
    <n v="0"/>
    <n v="0"/>
    <n v="0"/>
    <n v="129"/>
    <n v="0.16500000000000001"/>
    <n v="129"/>
    <n v="100"/>
    <n v="0.16500000000000001"/>
    <n v="0.16500000000000001"/>
    <n v="0.16500000000000001"/>
    <n v="1"/>
    <n v="0"/>
    <n v="37"/>
    <s v="REDUCIR EN EL CUATRIENIO LA TASA DE DESERCIÓN ESCOLAR AL 5.15%"/>
    <n v="38"/>
    <s v="MEJORAR EN EL CUATRIENIO EL PROMEDIO DE DESEMPEÑO EN LAS PRUEBAS SABER DEL GRADO 5° DE LAS INSTITUCIONES EDUCATIVAS OFICIALES EN DOS PUNTOS POR CADA ÁREA EVALUADA"/>
    <n v="77"/>
    <m/>
    <m/>
    <m/>
    <s v="SE HA LOGRADO EN EL CUATRIENIO TENER 128 INSTITUCIONES EDUCATIVAS CON EDUCACIÓNINCLUSIVA MEDIANTE 5 CONVENIOS DE COOPERACIÓN CON LA FUNDACIÓN SALDARRIAGA CONCHA PARA LA ATENCIÓN DE LOS ESTUDIANTES CON DISCAPACIDAD - 2 CONVENIOS DE COOPERACIÓN CON EL INSTITUTO NACIONAL PARA CIEGOS INSOR PARA REORGANIZAR Y FORTALECER LA OFERTA EDUCATIVA PARA ESTUDIANTES SORDOS. - 2 CONTRATOS INTERADMINISTRATIVOS DE COMPRAVENTA CON EL INSTITUTO NACIONAL PARA CIEGOS INCI PARA ADQUIRIR MATERIAL PERTINENTE PARA ESTUDIANTES CIEGOS - 1 CONVENIO DE COOPERACIÓN CON LA FUNDACIÓN ALBERTO MERANI PARA APOYAR A LAS IED EN LA CARACTERIZACIÓN DE LOS ESTUDIANTES CON TALENTOS Y CON DISCAPACIDAD COGNITIVA."/>
    <n v="1799000000"/>
    <m/>
    <n v="0"/>
  </r>
  <r>
    <n v="51"/>
    <x v="0"/>
    <x v="3"/>
    <x v="1"/>
    <s v="DESARROLLO"/>
    <s v="ACOMPAÑAR DURANTE EL CUATRIENIO AL 100% DE LAS INSTITUCIONES EDUCATIVAS PÚBLICAS DE LOS MUNICIPIOS NO CERTIFICADOS EN LA REVISIÓN Y REELABORACIÓN DE SUS PEI, ARTICULACIÓN CON EL PLAN DE ESTUDIOS, MANUALES DE CONVIVENCIA CON ENFOQUE DE DERECHOS Y SISTEMAS"/>
    <s v="% DE IE ACOMPAÑADAS PARA REVISIÓN Y REELABORACIÓN DE PEI"/>
    <s v="% DE INSTITUCIONES"/>
    <s v="M"/>
    <n v="0"/>
    <n v="100"/>
    <n v="100"/>
    <n v="0.25"/>
    <n v="6.25E-2"/>
    <n v="100"/>
    <n v="0.25"/>
    <n v="100"/>
    <n v="25"/>
    <n v="100"/>
    <n v="100"/>
    <n v="6.25E-2"/>
    <n v="100"/>
    <n v="75000000"/>
    <n v="75000000"/>
    <n v="0"/>
    <n v="0"/>
    <n v="0"/>
    <n v="0"/>
    <n v="0"/>
    <n v="0"/>
    <n v="620000000"/>
    <n v="620000000"/>
    <n v="0"/>
    <n v="0"/>
    <n v="0"/>
    <n v="0"/>
    <n v="0"/>
    <n v="0"/>
    <n v="0"/>
    <n v="0"/>
    <s v="-"/>
    <n v="6.25E-2"/>
    <n v="100"/>
    <n v="0.25"/>
    <n v="100"/>
    <n v="25"/>
    <n v="100"/>
    <n v="100"/>
    <n v="6.25E-2"/>
    <n v="100"/>
    <n v="54000000"/>
    <n v="0"/>
    <n v="54000000"/>
    <n v="0"/>
    <n v="0"/>
    <n v="0"/>
    <n v="0"/>
    <n v="0"/>
    <n v="235000000"/>
    <n v="235000000"/>
    <n v="0"/>
    <n v="0"/>
    <n v="0"/>
    <n v="0"/>
    <n v="0"/>
    <n v="0"/>
    <n v="0"/>
    <n v="0"/>
    <n v="0"/>
    <n v="6.25E-2"/>
    <n v="100"/>
    <n v="0.25"/>
    <n v="100"/>
    <n v="100"/>
    <n v="100"/>
    <n v="25"/>
    <n v="100"/>
    <n v="100"/>
    <n v="6.25E-2"/>
    <n v="100"/>
    <n v="6.25E-2"/>
    <n v="6.25E-2"/>
    <n v="100"/>
    <n v="0.25"/>
    <n v="100"/>
    <n v="0"/>
    <n v="25"/>
    <n v="100"/>
    <n v="100"/>
    <n v="6.25E-2"/>
    <n v="6.25E-2"/>
    <n v="125000000"/>
    <n v="125000000"/>
    <n v="0"/>
    <n v="0"/>
    <n v="0"/>
    <n v="0"/>
    <n v="0"/>
    <n v="0"/>
    <n v="0"/>
    <n v="0"/>
    <n v="0"/>
    <n v="0"/>
    <n v="0"/>
    <n v="0"/>
    <n v="0"/>
    <n v="0"/>
    <n v="0"/>
    <n v="0"/>
    <n v="0"/>
    <n v="100"/>
    <n v="0.25"/>
    <n v="100"/>
    <n v="100"/>
    <n v="0.25"/>
    <n v="0.25"/>
    <n v="0.25"/>
    <n v="1"/>
    <n v="0"/>
    <n v="77"/>
    <s v="MEJORAR EN EL CUATRIENIO LOS PROCESOS EDUCATIVOS, FORMATIVOS, PEDAGÓGICOS E INSTITUCIONALES DEL 100% DE LAS INSTITUCIONES EDUCATIVAS DE LOS MUNICIPIOS NO CERTIFICADOS"/>
    <m/>
    <s v=""/>
    <m/>
    <m/>
    <m/>
    <m/>
    <s v="EN EL 2013 SE SUSCRIBIÓ UN CONTRATO DE PRESTACIÓN DE SERVICIOS, CON LA UNIVERSIDAD PEDAGÓGICA NACIONAL CON EL PROPÓSITO DE ORIENTAR UN PROCESO FORMATIVO, DE ACOMPAÑAMIENTO Y ASESORÍA A LAS (9) ESCUELAS NORMALES OFICIALES DE LOS MUNICIPIOS NO CERTIFICADOS DE CUNDINAMARCA, CON EL OBJETO DE PROMOVER LA REFLEXIÓN-ACCIÓN SOBRE LAS RELACIONES ENTRE JUSTICIA SOCIAL Y DERECHO A LA EDUCACIÓN A PARTIR DE LA COTIDIANIDAD DE CADA INSTITUCIÓN._x000a_ESTE PROCESO CONTRIBUYE AL CUMPLIMIENTO DE LA META PROPUESTA EN EL CUATRIENIO “% DE INSTITUCIONES EDUCATIVAS ACOMPAÑADAS EN PROCESOS DE REVISIÓN Y REELABORACIÓN DEL PROYECTO EDUCATIVO INSTITUCIONAL – PEI.” SE DESARROLLARAN ESTRATEGIAS COMO: DEBATES CRÍTICOS, TALLERES, ANÁLISIS DE SITUACIONES EDUCATIVAS COTIDIANAS Y DE VIDEOS, CONVERSATORIOS, ENCUESTAS, DESARROLLO DE GUÍAS, GRUPOS DE TRABAJO COLABORATIVO. SE FORMARON 18 DOCENTES, QUE A SU VEZ TRANSMITEN LOS APRENDIZAJES A TODOS LOS DOCENTES Y ESTUDIANTES DE LA EDUCACIÓN COMPLEMENTARIA. EL VALOR TOTAL DEL CONTRATO INTERADMINISTRATIVO ES DE SESENTA MILLONES QUINIENTOS MIL PESOS MCTE ($60.500.000)_x000a_EN EL 2014 LAS ESCUELAS NORMALES SUPERIORES TRABAJARON CON LA COMUNIDAD EDUCATIVA LOS PROYECTOS QUE FORMULARON, EN FORMA AUTÓNOMA._x000a_PARA EL 2015 SE SUSCRIBIÓ UN NUEVO CONTRATO INTERADMINISTRATIVO CON LA UNIVERSIDAD PEDAGÓGICA NACIONAL CON EL OBJETO DE: “FORTALECER LA FORMACIÓN DE MAESTROS Y MAESTRAS DE LAS ESCUELAS NORMALES DE CUNDINAMARCA ACERCA DE LA EDUCACIÓN CON JUSTICIA SOCIAL Y LA CONFIGURACIÓN DE SUJETOS DE DERECHOS A PARTIR DE DESARROLLO DE PROYECTOS PEDAGÓGICOS- INVESTIGATIVOS EN CADA INSTITUCIÓN, SUSTENTADOS EN LA REFLEXIÓN –ACCIÓN –TRANSFORMACIÓN.”. LOS BENEFICIARIOS DE LA FORMACIÓN SON 18 DOCENTES DE LAS 9 ESCUELAS NORMALES DEL DEPARTAMENTO, QUIENES HAN VENIDO SIENDO FORMADOS DESDE EL AÑO 2013, Y QUE FORMULARON PROYECTOS ENFOCADOS AL TEMA DE JUSTICIA SOCIAL, DOCENTES, DIRECTIVOS DOCENTES Y ESTUDIANTES QUE HACEN PARTE DE LA RED DE INVESTIGADORES EN EDUCACIÓN PARA LA JUSTICIA SOCIAL. SE REALIZARON CONVERSATORIOS MUNICIPALES PARA APORTAR AL DESARROLLO Y AL MEJORAMIENTO DE LA CONVIVENCIA A TRAVES DEL FOMENTO DE UNA CULTURA DEL DIALOGO, LA INTEGRACION DE LA FAMILIA EN LA ESCUELA, LA PARTICIPACION DE LOS GOBIERNOS ESCOLARES, EL APRECIO A LA INSTITUCION Y LOS PROFESORES._x000a_FORTALECIMIENTO DE LOS PROCESOS PARA LA SANA CONVIVENCIA ESCOLAR CON ENFOQUE DERECHOS INCLUSION "/>
    <n v="21000000"/>
    <m/>
    <n v="116"/>
  </r>
  <r>
    <n v="52"/>
    <x v="0"/>
    <x v="6"/>
    <x v="1"/>
    <s v="DESARROLLO"/>
    <s v="ATENDER INTEGRALMENTE A 600 NIÑAS Y NIÑOS DE ESCASOS RECURSOS, CADA AÑO, EN LOS CENTROS DE PROTECCIÓN DE LA BENEFICENCIA DE CUNDINAMARCA"/>
    <s v="NO. DE NIÑAS Y NIÑOS ATENDIDOS CADA AÑO EN LOS CENTROS DE LA BENEFICENCIA"/>
    <s v="PERSONAS"/>
    <s v="M"/>
    <n v="587"/>
    <n v="600"/>
    <n v="600"/>
    <n v="0.16500000000000001"/>
    <n v="4.1250000000000002E-2"/>
    <n v="600"/>
    <n v="0.25"/>
    <n v="590"/>
    <n v="147.5"/>
    <n v="98.333333333333329"/>
    <n v="98.333333333333329"/>
    <n v="4.0562500000000001E-2"/>
    <n v="98.333333333333329"/>
    <n v="4899000000"/>
    <n v="4899000000"/>
    <n v="0"/>
    <n v="0"/>
    <n v="0"/>
    <n v="0"/>
    <n v="0"/>
    <n v="0"/>
    <n v="3963593000"/>
    <n v="3963593000"/>
    <n v="0"/>
    <n v="0"/>
    <n v="0"/>
    <n v="0"/>
    <n v="0"/>
    <n v="0"/>
    <n v="0"/>
    <n v="0"/>
    <s v="-"/>
    <n v="4.1250000000000002E-2"/>
    <n v="600"/>
    <n v="0.25"/>
    <n v="524"/>
    <n v="131"/>
    <n v="87.333333333333329"/>
    <n v="87.333333333333329"/>
    <n v="3.6025000000000001E-2"/>
    <n v="87.333333333333329"/>
    <n v="4899000000"/>
    <n v="0"/>
    <n v="4899000000"/>
    <n v="0"/>
    <n v="0"/>
    <n v="0"/>
    <n v="0"/>
    <n v="0"/>
    <n v="3428022790"/>
    <n v="3428022790"/>
    <n v="0"/>
    <n v="0"/>
    <n v="0"/>
    <n v="0"/>
    <n v="0"/>
    <n v="0"/>
    <n v="0"/>
    <n v="0"/>
    <n v="0"/>
    <n v="4.1250000000000002E-2"/>
    <n v="600"/>
    <n v="0.25"/>
    <n v="454"/>
    <n v="454"/>
    <n v="474"/>
    <n v="118.5"/>
    <n v="79"/>
    <n v="79"/>
    <n v="3.2587499999999998E-2"/>
    <n v="79"/>
    <n v="3.2587499999999998E-2"/>
    <n v="4.1250000000000002E-2"/>
    <n v="600"/>
    <n v="0.25"/>
    <n v="762"/>
    <n v="-162"/>
    <n v="190.5"/>
    <n v="127"/>
    <n v="100"/>
    <n v="4.1250000000000002E-2"/>
    <n v="5.2387500000000004E-2"/>
    <n v="4899000000"/>
    <n v="4899000000"/>
    <n v="0"/>
    <n v="0"/>
    <n v="0"/>
    <n v="0"/>
    <n v="0"/>
    <n v="0"/>
    <n v="0"/>
    <n v="0"/>
    <n v="0"/>
    <n v="0"/>
    <n v="0"/>
    <n v="0"/>
    <n v="0"/>
    <n v="0"/>
    <n v="0"/>
    <n v="0"/>
    <n v="0"/>
    <n v="587.5"/>
    <n v="0.16500000000000001"/>
    <n v="97.916666666666671"/>
    <n v="97.916666666666671"/>
    <n v="0.1615625"/>
    <n v="0.1615625"/>
    <n v="0.1615625"/>
    <n v="1"/>
    <n v="0"/>
    <n v="39"/>
    <s v="FOMENTAR HABILIDADES Y DESTREZAS CON ACTIVIDADES LÚDICAS, CULTURALES Y DEPORTIVAS EN EL 35% DE LOS NIÑOS Y NIÑAS DE 6 A 11 AÑOS"/>
    <m/>
    <s v=""/>
    <m/>
    <m/>
    <m/>
    <m/>
    <s v="PROTECCIÓN DE 241 NIÑAS Y 283 NIÑOS VÍCTIMAS DE LAS VIOLENCIAS, CON ALOJAMIENTO, ALIMENTACIÓN, INTERVENCION TERAPEUTICA PROFESIONAL E INTERDISCIPLINARIA PARA EL NIÑOS, NIÑAS Y SUS FAMILIAS EN TRABAJO SOCIAL, PSICOLOGÍA, EDUCACIÓN ESPECIAL (PARA NN CON DISCAPACIDAD), PSICOPEDAGOGIA, FONOAUDIOLOGÍA, TERAPIA OCUPACIONAL, PEDAGOGÍA REEDUCATIVA, NUTRICIÓN, EDUCACIÓN, FORMACIÓN PARA EL TRABAJO, RECREACIÓN, CULTURA, DEPORTE, BUEN USO DEL TIEMPO LIBRE, DESARROLLO DE PROYECTOS PRODUCTIVOS Y OCUPACIONALES."/>
    <n v="960000000"/>
    <m/>
    <n v="0"/>
  </r>
  <r>
    <n v="53"/>
    <x v="0"/>
    <x v="1"/>
    <x v="1"/>
    <s v="DESARROLLO"/>
    <s v="CONTRIBUIR AL DESARROLLO SICOMOTRIZ Y SOCIAL DE LOS NIÑOS FORTALECIENDO EN EL CUATRIENIO LA OPERACIÓN DE 160 LUDOTECAS CON AMBIENTE E IMPLEMENTOS ADECUADOS PARA LAS Y LOS NIÑOS DE 6 A 11 AÑOS"/>
    <s v="NO. DE LUDOTECAS CON AMBIENTE Y DOTACIÓN ADECUADA PARA LOS INFANTES"/>
    <s v="LUDOTECAS"/>
    <s v="I"/>
    <n v="132"/>
    <n v="292"/>
    <n v="160"/>
    <n v="0.16500000000000001"/>
    <n v="7.2187499999999995E-3"/>
    <n v="7"/>
    <n v="4.3749999999999997E-2"/>
    <n v="0"/>
    <n v="0"/>
    <n v="0"/>
    <n v="0"/>
    <n v="0"/>
    <n v="0"/>
    <n v="636000000"/>
    <n v="121000000"/>
    <n v="0"/>
    <n v="0"/>
    <n v="0"/>
    <n v="0"/>
    <n v="0"/>
    <n v="515000000"/>
    <n v="0"/>
    <n v="0"/>
    <n v="0"/>
    <n v="0"/>
    <n v="0"/>
    <n v="0"/>
    <n v="0"/>
    <n v="0"/>
    <n v="0"/>
    <n v="0"/>
    <s v="-"/>
    <n v="5.2593750000000002E-2"/>
    <n v="51"/>
    <n v="0.31874999999999998"/>
    <n v="70"/>
    <n v="70"/>
    <n v="137.25490196078431"/>
    <n v="100"/>
    <n v="5.2593750000000002E-2"/>
    <n v="100"/>
    <n v="603000000"/>
    <n v="0"/>
    <n v="88000000"/>
    <n v="0"/>
    <n v="0"/>
    <n v="0"/>
    <n v="0"/>
    <n v="515000000"/>
    <n v="140000000"/>
    <n v="140000000"/>
    <n v="0"/>
    <n v="0"/>
    <n v="0"/>
    <n v="0"/>
    <n v="0"/>
    <n v="0"/>
    <n v="0"/>
    <n v="0"/>
    <n v="0"/>
    <n v="5.2593750000000002E-2"/>
    <n v="51"/>
    <n v="0.31874999999999998"/>
    <n v="0"/>
    <n v="0"/>
    <n v="0"/>
    <n v="0"/>
    <n v="0"/>
    <n v="0"/>
    <n v="0"/>
    <n v="0"/>
    <n v="0"/>
    <n v="5.2593750000000002E-2"/>
    <n v="51"/>
    <n v="0.31874999999999998"/>
    <n v="0"/>
    <n v="51"/>
    <n v="0"/>
    <n v="0"/>
    <n v="0"/>
    <n v="0"/>
    <n v="0"/>
    <n v="718000000"/>
    <n v="202000000"/>
    <n v="0"/>
    <n v="0"/>
    <n v="0"/>
    <n v="0"/>
    <n v="0"/>
    <n v="516000000"/>
    <n v="0"/>
    <n v="0"/>
    <n v="0"/>
    <n v="0"/>
    <n v="0"/>
    <n v="0"/>
    <n v="0"/>
    <n v="0"/>
    <n v="0"/>
    <n v="0"/>
    <n v="0"/>
    <n v="70"/>
    <n v="0.16500000000000001"/>
    <n v="43.75"/>
    <n v="43.75"/>
    <n v="7.2187500000000002E-2"/>
    <n v="7.2187500000000002E-2"/>
    <n v="7.2187500000000002E-2"/>
    <n v="0.99999999999999989"/>
    <n v="0"/>
    <n v="39"/>
    <s v="FOMENTAR HABILIDADES Y DESTREZAS CON ACTIVIDADES LÚDICAS, CULTURALES Y DEPORTIVAS EN EL 35% DE LOS NIÑOS Y NIÑAS DE 6 A 11 AÑOS"/>
    <m/>
    <s v=""/>
    <m/>
    <m/>
    <m/>
    <m/>
    <s v="FORTALECIMIENTO DE ESPACIOS DE PARTICIPACIÓN Y APRENDIZAJE CON DOTACIÓN A 70 LUDOTECAS EN EL MARCO DEL PROGRAMA RED DE LUDOTECAS EN 67 MUNICIPIOS, DE LAS CUALES 19 SE ENCUENTRAN A CARGO DE COLSUBSIDIO EN EL MARCO DEL CONVENIO DE COOPERACIÓN SUSCRITO. ENTRE 2014 Y PRIMER SEMESTRE DE 2015, SE HA BRINDADO ATENCIÓN A MÁS DE 150 MIL NIÑOS Y NIÑAS MENORES ENTRE 6 Y 11 AÑOS."/>
    <n v="66250000"/>
    <m/>
    <n v="100"/>
  </r>
  <r>
    <n v="54"/>
    <x v="0"/>
    <x v="4"/>
    <x v="1"/>
    <s v="DESARROLLO"/>
    <s v="OFRECER FORMACIÓN DEPORTIVA INICIAL A 33.228 NIÑAS Y NIÑOS ENTRE 6 Y 11 AÑOS EN EL CUATRIENIO A TRAVÉS DE ESCUELAS DE FORMACIÓN ESPECIALIZADAS"/>
    <s v="NO. DE INFANTES BENEFICIADOS CON ESCUELAS DE FORMACIÓN DEPORTIVA"/>
    <s v="PERSONAS"/>
    <s v="I"/>
    <n v="29489"/>
    <n v="62717"/>
    <n v="33228"/>
    <n v="0.16500000000000001"/>
    <n v="4.1250000000000002E-2"/>
    <n v="8307"/>
    <n v="0.25"/>
    <n v="9968"/>
    <n v="9968"/>
    <n v="119.99518478391718"/>
    <n v="100"/>
    <n v="4.1250000000000002E-2"/>
    <n v="100"/>
    <n v="522000000"/>
    <n v="522000000"/>
    <n v="0"/>
    <n v="0"/>
    <n v="0"/>
    <n v="0"/>
    <n v="0"/>
    <n v="0"/>
    <n v="337120000"/>
    <n v="337120000"/>
    <n v="0"/>
    <n v="0"/>
    <n v="0"/>
    <n v="0"/>
    <n v="0"/>
    <n v="0"/>
    <n v="0"/>
    <n v="0"/>
    <s v="-"/>
    <n v="4.1250000000000002E-2"/>
    <n v="8307"/>
    <n v="0.25"/>
    <n v="9537"/>
    <n v="9537"/>
    <n v="114.80678945467677"/>
    <n v="100"/>
    <n v="4.1250000000000002E-2"/>
    <n v="100"/>
    <n v="522000000"/>
    <n v="0"/>
    <n v="522000000"/>
    <n v="0"/>
    <n v="0"/>
    <n v="0"/>
    <n v="0"/>
    <n v="0"/>
    <n v="659343287"/>
    <n v="659343287"/>
    <n v="0"/>
    <n v="0"/>
    <n v="0"/>
    <n v="0"/>
    <n v="0"/>
    <n v="0"/>
    <n v="0"/>
    <n v="0"/>
    <n v="0"/>
    <n v="4.1250000000000002E-2"/>
    <n v="8307"/>
    <n v="0.25"/>
    <n v="20106"/>
    <n v="20106"/>
    <n v="20106"/>
    <n v="20106"/>
    <n v="242.03683640303359"/>
    <n v="100"/>
    <n v="4.1250000000000002E-2"/>
    <n v="100"/>
    <n v="9.9840195016251354E-2"/>
    <n v="4.1250000000000002E-2"/>
    <n v="8307"/>
    <n v="0.25"/>
    <n v="23991"/>
    <n v="-15684"/>
    <n v="23991"/>
    <n v="288.80462260743951"/>
    <n v="100"/>
    <n v="4.1250000000000002E-2"/>
    <n v="0.1191319068255688"/>
    <n v="522000000"/>
    <n v="522000000"/>
    <n v="0"/>
    <n v="0"/>
    <n v="0"/>
    <n v="0"/>
    <n v="0"/>
    <n v="0"/>
    <n v="0"/>
    <n v="0"/>
    <n v="0"/>
    <n v="0"/>
    <n v="0"/>
    <n v="0"/>
    <n v="0"/>
    <n v="0"/>
    <n v="0"/>
    <n v="0"/>
    <n v="0"/>
    <n v="63602"/>
    <n v="0.16500000000000001"/>
    <n v="191.41085831226675"/>
    <n v="100"/>
    <n v="0.16500000000000001"/>
    <n v="0.16500000000000001"/>
    <n v="0.16500000000000001"/>
    <n v="1"/>
    <n v="0"/>
    <n v="39"/>
    <s v="FOMENTAR HABILIDADES Y DESTREZAS CON ACTIVIDADES LÚDICAS, CULTURALES Y DEPORTIVAS EN EL 35% DE LOS NIÑOS Y NIÑAS DE 6 A 11 AÑOS"/>
    <m/>
    <s v=""/>
    <m/>
    <m/>
    <m/>
    <m/>
    <s v="SE FORTALECIÓ EL PROGRAMA DE DEPORTE FORMATIVO, BRINDADNDO APOYO FINANCIERO A LAS ESCUELAS DE FORMACIÓN DEPORTIVA A 109 MUNICIPIOS DEL DEPARTAMENTO, CONTRIBUYENDO A LA FORMACIÓN INTEGRAL DE LOS NIÑOS Y NIÑAS, UTILIZANDO COMO MEDIO EL GUSTO Y LA INCLINACIÓN POR LA PRÁCTICA DEPORTIVA, CON EL PROPÓSITO DE ORIENTAR Y PROMOVER FUTUROS CIUDADANOS CON UNA MEJOR CALIDAD DE VIDA Y UN MEJOR PERFIL HACIA EL DEPORTE. ASÍ COMO BRINDAR LA LA ASISTENCIA TÉCNICA A ENTES TERRITORIALES EN LA ELABORACIÓN DE PLANES PEDAGÓGICOS POR DEPORTE Y RAMA Y LA ASESORÍA EN LA DOCUMENTACIÓN, DILIGENCIAMIENTO Y REQUISITOS PARA OBTENER EL AVAL DEPORTIVO PARA DE ESCUELAS DEPORTIVAS MUNICIPALES O ENTES PRIVADOS."/>
    <n v="660000000"/>
    <m/>
    <n v="4"/>
  </r>
  <r>
    <n v="55"/>
    <x v="0"/>
    <x v="4"/>
    <x v="1"/>
    <s v="DESARROLLO"/>
    <s v="GARANTIZAR LA RESERVA DEPORTIVA CON LA IDENTIFICACIÓN Y SELECCIÓN EN EL CUATRIENIO DE 850 NUEVOS TALENTOS PARA DEPORTE CONVENCIONAL Y CON DISCAPACIDAD"/>
    <s v="NO. DE NUEVOS TALENTOS IDENTIFICADOS"/>
    <s v="PERSONAS"/>
    <s v="I"/>
    <n v="0"/>
    <n v="850"/>
    <n v="850"/>
    <n v="0.16500000000000001"/>
    <n v="4.0764705882352946E-2"/>
    <n v="210"/>
    <n v="0.24705882352941178"/>
    <n v="231"/>
    <n v="231"/>
    <n v="110"/>
    <n v="100"/>
    <n v="4.0764705882352946E-2"/>
    <n v="100"/>
    <n v="135000000"/>
    <n v="135000000"/>
    <n v="0"/>
    <n v="0"/>
    <n v="0"/>
    <n v="0"/>
    <n v="0"/>
    <n v="0"/>
    <n v="63000000"/>
    <n v="63000000"/>
    <n v="0"/>
    <n v="0"/>
    <n v="0"/>
    <n v="0"/>
    <n v="0"/>
    <n v="0"/>
    <n v="0"/>
    <n v="0"/>
    <s v="-"/>
    <n v="4.0764705882352946E-2"/>
    <n v="210"/>
    <n v="0.24705882352941178"/>
    <n v="244"/>
    <n v="244"/>
    <n v="116.19047619047619"/>
    <n v="100"/>
    <n v="4.0764705882352946E-2"/>
    <n v="100"/>
    <n v="135000000"/>
    <n v="0"/>
    <n v="135000000"/>
    <n v="0"/>
    <n v="0"/>
    <n v="0"/>
    <n v="0"/>
    <n v="0"/>
    <n v="441513373"/>
    <n v="441513373"/>
    <n v="0"/>
    <n v="0"/>
    <n v="0"/>
    <n v="0"/>
    <n v="0"/>
    <n v="0"/>
    <n v="0"/>
    <n v="0"/>
    <n v="0"/>
    <n v="4.0764705882352946E-2"/>
    <n v="210"/>
    <n v="0.24705882352941178"/>
    <n v="250"/>
    <n v="250"/>
    <n v="250"/>
    <n v="250"/>
    <n v="119.04761904761905"/>
    <n v="100"/>
    <n v="4.0764705882352946E-2"/>
    <n v="100"/>
    <n v="4.852941176470589E-2"/>
    <n v="4.2705882352941184E-2"/>
    <n v="220"/>
    <n v="0.25882352941176473"/>
    <n v="245"/>
    <n v="-25"/>
    <n v="245"/>
    <n v="111.36363636363636"/>
    <n v="100"/>
    <n v="4.2705882352941184E-2"/>
    <n v="4.7558823529411771E-2"/>
    <n v="135000000"/>
    <n v="135000000"/>
    <n v="0"/>
    <n v="0"/>
    <n v="0"/>
    <n v="0"/>
    <n v="0"/>
    <n v="0"/>
    <n v="0"/>
    <n v="0"/>
    <n v="0"/>
    <n v="0"/>
    <n v="0"/>
    <n v="0"/>
    <n v="0"/>
    <n v="0"/>
    <n v="0"/>
    <n v="0"/>
    <n v="0"/>
    <n v="970"/>
    <n v="0.16500000000000001"/>
    <n v="114.11764705882354"/>
    <n v="100"/>
    <n v="0.16500000000000001"/>
    <n v="0.16500000000000001"/>
    <n v="0.16500000000000001"/>
    <n v="1"/>
    <n v="0"/>
    <n v="39"/>
    <s v="FOMENTAR HABILIDADES Y DESTREZAS CON ACTIVIDADES LÚDICAS, CULTURALES Y DEPORTIVAS EN EL 35% DE LOS NIÑOS Y NIÑAS DE 6 A 11 AÑOS"/>
    <m/>
    <s v=""/>
    <m/>
    <m/>
    <m/>
    <m/>
    <s v="SE FORTALECIÓ EL PROGRAMA DE DETECCIÓN DE TALENTOS DEPORTIVOS, BAJO CRITERIOS DE APTITUD FÍSICA ESPECIAL Y SOBRESALIENTE DE LOS DEPORTISTAS, BUSCANDO PROYECTAR DEPORTISTAS DE ALTOS LOGROS DE ACUERDO CON LAS EXIGENCIAS DE CADA DISCIPLINA DEPORTIVA Y LOS POLOS DE DESARROLLO DEPORTIVO EN EL DEPARTAMENTO. LO QUE PERMITIÓ OPTIMIZAR SUS PROCESOS DE PREPARACIÓN, ENTRENAMIENTO Y COMPETENCIA CON MAYORES Y MEJORES RECURSOS."/>
    <n v="132000000"/>
    <m/>
    <n v="948"/>
  </r>
  <r>
    <n v="56"/>
    <x v="0"/>
    <x v="4"/>
    <x v="1"/>
    <s v="DESARROLLO"/>
    <s v="PROMOVER LA PRÁCTICA DEL DEPORTE ESCOLAR EN LAS SEDES DE BÁSICA PRIMARIA DE LOS MUNICIPIOS CON LA PARTICIPACIÓN DE 24.000 NIÑOS Y NIÑAS CADA AÑO EN FESTIVALES ESCOLARES"/>
    <s v="NO. DE NIÑOS PARTICIPANDO EN FESTIVALES ESCOLARES CADA AÑO"/>
    <s v="PERSONAS"/>
    <s v="M"/>
    <n v="0"/>
    <n v="24000"/>
    <n v="24000"/>
    <n v="0.16500000000000001"/>
    <n v="4.1250000000000002E-2"/>
    <n v="24000"/>
    <n v="0.25"/>
    <n v="75330"/>
    <n v="18832.5"/>
    <n v="313.875"/>
    <n v="100"/>
    <n v="4.1250000000000002E-2"/>
    <n v="100"/>
    <n v="650000000"/>
    <n v="650000000"/>
    <n v="0"/>
    <n v="0"/>
    <n v="0"/>
    <n v="0"/>
    <n v="0"/>
    <n v="0"/>
    <n v="984002000"/>
    <n v="984002000"/>
    <n v="0"/>
    <n v="0"/>
    <n v="0"/>
    <n v="0"/>
    <n v="0"/>
    <n v="0"/>
    <n v="0"/>
    <n v="0"/>
    <s v="-"/>
    <n v="4.1250000000000002E-2"/>
    <n v="24000"/>
    <n v="0.25"/>
    <n v="24554"/>
    <n v="6138.5"/>
    <n v="102.30833333333334"/>
    <n v="100"/>
    <n v="4.1250000000000002E-2"/>
    <n v="100"/>
    <n v="650000000"/>
    <n v="0"/>
    <n v="650000000"/>
    <n v="0"/>
    <n v="0"/>
    <n v="0"/>
    <n v="0"/>
    <n v="0"/>
    <n v="834485654"/>
    <n v="515949134"/>
    <n v="0"/>
    <n v="318536520"/>
    <n v="0"/>
    <n v="0"/>
    <n v="0"/>
    <n v="0"/>
    <n v="0"/>
    <n v="0"/>
    <n v="0"/>
    <n v="4.1250000000000002E-2"/>
    <n v="24000"/>
    <n v="0.25"/>
    <n v="0"/>
    <n v="0"/>
    <n v="24265"/>
    <n v="6066.25"/>
    <n v="101.10416666666667"/>
    <n v="100"/>
    <n v="4.1250000000000002E-2"/>
    <n v="100"/>
    <n v="4.1705468750000002E-2"/>
    <n v="4.1250000000000002E-2"/>
    <n v="23080"/>
    <n v="0.25"/>
    <n v="25415"/>
    <n v="-2335"/>
    <n v="6353.75"/>
    <n v="110.11698440207972"/>
    <n v="100"/>
    <n v="4.1250000000000002E-2"/>
    <n v="4.5423256065857884E-2"/>
    <n v="650000000"/>
    <n v="650000000"/>
    <n v="0"/>
    <n v="0"/>
    <n v="0"/>
    <n v="0"/>
    <n v="0"/>
    <n v="0"/>
    <n v="0"/>
    <n v="0"/>
    <n v="0"/>
    <n v="0"/>
    <n v="0"/>
    <n v="0"/>
    <n v="0"/>
    <n v="0"/>
    <n v="0"/>
    <n v="0"/>
    <n v="0"/>
    <n v="37391"/>
    <n v="0.16500000000000001"/>
    <n v="155.79583333333332"/>
    <n v="100"/>
    <n v="0.16500000000000001"/>
    <n v="0.16500000000000001"/>
    <n v="0.16500000000000001"/>
    <n v="1"/>
    <n v="0"/>
    <n v="39"/>
    <s v="FOMENTAR HABILIDADES Y DESTREZAS CON ACTIVIDADES LÚDICAS, CULTURALES Y DEPORTIVAS EN EL 35% DE LOS NIÑOS Y NIÑAS DE 6 A 11 AÑOS"/>
    <m/>
    <s v=""/>
    <m/>
    <m/>
    <m/>
    <m/>
    <s v="SE REANUDARON LOS FESTIVALES ESCOLARES EN EL DEPARTAMENTO, LOGRANDO LA INTEGRACIÓN DE LOS 116 MUNICIPIOS DEL DEPARTAMENTO Y LA PARTICIPACIÓN DE 25.000 NIÑOS Y NIÑAS ESCOLARES EN EL DEPARTAMENTO. "/>
    <n v="30000000"/>
    <m/>
    <n v="1000"/>
  </r>
  <r>
    <n v="57"/>
    <x v="0"/>
    <x v="4"/>
    <x v="1"/>
    <s v="DESARROLLO"/>
    <s v="PROMOVER LA ACTIVIDAD FÍSICA EN LOS ESTABLECIMIENTOS EDUCATIVOS A 12,180 NIÑOS Y NIÑAS CON EL PROGRAMA &quot;SUPERATE&quot;"/>
    <s v="NO. DE NIÑOS Y NIÑAS UE PARTICIPAN EN EL PROGRAMA &quot;SUPERATE&quot; EN EL CUATRIENIO"/>
    <s v="PERSONAS"/>
    <s v="I"/>
    <n v="0"/>
    <n v="12180"/>
    <n v="12180"/>
    <n v="0.16500000000000001"/>
    <n v="4.1250000000000002E-2"/>
    <n v="3045"/>
    <n v="0.25"/>
    <n v="4586"/>
    <n v="4586"/>
    <n v="150.60755336617405"/>
    <n v="100"/>
    <n v="4.1250000000000002E-2"/>
    <n v="100"/>
    <n v="320000000"/>
    <n v="0"/>
    <n v="0"/>
    <n v="0"/>
    <n v="0"/>
    <n v="0"/>
    <n v="0"/>
    <n v="320000000"/>
    <n v="357000000"/>
    <n v="39000000"/>
    <n v="0"/>
    <n v="318000000"/>
    <n v="0"/>
    <n v="0"/>
    <n v="0"/>
    <n v="0"/>
    <n v="0"/>
    <n v="0"/>
    <s v="-"/>
    <n v="4.1250000000000002E-2"/>
    <n v="3045"/>
    <n v="0.25"/>
    <n v="3051"/>
    <n v="3051"/>
    <n v="100.19704433497537"/>
    <n v="100"/>
    <n v="4.1250000000000002E-2"/>
    <n v="100"/>
    <n v="608000000"/>
    <n v="0"/>
    <n v="0"/>
    <n v="0"/>
    <n v="0"/>
    <n v="0"/>
    <n v="0"/>
    <n v="608000000"/>
    <n v="288937356"/>
    <n v="152421704"/>
    <n v="0"/>
    <n v="136515652"/>
    <n v="0"/>
    <n v="0"/>
    <n v="0"/>
    <n v="0"/>
    <n v="0"/>
    <n v="0"/>
    <n v="0"/>
    <n v="4.584236453201971E-2"/>
    <n v="3384"/>
    <n v="0.27783251231527095"/>
    <n v="0"/>
    <n v="0"/>
    <n v="3055"/>
    <n v="3055"/>
    <n v="90.277777777777771"/>
    <n v="90.277777777777771"/>
    <n v="4.1385467980295569E-2"/>
    <n v="90.277777777777771"/>
    <n v="4.1385467980295569E-2"/>
    <n v="3.6657635467980301E-2"/>
    <n v="2706"/>
    <n v="0.22216748768472908"/>
    <n v="3055"/>
    <n v="-349"/>
    <n v="3055"/>
    <n v="112.89726533628972"/>
    <n v="100"/>
    <n v="3.6657635467980301E-2"/>
    <n v="4.1385467980295569E-2"/>
    <n v="670000000"/>
    <n v="0"/>
    <n v="0"/>
    <n v="0"/>
    <n v="0"/>
    <n v="0"/>
    <n v="0"/>
    <n v="670000000"/>
    <n v="0"/>
    <n v="0"/>
    <n v="0"/>
    <n v="0"/>
    <n v="0"/>
    <n v="0"/>
    <n v="0"/>
    <n v="0"/>
    <n v="0"/>
    <n v="0"/>
    <n v="0"/>
    <n v="13747"/>
    <n v="0.16500000000000004"/>
    <n v="112.86535303776684"/>
    <n v="100"/>
    <n v="0.16500000000000001"/>
    <n v="0.16500000000000001"/>
    <n v="0.16500000000000001"/>
    <n v="1"/>
    <n v="0"/>
    <n v="39"/>
    <s v="FOMENTAR HABILIDADES Y DESTREZAS CON ACTIVIDADES LÚDICAS, CULTURALES Y DEPORTIVAS EN EL 35% DE LOS NIÑOS Y NIÑAS DE 6 A 11 AÑOS"/>
    <m/>
    <s v=""/>
    <m/>
    <m/>
    <m/>
    <m/>
    <s v="PROGRAMA LIDERADO DESDE EL ORDEN NACIONAL, QUE UNIFICA EL DEPORTE EDUCATIVO EN EL PAÍS. SE IMPLEMENTÓ Y DESARROLLO EN LOS 116 MUNICIPIOS, CUMPLIENDO CON EL INDICADOR DEFINIDO PARA EL CUATRIENIO."/>
    <n v="183000000"/>
    <m/>
    <n v="58"/>
  </r>
  <r>
    <n v="58"/>
    <x v="0"/>
    <x v="5"/>
    <x v="1"/>
    <s v="DESARROLLO"/>
    <s v="APOYAR EL DESARROLLO INTEGRAL DE NIÑAS Y NIÑOS DE 6 A 11 AÑOS A TRAVÉS DE PROCESOS DE FORMACIÓN ARTÍSTICA Y CULTURAL EN 35 MUNICIPIOS ANUALMENTE CON INTERVENCIÓN ARTICULADA CON LA JORNADA COMPLEMENTARIA"/>
    <s v="NO. DE MUNICIPIOS APOYADOS ANUALMENTE CON PROCESOS DE FORMACIÓN ARTÍSTICA Y CULTURAL CON NIÑOS Y NIÑAS DE 6 A 11 AÑOS"/>
    <s v="MUNICIPIOS"/>
    <s v="M"/>
    <n v="35"/>
    <n v="35"/>
    <n v="35"/>
    <n v="0.16500000000000001"/>
    <n v="4.1250000000000002E-2"/>
    <n v="35"/>
    <n v="0.25"/>
    <n v="78"/>
    <n v="19.5"/>
    <n v="222.85714285714286"/>
    <n v="100"/>
    <n v="4.1250000000000002E-2"/>
    <n v="100"/>
    <n v="975000000"/>
    <n v="350000000"/>
    <n v="0"/>
    <n v="0"/>
    <n v="0"/>
    <n v="0"/>
    <n v="0"/>
    <n v="625000000"/>
    <n v="272032000"/>
    <n v="272032000"/>
    <n v="0"/>
    <n v="0"/>
    <n v="0"/>
    <n v="0"/>
    <n v="0"/>
    <n v="0"/>
    <n v="0"/>
    <n v="91335000"/>
    <s v="MUNICIPIOS"/>
    <n v="4.1250000000000002E-2"/>
    <n v="35"/>
    <n v="0.25"/>
    <n v="88"/>
    <n v="22"/>
    <n v="251.42857142857142"/>
    <n v="100"/>
    <n v="4.1250000000000002E-2"/>
    <n v="100"/>
    <n v="975000000"/>
    <n v="0"/>
    <n v="350000000"/>
    <n v="0"/>
    <n v="0"/>
    <n v="0"/>
    <n v="0"/>
    <n v="625000000"/>
    <n v="458433333"/>
    <n v="458433333"/>
    <n v="0"/>
    <n v="0"/>
    <n v="0"/>
    <n v="0"/>
    <n v="0"/>
    <n v="0"/>
    <n v="0"/>
    <n v="0"/>
    <n v="0"/>
    <n v="4.1250000000000002E-2"/>
    <n v="35"/>
    <n v="0.25"/>
    <n v="46"/>
    <n v="46"/>
    <n v="47"/>
    <n v="11.75"/>
    <n v="134.28571428571428"/>
    <n v="100"/>
    <n v="4.1250000000000002E-2"/>
    <n v="100"/>
    <n v="5.5392857142857146E-2"/>
    <n v="4.1250000000000002E-2"/>
    <n v="35"/>
    <n v="0.25"/>
    <n v="40"/>
    <n v="-5"/>
    <n v="10"/>
    <n v="114.28571428571429"/>
    <n v="100"/>
    <n v="4.1250000000000002E-2"/>
    <n v="4.7142857142857146E-2"/>
    <n v="975000000"/>
    <n v="350000000"/>
    <n v="0"/>
    <n v="0"/>
    <n v="0"/>
    <n v="0"/>
    <n v="0"/>
    <n v="625000000"/>
    <n v="0"/>
    <n v="0"/>
    <n v="0"/>
    <n v="0"/>
    <n v="0"/>
    <n v="0"/>
    <n v="0"/>
    <n v="0"/>
    <n v="0"/>
    <n v="0"/>
    <n v="0"/>
    <n v="63.25"/>
    <n v="0.16500000000000001"/>
    <n v="180.71428571428572"/>
    <n v="100"/>
    <n v="0.16500000000000001"/>
    <n v="0.16500000000000001"/>
    <n v="0.16500000000000001"/>
    <n v="1"/>
    <n v="0"/>
    <n v="39"/>
    <s v="FOMENTAR HABILIDADES Y DESTREZAS CON ACTIVIDADES LÚDICAS, CULTURALES Y DEPORTIVAS EN EL 35% DE LOS NIÑOS Y NIÑAS DE 6 A 11 AÑOS"/>
    <m/>
    <s v=""/>
    <m/>
    <m/>
    <m/>
    <m/>
    <s v="EL IDECUT HA LOGRADO MANTENER EL APOYO CON EL 50% Y 100% DE LOS HONORARIOS DE DOS FORMADORES A 88 MUNICIPIOS DEL DEPARTAMENTO CON LOS PROCESOS DE FORMACIÓN ARTÍSTICA Y CULTURAL EN 2 DISCIPLINAS CADA UNO DENTRO DE LAS QUE SE ENCUENTRAN DANZAS, TEATRO, ARTES PLÁTICAS, MÚSICA, LITERATURA Y CINEMATOGRAFÍA, TRADUCIDOS EN 176 PROCESOS. A TRAVÉS DE ESTO, SE PROMUEVE EL APROVECHAMIENTO DEL TIEMPO LIBRE Y EL DESARROLLO DE DESTREZAS Y HABILIDADES ARTÍSTICAS DE ESTE GRUPO POBLACIONAL._x000a_"/>
    <n v="0"/>
    <m/>
    <n v="44"/>
  </r>
  <r>
    <n v="59"/>
    <x v="0"/>
    <x v="5"/>
    <x v="1"/>
    <s v="DESARROLLO"/>
    <s v="APOYAR EL PROCESO FORMATIVO DE HABILIDADES LECTORAS DE LOS NIÑOS Y NIÑAS DE 6 A 11 AÑOS CON EL FORTALECIMIENTO DE 92 BIBLIOTECAS PÚBLICAS MUNICIPALES EN EL CUATRIENIO"/>
    <s v="NO. DE BIBLIOTECAS PÚBLICAS MUNICIPALES FORTALECIDAS QUE PROMUEVAN HABILIDADES LECTORAS DE NIÑOS Y NIÑAS DE 6 A 11 AÑOS"/>
    <s v="BIBLIOTECAS"/>
    <s v="I"/>
    <n v="92"/>
    <n v="184"/>
    <n v="92"/>
    <n v="0.16500000000000001"/>
    <n v="4.1250000000000002E-2"/>
    <n v="23"/>
    <n v="0.25"/>
    <n v="47"/>
    <n v="47"/>
    <n v="204.34782608695653"/>
    <n v="100"/>
    <n v="4.1250000000000002E-2"/>
    <n v="100"/>
    <n v="435000000"/>
    <n v="115000000"/>
    <n v="0"/>
    <n v="0"/>
    <n v="0"/>
    <n v="0"/>
    <n v="0"/>
    <n v="320000000"/>
    <n v="0"/>
    <n v="0"/>
    <n v="0"/>
    <n v="0"/>
    <n v="0"/>
    <n v="0"/>
    <n v="0"/>
    <n v="0"/>
    <n v="0"/>
    <n v="18182000"/>
    <s v="MINISTERIO DE CULTURA"/>
    <n v="4.1250000000000002E-2"/>
    <n v="23"/>
    <n v="0.25"/>
    <n v="74"/>
    <n v="74"/>
    <n v="321.73913043478262"/>
    <n v="100"/>
    <n v="4.1250000000000002E-2"/>
    <n v="100"/>
    <n v="435000000"/>
    <n v="0"/>
    <n v="115000000"/>
    <n v="0"/>
    <n v="0"/>
    <n v="0"/>
    <n v="0"/>
    <n v="320000000"/>
    <n v="119737498"/>
    <n v="119737498"/>
    <n v="0"/>
    <n v="0"/>
    <n v="0"/>
    <n v="0"/>
    <n v="0"/>
    <n v="0"/>
    <n v="0"/>
    <n v="0"/>
    <n v="0"/>
    <n v="4.1250000000000002E-2"/>
    <n v="23"/>
    <n v="0.25"/>
    <n v="100"/>
    <n v="100"/>
    <n v="120"/>
    <n v="120"/>
    <n v="521.73913043478262"/>
    <n v="100"/>
    <n v="4.1250000000000002E-2"/>
    <n v="100"/>
    <n v="0.21521739130434786"/>
    <n v="4.1250000000000002E-2"/>
    <n v="23"/>
    <n v="0.25"/>
    <n v="143"/>
    <n v="-120"/>
    <n v="143"/>
    <n v="621.73913043478262"/>
    <n v="100"/>
    <n v="4.1250000000000002E-2"/>
    <n v="0.25646739130434787"/>
    <n v="435000000"/>
    <n v="115000000"/>
    <n v="0"/>
    <n v="0"/>
    <n v="0"/>
    <n v="0"/>
    <n v="0"/>
    <n v="320000000"/>
    <n v="0"/>
    <n v="0"/>
    <n v="0"/>
    <n v="0"/>
    <n v="0"/>
    <n v="0"/>
    <n v="0"/>
    <n v="0"/>
    <n v="0"/>
    <n v="0"/>
    <n v="0"/>
    <n v="384"/>
    <n v="0.16500000000000001"/>
    <n v="417.39130434782606"/>
    <n v="100"/>
    <n v="0.16500000000000001"/>
    <n v="0.16500000000000001"/>
    <n v="0.16500000000000001"/>
    <n v="1"/>
    <n v="0"/>
    <n v="39"/>
    <s v="FOMENTAR HABILIDADES Y DESTREZAS CON ACTIVIDADES LÚDICAS, CULTURALES Y DEPORTIVAS EN EL 35% DE LOS NIÑOS Y NIÑAS DE 6 A 11 AÑOS"/>
    <m/>
    <s v=""/>
    <m/>
    <m/>
    <m/>
    <m/>
    <s v="A TRAVÉS DE GESTIÓN POR PARTE DEL IDECUT CON EL MINISTERIO DE CULTURA Y CON FINANCIACIÓN DE RECURSOS DEL INSTITUTO SE HA LOGRADO LLEGAR AL 100% DE LAS BIBLIOTECAS PÚBLICAS MUNICIPALES, CON DOTACIÓN DE MATERIAL BIBLIOGRAFICO, SE HAN BENFICIADO CON DOTACIÓN DE CONECTIVIDAD 38 BIBLIOTECAS PÚBLICAS DE 38 MUNICIPIOS, 140 BIBLIOTECAS CON DOTACIÓN DE UN KIT CONFORMADO POR UN VIDEO PROYECTOR, UN TELÓN DE TRIPODE Y UNA IMPRESORA PARA LA ELABORACIÓN DE LOS CARNETS DE LOS USUARIOS, IMPLEMENTACIÓN DEL SISTEMA LLAVE DEL SABER PARA 111 MUNICIPIOS. ADICIONALMENTE, DURANTE EL 2015 SE HA PUESTO EN MARCHA LA ESTRATEGIA DE PROMOTORES REGIONALES CUYA MISIÓN HA SIDO ACOMPAÑAR Y BRINDAR ASISTENCIA TÉCNICA INSITU INSCRITOS A LA RED DE BIBLIOTECAS PÚBLICAS."/>
    <n v="35000000"/>
    <m/>
    <n v="116"/>
  </r>
  <r>
    <n v="60"/>
    <x v="0"/>
    <x v="3"/>
    <x v="1"/>
    <s v="DESARROLLO"/>
    <s v="GARANTIZAR MEJORES AMBIENTES EN EL 100% DE LAS INSTITUCIONES EDUCATIVAS DE LOS MUNICIPIOS NO CERTIFICADOS A TRAVÉS DE LA PRESTACIÓN DEL SERVICIO DE ASEO"/>
    <s v="% DE IE CON PAGO DE SERVICIO DE ASEO"/>
    <s v="% DE INSTITUCIONES"/>
    <s v="M"/>
    <n v="100"/>
    <n v="100"/>
    <n v="100"/>
    <n v="8.8999999999999996E-2"/>
    <n v="2.2249999999999999E-2"/>
    <n v="100"/>
    <n v="0.25"/>
    <n v="86"/>
    <n v="21.5"/>
    <n v="86"/>
    <n v="86"/>
    <n v="1.9134999999999999E-2"/>
    <n v="86"/>
    <n v="3572000000"/>
    <n v="0"/>
    <n v="3572000000"/>
    <n v="0"/>
    <n v="0"/>
    <n v="0"/>
    <n v="0"/>
    <n v="0"/>
    <n v="199808000"/>
    <n v="0"/>
    <n v="199808000"/>
    <n v="0"/>
    <n v="0"/>
    <n v="0"/>
    <n v="0"/>
    <n v="0"/>
    <n v="0"/>
    <n v="0"/>
    <s v="-"/>
    <n v="2.2249999999999999E-2"/>
    <n v="100"/>
    <n v="0.25"/>
    <n v="100"/>
    <n v="25"/>
    <n v="100"/>
    <n v="100"/>
    <n v="2.2250000000000002E-2"/>
    <n v="100"/>
    <n v="3572000000"/>
    <n v="3572000000"/>
    <n v="0"/>
    <n v="0"/>
    <n v="0"/>
    <n v="0"/>
    <n v="0"/>
    <n v="0"/>
    <n v="4430423090"/>
    <n v="0"/>
    <n v="4430423090"/>
    <n v="0"/>
    <n v="0"/>
    <n v="0"/>
    <n v="0"/>
    <n v="0"/>
    <n v="0"/>
    <n v="0"/>
    <n v="0"/>
    <n v="2.2249999999999999E-2"/>
    <n v="100"/>
    <n v="0.25"/>
    <n v="100"/>
    <n v="100"/>
    <n v="100"/>
    <n v="25"/>
    <n v="100"/>
    <n v="100"/>
    <n v="2.2250000000000002E-2"/>
    <n v="100"/>
    <n v="2.2250000000000002E-2"/>
    <n v="2.2249999999999999E-2"/>
    <n v="100"/>
    <n v="0.25"/>
    <n v="100"/>
    <n v="0"/>
    <n v="25"/>
    <n v="100"/>
    <n v="100"/>
    <n v="2.2250000000000002E-2"/>
    <n v="2.2250000000000002E-2"/>
    <n v="3948000000"/>
    <n v="0"/>
    <n v="3948000000"/>
    <n v="0"/>
    <n v="0"/>
    <n v="0"/>
    <n v="0"/>
    <n v="0"/>
    <n v="0"/>
    <n v="0"/>
    <n v="0"/>
    <n v="0"/>
    <n v="0"/>
    <n v="0"/>
    <n v="0"/>
    <n v="0"/>
    <n v="0"/>
    <n v="0"/>
    <n v="0"/>
    <n v="96.5"/>
    <n v="8.8999999999999996E-2"/>
    <n v="96.5"/>
    <n v="96.5"/>
    <n v="8.5885000000000003E-2"/>
    <n v="8.5885000000000003E-2"/>
    <n v="8.5885000000000003E-2"/>
    <n v="1"/>
    <n v="0"/>
    <n v="77"/>
    <s v="MEJORAR EN EL CUATRIENIO LOS PROCESOS EDUCATIVOS, FORMATIVOS, PEDAGÓGICOS E INSTITUCIONALES DEL 100% DE LAS INSTITUCIONES EDUCATIVAS DE LOS MUNICIPIOS NO CERTIFICADOS"/>
    <m/>
    <s v=""/>
    <m/>
    <m/>
    <m/>
    <m/>
    <s v="2013_x000a_1- SE GIRÓ RECURSOS PARA APOYAR EL PAGO DEL SERVICIO DE ASEO POR VALOR DE $2,080,423,090 PARA LAS 281 IED DE LOS 109 MUNICIPIOS NO CERTIFICADOS DEL DEPARTAMENTO._x000a_2- SE REALIZÓ CONVENIO DE COOPERACIÓN N° 179 DE 18-9-2013 ENTRE EL DPTO CUNDINAMARCA SEC Y LA EMPRESA INMOBILIARIA CUNDINAMARQUESA POR VALOR DE $1,250'000,000 PARA LA PRESTACIÓN DEL SERVICIO DE ASEO A LAS IED._x000a__x000a_2014_x000a_1- SE GIRÓ RECURSOS POR VALOR TOTAL DE $1.100.000.000 PARA LA ADQUISICIÓN DE IMPLEMENTOS DE ASEO A LAS 282 IED DE LOS 109 MUNICIPIOS NO CERTIFICADOS DEL DEPARTAMENTO. _x000a_2- SE CELEBRÓ CONTRATO N° 050 DE 17 DE ABRIL DE 2014, PARA LA PRESTACIÓN DEL SERVICIO DE ASEO EN LAS IED DE LOS MUNICIPIOS NO CERTIFICADOS DEL DEPARTAMENTO, PLAZO DE EJECUCIÓN 7 MESES, ESTO ES DESDE EL 21 DE ABRIL HASTA EL 6 DE DICIEMBRE DE 2014, EL CONTRATO BENEFICIÓ A LAS 282 IED, CON 406 PUNTOS DE ASEO TIEMPO COMPLETO Y 142 PUNTOS DE ASEO MEDIO TIEMPO, EL VALOR TOTAL DEL CONTRATO FUE POR $4.370.297.440, BRINDANDO ASÍ A 257.075 ESTUDIANTES MEJORES AMBIENTES PARA EL PLENO DESARROLLO DE SUS LABORES Y APRENDIZAJE._x000a__x000a_2015_x000a_SE SUSCRIBIÓ CONTRATO N°. 025 DE 05 DE MARZO DE 2015 PARA LA PRESTACIÓN DEL SERVICIO DE ASEO, QUE BENEFICIA A 243,322 ESTUDIANTES DE 274 INSTITUCIONES EDUCATIVAS DE 108 MUNICIPIOS NO CERTIFICADOS DEL DEPARTAMENTO, EQUIVALENTE A 452 PUNTOS Y 164 MEDIOS PUNTOS QUE PRESTAN EL SERVICIO DE ASEO. EL VALOR DEL CONTRATO ASCIENDE A $6,597,784,376, INICIÓ SU EJECUCIÓN EN EL MES DE MARZO DE 2015 Y FINALIZA EN EL MES DE DICIEMBRE DE 2015."/>
    <n v="0"/>
    <m/>
    <n v="0"/>
  </r>
  <r>
    <n v="61"/>
    <x v="0"/>
    <x v="3"/>
    <x v="1"/>
    <s v="DESARROLLO"/>
    <s v="GARANTIZAR MEJORES AMBIENTES EN EL 100% DE LAS INSTITUCIONES EDUCATIVAS DE LOS MUNICIPIOS NO CERTIFICADOS A TRAVÉS DE LA PRESTACIÓN DE LOS SERVICIOS PÚBLICOS DE ENERGÍA Y ACUEDUCTO"/>
    <s v="% DE IE CON PAGO DE SERVICIOS PÚBLICOS"/>
    <s v="% DE INSTITUCIONES"/>
    <s v="M"/>
    <n v="100"/>
    <n v="100"/>
    <n v="100"/>
    <n v="8.8999999999999996E-2"/>
    <n v="2.2249999999999999E-2"/>
    <n v="100"/>
    <n v="0.25"/>
    <n v="80"/>
    <n v="20"/>
    <n v="80"/>
    <n v="80"/>
    <n v="1.7799999999999996E-2"/>
    <n v="80"/>
    <n v="1672000000"/>
    <n v="0"/>
    <n v="1672000000"/>
    <n v="0"/>
    <n v="0"/>
    <n v="0"/>
    <n v="0"/>
    <n v="0"/>
    <n v="473261000"/>
    <n v="98903000"/>
    <n v="374358000"/>
    <n v="0"/>
    <n v="0"/>
    <n v="0"/>
    <n v="0"/>
    <n v="0"/>
    <n v="0"/>
    <n v="0"/>
    <s v="-"/>
    <n v="2.2249999999999999E-2"/>
    <n v="100"/>
    <n v="0.25"/>
    <n v="100"/>
    <n v="25"/>
    <n v="100"/>
    <n v="100"/>
    <n v="2.2250000000000002E-2"/>
    <n v="100"/>
    <n v="1672000000"/>
    <n v="1672000000"/>
    <n v="0"/>
    <n v="0"/>
    <n v="0"/>
    <n v="0"/>
    <n v="0"/>
    <n v="0"/>
    <n v="2821146760"/>
    <n v="0"/>
    <n v="2821146760"/>
    <n v="0"/>
    <n v="0"/>
    <n v="0"/>
    <n v="0"/>
    <n v="0"/>
    <n v="0"/>
    <n v="0"/>
    <n v="0"/>
    <n v="2.2249999999999999E-2"/>
    <n v="100"/>
    <n v="0.25"/>
    <n v="100"/>
    <n v="100"/>
    <n v="100"/>
    <n v="25"/>
    <n v="100"/>
    <n v="100"/>
    <n v="2.2250000000000002E-2"/>
    <n v="100"/>
    <n v="2.2250000000000002E-2"/>
    <n v="2.2249999999999999E-2"/>
    <n v="100"/>
    <n v="0.25"/>
    <n v="100"/>
    <n v="0"/>
    <n v="25"/>
    <n v="100"/>
    <n v="100"/>
    <n v="2.2250000000000002E-2"/>
    <n v="2.2250000000000002E-2"/>
    <n v="1848000000"/>
    <n v="0"/>
    <n v="1848000000"/>
    <n v="0"/>
    <n v="0"/>
    <n v="0"/>
    <n v="0"/>
    <n v="0"/>
    <n v="0"/>
    <n v="0"/>
    <n v="0"/>
    <n v="0"/>
    <n v="0"/>
    <n v="0"/>
    <n v="0"/>
    <n v="0"/>
    <n v="0"/>
    <n v="0"/>
    <n v="0"/>
    <n v="95"/>
    <n v="8.8999999999999996E-2"/>
    <n v="95"/>
    <n v="95"/>
    <n v="8.455E-2"/>
    <n v="8.455E-2"/>
    <n v="8.455E-2"/>
    <n v="1"/>
    <n v="0"/>
    <n v="77"/>
    <s v="MEJORAR EN EL CUATRIENIO LOS PROCESOS EDUCATIVOS, FORMATIVOS, PEDAGÓGICOS E INSTITUCIONALES DEL 100% DE LAS INSTITUCIONES EDUCATIVAS DE LOS MUNICIPIOS NO CERTIFICADOS"/>
    <m/>
    <s v=""/>
    <m/>
    <m/>
    <m/>
    <m/>
    <s v="2012_x000a_SE GIRÓ LA SUMA DE $1,221,495,107 A 223 IED PARA APOYAR EL PAGO DEL SERVICIO DE ENERGÍA; SE GIRÓ EL VALOR DE $565,651,908 PARA APOYAR EL PAGO DE SERVICIO DE ACUEDUCTO EN 140 IED. _x000a__x000a_2013_x000a_SE GIRÓ LA SUMA DE $700,316,491 A LAS IED PARA LA FINANCIACIÓN DEL SERVICIO DE ACUEDUCTO Y ALCANTARILLADO Y LA SUMA DE $1,450,300,000 PARA APOYAR EL PAGO DE ENERGÍA A LAS IED QUE SOLICITARON LOS RECURSOS DE ACUERDO A LA CIRCULAR 192 DE 2012._x000a__x000a_2014_x000a_SE REALIZÓ EL GIRO DE RECURSOS A 138 IED POR VALOR TOTAL DE $553,196,806 PARA EL PAGO DE AGUA Y ALCANTARILLADO DE ACUERDO CON LAS SOLICITUDES DE LAS IED, BENEFICIANDO A 32,370 ESTUDIANTES DEL DEPARTAMETO Y EL GIRO DE RECURSOS A 215 IED POR VALOR TOTAL DE $1,362,255,578 PARA EL PAGO DE ENERGÍA, BENEFICIANDO A 56.851 ESTUDIANTES, LO ANTERIOR TENIENDO EN CUENTA QUE SE LE ASIGNÓ RECURSOS A LAS IED QUE SOLICITARON DE ACUERDO CON LA CIRCULAR Y A LAS QUE NO SE LES GIRÓ ES PORQUE LAS IED TIENEN YA FINANCIADO ESTE GASTO._x000a__x000a_2015_x000a_MEDIANTE RESOLUCIÓN N°. 004317 DE 10 DE ABRIL DE 2015, SE GIRÓ LA SUMA DE $1,688,250,880 A 225 IED PARA APOYAR EL PAGO DEL SERVICIO DE ENERGÍA, BENEFICIANDO A 197,441 ESTUDIANTES DE 96 MUNICIPIOS NO CERTIFICADOS DEL DEPARTAMENTO. ASÍ MISMO, SE GIRÓ LA SUMA DE $671,566,227 A 153 IED PARA APOYAR EL PAGO DEL SERVICIO DE ACUEDUCTO Y ALCANTARILLADO, BENEFICIANDO A 162,076 ESTUDIANTES DE 84 MUNICIPIOS NO CERTIFICADOS DEL DEPARTAMENTO."/>
    <n v="0"/>
    <m/>
    <n v="1"/>
  </r>
  <r>
    <n v="62"/>
    <x v="0"/>
    <x v="3"/>
    <x v="1"/>
    <s v="DESARROLLO"/>
    <s v="APOYAR ANUALMENTE EL SERVICIO DE VIGILANCIA EN CUALQUIERA DE SUS MODALIDADES EN EL 52% DE LAS INSTITUCIONES EDUCATIVAS DE LOS MUNICIPIOS NO CERTIFICADOS"/>
    <s v="% DE IE CON PAGO DE SERVICIO DE VIGILANCIA ANUALMENTE"/>
    <s v="% DE INSTITUCIONES"/>
    <s v="M"/>
    <n v="52"/>
    <n v="52"/>
    <n v="52"/>
    <n v="8.8999999999999996E-2"/>
    <n v="2.2249999999999999E-2"/>
    <n v="52"/>
    <n v="0.25"/>
    <n v="0"/>
    <n v="0"/>
    <n v="0"/>
    <n v="0"/>
    <n v="0"/>
    <n v="0"/>
    <n v="3600000000"/>
    <n v="3600000000"/>
    <n v="0"/>
    <n v="0"/>
    <n v="0"/>
    <n v="0"/>
    <n v="0"/>
    <n v="0"/>
    <n v="0"/>
    <n v="0"/>
    <n v="0"/>
    <n v="0"/>
    <n v="0"/>
    <n v="0"/>
    <n v="0"/>
    <n v="0"/>
    <n v="0"/>
    <n v="0"/>
    <s v="-"/>
    <n v="2.2249999999999999E-2"/>
    <n v="52"/>
    <n v="0.25"/>
    <n v="100"/>
    <n v="25"/>
    <n v="192.30769230769232"/>
    <n v="100"/>
    <n v="2.2250000000000002E-2"/>
    <n v="100"/>
    <n v="2600000000"/>
    <n v="0"/>
    <n v="2600000000"/>
    <n v="0"/>
    <n v="0"/>
    <n v="0"/>
    <n v="0"/>
    <n v="0"/>
    <n v="3311742063"/>
    <n v="2803802024"/>
    <n v="507940039"/>
    <n v="0"/>
    <n v="0"/>
    <n v="0"/>
    <n v="0"/>
    <n v="0"/>
    <n v="0"/>
    <n v="290500000"/>
    <s v="OEI"/>
    <n v="2.2249999999999999E-2"/>
    <n v="52"/>
    <n v="0.25"/>
    <n v="100"/>
    <n v="100"/>
    <n v="100"/>
    <n v="25"/>
    <n v="192.30769230769232"/>
    <n v="100"/>
    <n v="2.2250000000000002E-2"/>
    <n v="100"/>
    <n v="4.2788461538461539E-2"/>
    <n v="2.2249999999999999E-2"/>
    <n v="52"/>
    <n v="0.25"/>
    <n v="52"/>
    <n v="0"/>
    <n v="13"/>
    <n v="100"/>
    <n v="100"/>
    <n v="2.2250000000000002E-2"/>
    <n v="2.2250000000000002E-2"/>
    <n v="6000000000"/>
    <n v="6000000000"/>
    <n v="0"/>
    <n v="0"/>
    <n v="0"/>
    <n v="0"/>
    <n v="0"/>
    <n v="0"/>
    <n v="0"/>
    <n v="0"/>
    <n v="0"/>
    <n v="0"/>
    <n v="0"/>
    <n v="0"/>
    <n v="0"/>
    <n v="0"/>
    <n v="0"/>
    <n v="0"/>
    <n v="0"/>
    <n v="63"/>
    <n v="8.8999999999999996E-2"/>
    <n v="121.15384615384616"/>
    <n v="100"/>
    <n v="8.900000000000001E-2"/>
    <n v="8.900000000000001E-2"/>
    <n v="8.900000000000001E-2"/>
    <n v="1"/>
    <n v="0"/>
    <n v="77"/>
    <s v="MEJORAR EN EL CUATRIENIO LOS PROCESOS EDUCATIVOS, FORMATIVOS, PEDAGÓGICOS E INSTITUCIONALES DEL 100% DE LAS INSTITUCIONES EDUCATIVAS DE LOS MUNICIPIOS NO CERTIFICADOS"/>
    <m/>
    <s v=""/>
    <m/>
    <m/>
    <m/>
    <m/>
    <s v="2013_x000a_1- SE SUSCRIBIÓ CONTRATO N°. 213 DE NOVIEMBRE DE 2013 POR VALOR DE $3.706.107.521 PARA LA PRESTACIÓN DEL SERVICIO DE VIGILANCIA EN 97 SEDES DE IED (EJECUCIÓN: 16 DE NOVIEMBRE DE 2013 HASTA EL 15 DE AGOSTO DE 2014)_x000a_2- MEDIANTE RESOLUCIÓN 7480 DE 13-11-2013 SE ASIGNÓ RECURSOS AL 100% DE LAS IED POR VALOR TOTAL DE $2,559,971,360 PARA MANTENIMIENTO EN SEGURIDAD DE LAS IED._x000a_3- SE REALIZÓ CONTRATO DE ADHESIÓN CON FONDECUN PARA ENTREGAR UNIDADES MÓVILES (AVANTELES) A RECTORES Y COORDINADORES DEL 100% DE LAS IED._x000a__x000a_2014_x000a_1- SE REALIZÓ ADICIÓN AL CONTRATO N°. 213 DE 2013 POR $1.032.722.580 HASTA EL 31 DE OCTUBRE DE 2014._x000a_2- EL 31 DE OCTUBRE DE 2014 SE FIRMÓ CONTRATO N°. 191 PRESTACIÓN DE SERVICIOS POR VALOR DE $7,594,995,932, CUYO OBJETO CONSISTIÓ EN PRESTAR LOS SERVICIOS DE VIGILANCIA Y SEGURIDAD PRIVADA Y SEGURIDAD INTEGRAL PARA LOS BIENES MUEBLES E INMUEBLES EN LAS IED DE LOS MUNICIPIOS NO CERTIFICADOS DEL DEPARTAMENTO, PARA SER EJECUTADO EN UN PLAZO DE 11 MESES Y 15 DÍAS, DESDE EL 1 DE NOVIEMBRE DE 2014 HASTA 15 DE OCTUBRE DE 2015. CON ESTE CONTRATO SE GARANTIZA LA PRESTACIÓN DEL SERVICIO DE VIGILANCIA EN EL 52%, ESTO ES, 147 IED, EQUIVALENTES A 152 PUNTOS DE VIGILANCIA, BENEFICIANDO A 81.882 ESTUDIANTES, CON LO QUE SE ESTÁ DANDO CUMPLIMIENTO AL 100% EN LO ESTABLECIDO EN EL PLAN DE DESARROLLO._x000a__x000a_2015_x000a_CONTINUA LA EJECUCIÓN DEL CONTRATO N°. 191 DE 2014 QUE ESTÁ GARANTIZANDO LA PRESTACIÓN DEL SERVICIO DE VIGILANCIA EN EL 52% DE LAS IED DE LOS MUNICIPIOS NO CERTIFICADOS DEL DEPARTAMENTO, ESTO ES, 147 IED, EQUIVALENTES A 152 PUNTOS DE VIGILANCIA, CON LO QUE SE ESTÁ DANDO CUMPLIMIENTO AL 100% EN LO ESTABLECIDO EN EL PLAN DE DESARROLLO._x000a_EL PLAZO DE EJECUCIÓN DEL CONTRATO ES DE 11 MESES Y 15 DÍAS, DESDE EL MES DE NOVIEMBRE DE 2014 HASTA 15 DE OCTUBRE DE 2015. "/>
    <n v="0"/>
    <m/>
    <n v="116"/>
  </r>
  <r>
    <n v="63"/>
    <x v="0"/>
    <x v="3"/>
    <x v="1"/>
    <s v="DESARROLLO"/>
    <s v="GARANTIZAR QUE EL 100% DE LAS PLANTAS DE DOCENTES DE LAS INSTITUCIONES EDUCATIVAS DE LOS MUNICIPIOS NO CERTIFICADOS ESTÉN COMPLETAS AL INICIO DE CADA AÑO LECTIVO"/>
    <s v="% DE IE CON PLANTA DOCENTE COMPLETA AL INICIO DE CADA AÑO LECTIVO"/>
    <s v="% DE INSTITUCIONES"/>
    <s v="M"/>
    <n v="93"/>
    <n v="100"/>
    <n v="100"/>
    <n v="0.25"/>
    <n v="6.25E-2"/>
    <n v="100"/>
    <n v="0.25"/>
    <n v="100"/>
    <n v="25"/>
    <n v="100"/>
    <n v="100"/>
    <n v="6.25E-2"/>
    <n v="100"/>
    <n v="236237000000"/>
    <n v="0"/>
    <n v="236237000000"/>
    <n v="0"/>
    <n v="0"/>
    <n v="0"/>
    <n v="0"/>
    <n v="0"/>
    <n v="358948948000"/>
    <n v="0"/>
    <n v="358948948000"/>
    <n v="0"/>
    <n v="0"/>
    <n v="0"/>
    <n v="0"/>
    <n v="0"/>
    <n v="0"/>
    <n v="0"/>
    <s v="-"/>
    <n v="6.25E-2"/>
    <n v="100"/>
    <n v="0.25"/>
    <n v="99"/>
    <n v="24.75"/>
    <n v="99"/>
    <n v="99"/>
    <n v="6.1874999999999999E-2"/>
    <n v="99"/>
    <n v="236237000000"/>
    <n v="236237000"/>
    <n v="0"/>
    <n v="0"/>
    <n v="0"/>
    <n v="0"/>
    <n v="0"/>
    <n v="0"/>
    <n v="360799432021"/>
    <n v="63565986"/>
    <n v="360735866035"/>
    <n v="0"/>
    <n v="0"/>
    <n v="0"/>
    <n v="0"/>
    <n v="0"/>
    <n v="0"/>
    <n v="0"/>
    <n v="0"/>
    <n v="6.25E-2"/>
    <n v="100"/>
    <n v="0.25"/>
    <n v="99.879997253417969"/>
    <n v="99.879997253417969"/>
    <n v="99.879997253417969"/>
    <n v="24.969999313354492"/>
    <n v="99.879997253417969"/>
    <n v="99.879997253417969"/>
    <n v="6.2424998283386234E-2"/>
    <n v="99.879997253417969"/>
    <n v="6.2424998283386234E-2"/>
    <n v="6.25E-2"/>
    <n v="100"/>
    <n v="0.25"/>
    <n v="100"/>
    <n v="0"/>
    <n v="25"/>
    <n v="100"/>
    <n v="100"/>
    <n v="6.25E-2"/>
    <n v="6.25E-2"/>
    <n v="248670000000"/>
    <n v="0"/>
    <n v="248670000"/>
    <n v="0"/>
    <n v="0"/>
    <n v="0"/>
    <n v="0"/>
    <n v="0"/>
    <n v="0"/>
    <n v="0"/>
    <n v="0"/>
    <n v="0"/>
    <n v="0"/>
    <n v="0"/>
    <n v="0"/>
    <n v="0"/>
    <n v="0"/>
    <n v="0"/>
    <n v="0"/>
    <n v="99.719999313354492"/>
    <n v="0.25"/>
    <n v="99.719999313354492"/>
    <n v="99.719999313354492"/>
    <n v="0.24929999828338623"/>
    <n v="0.24929999828338623"/>
    <n v="0.24929999828338623"/>
    <n v="1"/>
    <n v="0"/>
    <n v="77"/>
    <s v="MEJORAR EN EL CUATRIENIO LOS PROCESOS EDUCATIVOS, FORMATIVOS, PEDAGÓGICOS E INSTITUCIONALES DEL 100% DE LAS INSTITUCIONES EDUCATIVAS DE LOS MUNICIPIOS NO CERTIFICADOS"/>
    <m/>
    <s v=""/>
    <m/>
    <m/>
    <m/>
    <m/>
    <s v="DE CONFORMIDAD CON LO SEÑALADO EN LA LEY 715 DE 2001, DECRETO 1278 DE 2002 Y DECRETO 520 DE 2010, SE REALIZÓ ESTUDIO TÉCNICO DE PLANTA PERSONAL DOCENTE, EL OBJETO DEL ESTUDIO TÉCNICO ES ANALIZAR LA PLANTA REQUERIDA PARA LA FECHA DEL MENCIONADO ESTUDIO Y DISTRIBUIR EL RECURSO HUMANO SEGÚN LAS NECESIDADES DEL SERVICIO, ENTRE LOS ESTABLECIMIENTOS EDUCATIVOS Y LOS MUNICIPIOS, LA CUAL ES FINANCIADA CON RECURSOS DEL SISTEMA GENERAL DE PARTICIPACIONES (SGP). SE REALIZO EL PROMEDIO DE LOS MESES DE ENERO A AGOSTO DE 2015."/>
    <n v="0"/>
    <m/>
    <n v="116"/>
  </r>
  <r>
    <n v="64"/>
    <x v="0"/>
    <x v="3"/>
    <x v="1"/>
    <s v="DESARROLLO"/>
    <s v="GARANTIZAR EL PAGO DEL 100% DE LOS APORTES DE PREVISIÓN SOCIAL DE LOS DOCENTES"/>
    <s v="% DE PAGO DE LOS APORTES DE PREVISIÓN SOCIAL DE LOS DOCENTES"/>
    <s v="% DE DOCENTES"/>
    <s v="M"/>
    <n v="100"/>
    <n v="100"/>
    <n v="100"/>
    <n v="8.8999999999999996E-2"/>
    <n v="2.2249999999999999E-2"/>
    <n v="100"/>
    <n v="0.25"/>
    <n v="100"/>
    <n v="25"/>
    <n v="100"/>
    <n v="100"/>
    <n v="2.2250000000000002E-2"/>
    <n v="100"/>
    <n v="56050000000"/>
    <n v="0"/>
    <n v="56050000000"/>
    <n v="0"/>
    <n v="0"/>
    <n v="0"/>
    <n v="0"/>
    <n v="0"/>
    <n v="65164951000"/>
    <n v="0"/>
    <n v="65164951000"/>
    <n v="0"/>
    <n v="0"/>
    <n v="0"/>
    <n v="0"/>
    <n v="0"/>
    <n v="0"/>
    <n v="0"/>
    <s v="-"/>
    <n v="2.2249999999999999E-2"/>
    <n v="100"/>
    <n v="0.25"/>
    <n v="100"/>
    <n v="25"/>
    <n v="100"/>
    <n v="100"/>
    <n v="2.2250000000000002E-2"/>
    <n v="100"/>
    <n v="56050000000"/>
    <n v="56050000"/>
    <n v="0"/>
    <n v="0"/>
    <n v="0"/>
    <n v="0"/>
    <n v="0"/>
    <n v="0"/>
    <n v="69681787037"/>
    <n v="0"/>
    <n v="69681787037"/>
    <n v="0"/>
    <n v="0"/>
    <n v="0"/>
    <n v="0"/>
    <n v="0"/>
    <n v="0"/>
    <n v="0"/>
    <n v="0"/>
    <n v="2.2249999999999999E-2"/>
    <n v="100"/>
    <n v="0.25"/>
    <n v="100"/>
    <n v="100"/>
    <n v="100"/>
    <n v="25"/>
    <n v="100"/>
    <n v="100"/>
    <n v="2.2250000000000002E-2"/>
    <n v="100"/>
    <n v="2.2250000000000002E-2"/>
    <n v="2.2249999999999999E-2"/>
    <n v="100"/>
    <n v="0.25"/>
    <n v="100"/>
    <n v="0"/>
    <n v="25"/>
    <n v="100"/>
    <n v="100"/>
    <n v="2.2250000000000002E-2"/>
    <n v="2.2250000000000002E-2"/>
    <n v="59000000000"/>
    <n v="0"/>
    <n v="59000000"/>
    <n v="0"/>
    <n v="0"/>
    <n v="0"/>
    <n v="0"/>
    <n v="0"/>
    <n v="0"/>
    <n v="0"/>
    <n v="0"/>
    <n v="0"/>
    <n v="0"/>
    <n v="0"/>
    <n v="0"/>
    <n v="0"/>
    <n v="0"/>
    <n v="0"/>
    <n v="0"/>
    <n v="100"/>
    <n v="8.8999999999999996E-2"/>
    <n v="100"/>
    <n v="100"/>
    <n v="8.900000000000001E-2"/>
    <n v="8.900000000000001E-2"/>
    <n v="8.900000000000001E-2"/>
    <n v="1"/>
    <n v="0"/>
    <n v="77"/>
    <s v="MEJORAR EN EL CUATRIENIO LOS PROCESOS EDUCATIVOS, FORMATIVOS, PEDAGÓGICOS E INSTITUCIONALES DEL 100% DE LAS INSTITUCIONES EDUCATIVAS DE LOS MUNICIPIOS NO CERTIFICADOS"/>
    <m/>
    <s v=""/>
    <m/>
    <m/>
    <m/>
    <m/>
    <s v="2- MEDIANTE RESOLUCIÓN 7480 DE 13-11-2013 SE ASIGNÓ RECURSOS AL 100% DE LAS IED POR VALOR TOTAL DE $2,559,971,360 PARA MANTENIMIENTO EN SEGURIDAD DE LAS IED."/>
    <n v="0"/>
    <m/>
    <n v="0"/>
  </r>
  <r>
    <n v="65"/>
    <x v="0"/>
    <x v="1"/>
    <x v="1"/>
    <s v="CIUDADANIA"/>
    <s v="LOGRAR EN EL CUATRIENIO QUE EL 100% DE LOS NIÑOS Y NIÑAS DE 6 A 11 AÑOS QUE LO DEMANDEN TENGAN REGISTRO CIVIL Y TARJETA DE IDENTIDAD, CON PRIORIDAD EN LA POBLACIÓN EN POBREZA EXTREMA."/>
    <s v="% DE NIÑOS Y NIÑAS CON DOCUMENTO DE IDENTIDAD"/>
    <s v="PORCENTAJE DE PERSONAS"/>
    <s v="M"/>
    <n v="0"/>
    <n v="100"/>
    <n v="100"/>
    <n v="0.16500000000000001"/>
    <n v="4.1250000000000002E-2"/>
    <n v="100"/>
    <n v="0.25"/>
    <n v="100"/>
    <n v="25"/>
    <n v="100"/>
    <n v="100"/>
    <n v="4.1250000000000002E-2"/>
    <n v="100"/>
    <n v="4000000"/>
    <n v="4000000"/>
    <n v="0"/>
    <n v="0"/>
    <n v="0"/>
    <n v="0"/>
    <n v="0"/>
    <n v="0"/>
    <n v="0"/>
    <n v="0"/>
    <n v="0"/>
    <n v="0"/>
    <n v="0"/>
    <n v="0"/>
    <n v="0"/>
    <n v="0"/>
    <n v="0"/>
    <n v="0"/>
    <s v="-"/>
    <n v="4.1250000000000002E-2"/>
    <n v="100"/>
    <n v="0.25"/>
    <n v="100"/>
    <n v="25"/>
    <n v="100"/>
    <n v="100"/>
    <n v="4.1250000000000002E-2"/>
    <n v="100"/>
    <n v="3000000"/>
    <n v="0"/>
    <n v="3000000"/>
    <n v="0"/>
    <n v="0"/>
    <n v="0"/>
    <n v="0"/>
    <n v="0"/>
    <n v="0"/>
    <n v="0"/>
    <n v="0"/>
    <n v="0"/>
    <n v="0"/>
    <n v="0"/>
    <n v="0"/>
    <n v="0"/>
    <n v="0"/>
    <n v="0"/>
    <n v="0"/>
    <n v="4.1250000000000002E-2"/>
    <n v="100"/>
    <n v="0.25"/>
    <n v="0"/>
    <n v="99"/>
    <n v="100"/>
    <n v="25"/>
    <n v="100"/>
    <n v="100"/>
    <n v="4.1250000000000002E-2"/>
    <n v="100"/>
    <n v="4.1250000000000002E-2"/>
    <n v="4.1250000000000002E-2"/>
    <n v="100"/>
    <n v="0.25"/>
    <n v="100"/>
    <n v="0"/>
    <n v="25"/>
    <n v="100"/>
    <n v="100"/>
    <n v="4.1250000000000002E-2"/>
    <n v="4.1250000000000002E-2"/>
    <n v="6000000"/>
    <n v="6000000"/>
    <n v="0"/>
    <n v="0"/>
    <n v="0"/>
    <n v="0"/>
    <n v="0"/>
    <n v="0"/>
    <n v="0"/>
    <n v="0"/>
    <n v="0"/>
    <n v="0"/>
    <n v="0"/>
    <n v="0"/>
    <n v="0"/>
    <n v="0"/>
    <n v="0"/>
    <n v="0"/>
    <n v="0"/>
    <n v="100"/>
    <n v="0.16500000000000001"/>
    <n v="100"/>
    <n v="100"/>
    <n v="0.16500000000000001"/>
    <n v="0.16500000000000001"/>
    <n v="0.16500000000000001"/>
    <n v="1"/>
    <n v="0"/>
    <n v="40"/>
    <s v="LOGRAR QUE LAS Y LOS INFANTES INFLUYAN EN LAS DECISIONES DEL CONSEJO DE POLÍTICA SOCIAL DEPARTAMENTAL, COMO VOCEROS DE LA NIÑEZ ORGANIZADA ASISTIENDO AL 100% DE LAS REUNIONES"/>
    <m/>
    <s v=""/>
    <m/>
    <m/>
    <m/>
    <m/>
    <s v="EN ALIANZA CON LA REGISTRADURÍA Y LA RED UNIDOS, SE DESARROLLARON CAMPAÑAS DE IDENTIFICACIÓN A POBLACIÓN VULNERABLE EN LOS MUNICIPIOS DE FUSAGASUGÁ Y SOACHA, ATENDIENDO AL 100% DE LA POBLACIÓN QUE DEMANDÓ LOS SERVICIOS."/>
    <n v="210000000"/>
    <m/>
    <n v="750"/>
  </r>
  <r>
    <n v="66"/>
    <x v="0"/>
    <x v="1"/>
    <x v="1"/>
    <s v="CIUDADANIA"/>
    <s v="IMPLEMENTAR DURANTE EL CUATRIENIO EN 35 MUNICIPIOS ESPACIOS DE PARTICIPACIÓN CIUDADANA CON NIÑOS Y NIÑAS DE 6 A 11 AÑOS (CONCEJALITOS Y COMUNALITOS, ENTRE OTROS)"/>
    <s v="NO. DE MUNICIPIOS CON ESPACIOS DE PARTICIPACIÓN CIUDADANA EN NIÑOS Y NIÑAS DE 6 A 11 AÑOS"/>
    <s v="MUNICIPIOS"/>
    <s v="I"/>
    <n v="0"/>
    <n v="35"/>
    <n v="35"/>
    <n v="0.25"/>
    <n v="0"/>
    <n v="0"/>
    <n v="0"/>
    <n v="0"/>
    <n v="0"/>
    <n v="0"/>
    <n v="0"/>
    <n v="0"/>
    <n v="0"/>
    <n v="9000000"/>
    <n v="9000000"/>
    <n v="0"/>
    <n v="0"/>
    <n v="0"/>
    <n v="0"/>
    <n v="0"/>
    <n v="0"/>
    <n v="0"/>
    <n v="0"/>
    <n v="0"/>
    <n v="0"/>
    <n v="0"/>
    <n v="0"/>
    <n v="0"/>
    <n v="0"/>
    <n v="0"/>
    <n v="0"/>
    <s v="-"/>
    <n v="0"/>
    <n v="0"/>
    <n v="0"/>
    <n v="0"/>
    <n v="0"/>
    <n v="0"/>
    <n v="0"/>
    <n v="0"/>
    <n v="0"/>
    <n v="7000000"/>
    <n v="0"/>
    <n v="7000000"/>
    <n v="0"/>
    <n v="0"/>
    <n v="0"/>
    <n v="0"/>
    <n v="0"/>
    <n v="20000000"/>
    <n v="20000000"/>
    <n v="0"/>
    <n v="0"/>
    <n v="0"/>
    <n v="0"/>
    <n v="0"/>
    <n v="0"/>
    <n v="0"/>
    <n v="0"/>
    <n v="0"/>
    <n v="0"/>
    <n v="0"/>
    <n v="0"/>
    <n v="0"/>
    <n v="0"/>
    <n v="0"/>
    <n v="0"/>
    <n v="0"/>
    <n v="0"/>
    <n v="0"/>
    <n v="0"/>
    <n v="0"/>
    <n v="0.25"/>
    <n v="35"/>
    <n v="1"/>
    <n v="35"/>
    <n v="0"/>
    <n v="35"/>
    <n v="100"/>
    <n v="100"/>
    <n v="0.25"/>
    <n v="0.25"/>
    <n v="15000000"/>
    <n v="15000000"/>
    <n v="0"/>
    <n v="0"/>
    <n v="0"/>
    <n v="0"/>
    <n v="0"/>
    <n v="0"/>
    <n v="0"/>
    <n v="0"/>
    <n v="0"/>
    <n v="0"/>
    <n v="0"/>
    <n v="0"/>
    <n v="0"/>
    <n v="0"/>
    <n v="0"/>
    <n v="0"/>
    <n v="0"/>
    <n v="35"/>
    <n v="0.25"/>
    <n v="100"/>
    <n v="100"/>
    <n v="0.25"/>
    <n v="0.25"/>
    <n v="0.25"/>
    <n v="1"/>
    <n v="0"/>
    <n v="9"/>
    <s v="FOMENTAR HABILIDADES Y DESTREZAS CON ACTIVIDADES LÚDICAS Y CULTURALES EN EL 15% DE LOS NIÑOS Y NIÑAS DE PRIMERA INFANCIA CADA AÑO"/>
    <n v="39"/>
    <s v="FOMENTAR HABILIDADES Y DESTREZAS CON ACTIVIDADES LÚDICAS, CULTURALES Y DEPORTIVAS EN EL 35% DE LOS NIÑOS Y NIÑAS DE 6 A 11 AÑOS"/>
    <n v="40"/>
    <m/>
    <m/>
    <m/>
    <s v="CON EL APOYO DEL ICBF FUE POSIBLE LA CREACIÓN DE 35 MESAS DE PARTICIPACIÓN DE NIÑOS, NIÑAS Y ADOLESCENTES EN IGUAL NÚMERO DE MUNICIPIOS. ASIMISMO, SE ESTABLECIÓ ARTICULACIÓN CON EL INSTITUTO DEPARTAMENTAL DE ACCIÓN COMUNAL, PARA CONTINUAR CON LOS PROCESOS DE SENSIBILIZACIÓN Y FORMACIÓN A COMUNALITOS."/>
    <n v="0"/>
    <m/>
    <n v="1"/>
  </r>
  <r>
    <n v="67"/>
    <x v="0"/>
    <x v="7"/>
    <x v="1"/>
    <s v="CIUDADANIA"/>
    <s v="PROMOVER DURANTE EL CUATRIENIO EN EL 100% DE LOS ORGANISMOS COMUNALES LA PARTICIPACIÓN DE NIÑAS Y NIÑOS DE 6 A 11 AÑOS"/>
    <s v="% DE ORGANISMOS COMUNALES CON PROMOCIÓN DE LA PARTICIPACIÓN DE NIÑOS Y NIÑAS DE 6 A 11 AÑOS"/>
    <s v="PORCENTAJE"/>
    <s v="I"/>
    <n v="0"/>
    <n v="100"/>
    <n v="100"/>
    <n v="0.25"/>
    <n v="1.2500000000000001E-2"/>
    <n v="5"/>
    <n v="0.05"/>
    <n v="6.5"/>
    <n v="6.5"/>
    <n v="130"/>
    <n v="100"/>
    <n v="1.2500000000000001E-2"/>
    <n v="100"/>
    <n v="0"/>
    <n v="0"/>
    <n v="0"/>
    <n v="0"/>
    <n v="0"/>
    <n v="0"/>
    <n v="0"/>
    <n v="0"/>
    <n v="17500000"/>
    <n v="17500000"/>
    <n v="0"/>
    <n v="0"/>
    <n v="0"/>
    <n v="0"/>
    <n v="0"/>
    <n v="0"/>
    <n v="0"/>
    <n v="0"/>
    <s v="-"/>
    <n v="7.4999999999999997E-2"/>
    <n v="30"/>
    <n v="0.3"/>
    <n v="8"/>
    <n v="8"/>
    <n v="26.666666666666668"/>
    <n v="26.666666666666668"/>
    <n v="0.02"/>
    <n v="26.666666666666668"/>
    <n v="0"/>
    <n v="0"/>
    <n v="0"/>
    <n v="0"/>
    <n v="0"/>
    <n v="0"/>
    <n v="0"/>
    <n v="0"/>
    <n v="0"/>
    <n v="0"/>
    <n v="0"/>
    <n v="0"/>
    <n v="0"/>
    <n v="0"/>
    <n v="0"/>
    <n v="0"/>
    <n v="0"/>
    <n v="0"/>
    <n v="0"/>
    <n v="7.4999999999999997E-2"/>
    <n v="30"/>
    <n v="0.3"/>
    <n v="14.08"/>
    <n v="14.08"/>
    <n v="60"/>
    <n v="60"/>
    <n v="200"/>
    <n v="100"/>
    <n v="7.4999999999999997E-2"/>
    <n v="100"/>
    <n v="0.15"/>
    <n v="8.7499999999999994E-2"/>
    <n v="35"/>
    <n v="0.35"/>
    <n v="45"/>
    <n v="-10"/>
    <n v="45"/>
    <n v="128.57142857142858"/>
    <n v="100"/>
    <n v="8.7499999999999994E-2"/>
    <n v="0.1125"/>
    <n v="0"/>
    <n v="0"/>
    <n v="0"/>
    <n v="0"/>
    <n v="0"/>
    <n v="0"/>
    <n v="0"/>
    <n v="0"/>
    <n v="0"/>
    <n v="0"/>
    <n v="0"/>
    <n v="0"/>
    <n v="0"/>
    <n v="0"/>
    <n v="0"/>
    <n v="0"/>
    <n v="0"/>
    <n v="0"/>
    <n v="0"/>
    <n v="119.5"/>
    <n v="0.24999999999999997"/>
    <n v="119.5"/>
    <n v="100"/>
    <n v="0.25"/>
    <n v="0.25"/>
    <n v="0.25"/>
    <n v="0.99999999999999989"/>
    <n v="0"/>
    <n v="619"/>
    <s v="LA INSTITUCIÓN DEPARTAMENTAL, LOS GOBIERNOS TERRITORIALES Y LA COMUNIDAD INVOLUCRAN AL 100% DE LAS DIFERENTES INSTANCIAS DE PARTICIPACIÓN EN EL DESARROLLO DE SUS PROGRAMAS Y PROYECTOS GENERANDO CORRESPONSABILIDAD CON PARTICIPACIÓN REAL Y ACTIVA."/>
    <m/>
    <s v=""/>
    <m/>
    <m/>
    <m/>
    <m/>
    <s v="DURANTE EL CUATRIENIO SE REALIZARON ENCUENTROS Y JORNADAS DE APOYO AL DESARROLLO COMUNITARIO CON PARTICIPACIÓN DE REPRESENTANTES DE ORGANIZACIONES COMUNALES , NIÑAS, NIÑOS, PADRES, ACUDIENTES EN LOS DIFERENTES MUNICIPIOS DEL DEPARTAMENTO. CON LA EJECUCIÓN DEL PROGRAMA &quot;VIVE Y CRECE EN ACCIÓN COMUNAL&quot;, SE HA PROMOVIDO Y FORTALECIDO CAPACIDADES A FIN DE INCENTIVAR LA PARTICIPACIÓN COMUNITARIA, EL SENTIDO DE PERTENENCIA Y APROVECHAMIENTO DEL TIEMPO LIBRE EN LAS NIÑAS Y LOS NIÑOS A TRAVES DE DIVULGACIÓN DE MATERIAL, DEL EJERCICIO DE LA DEMOCRACIA PARTICIPATIVA Y LA VINCULACIÓN A ORGANIZACIONES COMUNALES. SE REALIZARON ENCUENTROS DE JUNTAS INFANTILES COMUNALES, DINAMICAS DE INTEGRACIÓN Y CONFORMACIÓN DE JUNTAS INFANTILES, ADEMÁS SE DICTARON TALLERES SOBRE: INDUCCIÓN, APRESTAMIENTO Y SOCIALIZACIÓN, VALORES, TRABAJO EN EQUIPO, MECANISMOS DE PARTICIPACIÓN DIRIGIDOS A LIDERES COMUNALES , NIÑAS Y NIÑOS QUIENES INTERACTUARON CON ENTUSIASMO Y COMPROMISO EN LA PROMOCIÓN DE LA PARTICPACIÓN DE LOS NIÑOS EN LOS PROCESOS COMUNALES Y COMUNITARIOS. "/>
    <n v="0"/>
    <m/>
    <n v="116"/>
  </r>
  <r>
    <n v="68"/>
    <x v="0"/>
    <x v="1"/>
    <x v="1"/>
    <s v="CIUDADANIA"/>
    <s v="ACOMPAÑAR Y ASISTIR TÉCNICAMENTE EN EL CUATRIENIO A LOS 116 MUNICIPIOS PARA LA EFECTIVA INCLUSIÓN DE TEMAS DE INFANCIA EN LA AGENDA DEL CONSEJO MUNICIPAL DE POLÍTICA SOCIAL - COMPOS "/>
    <s v="NO. DE MUNICIPIOS CON ASISTENCIA TÉCNICA EN COMPOS Y AGENDA QUE INCLUYE TEMAS DE INFANCIA"/>
    <s v="MUNICIPIOS"/>
    <s v="I"/>
    <n v="50"/>
    <n v="116"/>
    <n v="116"/>
    <n v="0.16500000000000001"/>
    <n v="7.9655172413793107E-2"/>
    <n v="56"/>
    <n v="0.48275862068965519"/>
    <n v="53"/>
    <n v="53"/>
    <n v="94.642857142857139"/>
    <n v="94.642857142857139"/>
    <n v="7.5387931034482755E-2"/>
    <n v="94.642857142857139"/>
    <n v="0"/>
    <n v="0"/>
    <n v="0"/>
    <n v="0"/>
    <n v="0"/>
    <n v="0"/>
    <n v="0"/>
    <n v="0"/>
    <n v="50000000"/>
    <n v="50000000"/>
    <n v="0"/>
    <n v="0"/>
    <n v="0"/>
    <n v="0"/>
    <n v="0"/>
    <n v="0"/>
    <n v="0"/>
    <n v="0"/>
    <s v="-"/>
    <n v="2.1336206896551725E-2"/>
    <n v="15"/>
    <n v="0.12931034482758622"/>
    <n v="9"/>
    <n v="9"/>
    <n v="60"/>
    <n v="60"/>
    <n v="1.2801724137931035E-2"/>
    <n v="60"/>
    <n v="0"/>
    <n v="0"/>
    <n v="0"/>
    <n v="0"/>
    <n v="0"/>
    <n v="0"/>
    <n v="0"/>
    <n v="0"/>
    <n v="0"/>
    <n v="0"/>
    <n v="0"/>
    <n v="0"/>
    <n v="0"/>
    <n v="0"/>
    <n v="0"/>
    <n v="0"/>
    <n v="0"/>
    <n v="0"/>
    <n v="0"/>
    <n v="2.844827586206897E-2"/>
    <n v="20"/>
    <n v="0.17241379310344829"/>
    <n v="0"/>
    <n v="39"/>
    <n v="10"/>
    <n v="10"/>
    <n v="50"/>
    <n v="50"/>
    <n v="1.4224137931034487E-2"/>
    <n v="100"/>
    <n v="1.4224137931034487E-2"/>
    <n v="3.5560344827586209E-2"/>
    <n v="25"/>
    <n v="0.21551724137931033"/>
    <n v="40"/>
    <n v="-15"/>
    <n v="40"/>
    <n v="160"/>
    <n v="100"/>
    <n v="3.5560344827586209E-2"/>
    <n v="5.6896551724137934E-2"/>
    <n v="0"/>
    <n v="0"/>
    <n v="0"/>
    <n v="0"/>
    <n v="0"/>
    <n v="0"/>
    <n v="0"/>
    <n v="0"/>
    <n v="0"/>
    <n v="0"/>
    <n v="0"/>
    <n v="0"/>
    <n v="0"/>
    <n v="0"/>
    <n v="0"/>
    <n v="0"/>
    <n v="0"/>
    <n v="0"/>
    <n v="0"/>
    <n v="112"/>
    <n v="0.16500000000000001"/>
    <n v="96.551724137931032"/>
    <n v="96.551724137931032"/>
    <n v="0.15931034482758621"/>
    <n v="0.15931034482758621"/>
    <n v="0.15931034482758621"/>
    <n v="1"/>
    <n v="0"/>
    <n v="619"/>
    <s v="LA INSTITUCIÓN DEPARTAMENTAL, LOS GOBIERNOS TERRITORIALES Y LA COMUNIDAD INVOLUCRAN AL 100% DE LAS DIFERENTES INSTANCIAS DE PARTICIPACIÓN EN EL DESARROLLO DE SUS PROGRAMAS Y PROYECTOS GENERANDO CORRESPONSABILIDAD CON PARTICIPACIÓN REAL Y ACTIVA."/>
    <m/>
    <s v=""/>
    <m/>
    <m/>
    <m/>
    <m/>
    <s v="112 MUNICIPIOS ASISTIDOS TÉCNICAMENTE EN TEMAS DE INFANCIA, A TRAVÉS DE MESAS DE TRABAJO Y EVENTOS DEPARTAMENTALES DE CAPACITACIÓN, CON MIEMBROS DE LOS CONSEJOS MUNICIPALES DE POLITICA SOCIAL. "/>
    <n v="0"/>
    <m/>
    <n v="1"/>
  </r>
  <r>
    <n v="69"/>
    <x v="0"/>
    <x v="1"/>
    <x v="1"/>
    <s v="PROTECCION"/>
    <s v="DESARROLLAR E IMPLEMENTAR EN LOS 116 MUNICIPIOS, ESTRATEGIAS DE INFORMACIÓN, EDUCACIÓN Y COMUNICACIÓN DIRIGIDAS A LA PREVENCIÓN DEL MALTRATO INFANTIL, EXPLOTACIÓN Y ABUSO SEXUAL DE LOS NIÑOS Y NIÑAS PROMOVIENDO CULTURA DE RESPONSABILIDAD DE TODAS Y TODOS "/>
    <s v="NO. DE MUNICIPIOS IMPLEMENTANDO ESTRATEGIAS DE IEC EN PREVENCIÓN DEL MALTRATO INFANTIL, EXPLOTACIÓN Y EL ABUSO DE LOS NIÑOS Y NIÑAS "/>
    <s v="MUNICIPIOS"/>
    <s v="M"/>
    <n v="0"/>
    <n v="116"/>
    <n v="116"/>
    <n v="0.25"/>
    <n v="6.25E-2"/>
    <n v="116"/>
    <n v="0.25"/>
    <n v="0"/>
    <n v="0"/>
    <n v="0"/>
    <n v="0"/>
    <n v="0"/>
    <n v="0"/>
    <n v="21000000"/>
    <n v="21000000"/>
    <n v="0"/>
    <n v="0"/>
    <n v="0"/>
    <n v="0"/>
    <n v="0"/>
    <n v="0"/>
    <n v="0"/>
    <n v="0"/>
    <n v="0"/>
    <n v="0"/>
    <n v="0"/>
    <n v="0"/>
    <n v="0"/>
    <n v="0"/>
    <n v="0"/>
    <n v="0"/>
    <s v="-"/>
    <n v="6.25E-2"/>
    <n v="116"/>
    <n v="0.25"/>
    <n v="116"/>
    <n v="29"/>
    <n v="100"/>
    <n v="100"/>
    <n v="6.25E-2"/>
    <n v="100"/>
    <n v="15000000"/>
    <n v="0"/>
    <n v="15000000"/>
    <n v="0"/>
    <n v="0"/>
    <n v="0"/>
    <n v="0"/>
    <n v="0"/>
    <n v="0"/>
    <n v="0"/>
    <n v="0"/>
    <n v="0"/>
    <n v="0"/>
    <n v="0"/>
    <n v="0"/>
    <n v="0"/>
    <n v="0"/>
    <n v="0"/>
    <n v="0"/>
    <n v="6.25E-2"/>
    <n v="116"/>
    <n v="0.25"/>
    <n v="0"/>
    <n v="123"/>
    <n v="116"/>
    <n v="29"/>
    <n v="100"/>
    <n v="100"/>
    <n v="6.25E-2"/>
    <n v="100"/>
    <n v="6.25E-2"/>
    <n v="6.25E-2"/>
    <n v="116"/>
    <n v="0.25"/>
    <n v="116"/>
    <n v="0"/>
    <n v="29"/>
    <n v="100"/>
    <n v="100"/>
    <n v="6.25E-2"/>
    <n v="6.25E-2"/>
    <n v="35000000"/>
    <n v="35000000"/>
    <n v="0"/>
    <n v="0"/>
    <n v="0"/>
    <n v="0"/>
    <n v="0"/>
    <n v="0"/>
    <n v="0"/>
    <n v="0"/>
    <n v="0"/>
    <n v="0"/>
    <n v="0"/>
    <n v="0"/>
    <n v="0"/>
    <n v="0"/>
    <n v="0"/>
    <n v="0"/>
    <n v="0"/>
    <n v="87"/>
    <n v="0.25"/>
    <n v="75"/>
    <n v="75"/>
    <n v="0.1875"/>
    <n v="0.1875"/>
    <n v="0.1875"/>
    <n v="1"/>
    <n v="0"/>
    <n v="33"/>
    <s v="REDUCIR EN EL CUATRIENIO EN 20% LAS MUERTES POR HOMICIDIO EN NIÑOS Y NIÑAS DE 6 A 11 AÑOS"/>
    <m/>
    <s v=""/>
    <m/>
    <m/>
    <m/>
    <m/>
    <s v="ANUALMENTE SE HA IMPLEMENTADO EN LOS 116 MUNICIPIOS ACTIVIDADES PARA LA PREVENCIÓN DEL MALTRATO Y LA VIOLENCIA INFANTIL, LA PROTECCIÓN DE LOS DERECHOS DE LOS NIÑOS, NIÑAS Y ADOLESCENTES, LA PREVENCIÓN Y DESESTIMULO DEL TRABAJO INFANTIL, CONSTRUCCIÓN DE ESCENARIOS DE PARTICIPACIÓN CON NIÑOS, NIÑAS, ADOLESCENTES Y JÓVENES. _x000a_ADICIONALMENTE, MEDIANTE LAS CUALES SE BENEFICIÓ A 15.911 NIÑOS, NIÑAS Y ADOLESCENTES EN CONVENIO CON LA RED DE SANACIÓN DEL TRABAJO INFANTIL, MEDIANTE LA REALIZACIÓN DE OBRAS DE TEATRO FRENTE A LA PREVENCIÓN DEL ABUSO SEXUAL, EN 32 MUNICIPIOS , Y BOGOTÁ EN CORFERIAS. "/>
    <n v="26000000"/>
    <m/>
    <n v="300"/>
  </r>
  <r>
    <n v="70"/>
    <x v="0"/>
    <x v="1"/>
    <x v="1"/>
    <s v="PROTECCION"/>
    <s v="IMPLEMENTAR DURANTE EL CUATRIENIO EL PLAN DEPARTAMENTAL DE ERRADICACIÓN DEL TRABAJO INFANTIL"/>
    <s v="PLAN DEPARTAMENTAL DE ERRADICACIÓN DEL TRABAJO INFANTIL IMPLEMENTADO"/>
    <s v="PLAN"/>
    <s v="I"/>
    <n v="0"/>
    <n v="1"/>
    <n v="1"/>
    <n v="0.25"/>
    <n v="7.4999999999999997E-2"/>
    <n v="0.3"/>
    <n v="0.3"/>
    <n v="0.3"/>
    <n v="0.3"/>
    <n v="100"/>
    <n v="100"/>
    <n v="7.4999999999999997E-2"/>
    <n v="100"/>
    <n v="7000000"/>
    <n v="7000000"/>
    <n v="0"/>
    <n v="0"/>
    <n v="0"/>
    <n v="0"/>
    <n v="0"/>
    <n v="0"/>
    <n v="25000000"/>
    <n v="25000000"/>
    <n v="0"/>
    <n v="0"/>
    <n v="0"/>
    <n v="0"/>
    <n v="0"/>
    <n v="0"/>
    <n v="0"/>
    <n v="0"/>
    <s v="-"/>
    <n v="7.4999999999999997E-2"/>
    <n v="0.3"/>
    <n v="0.3"/>
    <n v="0.3"/>
    <n v="0.3"/>
    <n v="100"/>
    <n v="100"/>
    <n v="7.4999999999999997E-2"/>
    <n v="100"/>
    <n v="5000000"/>
    <n v="0"/>
    <n v="5000000"/>
    <n v="0"/>
    <n v="0"/>
    <n v="0"/>
    <n v="0"/>
    <n v="0"/>
    <n v="40000000"/>
    <n v="40000000"/>
    <n v="0"/>
    <n v="0"/>
    <n v="0"/>
    <n v="0"/>
    <n v="0"/>
    <n v="0"/>
    <n v="0"/>
    <n v="135500000"/>
    <s v=" COMPENSAR POR FONIÑEZ"/>
    <n v="0.05"/>
    <n v="0.2"/>
    <n v="0.2"/>
    <n v="0"/>
    <n v="0.1"/>
    <n v="0.20000000298023224"/>
    <n v="0.20000000298023224"/>
    <n v="100.00000149011612"/>
    <n v="100"/>
    <n v="0.05"/>
    <n v="100"/>
    <n v="5.000000074505806E-2"/>
    <n v="0.05"/>
    <n v="0.2"/>
    <n v="0.2"/>
    <n v="1"/>
    <n v="-0.8"/>
    <n v="1"/>
    <n v="500"/>
    <n v="100"/>
    <n v="0.05"/>
    <n v="0.25"/>
    <n v="12000000"/>
    <n v="12000000"/>
    <n v="0"/>
    <n v="0"/>
    <n v="0"/>
    <n v="0"/>
    <n v="0"/>
    <n v="0"/>
    <n v="0"/>
    <n v="0"/>
    <n v="0"/>
    <n v="0"/>
    <n v="0"/>
    <n v="0"/>
    <n v="0"/>
    <n v="0"/>
    <n v="0"/>
    <n v="0"/>
    <n v="0"/>
    <n v="1.8000000029802323"/>
    <n v="0.25"/>
    <n v="180.00000029802322"/>
    <n v="100"/>
    <n v="0.25"/>
    <n v="0.25"/>
    <n v="0.25"/>
    <n v="1"/>
    <n v="0"/>
    <n v="36"/>
    <s v="MANTENER CADA AÑO EN 100% LA COBERTURA BRUTA EN BÁSICA PRIMARIA, PRIORIZANDO LA POBLACIÓN EN POBREZA EXTREMA QUE DEMANDE EL SERVICIO"/>
    <n v="37"/>
    <s v="REDUCIR EN EL CUATRIENIO LA TASA DE DESERCIÓN ESCOLAR AL 5.15%"/>
    <n v="39"/>
    <m/>
    <m/>
    <m/>
    <s v="SE REACTIVARON LOS COMITÉS DE: ERRADICACIÓN DEL TRABAJO INFANTIL “CETI”, ESTRATEGIA DE CERO A SIEMPRE PILOTAJE EN 10 MUNICIPIOS Y MESA OPERATIVA DE PRIMERA INFANCIA, INFANCIA Y ADOLESCENCIA EN ALIANZA CON ICBF NACIONAL Y REGIONAL. 3.090 NIÑOS, 134 FAMILIAS Y 4.550 ACTORES MÁS VINCULADOS A ESTRATEGIAS DE PREVENCION Y ERRADICACIÓN DE TRABAJO INFANTIL.  TAMBIÉN SE REALIZÓ SEGUIMIENTO A 70 CETI MUNICIPALES, IMPLEMENTACIÓN DE ESTRATEGIA PARA PREVENCIÓN DE EXPLOTACIÓN SEXUAL A TRAVÉS DE PROYECTO 4G, Y ESTRATEGIA PARA ERRADICACIÓN DE TRABAJO INFANTIL A TRAVÉS DE ESTRATEGIA CULTIVEMOS LA PAZ EN FAMILIA."/>
    <n v="26000000"/>
    <m/>
    <n v="0"/>
  </r>
  <r>
    <n v="71"/>
    <x v="0"/>
    <x v="2"/>
    <x v="1"/>
    <s v="PROTECCION"/>
    <s v="GARANTIZAR LA ATENCIÓN INTEGRAL AL 100% DE LAS Y LOS INFANTES VÍCTIMAS Y POSIBLES VÍCTIMAS DE TRATA DE PERSONAS QUE LO DEMANDEN"/>
    <s v="% DE INFANTES VÍCTIMAS Y POSIBLES VÍCTIMAS DE TRATA D EPERSONAS CON ATENCIÓN INTEGRAL"/>
    <s v="PORCENTAJE DE PERSONAS"/>
    <s v="M"/>
    <n v="0"/>
    <n v="100"/>
    <n v="100"/>
    <n v="0.16500000000000001"/>
    <n v="4.1250000000000002E-2"/>
    <n v="100"/>
    <n v="0.25"/>
    <n v="100"/>
    <n v="25"/>
    <n v="100"/>
    <n v="100"/>
    <n v="4.1250000000000002E-2"/>
    <n v="100"/>
    <n v="0"/>
    <n v="0"/>
    <n v="0"/>
    <n v="0"/>
    <n v="0"/>
    <n v="0"/>
    <n v="0"/>
    <n v="0"/>
    <n v="0"/>
    <n v="0"/>
    <n v="0"/>
    <n v="0"/>
    <n v="0"/>
    <n v="0"/>
    <n v="0"/>
    <n v="0"/>
    <n v="0"/>
    <n v="0"/>
    <s v="-"/>
    <n v="4.1250000000000002E-2"/>
    <n v="100"/>
    <n v="0.25"/>
    <n v="5"/>
    <n v="1.25"/>
    <n v="5"/>
    <n v="5"/>
    <n v="2.0625000000000001E-3"/>
    <n v="5"/>
    <n v="20000000"/>
    <n v="0"/>
    <n v="20000000"/>
    <n v="0"/>
    <n v="0"/>
    <n v="0"/>
    <n v="0"/>
    <n v="0"/>
    <n v="20000000"/>
    <n v="20000000"/>
    <n v="0"/>
    <n v="0"/>
    <n v="0"/>
    <n v="0"/>
    <n v="0"/>
    <n v="0"/>
    <n v="0"/>
    <n v="0"/>
    <n v="0"/>
    <n v="4.1250000000000002E-2"/>
    <n v="100"/>
    <n v="0.25"/>
    <n v="0"/>
    <n v="100"/>
    <n v="100"/>
    <n v="25"/>
    <n v="100"/>
    <n v="100"/>
    <n v="4.1250000000000002E-2"/>
    <n v="100"/>
    <n v="4.1250000000000002E-2"/>
    <n v="4.1250000000000002E-2"/>
    <n v="100"/>
    <n v="0.25"/>
    <n v="100"/>
    <n v="0"/>
    <n v="25"/>
    <n v="100"/>
    <n v="100"/>
    <n v="4.1250000000000002E-2"/>
    <n v="4.1250000000000002E-2"/>
    <n v="0"/>
    <n v="0"/>
    <n v="0"/>
    <n v="0"/>
    <n v="0"/>
    <n v="0"/>
    <n v="0"/>
    <n v="0"/>
    <n v="0"/>
    <n v="0"/>
    <n v="0"/>
    <n v="0"/>
    <n v="0"/>
    <n v="0"/>
    <n v="0"/>
    <n v="0"/>
    <n v="0"/>
    <n v="0"/>
    <n v="0"/>
    <n v="76.25"/>
    <n v="0.16500000000000001"/>
    <n v="76.25"/>
    <n v="76.25"/>
    <n v="0.12581249999999999"/>
    <n v="0.12581249999999999"/>
    <n v="0.12581249999999999"/>
    <n v="1"/>
    <n v="0"/>
    <n v="1"/>
    <s v="REDUCIR EN EL CUATRIENIO EN 50% LAS MUERTES POR HOMICIDIO EN NIÑOS Y NIÑAS DE 0 A 5 AÑOS"/>
    <m/>
    <s v=""/>
    <m/>
    <m/>
    <m/>
    <m/>
    <s v="EN EL MES DE JULIO SE DISEÑO LA RUTA DE ATENCION Y PROTECCION DE CUNDINAMARCA A VICTIMAS Y POSIBLE VICTIMAS DE LA TRATA DE PERSONAS INCLUYENDO DE MANERA ESPECIFICA A LOS INFANTES. EN ESTE PROCESO SE REALIZARON TALLERES PARA QUE LAS AUTORIDADES CONOCIERAN DE FONDO COMO GARANTIZAR LA ATENCION INTEGRAL AL 100% DE LAS VICTIMAS Y POSIBLES VICTIMAS"/>
    <n v="0"/>
    <m/>
    <n v="1"/>
  </r>
  <r>
    <n v="80"/>
    <x v="0"/>
    <x v="0"/>
    <x v="2"/>
    <s v="EXISTENCIA"/>
    <s v="LOGRAR ADOLESCENTES MAS SALUDABLES CON LA IMPLEMENTACIÓN EN EL CUATRIENIO DE UN PROGRAMA INTEGRAL DE ESTILOS DE VIDA SALUDABLE A NIVEL COMUNITARIO EN EL 64% DE LOS MUNICIPIOS."/>
    <s v="% DE MUNICIPIOS QUE IMPLEMENTARON EL PROGRAMA INTEGRAL DE ESTILOS DE VIDA SALUDABLE"/>
    <s v="PORCENTAJE DE MUNICIPIOS"/>
    <s v="I"/>
    <n v="0"/>
    <n v="64"/>
    <n v="64"/>
    <n v="0.25"/>
    <n v="5.078125E-2"/>
    <n v="13"/>
    <n v="0.203125"/>
    <n v="10"/>
    <n v="10"/>
    <n v="76.92307692307692"/>
    <n v="76.92307692307692"/>
    <n v="3.90625E-2"/>
    <n v="76.92307692307692"/>
    <n v="375000000"/>
    <n v="7000000"/>
    <n v="368000000"/>
    <n v="0"/>
    <n v="0"/>
    <n v="0"/>
    <n v="0"/>
    <n v="0"/>
    <n v="129900000"/>
    <n v="0"/>
    <n v="129900000"/>
    <n v="0"/>
    <n v="0"/>
    <n v="0"/>
    <n v="0"/>
    <n v="0"/>
    <n v="0"/>
    <n v="0"/>
    <s v="-"/>
    <n v="5.078125E-2"/>
    <n v="13"/>
    <n v="0.203125"/>
    <n v="16"/>
    <n v="16"/>
    <n v="123.07692307692308"/>
    <n v="100"/>
    <n v="5.078125E-2"/>
    <n v="100"/>
    <n v="371000000"/>
    <n v="100000000"/>
    <n v="271000000"/>
    <n v="0"/>
    <n v="0"/>
    <n v="0"/>
    <n v="0"/>
    <n v="0"/>
    <n v="356907815"/>
    <n v="356907815"/>
    <n v="0"/>
    <n v="0"/>
    <n v="0"/>
    <n v="0"/>
    <n v="0"/>
    <n v="0"/>
    <n v="0"/>
    <n v="0"/>
    <n v="0"/>
    <n v="7.421875E-2"/>
    <n v="19"/>
    <n v="0.296875"/>
    <n v="10"/>
    <n v="57"/>
    <n v="19"/>
    <n v="19"/>
    <n v="100"/>
    <n v="100"/>
    <n v="7.421875E-2"/>
    <n v="100"/>
    <n v="7.421875E-2"/>
    <n v="7.421875E-2"/>
    <n v="19"/>
    <n v="0.296875"/>
    <n v="19"/>
    <n v="0"/>
    <n v="19"/>
    <n v="100"/>
    <n v="100"/>
    <n v="7.421875E-2"/>
    <n v="7.421875E-2"/>
    <n v="724000000"/>
    <n v="624000000"/>
    <n v="100000000"/>
    <n v="0"/>
    <n v="0"/>
    <n v="0"/>
    <n v="0"/>
    <n v="0"/>
    <n v="0"/>
    <n v="0"/>
    <n v="0"/>
    <n v="0"/>
    <n v="0"/>
    <n v="0"/>
    <n v="0"/>
    <n v="0"/>
    <n v="0"/>
    <n v="0"/>
    <n v="0"/>
    <n v="64"/>
    <n v="0.25"/>
    <n v="100"/>
    <n v="100"/>
    <n v="0.25"/>
    <n v="0.25"/>
    <n v="0.25"/>
    <n v="1"/>
    <n v="0"/>
    <n v="74"/>
    <s v="FOMENTAR HABILIDADES Y DESTREZAS CON ACTIVIDADES LÚDICAS, CULTURALES Y DEPORTIVAS ANUALMENTE EN EL 60% DE LAS Y LOS ADOLESCENTES"/>
    <m/>
    <s v=""/>
    <m/>
    <m/>
    <m/>
    <m/>
    <s v="SE DESARROLLARON ACCIONES DE MANERA INTEGREDA EN TEMAS RELACIONADOS CON: EL COMPONENTE DE IMPLEMENTACOION Y FORTALECIMIENTO DE LOS SERVICIOS AMIGABLES PARA SALUD DE ADOLESCENTES Y JOVENES EN 60 MUNICIPIOS DEL DEPARTAMENTO INCLUYENDO LOS PRIORIZADOS EN LA META, ADEMAS DE DESARROLLAR ACTIVIDADES EXTRAMURALES CON 4.933 ADOLESCENTES Y JOVENES EN LA ACTIVIDAD EXTRAMURAL &quot;JOVENES AL PARQUE&quot;."/>
    <n v="0"/>
    <m/>
    <n v="0"/>
  </r>
  <r>
    <n v="81"/>
    <x v="0"/>
    <x v="0"/>
    <x v="2"/>
    <s v="EXISTENCIA"/>
    <s v="IMPLEMENTAR, DURANTE EL CUATRIENIO, EN 13 INSTITUCIONES DE EDUCACIÓN PÚBLICA DE BÁSICA SECUNDARIA LA ESTRATEGIA DE &quot;COLEGIOS DE CALIDAD DE VIDA&quot; EN EL MARCO DE LA TRANSECTORIALIDAD"/>
    <s v="NO. DE IE DE BÁSICA SECUNDARIA QUE DAN CUMPLIMIENTO A TODOS LOS COMPONENTES DE LA ESTRATEGIA DE &quot;COLEGIO DE CALIDAD DE VIDA&quot;"/>
    <s v="INSTITUCIONES"/>
    <s v="I"/>
    <n v="0"/>
    <n v="13"/>
    <n v="13"/>
    <n v="0.25"/>
    <n v="1.9230769230769232E-2"/>
    <n v="1"/>
    <n v="7.6923076923076927E-2"/>
    <n v="3"/>
    <n v="3"/>
    <n v="300"/>
    <n v="100"/>
    <n v="1.9230769230769232E-2"/>
    <n v="100"/>
    <n v="252000000"/>
    <n v="7000000"/>
    <n v="245000000"/>
    <n v="0"/>
    <n v="0"/>
    <n v="0"/>
    <n v="0"/>
    <n v="0"/>
    <n v="303100000"/>
    <n v="0"/>
    <n v="303100000"/>
    <n v="0"/>
    <n v="0"/>
    <n v="0"/>
    <n v="0"/>
    <n v="0"/>
    <n v="0"/>
    <n v="0"/>
    <s v="-"/>
    <n v="3.8461538461538464E-2"/>
    <n v="2"/>
    <n v="0.15384615384615385"/>
    <n v="21"/>
    <n v="21"/>
    <n v="1050"/>
    <n v="100"/>
    <n v="3.8461538461538464E-2"/>
    <n v="100"/>
    <n v="580000000"/>
    <n v="160000000"/>
    <n v="420000000"/>
    <n v="0"/>
    <n v="0"/>
    <n v="0"/>
    <n v="0"/>
    <n v="0"/>
    <n v="401795210"/>
    <n v="401795210"/>
    <n v="0"/>
    <n v="0"/>
    <n v="0"/>
    <n v="0"/>
    <n v="0"/>
    <n v="0"/>
    <n v="0"/>
    <n v="0"/>
    <n v="0"/>
    <n v="9.6153846153846159E-2"/>
    <n v="5"/>
    <n v="0.38461538461538464"/>
    <n v="5"/>
    <n v="5"/>
    <n v="5"/>
    <n v="5"/>
    <n v="100"/>
    <n v="100"/>
    <n v="9.6153846153846173E-2"/>
    <n v="100"/>
    <n v="9.6153846153846173E-2"/>
    <n v="9.6153846153846159E-2"/>
    <n v="5"/>
    <n v="0.38461538461538464"/>
    <n v="12"/>
    <n v="-7"/>
    <n v="12"/>
    <n v="240"/>
    <n v="100"/>
    <n v="9.6153846153846173E-2"/>
    <n v="0.23076923076923075"/>
    <n v="1128000000"/>
    <n v="968000000"/>
    <n v="160000000"/>
    <n v="0"/>
    <n v="0"/>
    <n v="0"/>
    <n v="0"/>
    <n v="0"/>
    <n v="0"/>
    <n v="0"/>
    <n v="0"/>
    <n v="0"/>
    <n v="0"/>
    <n v="0"/>
    <n v="0"/>
    <n v="0"/>
    <n v="0"/>
    <n v="0"/>
    <n v="0"/>
    <n v="41"/>
    <n v="0.25"/>
    <n v="315.38461538461536"/>
    <n v="100"/>
    <n v="0.25"/>
    <n v="0.25"/>
    <n v="0.25"/>
    <n v="1"/>
    <n v="0"/>
    <n v="74"/>
    <s v="FOMENTAR HABILIDADES Y DESTREZAS CON ACTIVIDADES LÚDICAS, CULTURALES Y DEPORTIVAS ANUALMENTE EN EL 60% DE LAS Y LOS ADOLESCENTES"/>
    <m/>
    <s v=""/>
    <m/>
    <m/>
    <m/>
    <m/>
    <s v="A CORTE DE JUNIO DE 2015 LO PLANEADO PARA EL CUATRIENIO SE SUPERO, Y LA META SE AUMENTO LLEGANDO A 150 INSTITUCIONES EDUCATIVAS DE BASICA SECUNDARIA."/>
    <n v="0"/>
    <m/>
    <n v="0"/>
  </r>
  <r>
    <n v="82"/>
    <x v="0"/>
    <x v="1"/>
    <x v="2"/>
    <s v="EXISTENCIA"/>
    <s v="IMPLEMENTAR Y/O MANTENER DURANTE EL CUATRIENIO UNA ESTRATEGIA DEPARTAMENTAL DE SENSIBILIZACIÓN Y FOMENTO DE LA RESPONSABILIDAD FRENTE AL EMBARAZO TEMPRANO"/>
    <s v="ESTRATEGIA DEPARTAMENTAL DE SENSIBILIZACIÓN FRENTE AL EMBARAZO TEMPRANO IMPLEMENTADA"/>
    <s v="ESTRATEGIAS"/>
    <s v="M"/>
    <n v="0"/>
    <n v="1"/>
    <n v="1"/>
    <n v="0.25"/>
    <n v="6.25E-2"/>
    <n v="1"/>
    <n v="0.25"/>
    <n v="1"/>
    <n v="0.25"/>
    <n v="100"/>
    <n v="100"/>
    <n v="6.25E-2"/>
    <n v="100"/>
    <n v="200000000"/>
    <n v="100000000"/>
    <n v="0"/>
    <n v="0"/>
    <n v="0"/>
    <n v="0"/>
    <n v="0"/>
    <n v="100000000"/>
    <n v="50000000"/>
    <n v="50000000"/>
    <n v="0"/>
    <n v="0"/>
    <n v="0"/>
    <n v="0"/>
    <n v="0"/>
    <n v="0"/>
    <n v="0"/>
    <n v="150000000"/>
    <s v="COMPENSAR"/>
    <n v="6.25E-2"/>
    <n v="1"/>
    <n v="0.25"/>
    <n v="1"/>
    <n v="0.25"/>
    <n v="100"/>
    <n v="100"/>
    <n v="6.25E-2"/>
    <n v="100"/>
    <n v="8000000"/>
    <n v="0"/>
    <n v="8000000"/>
    <n v="0"/>
    <n v="0"/>
    <n v="0"/>
    <n v="0"/>
    <n v="0"/>
    <n v="50000000"/>
    <n v="50000000"/>
    <n v="0"/>
    <n v="0"/>
    <n v="0"/>
    <n v="0"/>
    <n v="0"/>
    <n v="0"/>
    <n v="0"/>
    <n v="0"/>
    <n v="0"/>
    <n v="6.25E-2"/>
    <n v="1"/>
    <n v="0.25"/>
    <n v="1"/>
    <n v="1"/>
    <n v="1"/>
    <n v="0.25"/>
    <n v="100"/>
    <n v="100"/>
    <n v="6.25E-2"/>
    <n v="100"/>
    <n v="6.25E-2"/>
    <n v="6.25E-2"/>
    <n v="1"/>
    <n v="0.25"/>
    <n v="1"/>
    <n v="0"/>
    <n v="0.25"/>
    <n v="100"/>
    <n v="100"/>
    <n v="6.25E-2"/>
    <n v="6.25E-2"/>
    <n v="18000000"/>
    <n v="18000000"/>
    <n v="0"/>
    <n v="0"/>
    <n v="0"/>
    <n v="0"/>
    <n v="0"/>
    <n v="0"/>
    <n v="0"/>
    <n v="0"/>
    <n v="0"/>
    <n v="0"/>
    <n v="0"/>
    <n v="0"/>
    <n v="0"/>
    <n v="0"/>
    <n v="0"/>
    <n v="0"/>
    <n v="0"/>
    <n v="1"/>
    <n v="0.25"/>
    <n v="100"/>
    <n v="100"/>
    <n v="0.25"/>
    <n v="0.25"/>
    <n v="0.25"/>
    <n v="1"/>
    <n v="0"/>
    <n v="72"/>
    <s v="REDUCIR EN EL CUATRIENIO EN MÍNIMO 5% LAS MUERTES POR HOMICIDIO EN ADOLESCENTES"/>
    <n v="74"/>
    <s v="FOMENTAR HABILIDADES Y DESTREZAS CON ACTIVIDADES LÚDICAS, CULTURALES Y DEPORTIVAS ANUALMENTE EN EL 60% DE LAS Y LOS ADOLESCENTES"/>
    <n v="79"/>
    <m/>
    <m/>
    <m/>
    <s v="ESTRATEGIA DE CONSTRUCCIÓN DE ESCENARIOS DE PARTICIPACIÓN CON NIÑOS, NIÑAS, ADOLESCENTES Y JÓVENES, CON EL FIN DE APORTAR A LAS PREVENCIÓN DE LA PROBLEMÁTICA DEL EMBARAZO ADOLESCENTE EN 17 MUNICIPIOS, EMPODERANDO A LOS NNA PARA ASUMIR Y MEJORAR OTRAS PROBLEMÁTICAS RELACIONADAS CON SU VIDA FAMILIAR, EDUCATIVA Y PERSONAL, RECUPERAR SU INFANCIA Y AUTOESTIMA, ELEGIR SU FUTURO Y TOMAR LAS DECISIONES_x000a_CONFORME A SU VISIÓN FUTURA"/>
    <n v="20000000"/>
    <m/>
    <n v="341"/>
  </r>
  <r>
    <n v="83"/>
    <x v="0"/>
    <x v="2"/>
    <x v="2"/>
    <s v="EXISTENCIA"/>
    <s v="RED DE ACTORES INSTITUCIONALES CON PROTOCOLO INTERVIENEN EN LOS 116 MUNICIPIOS PARA LA PREVENCIÓN DE HOMICIDIOS Y LA COMISIÓN DE DELITOS EN ADOLESCENTES."/>
    <s v="NO. DE MUNICIPIOS CON PROTOCOLO DE INTERVENCIÓN PARA PREVENCIÓN DE LOS HOMICIDIOS Y LA COMISIÓN DE DELITOS EN ADOLESCENTES."/>
    <s v="MUNICIPIOS"/>
    <s v="M"/>
    <n v="0"/>
    <n v="116"/>
    <n v="116"/>
    <n v="0.16500000000000001"/>
    <n v="4.1250000000000002E-2"/>
    <n v="116"/>
    <n v="0.25"/>
    <n v="0"/>
    <n v="0"/>
    <n v="0"/>
    <n v="0"/>
    <n v="0"/>
    <n v="0"/>
    <n v="0"/>
    <n v="0"/>
    <n v="0"/>
    <n v="0"/>
    <n v="0"/>
    <n v="0"/>
    <n v="0"/>
    <n v="0"/>
    <n v="0"/>
    <n v="0"/>
    <n v="0"/>
    <n v="0"/>
    <n v="0"/>
    <n v="0"/>
    <n v="0"/>
    <n v="0"/>
    <n v="0"/>
    <n v="0"/>
    <s v="-"/>
    <n v="4.1250000000000002E-2"/>
    <n v="116"/>
    <n v="0.25"/>
    <n v="116"/>
    <n v="29"/>
    <n v="100"/>
    <n v="100"/>
    <n v="4.1250000000000002E-2"/>
    <n v="100"/>
    <n v="116000000"/>
    <n v="0"/>
    <n v="116000000"/>
    <n v="0"/>
    <n v="0"/>
    <n v="0"/>
    <n v="0"/>
    <n v="0"/>
    <n v="0"/>
    <n v="0"/>
    <n v="0"/>
    <n v="0"/>
    <n v="0"/>
    <n v="0"/>
    <n v="0"/>
    <n v="0"/>
    <n v="0"/>
    <n v="0"/>
    <n v="0"/>
    <n v="4.1250000000000002E-2"/>
    <n v="116"/>
    <n v="0.25"/>
    <n v="116"/>
    <n v="116"/>
    <n v="116"/>
    <n v="29"/>
    <n v="100"/>
    <n v="100"/>
    <n v="4.1250000000000002E-2"/>
    <n v="100"/>
    <n v="4.1250000000000002E-2"/>
    <n v="4.1250000000000002E-2"/>
    <n v="0"/>
    <n v="0.25"/>
    <n v="0"/>
    <n v="0"/>
    <n v="0"/>
    <n v="0"/>
    <n v="0"/>
    <n v="0"/>
    <n v="0"/>
    <n v="0"/>
    <n v="0"/>
    <n v="0"/>
    <n v="0"/>
    <n v="0"/>
    <n v="0"/>
    <n v="0"/>
    <n v="0"/>
    <n v="0"/>
    <n v="0"/>
    <n v="0"/>
    <n v="0"/>
    <n v="0"/>
    <n v="0"/>
    <n v="0"/>
    <n v="0"/>
    <n v="0"/>
    <n v="0"/>
    <n v="0"/>
    <n v="58"/>
    <n v="0.16500000000000001"/>
    <n v="50"/>
    <n v="50"/>
    <n v="8.2500000000000004E-2"/>
    <n v="8.2500000000000004E-2"/>
    <n v="8.2500000000000004E-2"/>
    <n v="1"/>
    <n v="0"/>
    <n v="73"/>
    <s v="REDUCIR EN EL CUATRIENIO EN 20% LAS MUERTES POR ACCIDENTES DE TRÁNSITO EN ADOLESCENTES"/>
    <m/>
    <s v=""/>
    <m/>
    <m/>
    <m/>
    <m/>
    <s v="ARTICULACION PERMANENTE ENTRE LA SECRETARIA DE GOBIERNO, ICBF, FISCALIA, CON EL DPS DE PRESIDENDIA, CONJUNTAMENTE CON POLICIA DE INFANCIA Y ADOLESCENCIA CON EL FIN DE PREVENCIOS DE HOMICIDIOS Y LA COMISION DE DELITOS EN ADOLECENTES"/>
    <n v="0"/>
    <m/>
    <n v="3"/>
  </r>
  <r>
    <n v="84"/>
    <x v="0"/>
    <x v="3"/>
    <x v="2"/>
    <s v="DESARROLLO"/>
    <s v="MEJORAR EN EL CUATRIENIO EL FUNCIONAMIENTO DEL 25% DE LOS MODELOS FLEXIBLES DE APRENDIZAJE PARA ADOLESCENTES EN LAS ZONAS RURALES (POSTPRIMARIA, TELESECUNDARIA, MEDIA RURAL Y ESCUELA Y CAFÉ)"/>
    <s v="% DE MODELOS FLEXIBLES DE APRENDIZAJE PARA ADOLESCENTES MEJORADOS"/>
    <s v="PUNTOS PORCENTUALES"/>
    <s v="I"/>
    <n v="19.2"/>
    <n v="25"/>
    <n v="5.8"/>
    <n v="0.25"/>
    <n v="6.25E-2"/>
    <n v="1.45"/>
    <n v="0.25"/>
    <n v="0"/>
    <n v="0"/>
    <n v="0"/>
    <n v="0"/>
    <n v="0"/>
    <n v="0"/>
    <n v="413000000"/>
    <n v="413000000"/>
    <n v="0"/>
    <n v="0"/>
    <n v="0"/>
    <n v="0"/>
    <n v="0"/>
    <n v="0"/>
    <n v="586641000"/>
    <n v="586641000"/>
    <n v="0"/>
    <n v="0"/>
    <n v="0"/>
    <n v="0"/>
    <n v="0"/>
    <n v="0"/>
    <n v="0"/>
    <n v="0"/>
    <s v="-"/>
    <n v="6.25E-2"/>
    <n v="1.45"/>
    <n v="0.25"/>
    <n v="2.9"/>
    <n v="2.9"/>
    <n v="200"/>
    <n v="100"/>
    <n v="6.25E-2"/>
    <n v="100"/>
    <n v="159000000"/>
    <n v="0"/>
    <n v="159000000"/>
    <n v="0"/>
    <n v="0"/>
    <n v="0"/>
    <n v="0"/>
    <n v="0"/>
    <n v="335638626"/>
    <n v="335638626"/>
    <n v="0"/>
    <n v="0"/>
    <n v="0"/>
    <n v="0"/>
    <n v="0"/>
    <n v="0"/>
    <n v="0"/>
    <n v="1408844862"/>
    <s v="Comité de Cafeteros de Cundinamarca"/>
    <n v="6.25E-2"/>
    <n v="1.45"/>
    <n v="0.25"/>
    <n v="0.69999998807907104"/>
    <n v="0.69999998807907104"/>
    <n v="2.9200000762939453"/>
    <n v="2.9200000762939453"/>
    <n v="201.379315606479"/>
    <n v="100"/>
    <n v="6.25E-2"/>
    <n v="100"/>
    <n v="0.12586207225404938"/>
    <n v="6.25E-2"/>
    <n v="1.45"/>
    <n v="0.25"/>
    <n v="2.9000000000000001E-2"/>
    <n v="1.421"/>
    <n v="2.9000000000000001E-2"/>
    <n v="2.0000000000000004"/>
    <n v="2.0000000000000004"/>
    <n v="1.2500000000000002E-3"/>
    <n v="1.2500000000000002E-3"/>
    <n v="368000000"/>
    <n v="368000000"/>
    <n v="0"/>
    <n v="0"/>
    <n v="0"/>
    <n v="0"/>
    <n v="0"/>
    <n v="0"/>
    <n v="0"/>
    <n v="0"/>
    <n v="0"/>
    <n v="0"/>
    <n v="0"/>
    <n v="0"/>
    <n v="0"/>
    <n v="0"/>
    <n v="0"/>
    <n v="0"/>
    <n v="0"/>
    <n v="5.8490000762939456"/>
    <n v="0.25"/>
    <n v="100.84482890161975"/>
    <n v="100"/>
    <n v="0.25"/>
    <n v="0.25"/>
    <n v="0.25"/>
    <n v="1"/>
    <n v="0"/>
    <n v="37"/>
    <s v="REDUCIR EN EL CUATRIENIO LA TASA DE DESERCIÓN ESCOLAR AL 5.15%"/>
    <n v="75"/>
    <s v="MEJORAR EN EL CUATRIENIO, EL PROMEDIO DE DESEMPEÑO DE LAS PRUEBAS SABER DEL GRADO NOVENO DE LAS INSTITUCIONES EDUCATIVAS OFICIALES EN 2 PUNTOS EN CADA ÁREA EVALUADA"/>
    <n v="76"/>
    <n v="77"/>
    <m/>
    <m/>
    <s v="SE CAPACITARON 84 DOCENTES, SE ENTREGARON 30 CANASTAS Y 616 JUEGOS DE GUÍAS DE APRENDIZAJE EN EL MODELO POSTPRIMARIA, BENEFICIANDO A 7,680 ESTUDIANTES DE 99 SEDES EN 58 MUNICIPIOS. CAPACITACIÓN DE 21 DOCENTES EN EL MODELO TELESECUNDARIA. EN MEDIA RURAL SE CAPACITARON 60 DOCENTES SE ENTREGARON 90 JUEGOS DE GUÍAS DE APRENDIZAJE Y 25 CANASTAS PEDAGÓGICAS, LLEGANDO A 1,036 ESTUDIANTES DE 81 SEDES . SE IMPLEMENTARON 220 PROYECTOS PEDAGÓGICOS PRODUCTIVOS CAFETEROS EN 26 SEDES DE 19 MUNICIPIOS. "/>
    <n v="64000000"/>
    <m/>
    <n v="0"/>
  </r>
  <r>
    <n v="85"/>
    <x v="0"/>
    <x v="3"/>
    <x v="2"/>
    <s v="DESARROLLO"/>
    <s v="CREAR EN EL CUATRIENIO EL OBSERVATORIO PEDAGÓGICO DE REDES SOCIALES EDUCATIVAS DEL DEPARTAMENTO"/>
    <s v="OBSERVATORIO DE REDES SOCIALES EDUCATIVAS CREADO"/>
    <s v="OBSERVATORIO"/>
    <s v="I"/>
    <n v="0"/>
    <n v="1"/>
    <n v="1"/>
    <n v="0.16500000000000001"/>
    <n v="0"/>
    <n v="0"/>
    <n v="0"/>
    <n v="0"/>
    <n v="0"/>
    <n v="0"/>
    <n v="0"/>
    <n v="0"/>
    <n v="0"/>
    <n v="400000000"/>
    <n v="400000000"/>
    <n v="0"/>
    <n v="0"/>
    <n v="0"/>
    <n v="0"/>
    <n v="0"/>
    <n v="0"/>
    <n v="0"/>
    <n v="0"/>
    <n v="0"/>
    <n v="0"/>
    <n v="0"/>
    <n v="0"/>
    <n v="0"/>
    <n v="0"/>
    <n v="0"/>
    <n v="0"/>
    <s v="-"/>
    <n v="0.13200000000000001"/>
    <n v="0.8"/>
    <n v="0.8"/>
    <n v="1"/>
    <n v="1"/>
    <n v="125"/>
    <n v="100"/>
    <n v="0.13200000000000001"/>
    <n v="100"/>
    <n v="0"/>
    <n v="0"/>
    <n v="0"/>
    <n v="0"/>
    <n v="0"/>
    <n v="0"/>
    <n v="0"/>
    <n v="0"/>
    <n v="0"/>
    <n v="0"/>
    <n v="0"/>
    <n v="0"/>
    <n v="0"/>
    <n v="0"/>
    <n v="0"/>
    <n v="0"/>
    <n v="0"/>
    <n v="0"/>
    <n v="0"/>
    <n v="0"/>
    <n v="0"/>
    <n v="0"/>
    <n v="0"/>
    <n v="0.4"/>
    <n v="0"/>
    <n v="0"/>
    <n v="0"/>
    <n v="0"/>
    <n v="0"/>
    <n v="100"/>
    <n v="0"/>
    <n v="3.3000000000000002E-2"/>
    <n v="0.2"/>
    <n v="0.2"/>
    <n v="1"/>
    <n v="-0.8"/>
    <n v="1"/>
    <n v="500"/>
    <n v="100"/>
    <n v="3.3000000000000002E-2"/>
    <n v="0.16500000000000001"/>
    <n v="500000"/>
    <n v="0"/>
    <n v="0"/>
    <n v="0"/>
    <n v="0"/>
    <n v="0"/>
    <n v="0"/>
    <n v="0"/>
    <n v="0"/>
    <n v="0"/>
    <n v="0"/>
    <n v="0"/>
    <n v="0"/>
    <n v="0"/>
    <n v="0"/>
    <n v="0"/>
    <n v="0"/>
    <n v="0"/>
    <n v="0"/>
    <n v="2"/>
    <n v="0.16500000000000001"/>
    <n v="200"/>
    <n v="100"/>
    <n v="0.16500000000000001"/>
    <n v="0.16500000000000001"/>
    <n v="0.16500000000000001"/>
    <n v="1"/>
    <n v="0"/>
    <n v="74"/>
    <s v="FOMENTAR HABILIDADES Y DESTREZAS CON ACTIVIDADES LÚDICAS, CULTURALES Y DEPORTIVAS ANUALMENTE EN EL 60% DE LAS Y LOS ADOLESCENTES"/>
    <m/>
    <s v=""/>
    <m/>
    <m/>
    <m/>
    <m/>
    <s v="EL OBSERVATORIO DE LAS REDES SOCIALES EDUCATIVAS DE CUNDINAMARCA SERÁ TRASLADADO A LA SECRETARÍA DE EDUCACIÓN A PARTIR DEL 2015 Y FORMARÁ PARTE DE LA ESTRUCTURA DE LA SECRETARÍA DE EDUCACIÓN"/>
    <n v="60000000"/>
    <m/>
    <n v="2"/>
  </r>
  <r>
    <n v="86"/>
    <x v="0"/>
    <x v="3"/>
    <x v="2"/>
    <s v="DESARROLLO"/>
    <s v="FORMAR EN EL CUATRIENIO A 3.000 DOCENTES EN PROGRAMAS DE INCORPORACIÓN DE LAS TIC EN LOS PROCESOS PEDAGÓGICOS"/>
    <s v="NO. DE DOCENTES FORMADOS EN INCORPORACIÓN DE LAS TIC EN LOS PROCESOS PEDAGÓGICOS"/>
    <s v="DOCENTES"/>
    <s v="I"/>
    <n v="0"/>
    <n v="3000"/>
    <n v="3000"/>
    <n v="0.25"/>
    <n v="4.8333333333333332E-2"/>
    <n v="580"/>
    <n v="0.19333333333333333"/>
    <n v="580"/>
    <n v="580"/>
    <n v="100"/>
    <n v="100"/>
    <n v="4.8333333333333332E-2"/>
    <n v="100"/>
    <n v="227000000"/>
    <n v="227000000"/>
    <n v="0"/>
    <n v="0"/>
    <n v="0"/>
    <n v="0"/>
    <n v="0"/>
    <n v="0"/>
    <n v="0"/>
    <n v="0"/>
    <n v="0"/>
    <n v="0"/>
    <n v="0"/>
    <n v="0"/>
    <n v="0"/>
    <n v="0"/>
    <n v="0"/>
    <n v="0"/>
    <s v="-"/>
    <n v="0.15"/>
    <n v="1800"/>
    <n v="0.6"/>
    <n v="1800"/>
    <n v="1800"/>
    <n v="100"/>
    <n v="100"/>
    <n v="0.15"/>
    <n v="100"/>
    <n v="164000000"/>
    <n v="0"/>
    <n v="164000000"/>
    <n v="0"/>
    <n v="0"/>
    <n v="0"/>
    <n v="0"/>
    <n v="0"/>
    <n v="564000000"/>
    <n v="564000000"/>
    <n v="0"/>
    <n v="0"/>
    <n v="0"/>
    <n v="0"/>
    <n v="0"/>
    <n v="0"/>
    <n v="0"/>
    <n v="0"/>
    <n v="0"/>
    <n v="3.3333333333333333E-2"/>
    <n v="400"/>
    <n v="0.13333333333333333"/>
    <n v="400"/>
    <n v="400"/>
    <n v="1575"/>
    <n v="1575"/>
    <n v="393.75"/>
    <n v="100"/>
    <n v="3.3333333333333333E-2"/>
    <n v="100"/>
    <n v="0.13125000000000001"/>
    <n v="1.8333333333333333E-2"/>
    <n v="220"/>
    <n v="7.3333333333333334E-2"/>
    <n v="1311"/>
    <n v="-1091"/>
    <n v="1311"/>
    <n v="595.90909090909088"/>
    <n v="100"/>
    <n v="1.8333333333333333E-2"/>
    <n v="0.10924999999999999"/>
    <n v="378000000"/>
    <n v="378000000"/>
    <n v="0"/>
    <n v="0"/>
    <n v="0"/>
    <n v="0"/>
    <n v="0"/>
    <n v="0"/>
    <n v="0"/>
    <n v="0"/>
    <n v="0"/>
    <n v="0"/>
    <n v="0"/>
    <n v="0"/>
    <n v="0"/>
    <n v="0"/>
    <n v="0"/>
    <n v="0"/>
    <n v="0"/>
    <n v="5266"/>
    <n v="0.25"/>
    <n v="175.53333333333333"/>
    <n v="100"/>
    <n v="0.25"/>
    <n v="0.25"/>
    <n v="0.25"/>
    <n v="1"/>
    <n v="0"/>
    <n v="38"/>
    <s v="MEJORAR EN EL CUATRIENIO EL PROMEDIO DE DESEMPEÑO EN LAS PRUEBAS SABER DEL GRADO 5° DE LAS INSTITUCIONES EDUCATIVAS OFICIALES EN DOS PUNTOS POR CADA ÁREA EVALUADA"/>
    <n v="75"/>
    <s v="MEJORAR EN EL CUATRIENIO, EL PROMEDIO DE DESEMPEÑO DE LAS PRUEBAS SABER DEL GRADO NOVENO DE LAS INSTITUCIONES EDUCATIVAS OFICIALES EN 2 PUNTOS EN CADA ÁREA EVALUADA"/>
    <n v="76"/>
    <n v="77"/>
    <m/>
    <m/>
    <s v="DEL 2012-2014 SE FORMARON 3955 DOCENTES Y DIRECTIVOS DOCENTES ENTICS, EN LO QUE VA DE 2015 SE HAN FORMADO 593."/>
    <n v="300000000"/>
    <m/>
    <n v="1"/>
  </r>
  <r>
    <n v="87"/>
    <x v="0"/>
    <x v="3"/>
    <x v="2"/>
    <s v="DESARROLLO"/>
    <s v="VINCULAR INSTITUCIONES EDUCATIVAS OFICIALES PARA ADELANTAR 350 PROYECTOS CON COMPONENTES DE CIENCIA Y TECNOLOGÍA EN EL CUATRIENIO"/>
    <s v="NO. DE PROYECTOS CON COMPONENTE DE CT EN INSTITUCIONES EDUCATIVAS"/>
    <s v="PROYECTOS"/>
    <s v="I"/>
    <n v="138"/>
    <n v="488"/>
    <n v="350"/>
    <n v="0.25"/>
    <n v="0"/>
    <n v="0"/>
    <n v="0"/>
    <n v="0"/>
    <n v="0"/>
    <n v="0"/>
    <n v="0"/>
    <n v="0"/>
    <n v="0"/>
    <n v="825000000"/>
    <n v="825000000"/>
    <n v="0"/>
    <n v="0"/>
    <n v="0"/>
    <n v="0"/>
    <n v="0"/>
    <n v="0"/>
    <n v="0"/>
    <n v="0"/>
    <n v="0"/>
    <n v="0"/>
    <n v="0"/>
    <n v="0"/>
    <n v="0"/>
    <n v="0"/>
    <n v="0"/>
    <n v="0"/>
    <s v="-"/>
    <n v="0"/>
    <n v="0"/>
    <n v="0"/>
    <n v="0"/>
    <n v="0"/>
    <n v="0"/>
    <n v="0"/>
    <n v="0"/>
    <n v="0"/>
    <n v="220000000"/>
    <n v="0"/>
    <n v="220000000"/>
    <n v="0"/>
    <n v="0"/>
    <n v="0"/>
    <n v="0"/>
    <n v="0"/>
    <n v="9539956048"/>
    <n v="175680000"/>
    <n v="0"/>
    <n v="0"/>
    <n v="0"/>
    <n v="9364276048"/>
    <n v="0"/>
    <n v="0"/>
    <n v="0"/>
    <n v="0"/>
    <n v="0"/>
    <n v="0.13500000000000001"/>
    <n v="189"/>
    <n v="0.54"/>
    <n v="189"/>
    <n v="189"/>
    <n v="793"/>
    <n v="793"/>
    <n v="419.5767195767196"/>
    <n v="100"/>
    <n v="0.13500000000000001"/>
    <n v="100"/>
    <n v="0.5664285714285715"/>
    <n v="0.115"/>
    <n v="161"/>
    <n v="0.46"/>
    <n v="0"/>
    <n v="161"/>
    <n v="0"/>
    <n v="0"/>
    <n v="0"/>
    <n v="0"/>
    <n v="0"/>
    <n v="293000000"/>
    <n v="293000000"/>
    <n v="0"/>
    <n v="0"/>
    <n v="0"/>
    <n v="0"/>
    <n v="0"/>
    <n v="0"/>
    <n v="0"/>
    <n v="0"/>
    <n v="0"/>
    <n v="0"/>
    <n v="0"/>
    <n v="0"/>
    <n v="0"/>
    <n v="0"/>
    <n v="0"/>
    <n v="0"/>
    <n v="0"/>
    <n v="793"/>
    <n v="0.25"/>
    <n v="226.57142857142858"/>
    <n v="100"/>
    <n v="0.25"/>
    <n v="0.25"/>
    <n v="0.25"/>
    <n v="1"/>
    <n v="0"/>
    <n v="77"/>
    <s v="MEJORAR EN EL CUATRIENIO LOS PROCESOS EDUCATIVOS, FORMATIVOS, PEDAGÓGICOS E INSTITUCIONALES DEL 100% DE LAS INSTITUCIONES EDUCATIVAS DE LOS MUNICIPIOS NO CERTIFICADOS"/>
    <m/>
    <s v=""/>
    <m/>
    <m/>
    <m/>
    <m/>
    <s v="PARA ESTA META SE HAN DESARROLLADO ACTIVIDADES EN 2014 Y 2015. EN 2014 SE CONVOCÓ Y APOYÓ GRUPOS, EN ALIANZA CON LA UPN Y CON TADEO. EN ELLOS PARTICIPARON 10.346 NIÑOS, NIÑAS Y JÓVENES, ACOMPAÑADOS POR 944 DOCENTES, DE 158 IED, EN 96 MUNICIPIOS. ESTOS GRUPOS SE ENCUENTRAN TERMINANDO SUS INVESTIGACIONES. EN 2015 SE HAN APOYADO NUEVOS GRUPOS, EN ALIANZA CON LAS MISMAS UNIVERSIDADES QUE INICIARON SUS INVESTIGACIONES Y ESTÁN ACOMPAÑADOS POR 33 ASESORES DE LÍNEA TEMÁTICA. ACTUALMENTE CONTAMOS CON UN TOTAL DE 1.000 GRUPOS DE INVESTIGACIÓN INFANTILES Y JUVENILES ACOMPAÑADOS POR LA UPN Y 200 POR LA U. JORGE TADEO LOZANO, COMPUESTOS POR 24.418 NIÑOS, NIÑAS Y JÓVENES, ACOMPAÑADOS POR 1.806 MAESTROS DE 285 IED DE 105 MUNICIPIOS DE 15 PROVINCIAS."/>
    <n v="200000000"/>
    <m/>
    <n v="1"/>
  </r>
  <r>
    <n v="88"/>
    <x v="0"/>
    <x v="3"/>
    <x v="2"/>
    <s v="DESARROLLO"/>
    <s v="IMPLEMENTAR, DURANTE EL CUATRIENIO, EN 80 INSTITUCIONES EDUCATIVAS OFICIALES LA FORMACIÓN EN EMPRENDIMIENTO ALREDEDOR DE PROCESOS PRODUCTIVOS MEJORADOS Y CON ESTOS APOYAR LA FORMACIÓN EN COMPETENCIAS PARA LA GENERACIÓN DE EMPRESA."/>
    <s v="NO. DE IE CON FORMACIÓN EN EMPRENDIMIENTO ALREDEDOR DE PROCESOS PRODUCTIVOS MEJORADOS"/>
    <s v="INSTITUCIONES"/>
    <s v="I"/>
    <n v="0"/>
    <n v="80"/>
    <n v="80"/>
    <n v="0.25"/>
    <n v="0"/>
    <n v="0"/>
    <n v="0"/>
    <n v="0"/>
    <n v="0"/>
    <n v="0"/>
    <n v="0"/>
    <n v="0"/>
    <n v="0"/>
    <n v="108000000"/>
    <n v="108000000"/>
    <n v="0"/>
    <n v="0"/>
    <n v="0"/>
    <n v="0"/>
    <n v="0"/>
    <n v="0"/>
    <n v="0"/>
    <n v="0"/>
    <n v="0"/>
    <n v="0"/>
    <n v="0"/>
    <n v="0"/>
    <n v="0"/>
    <n v="0"/>
    <n v="0"/>
    <n v="0"/>
    <s v="-"/>
    <n v="0.1"/>
    <n v="32"/>
    <n v="0.4"/>
    <n v="32"/>
    <n v="32"/>
    <n v="100"/>
    <n v="100"/>
    <n v="0.1"/>
    <n v="100"/>
    <n v="78000000"/>
    <n v="0"/>
    <n v="78000000"/>
    <n v="0"/>
    <n v="0"/>
    <n v="0"/>
    <n v="0"/>
    <n v="0"/>
    <n v="77999991"/>
    <n v="77999991"/>
    <n v="0"/>
    <n v="0"/>
    <n v="0"/>
    <n v="0"/>
    <n v="0"/>
    <n v="0"/>
    <n v="0"/>
    <n v="5200000"/>
    <s v="Ministerio de Educación Nacional"/>
    <n v="3.7499999999999999E-2"/>
    <n v="12"/>
    <n v="0.15"/>
    <n v="0"/>
    <n v="12"/>
    <n v="10"/>
    <n v="10"/>
    <n v="83.333333333333329"/>
    <n v="83.333333333333329"/>
    <n v="3.1249999999999997E-2"/>
    <n v="83.333333333333329"/>
    <n v="3.1249999999999997E-2"/>
    <n v="0.1125"/>
    <n v="36"/>
    <n v="0.45"/>
    <n v="74"/>
    <n v="-38"/>
    <n v="74"/>
    <n v="205.55555555555554"/>
    <n v="100"/>
    <n v="0.1125"/>
    <n v="0.23125000000000001"/>
    <n v="180000000"/>
    <n v="180000000"/>
    <n v="0"/>
    <n v="0"/>
    <n v="0"/>
    <n v="0"/>
    <n v="0"/>
    <n v="0"/>
    <n v="0"/>
    <n v="0"/>
    <n v="0"/>
    <n v="0"/>
    <n v="0"/>
    <n v="0"/>
    <n v="0"/>
    <n v="0"/>
    <n v="0"/>
    <n v="0"/>
    <n v="0"/>
    <n v="116"/>
    <n v="0.25"/>
    <n v="145"/>
    <n v="100"/>
    <n v="0.25"/>
    <n v="0.25"/>
    <n v="0.25"/>
    <n v="1"/>
    <n v="0"/>
    <n v="77"/>
    <s v="MEJORAR EN EL CUATRIENIO LOS PROCESOS EDUCATIVOS, FORMATIVOS, PEDAGÓGICOS E INSTITUCIONALES DEL 100% DE LAS INSTITUCIONES EDUCATIVAS DE LOS MUNICIPIOS NO CERTIFICADOS"/>
    <m/>
    <s v=""/>
    <m/>
    <m/>
    <m/>
    <m/>
    <s v="DURANTE EL AÑO 2012 EL MINISTERIO DE EDUCACIÓN NACIONAL REALIZÓ LA TRANSFERENCIA DE LA METODOLOGÍA PARA EL ACOMPAÑAMIENTO, FORMULACIÓN, EVALAUCIÓN, VIABILIZACIÓN Y COFINANCIACIÓN DE LOS PROYECTOS PEDAGÓGICOS PRODUCTIVOS EN EMPRENDIMIENTO Y EMPRESARIALIDAD, EL MINISTERIO COFINANCIÓ 7 PROYECTOS PEDAGÓGICOS PRODUCTIVOS DE 7 IED DE CUNDINAMARCA._x000a_MEDIANTE GESTIÓN Y APOYO DEL MINSITERIO DE EDUCACIÓN NACIONAL, SE REALIZÓ PROCESO DE FORMACIÓN SOBRE LA GUIA 39 FOMENTO AL EMPRENDIMIENTO Y FORMULACIÓN DE PROYECTOS PEDAGÓGICOS PRODUCTIVOS A 377 DOCENTES Y DIRECTIVOS DOCENTES DE LAS INSTITUCIONES EDUCATIVAS DEPARTAMENTALES Y MÁS DE 1.500 ESTUDIANTES._x000a_IGUALMENTE SE REALIZARON TRES CONVOCATORIAS DE COFINANCIACIÓN DE PROYECTOS PEDAGÓGICOS PRODUCTIVOS EN EL MARCO DEL EMPRENDIMIENTO Y LA EMPRESARIALIDAD, DURANTE LAS VIGENCIAS (2013, 2014 Y 2015) EN DONDE SE PRESENTARON 143 PROYECTOS (FORMULADOS, ACOMPAÑADOS, EVALUADOS) DE LOS CUALES FUERON VIABILIZADOS Y COFINANCIADOS 76 PROYECTOS PEDAGÓGICOS PRODUCTIVOS."/>
    <n v="388000000"/>
    <m/>
    <n v="400000"/>
  </r>
  <r>
    <n v="89"/>
    <x v="0"/>
    <x v="3"/>
    <x v="2"/>
    <s v="DESARROLLO"/>
    <s v="CREAR E IMPLEMENTAR DURANTE EL CUATRIENIO EN 15 INSTITUCIONES EDUCATIVAS OFICIALES NUEVAS UNIDADES PRODUCTIVAS PARA FORMACIÓN Y TRANSFERENCIA, CON COMPONENTES DE INVESTIGACIÓN EN CT&amp;I, ORIENTADAS A SOLUCIONAR PROBLEMÁTICAS IDENTIFICADAS EN CADENAS PRODU"/>
    <s v="NO. DE IE CON NUEVAS UNIDADES PRODUCTIVAS "/>
    <s v="INSTITUCIONES"/>
    <s v="I"/>
    <n v="0"/>
    <n v="15"/>
    <n v="15"/>
    <n v="0.25"/>
    <n v="6.6666666666666666E-2"/>
    <n v="4"/>
    <n v="0.26666666666666666"/>
    <n v="4"/>
    <n v="4"/>
    <n v="100"/>
    <n v="100"/>
    <n v="6.6666666666666666E-2"/>
    <n v="100"/>
    <n v="725000000"/>
    <n v="725000000"/>
    <n v="0"/>
    <n v="0"/>
    <n v="0"/>
    <n v="0"/>
    <n v="0"/>
    <n v="0"/>
    <n v="818992000"/>
    <n v="818992000"/>
    <n v="0"/>
    <n v="0"/>
    <n v="0"/>
    <n v="0"/>
    <n v="0"/>
    <n v="0"/>
    <n v="0"/>
    <n v="0"/>
    <s v="-"/>
    <n v="0.05"/>
    <n v="3"/>
    <n v="0.2"/>
    <n v="5"/>
    <n v="5"/>
    <n v="166.66666666666666"/>
    <n v="100"/>
    <n v="0.05"/>
    <n v="100"/>
    <n v="524000000"/>
    <n v="0"/>
    <n v="524000000"/>
    <n v="0"/>
    <n v="0"/>
    <n v="0"/>
    <n v="0"/>
    <n v="0"/>
    <n v="495100000"/>
    <n v="495100000"/>
    <n v="0"/>
    <n v="0"/>
    <n v="0"/>
    <n v="0"/>
    <n v="0"/>
    <n v="0"/>
    <n v="0"/>
    <n v="3000000"/>
    <s v="Ministerio de Educación Nacional"/>
    <n v="6.6666666666666666E-2"/>
    <n v="4"/>
    <n v="0.26666666666666666"/>
    <n v="0"/>
    <n v="0"/>
    <n v="6"/>
    <n v="6"/>
    <n v="150"/>
    <n v="100"/>
    <n v="6.6666666666666666E-2"/>
    <n v="100"/>
    <n v="0.1"/>
    <n v="6.6666666666666666E-2"/>
    <n v="4"/>
    <n v="0.26666666666666666"/>
    <n v="0"/>
    <n v="4"/>
    <n v="0"/>
    <n v="0"/>
    <n v="0"/>
    <n v="0"/>
    <n v="0"/>
    <n v="1209000000"/>
    <n v="1209000000"/>
    <n v="0"/>
    <n v="0"/>
    <n v="0"/>
    <n v="0"/>
    <n v="0"/>
    <n v="0"/>
    <n v="0"/>
    <n v="0"/>
    <n v="0"/>
    <n v="0"/>
    <n v="0"/>
    <n v="0"/>
    <n v="0"/>
    <n v="0"/>
    <n v="0"/>
    <n v="0"/>
    <n v="0"/>
    <n v="15"/>
    <n v="0.25"/>
    <n v="100"/>
    <n v="100"/>
    <n v="0.25"/>
    <n v="0.25"/>
    <n v="0.25"/>
    <n v="1"/>
    <n v="0"/>
    <n v="75"/>
    <s v="MEJORAR EN EL CUATRIENIO, EL PROMEDIO DE DESEMPEÑO DE LAS PRUEBAS SABER DEL GRADO NOVENO DE LAS INSTITUCIONES EDUCATIVAS OFICIALES EN 2 PUNTOS EN CADA ÁREA EVALUADA"/>
    <n v="76"/>
    <s v="MEJORAR EN EL CUATRIENIO EL RESULTADO DE LAS PRUEBAS SABER DE GRADO 11° EN 2 PUNTOS EN 6 DE LAS ÁREAS EVALUADAS"/>
    <n v="77"/>
    <n v="78"/>
    <m/>
    <m/>
    <s v="DESDE EL AÑO 2012 SE VIENEN IMPLEMENTADO PROYECTOS MEDIADOS POR TECNOLOGÍAS MODERNAS, QUE APOYAN EL DESARROLLO DE PROCESOS PRODUCTIVOS, PARTIENDO DESDE EL CONOCIMIENTO, MANEJO Y DESARROLLO DE APLICACIONES PRODUCTIVAS, ASÍ COMO CON PROYECTOS QUE INCORPORAN APLICACIONES DE TECNOLOGÍA QUE GENERAN CONOCIMIENTO PARA EL DESARROLLO DE NUEVOS PROCESOS PRODUCTIVOS DENTRO DE LOS SECTORESS PREDOMINANTES EN LAS VOCACIONES DEL DEPARTAMENTO, QUE EN SU MAYORÍA DE TIPO RURAL. _x000a_LA META PARA EL CUATRIENIO FUE DE 15 PROYECTOS MEDIADOS CON ELEMENTOS DE CIENCIA, TECNOLOGÍA E INNOVACIÓN, QUE SE IMPLEMENTARON ASÍ: 4 EN EL 2012, 5 EN EL 2013, 6 EN EL 2014 Y EN EL 2015 SE ADELANTA EL PROCESO DE ADQUISICIÓN DE AL MENOS 2 PROYECTOS MEDIADOS POR CTEI PARA PROCESOS PRODUCTIVOS DEL SECTOR AGRÍCOLA, CON LO CUAL SE SUPERARÁ LA META ESTABLECIDA PARA EL CUATRIENIO."/>
    <n v="100000000"/>
    <m/>
    <n v="0"/>
  </r>
  <r>
    <n v="90"/>
    <x v="0"/>
    <x v="3"/>
    <x v="2"/>
    <s v="DESARROLLO"/>
    <s v="ARTICULAR EN EL CUATRIENIO 55 INSTITUCIONES EDUCATIVAS CON INSTITUCIONES DE EDUCACIÓN SUPERIOR QUE BRINDEN EDUCACIÓN TÉCNICA, TECNOLÓGICA, PROFESIONAL Y PARA EL TRABAJO Y EL DESARROLLO HUMANO, A ESTUDIANTES DE LOS GRADOS 10° Y 11° EN JORNADA COMPLEMENTARIA Y/O LOS SÁBADOS."/>
    <s v="NO. DE IE CON ARTICULACIÓN A LA EDUCACIÓN TÉCNICA, TECNOLÓGICA Y SUPERIOR"/>
    <s v="INSTITUCIONES"/>
    <s v="I"/>
    <n v="1"/>
    <n v="56"/>
    <n v="55"/>
    <n v="0.33"/>
    <n v="0.29399999999999998"/>
    <n v="49"/>
    <n v="0.89090909090909087"/>
    <n v="49"/>
    <n v="49"/>
    <n v="100"/>
    <n v="100"/>
    <n v="0.29399999999999998"/>
    <n v="100"/>
    <n v="597000000"/>
    <n v="597000000"/>
    <n v="0"/>
    <n v="0"/>
    <n v="0"/>
    <n v="0"/>
    <n v="0"/>
    <n v="0"/>
    <n v="0"/>
    <n v="0"/>
    <n v="0"/>
    <n v="0"/>
    <n v="0"/>
    <n v="0"/>
    <n v="0"/>
    <n v="0"/>
    <n v="0"/>
    <n v="0"/>
    <s v="-"/>
    <n v="1.2E-2"/>
    <n v="2"/>
    <n v="3.6363636363636362E-2"/>
    <n v="2"/>
    <n v="2"/>
    <n v="100"/>
    <n v="100"/>
    <n v="1.2E-2"/>
    <n v="100"/>
    <n v="431000000"/>
    <n v="0"/>
    <n v="431000000"/>
    <n v="0"/>
    <n v="0"/>
    <n v="0"/>
    <n v="0"/>
    <n v="0"/>
    <n v="1213918980"/>
    <n v="1213918980"/>
    <n v="0"/>
    <n v="0"/>
    <n v="0"/>
    <n v="0"/>
    <n v="0"/>
    <n v="0"/>
    <n v="0"/>
    <n v="0"/>
    <n v="0"/>
    <n v="1.7999999999999999E-2"/>
    <n v="3"/>
    <n v="5.4545454545454543E-2"/>
    <n v="72"/>
    <n v="3"/>
    <n v="3"/>
    <n v="3"/>
    <n v="100"/>
    <n v="100"/>
    <n v="1.7999999999999999E-2"/>
    <n v="100"/>
    <n v="1.7999999999999999E-2"/>
    <n v="6.0000000000000001E-3"/>
    <n v="1"/>
    <n v="1.8181818181818181E-2"/>
    <n v="3"/>
    <n v="-2"/>
    <n v="3"/>
    <n v="300"/>
    <n v="100"/>
    <n v="6.0000000000000001E-3"/>
    <n v="1.8000000000000002E-2"/>
    <n v="995000000"/>
    <n v="995000000"/>
    <n v="0"/>
    <n v="0"/>
    <n v="0"/>
    <n v="0"/>
    <n v="0"/>
    <n v="0"/>
    <n v="0"/>
    <n v="0"/>
    <n v="0"/>
    <n v="0"/>
    <n v="0"/>
    <n v="0"/>
    <n v="0"/>
    <n v="0"/>
    <n v="0"/>
    <n v="0"/>
    <n v="0"/>
    <n v="57"/>
    <n v="0.33"/>
    <n v="103.63636363636364"/>
    <n v="100"/>
    <n v="0.33"/>
    <n v="0.33"/>
    <n v="0.33"/>
    <n v="1"/>
    <n v="3.2959746043559335E-17"/>
    <n v="77"/>
    <s v="MEJORAR EN EL CUATRIENIO LOS PROCESOS EDUCATIVOS, FORMATIVOS, PEDAGÓGICOS E INSTITUCIONALES DEL 100% DE LAS INSTITUCIONES EDUCATIVAS DE LOS MUNICIPIOS NO CERTIFICADOS"/>
    <m/>
    <s v=""/>
    <m/>
    <m/>
    <m/>
    <m/>
    <s v="EN EL 2012 SE BENEFICIARON 2923 JÓVENES, EN EL 2013 SE BENEFICIARON 2609, EN EL 2014 SE BENEFICIARON 2825 Y EN EL 2015 SE BENEFICIARON 105 JOVENES. SE CUMPLIÓ LA META DE 55 INSTITUCIONES EDUCATIVAS DE MUNICIPIOS NO CERTIFICADOS Y SE REALIZARON 2 MÁS, EN TOTAL SE ARTICULARON DURANTE EL CUATRIENIO 57 INSTITUCIONES. EN EL 2012 49 IED ARTICULADAS, EN EL 2014 54 IED Y EN EL 2015 57 IED. "/>
    <n v="100000000"/>
    <m/>
    <n v="2"/>
  </r>
  <r>
    <n v="91"/>
    <x v="0"/>
    <x v="3"/>
    <x v="2"/>
    <s v="DESARROLLO"/>
    <s v="IMPLEMENTAR LA EDUCACIÓN INCLUSIVA PARA LA ADOLESCENCIA EN 72 INSTITUCIONES EDUCATIVAS DE LOS MUNICIPIOS NO CERTIFICADOS DURANTE EL CUATRIENIO"/>
    <s v="NO. DE IE CON EDUCACIÓN INCLUSIVA PARA LA ADOLESCENCIA"/>
    <s v="INSTITUCIONES"/>
    <s v="I"/>
    <n v="33"/>
    <n v="105"/>
    <n v="72"/>
    <n v="0.16500000000000001"/>
    <n v="4.1250000000000002E-2"/>
    <n v="18"/>
    <n v="0.25"/>
    <n v="0"/>
    <n v="0"/>
    <n v="0"/>
    <n v="0"/>
    <n v="0"/>
    <n v="0"/>
    <n v="0"/>
    <n v="0"/>
    <n v="0"/>
    <n v="0"/>
    <n v="0"/>
    <n v="0"/>
    <n v="0"/>
    <n v="0"/>
    <n v="0"/>
    <n v="0"/>
    <n v="0"/>
    <n v="0"/>
    <n v="0"/>
    <n v="0"/>
    <n v="0"/>
    <n v="0"/>
    <n v="0"/>
    <n v="0"/>
    <s v="-"/>
    <n v="4.1250000000000002E-2"/>
    <n v="18"/>
    <n v="0.25"/>
    <n v="18"/>
    <n v="18"/>
    <n v="100"/>
    <n v="100"/>
    <n v="4.1250000000000002E-2"/>
    <n v="100"/>
    <n v="108000000"/>
    <n v="0"/>
    <n v="108000000"/>
    <n v="0"/>
    <n v="0"/>
    <n v="0"/>
    <n v="0"/>
    <n v="0"/>
    <n v="21332960"/>
    <n v="21332960"/>
    <n v="0"/>
    <n v="0"/>
    <n v="0"/>
    <n v="0"/>
    <n v="0"/>
    <n v="0"/>
    <n v="0"/>
    <n v="0"/>
    <n v="0"/>
    <n v="4.1250000000000002E-2"/>
    <n v="18"/>
    <n v="0.25"/>
    <n v="0"/>
    <n v="12"/>
    <n v="49"/>
    <n v="49"/>
    <n v="272.22222222222223"/>
    <n v="100"/>
    <n v="4.1250000000000002E-2"/>
    <n v="100"/>
    <n v="0.11229166666666668"/>
    <n v="4.1250000000000002E-2"/>
    <n v="18"/>
    <n v="0.25"/>
    <n v="55"/>
    <n v="-37"/>
    <n v="55"/>
    <n v="305.55555555555554"/>
    <n v="100"/>
    <n v="4.1250000000000002E-2"/>
    <n v="0.12604166666666666"/>
    <n v="249000000"/>
    <n v="249000000"/>
    <n v="0"/>
    <n v="0"/>
    <n v="0"/>
    <n v="0"/>
    <n v="0"/>
    <n v="0"/>
    <n v="0"/>
    <n v="0"/>
    <n v="0"/>
    <n v="0"/>
    <n v="0"/>
    <n v="0"/>
    <n v="0"/>
    <n v="0"/>
    <n v="0"/>
    <n v="0"/>
    <n v="0"/>
    <n v="122"/>
    <n v="0.16500000000000001"/>
    <n v="169.44444444444446"/>
    <n v="100"/>
    <n v="0.16500000000000001"/>
    <n v="0.16500000000000001"/>
    <n v="0.16500000000000001"/>
    <n v="1"/>
    <n v="0"/>
    <n v="37"/>
    <s v="REDUCIR EN EL CUATRIENIO LA TASA DE DESERCIÓN ESCOLAR AL 5.15%"/>
    <n v="75"/>
    <s v="MEJORAR EN EL CUATRIENIO, EL PROMEDIO DE DESEMPEÑO DE LAS PRUEBAS SABER DEL GRADO NOVENO DE LAS INSTITUCIONES EDUCATIVAS OFICIALES EN 2 PUNTOS EN CADA ÁREA EVALUADA"/>
    <n v="76"/>
    <n v="77"/>
    <m/>
    <m/>
    <s v="ESTO SE HA LOGRADO EN EL CUATRIENIO MEDIANTE: - 5 CONVENIOS DE COOPERACIÓN CON LA FUNDACIÓN SALDARRIAGA CONCHA PARA LA ATENCIÓN DE LOS ESTUDIANTES CON DISCAPACIDAD MEDIANTE ACCIONES DE ACOMPAÑAMIENTO INSTITUCIONAL, FORMACIÓN A DOCENTES Y DIRECTIVOS DOCENTES, ENTREGA DE CANASTAS EDUCATIVAS PERTINENTES, ASIGNACIÓN DE PROFESIONALES DE APOYO Y TALLERES DE FORTALECIMIENTO AL SECTOR PÚBLICO. - 2 CONVENIOS DE COOPERACIÓN CON EL INSTITUTO NACIONAL PARA CIEGOS INSOR PARA REORGANIZAR Y FORTALECER LA OFERTA EDUCATIVA PARA ESTUDIANTES SORDOS. - 2 CONTRATOS INTERADMINISTRATIVOS DE COMPRAVENTA CON EL INSTITUTO NACIONAL PARA CIEGOS INCI PARA ADQUIRIR MATERIAL PERTINENTE PARA ESTUDIANTES CIEGOS - 1 CONVENIO DE COOPERACIÓN CON LA FUNDACIÓN ALBERTO MERANI PARA APOYAR A LAS IED EN LA CARACTERIZACIÓN DE LOS ESTUDIANTES CON TALENTOS Y CON DISCAPACIDAD COGNITIVA."/>
    <n v="702000000"/>
    <m/>
    <n v="1"/>
  </r>
  <r>
    <n v="92"/>
    <x v="0"/>
    <x v="3"/>
    <x v="2"/>
    <s v="DESARROLLO"/>
    <s v="REALIZAR EN EL CUATRIENIO 2 ALIANZAS ESTRATÉGICAS CON ENTIDADES EDUCATIVAS ESPECIALIZADAS EN FORMACIÓN EN EL IDIOMA INGLÉS PARA FORTALECER LAS HABILIDADES EN LENGUAS EXTRANJERAS DE LAS Y LOS DOCENTES."/>
    <s v="NO. DE CONVENIOS SUSCRITOS PARA PRÁCTICAS DOCENTES EN LENGUAS EXTRANJERAS"/>
    <s v="ALIANZAS"/>
    <s v="I"/>
    <n v="0"/>
    <n v="2"/>
    <n v="2"/>
    <n v="0.25"/>
    <n v="0"/>
    <n v="0"/>
    <n v="0"/>
    <n v="0"/>
    <n v="0"/>
    <n v="0"/>
    <n v="0"/>
    <n v="0"/>
    <n v="0"/>
    <n v="0"/>
    <n v="0"/>
    <n v="0"/>
    <n v="0"/>
    <n v="0"/>
    <n v="0"/>
    <n v="0"/>
    <n v="0"/>
    <n v="0"/>
    <n v="0"/>
    <n v="0"/>
    <n v="0"/>
    <n v="0"/>
    <n v="0"/>
    <n v="0"/>
    <n v="0"/>
    <n v="0"/>
    <n v="0"/>
    <s v="-"/>
    <n v="0.25"/>
    <n v="2"/>
    <n v="1"/>
    <n v="3"/>
    <n v="3"/>
    <n v="150"/>
    <n v="100"/>
    <n v="0.25"/>
    <n v="100"/>
    <n v="280000000"/>
    <n v="0"/>
    <n v="280000000"/>
    <n v="0"/>
    <n v="0"/>
    <n v="0"/>
    <n v="0"/>
    <n v="0"/>
    <n v="280000000"/>
    <n v="280000000"/>
    <n v="0"/>
    <n v="0"/>
    <n v="0"/>
    <n v="0"/>
    <n v="0"/>
    <n v="0"/>
    <n v="0"/>
    <n v="25454540"/>
    <s v="PEARSON"/>
    <n v="0"/>
    <n v="0"/>
    <n v="0"/>
    <n v="2"/>
    <n v="2"/>
    <n v="2"/>
    <n v="2"/>
    <n v="0"/>
    <n v="0"/>
    <n v="0"/>
    <n v="100"/>
    <n v="0"/>
    <n v="0"/>
    <n v="0"/>
    <n v="0"/>
    <n v="1"/>
    <n v="-1"/>
    <n v="1"/>
    <n v="0"/>
    <n v="0"/>
    <n v="0"/>
    <n v="0"/>
    <n v="0"/>
    <n v="0"/>
    <n v="0"/>
    <n v="0"/>
    <n v="0"/>
    <n v="0"/>
    <n v="0"/>
    <n v="0"/>
    <n v="0"/>
    <n v="0"/>
    <n v="0"/>
    <n v="0"/>
    <n v="0"/>
    <n v="0"/>
    <n v="0"/>
    <n v="0"/>
    <n v="0"/>
    <n v="0"/>
    <n v="0"/>
    <n v="6"/>
    <n v="0.25"/>
    <n v="300"/>
    <n v="100"/>
    <n v="0.25"/>
    <n v="0.25"/>
    <n v="0.25"/>
    <n v="1"/>
    <n v="0"/>
    <n v="77"/>
    <s v="MEJORAR EN EL CUATRIENIO LOS PROCESOS EDUCATIVOS, FORMATIVOS, PEDAGÓGICOS E INSTITUCIONALES DEL 100% DE LAS INSTITUCIONES EDUCATIVAS DE LOS MUNICIPIOS NO CERTIFICADOS"/>
    <m/>
    <s v=""/>
    <m/>
    <m/>
    <m/>
    <m/>
    <s v="FORMACIÓN DE DOCENTES CON PEARSON EDUCACIÓN DE COLOMBIA: EN EL AÑO 2013: 210 DOCENTES CERTIFICADOS EN NIVEL A1-A2; 214 CERTIFICACIONES EN FUNDAMENTOS DE METODOLOGÍA; 8 MUNICIPIOS FOCALIZADOS; 7 PROVINCIAS BENEFICIADAS; ALCANCE APROXIMADO DE 59 MUNICIPIOS. EN EL 2014: 331 DOCENTES CERTIFICADOS EN NIVEL A1-A2; 91 DOCENTES CERTIFICADOS EN NIVEL B1-B1+; 427 CERTIFICACIONES EN FUNDAMENTOS DE METODOLOGÍA; 12 MUNICIPIOS FOCALIZADOS; 12 PROVINCIAS BENEFICIADAS; ALCANCE APROXIMADO DE 96 MUNICIPIOS. 2014 - 2015: 682 DOCENTES A CERTIFICAR EN NIVEL A1-A2; 682 CERTIFICACIONES PARA ENTREGAR EN FUNDAMENTOS DE METODOLOGÍA; 14 MUNICIPIOS FOCALIZADOS; _x000a_11 PROVINCIAS BENEFICIADAS; ALCANCE APROXIMADO DE 87MUNICIPIOS._x000a__x000a__x000a_"/>
    <n v="790000000"/>
    <m/>
    <n v="10"/>
  </r>
  <r>
    <n v="93"/>
    <x v="0"/>
    <x v="3"/>
    <x v="2"/>
    <s v="DESARROLLO"/>
    <s v="APOYAR ANUALMENTE AL 100% DE LAS Y LOS ESTUDIANTES DE GRADO 11 DE LAS INSTITUCIONES EDUCATIVAS UBICADAS POR DEBAJO DEL NIVEL MEDIO EN LAS PRUEBAS SABER, CON PROGRAMAS DE PREPARACIÓN PARA LAS PRUEBAS SABER PRO."/>
    <s v="% DE ESTUDIANTES DE GRADO 11 APOYADOS ANUALMENTE PARA LA PREPARACIÓN A LAS PRUEBAS SABER PRO"/>
    <s v="PORCENTAJE DE PERSONAS"/>
    <s v="M"/>
    <n v="0"/>
    <n v="100"/>
    <n v="100"/>
    <n v="0.25"/>
    <n v="6.25E-2"/>
    <n v="100"/>
    <n v="0.25"/>
    <n v="100"/>
    <n v="25"/>
    <n v="100"/>
    <n v="100"/>
    <n v="6.25E-2"/>
    <n v="100"/>
    <n v="0"/>
    <n v="0"/>
    <n v="0"/>
    <n v="0"/>
    <n v="0"/>
    <n v="0"/>
    <n v="0"/>
    <n v="0"/>
    <n v="0"/>
    <n v="0"/>
    <n v="0"/>
    <n v="0"/>
    <n v="0"/>
    <n v="0"/>
    <n v="0"/>
    <n v="0"/>
    <n v="0"/>
    <n v="0"/>
    <s v="-"/>
    <n v="6.25E-2"/>
    <n v="100"/>
    <n v="0.25"/>
    <n v="100"/>
    <n v="25"/>
    <n v="100"/>
    <n v="100"/>
    <n v="6.25E-2"/>
    <n v="100"/>
    <n v="160000000"/>
    <n v="0"/>
    <n v="160000000"/>
    <n v="0"/>
    <n v="0"/>
    <n v="0"/>
    <n v="0"/>
    <n v="0"/>
    <n v="160000000"/>
    <n v="160000000"/>
    <n v="0"/>
    <n v="0"/>
    <n v="0"/>
    <n v="0"/>
    <n v="0"/>
    <n v="0"/>
    <n v="0"/>
    <n v="0"/>
    <n v="0"/>
    <n v="6.25E-2"/>
    <n v="100"/>
    <n v="0.25"/>
    <n v="100"/>
    <n v="100"/>
    <n v="100"/>
    <n v="25"/>
    <n v="100"/>
    <n v="100"/>
    <n v="6.25E-2"/>
    <n v="100"/>
    <n v="6.25E-2"/>
    <n v="6.25E-2"/>
    <n v="100"/>
    <n v="0.25"/>
    <n v="100"/>
    <n v="0"/>
    <n v="25"/>
    <n v="100"/>
    <n v="100"/>
    <n v="6.25E-2"/>
    <n v="6.25E-2"/>
    <n v="368000000"/>
    <n v="368000000"/>
    <n v="0"/>
    <n v="0"/>
    <n v="0"/>
    <n v="0"/>
    <n v="0"/>
    <n v="0"/>
    <n v="0"/>
    <n v="0"/>
    <n v="0"/>
    <n v="0"/>
    <n v="0"/>
    <n v="0"/>
    <n v="0"/>
    <n v="0"/>
    <n v="0"/>
    <n v="0"/>
    <n v="0"/>
    <n v="100"/>
    <n v="0.25"/>
    <n v="100"/>
    <n v="100"/>
    <n v="0.25"/>
    <n v="0.25"/>
    <n v="0.25"/>
    <n v="1"/>
    <n v="0"/>
    <n v="75"/>
    <s v="MEJORAR EN EL CUATRIENIO, EL PROMEDIO DE DESEMPEÑO DE LAS PRUEBAS SABER DEL GRADO NOVENO DE LAS INSTITUCIONES EDUCATIVAS OFICIALES EN 2 PUNTOS EN CADA ÁREA EVALUADA"/>
    <n v="76"/>
    <s v="MEJORAR EN EL CUATRIENIO EL RESULTADO DE LAS PRUEBAS SABER DE GRADO 11° EN 2 PUNTOS EN 6 DE LAS ÁREAS EVALUADAS"/>
    <m/>
    <m/>
    <m/>
    <m/>
    <s v="PARA EL CUMPLIMIENTO DE LA META 93, DURANTE EL CUATRIENIO SE SUSCRIBIERON CONTRATOS PARA EL ACOMPAÑAMIENTO A LOS ESTUDIANTES DE LAS IED QUE OBTUBIERON BAJO LOGRO EN LOS RESULTADOS DE LAS PRUEBAS SABER 11°; DURANTE EL AÑO 2015, SE ATENDIERON 1.689 ESTUDIANTES DE GRADO 11° Y 150 DOCENTES DEL MISMO GRADO, DE 52 INSTITUCIONES EDUCATIVAS DEPARTAMENTALES, DE 44 MUNICIPIOS NO CERTIFICADOS DEL DEPARTAMENTO DE CUNDINAMARCA, POR VALOR DE $360,000,000."/>
    <n v="1325000000"/>
    <m/>
    <n v="5"/>
  </r>
  <r>
    <n v="94"/>
    <x v="0"/>
    <x v="3"/>
    <x v="2"/>
    <s v="DESARROLLO"/>
    <s v="CONTRIBUIR EN EL CUATRIENIO CON LA PERMANENCIA DE 57.000 ADOLESCENTES EN EL SISTEMA EDUCATIVO OFICIAL, MEDIANTE EL SUMINISTRO DE COMPLEMENTOS NUTRICIONALES."/>
    <s v="NO. DE ADOLESCENTES CON SUMINISTRO DE COMPLEMENTO NUTRICIONAL EN EL CUATRIENIO"/>
    <s v="PERSONAS"/>
    <s v="I"/>
    <n v="32757"/>
    <n v="89757"/>
    <n v="57000"/>
    <n v="0.16500000000000001"/>
    <n v="1.5921052631578947E-2"/>
    <n v="5500"/>
    <n v="9.6491228070175433E-2"/>
    <n v="0"/>
    <n v="0"/>
    <n v="0"/>
    <n v="0"/>
    <n v="0"/>
    <n v="0"/>
    <n v="94000000"/>
    <n v="0"/>
    <n v="0"/>
    <n v="94000000"/>
    <n v="0"/>
    <n v="0"/>
    <n v="0"/>
    <n v="0"/>
    <n v="0"/>
    <n v="0"/>
    <n v="0"/>
    <n v="0"/>
    <n v="0"/>
    <n v="0"/>
    <n v="0"/>
    <n v="0"/>
    <n v="0"/>
    <n v="0"/>
    <s v="-"/>
    <n v="4.3461578947368421E-2"/>
    <n v="15014"/>
    <n v="0.26340350877192981"/>
    <n v="15014"/>
    <n v="15014"/>
    <n v="100"/>
    <n v="100"/>
    <n v="4.3461578947368421E-2"/>
    <n v="100"/>
    <n v="636000000"/>
    <n v="0"/>
    <n v="636000000"/>
    <n v="0"/>
    <n v="0"/>
    <n v="0"/>
    <n v="0"/>
    <n v="0"/>
    <n v="1756669204"/>
    <n v="1079779430"/>
    <n v="676889774"/>
    <n v="0"/>
    <n v="0"/>
    <n v="0"/>
    <n v="0"/>
    <n v="0"/>
    <n v="0"/>
    <n v="0"/>
    <n v="0"/>
    <n v="7.9367894736842109E-2"/>
    <n v="27418"/>
    <n v="0.48101754385964912"/>
    <n v="18379"/>
    <n v="18379"/>
    <n v="33986"/>
    <n v="33986"/>
    <n v="123.95506601502663"/>
    <n v="100"/>
    <n v="7.9367894736842109E-2"/>
    <n v="100"/>
    <n v="9.8380526315789488E-2"/>
    <n v="2.6249473684210527E-2"/>
    <n v="9068"/>
    <n v="0.15908771929824561"/>
    <n v="23324"/>
    <n v="-14256"/>
    <n v="23324"/>
    <n v="257.2121746801941"/>
    <n v="100"/>
    <n v="2.6249473684210531E-2"/>
    <n v="6.7516842105263167E-2"/>
    <n v="1468000000"/>
    <n v="1468000000"/>
    <n v="0"/>
    <n v="0"/>
    <n v="0"/>
    <n v="0"/>
    <n v="0"/>
    <n v="0"/>
    <n v="0"/>
    <n v="0"/>
    <n v="0"/>
    <n v="0"/>
    <n v="0"/>
    <n v="0"/>
    <n v="0"/>
    <n v="0"/>
    <n v="0"/>
    <n v="0"/>
    <n v="0"/>
    <n v="72324"/>
    <n v="0.16500000000000001"/>
    <n v="126.88421052631578"/>
    <n v="100"/>
    <n v="0.16500000000000001"/>
    <n v="0.16500000000000001"/>
    <n v="0.16500000000000001"/>
    <n v="1"/>
    <n v="0"/>
    <n v="37"/>
    <s v="REDUCIR EN EL CUATRIENIO LA TASA DE DESERCIÓN ESCOLAR AL 5.15%"/>
    <n v="78"/>
    <s v="ALCANZAR EN EL CUATRIENIO UNA COBERTURA BRUTA EN EDUCACIÓN MEDIA DE 78,9%, PRIORIZANDO LA POBLACIÓN EN SITUACIÓN DE POBREZA EXTREMA QUE LO DEMANDE"/>
    <m/>
    <m/>
    <m/>
    <m/>
    <s v="_x000a_SE BENEFICIARON 66.081 ESTUDIANTES CON LA ESTRATEGIA DE COMPLEMENTO NUTRICIONAL, MEDIANTE CONVENIOS CON LOS MUNICIPIOS Y CONTRATACIÓN DE ALIMENTACIÓN PARA LOS ESTUDIANTES DE JORNADAS COMPLEMENTARIAS Y MEDIA TÉCNICA, ADEMAS SE DOTO CON MENAJE A INSTITUCIONES EDUCATIVAS DE LOS MUNICIPIOS NO CERTIFICADOS DEL DEPARTAMENTO. "/>
    <n v="550000000"/>
    <m/>
    <n v="0"/>
  </r>
  <r>
    <n v="95"/>
    <x v="0"/>
    <x v="3"/>
    <x v="2"/>
    <s v="DESARROLLO"/>
    <s v="LOGRAR EN EL CUATRIENIO LA PERMANENCIA DE 221.817 ADOLESCENTES MEDIANTE ESTRATEGIAS COMO SUBSIDIO AL TRANSPORTE ESCOLAR, PASANDO DE 62 A 90 DÍAS Y ALOJAMIENTO, ENTRE OTROS."/>
    <s v="NO. DE ADOLESCENTES CON SUBSIDIO DE TRANSPORTE ESCOLAR DURANTE EL CUATRIENIO / NO. DE DIAS"/>
    <s v="PERSONAS"/>
    <s v="I"/>
    <n v="178167"/>
    <n v="399984"/>
    <n v="221817"/>
    <n v="0.25"/>
    <n v="6.5475143924947146E-2"/>
    <n v="58094"/>
    <n v="0.26190057569978858"/>
    <n v="58094"/>
    <n v="58094"/>
    <n v="100"/>
    <n v="100"/>
    <n v="6.5475143924947146E-2"/>
    <n v="100"/>
    <n v="12267000000"/>
    <n v="8210000000"/>
    <n v="0"/>
    <n v="4057000000"/>
    <n v="0"/>
    <n v="0"/>
    <n v="0"/>
    <n v="0"/>
    <n v="11114000000"/>
    <n v="9500000000"/>
    <n v="0"/>
    <n v="0"/>
    <n v="0"/>
    <n v="0"/>
    <n v="0"/>
    <n v="1614000000"/>
    <n v="0"/>
    <n v="0"/>
    <s v="-"/>
    <n v="6.2438857256206695E-2"/>
    <n v="55400"/>
    <n v="0.24975542902482678"/>
    <n v="60184"/>
    <n v="60184"/>
    <n v="108.63537906137184"/>
    <n v="100"/>
    <n v="6.2438857256206702E-2"/>
    <n v="100"/>
    <n v="22969000000"/>
    <n v="0"/>
    <n v="7350000000"/>
    <n v="0"/>
    <n v="0"/>
    <n v="0"/>
    <n v="0"/>
    <n v="15619000"/>
    <n v="11553137325"/>
    <n v="6432327010"/>
    <n v="0"/>
    <n v="0"/>
    <n v="0"/>
    <n v="5120810315"/>
    <n v="0"/>
    <n v="0"/>
    <n v="0"/>
    <n v="1404733080"/>
    <s v="COOPERATIVAS"/>
    <n v="6.2562833326571005E-2"/>
    <n v="55510"/>
    <n v="0.25025133330628402"/>
    <n v="45626"/>
    <n v="45626"/>
    <n v="45626"/>
    <n v="45626"/>
    <n v="82.194199243379572"/>
    <n v="82.194199243379572"/>
    <n v="5.1423019876745253E-2"/>
    <n v="82.194199243379572"/>
    <n v="5.1423019876745253E-2"/>
    <n v="5.9523165492275161E-2"/>
    <n v="52813"/>
    <n v="0.23809266196910064"/>
    <n v="59909"/>
    <n v="-7096"/>
    <n v="59909"/>
    <n v="113.43608581220533"/>
    <n v="100"/>
    <n v="5.9523165492275168E-2"/>
    <n v="6.7520749085958245E-2"/>
    <n v="32578000000"/>
    <n v="16961000"/>
    <n v="0"/>
    <n v="0"/>
    <n v="0"/>
    <n v="0"/>
    <n v="0"/>
    <n v="15617000"/>
    <n v="0"/>
    <n v="0"/>
    <n v="0"/>
    <n v="0"/>
    <n v="0"/>
    <n v="0"/>
    <n v="0"/>
    <n v="0"/>
    <n v="0"/>
    <n v="0"/>
    <n v="0"/>
    <n v="223813"/>
    <n v="0.25"/>
    <n v="100.89984085980785"/>
    <n v="100"/>
    <n v="0.25"/>
    <n v="0.25"/>
    <n v="0.25"/>
    <n v="1"/>
    <n v="0"/>
    <n v="37"/>
    <s v="REDUCIR EN EL CUATRIENIO LA TASA DE DESERCIÓN ESCOLAR AL 5.15%"/>
    <n v="78"/>
    <s v="ALCANZAR EN EL CUATRIENIO UNA COBERTURA BRUTA EN EDUCACIÓN MEDIA DE 78,9%, PRIORIZANDO LA POBLACIÓN EN SITUACIÓN DE POBREZA EXTREMA QUE LO DEMANDE"/>
    <m/>
    <m/>
    <m/>
    <m/>
    <s v="SE LOGRÓ ATENDER CON LA ESTRATEGIA DE TRANSPORTE ESCOLAR A 105 MUNICIPIOS NO CERTIFICADOS DEL DEPARTAMENTO, PASANDO DE 62 A 90 DÍAS DE ATENCIÓN EN EL SEGUNDO SEMESTRE DEL CALENDARIO ESCOLAR EN CADA AÑO, LOGRANDO ASÍ BENEFICIAR A LA POBLACIÓN ADOLESCENTE CON ESTE SUBSIDIO, SE ATENDIÓ A LOS ESTUDIANTES QUE POR SU DISTANCIA ENTRE LA IED Y SU RESIDENCIA NO PODIAN ACCEDER A ESTE SERVICIO, FUERON BENEFICIADOS CON EL SUBSIDIO DE ALOJAMIENTO, A LOS JOVENES QUE POR CONDICIONES TOPOGRÁFICAS TAMPOCO TENÍAN ACCESO AL TRANSPORTE ESCOLAR SE LES ENTREGÓ 142 BICICLETAS PARA REMPLAZAR ESTE SERVICIO, TAMBIEN SE COFINANCIARON 71 BUSES A ALGUNOS MUNICIPIOS PARA EL SERVICIO DE TRANSPORTE ESCOLAR. "/>
    <n v="615000000"/>
    <m/>
    <n v="0"/>
  </r>
  <r>
    <n v="96"/>
    <x v="0"/>
    <x v="6"/>
    <x v="2"/>
    <s v="DESARROLLO"/>
    <s v="ATENDER INTEGRALMENTE A 500 ADOLESCENTES DE ESCASOS RECURSOS, CADA AÑO, EN LOS CENTROS DE PROTECCIÓN DE LA BENEFICENCIA DE CUNDINAMARCA"/>
    <s v="NO. DE ADOLESCENTES ATENDIDOS CADA AÑO EN LOS CENTROS DE LA BENEFICENCIA"/>
    <s v="PERSONAS"/>
    <s v="M"/>
    <n v="481"/>
    <n v="500"/>
    <n v="500"/>
    <n v="0.16500000000000001"/>
    <n v="4.1250000000000002E-2"/>
    <n v="500"/>
    <n v="0.25"/>
    <n v="525"/>
    <n v="131.25"/>
    <n v="105"/>
    <n v="100"/>
    <n v="4.1250000000000002E-2"/>
    <n v="100"/>
    <n v="2300000000"/>
    <n v="2300000000"/>
    <n v="0"/>
    <n v="0"/>
    <n v="0"/>
    <n v="0"/>
    <n v="0"/>
    <n v="0"/>
    <n v="3963593000"/>
    <n v="3963593000"/>
    <n v="0"/>
    <n v="0"/>
    <n v="0"/>
    <n v="0"/>
    <n v="0"/>
    <n v="0"/>
    <n v="0"/>
    <n v="0"/>
    <s v="-"/>
    <n v="4.1250000000000002E-2"/>
    <n v="500"/>
    <n v="0.25"/>
    <n v="496"/>
    <n v="124"/>
    <n v="99.2"/>
    <n v="99.2"/>
    <n v="4.0920000000000005E-2"/>
    <n v="99.2"/>
    <n v="4008000000"/>
    <n v="0"/>
    <n v="4008000000"/>
    <n v="0"/>
    <n v="0"/>
    <n v="0"/>
    <n v="0"/>
    <n v="0"/>
    <n v="2950401020"/>
    <n v="2950401020"/>
    <n v="0"/>
    <n v="0"/>
    <n v="0"/>
    <n v="0"/>
    <n v="0"/>
    <n v="0"/>
    <n v="0"/>
    <n v="0"/>
    <n v="0"/>
    <n v="4.1250000000000002E-2"/>
    <n v="500"/>
    <n v="0.25"/>
    <n v="416"/>
    <n v="416"/>
    <n v="427"/>
    <n v="106.75"/>
    <n v="85.4"/>
    <n v="85.4"/>
    <n v="3.5227500000000002E-2"/>
    <n v="85.4"/>
    <n v="3.5227500000000002E-2"/>
    <n v="4.1250000000000002E-2"/>
    <n v="500"/>
    <n v="0.25"/>
    <n v="828"/>
    <n v="-328"/>
    <n v="207"/>
    <n v="165.6"/>
    <n v="100"/>
    <n v="4.1250000000000002E-2"/>
    <n v="6.831000000000001E-2"/>
    <n v="4008000000"/>
    <n v="4008000000"/>
    <n v="0"/>
    <n v="0"/>
    <n v="0"/>
    <n v="0"/>
    <n v="0"/>
    <n v="0"/>
    <n v="0"/>
    <n v="0"/>
    <n v="0"/>
    <n v="0"/>
    <n v="0"/>
    <n v="0"/>
    <n v="0"/>
    <n v="0"/>
    <n v="0"/>
    <n v="0"/>
    <n v="0"/>
    <n v="569"/>
    <n v="0.16500000000000001"/>
    <n v="113.8"/>
    <n v="100"/>
    <n v="0.16500000000000001"/>
    <n v="0.16500000000000001"/>
    <n v="0.16500000000000001"/>
    <n v="1"/>
    <n v="0"/>
    <n v="74"/>
    <s v="FOMENTAR HABILIDADES Y DESTREZAS CON ACTIVIDADES LÚDICAS, CULTURALES Y DEPORTIVAS ANUALMENTE EN EL 60% DE LAS Y LOS ADOLESCENTES"/>
    <m/>
    <s v=""/>
    <m/>
    <m/>
    <m/>
    <m/>
    <s v="PROTECCIÓN SOCIAL QUE COMPRENDE ALOJAMIENTO, ALIMENTACIÓN, INTERVENCION TERAPÉUTICA PROFESIONAL E INTERDISCIPLINARIA PARA EL ADOLESCENTE Y SU FAMILIA EN TRABAJO SOCIAL, PSICOLOGÍA, EDUCACIÓN ESPECIAL (ADOLESCENTES CON DISCAPACIDAD), PSICOPEDAGOGÍA, FONOAUDIOLOGÍA, TERAPIA OCUPACIONAL, PEDAGOGÍA REEDUCATIVA, NUTRICIÓN, EDUCACIÓN, FORMACIÓN PARA EL TRABAJO, RECREACIÓN, CULTURA, DEPORTE, BUEN USO DEL TIEMPO LIBRE, DESARROLLO DE PROYECTOS PRODUCTIVOS Y OCUPACIONALES."/>
    <n v="1827000000"/>
    <m/>
    <n v="14"/>
  </r>
  <r>
    <n v="97"/>
    <x v="0"/>
    <x v="1"/>
    <x v="2"/>
    <s v="DESARROLLO"/>
    <s v="FORTALECER EL DESARROLLO SICOMOTRIZ Y SOCIAL DE LAS Y LOS ADOLESCENTES MEJORANDO EN EL CUATRIENIO LA OPERACIÓN DE 160 LUDOTECAS CON AMBIENTE E IMPLEMENTOS ADECUADOS"/>
    <s v="NO. DE LUDOTECAS CON AMBIENTE Y DOTACIÓN ADECUADA PARA LOS ADOLESCENTES"/>
    <s v="LUDOTECAS"/>
    <s v="I"/>
    <n v="132"/>
    <n v="292"/>
    <n v="160"/>
    <n v="0.16500000000000001"/>
    <n v="7.2187499999999995E-3"/>
    <n v="7"/>
    <n v="4.3749999999999997E-2"/>
    <n v="0"/>
    <n v="0"/>
    <n v="0"/>
    <n v="0"/>
    <n v="0"/>
    <n v="0"/>
    <n v="200000000"/>
    <n v="100000000"/>
    <n v="0"/>
    <n v="0"/>
    <n v="0"/>
    <n v="0"/>
    <n v="0"/>
    <n v="100000000"/>
    <n v="8000000"/>
    <n v="8000000"/>
    <n v="0"/>
    <n v="0"/>
    <n v="0"/>
    <n v="0"/>
    <n v="0"/>
    <n v="0"/>
    <n v="0"/>
    <n v="0"/>
    <s v="-"/>
    <n v="5.2593750000000002E-2"/>
    <n v="51"/>
    <n v="0.31874999999999998"/>
    <n v="70"/>
    <n v="70"/>
    <n v="137.25490196078431"/>
    <n v="100"/>
    <n v="5.2593750000000002E-2"/>
    <n v="100"/>
    <n v="304000000"/>
    <n v="0"/>
    <n v="47000000"/>
    <n v="0"/>
    <n v="0"/>
    <n v="0"/>
    <n v="0"/>
    <n v="257000000"/>
    <n v="50000000"/>
    <n v="50000000"/>
    <n v="0"/>
    <n v="0"/>
    <n v="0"/>
    <n v="0"/>
    <n v="0"/>
    <n v="0"/>
    <n v="0"/>
    <n v="0"/>
    <n v="0"/>
    <n v="5.2593750000000002E-2"/>
    <n v="51"/>
    <n v="0.31874999999999998"/>
    <n v="0"/>
    <n v="0"/>
    <n v="0"/>
    <n v="0"/>
    <n v="0"/>
    <n v="0"/>
    <n v="0"/>
    <n v="0"/>
    <n v="0"/>
    <n v="5.2593750000000002E-2"/>
    <n v="51"/>
    <n v="0.31874999999999998"/>
    <n v="0"/>
    <n v="51"/>
    <n v="0"/>
    <n v="0"/>
    <n v="0"/>
    <n v="0"/>
    <n v="0"/>
    <n v="367000000"/>
    <n v="108000000"/>
    <n v="0"/>
    <n v="0"/>
    <n v="0"/>
    <n v="0"/>
    <n v="0"/>
    <n v="259000000"/>
    <n v="0"/>
    <n v="0"/>
    <n v="0"/>
    <n v="0"/>
    <n v="0"/>
    <n v="0"/>
    <n v="0"/>
    <n v="0"/>
    <n v="0"/>
    <n v="0"/>
    <n v="0"/>
    <n v="70"/>
    <n v="0.16500000000000001"/>
    <n v="43.75"/>
    <n v="43.75"/>
    <n v="7.2187500000000002E-2"/>
    <n v="7.2187500000000002E-2"/>
    <n v="7.2187500000000002E-2"/>
    <n v="0.99999999999999989"/>
    <n v="0"/>
    <n v="74"/>
    <s v="FOMENTAR HABILIDADES Y DESTREZAS CON ACTIVIDADES LÚDICAS, CULTURALES Y DEPORTIVAS ANUALMENTE EN EL 60% DE LAS Y LOS ADOLESCENTES"/>
    <m/>
    <s v=""/>
    <m/>
    <m/>
    <m/>
    <m/>
    <s v="FORTALECIMIENTO DE ESPACIOS DE PARTICIPACIÓN Y APRENDIZAJE CON DOTACIÓN A 70 LUDOTECAS EN EL MARCO DEL PROGRAMA RED DE LUDOTECAS EN 67 MUNICIPIOS, DE LAS CUALES 19 SE ENCUENTRAN A CARGO DE COLSUBSIDIO EN EL MARCO DEL CONVENIO DE COOPERACIÓN SUSCRITO. ENTRE 2014 Y PRIMER SEMESTRE DE 2015, SE HA BRINDADO ATENCIÓN A MÁS DE 74 MIL ADOLESCENTES."/>
    <n v="4000000"/>
    <m/>
    <n v="0"/>
  </r>
  <r>
    <n v="98"/>
    <x v="0"/>
    <x v="4"/>
    <x v="2"/>
    <s v="DESARROLLO"/>
    <s v="FORTALECER LA ENSEÑANZA HACIA EL DEPORTE DE COMPETENCIA DE 49.844 ADOLESCENTES ANUALMENTE EN LAS ESCUELAS DE FORMACIÓN DEPORTIVA Y RECREATIVA, ARTICULADAS CON LA JORNADA COMPLEMENTARIA"/>
    <s v="NO. DE ADOLESCENTES ATENDIDOS EN ESCUELAS DE FORMACIÓN DEPORTIVA Y RECREATIVA"/>
    <s v="PERSONAS"/>
    <s v="M"/>
    <n v="44233"/>
    <n v="49844"/>
    <n v="49844"/>
    <n v="0.16500000000000001"/>
    <n v="4.1250000000000002E-2"/>
    <n v="49844"/>
    <n v="0.25"/>
    <n v="49850"/>
    <n v="12462.5"/>
    <n v="100.0120375571784"/>
    <n v="100"/>
    <n v="4.1250000000000002E-2"/>
    <n v="100"/>
    <n v="438000000"/>
    <n v="438000000"/>
    <n v="0"/>
    <n v="0"/>
    <n v="0"/>
    <n v="0"/>
    <n v="0"/>
    <n v="0"/>
    <n v="505680000"/>
    <n v="505680000"/>
    <n v="0"/>
    <n v="0"/>
    <n v="0"/>
    <n v="0"/>
    <n v="0"/>
    <n v="0"/>
    <n v="0"/>
    <n v="0"/>
    <s v="-"/>
    <n v="4.1250000000000002E-2"/>
    <n v="49844"/>
    <n v="0.25"/>
    <n v="49956"/>
    <n v="12489"/>
    <n v="100.22470106733007"/>
    <n v="100"/>
    <n v="4.1250000000000002E-2"/>
    <n v="100"/>
    <n v="783000000"/>
    <n v="0"/>
    <n v="783000000"/>
    <n v="0"/>
    <n v="0"/>
    <n v="0"/>
    <n v="0"/>
    <n v="0"/>
    <n v="857527846"/>
    <n v="857527846"/>
    <n v="0"/>
    <n v="0"/>
    <n v="0"/>
    <n v="0"/>
    <n v="0"/>
    <n v="0"/>
    <n v="0"/>
    <n v="0"/>
    <n v="0"/>
    <n v="4.1250000000000002E-2"/>
    <n v="49844"/>
    <n v="0.25"/>
    <n v="19963"/>
    <n v="31768"/>
    <n v="53956"/>
    <n v="13489"/>
    <n v="108.24973918626114"/>
    <n v="100"/>
    <n v="4.1250000000000002E-2"/>
    <n v="100"/>
    <n v="4.4653017414332724E-2"/>
    <n v="4.1250000000000002E-2"/>
    <n v="49844"/>
    <n v="0.25"/>
    <n v="39344"/>
    <n v="10500"/>
    <n v="9836"/>
    <n v="78.934274937805952"/>
    <n v="78.934274937805952"/>
    <n v="3.2560388411844957E-2"/>
    <n v="3.2560388411844957E-2"/>
    <n v="783000000"/>
    <n v="783000000"/>
    <n v="0"/>
    <n v="0"/>
    <n v="0"/>
    <n v="0"/>
    <n v="0"/>
    <n v="0"/>
    <n v="0"/>
    <n v="0"/>
    <n v="0"/>
    <n v="0"/>
    <n v="0"/>
    <n v="0"/>
    <n v="0"/>
    <n v="0"/>
    <n v="0"/>
    <n v="0"/>
    <n v="0"/>
    <n v="48276.5"/>
    <n v="0.16500000000000001"/>
    <n v="96.855188187143895"/>
    <n v="96.855188187143895"/>
    <n v="0.15981106050878743"/>
    <n v="0.15981106050878743"/>
    <n v="0.15981106050878743"/>
    <n v="1"/>
    <n v="0"/>
    <n v="74"/>
    <s v="FOMENTAR HABILIDADES Y DESTREZAS CON ACTIVIDADES LÚDICAS, CULTURALES Y DEPORTIVAS ANUALMENTE EN EL 60% DE LAS Y LOS ADOLESCENTES"/>
    <m/>
    <s v=""/>
    <m/>
    <m/>
    <m/>
    <m/>
    <s v="SE FORTALECIÓ EL PROGRAMA DE DEPORTE FORMATIVO, BRINDADNDO APOYO FINANCIERO A LAS ESCUELAS DE FORMACIÓN DEPORTIVA A 109 MUNICIPIOS DEL DEPARTAMENTO, CONTRIBUYENDO A LA FORMACIÓN INTEGRAL DE LOS ADOLESCENTES, UTILIZANDO COMO MEDIO EL GUSTO Y LA INCLINACIÓN POR LA PRÁCTICA DEPORTIVA, CON EL PROPÓSITO DE ORIENTAR Y PROMOVER FUTUROS CIUDADANOS CON UNA MEJOR CALIDAD DE VIDA Y UN MEJOR PERFIL HACIA EL DEPORTE. ASÍ COMO BRINDAR LA LA ASISTENCIA TÉCNICA A ENTES TERRITORIALES EN LA ELABORACIÓN DE PLANES PEDAGÓGICOS POR DEPORTE Y RAMA Y LA ASESORÍA EN LA DOCUMENTACIÓN, DILIGENCIAMIENTO Y REQUISITOS PARA OBTENER EL AVAL DEPORTIVO PARA DE ESCUELAS DEPORTIVAS MUNICIPALES O ENTES PRIVADOS."/>
    <n v="24000000"/>
    <m/>
    <n v="2"/>
  </r>
  <r>
    <n v="99"/>
    <x v="0"/>
    <x v="4"/>
    <x v="2"/>
    <s v="DESARROLLO"/>
    <s v="FORTALECER LA PRÁCTICA DEL DEPORTE ASOCIADO MEDIANTE LA ORGANIZACIÓN Y PARTICIPACIÓN DE LAS LIGAS EN TORNEOS Y EVENTOS DE LAS DIFERENTES DISCIPLINAS"/>
    <s v="NO. DE AGENDAS ANUALES COMPETITIVAS DE INTERLIGAS"/>
    <s v="AGENDAS"/>
    <s v="I"/>
    <n v="0"/>
    <n v="3"/>
    <n v="3"/>
    <n v="0.16500000000000001"/>
    <n v="0"/>
    <n v="0"/>
    <n v="0"/>
    <n v="0"/>
    <n v="0"/>
    <n v="0"/>
    <n v="0"/>
    <n v="0"/>
    <n v="0"/>
    <n v="0"/>
    <n v="0"/>
    <n v="0"/>
    <n v="0"/>
    <n v="0"/>
    <n v="0"/>
    <n v="0"/>
    <n v="0"/>
    <n v="0"/>
    <n v="0"/>
    <n v="0"/>
    <n v="0"/>
    <n v="0"/>
    <n v="0"/>
    <n v="0"/>
    <n v="0"/>
    <n v="0"/>
    <n v="0"/>
    <s v="-"/>
    <n v="5.5E-2"/>
    <n v="1"/>
    <n v="0.33333333333333331"/>
    <n v="1"/>
    <n v="1"/>
    <n v="100"/>
    <n v="100"/>
    <n v="5.5E-2"/>
    <n v="100"/>
    <n v="651000000"/>
    <n v="0"/>
    <n v="651000000"/>
    <n v="0"/>
    <n v="0"/>
    <n v="0"/>
    <n v="0"/>
    <n v="0"/>
    <n v="751307249"/>
    <n v="751307249"/>
    <n v="0"/>
    <n v="0"/>
    <n v="0"/>
    <n v="0"/>
    <n v="0"/>
    <n v="0"/>
    <n v="0"/>
    <n v="0"/>
    <n v="0"/>
    <n v="5.5E-2"/>
    <n v="1"/>
    <n v="0.33333333333333331"/>
    <n v="1"/>
    <n v="1"/>
    <n v="1"/>
    <n v="1"/>
    <n v="100"/>
    <n v="100"/>
    <n v="5.5E-2"/>
    <n v="100"/>
    <n v="5.5E-2"/>
    <n v="5.5E-2"/>
    <n v="1"/>
    <n v="0.33333333333333331"/>
    <n v="1"/>
    <n v="0"/>
    <n v="1"/>
    <n v="100"/>
    <n v="100"/>
    <n v="5.5E-2"/>
    <n v="5.5E-2"/>
    <n v="651000000"/>
    <n v="651000000"/>
    <n v="0"/>
    <n v="0"/>
    <n v="0"/>
    <n v="0"/>
    <n v="0"/>
    <n v="0"/>
    <n v="0"/>
    <n v="0"/>
    <n v="0"/>
    <n v="0"/>
    <n v="0"/>
    <n v="0"/>
    <n v="0"/>
    <n v="0"/>
    <n v="0"/>
    <n v="0"/>
    <n v="0"/>
    <n v="3"/>
    <n v="0.16500000000000001"/>
    <n v="100"/>
    <n v="100"/>
    <n v="0.16500000000000001"/>
    <n v="0.16500000000000001"/>
    <n v="0.16500000000000001"/>
    <n v="1"/>
    <n v="0"/>
    <n v="74"/>
    <s v="FOMENTAR HABILIDADES Y DESTREZAS CON ACTIVIDADES LÚDICAS, CULTURALES Y DEPORTIVAS ANUALMENTE EN EL 60% DE LAS Y LOS ADOLESCENTES"/>
    <n v="118"/>
    <s v="LOGRAR QUE ANUALMENTE EL 35% DE LAS Y LOS JÓVENES PARTICIPEN DE DINÁMICAS INTEGRALES (CULTURALES, DEPORTIVAS, AMBIENTALES, EMPRENDIMIENTO, EDUCATIVAS)"/>
    <m/>
    <m/>
    <m/>
    <m/>
    <s v="SE PROMOVIÓ EL FORTALECIMIENTO DE APOYO A LOS ORGANISMOS DEPORTIVOS DE CUNDINAMARCA, PARA ELEVAR LOS NIVELES DE RENDIMIENTO Y COMPETENCIA DE NUESTROS DEPORTISTAS. SE PROMOVIÓ LA CREACIÓN DE NUEVOS CLUBES DEPORTIVOS Y LA RESTRUCTURACIÓN DE LOS ACTUALES, CON EL ÁNIMO DE FORTALECER EL SISTEMA DE LIGAS DEPORTIVA DE CUNDINAMARCA."/>
    <n v="1048000000"/>
    <m/>
    <n v="1300"/>
  </r>
  <r>
    <n v="100"/>
    <x v="0"/>
    <x v="4"/>
    <x v="2"/>
    <s v="DESARROLLO"/>
    <s v="CONTRIBUIR A LA FORMACIÓN INTEGRAL Y AL USO ADECUADO DEL TIEMPO LIBRE CON LA PARTICIPACIÓN DE 80.000 ADOLESCENTES CADA AÑO CON JUEGOS INTERCOLEGIADOS EN TODAS SUS FASES."/>
    <s v="NO. DE ADOLESCENTES QUE PARTICIPAN ANUALMENTE EN JUEGOS INTERCOLEGIADOS EN EL CUATRIENIO"/>
    <s v="PERSONAS"/>
    <s v="M"/>
    <n v="56000"/>
    <n v="80000"/>
    <n v="80000"/>
    <n v="0.16500000000000001"/>
    <n v="4.1250000000000002E-2"/>
    <n v="80000"/>
    <n v="0.25"/>
    <n v="102622"/>
    <n v="25655.5"/>
    <n v="128.2775"/>
    <n v="100"/>
    <n v="4.1250000000000002E-2"/>
    <n v="100"/>
    <n v="856000000"/>
    <n v="856000000"/>
    <n v="0"/>
    <n v="0"/>
    <n v="0"/>
    <n v="0"/>
    <n v="0"/>
    <n v="0"/>
    <n v="1365337000"/>
    <n v="1365337000"/>
    <n v="0"/>
    <n v="0"/>
    <n v="0"/>
    <n v="0"/>
    <n v="0"/>
    <n v="0"/>
    <n v="0"/>
    <n v="0"/>
    <s v="-"/>
    <n v="4.1250000000000002E-2"/>
    <n v="80000"/>
    <n v="0.25"/>
    <n v="91296"/>
    <n v="22824"/>
    <n v="114.12"/>
    <n v="100"/>
    <n v="4.1250000000000002E-2"/>
    <n v="100"/>
    <n v="1600000000"/>
    <n v="0"/>
    <n v="1600000000"/>
    <n v="0"/>
    <n v="0"/>
    <n v="0"/>
    <n v="0"/>
    <n v="0"/>
    <n v="1338932609"/>
    <n v="952616670"/>
    <n v="0"/>
    <n v="386315939"/>
    <n v="0"/>
    <n v="0"/>
    <n v="0"/>
    <n v="0"/>
    <n v="0"/>
    <n v="0"/>
    <n v="0"/>
    <n v="4.1250000000000002E-2"/>
    <n v="80000"/>
    <n v="0.25"/>
    <n v="92752"/>
    <n v="92752"/>
    <n v="92752"/>
    <n v="23188"/>
    <n v="115.94"/>
    <n v="100"/>
    <n v="4.1250000000000002E-2"/>
    <n v="100"/>
    <n v="4.782525E-2"/>
    <n v="4.1250000000000002E-2"/>
    <n v="80000"/>
    <n v="0.25"/>
    <n v="90000"/>
    <n v="-10000"/>
    <n v="22500"/>
    <n v="112.5"/>
    <n v="100"/>
    <n v="4.1250000000000002E-2"/>
    <n v="4.6406250000000003E-2"/>
    <n v="1600000000"/>
    <n v="1600000000"/>
    <n v="0"/>
    <n v="0"/>
    <n v="0"/>
    <n v="0"/>
    <n v="0"/>
    <n v="0"/>
    <n v="0"/>
    <n v="0"/>
    <n v="0"/>
    <n v="0"/>
    <n v="0"/>
    <n v="0"/>
    <n v="0"/>
    <n v="0"/>
    <n v="0"/>
    <n v="0"/>
    <n v="0"/>
    <n v="94167.5"/>
    <n v="0.16500000000000001"/>
    <n v="117.70937499999999"/>
    <n v="100"/>
    <n v="0.16500000000000001"/>
    <n v="0.16500000000000001"/>
    <n v="0.16500000000000001"/>
    <n v="1"/>
    <n v="0"/>
    <n v="74"/>
    <s v="FOMENTAR HABILIDADES Y DESTREZAS CON ACTIVIDADES LÚDICAS, CULTURALES Y DEPORTIVAS ANUALMENTE EN EL 60% DE LAS Y LOS ADOLESCENTES"/>
    <m/>
    <s v=""/>
    <m/>
    <m/>
    <m/>
    <m/>
    <s v="SE LOGRÓ LA PARTICIPACIÓN DE LOS 116 MUNICIPIOS CON UNA GRAN INVERSIÓN, EN EL PROGRAMA DE JUEGOS INTERCOLEGIADOS, QUE GARANTIZÓ EL DESARROLLO Y AFIANZAMIENTO DE HABILIDADES EN LAS DISTINTAS DISCIPLINAS DEPORTIVAS DE LOS ESTUDIANTES CON EDADES ENTRE 12 Y 17 AÑOS CUMPLIDOS, A PARTIR DE LA PARTICIPACIÓN DE NUESTROS ADOLESCENTES VINCULADOS AL SISTEMA EDUCATIVO DEL DEPARTAMENTO QUIENES A TRAVÉS DE UN NIVEL SANO DE COMPETENCIA DEFINEN LAS POSICIONES EN LAS DIFERENTES DISCIPLINAS DEPORTIVAS. _x000a_SE DESTACA LA ARTICIPACIÓN DEL DEPARTAMENTO EN LA FASE INTERNACIONAL DE LOS JUEGOS INTERCOLEGIADOS “SUPÉRATE CON EL DEPORTE 2014” CON 24 DEPORTISTAS, DE LOS MUNICIPIOS DE FÓMEQUE, CACHIPAY Y SOACHA, OCUPANDO SEGUNDO LUGAR EN LA DISCIPLINA DE FÚTBOL SALA FEMENINO Y POSTERIORMENTE, REPRESENTANDO A COLOMBIA EN LOS JUEGOS ESCOLARES SURAMERICANOS. TERCER LUGAR EN LAS DISCIPLINAS DE AJEDREZ Y ATLETISMO Y CUARTO LUGAR A EN LA DISCIPLINA DEPORTIVA DE VOLEIBOL PISO._x000a_"/>
    <n v="113000000"/>
    <m/>
    <n v="0"/>
  </r>
  <r>
    <n v="101"/>
    <x v="0"/>
    <x v="4"/>
    <x v="2"/>
    <s v="DESARROLLO"/>
    <s v="PROMOVER LA ACTIVIDAD FÍSICA EN LOS ESTABLECIMIENTOS EDUCATIVOS A 17,400 ADOLESCENTES CON EL PROGRAMA &quot;SUPERATE&quot;"/>
    <s v="NO. DE ADOLESCENTES QUE PARTICIPAN EN EL PROGRAMA &quot;SUPERATE&quot; DURANTE EL CUATRIENIO"/>
    <s v="PERSONAS"/>
    <s v="I"/>
    <n v="0"/>
    <n v="17400"/>
    <n v="17400"/>
    <n v="0.16500000000000001"/>
    <n v="4.1250000000000002E-2"/>
    <n v="4350"/>
    <n v="0.25"/>
    <n v="12071"/>
    <n v="12071"/>
    <n v="277.4942528735632"/>
    <n v="100"/>
    <n v="4.1250000000000002E-2"/>
    <n v="100"/>
    <n v="464000000"/>
    <n v="6000000"/>
    <n v="0"/>
    <n v="0"/>
    <n v="0"/>
    <n v="0"/>
    <n v="0"/>
    <n v="458000000"/>
    <n v="464000000"/>
    <n v="6000000"/>
    <n v="0"/>
    <n v="458000000"/>
    <n v="0"/>
    <n v="0"/>
    <n v="0"/>
    <n v="0"/>
    <n v="0"/>
    <n v="0"/>
    <s v="-"/>
    <n v="4.1250000000000002E-2"/>
    <n v="4350"/>
    <n v="0.25"/>
    <n v="4500"/>
    <n v="4500"/>
    <n v="103.44827586206897"/>
    <n v="100"/>
    <n v="4.1250000000000002E-2"/>
    <n v="100"/>
    <n v="868000000"/>
    <n v="0"/>
    <n v="0"/>
    <n v="0"/>
    <n v="0"/>
    <n v="0"/>
    <n v="0"/>
    <n v="868000000"/>
    <n v="819762232"/>
    <n v="561227272"/>
    <n v="0"/>
    <n v="258534960"/>
    <n v="0"/>
    <n v="0"/>
    <n v="0"/>
    <n v="0"/>
    <n v="0"/>
    <n v="0"/>
    <n v="0"/>
    <n v="5.3710344827586208E-2"/>
    <n v="5664"/>
    <n v="0.32551724137931032"/>
    <n v="5069"/>
    <n v="5069"/>
    <n v="5069"/>
    <n v="5069"/>
    <n v="89.495056497175142"/>
    <n v="89.495056497175142"/>
    <n v="4.8068103448275862E-2"/>
    <n v="89.495056497175142"/>
    <n v="4.8068103448275862E-2"/>
    <n v="2.8789655172413796E-2"/>
    <n v="3036"/>
    <n v="0.17448275862068965"/>
    <n v="41"/>
    <n v="2995"/>
    <n v="41"/>
    <n v="1.3504611330698286"/>
    <n v="1.3504611330698286"/>
    <n v="3.8879310344827589E-4"/>
    <n v="3.8879310344827589E-4"/>
    <n v="957000000"/>
    <n v="0"/>
    <n v="0"/>
    <n v="0"/>
    <n v="0"/>
    <n v="0"/>
    <n v="0"/>
    <n v="957000000"/>
    <n v="0"/>
    <n v="0"/>
    <n v="0"/>
    <n v="0"/>
    <n v="0"/>
    <n v="0"/>
    <n v="0"/>
    <n v="0"/>
    <n v="0"/>
    <n v="0"/>
    <n v="0"/>
    <n v="21681"/>
    <n v="0.16500000000000001"/>
    <n v="124.60344827586206"/>
    <n v="100"/>
    <n v="0.16500000000000001"/>
    <n v="0.16500000000000001"/>
    <n v="0.16500000000000001"/>
    <n v="1"/>
    <n v="0"/>
    <n v="74"/>
    <s v="FOMENTAR HABILIDADES Y DESTREZAS CON ACTIVIDADES LÚDICAS, CULTURALES Y DEPORTIVAS ANUALMENTE EN EL 60% DE LAS Y LOS ADOLESCENTES"/>
    <m/>
    <s v=""/>
    <m/>
    <m/>
    <m/>
    <m/>
    <s v="PROGRAMA LIDERADO DESDE EL ORDEN NACIONAL, QUE UNIFICA EL DEPORTE EDUCATIVO EN EL PAÍS. SE IMPLEMENTÓ Y DESARROLLO EN LOS 116 MUNICIPIOS, CUMPLIENDO CON EL INDICADOR DEFINIDO PARA EL CUATRIENIO."/>
    <n v="52000000"/>
    <m/>
    <n v="1"/>
  </r>
  <r>
    <n v="102"/>
    <x v="0"/>
    <x v="5"/>
    <x v="2"/>
    <s v="DESARROLLO"/>
    <s v="APOYAR EL DESARROLLO INTEGRAL DE LAS Y LOS ADOLESCENTES A TRAVÉS DE PROCESOS DE FORMACIÓN ARTÍSTICA Y CULTURAL EN 40 MUNICIPIOS ANUALMENTE CON INTERVENCIÓN ARTICULADA CON LA JORNADA COMPLEMENTARIA"/>
    <s v="NO. DE MUNICIPIOS APOYADOS ANUALMENTE CON PROCESOS DE FORMACIÓN ARTÍSTICA Y CULTURAL CON ADOLESCENTES"/>
    <s v="MUNICIPIOS"/>
    <s v="M"/>
    <n v="40"/>
    <n v="40"/>
    <n v="40"/>
    <n v="0.25"/>
    <n v="6.25E-2"/>
    <n v="40"/>
    <n v="0.25"/>
    <n v="78"/>
    <n v="19.5"/>
    <n v="195"/>
    <n v="100"/>
    <n v="6.25E-2"/>
    <n v="100"/>
    <n v="308000000"/>
    <n v="308000000"/>
    <n v="0"/>
    <n v="0"/>
    <n v="0"/>
    <n v="0"/>
    <n v="0"/>
    <n v="0"/>
    <n v="274832000"/>
    <n v="274832000"/>
    <n v="0"/>
    <n v="0"/>
    <n v="0"/>
    <n v="0"/>
    <n v="0"/>
    <n v="0"/>
    <n v="0"/>
    <n v="91335000"/>
    <s v="MUNICIPIOS"/>
    <n v="6.25E-2"/>
    <n v="40"/>
    <n v="0.25"/>
    <n v="97"/>
    <n v="24.25"/>
    <n v="242.5"/>
    <n v="100"/>
    <n v="6.25E-2"/>
    <n v="100"/>
    <n v="755000000"/>
    <n v="0"/>
    <n v="380000000"/>
    <n v="0"/>
    <n v="0"/>
    <n v="0"/>
    <n v="0"/>
    <n v="375000000"/>
    <n v="580688166"/>
    <n v="580688166"/>
    <n v="0"/>
    <n v="0"/>
    <n v="0"/>
    <n v="0"/>
    <n v="0"/>
    <n v="0"/>
    <n v="0"/>
    <n v="0"/>
    <n v="0"/>
    <n v="6.25E-2"/>
    <n v="40"/>
    <n v="0.25"/>
    <n v="50"/>
    <n v="50"/>
    <n v="57"/>
    <n v="14.25"/>
    <n v="142.5"/>
    <n v="100"/>
    <n v="6.25E-2"/>
    <n v="100"/>
    <n v="8.9062500000000003E-2"/>
    <n v="6.25E-2"/>
    <n v="40"/>
    <n v="0.25"/>
    <n v="143"/>
    <n v="-103"/>
    <n v="35.75"/>
    <n v="357.5"/>
    <n v="100"/>
    <n v="6.25E-2"/>
    <n v="0.22343750000000001"/>
    <n v="775000000"/>
    <n v="400000000"/>
    <n v="0"/>
    <n v="0"/>
    <n v="0"/>
    <n v="0"/>
    <n v="0"/>
    <n v="375000000"/>
    <n v="0"/>
    <n v="0"/>
    <n v="0"/>
    <n v="0"/>
    <n v="0"/>
    <n v="0"/>
    <n v="0"/>
    <n v="0"/>
    <n v="0"/>
    <n v="0"/>
    <n v="0"/>
    <n v="93.75"/>
    <n v="0.25"/>
    <n v="234.375"/>
    <n v="100"/>
    <n v="0.25"/>
    <n v="0.25"/>
    <n v="0.25"/>
    <n v="1"/>
    <n v="0"/>
    <n v="74"/>
    <s v="FOMENTAR HABILIDADES Y DESTREZAS CON ACTIVIDADES LÚDICAS, CULTURALES Y DEPORTIVAS ANUALMENTE EN EL 60% DE LAS Y LOS ADOLESCENTES"/>
    <m/>
    <s v=""/>
    <m/>
    <m/>
    <m/>
    <m/>
    <s v="EL IDECUT HA LOGRADO MANTENER EL APOYO CON EL 50% Y 100% DE LOS HONORARIOS DE DOS FORMADORES A 97 MUNICIPIOS DEL DEPARTAMENTO CON LOS PROCESOS DE FORMACIÓN ARTÍSTICA Y CULTURAL EN 2 DISCIPLINAS CADA UNO DENTRO DE LAS QUE SE ENCUENTRAN DANZAS, TEATRO, ARTES PLÁTICAS, MÚSICA, LITERATURA Y CINEMATOGRAFÍA, TRADUCIDOS EN 194 PROCESOS. A TRAVÉS DE ESTO, SE PROMUEVE EL APROVECHAMIENTO DEL TIEMPO LIBRE Y EL DESARROLLO DE DESTREZAS Y HABILIDADES ARTÍSTICAS DE ESTE GRUPO POBLACIONAL._x000a_"/>
    <n v="12000000"/>
    <m/>
    <n v="1"/>
  </r>
  <r>
    <n v="103"/>
    <x v="0"/>
    <x v="5"/>
    <x v="2"/>
    <s v="DESARROLLO"/>
    <s v="APOYAR EL PROCESO FORMATIVO DE LAS Y LOS ADOLESCENTES CON EL FORTALECIMIENTO DE 116 BIBLIOTECAS PÚBLICAS MUNICIPALES EN EL CUATRIENIO"/>
    <s v="NO. DE BIBLIOTECAS PÚBLICAS MUNICIPALES DOTADAS PARA LA ATENCIÓN DE ADOLESCENTES"/>
    <s v="BIBLIOTECAS"/>
    <s v="I"/>
    <n v="92"/>
    <n v="116"/>
    <n v="116"/>
    <n v="0.16500000000000001"/>
    <n v="4.1250000000000002E-2"/>
    <n v="29"/>
    <n v="0.25"/>
    <n v="47"/>
    <n v="47"/>
    <n v="162.06896551724137"/>
    <n v="100"/>
    <n v="4.1250000000000002E-2"/>
    <n v="100"/>
    <n v="72000000"/>
    <n v="54000000"/>
    <n v="0"/>
    <n v="18000000"/>
    <n v="0"/>
    <n v="0"/>
    <n v="0"/>
    <n v="0"/>
    <n v="0"/>
    <n v="0"/>
    <n v="0"/>
    <n v="0"/>
    <n v="0"/>
    <n v="0"/>
    <n v="0"/>
    <n v="0"/>
    <n v="0"/>
    <n v="18182000"/>
    <s v="MINISTERIO DE CULTURA"/>
    <n v="4.1250000000000002E-2"/>
    <n v="29"/>
    <n v="0.25"/>
    <n v="84"/>
    <n v="84"/>
    <n v="289.65517241379308"/>
    <n v="100"/>
    <n v="4.1250000000000002E-2"/>
    <n v="100"/>
    <n v="276000000"/>
    <n v="0"/>
    <n v="116000000"/>
    <n v="0"/>
    <n v="0"/>
    <n v="0"/>
    <n v="0"/>
    <n v="160000000"/>
    <n v="95000000"/>
    <n v="95000000"/>
    <n v="0"/>
    <n v="0"/>
    <n v="0"/>
    <n v="0"/>
    <n v="0"/>
    <n v="0"/>
    <n v="0"/>
    <n v="0"/>
    <n v="0"/>
    <n v="4.1250000000000002E-2"/>
    <n v="29"/>
    <n v="0.25"/>
    <n v="100"/>
    <n v="100"/>
    <n v="120"/>
    <n v="120"/>
    <n v="413.79310344827587"/>
    <n v="100"/>
    <n v="4.1250000000000002E-2"/>
    <n v="100"/>
    <n v="0.1706896551724138"/>
    <n v="4.1250000000000002E-2"/>
    <n v="29"/>
    <n v="0.25"/>
    <n v="143"/>
    <n v="-114"/>
    <n v="143"/>
    <n v="493.10344827586209"/>
    <n v="100"/>
    <n v="4.1250000000000002E-2"/>
    <n v="0.20340517241379313"/>
    <n v="276000000"/>
    <n v="116000000"/>
    <n v="0"/>
    <n v="0"/>
    <n v="0"/>
    <n v="0"/>
    <n v="0"/>
    <n v="160000000"/>
    <n v="0"/>
    <n v="0"/>
    <n v="0"/>
    <n v="0"/>
    <n v="0"/>
    <n v="0"/>
    <n v="0"/>
    <n v="0"/>
    <n v="0"/>
    <n v="0"/>
    <n v="0"/>
    <n v="394"/>
    <n v="0.16500000000000001"/>
    <n v="339.65517241379308"/>
    <n v="100"/>
    <n v="0.16500000000000001"/>
    <n v="0.16500000000000001"/>
    <n v="0.16500000000000001"/>
    <n v="1"/>
    <n v="0"/>
    <n v="74"/>
    <s v="FOMENTAR HABILIDADES Y DESTREZAS CON ACTIVIDADES LÚDICAS, CULTURALES Y DEPORTIVAS ANUALMENTE EN EL 60% DE LAS Y LOS ADOLESCENTES"/>
    <m/>
    <s v=""/>
    <m/>
    <m/>
    <m/>
    <m/>
    <s v="A TRAVÉS DE GESTIÓN POR PARTE DEL IDECUT CON EL MINISTERIO DE CULTURA Y CON FINANCIACIÓN DE RECURSOS DEL INSTITUTO SE HA LOGRADO LLEGAR AL 100% DE LAS BIBLIOTECAS PÚBLICAS MUNICIPALES, , SE HAN BENFICIADO CON DOTACIÓN DE CONECTIVIDAD 38 BIBLIOTECAS PÚBLICAS DE 38 MUNICIPIOS, 140 BIBLIOTECAS CON DOTACIÓN DE UN KIT CONFORMADO POR UN VIDEO PROYECTOR, UN TELÓN DE TRIPODE Y UNA IMPRESORA PARA LA ELABORACIÓN DE LOS CARNETS DE LOS USUARIOS, IMPLEMENTACIÓN DEL SISTEMA LLAVE DEL SABER PARA 111 MUNICIPIOS. ADICIONALMENTE, DURANTE EL 2015 SE HA PUESTO EN MARCHA LA ESTRATEGIA DE PROMOTORES REGIONALES CUYA MISIÓN HA SIDO ACOMPAÑAR Y BRINDAR ASISTENCIA TÉCNICA INSITU INSCRITOS A LA RED DE BIBLIOTECAS PÚBLICAS."/>
    <n v="0"/>
    <m/>
    <n v="100"/>
  </r>
  <r>
    <n v="104"/>
    <x v="0"/>
    <x v="3"/>
    <x v="2"/>
    <s v="DESARROLLO"/>
    <s v="REALIZAR DURANTE EL CUATRIENIO 5 CONVENIOS DE COLABORACIÓN CON COLEGIOS BILINGÜES UBICADOS EN EL DEPARTAMENTO. "/>
    <s v="NO. DE CONVENIOS CON COLEGIOS BILINGÜES"/>
    <s v="CONVENIOS"/>
    <s v="I"/>
    <n v="0"/>
    <n v="5"/>
    <n v="5"/>
    <n v="0.25"/>
    <n v="0"/>
    <n v="0"/>
    <n v="0"/>
    <n v="0"/>
    <n v="0"/>
    <n v="0"/>
    <n v="0"/>
    <n v="0"/>
    <n v="0"/>
    <n v="0"/>
    <n v="0"/>
    <n v="0"/>
    <n v="0"/>
    <n v="0"/>
    <n v="0"/>
    <n v="0"/>
    <n v="0"/>
    <n v="100000000"/>
    <n v="100000000"/>
    <n v="0"/>
    <n v="0"/>
    <n v="0"/>
    <n v="0"/>
    <n v="0"/>
    <n v="0"/>
    <n v="0"/>
    <n v="0"/>
    <s v="-"/>
    <n v="0.1"/>
    <n v="2"/>
    <n v="0.4"/>
    <n v="0"/>
    <n v="0"/>
    <n v="0"/>
    <n v="0"/>
    <n v="0"/>
    <n v="0"/>
    <n v="0"/>
    <n v="0"/>
    <n v="0"/>
    <n v="0"/>
    <n v="0"/>
    <n v="0"/>
    <n v="0"/>
    <n v="0"/>
    <n v="0"/>
    <n v="0"/>
    <n v="0"/>
    <n v="0"/>
    <n v="0"/>
    <n v="0"/>
    <n v="0"/>
    <n v="0"/>
    <n v="0"/>
    <n v="0"/>
    <n v="0"/>
    <n v="0.1"/>
    <n v="2"/>
    <n v="0.4"/>
    <n v="0"/>
    <n v="0"/>
    <n v="0"/>
    <n v="0"/>
    <n v="0"/>
    <n v="0"/>
    <n v="0"/>
    <n v="0"/>
    <n v="0"/>
    <n v="0.05"/>
    <n v="1"/>
    <n v="0.2"/>
    <n v="5"/>
    <n v="-4"/>
    <n v="5"/>
    <n v="500"/>
    <n v="100"/>
    <n v="0.05"/>
    <n v="0.25"/>
    <n v="0"/>
    <n v="0"/>
    <n v="0"/>
    <n v="0"/>
    <n v="0"/>
    <n v="0"/>
    <n v="0"/>
    <n v="0"/>
    <n v="0"/>
    <n v="0"/>
    <n v="0"/>
    <n v="0"/>
    <n v="0"/>
    <n v="0"/>
    <n v="0"/>
    <n v="0"/>
    <n v="0"/>
    <n v="0"/>
    <n v="0"/>
    <n v="5"/>
    <n v="0.25"/>
    <n v="100"/>
    <n v="100"/>
    <n v="0.25"/>
    <n v="0.25"/>
    <n v="0.25"/>
    <n v="1"/>
    <n v="0"/>
    <n v="77"/>
    <s v="MEJORAR EN EL CUATRIENIO LOS PROCESOS EDUCATIVOS, FORMATIVOS, PEDAGÓGICOS E INSTITUCIONALES DEL 100% DE LAS INSTITUCIONES EDUCATIVAS DE LOS MUNICIPIOS NO CERTIFICADOS"/>
    <m/>
    <s v=""/>
    <m/>
    <m/>
    <m/>
    <m/>
    <s v="EN EL AÑO 2015 SE FIRMARON LOS CINCO CONVENIOS CON LOS COLEGIOS BILINGUES PARA EL FORTALECIMIENTO DE LA ENSEÑANZA Y APRENDIZAJE DEL INGLÉS. SE HAN REALIZADO DOS TALLERES CON DOCENTES DEL DEPARTAMENTO EN CONVENIO CON EL GIMNASIO CAMPESTRE SAN RAFAEL Y EL GIMNASIO COLOMBO BRITÁNICO. EN CAJICÁ SE DESARROLLA EL PROGRAMA DE INMERSIÓN FRIENDLY TOWN CON EL COLEGIO NEWMAN Y EL COLEGIO CAMPOALEGRE HA APOYADO CON LA ENTREGA DEL CURRÍCULO DE INGLÉS DE LA INSTITUCIÓN."/>
    <n v="525000000"/>
    <m/>
    <n v="100"/>
  </r>
  <r>
    <n v="105"/>
    <x v="0"/>
    <x v="3"/>
    <x v="2"/>
    <s v="DESARROLLO"/>
    <s v="DESARROLLAR UNA CAMPAÑA EN EL CUATRIENIO PARA FOMENTAR QUE LAS Y LOS ADOLESCENTES CONTINUEN EN EL SISTEMA EDUCATIVO DESPUES DEL GRADO 9°"/>
    <s v="CAMPAÑA DEPARTAMENTAL DE PROMOCIÓN DE INGRESO A EDUCACIÓN MEDIA"/>
    <s v="CAMPAÑA"/>
    <s v="I"/>
    <n v="0"/>
    <n v="1"/>
    <n v="1"/>
    <n v="0.25"/>
    <n v="0"/>
    <n v="0"/>
    <n v="0"/>
    <n v="0"/>
    <n v="0"/>
    <n v="0"/>
    <n v="0"/>
    <n v="0"/>
    <n v="0"/>
    <n v="0"/>
    <n v="0"/>
    <n v="0"/>
    <n v="0"/>
    <n v="0"/>
    <n v="0"/>
    <n v="0"/>
    <n v="0"/>
    <n v="0"/>
    <n v="0"/>
    <n v="0"/>
    <n v="0"/>
    <n v="0"/>
    <n v="0"/>
    <n v="0"/>
    <n v="0"/>
    <n v="0"/>
    <n v="0"/>
    <s v="-"/>
    <n v="0.125"/>
    <n v="0.5"/>
    <n v="0.5"/>
    <n v="0.5"/>
    <n v="0.5"/>
    <n v="100"/>
    <n v="100"/>
    <n v="0.125"/>
    <n v="100"/>
    <n v="60000000"/>
    <n v="0"/>
    <n v="60000000"/>
    <n v="0"/>
    <n v="0"/>
    <n v="0"/>
    <n v="0"/>
    <n v="0"/>
    <n v="50000000"/>
    <n v="50000000"/>
    <n v="0"/>
    <n v="0"/>
    <n v="0"/>
    <n v="0"/>
    <n v="0"/>
    <n v="0"/>
    <n v="0"/>
    <n v="0"/>
    <n v="0"/>
    <n v="6.25E-2"/>
    <n v="0.25"/>
    <n v="0.25"/>
    <n v="0.5"/>
    <n v="0.5"/>
    <n v="0.25"/>
    <n v="0.25"/>
    <n v="100"/>
    <n v="100"/>
    <n v="6.25E-2"/>
    <n v="100"/>
    <n v="6.25E-2"/>
    <n v="6.25E-2"/>
    <n v="0.25"/>
    <n v="0.25"/>
    <n v="0.25"/>
    <n v="0"/>
    <n v="0.25"/>
    <n v="100"/>
    <n v="100"/>
    <n v="6.25E-2"/>
    <n v="6.25E-2"/>
    <n v="80000000"/>
    <n v="80000000"/>
    <n v="0"/>
    <n v="0"/>
    <n v="0"/>
    <n v="0"/>
    <n v="0"/>
    <n v="0"/>
    <n v="0"/>
    <n v="0"/>
    <n v="0"/>
    <n v="0"/>
    <n v="0"/>
    <n v="0"/>
    <n v="0"/>
    <n v="0"/>
    <n v="0"/>
    <n v="0"/>
    <n v="0"/>
    <n v="1"/>
    <n v="0.25"/>
    <n v="100"/>
    <n v="100"/>
    <n v="0.25"/>
    <n v="0.25"/>
    <n v="0.25"/>
    <n v="1"/>
    <n v="0"/>
    <n v="78"/>
    <s v="ALCANZAR EN EL CUATRIENIO UNA COBERTURA BRUTA EN EDUCACIÓN MEDIA DE 78,9%, PRIORIZANDO LA POBLACIÓN EN SITUACIÓN DE POBREZA EXTREMA QUE LO DEMANDE"/>
    <m/>
    <s v=""/>
    <m/>
    <m/>
    <m/>
    <m/>
    <s v="PARA EL DISEÑO Y LA IMPLEMENTACIÓN DE LA CAMPAÑA PUBLICITARIA SE FIRMO CONVENIO INTERADMINISTRATIVO N° 208 EN LA VIGENCIA 2013 ENTRE LA SECRETARIA DE EDUCACIÓN Y FONDECUN Y FUE EJECUTADA DURANTE EL 2014"/>
    <n v="31000000"/>
    <m/>
    <n v="12"/>
  </r>
  <r>
    <n v="106"/>
    <x v="0"/>
    <x v="3"/>
    <x v="2"/>
    <s v="CIUDADANIA"/>
    <s v="LOGRAR LA PARTICIPACIÓN ACTIVA DE LAS Y LOS ADOLESCENTES EN LOS GOBIERNOS ESCOLARES DEL 100% DE LAS INSTITUCIONES EDUCATIVAS CADA AÑO"/>
    <s v="% DE IE CON ADOLESCENTES ACTIVOS EN GOBIERNOS ESCOLARES CADA AÑO"/>
    <s v="PORCENTAJE DE PARTICIPACION"/>
    <s v="M"/>
    <n v="0"/>
    <n v="100"/>
    <n v="100"/>
    <n v="0.16500000000000001"/>
    <n v="4.1250000000000002E-2"/>
    <n v="100"/>
    <n v="0.25"/>
    <n v="100"/>
    <n v="25"/>
    <n v="100"/>
    <n v="100"/>
    <n v="4.1250000000000002E-2"/>
    <n v="100"/>
    <n v="0"/>
    <n v="0"/>
    <n v="0"/>
    <n v="0"/>
    <n v="0"/>
    <n v="0"/>
    <n v="0"/>
    <n v="0"/>
    <n v="0"/>
    <n v="0"/>
    <n v="0"/>
    <n v="0"/>
    <n v="0"/>
    <n v="0"/>
    <n v="0"/>
    <n v="0"/>
    <n v="0"/>
    <n v="0"/>
    <s v="-"/>
    <n v="4.1250000000000002E-2"/>
    <n v="100"/>
    <n v="0.25"/>
    <n v="100"/>
    <n v="25"/>
    <n v="100"/>
    <n v="100"/>
    <n v="4.1250000000000002E-2"/>
    <n v="100"/>
    <n v="0"/>
    <n v="0"/>
    <n v="0"/>
    <n v="0"/>
    <n v="0"/>
    <n v="0"/>
    <n v="0"/>
    <n v="0"/>
    <n v="0"/>
    <n v="0"/>
    <n v="0"/>
    <n v="0"/>
    <n v="0"/>
    <n v="0"/>
    <n v="0"/>
    <n v="0"/>
    <n v="0"/>
    <n v="0"/>
    <n v="0"/>
    <n v="4.1250000000000002E-2"/>
    <n v="100"/>
    <n v="0.25"/>
    <n v="100"/>
    <n v="100"/>
    <n v="100"/>
    <n v="25"/>
    <n v="100"/>
    <n v="100"/>
    <n v="4.1250000000000002E-2"/>
    <n v="100"/>
    <n v="4.1250000000000002E-2"/>
    <n v="4.1250000000000002E-2"/>
    <n v="0"/>
    <n v="0.25"/>
    <n v="100"/>
    <n v="-100"/>
    <n v="25"/>
    <n v="0"/>
    <n v="0"/>
    <n v="0"/>
    <n v="0"/>
    <n v="0"/>
    <n v="0"/>
    <n v="0"/>
    <n v="0"/>
    <n v="0"/>
    <n v="0"/>
    <n v="0"/>
    <n v="0"/>
    <n v="0"/>
    <n v="0"/>
    <n v="0"/>
    <n v="0"/>
    <n v="0"/>
    <n v="0"/>
    <n v="0"/>
    <n v="0"/>
    <n v="0"/>
    <n v="0"/>
    <n v="0"/>
    <n v="100"/>
    <n v="0.16500000000000001"/>
    <n v="100"/>
    <n v="100"/>
    <n v="0.16500000000000001"/>
    <n v="0.16500000000000001"/>
    <n v="0.16500000000000001"/>
    <n v="1"/>
    <n v="0"/>
    <n v="77"/>
    <s v="MEJORAR EN EL CUATRIENIO LOS PROCESOS EDUCATIVOS, FORMATIVOS, PEDAGÓGICOS E INSTITUCIONALES DEL 100% DE LAS INSTITUCIONES EDUCATIVAS DE LOS MUNICIPIOS NO CERTIFICADOS"/>
    <m/>
    <s v=""/>
    <m/>
    <m/>
    <m/>
    <m/>
    <s v="SE REALIZARON CONVERSATORIOS MUNICIPALES PARA APORTAR AL DESARROLLO Y AL MEJORAMIENTO DE LA CONVIVENCIA A TRAVES DEL FOMENTO DE UNA CULTURA DEL DIALOGO, LA INTEGRACION DE LA FAMILIA EN LA ESCUELA, LA PARTICIPACION DE LOS GOBIERNOS ESCOLARES, EL APRECIO A LA INSTITUCION Y LOS PROFESORES. "/>
    <n v="665000000"/>
    <m/>
    <n v="100"/>
  </r>
  <r>
    <n v="108"/>
    <x v="0"/>
    <x v="7"/>
    <x v="2"/>
    <s v="CIUDADANIA"/>
    <s v="PROMOVER DURANTE EL CUATRIENIO EN EL 100% DE LOS ORGANISMOS COMUNALES LA PARTICIPACIÓN DE LOS ADOLESCENTES"/>
    <s v="% DE ORGANISMOS COMUNALES CON PROMOCIÓN DE PARTICIPACIÓN DE LOS ADOLESCENTES"/>
    <s v="PORCENTAJE DE ORGANISMOS"/>
    <s v="I"/>
    <n v="0"/>
    <n v="100"/>
    <n v="100"/>
    <n v="0.16500000000000001"/>
    <n v="8.2500000000000004E-3"/>
    <n v="5"/>
    <n v="0.05"/>
    <n v="6.5"/>
    <n v="6.5"/>
    <n v="130"/>
    <n v="100"/>
    <n v="8.2500000000000004E-3"/>
    <n v="100"/>
    <n v="20000000"/>
    <n v="20000000"/>
    <n v="0"/>
    <n v="0"/>
    <n v="0"/>
    <n v="0"/>
    <n v="0"/>
    <n v="0"/>
    <n v="17500000"/>
    <n v="17500000"/>
    <n v="0"/>
    <n v="0"/>
    <n v="0"/>
    <n v="0"/>
    <n v="0"/>
    <n v="0"/>
    <n v="0"/>
    <n v="0"/>
    <s v="-"/>
    <n v="4.9500000000000002E-2"/>
    <n v="30"/>
    <n v="0.3"/>
    <n v="8"/>
    <n v="8"/>
    <n v="26.666666666666668"/>
    <n v="26.666666666666668"/>
    <n v="1.32E-2"/>
    <n v="26.666666666666668"/>
    <n v="20000000"/>
    <n v="0"/>
    <n v="20000000"/>
    <n v="0"/>
    <n v="0"/>
    <n v="0"/>
    <n v="0"/>
    <n v="0"/>
    <n v="0"/>
    <n v="0"/>
    <n v="0"/>
    <n v="0"/>
    <n v="0"/>
    <n v="0"/>
    <n v="0"/>
    <n v="0"/>
    <n v="0"/>
    <n v="0"/>
    <n v="0"/>
    <n v="4.9500000000000002E-2"/>
    <n v="30"/>
    <n v="0.3"/>
    <n v="27.120000839233398"/>
    <n v="31.02"/>
    <n v="77"/>
    <n v="77"/>
    <n v="256.66666666666669"/>
    <n v="100"/>
    <n v="4.9500000000000002E-2"/>
    <n v="100"/>
    <n v="0.12705000000000002"/>
    <n v="5.7749999999999996E-2"/>
    <n v="35"/>
    <n v="0.35"/>
    <n v="45"/>
    <n v="-10"/>
    <n v="45"/>
    <n v="128.57142857142858"/>
    <n v="100"/>
    <n v="5.7749999999999996E-2"/>
    <n v="7.4249999999999997E-2"/>
    <n v="0"/>
    <n v="0"/>
    <n v="0"/>
    <n v="0"/>
    <n v="0"/>
    <n v="0"/>
    <n v="0"/>
    <n v="0"/>
    <n v="0"/>
    <n v="0"/>
    <n v="0"/>
    <n v="0"/>
    <n v="0"/>
    <n v="0"/>
    <n v="0"/>
    <n v="0"/>
    <n v="0"/>
    <n v="0"/>
    <n v="0"/>
    <n v="136.5"/>
    <n v="0.16500000000000001"/>
    <n v="136.5"/>
    <n v="100"/>
    <n v="0.16500000000000001"/>
    <n v="0.16500000000000001"/>
    <n v="0.16500000000000001"/>
    <n v="0.99999999999999989"/>
    <n v="0"/>
    <n v="619"/>
    <s v="LA INSTITUCIÓN DEPARTAMENTAL, LOS GOBIERNOS TERRITORIALES Y LA COMUNIDAD INVOLUCRAN AL 100% DE LAS DIFERENTES INSTANCIAS DE PARTICIPACIÓN EN EL DESARROLLO DE SUS PROGRAMAS Y PROYECTOS GENERANDO CORRESPONSABILIDAD CON PARTICIPACIÓN REAL Y ACTIVA."/>
    <m/>
    <s v=""/>
    <m/>
    <m/>
    <m/>
    <m/>
    <s v="DURANTE EL CUATRIENIO SE REALIZARON ENCUENTROS Y JORNADAS DE APOYO AL DESARROLLO COMUNITARIO CON PARTICIPACIÓN DE REPRESENTANTES DE ORGANIZACIONES COMUNALES, ADOLESCENTES, PADRES, ACUDIENTES EN LOS DIFERENTES MUNICIPIOS DEL DEPARTAMENTO. CON LA EJECUCIÓN DEL PROGRAMA &quot;VIVE Y CRECE EN ACCIÓN COMUNAL&quot;, SE HA PROMOVIDO Y FORTALECIDO CAPACIDADES A FIN DE INCENTIVAR LA PARTICIPACIÓN COMUNITARIA, EL SENTIDO DE PERTENENCIA Y APROVECHAMIENTO DEL TIEMPO LIBRE EN LAS Y LOS ADOLESCENTES A TRAVES DE DIVULGACIÓN DE MATERIAL, DEL EJERCICIO DE LA DEMOCRACIA PARTICIPATIVA Y LA VINCULACIÓN A ORGANIZACIONES COMUNALES. SE REALIZARON ENCUENTROS DE ADOLESCENTES Y COMUNALES CON DINAMICAS DE INTEGRACIÓN. ADEMÁS SE DICTARON TALLERES SOBRE: INDUCCIÓN, APRESTAMIENTO Y SOCIALIZACIÓN, VALORES, TRABAJO EN EQUIPO, MECANISMOS DE PARTICIPACIÓN DIRIGIDOS A LIDERES COMUNALES Y ADOLESCENTES QUIENES INTERACTUARON CON ENTUSIASMO Y COMPROMISO EN LA PROMOCIÓN DE LA PARTICPACIÓN DE LOS ADOLESCENTES EN LOS PROCESOS COMUNALES Y COMUNITARIOS. "/>
    <n v="540000000"/>
    <m/>
    <n v="29"/>
  </r>
  <r>
    <n v="109"/>
    <x v="0"/>
    <x v="1"/>
    <x v="2"/>
    <s v="CIUDADANIA"/>
    <s v="GARANTIZAR ANUALMENTE QUE EN EL 50% DE LAS SESIONES DEL CONSEJO DE POLÍTICA SOCIAL DEPARTAMENTAL PARTICIPEN ADOLESCENTES"/>
    <s v="% DE SESIONES DEL CODEPS CADA AÑO CON ASISTENCIA DE ADOLESCENTES"/>
    <s v="PORCENTAJE DE REUNIONES"/>
    <s v="M"/>
    <n v="25"/>
    <n v="50"/>
    <n v="50"/>
    <n v="0.25"/>
    <n v="6.25E-2"/>
    <n v="50"/>
    <n v="0.25"/>
    <n v="33"/>
    <n v="8.25"/>
    <n v="66"/>
    <n v="66"/>
    <n v="4.1250000000000002E-2"/>
    <n v="66"/>
    <n v="0"/>
    <n v="0"/>
    <n v="0"/>
    <n v="0"/>
    <n v="0"/>
    <n v="0"/>
    <n v="0"/>
    <n v="0"/>
    <n v="0"/>
    <n v="0"/>
    <n v="0"/>
    <n v="0"/>
    <n v="0"/>
    <n v="0"/>
    <n v="0"/>
    <n v="0"/>
    <n v="0"/>
    <n v="0"/>
    <s v="-"/>
    <n v="6.25E-2"/>
    <n v="50"/>
    <n v="0.25"/>
    <n v="50"/>
    <n v="12.5"/>
    <n v="100"/>
    <n v="100"/>
    <n v="6.25E-2"/>
    <n v="100"/>
    <n v="0"/>
    <n v="0"/>
    <n v="0"/>
    <n v="0"/>
    <n v="0"/>
    <n v="0"/>
    <n v="0"/>
    <n v="0"/>
    <n v="0"/>
    <n v="0"/>
    <n v="0"/>
    <n v="0"/>
    <n v="0"/>
    <n v="0"/>
    <n v="0"/>
    <n v="0"/>
    <n v="0"/>
    <n v="0"/>
    <n v="0"/>
    <n v="6.25E-2"/>
    <n v="50"/>
    <n v="0.25"/>
    <n v="0"/>
    <n v="0"/>
    <n v="50"/>
    <n v="12.5"/>
    <n v="100"/>
    <n v="100"/>
    <n v="6.25E-2"/>
    <n v="100"/>
    <n v="6.25E-2"/>
    <n v="6.25E-2"/>
    <n v="50"/>
    <n v="0.25"/>
    <n v="50"/>
    <n v="0"/>
    <n v="12.5"/>
    <n v="100"/>
    <n v="100"/>
    <n v="6.25E-2"/>
    <n v="6.25E-2"/>
    <n v="0"/>
    <n v="0"/>
    <n v="0"/>
    <n v="0"/>
    <n v="0"/>
    <n v="0"/>
    <n v="0"/>
    <n v="0"/>
    <n v="0"/>
    <n v="0"/>
    <n v="0"/>
    <n v="0"/>
    <n v="0"/>
    <n v="0"/>
    <n v="0"/>
    <n v="0"/>
    <n v="0"/>
    <n v="0"/>
    <n v="0"/>
    <n v="45.75"/>
    <n v="0.25"/>
    <n v="91.5"/>
    <n v="91.5"/>
    <n v="0.22875000000000001"/>
    <n v="0.22875000000000001"/>
    <n v="0.22875000000000001"/>
    <n v="1"/>
    <n v="0"/>
    <n v="74"/>
    <s v="FOMENTAR HABILIDADES Y DESTREZAS CON ACTIVIDADES LÚDICAS, CULTURALES Y DEPORTIVAS ANUALMENTE EN EL 60% DE LAS Y LOS ADOLESCENTES"/>
    <n v="78"/>
    <s v="ALCANZAR EN EL CUATRIENIO UNA COBERTURA BRUTA EN EDUCACIÓN MEDIA DE 78,9%, PRIORIZANDO LA POBLACIÓN EN SITUACIÓN DE POBREZA EXTREMA QUE LO DEMANDE"/>
    <n v="79"/>
    <n v="619"/>
    <m/>
    <m/>
    <s v="PARTICIPACIÓN DE JÓVENES EN CONSEJOS DEPARTAMENTALES DE POLÍTICA SOCIAL (VIRTUAL O PRESENCIAL)."/>
    <n v="20000000"/>
    <m/>
    <n v="0"/>
  </r>
  <r>
    <n v="110"/>
    <x v="0"/>
    <x v="1"/>
    <x v="2"/>
    <s v="PROTECCION"/>
    <s v="SENSIBILIZAR EN EL CUATRIENIO A 2.000 PERSONAS EN PREVENCIÓN DEL MALTRATO EN ADOLESCENTES"/>
    <s v="NO. DE PERSONAS SENSIBILIZADAS EN PREVENCIÓN DEL MALTRATO EN ADOLESCENTES"/>
    <s v="PERSONAS"/>
    <s v="I"/>
    <n v="0"/>
    <n v="2000"/>
    <n v="2000"/>
    <n v="0.16500000000000001"/>
    <n v="8.2500000000000004E-3"/>
    <n v="100"/>
    <n v="0.05"/>
    <n v="89"/>
    <n v="89"/>
    <n v="89"/>
    <n v="89"/>
    <n v="7.3425000000000009E-3"/>
    <n v="89"/>
    <n v="0"/>
    <n v="0"/>
    <n v="0"/>
    <n v="0"/>
    <n v="0"/>
    <n v="0"/>
    <n v="0"/>
    <n v="0"/>
    <n v="0"/>
    <n v="0"/>
    <n v="0"/>
    <n v="0"/>
    <n v="0"/>
    <n v="0"/>
    <n v="0"/>
    <n v="0"/>
    <n v="0"/>
    <n v="0"/>
    <s v="-"/>
    <n v="0.12375"/>
    <n v="1500"/>
    <n v="0.75"/>
    <n v="2261"/>
    <n v="2261"/>
    <n v="150.73333333333332"/>
    <n v="100"/>
    <n v="0.12375"/>
    <n v="100"/>
    <n v="7000000"/>
    <n v="0"/>
    <n v="7000000"/>
    <n v="0"/>
    <n v="0"/>
    <n v="0"/>
    <n v="0"/>
    <n v="0"/>
    <n v="0"/>
    <n v="0"/>
    <n v="0"/>
    <n v="0"/>
    <n v="0"/>
    <n v="0"/>
    <n v="0"/>
    <n v="0"/>
    <n v="0"/>
    <n v="0"/>
    <n v="0"/>
    <n v="2.4750000000000001E-2"/>
    <n v="300"/>
    <n v="0.15"/>
    <n v="700"/>
    <n v="700"/>
    <n v="17228"/>
    <n v="17228"/>
    <n v="5742.666666666667"/>
    <n v="100"/>
    <n v="2.4750000000000001E-2"/>
    <n v="100"/>
    <n v="1.4213100000000001"/>
    <n v="8.2500000000000004E-3"/>
    <n v="100"/>
    <n v="0.05"/>
    <n v="2900"/>
    <n v="-2800"/>
    <n v="2900"/>
    <n v="2900"/>
    <n v="100"/>
    <n v="8.2500000000000004E-3"/>
    <n v="0.23925000000000002"/>
    <n v="15000000"/>
    <n v="15000000"/>
    <n v="0"/>
    <n v="0"/>
    <n v="0"/>
    <n v="0"/>
    <n v="0"/>
    <n v="0"/>
    <n v="0"/>
    <n v="0"/>
    <n v="0"/>
    <n v="0"/>
    <n v="0"/>
    <n v="0"/>
    <n v="0"/>
    <n v="0"/>
    <n v="0"/>
    <n v="0"/>
    <n v="0"/>
    <n v="22478"/>
    <n v="0.16500000000000001"/>
    <n v="1123.9000000000001"/>
    <n v="100"/>
    <n v="0.16500000000000001"/>
    <n v="0.16500000000000001"/>
    <n v="0.16500000000000001"/>
    <n v="1"/>
    <n v="0"/>
    <n v="72"/>
    <s v="REDUCIR EN EL CUATRIENIO EN MÍNIMO 5% LAS MUERTES POR HOMICIDIO EN ADOLESCENTES"/>
    <n v="74"/>
    <s v="FOMENTAR HABILIDADES Y DESTREZAS CON ACTIVIDADES LÚDICAS, CULTURALES Y DEPORTIVAS ANUALMENTE EN EL 60% DE LAS Y LOS ADOLESCENTES"/>
    <m/>
    <m/>
    <m/>
    <m/>
    <s v="MÁS DE 17 MIL NIÑOS, NIÑAS Y ADOLESCENTES SENSIBILIZADOS EN TEMAS DE PREVENCIÓN DEL MALTRATO Y ABUSO SEXUAL EN 41 MUNICIPIOS."/>
    <n v="20000000"/>
    <m/>
    <n v="375"/>
  </r>
  <r>
    <n v="111"/>
    <x v="0"/>
    <x v="1"/>
    <x v="2"/>
    <s v="PROTECCION"/>
    <s v="IMPLEMENTAR DURANTE EL CUATRIENIO EL PLAN DEPARTAMENTAL DE ERRADICACIÓN DEL TRABAJO INFANTIL EN ADOLESCENTES"/>
    <s v="PLAN DEPARTAMENTAL DE ERRADICACIÓN DEL TRABAJO INFANTIL IMPLEMENTADO"/>
    <s v="PLAN"/>
    <s v="I"/>
    <n v="0"/>
    <n v="1"/>
    <n v="1"/>
    <n v="0.25"/>
    <n v="7.4999999999999997E-2"/>
    <n v="0.3"/>
    <n v="0.3"/>
    <n v="0.3"/>
    <n v="0.3"/>
    <n v="100"/>
    <n v="100"/>
    <n v="7.4999999999999997E-2"/>
    <n v="100"/>
    <n v="50000000"/>
    <n v="25000000"/>
    <n v="0"/>
    <n v="0"/>
    <n v="0"/>
    <n v="0"/>
    <n v="0"/>
    <n v="25000000"/>
    <n v="25000000"/>
    <n v="25000000"/>
    <n v="0"/>
    <n v="0"/>
    <n v="0"/>
    <n v="0"/>
    <n v="0"/>
    <n v="0"/>
    <n v="0"/>
    <n v="50000000"/>
    <s v="COMPENSAR"/>
    <n v="7.4999999999999997E-2"/>
    <n v="0.3"/>
    <n v="0.3"/>
    <n v="0.3"/>
    <n v="0.3"/>
    <n v="100"/>
    <n v="100"/>
    <n v="7.4999999999999997E-2"/>
    <n v="100"/>
    <n v="5000000"/>
    <n v="0"/>
    <n v="5000000"/>
    <n v="0"/>
    <n v="0"/>
    <n v="0"/>
    <n v="0"/>
    <n v="0"/>
    <n v="75000000"/>
    <n v="75000000"/>
    <n v="0"/>
    <n v="0"/>
    <n v="0"/>
    <n v="0"/>
    <n v="0"/>
    <n v="0"/>
    <n v="0"/>
    <n v="135500000"/>
    <s v="COMPENSAR FONNIÑEZ"/>
    <n v="0.05"/>
    <n v="0.2"/>
    <n v="0.2"/>
    <n v="0.23999999463558197"/>
    <n v="0.1"/>
    <n v="0.2"/>
    <n v="0.2"/>
    <n v="100"/>
    <n v="100"/>
    <n v="0.05"/>
    <n v="100"/>
    <n v="0.05"/>
    <n v="0.05"/>
    <n v="0.2"/>
    <n v="0.2"/>
    <n v="0.2"/>
    <n v="0"/>
    <n v="0.2"/>
    <n v="100"/>
    <n v="100"/>
    <n v="0.05"/>
    <n v="0.05"/>
    <n v="12000000"/>
    <n v="12000000"/>
    <n v="0"/>
    <n v="0"/>
    <n v="0"/>
    <n v="0"/>
    <n v="0"/>
    <n v="0"/>
    <n v="0"/>
    <n v="0"/>
    <n v="0"/>
    <n v="0"/>
    <n v="0"/>
    <n v="0"/>
    <n v="0"/>
    <n v="0"/>
    <n v="0"/>
    <n v="0"/>
    <n v="0"/>
    <n v="1"/>
    <n v="0.25"/>
    <n v="100"/>
    <n v="100"/>
    <n v="0.25"/>
    <n v="0.25"/>
    <n v="0.25"/>
    <n v="1"/>
    <n v="0"/>
    <n v="74"/>
    <s v="FOMENTAR HABILIDADES Y DESTREZAS CON ACTIVIDADES LÚDICAS, CULTURALES Y DEPORTIVAS ANUALMENTE EN EL 60% DE LAS Y LOS ADOLESCENTES"/>
    <n v="78"/>
    <s v="ALCANZAR EN EL CUATRIENIO UNA COBERTURA BRUTA EN EDUCACIÓN MEDIA DE 78,9%, PRIORIZANDO LA POBLACIÓN EN SITUACIÓN DE POBREZA EXTREMA QUE LO DEMANDE"/>
    <m/>
    <m/>
    <m/>
    <m/>
    <s v="SE IMPLEMENTARON ACCIONES DE PREVENCIÓN, DESESTIMULO Y ERRADICACIÓN DEL TRABAJO INFANTIL EN SUS PEORES FORMAS COMO PROTECCIÓN A LOS ADOLESCENTES, TRABAJADORES INICIALMENTE EN 56 MUNICIPIOS DEL DEPARTAMENTO, ASÍ COMO LA PREVENCIÓN DE EXPLOTACIÓN SEXUAL COMERCIAL ASOCIADA AL CONTEXTO DE VIAJES DE TURISMO EN ESTOS MUNICIPIOS, CON LO QUE SE LOGRÓ LA SENSIBILIZACIÓN DE 3.090 NIÑOS, NIÑAS Y ADOLESCENTES, SE IDENTIFICARON 1.075 NIÑOS, NIÑAS Y ADOLESCENTES TRABAJO INFANTIL. SE SENSIBILIZARON EN ESTAS TEMÁTICAS 884 FUNCIONARIOS PÚBLICOS, 1.361 DOCENTES, 123 HOTELES, 1.381 PERSONAS DE LA RED HOTELERA SENSIBILIZADAS, 801 COMERCIANTES, Y 134 FAMILIAS ACOMPAÑADAS."/>
    <n v="3000000"/>
    <m/>
    <n v="0"/>
  </r>
  <r>
    <n v="112"/>
    <x v="0"/>
    <x v="1"/>
    <x v="2"/>
    <s v="PROTECCION"/>
    <s v="IMPLEMENTAR EN EL CUATRIENIO LA ESTRATEGIA DE PROTECCIÓN AL ADOLESCENTE TRABAJADOR EN EL MARCO DEL PLAN DEPARTAMENTAL DE ERRADICACIÓN DEL TRABAJO INFANTIL"/>
    <s v="ESTRATEGIA DE PROTECCIÓN AL ADOLESCENTE TRABAJADOR IMPLEMENTADA"/>
    <s v="ESTRATEGIAS"/>
    <s v="I"/>
    <n v="0"/>
    <n v="1"/>
    <n v="1"/>
    <n v="0.25"/>
    <n v="2.5000000000000001E-2"/>
    <n v="0.1"/>
    <n v="0.1"/>
    <n v="0.1"/>
    <n v="0.1"/>
    <n v="100"/>
    <n v="100"/>
    <n v="2.5000000000000001E-2"/>
    <n v="100"/>
    <n v="0"/>
    <n v="0"/>
    <n v="0"/>
    <n v="0"/>
    <n v="0"/>
    <n v="0"/>
    <n v="0"/>
    <n v="0"/>
    <n v="0"/>
    <n v="0"/>
    <n v="0"/>
    <n v="0"/>
    <n v="0"/>
    <n v="0"/>
    <n v="0"/>
    <n v="0"/>
    <n v="0"/>
    <n v="0"/>
    <s v="-"/>
    <n v="0.125"/>
    <n v="0.5"/>
    <n v="0.5"/>
    <n v="0.5"/>
    <n v="0.5"/>
    <n v="100"/>
    <n v="100"/>
    <n v="0.125"/>
    <n v="100"/>
    <n v="5000000"/>
    <n v="0"/>
    <n v="5000000"/>
    <n v="0"/>
    <n v="0"/>
    <n v="0"/>
    <n v="0"/>
    <n v="0"/>
    <n v="0"/>
    <n v="0"/>
    <n v="0"/>
    <n v="0"/>
    <n v="0"/>
    <n v="0"/>
    <n v="0"/>
    <n v="0"/>
    <n v="0"/>
    <n v="0"/>
    <n v="0"/>
    <n v="0.05"/>
    <n v="0.2"/>
    <n v="0.2"/>
    <n v="0.25999999046325684"/>
    <n v="0.1"/>
    <n v="0.20000000298023224"/>
    <n v="0.20000000298023224"/>
    <n v="100.00000149011612"/>
    <n v="100"/>
    <n v="0.05"/>
    <n v="100"/>
    <n v="5.000000074505806E-2"/>
    <n v="0.05"/>
    <n v="0.2"/>
    <n v="0.2"/>
    <n v="0.2"/>
    <n v="0"/>
    <n v="0.2"/>
    <n v="100"/>
    <n v="100"/>
    <n v="0.05"/>
    <n v="0.05"/>
    <n v="12000000"/>
    <n v="12000000"/>
    <n v="0"/>
    <n v="0"/>
    <n v="0"/>
    <n v="0"/>
    <n v="0"/>
    <n v="0"/>
    <n v="0"/>
    <n v="0"/>
    <n v="0"/>
    <n v="0"/>
    <n v="0"/>
    <n v="0"/>
    <n v="0"/>
    <n v="0"/>
    <n v="0"/>
    <n v="0"/>
    <n v="0"/>
    <n v="1.0000000029802323"/>
    <n v="0.25"/>
    <n v="100.00000029802322"/>
    <n v="100"/>
    <n v="0.25"/>
    <n v="0.25"/>
    <n v="0.25"/>
    <n v="1"/>
    <n v="0"/>
    <n v="74"/>
    <s v="FOMENTAR HABILIDADES Y DESTREZAS CON ACTIVIDADES LÚDICAS, CULTURALES Y DEPORTIVAS ANUALMENTE EN EL 60% DE LAS Y LOS ADOLESCENTES"/>
    <n v="78"/>
    <s v="ALCANZAR EN EL CUATRIENIO UNA COBERTURA BRUTA EN EDUCACIÓN MEDIA DE 78,9%, PRIORIZANDO LA POBLACIÓN EN SITUACIÓN DE POBREZA EXTREMA QUE LO DEMANDE"/>
    <m/>
    <m/>
    <m/>
    <m/>
    <s v="REACTIVACIÓN DE LOS COMITÉS DE: ERRADICACIÓN DEL TRABAJO INFANTIL “CETI”, ESTRATEGIA DE CERO A SIEMPRE PILOTAJE EN 10 MUNICIPIOS Y MESA OPERATIVA DE PRIMERA INFANCIA, INFANCIA Y ADOLESCENCIA EN ALIANZA CON ICBF NACIONAL Y REGIONAL, COMO ACCIONES PARA LA IMPLEMENTACIÓN DEL PLAN DEPARTAMENTAL DE ERRADICACIÓN DEL TRABAJO INFANTIL."/>
    <n v="19000000"/>
    <m/>
    <n v="450"/>
  </r>
  <r>
    <n v="113"/>
    <x v="0"/>
    <x v="2"/>
    <x v="2"/>
    <s v="PROTECCION"/>
    <s v="GARANTIZAR LA ATENCIÓN INTEGRAL AL 100% DE LAS Y LOS ADOLESCENTES VÍCTIMAS Y POSIBLES VÍCTIMAS DE TRATA DE PERSONAS QUE LO DEMANDEN"/>
    <s v="% DE ADOLESCENTES VÍCTIMAS Y POSIBLES VÍCTIMAS DE TRATA DE PERSONAS CON ATENCIÓN INTEGRAL"/>
    <s v="PORCENTAJE DE PERSONAS"/>
    <s v="M"/>
    <n v="100"/>
    <n v="100"/>
    <n v="100"/>
    <n v="0.16500000000000001"/>
    <n v="4.1250000000000002E-2"/>
    <n v="100"/>
    <n v="0.25"/>
    <n v="100"/>
    <n v="25"/>
    <n v="100"/>
    <n v="100"/>
    <n v="4.1250000000000002E-2"/>
    <n v="100"/>
    <n v="0"/>
    <n v="0"/>
    <n v="0"/>
    <n v="0"/>
    <n v="0"/>
    <n v="0"/>
    <n v="0"/>
    <n v="0"/>
    <n v="0"/>
    <n v="0"/>
    <n v="0"/>
    <n v="0"/>
    <n v="0"/>
    <n v="0"/>
    <n v="0"/>
    <n v="0"/>
    <n v="0"/>
    <n v="0"/>
    <s v="-"/>
    <n v="4.1250000000000002E-2"/>
    <n v="100"/>
    <n v="0.25"/>
    <n v="50"/>
    <n v="12.5"/>
    <n v="50"/>
    <n v="50"/>
    <n v="2.0625000000000001E-2"/>
    <n v="50"/>
    <n v="20000000"/>
    <n v="0"/>
    <n v="20000000"/>
    <n v="0"/>
    <n v="0"/>
    <n v="0"/>
    <n v="0"/>
    <n v="0"/>
    <n v="5000000"/>
    <n v="5000000"/>
    <n v="0"/>
    <n v="0"/>
    <n v="0"/>
    <n v="0"/>
    <n v="0"/>
    <n v="0"/>
    <n v="0"/>
    <n v="0"/>
    <n v="0"/>
    <n v="4.1250000000000002E-2"/>
    <n v="100"/>
    <n v="0.25"/>
    <n v="100"/>
    <n v="100"/>
    <n v="100"/>
    <n v="25"/>
    <n v="100"/>
    <n v="100"/>
    <n v="4.1250000000000002E-2"/>
    <n v="100"/>
    <n v="4.1250000000000002E-2"/>
    <n v="4.1250000000000002E-2"/>
    <n v="100"/>
    <n v="0.25"/>
    <n v="100"/>
    <n v="0"/>
    <n v="25"/>
    <n v="100"/>
    <n v="100"/>
    <n v="4.1250000000000002E-2"/>
    <n v="4.1250000000000002E-2"/>
    <n v="0"/>
    <n v="0"/>
    <n v="0"/>
    <n v="0"/>
    <n v="0"/>
    <n v="0"/>
    <n v="0"/>
    <n v="0"/>
    <n v="0"/>
    <n v="0"/>
    <n v="0"/>
    <n v="0"/>
    <n v="0"/>
    <n v="0"/>
    <n v="0"/>
    <n v="0"/>
    <n v="0"/>
    <n v="0"/>
    <n v="0"/>
    <n v="87.5"/>
    <n v="0.16500000000000001"/>
    <n v="87.5"/>
    <n v="87.5"/>
    <n v="0.144375"/>
    <n v="0.144375"/>
    <n v="0.144375"/>
    <n v="1"/>
    <n v="0"/>
    <n v="72"/>
    <s v="REDUCIR EN EL CUATRIENIO EN MÍNIMO 5% LAS MUERTES POR HOMICIDIO EN ADOLESCENTES"/>
    <m/>
    <s v=""/>
    <m/>
    <m/>
    <m/>
    <m/>
    <s v="EN EL MES DE JULIO SE DISEÑO LA RUTA DE ATENCION Y PROTECCION DE CUNDINAMARCA A VICTIMAS Y POSIBLE VICTIMAS DE LA TRATA DE PERSONAS INCLUYENDO DE MANERA ESPECIFICA A LOS ADOLENCENTES EN EL MES DE JULIO SE DISEÑO LA RUTA DE ATENCION Y PROTECCION DE CUNDINAMARCA A VICTIMAS Y POSIBLE VICTIMAS DE LA TRATA DE PERSONAS INCLUYENDO DE MANERA ESPECIFICA A ADOLESCENTES. EN ESTE PROCESO SE REALIZARON TALLERES PARA QUE LAS AUTORIDADES CONOCIERAN DE FONDO COMO GARANTIZAR LA ATENCION INTEGRAL AL 100% DE LAS VICTIMAS Y POSIBLES VICTIMAS"/>
    <n v="1000000000"/>
    <m/>
    <n v="1"/>
  </r>
  <r>
    <n v="114"/>
    <x v="0"/>
    <x v="2"/>
    <x v="2"/>
    <s v="PROTECCION"/>
    <s v="ARTICULAR CON LOS MUNICIPIOS EL CUMPLIMIENTO DEL SISTEMA DE RESPONSABILIDAD PENAL PARA ADOLESCENTES EN CUANTO AL FUNCIONAMIENTO DE 15 CENTROS DE SERVICIOS JUDICIALES PARA ADOLESCENTES (CETRAS)"/>
    <s v="NO. DE CENTROS MEJORADOS EN SU FUNCIONAMIENTO"/>
    <s v="CENTROS"/>
    <s v="I"/>
    <n v="0"/>
    <n v="15"/>
    <n v="15"/>
    <n v="0.16500000000000001"/>
    <n v="3.3000000000000002E-2"/>
    <n v="3"/>
    <n v="0.2"/>
    <n v="2"/>
    <n v="2"/>
    <n v="66.666666666666671"/>
    <n v="66.666666666666671"/>
    <n v="2.2000000000000002E-2"/>
    <n v="66.666666666666671"/>
    <n v="0"/>
    <n v="0"/>
    <n v="0"/>
    <n v="0"/>
    <n v="0"/>
    <n v="0"/>
    <n v="0"/>
    <n v="0"/>
    <n v="0"/>
    <n v="0"/>
    <n v="0"/>
    <n v="0"/>
    <n v="0"/>
    <n v="0"/>
    <n v="0"/>
    <n v="0"/>
    <n v="0"/>
    <n v="0"/>
    <s v="-"/>
    <n v="4.4000000000000004E-2"/>
    <n v="4"/>
    <n v="0.26666666666666666"/>
    <n v="2"/>
    <n v="2"/>
    <n v="50"/>
    <n v="50"/>
    <n v="2.2000000000000002E-2"/>
    <n v="50"/>
    <n v="0"/>
    <n v="0"/>
    <n v="0"/>
    <n v="0"/>
    <n v="0"/>
    <n v="0"/>
    <n v="0"/>
    <n v="0"/>
    <n v="0"/>
    <n v="0"/>
    <n v="0"/>
    <n v="0"/>
    <n v="0"/>
    <n v="0"/>
    <n v="0"/>
    <n v="0"/>
    <n v="0"/>
    <n v="0"/>
    <n v="0"/>
    <n v="4.4000000000000004E-2"/>
    <n v="4"/>
    <n v="0.26666666666666666"/>
    <n v="15"/>
    <n v="15"/>
    <n v="23"/>
    <n v="23"/>
    <n v="575"/>
    <n v="100"/>
    <n v="4.4000000000000004E-2"/>
    <n v="100"/>
    <n v="0.25300000000000006"/>
    <n v="4.4000000000000004E-2"/>
    <n v="4"/>
    <n v="0.26666666666666666"/>
    <n v="4"/>
    <n v="0"/>
    <n v="4"/>
    <n v="100"/>
    <n v="100"/>
    <n v="4.4000000000000004E-2"/>
    <n v="4.4000000000000004E-2"/>
    <n v="0"/>
    <n v="0"/>
    <n v="0"/>
    <n v="0"/>
    <n v="0"/>
    <n v="0"/>
    <n v="0"/>
    <n v="0"/>
    <n v="0"/>
    <n v="0"/>
    <n v="0"/>
    <n v="0"/>
    <n v="0"/>
    <n v="0"/>
    <n v="0"/>
    <n v="0"/>
    <n v="0"/>
    <n v="0"/>
    <n v="0"/>
    <n v="31"/>
    <n v="0.16500000000000004"/>
    <n v="206.66666666666666"/>
    <n v="100"/>
    <n v="0.16500000000000001"/>
    <n v="0.16500000000000001"/>
    <n v="0.16500000000000001"/>
    <n v="1"/>
    <n v="0"/>
    <n v="77"/>
    <s v="MEJORAR EN EL CUATRIENIO LOS PROCESOS EDUCATIVOS, FORMATIVOS, PEDAGÓGICOS E INSTITUCIONALES DEL 100% DE LAS INSTITUCIONES EDUCATIVAS DE LOS MUNICIPIOS NO CERTIFICADOS"/>
    <m/>
    <s v=""/>
    <m/>
    <m/>
    <m/>
    <m/>
    <s v="FORTALECIMIENTO DEL CENTRO DE SERVICIOS JUDICIALES PARA ADOLENCENTES DEL MUNICIPIO DE SOACHA. Y SE DOTO AL CENTRO DE PASO DE PUERTO SALGAR PARAR ATENDER A LOS INFRACTORES DE LA LEY PENAL EN ADOLESCENTES"/>
    <n v="300000000"/>
    <m/>
    <n v="200"/>
  </r>
  <r>
    <n v="120"/>
    <x v="0"/>
    <x v="0"/>
    <x v="3"/>
    <s v="EXISTENCIA"/>
    <s v="LOGRAR JÓVENES MAS SALUDABLES CON LA IMPLEMENTACIÓN EN EL CUATRIENIO DE UN PROGRAMA INTEGRAL DE ESTILOS DE VIDA SALUDABLES A NIVEL COMUNITARIO EN EL 100% DE LOS MUNICIPIOS"/>
    <s v="% DE MUNICIPIOS CON CUMPLIMIENTO DE TODOS LOS COMPONENTES DE ESTILOS DE VIDA SALUDABLE PARA LOS JÓVENES A NIVEL COMUNITARIO"/>
    <s v="PORCENTAJE DE MUNICIPIOS"/>
    <s v="I"/>
    <n v="0"/>
    <n v="100"/>
    <n v="100"/>
    <n v="0.25"/>
    <n v="2.5000000000000001E-2"/>
    <n v="10"/>
    <n v="0.1"/>
    <n v="10"/>
    <n v="10"/>
    <n v="100"/>
    <n v="100"/>
    <n v="2.5000000000000001E-2"/>
    <n v="100"/>
    <n v="300000000"/>
    <n v="0"/>
    <n v="300000000"/>
    <n v="0"/>
    <n v="0"/>
    <n v="0"/>
    <n v="0"/>
    <n v="0"/>
    <n v="0"/>
    <n v="0"/>
    <n v="0"/>
    <n v="0"/>
    <n v="0"/>
    <n v="0"/>
    <n v="0"/>
    <n v="0"/>
    <n v="0"/>
    <n v="0"/>
    <s v="-"/>
    <n v="0.05"/>
    <n v="20"/>
    <n v="0.2"/>
    <n v="20"/>
    <n v="20"/>
    <n v="100"/>
    <n v="100"/>
    <n v="0.05"/>
    <n v="100"/>
    <n v="665000000"/>
    <n v="600000000"/>
    <n v="65000000"/>
    <n v="0"/>
    <n v="0"/>
    <n v="0"/>
    <n v="0"/>
    <n v="0"/>
    <n v="379767933"/>
    <n v="0"/>
    <n v="379767933"/>
    <n v="0"/>
    <n v="0"/>
    <n v="0"/>
    <n v="0"/>
    <n v="0"/>
    <n v="0"/>
    <n v="0"/>
    <n v="0"/>
    <n v="8.7499999999999994E-2"/>
    <n v="35"/>
    <n v="0.35"/>
    <n v="24.299999237060547"/>
    <n v="41"/>
    <n v="41"/>
    <n v="41"/>
    <n v="117.14285714285714"/>
    <n v="100"/>
    <n v="8.7499999999999994E-2"/>
    <n v="100"/>
    <n v="0.10249999999999998"/>
    <n v="8.7499999999999994E-2"/>
    <n v="35"/>
    <n v="0.35"/>
    <n v="35"/>
    <n v="0"/>
    <n v="35"/>
    <n v="100"/>
    <n v="100"/>
    <n v="8.7499999999999994E-2"/>
    <n v="8.7499999999999994E-2"/>
    <n v="751000000"/>
    <n v="151000000"/>
    <n v="600000000"/>
    <n v="0"/>
    <n v="0"/>
    <n v="0"/>
    <n v="0"/>
    <n v="0"/>
    <n v="0"/>
    <n v="0"/>
    <n v="0"/>
    <n v="0"/>
    <n v="0"/>
    <n v="0"/>
    <n v="0"/>
    <n v="0"/>
    <n v="0"/>
    <n v="0"/>
    <n v="0"/>
    <n v="106"/>
    <n v="0.25"/>
    <n v="106"/>
    <n v="100"/>
    <n v="0.25"/>
    <n v="0.25"/>
    <n v="0.25"/>
    <n v="1"/>
    <n v="0"/>
    <n v="115"/>
    <s v="REDUCIR EN EL CUATRIENIO EN MÍNIMO 10% LAS MUERTES POR HOMICIDIO EN JÓVENES"/>
    <m/>
    <s v=""/>
    <m/>
    <m/>
    <m/>
    <m/>
    <s v="MEDIANTE LA COORDINACION INTERINSTITUCIONAL Y TRASECTORIAL LE LOGRA TENER UN MAYOR IMPACTO PARA REALIZAR LAS ACTIVIDADES COMUNITARIAS CON LOS JOVENES DEL DEPARTAMENTO EN 100% DE LOS MUNICIPIOS Y COORDINANDO LAS DIFEREMNTES ESTRATEGIAS DE CADA PRIORIDAD."/>
    <n v="227000000"/>
    <m/>
    <n v="0.15"/>
  </r>
  <r>
    <n v="121"/>
    <x v="0"/>
    <x v="3"/>
    <x v="3"/>
    <s v="DESARROLLO"/>
    <s v="INCREMENTAR EL NIVEL EDUCATIVO OTORGANDO SUBSIDIOS PARA VINCULAR EN EL CUATRIENIO A 3.000 ESTUDIANTES CUNDINAMARQUESES QUE SEAN ACEPTADOS EN LAS INSTITUCIONES DE EDUCACIÓN SUPERIOR, PRIORIZANDO LA POBLACIÓN EN EXTREMA POBREZA QUE LO DEMANDE"/>
    <s v="NO. DE ESTUDIANTES VINCULADOS A LA EDUCACIÓN SUPERIOR"/>
    <s v="ESTUDIANTES"/>
    <s v="I"/>
    <n v="0"/>
    <n v="3000"/>
    <n v="3000"/>
    <n v="0.33"/>
    <n v="6.4900000000000001E-3"/>
    <n v="59"/>
    <n v="1.9666666666666666E-2"/>
    <n v="59"/>
    <n v="59"/>
    <n v="100"/>
    <n v="100"/>
    <n v="6.4900000000000001E-3"/>
    <n v="100"/>
    <n v="0"/>
    <n v="0"/>
    <n v="0"/>
    <n v="0"/>
    <n v="0"/>
    <n v="0"/>
    <n v="0"/>
    <n v="0"/>
    <n v="0"/>
    <n v="0"/>
    <n v="0"/>
    <n v="0"/>
    <n v="0"/>
    <n v="0"/>
    <n v="0"/>
    <n v="0"/>
    <n v="0"/>
    <n v="0"/>
    <n v="0"/>
    <n v="6.7540000000000003E-2"/>
    <n v="614"/>
    <n v="0.20466666666666666"/>
    <n v="555"/>
    <n v="555"/>
    <n v="90.390879478827358"/>
    <n v="90.390879478827358"/>
    <n v="6.1050000000000007E-2"/>
    <n v="90.390879478827358"/>
    <n v="5685000000"/>
    <n v="0"/>
    <n v="585000000"/>
    <n v="0"/>
    <n v="0"/>
    <n v="0"/>
    <n v="0"/>
    <n v="5100000000"/>
    <n v="437838128"/>
    <n v="437838128"/>
    <n v="0"/>
    <n v="0"/>
    <n v="0"/>
    <n v="0"/>
    <n v="0"/>
    <n v="0"/>
    <n v="0"/>
    <n v="4537412340"/>
    <s v="ICETEX y Universidades aliadas"/>
    <n v="0.15103"/>
    <n v="1373"/>
    <n v="0.45766666666666667"/>
    <n v="893"/>
    <n v="1373"/>
    <n v="1373"/>
    <n v="1373"/>
    <n v="100"/>
    <n v="100"/>
    <n v="0.15103"/>
    <n v="100"/>
    <n v="0.15103"/>
    <n v="0.10494000000000001"/>
    <n v="954"/>
    <n v="0.318"/>
    <n v="1550"/>
    <n v="-596"/>
    <n v="1550"/>
    <n v="162.47379454926624"/>
    <n v="100"/>
    <n v="0.10493999999999999"/>
    <n v="0.17050000000000001"/>
    <n v="4750000000"/>
    <n v="1350000000"/>
    <n v="0"/>
    <n v="0"/>
    <n v="0"/>
    <n v="0"/>
    <n v="0"/>
    <n v="3400000000"/>
    <n v="0"/>
    <n v="0"/>
    <n v="0"/>
    <n v="0"/>
    <n v="0"/>
    <n v="0"/>
    <n v="0"/>
    <n v="0"/>
    <n v="0"/>
    <n v="0"/>
    <n v="0"/>
    <n v="3537"/>
    <n v="0.32999999999999996"/>
    <n v="117.9"/>
    <n v="100"/>
    <n v="0.33"/>
    <n v="0.33"/>
    <n v="0.33"/>
    <n v="1"/>
    <n v="0"/>
    <n v="37"/>
    <s v="REDUCIR EN EL CUATRIENIO LA TASA DE DESERCIÓN ESCOLAR AL 5.15%"/>
    <n v="78"/>
    <s v="ALCANZAR EN EL CUATRIENIO UNA COBERTURA BRUTA EN EDUCACIÓN MEDIA DE 78,9%, PRIORIZANDO LA POBLACIÓN EN SITUACIÓN DE POBREZA EXTREMA QUE LO DEMANDE"/>
    <m/>
    <m/>
    <m/>
    <m/>
    <s v="2012: CUATRO POR UNA OPCIÓN DE VIDA, COMO OPORTUNIDAD PARA EL ACCESO A LA EDUCACIÓN SUPERIOR DE NUESTROS JÓVENES, CON LA PARTICIPACIÓN DE 13 UNIVERSIDADES Y LA MANIFESTACIÓN DE INTERÉS DE OTRAS 15 UNIVERSIDADES. LA ALIANZA CUENTA CON $12.131.673.193. SE COMPROMETIERON $254’082.085. ESTÁN SIENDO BENEFICIADOS 59 JÓVENES DE 18 MUNICIPIOS Y 9 PROVINCIAS. _x000a_AÑO 2013: SE AMPLIÓ LA VINCULACIÓN DE UNIVERSIDADES PÚBLICAS Y PRIVADAS EN LA ESTRATEGIA 4 X 1 OPCIÓN DE VIDA. SE BENEFICIARON 555 ESTUDIANTES Y SE COMPROMETIERON $ 4.529.422.805,00. SE REALIZARON 30 FERIAS UNIVERSITARIAS EN 30 MUNICIPIOS DEL DEPARTAMENTO, CONTANDO CON LA PARTICIPACIÓN DE ESTUDIANTES DE LOS GRADOS 10° Y 11°, EGRESADOS Y REPRESENTANTES DE LAS ALCALDÍAS, DIRECTIVOS DOCENTES Y PADRES DE FAMILIA. _x000a_AÑO 2014: A TRAVÉS DEL PROGRAMA CUATRO POR UNA OPCIÓN DE VIDA, SE BENEFICIARON EN EL PRIMER SEMESTRE 888 ESTUDIANTES, COMPROMETIENDO $6.426’457.141 Y EN EL SEGUNDO SEMESTRE 485 CON UNA INVERSIÓN DEPARTAMENTAL DE $4.614’146.314. SE REALIZARON 24 FERIAS UNIVERSITARIAS EN EL PRIMER SEMESTRE Y 25 EN EL SEGUNDO SEMESTRE CONTANDO CON LA PARTICIPACIÓN DE ESTUDIANTES DE LOS GRADOS 10° Y 11°, EGRESADOS Y REPRESENTANTES DE LAS ALCALDÍAS, DIRECTIVOS DOCENTES Y PADRES DE FAMILIA. _x000a_AÑO 2015: EN EL PRIMER SEMESTRE SE BENEFICIARON 999 ESTUDIANTES Y SE COMPROMETIERON $8.957’143.616.67. LOS 116 MUNICIPIOS DE DEPARTAMENTO FUERON ATENDIDOS CON EL PROGRAMA. VINCULACIÓN A LA FECHA DE 22 INSTITUCIONES DE EDUCACIÓN SUPERIOR PRIVADAS Y 12 PÚBLICAS.. CREACIÓN DEL FONDO ANDES – ICETEX – GOBERNACIÓN DE CUNDINAMARCA, CONVENIO NO. 2015-0156, PARA BENEFICIAR A LOS ESTUDIANTES EGRESADOS DESDE EL AÑO 2011 DE INSTITUCIONES EDUCATIVAS OFICIALES DE MUNICIPIOS NO CERTIFICADOS DEL DEPARTAMENTO. _x000a_UNA OPCIÓN DE VIDA, COMO OPORTUNIDAD PARA EL ACCESO A LA EDUCACIÓN SUPERIOR DE NUESTROS JÓVENES, CON LA PARTICIPACIÓN DE 13 UNIVERSIDADES Y LA MANIFESTACIÓN DE INTERÉS DE OTRAS 15 UNIVERSIDADES. LA ALIANZA CUENTA CON $12.131.673.193. SE COMPROMETIERON $254’082.085. ESTÁN SIENDO BENEFICIADOS 59 JÓVENES DE 18 MUNICIPIOS Y 9 PROVINCIAS. "/>
    <n v="350000000"/>
    <m/>
    <n v="10"/>
  </r>
  <r>
    <n v="122"/>
    <x v="0"/>
    <x v="3"/>
    <x v="3"/>
    <s v="DESARROLLO"/>
    <s v="FORTALECER DURANTE EL CUATRIENIO 4 CERES PARA QUE OFREZCAN NUEVOS PROGRAMAS DE FORMACIÓN EN FUNCIÓN DEL DESARROLLO POTENCIAL, PERSONAL, PRODUCTIVO Y COMPETITIVO DE LOS TERRITORIOS."/>
    <s v="NO. DE CERES FORTALECIDOS PARA OFRECER NUEVOS PROGRAMAS"/>
    <s v="CERES"/>
    <s v="I"/>
    <n v="0"/>
    <n v="4"/>
    <n v="4"/>
    <n v="0.25"/>
    <n v="0"/>
    <n v="0"/>
    <n v="0"/>
    <n v="0"/>
    <n v="0"/>
    <n v="0"/>
    <n v="0"/>
    <n v="0"/>
    <n v="0"/>
    <n v="0"/>
    <n v="0"/>
    <n v="0"/>
    <n v="0"/>
    <n v="0"/>
    <n v="0"/>
    <n v="0"/>
    <n v="0"/>
    <n v="0"/>
    <n v="0"/>
    <n v="0"/>
    <n v="0"/>
    <n v="0"/>
    <n v="0"/>
    <n v="0"/>
    <n v="0"/>
    <n v="0"/>
    <n v="0"/>
    <n v="0"/>
    <n v="6.25E-2"/>
    <n v="1"/>
    <n v="0.25"/>
    <n v="2"/>
    <n v="2"/>
    <n v="200"/>
    <n v="100"/>
    <n v="6.25E-2"/>
    <n v="100"/>
    <n v="78000000"/>
    <n v="0"/>
    <n v="78000000"/>
    <n v="0"/>
    <n v="0"/>
    <n v="0"/>
    <n v="0"/>
    <n v="0"/>
    <n v="55010385"/>
    <n v="55010385"/>
    <n v="0"/>
    <n v="0"/>
    <n v="0"/>
    <n v="0"/>
    <n v="0"/>
    <n v="0"/>
    <n v="0"/>
    <n v="0"/>
    <n v="0"/>
    <n v="0.125"/>
    <n v="2"/>
    <n v="0.5"/>
    <n v="4"/>
    <n v="2"/>
    <n v="4"/>
    <n v="4"/>
    <n v="200"/>
    <n v="100"/>
    <n v="0.125"/>
    <n v="100"/>
    <n v="0.25"/>
    <n v="6.25E-2"/>
    <n v="1"/>
    <n v="0.25"/>
    <n v="0"/>
    <n v="1"/>
    <n v="0"/>
    <n v="0"/>
    <n v="0"/>
    <n v="0"/>
    <n v="0"/>
    <n v="180000000"/>
    <n v="180000000"/>
    <n v="0"/>
    <n v="0"/>
    <n v="0"/>
    <n v="0"/>
    <n v="0"/>
    <n v="0"/>
    <n v="0"/>
    <n v="0"/>
    <n v="0"/>
    <n v="0"/>
    <n v="0"/>
    <n v="0"/>
    <n v="0"/>
    <n v="0"/>
    <n v="0"/>
    <n v="0"/>
    <n v="0"/>
    <n v="6"/>
    <n v="0.25"/>
    <n v="150"/>
    <n v="100"/>
    <n v="0.25"/>
    <n v="0.25"/>
    <n v="0.25"/>
    <n v="1"/>
    <n v="0"/>
    <n v="118"/>
    <s v="LOGRAR QUE ANUALMENTE EL 35% DE LAS Y LOS JÓVENES PARTICIPEN DE DINÁMICAS INTEGRALES (CULTURALES, DEPORTIVAS, AMBIENTALES, EMPRENDIMIENTO, EDUCATIVAS)"/>
    <m/>
    <s v=""/>
    <m/>
    <m/>
    <m/>
    <m/>
    <s v="9.500 ESTUDIANTES. 55 CARRERAS TÉCNICAS, TECNOLÓGICAS Y UNIVERSITARIAS. 15 PROVINCIAS CON ESTUDIANTES MATRICULADOS. "/>
    <n v="0"/>
    <m/>
    <n v="5"/>
  </r>
  <r>
    <n v="123"/>
    <x v="0"/>
    <x v="3"/>
    <x v="3"/>
    <s v="DESARROLLO"/>
    <s v="CREAR DURANTE EL CUATRIENIO 4 CERES QUE OFREZCAN PROGRAMAS DE FORMACIÓN EN FUNCIÓN DEL DESARROLLO POTENCIAL, PERSONAL, PRODUCTIVO Y COMPETITIVO DE LOS TERRITORIOS."/>
    <s v="NO. DE CERES CREADOS"/>
    <s v="CERES"/>
    <s v="I"/>
    <n v="15"/>
    <n v="19"/>
    <n v="4"/>
    <n v="0.25"/>
    <n v="0"/>
    <n v="0"/>
    <n v="0"/>
    <n v="1"/>
    <n v="1"/>
    <n v="0"/>
    <n v="0"/>
    <n v="0"/>
    <n v="100"/>
    <n v="0"/>
    <n v="0"/>
    <n v="0"/>
    <n v="0"/>
    <n v="0"/>
    <n v="0"/>
    <n v="0"/>
    <n v="0"/>
    <n v="0"/>
    <n v="0"/>
    <n v="0"/>
    <n v="0"/>
    <n v="0"/>
    <n v="0"/>
    <n v="0"/>
    <n v="0"/>
    <n v="0"/>
    <n v="0"/>
    <n v="0"/>
    <n v="0.125"/>
    <n v="2"/>
    <n v="0.5"/>
    <n v="4"/>
    <n v="4"/>
    <n v="200"/>
    <n v="100"/>
    <n v="0.125"/>
    <n v="100"/>
    <n v="286000000"/>
    <n v="0"/>
    <n v="286000000"/>
    <n v="0"/>
    <n v="0"/>
    <n v="0"/>
    <n v="0"/>
    <n v="0"/>
    <n v="423650572"/>
    <n v="423650572"/>
    <n v="0"/>
    <n v="0"/>
    <n v="0"/>
    <n v="0"/>
    <n v="0"/>
    <n v="0"/>
    <n v="0"/>
    <n v="1583033262"/>
    <s v="Ministerio de Educación Nacional, Aporte municipios, aporte Instituciones educativas de Nivel Suprior y Sector privado"/>
    <n v="6.25E-2"/>
    <n v="1"/>
    <n v="0.25"/>
    <n v="4"/>
    <n v="4"/>
    <n v="0"/>
    <n v="0"/>
    <n v="0"/>
    <n v="0"/>
    <n v="0"/>
    <n v="100"/>
    <n v="0"/>
    <n v="6.25E-2"/>
    <n v="1"/>
    <n v="0.25"/>
    <n v="5"/>
    <n v="-4"/>
    <n v="5"/>
    <n v="500"/>
    <n v="100"/>
    <n v="6.25E-2"/>
    <n v="0.3125"/>
    <n v="660000000"/>
    <n v="660000000"/>
    <n v="0"/>
    <n v="0"/>
    <n v="0"/>
    <n v="0"/>
    <n v="0"/>
    <n v="0"/>
    <n v="0"/>
    <n v="0"/>
    <n v="0"/>
    <n v="0"/>
    <n v="0"/>
    <n v="0"/>
    <n v="0"/>
    <n v="0"/>
    <n v="0"/>
    <n v="0"/>
    <n v="0"/>
    <n v="10"/>
    <n v="0.25"/>
    <n v="250"/>
    <n v="100"/>
    <n v="0.25"/>
    <n v="0.25"/>
    <n v="0.25"/>
    <n v="1"/>
    <n v="0"/>
    <n v="118"/>
    <s v="LOGRAR QUE ANUALMENTE EL 35% DE LAS Y LOS JÓVENES PARTICIPEN DE DINÁMICAS INTEGRALES (CULTURALES, DEPORTIVAS, AMBIENTALES, EMPRENDIMIENTO, EDUCATIVAS)"/>
    <m/>
    <s v=""/>
    <m/>
    <m/>
    <m/>
    <m/>
    <s v="9.500 ESTUDIANTES. 55 CARRERAS TÉCNICAS, TECNOLÓGICAS Y UNIVERSITARIAS. 15 PROVINCIAS CON ESTUDIANTES MATRICULADOS. _x000a_DE IGUAL MANERA, SE FORTALECIERON 6 CERES CON CON LABORATORIOS DE SALUD OCUPACIONAL Y AMBIENTES DE APRENDIZAJE PARA INGENIERÍA INDUSTRIAL, INGENIERÍA CIVIL ELECTRICIDAD Y ELECTRÓNICA Y AULA DE BILINGUISMO _x000a_"/>
    <n v="490000000"/>
    <m/>
    <n v="2"/>
  </r>
  <r>
    <n v="124"/>
    <x v="0"/>
    <x v="3"/>
    <x v="3"/>
    <s v="DESARROLLO"/>
    <s v="ALFABETIZAR Y ELEVAR EL NIVEL EDUCATIVO A 3.723 JÓVENES, DURANTE EL CUATRIENIO, CON PRIORIDAD EN LA POBLACIÓN EN CONDICIÓN DE EXTREMA POBREZA. "/>
    <s v="NO. DE JÓVENES ALFABETIZADOS EN EL CUATRIENIO"/>
    <s v="ALUMNOS"/>
    <s v="I"/>
    <n v="1264"/>
    <n v="4987"/>
    <n v="3723"/>
    <n v="0.16500000000000001"/>
    <n v="1.4758259468170829E-2"/>
    <n v="333"/>
    <n v="8.9443996776792906E-2"/>
    <n v="333"/>
    <n v="333"/>
    <n v="100"/>
    <n v="100"/>
    <n v="1.4758259468170829E-2"/>
    <n v="100"/>
    <n v="200000000"/>
    <n v="200000000"/>
    <n v="0"/>
    <n v="0"/>
    <n v="0"/>
    <n v="0"/>
    <n v="0"/>
    <n v="0"/>
    <n v="135000000"/>
    <n v="135000000"/>
    <n v="0"/>
    <n v="0"/>
    <n v="0"/>
    <n v="0"/>
    <n v="0"/>
    <n v="0"/>
    <n v="0"/>
    <n v="0"/>
    <n v="0"/>
    <n v="7.0999194198227242E-2"/>
    <n v="1602"/>
    <n v="0.43029814665592264"/>
    <n v="1602"/>
    <n v="1602"/>
    <n v="100"/>
    <n v="100"/>
    <n v="7.0999194198227242E-2"/>
    <n v="100"/>
    <n v="57000000"/>
    <n v="0"/>
    <n v="57000000"/>
    <n v="0"/>
    <n v="0"/>
    <n v="0"/>
    <n v="0"/>
    <n v="0"/>
    <n v="57193000"/>
    <n v="57193000"/>
    <n v="0"/>
    <n v="0"/>
    <n v="0"/>
    <n v="0"/>
    <n v="0"/>
    <n v="0"/>
    <n v="0"/>
    <n v="0"/>
    <n v="0"/>
    <n v="3.2884770346494764E-2"/>
    <n v="742"/>
    <n v="0.19930163846360463"/>
    <n v="0"/>
    <n v="0"/>
    <n v="467"/>
    <n v="467"/>
    <n v="62.938005390835578"/>
    <n v="62.938005390835578"/>
    <n v="2.0697018533440775E-2"/>
    <n v="62.938005390835578"/>
    <n v="2.0697018533440775E-2"/>
    <n v="4.6357775987107171E-2"/>
    <n v="1046"/>
    <n v="0.28095621810367982"/>
    <n v="1368"/>
    <n v="-322"/>
    <n v="1368"/>
    <n v="130.78393881453155"/>
    <n v="100"/>
    <n v="4.6357775987107178E-2"/>
    <n v="6.0628525382755843E-2"/>
    <n v="132000000"/>
    <n v="132000000"/>
    <n v="0"/>
    <n v="0"/>
    <n v="0"/>
    <n v="0"/>
    <n v="0"/>
    <n v="0"/>
    <n v="0"/>
    <n v="0"/>
    <n v="0"/>
    <n v="0"/>
    <n v="0"/>
    <n v="0"/>
    <n v="0"/>
    <n v="0"/>
    <n v="0"/>
    <n v="0"/>
    <n v="0"/>
    <n v="3770"/>
    <n v="0.16500000000000001"/>
    <n v="101.26242277733012"/>
    <n v="100"/>
    <n v="0.16500000000000001"/>
    <n v="0.16500000000000001"/>
    <n v="0.16500000000000001"/>
    <n v="1"/>
    <n v="0"/>
    <n v="36"/>
    <s v="MANTENER CADA AÑO EN 100% LA COBERTURA BRUTA EN BÁSICA PRIMARIA, PRIORIZANDO LA POBLACIÓN EN POBREZA EXTREMA QUE DEMANDE EL SERVICIO"/>
    <n v="78"/>
    <s v="ALCANZAR EN EL CUATRIENIO UNA COBERTURA BRUTA EN EDUCACIÓN MEDIA DE 78,9%, PRIORIZANDO LA POBLACIÓN EN SITUACIÓN DE POBREZA EXTREMA QUE LO DEMANDE"/>
    <m/>
    <m/>
    <m/>
    <m/>
    <s v="SE ALFABETIZO Y SE ELEVO EL NIVEL EDUCATIVO DE 2402 JÓVENES CON LA DOTACIÓN DE MODULOS DE EDUCACIÓN CONTIUADA CAFAM Y LA IMPLEMENTACIÓN DE MODELOS DE EDUCACIÓN FLEXIBLE PARA ADULTOS: A CRECER PARA CICLO I Y CICLO II, SER CICLO I , ABCD ESPAÑOL PARA ALFABETIZACIÓN, MODELO DE EDUCACIÓN VIRTUAL DEL CICLO II AL CICLO VI. _x000a_"/>
    <n v="148000000"/>
    <m/>
    <n v="1"/>
  </r>
  <r>
    <n v="125"/>
    <x v="0"/>
    <x v="1"/>
    <x v="3"/>
    <s v="DESARROLLO"/>
    <s v="GENERAR CAPACIDADES DE LIDERAZGO, FORMACIÓN POLÍTICA Y EMPRENDIMIENTO DURANTE EL CUATRIENIO A 8.000 JÓVENES "/>
    <s v="NO. DE JÓVENES FORMADOS EN LIDERAZGO Y FORMACIÓN POLÍTICA."/>
    <s v="PERSONAS"/>
    <s v="I"/>
    <n v="35"/>
    <n v="8035"/>
    <n v="8000"/>
    <n v="0.25"/>
    <n v="1.5625000000000001E-3"/>
    <n v="50"/>
    <n v="6.2500000000000003E-3"/>
    <n v="50"/>
    <n v="50"/>
    <n v="100"/>
    <n v="100"/>
    <n v="1.5625000000000001E-3"/>
    <n v="100"/>
    <n v="50000000"/>
    <n v="50000000"/>
    <n v="0"/>
    <n v="0"/>
    <n v="0"/>
    <n v="0"/>
    <n v="0"/>
    <n v="0"/>
    <n v="35000000"/>
    <n v="35000000"/>
    <n v="0"/>
    <n v="0"/>
    <n v="0"/>
    <n v="0"/>
    <n v="0"/>
    <n v="0"/>
    <n v="0"/>
    <n v="4000000"/>
    <s v="CORPORACION JOVENES CONSTRUCTORES DE PAZ"/>
    <n v="1.2375000000000001E-2"/>
    <n v="396"/>
    <n v="4.9500000000000002E-2"/>
    <n v="396"/>
    <n v="396"/>
    <n v="100"/>
    <n v="100"/>
    <n v="1.2375000000000001E-2"/>
    <n v="100"/>
    <n v="13000000"/>
    <n v="0"/>
    <n v="13000000"/>
    <n v="0"/>
    <n v="0"/>
    <n v="0"/>
    <n v="0"/>
    <n v="0"/>
    <n v="25000000"/>
    <n v="25000000"/>
    <n v="0"/>
    <n v="0"/>
    <n v="0"/>
    <n v="0"/>
    <n v="0"/>
    <n v="0"/>
    <n v="0"/>
    <n v="0"/>
    <n v="0"/>
    <n v="0.203125"/>
    <n v="6500"/>
    <n v="0.8125"/>
    <n v="800"/>
    <n v="6186"/>
    <n v="6500"/>
    <n v="6500"/>
    <n v="100"/>
    <n v="100"/>
    <n v="0.203125"/>
    <n v="100"/>
    <n v="0.203125"/>
    <n v="3.2937500000000001E-2"/>
    <n v="1054"/>
    <n v="0.13175000000000001"/>
    <n v="1100"/>
    <n v="-46"/>
    <n v="1100"/>
    <n v="104.36432637571157"/>
    <n v="100"/>
    <n v="3.2937500000000001E-2"/>
    <n v="3.4375000000000003E-2"/>
    <n v="30000000"/>
    <n v="30000000"/>
    <n v="0"/>
    <n v="0"/>
    <n v="0"/>
    <n v="0"/>
    <n v="0"/>
    <n v="0"/>
    <n v="0"/>
    <n v="0"/>
    <n v="0"/>
    <n v="0"/>
    <n v="0"/>
    <n v="0"/>
    <n v="0"/>
    <n v="0"/>
    <n v="0"/>
    <n v="0"/>
    <n v="0"/>
    <n v="8046"/>
    <n v="0.25"/>
    <n v="100.575"/>
    <n v="100"/>
    <n v="0.25"/>
    <n v="0.25"/>
    <n v="0.25"/>
    <n v="1"/>
    <n v="0"/>
    <n v="117"/>
    <s v="LOGRAR QUE EN LAS 15 PROVINCIAS DEL DEPARTAMENTO EXISTAN JÓVENES CONSTRUCTORES DE PAZ - JCP DESARROLLANDO PROYECTOS DE INTERÉS PARA LA COMUNIDAD."/>
    <n v="118"/>
    <s v="LOGRAR QUE ANUALMENTE EL 35% DE LAS Y LOS JÓVENES PARTICIPEN DE DINÁMICAS INTEGRALES (CULTURALES, DEPORTIVAS, AMBIENTALES, EMPRENDIMIENTO, EDUCATIVAS)"/>
    <m/>
    <m/>
    <m/>
    <m/>
    <s v="DESARROLLO DE ACTIVIDADES DE FORTALECIMIENTO EN LIDERAZGO Y FORMACIÓN POLÍTICA CON LA PARTICIPACIÓN DE MÁS DE 8 MIL JÓVENES. EN 2015 FINALIZÓ ESCUELA DE LIDERAZGO, EN DONDE SE FORMARON 300 JÓVENES DE 10 PROVINCIAS DEL DEPARTAMENTO Y 280 JÓVENES MÁS A TRAVÉS DE LAS PLATAFORMAS DE JUVENTUDES Y 520 EN TALLERES ARTE Y PAZ PARA LA IDENTIFICACIÓN Y FORTALECIMIENTO DE HABILIDADES. ADICIONALMENTE, SE HAN VENIDO REALIZANDO ACTIVIDADES DE FORMACIÓN EN LIDERAZGO, POLÍTICAS PÚBLICAS Y CONSTRUCCIÓN DE PAZ."/>
    <n v="5000000"/>
    <m/>
    <n v="2000"/>
  </r>
  <r>
    <n v="126"/>
    <x v="0"/>
    <x v="1"/>
    <x v="3"/>
    <s v="DESARROLLO"/>
    <s v="MEJORAR DINÁMICAS DE INTERACCIÓN SOCIAL DE LAS Y LOS JÓVENES, VINCULÁNDOLOS A 160 LUDOTECAS FORTALECIDAS EN SU CAPACIDAD DE SERVICIO"/>
    <s v="NO. DE LUDOTECAS CON AMBIENTE Y DOTACIÓN ADECUADA PARA LOS JÓVENES"/>
    <s v="LUDOTECAS"/>
    <s v="I"/>
    <n v="0"/>
    <n v="160"/>
    <n v="160"/>
    <n v="0.16500000000000001"/>
    <n v="7.2187499999999995E-3"/>
    <n v="7"/>
    <n v="4.3749999999999997E-2"/>
    <n v="0"/>
    <n v="0"/>
    <n v="0"/>
    <n v="0"/>
    <n v="0"/>
    <n v="0"/>
    <n v="100000000"/>
    <n v="0"/>
    <n v="0"/>
    <n v="0"/>
    <n v="0"/>
    <n v="0"/>
    <n v="0"/>
    <n v="100000000"/>
    <n v="0"/>
    <n v="0"/>
    <n v="0"/>
    <n v="0"/>
    <n v="0"/>
    <n v="0"/>
    <n v="0"/>
    <n v="0"/>
    <n v="0"/>
    <n v="0"/>
    <n v="0"/>
    <n v="5.2593750000000002E-2"/>
    <n v="51"/>
    <n v="0.31874999999999998"/>
    <n v="70"/>
    <n v="70"/>
    <n v="137.25490196078431"/>
    <n v="100"/>
    <n v="5.2593750000000002E-2"/>
    <n v="100"/>
    <n v="152000000"/>
    <n v="0"/>
    <n v="23000000"/>
    <n v="0"/>
    <n v="0"/>
    <n v="0"/>
    <n v="0"/>
    <n v="129000000"/>
    <n v="15000000"/>
    <n v="15000000"/>
    <n v="0"/>
    <n v="0"/>
    <n v="0"/>
    <n v="0"/>
    <n v="0"/>
    <n v="0"/>
    <n v="0"/>
    <n v="0"/>
    <n v="0"/>
    <n v="5.2593750000000002E-2"/>
    <n v="51"/>
    <n v="0.31874999999999998"/>
    <n v="0"/>
    <n v="0"/>
    <n v="0"/>
    <n v="0"/>
    <n v="0"/>
    <n v="0"/>
    <n v="0"/>
    <n v="0"/>
    <n v="0"/>
    <n v="5.2593750000000002E-2"/>
    <n v="51"/>
    <n v="0.31874999999999998"/>
    <n v="0"/>
    <n v="51"/>
    <n v="0"/>
    <n v="0"/>
    <n v="0"/>
    <n v="0"/>
    <n v="0"/>
    <n v="183000000"/>
    <n v="54000000"/>
    <n v="0"/>
    <n v="0"/>
    <n v="0"/>
    <n v="0"/>
    <n v="0"/>
    <n v="129000000"/>
    <n v="0"/>
    <n v="0"/>
    <n v="0"/>
    <n v="0"/>
    <n v="0"/>
    <n v="0"/>
    <n v="0"/>
    <n v="0"/>
    <n v="0"/>
    <n v="0"/>
    <n v="0"/>
    <n v="70"/>
    <n v="0.16500000000000001"/>
    <n v="43.75"/>
    <n v="43.75"/>
    <n v="7.2187500000000002E-2"/>
    <n v="7.2187500000000002E-2"/>
    <n v="7.2187500000000002E-2"/>
    <n v="0.99999999999999989"/>
    <n v="0"/>
    <n v="118"/>
    <s v="LOGRAR QUE ANUALMENTE EL 35% DE LAS Y LOS JÓVENES PARTICIPEN DE DINÁMICAS INTEGRALES (CULTURALES, DEPORTIVAS, AMBIENTALES, EMPRENDIMIENTO, EDUCATIVAS)"/>
    <m/>
    <s v=""/>
    <m/>
    <m/>
    <m/>
    <m/>
    <s v="FORTALECIMIENTO DE ESPACIOS DE PARTICIPACIÓN Y APRENDIZAJE CON DOTACIÓN A 70 LUDOTECAS EN EL MARCO DEL PROGRAMA RED DE LUDOTECAS EN 67 MUNICIPIOS, DE LAS CUALES 19 SE ENCUENTRAN A CARGO DE COLSUBSIDIO EN EL MARCO DEL CONVENIO DE COOPERACIÓN SUSCRITO. ENTRE 2014 Y PRIMER SEMESTRE DE 2015, SE HA BRINDADO ATENCIÓN A MÁS DE 20 MIL JÓVENES."/>
    <n v="0"/>
    <m/>
    <n v="400"/>
  </r>
  <r>
    <n v="127"/>
    <x v="0"/>
    <x v="1"/>
    <x v="3"/>
    <s v="DESARROLLO"/>
    <s v="MEJORAR LA CONVIVENCIA CON LA REALIZACIÓN DE 2 ENCUENTROS ANUALES INTERCULTURALES DE JÓVENES PERTENECIENTES A GRUPOS ÉTNICOS"/>
    <s v="NO. DE ENCUENTROS INTERCULTURALES DE JÓVENES DE GRUPOS ÉTNICOS"/>
    <s v="ENCUENTROS"/>
    <s v="I"/>
    <n v="0"/>
    <n v="8"/>
    <n v="8"/>
    <n v="8.8999999999999996E-2"/>
    <n v="0"/>
    <n v="0"/>
    <n v="0"/>
    <n v="0"/>
    <n v="0"/>
    <n v="0"/>
    <n v="0"/>
    <n v="0"/>
    <n v="0"/>
    <n v="10000000"/>
    <n v="10000000"/>
    <n v="0"/>
    <n v="0"/>
    <n v="0"/>
    <n v="0"/>
    <n v="0"/>
    <n v="0"/>
    <n v="7500000"/>
    <n v="7500000"/>
    <n v="0"/>
    <n v="0"/>
    <n v="0"/>
    <n v="0"/>
    <n v="0"/>
    <n v="0"/>
    <n v="0"/>
    <n v="0"/>
    <n v="0"/>
    <n v="2.2249999999999999E-2"/>
    <n v="2"/>
    <n v="0.25"/>
    <n v="2"/>
    <n v="2"/>
    <n v="100"/>
    <n v="100"/>
    <n v="2.2250000000000002E-2"/>
    <n v="100"/>
    <n v="10000000"/>
    <n v="0"/>
    <n v="10000000"/>
    <n v="0"/>
    <n v="0"/>
    <n v="0"/>
    <n v="0"/>
    <n v="0"/>
    <n v="7500000"/>
    <n v="7500000"/>
    <n v="0"/>
    <n v="0"/>
    <n v="0"/>
    <n v="0"/>
    <n v="0"/>
    <n v="0"/>
    <n v="0"/>
    <n v="0"/>
    <n v="0"/>
    <n v="3.3375000000000002E-2"/>
    <n v="3"/>
    <n v="0.375"/>
    <n v="2"/>
    <n v="4"/>
    <n v="3"/>
    <n v="3"/>
    <n v="100"/>
    <n v="100"/>
    <n v="3.3375000000000002E-2"/>
    <n v="100"/>
    <n v="3.3375000000000002E-2"/>
    <n v="3.3375000000000002E-2"/>
    <n v="3"/>
    <n v="0.375"/>
    <n v="2"/>
    <n v="1"/>
    <n v="2"/>
    <n v="66.666666666666671"/>
    <n v="66.666666666666671"/>
    <n v="2.2250000000000002E-2"/>
    <n v="2.2250000000000002E-2"/>
    <n v="24000000"/>
    <n v="24000000"/>
    <n v="0"/>
    <n v="0"/>
    <n v="0"/>
    <n v="0"/>
    <n v="0"/>
    <n v="0"/>
    <n v="0"/>
    <n v="0"/>
    <n v="0"/>
    <n v="0"/>
    <n v="0"/>
    <n v="0"/>
    <n v="0"/>
    <n v="0"/>
    <n v="0"/>
    <n v="0"/>
    <n v="0"/>
    <n v="7"/>
    <n v="8.8999999999999996E-2"/>
    <n v="87.5"/>
    <n v="87.5"/>
    <n v="7.7875E-2"/>
    <n v="7.7875E-2"/>
    <n v="7.7875E-2"/>
    <n v="1"/>
    <n v="0"/>
    <n v="117"/>
    <s v="LOGRAR QUE EN LAS 15 PROVINCIAS DEL DEPARTAMENTO EXISTAN JÓVENES CONSTRUCTORES DE PAZ - JCP DESARROLLANDO PROYECTOS DE INTERÉS PARA LA COMUNIDAD."/>
    <n v="118"/>
    <s v="LOGRAR QUE ANUALMENTE EL 35% DE LAS Y LOS JÓVENES PARTICIPEN DE DINÁMICAS INTEGRALES (CULTURALES, DEPORTIVAS, AMBIENTALES, EMPRENDIMIENTO, EDUCATIVAS)"/>
    <m/>
    <m/>
    <m/>
    <m/>
    <s v="SE HAN GENERADO 7 ESPACIOS INTERCULTURALES Y CONMEMORATIVOS DE LA DIVERSIDAD ÉTNICA EN CONJUNTO CON LA SUBDIRECCIÓN DE ASUNTOS ÉTNICOS."/>
    <n v="20000000"/>
    <m/>
    <n v="500"/>
  </r>
  <r>
    <n v="128"/>
    <x v="0"/>
    <x v="4"/>
    <x v="3"/>
    <s v="DESARROLLO"/>
    <s v="CONTRIBUIR AL DESARROLLO PERSONAL Y LA CONVIVENCIA A TRAVÉS DE LA PARTICIPACIÓN DE 9.600 JÓVENES DURANTE EL CUATRIENIO EN ACTIVIDADES DE COOPERACIÓN AL AIRE LIBRE CON TÉCNICAS CAMPAMENTILES JUVENILES"/>
    <s v="NO. DE JÓVENES ASISTENTES A CAMPAMENTOS JUVENILES EN EL CUATRIENIO"/>
    <s v="PERSONAS"/>
    <s v="I"/>
    <n v="7200"/>
    <n v="16800"/>
    <n v="9600"/>
    <n v="8.8999999999999996E-2"/>
    <n v="2.2249999999999999E-2"/>
    <n v="2400"/>
    <n v="0.25"/>
    <n v="2437"/>
    <n v="2437"/>
    <n v="101.54166666666667"/>
    <n v="100"/>
    <n v="2.2250000000000002E-2"/>
    <n v="100"/>
    <n v="73000000"/>
    <n v="73000000"/>
    <n v="0"/>
    <n v="0"/>
    <n v="0"/>
    <n v="0"/>
    <n v="0"/>
    <n v="0"/>
    <n v="74000000"/>
    <n v="74000000"/>
    <n v="0"/>
    <n v="0"/>
    <n v="0"/>
    <n v="0"/>
    <n v="0"/>
    <n v="0"/>
    <n v="0"/>
    <n v="0"/>
    <n v="0"/>
    <n v="2.2249999999999999E-2"/>
    <n v="2400"/>
    <n v="0.25"/>
    <n v="2069"/>
    <n v="2069"/>
    <n v="86.208333333333329"/>
    <n v="86.208333333333329"/>
    <n v="1.9181354166666664E-2"/>
    <n v="86.208333333333329"/>
    <n v="1048000000"/>
    <n v="0"/>
    <n v="1048000000"/>
    <n v="0"/>
    <n v="0"/>
    <n v="0"/>
    <n v="0"/>
    <n v="0"/>
    <n v="68175200"/>
    <n v="68175200"/>
    <n v="0"/>
    <n v="0"/>
    <n v="0"/>
    <n v="0"/>
    <n v="0"/>
    <n v="0"/>
    <n v="0"/>
    <n v="0"/>
    <n v="0"/>
    <n v="2.2249999999999999E-2"/>
    <n v="2400"/>
    <n v="0.25"/>
    <n v="112"/>
    <n v="112"/>
    <n v="3029"/>
    <n v="3029"/>
    <n v="126.20833333333333"/>
    <n v="100"/>
    <n v="2.2250000000000002E-2"/>
    <n v="100"/>
    <n v="2.8081354166666666E-2"/>
    <n v="2.2249999999999999E-2"/>
    <n v="2400"/>
    <n v="0.25"/>
    <n v="1335"/>
    <n v="1065"/>
    <n v="1335"/>
    <n v="55.625"/>
    <n v="55.625"/>
    <n v="1.2376562499999999E-2"/>
    <n v="1.2376562499999999E-2"/>
    <n v="1048000000"/>
    <n v="1048000000"/>
    <n v="0"/>
    <n v="0"/>
    <n v="0"/>
    <n v="0"/>
    <n v="0"/>
    <n v="0"/>
    <n v="0"/>
    <n v="0"/>
    <n v="0"/>
    <n v="0"/>
    <n v="0"/>
    <n v="0"/>
    <n v="0"/>
    <n v="0"/>
    <n v="0"/>
    <n v="0"/>
    <n v="0"/>
    <n v="8870"/>
    <n v="8.8999999999999996E-2"/>
    <n v="92.395833333333329"/>
    <n v="92.395833333333329"/>
    <n v="8.2232291666666665E-2"/>
    <n v="8.2232291666666665E-2"/>
    <n v="8.2232291666666665E-2"/>
    <n v="1"/>
    <n v="0"/>
    <n v="118"/>
    <s v="LOGRAR QUE ANUALMENTE EL 35% DE LAS Y LOS JÓVENES PARTICIPEN DE DINÁMICAS INTEGRALES (CULTURALES, DEPORTIVAS, AMBIENTALES, EMPRENDIMIENTO, EDUCATIVAS)"/>
    <m/>
    <s v=""/>
    <m/>
    <m/>
    <m/>
    <m/>
    <s v="CONSOLIDACIÓN DEL GRUPO PROMOTOR DE LOS CAMPAMENTOS JUVENILES EN EL DEPARTAMENTO, FORTALECIENDO LA RED JUVENIL DE JÓVENES CAMPISTAS EN EL DEPARTAMENTO Y SU RECONOCIMIENTO A NIVEL NACIONAL, BAJO EL FOMENTO Y DESARROLLO DE ESTRATEGIAS DE UTILIZACIÓN SANA Y CONSTRUCTIVA DEL TIEMPO LIBRE DE LOS JÓVENES DEL DEPARTAMENTO, CON ALTERNATIVAS LÚDICAS QUE GENEREN LIDERAZGO, INTEGRACIÓN, DIVERSIÓN, DESARROLLO E INICIATIVAS PARA CONSTRUCCIÓN DE POLÍTICAS._x000a_SE INTEGRO AL 60% DE LOS MUNICIPIOS DEL DEPARTAMENTO APOYANDO LAS FASES REGIONALES, DEPARTAMENTAL Y NACIONAL, EN EL 2014 CUNDINAMARCA FUE SEDE NACIONAL Y CONVOCÓ A 1.600 JÓVENES DE 27 DEPARTAMENTOS DE TODO EL PAÍS. _x000a_"/>
    <n v="0"/>
    <m/>
    <n v="1"/>
  </r>
  <r>
    <n v="129"/>
    <x v="0"/>
    <x v="4"/>
    <x v="3"/>
    <s v="DESARROLLO"/>
    <s v="PROMOVER Y MASIFICAR LA PRÁCTICA DEPORTIVA CON LA PARTICIPACIÓN DE 15.000 JÓVENES EN EL CUATRIENIO EN ESPACIOS DE COMPETICIÓN A NIVEL MUNICIPAL, REGIONAL Y DEPARTAMENTAL"/>
    <s v="NO. DE JÓVENES QUE PARTICIPAN EN JUEGOS DEPARTAMENTALES JUVENILES"/>
    <s v="PERSONAS"/>
    <s v="I"/>
    <n v="0"/>
    <n v="15000"/>
    <n v="15000"/>
    <n v="0.16500000000000001"/>
    <n v="4.1250000000000002E-2"/>
    <n v="3750"/>
    <n v="0.25"/>
    <n v="5625"/>
    <n v="5625"/>
    <n v="150"/>
    <n v="100"/>
    <n v="4.1250000000000002E-2"/>
    <n v="100"/>
    <n v="126000000"/>
    <n v="126000000"/>
    <n v="0"/>
    <n v="0"/>
    <n v="0"/>
    <n v="0"/>
    <n v="0"/>
    <n v="0"/>
    <n v="259297000"/>
    <n v="259297000"/>
    <n v="0"/>
    <n v="0"/>
    <n v="0"/>
    <n v="0"/>
    <n v="0"/>
    <n v="0"/>
    <n v="0"/>
    <n v="0"/>
    <n v="0"/>
    <n v="4.1250000000000002E-2"/>
    <n v="3750"/>
    <n v="0.25"/>
    <n v="4005"/>
    <n v="4005"/>
    <n v="106.8"/>
    <n v="100"/>
    <n v="4.1250000000000002E-2"/>
    <n v="100"/>
    <n v="113000000"/>
    <n v="0"/>
    <n v="113000000"/>
    <n v="0"/>
    <n v="0"/>
    <n v="0"/>
    <n v="0"/>
    <n v="0"/>
    <n v="146326800"/>
    <n v="146326800"/>
    <n v="0"/>
    <n v="0"/>
    <n v="0"/>
    <n v="0"/>
    <n v="0"/>
    <n v="0"/>
    <n v="0"/>
    <n v="0"/>
    <n v="0"/>
    <n v="4.1250000000000002E-2"/>
    <n v="3750"/>
    <n v="0.25"/>
    <n v="4150"/>
    <n v="4150"/>
    <n v="4150"/>
    <n v="4150"/>
    <n v="110.66666666666667"/>
    <n v="100"/>
    <n v="4.1250000000000002E-2"/>
    <n v="100"/>
    <n v="4.5650000000000003E-2"/>
    <n v="4.1250000000000002E-2"/>
    <n v="3750"/>
    <n v="0.25"/>
    <n v="0"/>
    <n v="3750"/>
    <n v="0"/>
    <n v="0"/>
    <n v="0"/>
    <n v="0"/>
    <n v="0"/>
    <n v="113000000"/>
    <n v="113000000"/>
    <n v="0"/>
    <n v="0"/>
    <n v="0"/>
    <n v="0"/>
    <n v="0"/>
    <n v="0"/>
    <n v="0"/>
    <n v="0"/>
    <n v="0"/>
    <n v="0"/>
    <n v="0"/>
    <n v="0"/>
    <n v="0"/>
    <n v="0"/>
    <n v="0"/>
    <n v="0"/>
    <n v="0"/>
    <n v="13780"/>
    <n v="0.16500000000000001"/>
    <n v="91.86666666666666"/>
    <n v="91.86666666666666"/>
    <n v="0.15157999999999999"/>
    <n v="0.15157999999999999"/>
    <n v="0.15157999999999999"/>
    <n v="1"/>
    <n v="0"/>
    <n v="118"/>
    <s v="LOGRAR QUE ANUALMENTE EL 35% DE LAS Y LOS JÓVENES PARTICIPEN DE DINÁMICAS INTEGRALES (CULTURALES, DEPORTIVAS, AMBIENTALES, EMPRENDIMIENTO, EDUCATIVAS)"/>
    <m/>
    <s v=""/>
    <m/>
    <m/>
    <m/>
    <m/>
    <s v="SE APOYARON LOS ORGANISMOS DEL DEPORTE ASOCIADO, LOGRANDO CON ALGUNOS DEPORTISTAS, INTEGRAR LAS SELECCIONES DE COLOMBIA A COMPETENCIAS INTERNACIONALES Y DEL CICLO OLÍMPICO Y PARALÍMPICO COLOMBIANO. ES DE RESALTAR LA PARTICIPACIÓN DE 8 DEPORTISTAS DE CUNDINAMARCA, QUE FORMARON PARTE DE LA DELEGACIÓN QUE REPRESENTÓ A COLOMBIA, EN LOS JUEGOS OLÍMPICOS LONDRES 2012, EN LAS MODALIDADES DEPORTIVAS DE TIRO, ECUESTRE, BICICROSS Y ATLETISMO. ADICIONALMENTE, RESALTAMOS LA PARTICIPACIÓN DE 9 DEPORTISTAS DEPARTAMENTALES QUE INTEGRARON EL SELECCIONADO COLOMBIANO EN LOS JUEGOS PARALÍMPICOS LONDRES 2012, EN MODALIDADES DEPORTIVAS DE BALONCESTO EN SILLA DE RUEDAS, ATLETISMO (PARÁLISIS CEREBRAL), JUDO VISUALES Y TENIS DE CAMPO._x000a__x000a_DURANTE EL 2013 CUNDINAMARCA PARTICIPÓ EN LOS I JUEGOS DEPORTIVOS NACIONALES DE MAR Y PLAYA CELEBRADOS EN SAN ANDRES EN LOS CUALES ALCANZO 2 MEDALLAS DE ORO Y 2 MEDALLAS PLATA, LAS CUALES LE PERMITIÓ AL DEPARTAMENTO OCUPAR EL 5TO PUESTO EN LA TABLA GENERAL. CUNDINAMARCA ESTUVO PRESENTE CON SUS DEPORTISTAS EN LOS IX JUEGOS MUNDIALES CELEBRADOS EN CALI Y EN LOS CUALES SE OBTUVO 1 MEDALLA DE BRONCE EN EL DEPORTE DEL JIUJITSU CON EL DEPORTISTA WILSON ÁLZATE CORTÉS. ASÌ MISMO EL DEPARTAMENTO, HIZO PARTE DE LA DELEGACIÓN DE COLOMBIA QUE PARTICIPÓ EN LOS XVII JUEGOS DEPORTIVOS BOLIVARIANOS TRUJILLO 2013 CON UN TOTAL DE 19 DEPORTISTAS DE LOS 561._x000a__x000a_DURANTE EL 2014 EL DEPARTAMENTO DE CUNDINAMARCA SE POSICIONÓ A NIVEL REGIONAL, NACIONAL E INTERNACIONAL CON LA REPRESENTACIÓN DE LOS DEPORTISTAS EN LOS CLASIFICATORIOS A JUEGOS NACIONALES 2015, EN LOS II JUEGOS OLÍMPICOS DE LA JUVENTUD, CAMPEONATOS SUDAMERICANOS Y PANAMERICANOS. DENTRO DE LOS LOGROS DEPORTIVOS A RESALTAR ESTÁN: EL CICLISTA EGAN ARLEY BERNAL GOMEZ, ORGULLO CUNDINAMARQUÉS, SE CORONA SUBCAMPEÓN, EN EL XXV CAMPEONATO MUNDIAL UCI DE MTB, EN HAFJELL Y LILLEHAMMER, EN NORUEGA. EN EL IX CAMPEONATO SUDAMERICANO DE SQUASH, DOS DEPORTISTAS COLOMBIANOS DEL REGISTRO DE CUNDINAMARCA GANARON DOS MEDALLAS DE ORO Y CUATRO DE PLATA. EN EL OPEN INTERNACIONAL DE LAS AMÉRICAS DE TAEKWONDO, CUNDINAMARCA OBTUVO EL PRIMER PUESTO POR EQUIPOS. EL COLOMBIANO BRANDON RIVERA DE CUNDINAMARCA HA OCUPADO EL SEGUNDO LUGAR EN LAS PRUEBAS CROSS COUNTRY OLÍMPICO Y CROSS COUNTRY ELIMINATOR LOS “II JUEGOS OLÍMPICOS DE LA JUVENTUD 2014 DE NANJING._x000a_SE PARTICIPÓ EN LOS X JUEGOS DEPORTIVOS SURAMERICANOS SANTIAGO 2014 CON UNA DELEGACIÓN DE 14 DEPORTISTAS CUNDINAMARQUESES Y EN LOS JUEGOS PARASURAMERICANOS SANTIAGO 2014 CON 6 DEPORTISTAS DE CUNDINAMARCA. SE PARTICIPÓ EN LOS XXII JUEGOS CENTRO AMERICANOS Y DEL CARIBEVERACRUZ 2014 CON UNA DELEGACIÓN DE 13 DEPORTISTAS CUNDINAMARQUESES._x000a__x000a_EN EL 2015 SE PARTICIPÓ EN LOS JUEGOS DEPORTIVOS PANAMERICANOSTORONTO 2015 CON UNA DELEGACIÓN DE 11 DEPORTISTAS CUNDINAMARQUESES ALCANZANDO 1 MEDALLA DE ORO CON EL DEPORTISTA JUAN CAMILO VARGAS EN EL DEPORTE DEL SQUASH Y ACTUALMENTE SE ESTÁ PARTICIPANDO EN LOS JUEGOS PARAPANAMERICANOS TORONTO 2015 CON 14 DEPORTISTAS DE CUNDINAMARCA."/>
    <n v="0"/>
    <m/>
    <n v="0"/>
  </r>
  <r>
    <n v="130"/>
    <x v="0"/>
    <x v="4"/>
    <x v="3"/>
    <s v="DESARROLLO"/>
    <s v="FORTALECER LA PRÁCTICA DE DEPORTES EXTREMOS EN EL DEPARTAMENTO CON LA REALIZACIÓN DE 3 FESTIVALES"/>
    <s v="NO. DE FESTIVALES DE DEPORTE EXTREMO"/>
    <s v="FESTIVALES"/>
    <s v="I"/>
    <n v="0"/>
    <n v="3"/>
    <n v="3"/>
    <n v="8.8999999999999996E-2"/>
    <n v="0"/>
    <n v="0"/>
    <n v="0"/>
    <n v="0"/>
    <n v="0"/>
    <n v="0"/>
    <n v="0"/>
    <n v="0"/>
    <n v="0"/>
    <n v="0"/>
    <n v="0"/>
    <n v="0"/>
    <n v="0"/>
    <n v="0"/>
    <n v="0"/>
    <n v="0"/>
    <n v="0"/>
    <n v="0"/>
    <n v="0"/>
    <n v="0"/>
    <n v="0"/>
    <n v="0"/>
    <n v="0"/>
    <n v="0"/>
    <n v="0"/>
    <n v="0"/>
    <n v="0"/>
    <n v="0"/>
    <n v="2.9666666666666664E-2"/>
    <n v="1"/>
    <n v="0.33333333333333331"/>
    <n v="0"/>
    <n v="0"/>
    <n v="0"/>
    <n v="0"/>
    <n v="0"/>
    <n v="0"/>
    <n v="52000000"/>
    <n v="0"/>
    <n v="52000000"/>
    <n v="0"/>
    <n v="0"/>
    <n v="0"/>
    <n v="0"/>
    <n v="0"/>
    <n v="24609914"/>
    <n v="24609914"/>
    <n v="0"/>
    <n v="0"/>
    <n v="0"/>
    <n v="0"/>
    <n v="0"/>
    <n v="0"/>
    <n v="0"/>
    <n v="0"/>
    <n v="0"/>
    <n v="2.9666666666666664E-2"/>
    <n v="1"/>
    <n v="0.33333333333333331"/>
    <n v="0"/>
    <n v="0"/>
    <n v="3"/>
    <n v="3"/>
    <n v="300"/>
    <n v="100"/>
    <n v="2.9666666666666664E-2"/>
    <n v="100"/>
    <n v="8.8999999999999982E-2"/>
    <n v="2.9666666666666664E-2"/>
    <n v="1"/>
    <n v="0.33333333333333331"/>
    <n v="0"/>
    <n v="1"/>
    <n v="0"/>
    <n v="0"/>
    <n v="0"/>
    <n v="0"/>
    <n v="0"/>
    <n v="52000000"/>
    <n v="52000000"/>
    <n v="0"/>
    <n v="0"/>
    <n v="0"/>
    <n v="0"/>
    <n v="0"/>
    <n v="0"/>
    <n v="0"/>
    <n v="0"/>
    <n v="0"/>
    <n v="0"/>
    <n v="0"/>
    <n v="0"/>
    <n v="0"/>
    <n v="0"/>
    <n v="0"/>
    <n v="0"/>
    <n v="0"/>
    <n v="3"/>
    <n v="8.8999999999999996E-2"/>
    <n v="100"/>
    <n v="100"/>
    <n v="8.900000000000001E-2"/>
    <n v="8.8999999999999996E-2"/>
    <n v="8.8999999999999996E-2"/>
    <n v="1"/>
    <n v="0"/>
    <n v="118"/>
    <s v="LOGRAR QUE ANUALMENTE EL 35% DE LAS Y LOS JÓVENES PARTICIPEN DE DINÁMICAS INTEGRALES (CULTURALES, DEPORTIVAS, AMBIENTALES, EMPRENDIMIENTO, EDUCATIVAS)"/>
    <m/>
    <s v=""/>
    <m/>
    <m/>
    <m/>
    <m/>
    <s v="SE IMPLEMENTÓ LA ESTRATEGIA DE APOYO A LOS DEPORTES ALTERNATIVOS EN EL DEPARTAMENTO, MEDIANTE APOYO A LA ORGANIZACIÓN Y REALIZACIÓN DE 3 FESTIVALES DE DEPORTE EXTREMO, CUMPLIENDO CON EL INDICADOR DEFINIDO PARA EL CUATRIENIO. "/>
    <n v="720000000"/>
    <m/>
    <n v="100"/>
  </r>
  <r>
    <n v="131"/>
    <x v="0"/>
    <x v="4"/>
    <x v="3"/>
    <s v="DESARROLLO"/>
    <s v="APOYAR LA PREPARACIÓN ANUAL DEL 100% DE LAS Y LOS DEPORTISTAS DE ALTO RENDIMIENTO CONVENCIONALES Y CON DISCAPACIDAD QUE PARTICIPARÁN EN LOS JUEGOS NACIONALES 2012 Y 2015"/>
    <s v="% DE DEPORTISTAS DE ALTO RENDIMIENTO APOYADOS ANUALMENTE EN SU PREPARACIÓN A JUEGOS NACIONALES"/>
    <s v="PORCENTAJE DE PERSONAS"/>
    <s v="M"/>
    <n v="0"/>
    <n v="100"/>
    <n v="100"/>
    <n v="0.16500000000000001"/>
    <n v="4.1250000000000002E-2"/>
    <n v="100"/>
    <n v="0.25"/>
    <n v="100"/>
    <n v="25"/>
    <n v="100"/>
    <n v="100"/>
    <n v="4.1250000000000002E-2"/>
    <n v="100"/>
    <n v="2576000000"/>
    <n v="2576000000"/>
    <n v="0"/>
    <n v="0"/>
    <n v="0"/>
    <n v="0"/>
    <n v="0"/>
    <n v="0"/>
    <n v="3550954000"/>
    <n v="3550954000"/>
    <n v="0"/>
    <n v="0"/>
    <n v="0"/>
    <n v="0"/>
    <n v="0"/>
    <n v="0"/>
    <n v="0"/>
    <n v="0"/>
    <n v="0"/>
    <n v="4.1250000000000002E-2"/>
    <n v="100"/>
    <n v="0.25"/>
    <n v="100"/>
    <n v="25"/>
    <n v="100"/>
    <n v="100"/>
    <n v="4.1250000000000002E-2"/>
    <n v="100"/>
    <n v="0"/>
    <n v="0"/>
    <n v="0"/>
    <n v="0"/>
    <n v="0"/>
    <n v="0"/>
    <n v="0"/>
    <n v="0"/>
    <n v="1491651397"/>
    <n v="1491651397"/>
    <n v="0"/>
    <n v="0"/>
    <n v="0"/>
    <n v="0"/>
    <n v="0"/>
    <n v="0"/>
    <n v="0"/>
    <n v="0"/>
    <n v="0"/>
    <n v="4.1250000000000002E-2"/>
    <n v="100"/>
    <n v="0.25"/>
    <n v="75"/>
    <n v="80"/>
    <n v="100"/>
    <n v="25"/>
    <n v="100"/>
    <n v="100"/>
    <n v="4.1250000000000002E-2"/>
    <n v="100"/>
    <n v="4.1250000000000002E-2"/>
    <n v="4.1250000000000002E-2"/>
    <n v="100"/>
    <n v="0.25"/>
    <n v="100"/>
    <n v="0"/>
    <n v="25"/>
    <n v="100"/>
    <n v="100"/>
    <n v="4.1250000000000002E-2"/>
    <n v="4.1250000000000002E-2"/>
    <n v="3134000000"/>
    <n v="3134000000"/>
    <n v="0"/>
    <n v="0"/>
    <n v="0"/>
    <n v="0"/>
    <n v="0"/>
    <n v="0"/>
    <n v="0"/>
    <n v="0"/>
    <n v="0"/>
    <n v="0"/>
    <n v="0"/>
    <n v="0"/>
    <n v="0"/>
    <n v="0"/>
    <n v="0"/>
    <n v="0"/>
    <n v="0"/>
    <n v="100"/>
    <n v="0.16500000000000001"/>
    <n v="100"/>
    <n v="100"/>
    <n v="0.16500000000000001"/>
    <n v="0.16500000000000001"/>
    <n v="0.16500000000000001"/>
    <n v="1"/>
    <n v="0"/>
    <n v="118"/>
    <s v="LOGRAR QUE ANUALMENTE EL 35% DE LAS Y LOS JÓVENES PARTICIPEN DE DINÁMICAS INTEGRALES (CULTURALES, DEPORTIVAS, AMBIENTALES, EMPRENDIMIENTO, EDUCATIVAS)"/>
    <m/>
    <s v=""/>
    <m/>
    <m/>
    <m/>
    <m/>
    <s v="SE REALIZÓ UNA INVERSIÓN SIGNIFICATIVA PARA LA VINCULACIÓN EN EL CUATRIENIO DE UN EQUIPO TÉCNICO, METODOLÓGICO Y MULTIDISCIPLINARIO ALTAMENTE CALIFICADO EN LOS PROCESOS DE PLANIFICACIÓN, EJECUCIÓN SEGUIMIENTO, CONTROL Y EVALUACIÓN DEL ENTRENAMIENTO DEPORTIVO CON DEPORTISTAS DE RENDIMIENTO. SE LOGRARON ALIANZAS IMPORTANTES CON COLDEPORTES NACIONALES, LAS CUALES PERMITIERON UTILIZAR DURANTE EL 2012, 2013 Y 2014 EL CENTRO DE ALTO RENDIMIENTO DE CUNDINAMARCA, PARA LA PREPARACIÓN DE LOS DEPORTISTAS DEL DEPARTAMENTO."/>
    <n v="273000000"/>
    <m/>
    <n v="0"/>
  </r>
  <r>
    <n v="132"/>
    <x v="0"/>
    <x v="4"/>
    <x v="3"/>
    <s v="DESARROLLO"/>
    <s v="PARTICIPAR CON DEPORTISTAS DE ALTO RENDIMIENTO CONVENCIONALES Y CON DISCAPACIDAD A JUEGOS NACIONALES 2012 Y 2015"/>
    <s v="NO. DE PARTICIPACIONES DEL DEPARTAMENTO EN JUEGOS NACIONALES EN EL CUATRIENIO"/>
    <s v="JUEGOS"/>
    <s v="I"/>
    <n v="0"/>
    <n v="2"/>
    <n v="2"/>
    <n v="0.16500000000000001"/>
    <n v="8.2500000000000004E-2"/>
    <n v="1"/>
    <n v="0.5"/>
    <n v="1"/>
    <n v="1"/>
    <n v="100"/>
    <n v="100"/>
    <n v="8.2500000000000004E-2"/>
    <n v="100"/>
    <n v="1578000000"/>
    <n v="1578000000"/>
    <n v="0"/>
    <n v="0"/>
    <n v="0"/>
    <n v="0"/>
    <n v="0"/>
    <n v="0"/>
    <n v="2334475000"/>
    <n v="2334475000"/>
    <n v="0"/>
    <n v="0"/>
    <n v="0"/>
    <n v="0"/>
    <n v="0"/>
    <n v="0"/>
    <n v="0"/>
    <n v="0"/>
    <n v="0"/>
    <n v="0"/>
    <n v="0"/>
    <n v="0"/>
    <n v="0"/>
    <n v="0"/>
    <n v="0"/>
    <n v="0"/>
    <n v="0"/>
    <n v="0"/>
    <n v="0"/>
    <n v="0"/>
    <n v="0"/>
    <n v="0"/>
    <n v="0"/>
    <n v="0"/>
    <n v="0"/>
    <n v="0"/>
    <n v="0"/>
    <n v="0"/>
    <n v="0"/>
    <n v="0"/>
    <n v="0"/>
    <n v="0"/>
    <n v="0"/>
    <n v="0"/>
    <n v="0"/>
    <n v="0"/>
    <n v="0"/>
    <n v="0"/>
    <n v="0"/>
    <n v="0"/>
    <n v="0"/>
    <n v="0"/>
    <n v="0"/>
    <n v="0"/>
    <n v="0"/>
    <n v="0"/>
    <n v="0"/>
    <n v="0"/>
    <n v="0"/>
    <n v="8.2500000000000004E-2"/>
    <n v="1"/>
    <n v="0.5"/>
    <n v="1"/>
    <n v="0"/>
    <n v="1"/>
    <n v="100"/>
    <n v="100"/>
    <n v="8.2500000000000004E-2"/>
    <n v="8.2500000000000004E-2"/>
    <n v="1625000000"/>
    <n v="1625000000"/>
    <n v="0"/>
    <n v="0"/>
    <n v="0"/>
    <n v="0"/>
    <n v="0"/>
    <n v="0"/>
    <n v="0"/>
    <n v="0"/>
    <n v="0"/>
    <n v="0"/>
    <n v="0"/>
    <n v="0"/>
    <n v="0"/>
    <n v="0"/>
    <n v="0"/>
    <n v="0"/>
    <n v="0"/>
    <n v="2"/>
    <n v="0.16500000000000001"/>
    <n v="100"/>
    <n v="100"/>
    <n v="0.16500000000000001"/>
    <n v="0.16500000000000001"/>
    <n v="0.16500000000000001"/>
    <n v="1"/>
    <n v="0"/>
    <n v="118"/>
    <s v="LOGRAR QUE ANUALMENTE EL 35% DE LAS Y LOS JÓVENES PARTICIPEN DE DINÁMICAS INTEGRALES (CULTURALES, DEPORTIVAS, AMBIENTALES, EMPRENDIMIENTO, EDUCATIVAS)"/>
    <m/>
    <s v=""/>
    <m/>
    <m/>
    <m/>
    <m/>
    <s v="GARANTIZAMOS EL DESARROLLO DEL DEPORTE EN LA PARTICIPACIÓN EN LOS XIX JUEGOS NACIONALES “CARLOS LLERAS RESTREPO” 2012 QUE SE REALIZARON EN CÓRDOBA, NORTE DE SANTANDER, VALLE Y DISTRITO CAPITAL, CUNDINAMARCA SE QUEDÓ EN EL OCTAVO LUGAR DE LA MEDALLERIA NACIONAL CON UN RESULTADO DE 68 PRESEAS, 11 DE ORO, 19 DE PLATA Y 38 DE BRONCE, EN EL 2008 EL DEPARTAMENTO SE UBICÓ EN EL SEXTO PUESTO, EL BALANCE QUE DEJAN ESTOS JUEGOS SON 1 MEDALLA DE ORO MENOS, UNA MÁS DE PLATA Y 12 MEDALLAS DE BRONCE MÁS QUE LAS JUSTAS PASADAS._x000a__x000a_CONTRIBUIMOS A LA INCLUSIÓN SOCIAL CON LA PARTICIPACIÓN EN LOS III JUEGOS PARANACIONALES “CARLOS LLERAS RESTREPO” REALIZADOS EN EL MES DE DICIEMBRE DEL AÑO 2012, CON UNA DELEGACIÓN DE 105 DEPORTISTAS EN LAS DISCIPLINAS DE BOCCIA, JUDO PARA LIMITADOS VISUALES, TENIS, BILLAR, NATACIÓN, TENIS DE MESA, LEVANTAMIENTO DE PESAS, ATLETISMO, AJEDREZ, FÚTBOL CINCO, BOWLING Y BALONCESTO EN SILLA DE RUEDAS. CUNDINAMARCA OBTUVO UN TOTAL DE 89 MEDALLAS, 28 DE ORO, 30 DE PLATA Y 31 DE BRONCE, POSICIONANDO AL DEPARTAMENTO EN EL CUARTO LUGAR._x000a__x000a_EN EL 2014 SE INVIRTIÓ LA SUMA DE $769.555.333 PARA ATENDER LA PARTICIPACIÓN DE LOS DEPORTISTAS DE CUNDINAMARCA EN 84 COMPETENCIAS NACIONALES E INTERNACIONALES DEL SISTEMA OLÍMPICO Y EN 12 COMPETENCIAS NACIONALES E INTERNACIONALES DEL SISTEMA PARALÍMPICO. SE VINCULÓ A 73 PROFESIONALES EN ÁREAS TÉCNICAS, METODOLÓGICAS Y DE PREPARACIÓN A DEPORTISTAS CON UNA INVERSIÓN QUE SUPERO LA SUMA DE $1.964.375.000 A FIN DE GARANTIZAR LA PREPARACIÓN DE LOS DEPORTISTAS DE CUNDINAMARCA CON MIRAS A LOS XX JUEGOS DEPORTIVOS NACIONALES 2015 Y IV JUEGOS DEPORTIVOS NACIONALES 2015._x000a_"/>
    <n v="550000000"/>
    <m/>
    <n v="30"/>
  </r>
  <r>
    <n v="133"/>
    <x v="0"/>
    <x v="4"/>
    <x v="3"/>
    <s v="DESARROLLO"/>
    <s v="ESTIMULAR LA EXCELENCIA DEPORTIVA CON APOYO ECONÓMICO A 100 DEPORTISTAS MEDALLISTAS CADA AÑO"/>
    <s v="NO. DE DEPORTISTAS APOYADOS ECONÓMICAMENTE CADA AÑO"/>
    <s v="PERSONAS"/>
    <s v="M"/>
    <n v="80"/>
    <n v="100"/>
    <n v="100"/>
    <n v="0.16500000000000001"/>
    <n v="4.1250000000000002E-2"/>
    <n v="100"/>
    <n v="0.25"/>
    <n v="108"/>
    <n v="27"/>
    <n v="108"/>
    <n v="100"/>
    <n v="4.1250000000000002E-2"/>
    <n v="100"/>
    <n v="676000000"/>
    <n v="676000000"/>
    <n v="0"/>
    <n v="0"/>
    <n v="0"/>
    <n v="0"/>
    <n v="0"/>
    <n v="0"/>
    <n v="704435000"/>
    <n v="704435000"/>
    <n v="0"/>
    <n v="0"/>
    <n v="0"/>
    <n v="0"/>
    <n v="0"/>
    <n v="0"/>
    <n v="0"/>
    <n v="0"/>
    <n v="0"/>
    <n v="4.1250000000000002E-2"/>
    <n v="100"/>
    <n v="0.25"/>
    <n v="168"/>
    <n v="42"/>
    <n v="168"/>
    <n v="100"/>
    <n v="4.1250000000000002E-2"/>
    <n v="100"/>
    <n v="720000000"/>
    <n v="0"/>
    <n v="720000000"/>
    <n v="0"/>
    <n v="0"/>
    <n v="0"/>
    <n v="0"/>
    <n v="0"/>
    <n v="764697950"/>
    <n v="764697950"/>
    <n v="0"/>
    <n v="0"/>
    <n v="0"/>
    <n v="0"/>
    <n v="0"/>
    <n v="0"/>
    <n v="0"/>
    <n v="0"/>
    <n v="0"/>
    <n v="4.1250000000000002E-2"/>
    <n v="100"/>
    <n v="0.25"/>
    <n v="166"/>
    <n v="166"/>
    <n v="166"/>
    <n v="41.5"/>
    <n v="166"/>
    <n v="100"/>
    <n v="4.1250000000000002E-2"/>
    <n v="100"/>
    <n v="6.8475000000000008E-2"/>
    <n v="4.1250000000000002E-2"/>
    <n v="100"/>
    <n v="0.25"/>
    <n v="139"/>
    <n v="-39"/>
    <n v="34.75"/>
    <n v="139"/>
    <n v="100"/>
    <n v="4.1250000000000002E-2"/>
    <n v="5.7337500000000007E-2"/>
    <n v="720000000"/>
    <n v="720000000"/>
    <n v="0"/>
    <n v="0"/>
    <n v="0"/>
    <n v="0"/>
    <n v="0"/>
    <n v="0"/>
    <n v="0"/>
    <n v="0"/>
    <n v="0"/>
    <n v="0"/>
    <n v="0"/>
    <n v="0"/>
    <n v="0"/>
    <n v="0"/>
    <n v="0"/>
    <n v="0"/>
    <n v="0"/>
    <n v="145.25"/>
    <n v="0.16500000000000001"/>
    <n v="145.25"/>
    <n v="100"/>
    <n v="0.16500000000000001"/>
    <n v="0.16500000000000001"/>
    <n v="0.16500000000000001"/>
    <n v="1"/>
    <n v="0"/>
    <n v="118"/>
    <s v="LOGRAR QUE ANUALMENTE EL 35% DE LAS Y LOS JÓVENES PARTICIPEN DE DINÁMICAS INTEGRALES (CULTURALES, DEPORTIVAS, AMBIENTALES, EMPRENDIMIENTO, EDUCATIVAS)"/>
    <m/>
    <s v=""/>
    <m/>
    <m/>
    <m/>
    <m/>
    <s v="SE AMPLIÓ LA COBERTURA EN EL CUATRIENIO DEL PROGRAMA PLAN ESTRELLAS DE CUNDINAMARCA, COMO UN PLAN DE ESTÍMULOS PARA LOS MEJORES DEPORTISTAS DEL DEPARTAMENTO EN EL SISTEMA OLÍMPICO Y PARALÍMPICO; FAVORECIENDO 207 DEPORTISTAS, EL CUAL GARANTIZO SU PERMANENCIA EN EL REGISTRO DEPORTIVO DEL DEPARTAMENTO Y A LA VEZ LA OPTIMIZACIÓN DE TODA SU PREPARACIÓN Y COMPETENCIA, LOGRANDO UNA COBERTURA MAYOR AL INDICADOR PROPUESTO POR CADA VIGENCIA."/>
    <n v="80000000"/>
    <m/>
    <n v="10"/>
  </r>
  <r>
    <n v="134"/>
    <x v="0"/>
    <x v="4"/>
    <x v="3"/>
    <s v="DESARROLLO"/>
    <s v="PROMOVER LA ACTIVIDAD FÍSICA A 5.220 JÓVENES CON EL PROGRAMA &quot;SUPERATE&quot;"/>
    <s v="NO. DE JÓVENES QUE PARTICIPAN EN EL PROGRAMA &quot;SUPERATE&quot;"/>
    <s v="PERSONAS"/>
    <s v="I"/>
    <n v="0"/>
    <n v="5220"/>
    <n v="5220"/>
    <n v="0.16500000000000001"/>
    <n v="4.1250000000000002E-2"/>
    <n v="1305"/>
    <n v="0.25"/>
    <n v="2174"/>
    <n v="2174"/>
    <n v="166.59003831417624"/>
    <n v="100"/>
    <n v="4.1250000000000002E-2"/>
    <n v="100"/>
    <n v="139000000"/>
    <n v="2000000"/>
    <n v="0"/>
    <n v="0"/>
    <n v="0"/>
    <n v="0"/>
    <n v="0"/>
    <n v="137000000"/>
    <n v="139000000"/>
    <n v="2000000"/>
    <n v="0"/>
    <n v="137000000"/>
    <n v="0"/>
    <n v="0"/>
    <n v="0"/>
    <n v="0"/>
    <n v="0"/>
    <n v="0"/>
    <n v="0"/>
    <n v="4.1250000000000002E-2"/>
    <n v="1305"/>
    <n v="0.25"/>
    <n v="1453"/>
    <n v="1453"/>
    <n v="111.34099616858238"/>
    <n v="100"/>
    <n v="4.1250000000000002E-2"/>
    <n v="100"/>
    <n v="260000000"/>
    <n v="0"/>
    <n v="0"/>
    <n v="0"/>
    <n v="0"/>
    <n v="0"/>
    <n v="0"/>
    <n v="260000000"/>
    <n v="198008110"/>
    <n v="0"/>
    <n v="0"/>
    <n v="198008110"/>
    <n v="0"/>
    <n v="0"/>
    <n v="0"/>
    <n v="0"/>
    <n v="0"/>
    <n v="0"/>
    <n v="0"/>
    <n v="4.362068965517242E-2"/>
    <n v="1380"/>
    <n v="0.26436781609195403"/>
    <n v="1612"/>
    <n v="1612"/>
    <n v="1612"/>
    <n v="1612"/>
    <n v="116.81159420289855"/>
    <n v="100"/>
    <n v="4.362068965517242E-2"/>
    <n v="100"/>
    <n v="5.0954022988505751E-2"/>
    <n v="3.8879310344827583E-2"/>
    <n v="1230"/>
    <n v="0.23563218390804597"/>
    <n v="0"/>
    <n v="1230"/>
    <n v="0"/>
    <n v="0"/>
    <n v="0"/>
    <n v="0"/>
    <n v="0"/>
    <n v="287000000"/>
    <n v="0"/>
    <n v="0"/>
    <n v="0"/>
    <n v="0"/>
    <n v="0"/>
    <n v="0"/>
    <n v="287000000"/>
    <n v="0"/>
    <n v="0"/>
    <n v="0"/>
    <n v="0"/>
    <n v="0"/>
    <n v="0"/>
    <n v="0"/>
    <n v="0"/>
    <n v="0"/>
    <n v="0"/>
    <n v="0"/>
    <n v="5239"/>
    <n v="0.16500000000000001"/>
    <n v="100.3639846743295"/>
    <n v="100"/>
    <n v="0.16500000000000001"/>
    <n v="0.16500000000000001"/>
    <n v="0.16500000000000001"/>
    <n v="1"/>
    <n v="0"/>
    <n v="118"/>
    <s v="LOGRAR QUE ANUALMENTE EL 35% DE LAS Y LOS JÓVENES PARTICIPEN DE DINÁMICAS INTEGRALES (CULTURALES, DEPORTIVAS, AMBIENTALES, EMPRENDIMIENTO, EDUCATIVAS)"/>
    <m/>
    <s v=""/>
    <m/>
    <m/>
    <m/>
    <m/>
    <s v="PROGRAMA LIDERADO DESDE EL ORDEN NACIONAL, QUE UNIFICA EL DEPORTE EDUCATIVO EN EL PAÍS. SE IMPLEMENTÓ Y DESARROLLO EN LOS 116 MUNICIPIOS, CUMPLIENDO CON EL INDICADOR DEFINIDO PARA EL CUATRIENIO."/>
    <n v="125000000"/>
    <m/>
    <n v="100"/>
  </r>
  <r>
    <n v="135"/>
    <x v="0"/>
    <x v="5"/>
    <x v="3"/>
    <s v="DESARROLLO"/>
    <s v="DIFUNDIR LA MÚSICA FOLCLÓRICA COLOMBIANA Y UNIVERSAL A TRAVÉS DE LA REALIZACIÓN DE 160 CONCIERTOS DE LA BANDA SINFÓNICA DE CUNDINAMARCA EN EL CUATRIENIO"/>
    <s v="NO. DE CONCIERTOS DE LA BANDA SINFÓNICA DE CUNDINAMARCA EN EL CUATRIENIO"/>
    <s v="CONCIERTOS"/>
    <s v="I"/>
    <n v="188"/>
    <n v="348"/>
    <n v="160"/>
    <n v="2.92E-2"/>
    <n v="3.65E-3"/>
    <n v="20"/>
    <n v="0.125"/>
    <n v="20"/>
    <n v="20"/>
    <n v="100"/>
    <n v="100"/>
    <n v="3.65E-3"/>
    <n v="100"/>
    <n v="439000000"/>
    <n v="439000000"/>
    <n v="0"/>
    <n v="0"/>
    <n v="0"/>
    <n v="0"/>
    <n v="0"/>
    <n v="0"/>
    <n v="283170000"/>
    <n v="283170000"/>
    <n v="0"/>
    <n v="0"/>
    <n v="0"/>
    <n v="0"/>
    <n v="0"/>
    <n v="0"/>
    <n v="0"/>
    <n v="0"/>
    <n v="0"/>
    <n v="6.7525000000000007E-3"/>
    <n v="37"/>
    <n v="0.23125000000000001"/>
    <n v="37"/>
    <n v="37"/>
    <n v="100"/>
    <n v="100"/>
    <n v="6.7524999999999998E-3"/>
    <n v="100"/>
    <n v="550000000"/>
    <n v="0"/>
    <n v="550000000"/>
    <n v="0"/>
    <n v="0"/>
    <n v="0"/>
    <n v="0"/>
    <n v="0"/>
    <n v="148755166"/>
    <n v="148755166"/>
    <n v="0"/>
    <n v="0"/>
    <n v="0"/>
    <n v="0"/>
    <n v="0"/>
    <n v="0"/>
    <n v="0"/>
    <n v="0"/>
    <n v="0"/>
    <n v="1.18625E-2"/>
    <n v="65"/>
    <n v="0.40625"/>
    <n v="50"/>
    <n v="52"/>
    <n v="72"/>
    <n v="72"/>
    <n v="110.76923076923077"/>
    <n v="100"/>
    <n v="1.18625E-2"/>
    <n v="100"/>
    <n v="1.3140000000000001E-2"/>
    <n v="6.9349999999999993E-3"/>
    <n v="38"/>
    <n v="0.23749999999999999"/>
    <n v="61"/>
    <n v="-23"/>
    <n v="61"/>
    <n v="160.52631578947367"/>
    <n v="100"/>
    <n v="6.9349999999999993E-3"/>
    <n v="1.1132499999999998E-2"/>
    <n v="550000000"/>
    <n v="550000000"/>
    <n v="0"/>
    <n v="0"/>
    <n v="0"/>
    <n v="0"/>
    <n v="0"/>
    <n v="0"/>
    <n v="0"/>
    <n v="0"/>
    <n v="0"/>
    <n v="0"/>
    <n v="0"/>
    <n v="0"/>
    <n v="0"/>
    <n v="0"/>
    <n v="0"/>
    <n v="0"/>
    <n v="0"/>
    <n v="190"/>
    <n v="2.92E-2"/>
    <n v="118.75"/>
    <n v="100"/>
    <n v="2.92E-2"/>
    <n v="2.92E-2"/>
    <n v="2.92E-2"/>
    <n v="1"/>
    <n v="0"/>
    <n v="118"/>
    <s v="LOGRAR QUE ANUALMENTE EL 35% DE LAS Y LOS JÓVENES PARTICIPEN DE DINÁMICAS INTEGRALES (CULTURALES, DEPORTIVAS, AMBIENTALES, EMPRENDIMIENTO, EDUCATIVAS)"/>
    <m/>
    <s v=""/>
    <m/>
    <m/>
    <m/>
    <m/>
    <s v="SE HA DADO CONTINUIDAD AL PROCESO DE LA BANDA SINFÓNICA JUVENIL DE CUNDINAMARCA, A TRAVÉS DE LA CONTRATACIÓN DE LOS MÚSICOS, DIRECTOR Y COORDINADOR, LOS CUALES PRESTAN ASISTENCIA PARA LA CAPACITACIÓN DEL SECTOR BANDÍSTICO Y REPRESENTAN AL DEPARTAMENTO EN DIFERENTES ACTIVIDADES. A LO LARGO DE ESTOS AÑOS SE HAN REALIZADO 166 CONCIERTOS EN SU MAYORÍA DIDÁCTICOS EN DIFERENTES ESCENARIOS, MEDIANTE LOS CUALES SE HAN BENEFICIADO A DIFERENTES GRUPOS POBLACIONALES QUE ASISTIERON A LAS PRESENTACIONES, FOMENTANDO ASÍ LA SENSIBILIZACIÓN Y FORMACIÓN DE PÚBLICOS A LO LARGO DEL DEPARTAMENTO Y DE LA CIUDAD DE BOGOTÁ."/>
    <n v="724000000"/>
    <m/>
    <n v="19"/>
  </r>
  <r>
    <n v="136"/>
    <x v="0"/>
    <x v="5"/>
    <x v="3"/>
    <s v="DESARROLLO"/>
    <s v="APOYAR EL TALENTO DE JÓVENES ARTISTAS CON SU PARTICIPACIÓN EN 10 ENCUENTROS Y/O CONCURSOS ARTÍSTICOS Y CULTURALES ANUALMENTE"/>
    <s v="NO. DE ENCUENTROS Y/O CONCURSOS ARTÍSTICOS Y CULTURALES FOCALIZADAS A JÓVENES CADA AÑO"/>
    <s v="ENCUENTROS"/>
    <s v="M"/>
    <n v="10"/>
    <n v="10"/>
    <n v="10"/>
    <n v="0.16500000000000001"/>
    <n v="4.1250000000000002E-2"/>
    <n v="10"/>
    <n v="0.25"/>
    <n v="10"/>
    <n v="2.5"/>
    <n v="100"/>
    <n v="100"/>
    <n v="4.1250000000000002E-2"/>
    <n v="100"/>
    <n v="0"/>
    <n v="0"/>
    <n v="0"/>
    <n v="0"/>
    <n v="0"/>
    <n v="0"/>
    <n v="0"/>
    <n v="0"/>
    <n v="96053000"/>
    <n v="96053000"/>
    <n v="0"/>
    <n v="0"/>
    <n v="0"/>
    <n v="0"/>
    <n v="0"/>
    <n v="0"/>
    <n v="0"/>
    <n v="228046000"/>
    <s v="MUNICIPIOS"/>
    <n v="4.1250000000000002E-2"/>
    <n v="10"/>
    <n v="0.25"/>
    <n v="13"/>
    <n v="3.25"/>
    <n v="130"/>
    <n v="100"/>
    <n v="4.1250000000000002E-2"/>
    <n v="100"/>
    <n v="80000000"/>
    <n v="0"/>
    <n v="80000000"/>
    <n v="0"/>
    <n v="0"/>
    <n v="0"/>
    <n v="0"/>
    <n v="0"/>
    <n v="721872425"/>
    <n v="721872425"/>
    <n v="0"/>
    <n v="0"/>
    <n v="0"/>
    <n v="0"/>
    <n v="0"/>
    <n v="0"/>
    <n v="0"/>
    <n v="0"/>
    <n v="0"/>
    <n v="4.1250000000000002E-2"/>
    <n v="10"/>
    <n v="0.25"/>
    <n v="5"/>
    <n v="5"/>
    <n v="19"/>
    <n v="4.75"/>
    <n v="190"/>
    <n v="100"/>
    <n v="4.1250000000000002E-2"/>
    <n v="100"/>
    <n v="7.8375E-2"/>
    <n v="4.1250000000000002E-2"/>
    <n v="10"/>
    <n v="0.25"/>
    <n v="18"/>
    <n v="-8"/>
    <n v="4.5"/>
    <n v="180"/>
    <n v="100"/>
    <n v="4.1250000000000002E-2"/>
    <n v="7.425000000000001E-2"/>
    <n v="80000000"/>
    <n v="80000000"/>
    <n v="0"/>
    <n v="0"/>
    <n v="0"/>
    <n v="0"/>
    <n v="0"/>
    <n v="0"/>
    <n v="0"/>
    <n v="0"/>
    <n v="0"/>
    <n v="0"/>
    <n v="0"/>
    <n v="0"/>
    <n v="0"/>
    <n v="0"/>
    <n v="0"/>
    <n v="0"/>
    <n v="0"/>
    <n v="15"/>
    <n v="0.16500000000000001"/>
    <n v="150"/>
    <n v="100"/>
    <n v="0.16500000000000001"/>
    <n v="0.16500000000000001"/>
    <n v="0.16500000000000001"/>
    <n v="1"/>
    <n v="0"/>
    <n v="118"/>
    <s v="LOGRAR QUE ANUALMENTE EL 35% DE LAS Y LOS JÓVENES PARTICIPEN DE DINÁMICAS INTEGRALES (CULTURALES, DEPORTIVAS, AMBIENTALES, EMPRENDIMIENTO, EDUCATIVAS)"/>
    <m/>
    <s v=""/>
    <m/>
    <m/>
    <m/>
    <m/>
    <s v="SE HA APOYADO LA REALIZACIÓN DE ENCUENTROS ZONALES, DEPARTAMENTALES DE BANDAS MUSICALES, COMO TAMBIÉN DE DANZA Y TEATRO, GENERANDO ESCENARIOS PARA QUE LOS JÓVENES DEL DEPARTAMENTO MUESTREN LOS RESULTADOS Y AVANCES DE SUS PROCESOS MUSICALES Y SE DEN ACTIVIDADES DE INTEGRACIÓN E INTERCAMBIO CULTURAL. LO ANTERIOR, PERMITE QUE EL IDECUT REALICE DIAGNÓSTICO, ESTADO DEL ARTE Y EVALUACIÓN A DICHOS PROCESOS, FACILITANDO LA GESTIÓN DE LA ENTIDAD EN EL ÁREA MUSICAL."/>
    <n v="1128000000"/>
    <m/>
    <n v="36"/>
  </r>
  <r>
    <n v="137"/>
    <x v="0"/>
    <x v="5"/>
    <x v="3"/>
    <s v="DESARROLLO"/>
    <s v="APOYAR EL PROCESO FORMATIVO DE LAS Y LOS JÓVENES CON EL FORTALECIMIENTO DE 100 BIBLIOTECAS PÚBLICAS MUNICIPALES EN EL CUATRIENIO"/>
    <s v="NO. DE BIBLIOTECAS PÚBLICAS MUNICIPALES APOYADAS PARA LA ATENCIÓN DE JÓVENES"/>
    <s v="BIBLIOTECAS"/>
    <s v="I"/>
    <n v="92"/>
    <n v="192"/>
    <n v="100"/>
    <n v="0.16500000000000001"/>
    <n v="4.1250000000000002E-2"/>
    <n v="25"/>
    <n v="0.25"/>
    <n v="47"/>
    <n v="47"/>
    <n v="188"/>
    <n v="100"/>
    <n v="4.1250000000000002E-2"/>
    <n v="100"/>
    <n v="72000000"/>
    <n v="54000000"/>
    <n v="0"/>
    <n v="18000000"/>
    <n v="0"/>
    <n v="0"/>
    <n v="0"/>
    <n v="0"/>
    <n v="0"/>
    <n v="0"/>
    <n v="0"/>
    <n v="0"/>
    <n v="0"/>
    <n v="0"/>
    <n v="0"/>
    <n v="0"/>
    <n v="0"/>
    <n v="18182000"/>
    <s v="MINISTERIO DE CULTURA"/>
    <n v="4.1250000000000002E-2"/>
    <n v="25"/>
    <n v="0.25"/>
    <n v="84"/>
    <n v="84"/>
    <n v="336"/>
    <n v="100"/>
    <n v="4.1250000000000002E-2"/>
    <n v="100"/>
    <n v="125000000"/>
    <n v="0"/>
    <n v="125000000"/>
    <n v="0"/>
    <n v="0"/>
    <n v="0"/>
    <n v="0"/>
    <n v="0"/>
    <n v="152785000"/>
    <n v="152785000"/>
    <n v="0"/>
    <n v="0"/>
    <n v="0"/>
    <n v="0"/>
    <n v="0"/>
    <n v="0"/>
    <n v="0"/>
    <n v="0"/>
    <n v="0"/>
    <n v="4.1250000000000002E-2"/>
    <n v="25"/>
    <n v="0.25"/>
    <n v="100"/>
    <n v="215"/>
    <n v="120"/>
    <n v="120"/>
    <n v="480"/>
    <n v="100"/>
    <n v="4.1250000000000002E-2"/>
    <n v="100"/>
    <n v="0.19800000000000001"/>
    <n v="4.1250000000000002E-2"/>
    <n v="25"/>
    <n v="0.25"/>
    <n v="143"/>
    <n v="-118"/>
    <n v="143"/>
    <n v="572"/>
    <n v="100"/>
    <n v="4.1250000000000002E-2"/>
    <n v="0.23595000000000002"/>
    <n v="125000000"/>
    <n v="125000000"/>
    <n v="0"/>
    <n v="0"/>
    <n v="0"/>
    <n v="0"/>
    <n v="0"/>
    <n v="0"/>
    <n v="0"/>
    <n v="0"/>
    <n v="0"/>
    <n v="0"/>
    <n v="0"/>
    <n v="0"/>
    <n v="0"/>
    <n v="0"/>
    <n v="0"/>
    <n v="0"/>
    <n v="0"/>
    <n v="394"/>
    <n v="0.16500000000000001"/>
    <n v="394"/>
    <n v="100"/>
    <n v="0.16500000000000001"/>
    <n v="0.16500000000000001"/>
    <n v="0.16500000000000001"/>
    <n v="1"/>
    <n v="0"/>
    <n v="118"/>
    <s v="LOGRAR QUE ANUALMENTE EL 35% DE LAS Y LOS JÓVENES PARTICIPEN DE DINÁMICAS INTEGRALES (CULTURALES, DEPORTIVAS, AMBIENTALES, EMPRENDIMIENTO, EDUCATIVAS)"/>
    <m/>
    <s v=""/>
    <m/>
    <m/>
    <m/>
    <m/>
    <s v="A TRAVÉS DE GESTIÓN POR PARTE DEL IDECUT CON EL MINISTERIO DE CULTURA Y CON FINANCIACIÓN DEL IDECUT DE SE HA LOGRADO LLEGAR AL 100% DE LAS BIBLIOTECAS PÚBLICAS MUNICIPALES, DOTACIÓN DE MATERIAL BIBLIOGRAÁFICO, ACCIONES DE ASISTENICA TÉCINCA DE TUTORES Y PROMOTORES, SE HAN BENFICIADO CON DOTACIÓN DE CONECTIVIDAD 38 BIBLIOTECAS PÚBLICAS DE 38 MUNICIPIOS, 140 BIBLIOTECAS CON DOTACIÓN DE UN KIT CONFORMADO POR UN VIDEO PROYECTOR, UN TELÓN DE TRIPODE Y UNA IMPRESORA PARA LA ELABORACIÓN DE LOS CARNETS DE LOS USUARIOS, IMPLEMENTACIÓN DEL SISTEMA LLAVE DEL SABER PARA 111 MUNICIPIOS Y REALIZACIÓN DE ENCUENTROS REGIONALES Y DEPARTAMENTALES DE BIBLIOTECARIOS. ADICIONALMENTE, DURANTE EL 2015 SE HA PUESTO EN MARCHA LA ESTRATEGIA DE PROMOTORES REGIONALES CUYA MISIÓN HA SIDO ACOMPAÑAR Y BRINDAR ASISTENCIA TÉCNICA INSITU INSCRITOS A LA RED DE BIBLIOTECAS PÚBLICAS."/>
    <n v="18000000"/>
    <m/>
    <n v="1"/>
  </r>
  <r>
    <n v="138"/>
    <x v="0"/>
    <x v="5"/>
    <x v="3"/>
    <s v="DESARROLLO"/>
    <s v="FOMENTAR EL DESARROLLO INTEGRAL A TRAVÉS DE PROCESOS DE FORMACIÓN ARTÍSTICA Y CULTURAL DE LAS Y LOS JÓVENES EN 15 MUNICIPIOS ANUALMENTE"/>
    <s v="MUNICIPIOS APOYADOS ANUALMENTE CON PROCESOS DE FORMACIÓN ARTÍSTICA Y CULTURAL CON JÓVENES"/>
    <s v="MUNICIPIOS"/>
    <s v="M"/>
    <n v="13"/>
    <n v="15"/>
    <n v="15"/>
    <n v="0.25"/>
    <n v="6.25E-2"/>
    <n v="15"/>
    <n v="0.25"/>
    <n v="15"/>
    <n v="3.75"/>
    <n v="100"/>
    <n v="100"/>
    <n v="6.25E-2"/>
    <n v="100"/>
    <n v="0"/>
    <n v="0"/>
    <n v="0"/>
    <n v="0"/>
    <n v="0"/>
    <n v="0"/>
    <n v="0"/>
    <n v="0"/>
    <n v="7200000"/>
    <n v="7200000"/>
    <n v="0"/>
    <n v="0"/>
    <n v="0"/>
    <n v="0"/>
    <n v="0"/>
    <n v="0"/>
    <n v="0"/>
    <n v="50000000"/>
    <s v="MUNICIPIO DE VILLETA"/>
    <n v="6.25E-2"/>
    <n v="15"/>
    <n v="0.25"/>
    <n v="10"/>
    <n v="2.5"/>
    <n v="66.666666666666671"/>
    <n v="66.666666666666671"/>
    <n v="4.1666666666666671E-2"/>
    <n v="66.666666666666671"/>
    <n v="150000000"/>
    <n v="0"/>
    <n v="150000000"/>
    <n v="0"/>
    <n v="0"/>
    <n v="0"/>
    <n v="0"/>
    <n v="0"/>
    <n v="40460000"/>
    <n v="40460000"/>
    <n v="0"/>
    <n v="0"/>
    <n v="0"/>
    <n v="0"/>
    <n v="0"/>
    <n v="0"/>
    <n v="0"/>
    <n v="0"/>
    <n v="0"/>
    <n v="6.25E-2"/>
    <n v="15"/>
    <n v="0.25"/>
    <n v="75"/>
    <n v="18"/>
    <n v="18"/>
    <n v="4.5"/>
    <n v="120"/>
    <n v="100"/>
    <n v="6.25E-2"/>
    <n v="100"/>
    <n v="7.4999999999999997E-2"/>
    <n v="6.25E-2"/>
    <n v="15"/>
    <n v="0.25"/>
    <n v="48"/>
    <n v="-33"/>
    <n v="12"/>
    <n v="320"/>
    <n v="100"/>
    <n v="6.25E-2"/>
    <n v="0.2"/>
    <n v="150000000"/>
    <n v="150000000"/>
    <n v="0"/>
    <n v="0"/>
    <n v="0"/>
    <n v="0"/>
    <n v="0"/>
    <n v="0"/>
    <n v="0"/>
    <n v="0"/>
    <n v="0"/>
    <n v="0"/>
    <n v="0"/>
    <n v="0"/>
    <n v="0"/>
    <n v="0"/>
    <n v="0"/>
    <n v="0"/>
    <n v="0"/>
    <n v="22.75"/>
    <n v="0.25"/>
    <n v="151.66666666666666"/>
    <n v="100"/>
    <n v="0.25"/>
    <n v="0.25"/>
    <n v="0.25"/>
    <n v="1"/>
    <n v="0"/>
    <n v="118"/>
    <s v="LOGRAR QUE ANUALMENTE EL 35% DE LAS Y LOS JÓVENES PARTICIPEN DE DINÁMICAS INTEGRALES (CULTURALES, DEPORTIVAS, AMBIENTALES, EMPRENDIMIENTO, EDUCATIVAS)"/>
    <m/>
    <s v=""/>
    <m/>
    <m/>
    <m/>
    <m/>
    <s v="A 2015 SE HAN APOYADO CON EL 50% Y 100% DE LOS HONORARIOS DE DOS FORMADORES A 35 MUNICIPIOS PARA LAS ESCUELAS DE FORMACIÓN ARTÍSTICA Y CULTURAL EN DIFERENTES DISCIPLINAS DENTRO DE LAS QUE SE ENCUENTRAN DANZAS, TEATRO, ARTES PLÁTICAS, LITERATURA Y CINEMATOGRAFÍA, TRADUCIDOS EN 70 PROCESOS DE FORMACIÓN, LO QUE CONLLEVA A PROMOVER EL APROVECHAMIENTO DEL TIEMPO LIBRE Y EL DESARROLLO DE DESTREZAS Y HABILIDADES ARTÍSTICAS DE ESTE GRUPO POBLACIONAL."/>
    <n v="0"/>
    <m/>
    <n v="116"/>
  </r>
  <r>
    <n v="139"/>
    <x v="0"/>
    <x v="1"/>
    <x v="3"/>
    <s v="DESARROLLO"/>
    <s v="PROMOVER CON CAPITAL SEMILLA 20 PROYECTOS PRODUCTIVOS Y DE EMPRENDIMIENTO VINCULANDO A JÓVENES DE EXTREMA POBREZA Y REINTEGRADOS"/>
    <s v="NO. DE PROYECTOS PRODUCTIVOS DE EMPRENDIMIENTO JUVENIL APOYADOS"/>
    <s v="PROYECTOS"/>
    <s v="I"/>
    <n v="0"/>
    <n v="20"/>
    <n v="20"/>
    <n v="0.25"/>
    <n v="0"/>
    <n v="0"/>
    <n v="0"/>
    <n v="0"/>
    <n v="0"/>
    <n v="0"/>
    <n v="0"/>
    <n v="0"/>
    <n v="0"/>
    <n v="200000000"/>
    <n v="200000000"/>
    <n v="0"/>
    <n v="0"/>
    <n v="0"/>
    <n v="0"/>
    <n v="0"/>
    <n v="0"/>
    <n v="0"/>
    <n v="0"/>
    <n v="0"/>
    <n v="0"/>
    <n v="0"/>
    <n v="0"/>
    <n v="0"/>
    <n v="0"/>
    <n v="0"/>
    <n v="0"/>
    <n v="0"/>
    <n v="0.125"/>
    <n v="10"/>
    <n v="0.5"/>
    <n v="11"/>
    <n v="11"/>
    <n v="110"/>
    <n v="100"/>
    <n v="0.125"/>
    <n v="100"/>
    <n v="0"/>
    <n v="0"/>
    <n v="0"/>
    <n v="0"/>
    <n v="0"/>
    <n v="0"/>
    <n v="0"/>
    <n v="0"/>
    <n v="0"/>
    <n v="0"/>
    <n v="0"/>
    <n v="0"/>
    <n v="0"/>
    <n v="0"/>
    <n v="0"/>
    <n v="0"/>
    <n v="0"/>
    <n v="0"/>
    <n v="0"/>
    <n v="6.25E-2"/>
    <n v="5"/>
    <n v="0.25"/>
    <n v="5"/>
    <n v="5"/>
    <n v="5"/>
    <n v="5"/>
    <n v="100"/>
    <n v="100"/>
    <n v="6.25E-2"/>
    <n v="100"/>
    <n v="6.25E-2"/>
    <n v="6.25E-2"/>
    <n v="5"/>
    <n v="0.25"/>
    <n v="11"/>
    <n v="-6"/>
    <n v="11"/>
    <n v="220"/>
    <n v="100"/>
    <n v="6.25E-2"/>
    <n v="0.13750000000000001"/>
    <n v="0"/>
    <n v="0"/>
    <n v="0"/>
    <n v="0"/>
    <n v="0"/>
    <n v="0"/>
    <n v="0"/>
    <n v="0"/>
    <n v="0"/>
    <n v="0"/>
    <n v="0"/>
    <n v="0"/>
    <n v="0"/>
    <n v="0"/>
    <n v="0"/>
    <n v="0"/>
    <n v="0"/>
    <n v="0"/>
    <n v="0"/>
    <n v="27"/>
    <n v="0.25"/>
    <n v="135"/>
    <n v="100"/>
    <n v="0.25"/>
    <n v="0.25"/>
    <n v="0.25"/>
    <n v="1"/>
    <n v="0"/>
    <n v="117"/>
    <s v="LOGRAR QUE EN LAS 15 PROVINCIAS DEL DEPARTAMENTO EXISTAN JÓVENES CONSTRUCTORES DE PAZ - JCP DESARROLLANDO PROYECTOS DE INTERÉS PARA LA COMUNIDAD."/>
    <n v="118"/>
    <s v="LOGRAR QUE ANUALMENTE EL 35% DE LAS Y LOS JÓVENES PARTICIPEN DE DINÁMICAS INTEGRALES (CULTURALES, DEPORTIVAS, AMBIENTALES, EMPRENDIMIENTO, EDUCATIVAS)"/>
    <n v="119"/>
    <m/>
    <m/>
    <m/>
    <s v="PROMOCIÓN Y APOYO A 27 INICIATIVAS PRODUCTIVAS DE JÓVENES. EN 2014, SE IDENTIFICARON 98 INICIATIVAS PRODUCTIVAS DE JÓVENES PARA SU PARTICIPACIÓN EN LA FERIA DE “CUNDINAMARCA EMPRENDEDORA Y SOCIAL - CORFERIAS&quot;; CON EL OBJETIVO DE FACILITAR ESPACIOS Y ACTIVIDADES DE VISIBILIZACIÓN E INTERCAMBIO COMERCIAL, CAPACITACIÓN EN TEMAS EMPRESARIALES."/>
    <n v="4000000"/>
    <m/>
    <n v="500"/>
  </r>
  <r>
    <n v="140"/>
    <x v="0"/>
    <x v="1"/>
    <x v="3"/>
    <s v="CIUDADANIA"/>
    <s v="CONFORMAR, OPERAR Y DESARROLLAR DURANTE EL CUATRIENIO UNA RED DEPARTAMENTAL DE COMUNICACIÓN POPULAR JUVENIL"/>
    <s v="RED DEPARTAMENTAL DE COMUNICACIÓN POPULAR JUVENIL CREADA"/>
    <s v="RED DE COMUNICACIÓN"/>
    <s v="M"/>
    <n v="0"/>
    <n v="1"/>
    <n v="1"/>
    <n v="0.16500000000000001"/>
    <n v="4.1250000000000002E-2"/>
    <n v="1"/>
    <n v="0.25"/>
    <n v="0.7"/>
    <n v="0.17499999999999999"/>
    <n v="70"/>
    <n v="70"/>
    <n v="2.8875000000000001E-2"/>
    <n v="70"/>
    <n v="30000000"/>
    <n v="30000000"/>
    <n v="0"/>
    <n v="0"/>
    <n v="0"/>
    <n v="0"/>
    <n v="0"/>
    <n v="0"/>
    <n v="15000000"/>
    <n v="15000000"/>
    <n v="0"/>
    <n v="0"/>
    <n v="0"/>
    <n v="0"/>
    <n v="0"/>
    <n v="0"/>
    <n v="0"/>
    <n v="4500000"/>
    <s v="CORPORACION RED DE JOVENES CONSTRUCTORES DE PAZ"/>
    <n v="4.1250000000000002E-2"/>
    <n v="1"/>
    <n v="0.25"/>
    <n v="1"/>
    <n v="0.25"/>
    <n v="100"/>
    <n v="100"/>
    <n v="4.1250000000000002E-2"/>
    <n v="100"/>
    <n v="5000000"/>
    <n v="0"/>
    <n v="5000000"/>
    <n v="0"/>
    <n v="0"/>
    <n v="0"/>
    <n v="0"/>
    <n v="0"/>
    <n v="8000000"/>
    <n v="8000000"/>
    <n v="0"/>
    <n v="0"/>
    <n v="0"/>
    <n v="0"/>
    <n v="0"/>
    <n v="0"/>
    <n v="0"/>
    <n v="0"/>
    <n v="0"/>
    <n v="4.1250000000000002E-2"/>
    <n v="1"/>
    <n v="0.25"/>
    <n v="1"/>
    <n v="1"/>
    <n v="1"/>
    <n v="0.25"/>
    <n v="100"/>
    <n v="100"/>
    <n v="4.1250000000000002E-2"/>
    <n v="100"/>
    <n v="4.1250000000000002E-2"/>
    <n v="4.1250000000000002E-2"/>
    <n v="1"/>
    <n v="0.25"/>
    <n v="1"/>
    <n v="0"/>
    <n v="0.25"/>
    <n v="100"/>
    <n v="100"/>
    <n v="4.1250000000000002E-2"/>
    <n v="4.1250000000000002E-2"/>
    <n v="12000000"/>
    <n v="12000000"/>
    <n v="0"/>
    <n v="0"/>
    <n v="0"/>
    <n v="0"/>
    <n v="0"/>
    <n v="0"/>
    <n v="0"/>
    <n v="0"/>
    <n v="0"/>
    <n v="0"/>
    <n v="0"/>
    <n v="0"/>
    <n v="0"/>
    <n v="0"/>
    <n v="0"/>
    <n v="0"/>
    <n v="0"/>
    <n v="0.92500000000000004"/>
    <n v="0.16500000000000001"/>
    <n v="92.5"/>
    <n v="92.5"/>
    <n v="0.15262500000000001"/>
    <n v="0.15262500000000001"/>
    <n v="0.15262500000000001"/>
    <n v="1"/>
    <n v="0"/>
    <n v="117"/>
    <s v="LOGRAR QUE EN LAS 15 PROVINCIAS DEL DEPARTAMENTO EXISTAN JÓVENES CONSTRUCTORES DE PAZ - JCP DESARROLLANDO PROYECTOS DE INTERÉS PARA LA COMUNIDAD."/>
    <n v="118"/>
    <s v="LOGRAR QUE ANUALMENTE EL 35% DE LAS Y LOS JÓVENES PARTICIPEN DE DINÁMICAS INTEGRALES (CULTURALES, DEPORTIVAS, AMBIENTALES, EMPRENDIMIENTO, EDUCATIVAS)"/>
    <m/>
    <m/>
    <m/>
    <m/>
    <s v="FORTALECIMIENTO DEL EJERCICIO PERIODÍSTICO QUE LOS JÓVENES DE LA RED JUVENIL DE COMUNICACIÓN Y MOVILIZACIÓN SOCIAL DE CUNDINAMARCA DESARROLLAN EN SUS MUNICIPIOS, Y A TRAVÉS DE SU CONSTANTE PARTICIPACIÓN EN EL PROCESO DEMOSTRARON SU COMPROMISO POR HACER DE LA RADIO LOCAL UN ESPACIO PARA PROMOVER LA PAZ, LA ESPERANZA Y EL DESARROLLO EN SUS COMUNIDADES. SE HAN REALIZADO 3 TALLERES DE FORTALECIMIENTO DE LA RED DE COMUNICACIONES Y SE TIENEN PROGRAMADOS OTROS 3."/>
    <n v="0"/>
    <m/>
    <n v="0"/>
  </r>
  <r>
    <n v="141"/>
    <x v="0"/>
    <x v="1"/>
    <x v="3"/>
    <s v="CIUDADANIA"/>
    <s v="APOYAR 150 INICIATIVAS DE PARTICIPACIÓN CIUDADANA DE JÓVENES EN EL CUATRIENIO."/>
    <s v="NO. DE INICIATIVAS DE PARTICIPACIÓN CIUDADANA APOYADAS"/>
    <s v="INICIATIVAS"/>
    <s v="I"/>
    <n v="0"/>
    <n v="150"/>
    <n v="150"/>
    <n v="0.16500000000000001"/>
    <n v="2.2000000000000001E-3"/>
    <n v="2"/>
    <n v="1.3333333333333334E-2"/>
    <n v="2"/>
    <n v="2"/>
    <n v="100"/>
    <n v="100"/>
    <n v="2.2000000000000001E-3"/>
    <n v="100"/>
    <n v="25000000"/>
    <n v="25000000"/>
    <n v="0"/>
    <n v="0"/>
    <n v="0"/>
    <n v="0"/>
    <n v="0"/>
    <n v="0"/>
    <n v="7500000"/>
    <n v="7500000"/>
    <n v="0"/>
    <n v="0"/>
    <n v="0"/>
    <n v="0"/>
    <n v="0"/>
    <n v="0"/>
    <n v="0"/>
    <n v="0"/>
    <n v="0"/>
    <n v="1.3200000000000002E-2"/>
    <n v="12"/>
    <n v="0.08"/>
    <n v="12"/>
    <n v="12"/>
    <n v="100"/>
    <n v="100"/>
    <n v="1.32E-2"/>
    <n v="100"/>
    <n v="13000000"/>
    <n v="0"/>
    <n v="13000000"/>
    <n v="0"/>
    <n v="0"/>
    <n v="0"/>
    <n v="0"/>
    <n v="0"/>
    <n v="32000000"/>
    <n v="32000000"/>
    <n v="0"/>
    <n v="0"/>
    <n v="0"/>
    <n v="0"/>
    <n v="0"/>
    <n v="0"/>
    <n v="0"/>
    <n v="0"/>
    <n v="0"/>
    <n v="4.9500000000000002E-2"/>
    <n v="45"/>
    <n v="0.3"/>
    <n v="0"/>
    <n v="34"/>
    <n v="55"/>
    <n v="55"/>
    <n v="122.22222222222223"/>
    <n v="100"/>
    <n v="4.9500000000000002E-2"/>
    <n v="100"/>
    <n v="6.0500000000000005E-2"/>
    <n v="0.10010000000000001"/>
    <n v="91"/>
    <n v="0.60666666666666669"/>
    <n v="87"/>
    <n v="4"/>
    <n v="87"/>
    <n v="95.604395604395606"/>
    <n v="95.604395604395606"/>
    <n v="9.5700000000000007E-2"/>
    <n v="9.5700000000000007E-2"/>
    <n v="30000000"/>
    <n v="30000000"/>
    <n v="0"/>
    <n v="0"/>
    <n v="0"/>
    <n v="0"/>
    <n v="0"/>
    <n v="0"/>
    <n v="0"/>
    <n v="0"/>
    <n v="0"/>
    <n v="0"/>
    <n v="0"/>
    <n v="0"/>
    <n v="0"/>
    <n v="0"/>
    <n v="0"/>
    <n v="0"/>
    <n v="0"/>
    <n v="156"/>
    <n v="0.16500000000000001"/>
    <n v="104"/>
    <n v="100"/>
    <n v="0.16500000000000001"/>
    <n v="0.16500000000000001"/>
    <n v="0.16500000000000001"/>
    <n v="1"/>
    <n v="0"/>
    <n v="117"/>
    <s v="LOGRAR QUE EN LAS 15 PROVINCIAS DEL DEPARTAMENTO EXISTAN JÓVENES CONSTRUCTORES DE PAZ - JCP DESARROLLANDO PROYECTOS DE INTERÉS PARA LA COMUNIDAD."/>
    <n v="118"/>
    <s v="LOGRAR QUE ANUALMENTE EL 35% DE LAS Y LOS JÓVENES PARTICIPEN DE DINÁMICAS INTEGRALES (CULTURALES, DEPORTIVAS, AMBIENTALES, EMPRENDIMIENTO, EDUCATIVAS)"/>
    <n v="119"/>
    <m/>
    <m/>
    <m/>
    <s v="DURANTE EL CUATRIENIO SE HAN VENIDO DESARROLLANDO DIFERENTES ACCIONES DE IDENTIFICACIÓN Y FORTALECIMIENTO DE INICIATVAS JUVENILES DE PARTICIPACIÓN CIUDADANA. EN TOTAL FUERON APOYADAS 156 INICIATIVAS. "/>
    <n v="0"/>
    <m/>
    <n v="1"/>
  </r>
  <r>
    <n v="142"/>
    <x v="0"/>
    <x v="1"/>
    <x v="3"/>
    <s v="CIUDADANIA"/>
    <s v="APOYAR EN EL CUATRIENIO LA CREACIÓN Y FORTALECIMIENTO DE 40 CLUBES, ORGANIZACIONES Y ASOCIACIONES JUVENILES"/>
    <s v="NO. DE CLUBES JUVENILES APOYADOS EN LA CREACIÓN Y DESARROLLO."/>
    <s v="CLUBES"/>
    <s v="I"/>
    <n v="0"/>
    <n v="40"/>
    <n v="40"/>
    <n v="0.16500000000000001"/>
    <n v="2.0625000000000001E-2"/>
    <n v="5"/>
    <n v="0.125"/>
    <n v="5"/>
    <n v="5"/>
    <n v="100"/>
    <n v="100"/>
    <n v="2.0625000000000001E-2"/>
    <n v="100"/>
    <n v="144000000"/>
    <n v="144000000"/>
    <n v="0"/>
    <n v="0"/>
    <n v="0"/>
    <n v="0"/>
    <n v="0"/>
    <n v="0"/>
    <n v="56000000"/>
    <n v="56000000"/>
    <n v="0"/>
    <n v="0"/>
    <n v="0"/>
    <n v="0"/>
    <n v="0"/>
    <n v="0"/>
    <n v="0"/>
    <n v="26975000"/>
    <s v="ASOCIACION SCOUT DE COLOMBIA"/>
    <n v="4.1250000000000002E-2"/>
    <n v="10"/>
    <n v="0.25"/>
    <n v="10"/>
    <n v="10"/>
    <n v="100"/>
    <n v="100"/>
    <n v="4.1250000000000002E-2"/>
    <n v="100"/>
    <n v="5000000"/>
    <n v="0"/>
    <n v="5000000"/>
    <n v="0"/>
    <n v="0"/>
    <n v="0"/>
    <n v="0"/>
    <n v="0"/>
    <n v="56000000"/>
    <n v="56000000"/>
    <n v="0"/>
    <n v="0"/>
    <n v="0"/>
    <n v="0"/>
    <n v="0"/>
    <n v="0"/>
    <n v="0"/>
    <n v="0"/>
    <n v="0"/>
    <n v="6.1874999999999999E-2"/>
    <n v="15"/>
    <n v="0.375"/>
    <n v="0"/>
    <n v="11"/>
    <n v="15"/>
    <n v="15"/>
    <n v="100"/>
    <n v="100"/>
    <n v="6.1874999999999999E-2"/>
    <n v="100"/>
    <n v="6.1874999999999999E-2"/>
    <n v="4.1250000000000002E-2"/>
    <n v="10"/>
    <n v="0.25"/>
    <n v="9"/>
    <n v="1"/>
    <n v="9"/>
    <n v="90"/>
    <n v="90"/>
    <n v="3.7125000000000005E-2"/>
    <n v="3.7125000000000005E-2"/>
    <n v="12000000"/>
    <n v="12000000"/>
    <n v="0"/>
    <n v="0"/>
    <n v="0"/>
    <n v="0"/>
    <n v="0"/>
    <n v="0"/>
    <n v="0"/>
    <n v="0"/>
    <n v="0"/>
    <n v="0"/>
    <n v="0"/>
    <n v="0"/>
    <n v="0"/>
    <n v="0"/>
    <n v="0"/>
    <n v="0"/>
    <n v="0"/>
    <n v="39"/>
    <n v="0.16500000000000001"/>
    <n v="97.5"/>
    <n v="97.5"/>
    <n v="0.16087500000000002"/>
    <n v="0.16087500000000002"/>
    <n v="0.16087500000000002"/>
    <n v="1"/>
    <n v="0"/>
    <n v="118"/>
    <s v="LOGRAR QUE ANUALMENTE EL 35% DE LAS Y LOS JÓVENES PARTICIPEN DE DINÁMICAS INTEGRALES (CULTURALES, DEPORTIVAS, AMBIENTALES, EMPRENDIMIENTO, EDUCATIVAS)"/>
    <m/>
    <s v=""/>
    <m/>
    <m/>
    <m/>
    <m/>
    <s v="APOYO, ACOMPAÑAMIENTO Y FORTALECIMIENTO A 39 ORGANIZACIONES Y/O ASOCIACIONES JUVENILES. CONTINUA EL FORTALECIMIENTO A OTRAS ORGANIZACIONES DESDE SU PARTICIPACIÓN EN LAS PLATAFORMAS DE JUVENTUD."/>
    <n v="300000000"/>
    <m/>
    <n v="80"/>
  </r>
  <r>
    <n v="143"/>
    <x v="0"/>
    <x v="1"/>
    <x v="3"/>
    <s v="CIUDADANIA"/>
    <s v="ASISTIR TÉCNICAMENTE EN EL CUATRIENIO A 107 MUNICIPIOS PARA LA CREACIÓN DE LOS CONSEJOS MUNICIPALES DE JUVENTUD - CMJ"/>
    <s v="NO. DE MUNICIPIOS ASISTIDOS TÉCNICAMENTE EN EL CUATRIENIO PARA LA CREACIÓN DE LOS CMJ"/>
    <s v="MUNICIPIOS"/>
    <s v="I"/>
    <n v="0"/>
    <n v="107"/>
    <n v="107"/>
    <n v="0.16500000000000001"/>
    <n v="3.8551401869158883E-2"/>
    <n v="25"/>
    <n v="0.23364485981308411"/>
    <n v="0"/>
    <n v="0"/>
    <n v="0"/>
    <n v="0"/>
    <n v="0"/>
    <n v="0"/>
    <n v="30000000"/>
    <n v="30000000"/>
    <n v="0"/>
    <n v="0"/>
    <n v="0"/>
    <n v="0"/>
    <n v="0"/>
    <n v="0"/>
    <n v="12500000"/>
    <n v="12500000"/>
    <n v="0"/>
    <n v="0"/>
    <n v="0"/>
    <n v="0"/>
    <n v="0"/>
    <n v="0"/>
    <n v="0"/>
    <n v="0"/>
    <n v="0"/>
    <n v="3.8551401869158883E-2"/>
    <n v="25"/>
    <n v="0.23364485981308411"/>
    <n v="70"/>
    <n v="70"/>
    <n v="280"/>
    <n v="100"/>
    <n v="3.8551401869158883E-2"/>
    <n v="100"/>
    <n v="7000000"/>
    <n v="0"/>
    <n v="7000000"/>
    <n v="0"/>
    <n v="0"/>
    <n v="0"/>
    <n v="0"/>
    <n v="0"/>
    <n v="35500000"/>
    <n v="35500000"/>
    <n v="0"/>
    <n v="0"/>
    <n v="0"/>
    <n v="0"/>
    <n v="0"/>
    <n v="0"/>
    <n v="0"/>
    <n v="0"/>
    <n v="0"/>
    <n v="7.7102803738317766E-2"/>
    <n v="50"/>
    <n v="0.46728971962616822"/>
    <n v="5"/>
    <n v="30"/>
    <n v="37"/>
    <n v="37"/>
    <n v="74"/>
    <n v="74"/>
    <n v="5.7056074766355144E-2"/>
    <n v="74"/>
    <n v="5.7056074766355144E-2"/>
    <n v="1.0794392523364485E-2"/>
    <n v="7"/>
    <n v="6.5420560747663545E-2"/>
    <n v="0"/>
    <n v="7"/>
    <n v="0"/>
    <n v="0"/>
    <n v="0"/>
    <n v="0"/>
    <n v="0"/>
    <n v="15000000"/>
    <n v="15000000"/>
    <n v="0"/>
    <n v="0"/>
    <n v="0"/>
    <n v="0"/>
    <n v="0"/>
    <n v="0"/>
    <n v="0"/>
    <n v="0"/>
    <n v="0"/>
    <n v="0"/>
    <n v="0"/>
    <n v="0"/>
    <n v="0"/>
    <n v="0"/>
    <n v="0"/>
    <n v="0"/>
    <n v="0"/>
    <n v="107"/>
    <n v="0.16500000000000001"/>
    <n v="100"/>
    <n v="100"/>
    <n v="0.16500000000000001"/>
    <n v="0.16500000000000001"/>
    <n v="0.16500000000000001"/>
    <n v="1"/>
    <n v="0"/>
    <n v="117"/>
    <s v="LOGRAR QUE EN LAS 15 PROVINCIAS DEL DEPARTAMENTO EXISTAN JÓVENES CONSTRUCTORES DE PAZ - JCP DESARROLLANDO PROYECTOS DE INTERÉS PARA LA COMUNIDAD."/>
    <n v="118"/>
    <s v="LOGRAR QUE ANUALMENTE EL 35% DE LAS Y LOS JÓVENES PARTICIPEN DE DINÁMICAS INTEGRALES (CULTURALES, DEPORTIVAS, AMBIENTALES, EMPRENDIMIENTO, EDUCATIVAS)"/>
    <n v="119"/>
    <m/>
    <m/>
    <m/>
    <s v="SE HAN ADELANTANDO ACCIONES DE ASISTENCIA TÉCNICA EN TODO EL DEPARTAMENTO, ORIENTADAS A FORTALECER EL LIDERAZGO JUVENIL, SOCIALIZAR EL ESTATUTO DE CIUDADANÍA JUVENIL, CAPACITAR EN PLATAFORMA DE JUVENTUD Y EN POLÍTICA PUBLICA DE JUVENTUD, DENTRO DE LAS QUE SE ENCUENTRAN:_x000a_- ENCUENTRO DEPARTAMENTAL DE POLÍTICA PÚBLICA DE JUVENTUD_x000a_- ENCUENTROS PROVINCIALES DE ASISTENCIA TÉCNICA_x000a_- APOYO AL DESARROLLO DE LA SEMANA DE LA JUVENTUD EN DIFERENTES PROVINCIAS Y MUNICIPIOS_x000a_- JORNADAS SOCIALES DE APOYO AL DESARROLLO- CONSTRUCCIÓN DE MURALES DE PAZ"/>
    <n v="105000000"/>
    <m/>
    <n v="30"/>
  </r>
  <r>
    <n v="144"/>
    <x v="0"/>
    <x v="1"/>
    <x v="3"/>
    <s v="CIUDADANIA"/>
    <s v="CONFORMAR LAS PLATAFORMAS DE JUVENTUD EN EL 50% DE LOS MUNICIPIOS DEL DEPARTAMENTO"/>
    <s v="NUMERO DE PLATAFORMAS DE JUVENTUD CREADAS"/>
    <s v="CONSEJO"/>
    <s v="I"/>
    <n v="0"/>
    <n v="58"/>
    <n v="58"/>
    <n v="0.1650000000000000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2.844827586206897E-2"/>
    <n v="10"/>
    <n v="0.17241379310344829"/>
    <n v="0"/>
    <n v="0"/>
    <n v="0"/>
    <n v="0"/>
    <n v="0"/>
    <n v="0"/>
    <n v="0"/>
    <n v="0"/>
    <n v="0"/>
    <n v="0.13655172413793104"/>
    <n v="48"/>
    <n v="0.82758620689655171"/>
    <n v="30"/>
    <n v="18"/>
    <n v="30"/>
    <n v="62.5"/>
    <n v="62.5"/>
    <n v="8.5344827586206901E-2"/>
    <n v="8.5344827586206901E-2"/>
    <n v="0"/>
    <n v="0"/>
    <n v="0"/>
    <n v="0"/>
    <n v="0"/>
    <n v="0"/>
    <n v="0"/>
    <n v="0"/>
    <n v="0"/>
    <n v="0"/>
    <n v="0"/>
    <n v="0"/>
    <n v="0"/>
    <n v="0"/>
    <n v="0"/>
    <n v="0"/>
    <n v="0"/>
    <n v="0"/>
    <n v="0"/>
    <n v="30"/>
    <n v="0.16500000000000001"/>
    <n v="51.724137931034484"/>
    <n v="51.724137931034484"/>
    <n v="8.5344827586206901E-2"/>
    <n v="8.5344827586206901E-2"/>
    <n v="8.5344827586206901E-2"/>
    <n v="1"/>
    <n v="0"/>
    <n v="119"/>
    <s v="AUMENTAR EN EL CUATRIENIO A 38% EL ÍNDICE DE FLORECIMIENTO JUVENIL"/>
    <m/>
    <s v=""/>
    <m/>
    <m/>
    <m/>
    <m/>
    <s v="SE CONFORMARON 30 PLATAFORMAS JUVENILES, COMO MECANISMO PARA FORTALECER LA DEMOCRACIA A NIVEL LOCAL."/>
    <n v="45000000"/>
    <m/>
    <n v="0"/>
  </r>
  <r>
    <n v="145"/>
    <x v="0"/>
    <x v="1"/>
    <x v="3"/>
    <s v="CIUDADANIA"/>
    <s v="CREAR DURANTE EL CUATRIENIO 5 VEEDURÍAS TEMÁTICAS CIUDADANAS CONFORMADAS POR JÓVENES POR MEDIO DE UNA RED SOCIAL VIRTUAL."/>
    <s v="NO. DE VEEDURÍAS CIUDADANAS DE JÓVENES DESARROLLADAS POR MEDIO DE UNA RED VIRTUAL."/>
    <s v="VEEDURIAS"/>
    <s v="I"/>
    <n v="0"/>
    <n v="5"/>
    <n v="5"/>
    <n v="0.16500000000000001"/>
    <n v="3.3000000000000002E-2"/>
    <n v="1"/>
    <n v="0.2"/>
    <n v="1"/>
    <n v="1"/>
    <n v="100"/>
    <n v="100"/>
    <n v="3.3000000000000002E-2"/>
    <n v="100"/>
    <n v="3000000"/>
    <n v="3000000"/>
    <n v="0"/>
    <n v="0"/>
    <n v="0"/>
    <n v="0"/>
    <n v="0"/>
    <n v="0"/>
    <n v="1500000"/>
    <n v="1500000"/>
    <n v="0"/>
    <n v="0"/>
    <n v="0"/>
    <n v="0"/>
    <n v="0"/>
    <n v="0"/>
    <n v="0"/>
    <n v="0"/>
    <n v="0"/>
    <n v="3.3000000000000002E-2"/>
    <n v="1"/>
    <n v="0.2"/>
    <n v="0"/>
    <n v="0"/>
    <n v="0"/>
    <n v="0"/>
    <n v="0"/>
    <n v="0"/>
    <n v="3000000"/>
    <n v="0"/>
    <n v="3000000"/>
    <n v="0"/>
    <n v="0"/>
    <n v="0"/>
    <n v="0"/>
    <n v="0"/>
    <n v="1500000"/>
    <n v="1500000"/>
    <n v="0"/>
    <n v="0"/>
    <n v="0"/>
    <n v="0"/>
    <n v="0"/>
    <n v="0"/>
    <n v="0"/>
    <n v="0"/>
    <n v="0"/>
    <n v="6.6000000000000003E-2"/>
    <n v="2"/>
    <n v="0.4"/>
    <n v="0"/>
    <n v="0"/>
    <n v="2"/>
    <n v="2"/>
    <n v="100"/>
    <n v="100"/>
    <n v="6.6000000000000003E-2"/>
    <n v="100"/>
    <n v="6.6000000000000003E-2"/>
    <n v="3.3000000000000002E-2"/>
    <n v="1"/>
    <n v="0.2"/>
    <n v="2"/>
    <n v="-1"/>
    <n v="2"/>
    <n v="200"/>
    <n v="100"/>
    <n v="3.3000000000000002E-2"/>
    <n v="6.6000000000000003E-2"/>
    <n v="8000000"/>
    <n v="8000000"/>
    <n v="0"/>
    <n v="0"/>
    <n v="0"/>
    <n v="0"/>
    <n v="0"/>
    <n v="0"/>
    <n v="0"/>
    <n v="0"/>
    <n v="0"/>
    <n v="0"/>
    <n v="0"/>
    <n v="0"/>
    <n v="0"/>
    <n v="0"/>
    <n v="0"/>
    <n v="0"/>
    <n v="0"/>
    <n v="5"/>
    <n v="0.16500000000000001"/>
    <n v="100"/>
    <n v="100"/>
    <n v="0.16500000000000001"/>
    <n v="0.16500000000000001"/>
    <n v="0.16500000000000001"/>
    <n v="1"/>
    <n v="0"/>
    <n v="117"/>
    <s v="LOGRAR QUE EN LAS 15 PROVINCIAS DEL DEPARTAMENTO EXISTAN JÓVENES CONSTRUCTORES DE PAZ - JCP DESARROLLANDO PROYECTOS DE INTERÉS PARA LA COMUNIDAD."/>
    <n v="118"/>
    <s v="LOGRAR QUE ANUALMENTE EL 35% DE LAS Y LOS JÓVENES PARTICIPEN DE DINÁMICAS INTEGRALES (CULTURALES, DEPORTIVAS, AMBIENTALES, EMPRENDIMIENTO, EDUCATIVAS)"/>
    <n v="119"/>
    <m/>
    <m/>
    <m/>
    <s v="CONFORMACIÓN DE 5 VEEDURÍAS EN LOS MUNICIPIOS DE JUNÍN, VILLAPINZÓN, ZIPAQUIRÁ Y TOCANCIPÁ. "/>
    <n v="19500000"/>
    <m/>
    <n v="2"/>
  </r>
  <r>
    <n v="146"/>
    <x v="0"/>
    <x v="1"/>
    <x v="3"/>
    <s v="CIUDADANIA"/>
    <s v="REALIZAR EN EL CUATRIENIO UN ESTUDIO SOBRE LA SITUACION DE LOS JÓVENES EN EL MARCO DE LOS PROCESOS DE POSTCONFLICTO."/>
    <s v="NUMERO DE ESTUDIOS SITUACION DE LOS JOVENES EN EL MARCO DE LOS PROCESOS DE POSTCONFLICTO."/>
    <s v="ESTUDIO"/>
    <s v="I"/>
    <n v="0"/>
    <n v="1"/>
    <n v="1"/>
    <n v="2.92E-2"/>
    <n v="0"/>
    <n v="0"/>
    <n v="0"/>
    <n v="0"/>
    <n v="0"/>
    <n v="0"/>
    <n v="0"/>
    <n v="0"/>
    <n v="0"/>
    <n v="0"/>
    <n v="0"/>
    <n v="0"/>
    <n v="0"/>
    <n v="0"/>
    <n v="0"/>
    <n v="0"/>
    <n v="0"/>
    <n v="0"/>
    <n v="0"/>
    <n v="0"/>
    <n v="0"/>
    <n v="0"/>
    <n v="0"/>
    <n v="0"/>
    <n v="0"/>
    <n v="0"/>
    <n v="0"/>
    <n v="0"/>
    <n v="0"/>
    <n v="0"/>
    <n v="0"/>
    <n v="0"/>
    <n v="0"/>
    <n v="0"/>
    <n v="0"/>
    <n v="0"/>
    <n v="0"/>
    <n v="50000000"/>
    <n v="0"/>
    <n v="50000000"/>
    <n v="0"/>
    <n v="0"/>
    <n v="0"/>
    <n v="0"/>
    <n v="0"/>
    <n v="0"/>
    <n v="0"/>
    <n v="0"/>
    <n v="0"/>
    <n v="0"/>
    <n v="0"/>
    <n v="0"/>
    <n v="0"/>
    <n v="0"/>
    <n v="0"/>
    <n v="0"/>
    <n v="0"/>
    <n v="0"/>
    <n v="0"/>
    <n v="0"/>
    <n v="0"/>
    <n v="0"/>
    <n v="0"/>
    <n v="0"/>
    <n v="0"/>
    <n v="0"/>
    <n v="0"/>
    <n v="0"/>
    <n v="2.92E-2"/>
    <n v="1"/>
    <n v="1"/>
    <n v="1"/>
    <n v="0"/>
    <n v="1"/>
    <n v="100"/>
    <n v="100"/>
    <n v="2.92E-2"/>
    <n v="2.92E-2"/>
    <n v="0"/>
    <n v="0"/>
    <n v="0"/>
    <n v="0"/>
    <n v="0"/>
    <n v="0"/>
    <n v="0"/>
    <n v="0"/>
    <n v="0"/>
    <n v="0"/>
    <n v="0"/>
    <n v="0"/>
    <n v="0"/>
    <n v="0"/>
    <n v="0"/>
    <n v="0"/>
    <n v="0"/>
    <n v="0"/>
    <n v="0"/>
    <n v="1"/>
    <n v="2.92E-2"/>
    <n v="100"/>
    <n v="100"/>
    <n v="2.92E-2"/>
    <n v="2.92E-2"/>
    <n v="2.92E-2"/>
    <n v="1"/>
    <n v="0"/>
    <n v="115"/>
    <s v="REDUCIR EN EL CUATRIENIO EN MÍNIMO 10% LAS MUERTES POR HOMICIDIO EN JÓVENES"/>
    <m/>
    <s v=""/>
    <m/>
    <m/>
    <m/>
    <m/>
    <s v="SE CUENTA CON ESTUDIO SOBRE EL LEVANTAMIENTO DE CARTOGRAFÍA SOCIAL PARA LA VISIÓN DE LOS JÓVENES EN POSTCONFLICTO EN EL MUNICIPIO DE VIOTÁ."/>
    <n v="25000000"/>
    <m/>
    <n v="0"/>
  </r>
  <r>
    <n v="147"/>
    <x v="0"/>
    <x v="1"/>
    <x v="3"/>
    <s v="CIUDADANIA"/>
    <s v="LOGRAR QUE EN EL CUATRIENIO 20 JÓVENES REALICEN INTERCAMBIOS ACADÉMICOS, SOCIALES Y LABORALES EN OTROS PAÍSES."/>
    <s v="NO. DE JÓVENES BENEFICIADOS CON PROGRAMA DE INTERCAMBIO EN OTROS PAÍSES"/>
    <s v="INTERCAMBIOS"/>
    <s v="I"/>
    <n v="0"/>
    <n v="20"/>
    <n v="20"/>
    <n v="0.2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125"/>
    <n v="10"/>
    <n v="0.5"/>
    <n v="0"/>
    <n v="6"/>
    <n v="6"/>
    <n v="6"/>
    <n v="60"/>
    <n v="60"/>
    <n v="7.4999999999999997E-2"/>
    <n v="60"/>
    <n v="7.4999999999999997E-2"/>
    <n v="0.125"/>
    <n v="10"/>
    <n v="0.5"/>
    <n v="13"/>
    <n v="-3"/>
    <n v="13"/>
    <n v="130"/>
    <n v="100"/>
    <n v="0.125"/>
    <n v="0.16250000000000001"/>
    <n v="20000000"/>
    <n v="20000000"/>
    <n v="0"/>
    <n v="0"/>
    <n v="0"/>
    <n v="0"/>
    <n v="0"/>
    <n v="0"/>
    <n v="0"/>
    <n v="0"/>
    <n v="0"/>
    <n v="0"/>
    <n v="0"/>
    <n v="0"/>
    <n v="0"/>
    <n v="0"/>
    <n v="0"/>
    <n v="0"/>
    <n v="0"/>
    <n v="19"/>
    <n v="0.25"/>
    <n v="95"/>
    <n v="95"/>
    <n v="0.23749999999999999"/>
    <n v="0.23749999999999999"/>
    <n v="0.23749999999999999"/>
    <n v="1"/>
    <n v="0"/>
    <n v="118"/>
    <s v="LOGRAR QUE ANUALMENTE EL 35% DE LAS Y LOS JÓVENES PARTICIPEN DE DINÁMICAS INTEGRALES (CULTURALES, DEPORTIVAS, AMBIENTALES, EMPRENDIMIENTO, EDUCATIVAS)"/>
    <m/>
    <s v=""/>
    <m/>
    <m/>
    <m/>
    <m/>
    <s v="EN 2014 EN ARTICULACIÓN CON LA SECRETARIA DE COMPETITIVIDAD SE LOGRÓ APOYAR LA PARTICIPACIÓN DE SEIS (6) JÓVENES EN LA FERIA EXPO MIAMI, QUIENES FUERON IDENTIFICADOS Y SELECCIONADOS EN EL MARCO DE LA FERIA CUNDINAMARCA EMPRENDEDORA Y SOCIAL PARA FOCALIZAR Y REALIZAR A PROCESOS DE INTERCAMBIO. EN 2015 SE ADELANTARON GESTIONES PARA APOYAR A 13 JÓVENES A INTERCAMBIO EN ECUADOR."/>
    <n v="25000000"/>
    <m/>
    <n v="2"/>
  </r>
  <r>
    <n v="148"/>
    <x v="0"/>
    <x v="1"/>
    <x v="3"/>
    <s v="CIUDADANIA"/>
    <s v="PROMOVER LA EXPEDICIÓN Y RENOVACIÓN DE DOCUMENTOS DE IDENTIDAD DE LOS JÓVENES, CON PRIORIDAD EN LA POBLACIÓN DE LA RED UNIDOS Y/O VULNERABLE."/>
    <s v="% DE JÓVENES BENEFICIADOS CON DOCUMENTOS DE IDENTIFICACIÓN."/>
    <s v="PORCENTAJE DE PERSONAS"/>
    <s v="M"/>
    <n v="0"/>
    <n v="100"/>
    <n v="100"/>
    <n v="0.16500000000000001"/>
    <n v="4.1250000000000002E-2"/>
    <n v="100"/>
    <n v="0.25"/>
    <n v="100"/>
    <n v="25"/>
    <n v="100"/>
    <n v="100"/>
    <n v="4.1250000000000002E-2"/>
    <n v="100"/>
    <n v="0"/>
    <n v="0"/>
    <n v="0"/>
    <n v="0"/>
    <n v="0"/>
    <n v="0"/>
    <n v="0"/>
    <n v="0"/>
    <n v="0"/>
    <n v="0"/>
    <n v="0"/>
    <n v="0"/>
    <n v="0"/>
    <n v="0"/>
    <n v="0"/>
    <n v="0"/>
    <n v="0"/>
    <n v="0"/>
    <n v="0"/>
    <n v="4.1250000000000002E-2"/>
    <n v="100"/>
    <n v="0.25"/>
    <n v="100"/>
    <n v="25"/>
    <n v="100"/>
    <n v="100"/>
    <n v="4.1250000000000002E-2"/>
    <n v="100"/>
    <n v="3000000"/>
    <n v="0"/>
    <n v="3000000"/>
    <n v="0"/>
    <n v="0"/>
    <n v="0"/>
    <n v="0"/>
    <n v="0"/>
    <n v="0"/>
    <n v="0"/>
    <n v="0"/>
    <n v="0"/>
    <n v="0"/>
    <n v="0"/>
    <n v="0"/>
    <n v="0"/>
    <n v="0"/>
    <n v="0"/>
    <n v="0"/>
    <n v="4.1250000000000002E-2"/>
    <n v="100"/>
    <n v="0.25"/>
    <n v="0"/>
    <n v="0"/>
    <n v="100"/>
    <n v="25"/>
    <n v="100"/>
    <n v="100"/>
    <n v="4.1250000000000002E-2"/>
    <n v="100"/>
    <n v="4.1250000000000002E-2"/>
    <n v="4.1250000000000002E-2"/>
    <n v="100"/>
    <n v="0.25"/>
    <n v="0"/>
    <n v="100"/>
    <n v="0"/>
    <n v="0"/>
    <n v="0"/>
    <n v="0"/>
    <n v="0"/>
    <n v="6000000"/>
    <n v="6000000"/>
    <n v="0"/>
    <n v="0"/>
    <n v="0"/>
    <n v="0"/>
    <n v="0"/>
    <n v="0"/>
    <n v="0"/>
    <n v="0"/>
    <n v="0"/>
    <n v="0"/>
    <n v="0"/>
    <n v="0"/>
    <n v="0"/>
    <n v="0"/>
    <n v="0"/>
    <n v="0"/>
    <n v="0"/>
    <n v="75"/>
    <n v="0.16500000000000001"/>
    <n v="75"/>
    <n v="75"/>
    <n v="0.12375"/>
    <n v="0.12375"/>
    <n v="0.12375"/>
    <n v="1"/>
    <n v="0"/>
    <n v="79"/>
    <s v="LOGRAR QUE LOS ADOLESCENTES INFLUYAN EN LAS DESICIONES DE POLÍTICA SOCIAL DEPARTAMENTAL ASISTIENDO AL 100% DE LAS REUNIONES"/>
    <n v="118"/>
    <s v="LOGRAR QUE ANUALMENTE EL 35% DE LAS Y LOS JÓVENES PARTICIPEN DE DINÁMICAS INTEGRALES (CULTURALES, DEPORTIVAS, AMBIENTALES, EMPRENDIMIENTO, EDUCATIVAS)"/>
    <m/>
    <m/>
    <m/>
    <m/>
    <s v="EN ALIANZA CON LA REGISTRADURÍA Y LA RED UNIDOS, SE DESARROLLARON CAMPAÑAS DE IDENTIFICACIÓN A POBLACIÓN VULNERABLE EN LOS MUNICIPIOS DE FUSAGASUGÁ Y SOACHA, ATENDIENDO AL 100% DE LA POBLACIÓN QUE DEMANDÓ LOS SERVICIOS."/>
    <n v="30000000"/>
    <m/>
    <n v="1"/>
  </r>
  <r>
    <n v="149"/>
    <x v="0"/>
    <x v="1"/>
    <x v="3"/>
    <s v="CIUDADANIA"/>
    <s v="PROMOVER LA EXPEDICIÓN DE LA LIBRETA MILITAR PARA 2.000 JÓVENES, CON PRIORIDAD EN LA POBLACIÓN DE LA RED UNIDOS Y/O VULNERABLE."/>
    <s v="NO. DE JÓVENES BENEFICIADOS CON LA EXPEDICIÓN DE LA LIBRETA MILITAR"/>
    <s v="PERSONAS"/>
    <s v="I"/>
    <n v="0"/>
    <n v="2000"/>
    <n v="2000"/>
    <n v="0.16500000000000001"/>
    <n v="6.6000000000000003E-2"/>
    <n v="800"/>
    <n v="0.4"/>
    <n v="800"/>
    <n v="800"/>
    <n v="100"/>
    <n v="100"/>
    <n v="6.6000000000000003E-2"/>
    <n v="100"/>
    <n v="0"/>
    <n v="0"/>
    <n v="0"/>
    <n v="0"/>
    <n v="0"/>
    <n v="0"/>
    <n v="0"/>
    <n v="0"/>
    <n v="0"/>
    <n v="0"/>
    <n v="0"/>
    <n v="0"/>
    <n v="0"/>
    <n v="0"/>
    <n v="0"/>
    <n v="0"/>
    <n v="0"/>
    <n v="0"/>
    <n v="0"/>
    <n v="0"/>
    <n v="0"/>
    <n v="0"/>
    <n v="0"/>
    <n v="0"/>
    <n v="0"/>
    <n v="0"/>
    <n v="0"/>
    <n v="0"/>
    <n v="3000000"/>
    <n v="0"/>
    <n v="3000000"/>
    <n v="0"/>
    <n v="0"/>
    <n v="0"/>
    <n v="0"/>
    <n v="0"/>
    <n v="0"/>
    <n v="0"/>
    <n v="0"/>
    <n v="0"/>
    <n v="0"/>
    <n v="0"/>
    <n v="0"/>
    <n v="0"/>
    <n v="0"/>
    <n v="0"/>
    <n v="0"/>
    <n v="8.2500000000000004E-3"/>
    <n v="100"/>
    <n v="0.05"/>
    <n v="0"/>
    <n v="0"/>
    <n v="319"/>
    <n v="319"/>
    <n v="319"/>
    <n v="100"/>
    <n v="8.2500000000000004E-3"/>
    <n v="100"/>
    <n v="2.6317500000000004E-2"/>
    <n v="9.0750000000000011E-2"/>
    <n v="1100"/>
    <n v="0.55000000000000004"/>
    <n v="100"/>
    <n v="1000"/>
    <n v="100"/>
    <n v="9.0909090909090917"/>
    <n v="9.0909090909090917"/>
    <n v="8.2500000000000021E-3"/>
    <n v="8.2500000000000021E-3"/>
    <n v="6000000"/>
    <n v="6000000"/>
    <n v="0"/>
    <n v="0"/>
    <n v="0"/>
    <n v="0"/>
    <n v="0"/>
    <n v="0"/>
    <n v="0"/>
    <n v="0"/>
    <n v="0"/>
    <n v="0"/>
    <n v="0"/>
    <n v="0"/>
    <n v="0"/>
    <n v="0"/>
    <n v="0"/>
    <n v="0"/>
    <n v="0"/>
    <n v="1219"/>
    <n v="0.16500000000000004"/>
    <n v="60.95"/>
    <n v="60.95"/>
    <n v="0.1005675"/>
    <n v="0.1005675"/>
    <n v="0.1005675"/>
    <n v="1"/>
    <n v="0"/>
    <n v="200"/>
    <s v="ATENDER EN EL CUATRIENIO A 21,000 FAMILIAS DE LA RED UNIDOS CON SINERGIA DE SECTORES"/>
    <m/>
    <s v=""/>
    <m/>
    <m/>
    <m/>
    <m/>
    <s v="EN ALIANZA CON EL EJERCITO NACIONAL Y ANSPE, SE PROMOVIÓ LA EXPEDICIÓN DE 1.119 LIBRETAS MILITARES A IGUAL NÚMERO DE PERSONAS."/>
    <n v="600000000"/>
    <m/>
    <n v="32"/>
  </r>
  <r>
    <n v="150"/>
    <x v="0"/>
    <x v="7"/>
    <x v="3"/>
    <s v="CIUDADANIA"/>
    <s v="PROMOVER EN EL 100% DE LOS ORGANISMOS COMUNALES LA PARTICIPACIÓN DE LAS Y LOS JÓVENES"/>
    <s v="% DE ORGANISMOS COMUNALES CON PROMOCIÓN DE PARTICIPACIÓN DE LOS JÓVENES"/>
    <s v="PORCENTAJE DE ORGANISMOS"/>
    <s v="I"/>
    <n v="0"/>
    <n v="100"/>
    <n v="100"/>
    <n v="0.16500000000000001"/>
    <n v="7.1775000000000005E-2"/>
    <n v="43.5"/>
    <n v="0.435"/>
    <n v="43.5"/>
    <n v="43.5"/>
    <n v="100"/>
    <n v="100"/>
    <n v="7.1775000000000005E-2"/>
    <n v="100"/>
    <n v="30000000"/>
    <n v="30000000"/>
    <n v="0"/>
    <n v="0"/>
    <n v="0"/>
    <n v="0"/>
    <n v="0"/>
    <n v="0"/>
    <n v="8587000"/>
    <n v="8587000"/>
    <n v="0"/>
    <n v="0"/>
    <n v="0"/>
    <n v="0"/>
    <n v="0"/>
    <n v="0"/>
    <n v="0"/>
    <n v="0"/>
    <n v="0"/>
    <n v="3.3000000000000002E-2"/>
    <n v="20"/>
    <n v="0.2"/>
    <n v="20"/>
    <n v="20"/>
    <n v="100"/>
    <n v="100"/>
    <n v="3.3000000000000002E-2"/>
    <n v="100"/>
    <n v="10000000"/>
    <n v="0"/>
    <n v="10000000"/>
    <n v="0"/>
    <n v="0"/>
    <n v="0"/>
    <n v="0"/>
    <n v="0"/>
    <n v="0"/>
    <n v="0"/>
    <n v="0"/>
    <n v="0"/>
    <n v="0"/>
    <n v="0"/>
    <n v="0"/>
    <n v="0"/>
    <n v="0"/>
    <n v="0"/>
    <n v="0"/>
    <n v="3.3000000000000002E-2"/>
    <n v="20"/>
    <n v="0.2"/>
    <n v="25.520000457763672"/>
    <n v="29.42"/>
    <n v="36.5"/>
    <n v="36.5"/>
    <n v="182.5"/>
    <n v="100"/>
    <n v="3.3000000000000002E-2"/>
    <n v="100"/>
    <n v="6.0225000000000001E-2"/>
    <n v="2.7225000000000003E-2"/>
    <n v="16.5"/>
    <n v="0.16500000000000001"/>
    <n v="45"/>
    <n v="-28.5"/>
    <n v="45"/>
    <n v="272.72727272727275"/>
    <n v="100"/>
    <n v="2.7225000000000003E-2"/>
    <n v="7.425000000000001E-2"/>
    <n v="0"/>
    <n v="0"/>
    <n v="0"/>
    <n v="0"/>
    <n v="0"/>
    <n v="0"/>
    <n v="0"/>
    <n v="0"/>
    <n v="0"/>
    <n v="0"/>
    <n v="0"/>
    <n v="0"/>
    <n v="0"/>
    <n v="0"/>
    <n v="0"/>
    <n v="0"/>
    <n v="0"/>
    <n v="0"/>
    <n v="0"/>
    <n v="145"/>
    <n v="0.16500000000000001"/>
    <n v="145"/>
    <n v="100"/>
    <n v="0.16500000000000001"/>
    <n v="0.16500000000000001"/>
    <n v="0.16500000000000001"/>
    <n v="1"/>
    <n v="0"/>
    <n v="619"/>
    <s v="LA INSTITUCIÓN DEPARTAMENTAL, LOS GOBIERNOS TERRITORIALES Y LA COMUNIDAD INVOLUCRAN AL 100% DE LAS DIFERENTES INSTANCIAS DE PARTICIPACIÓN EN EL DESARROLLO DE SUS PROGRAMAS Y PROYECTOS GENERANDO CORRESPONSABILIDAD CON PARTICIPACIÓN REAL Y ACTIVA."/>
    <m/>
    <s v=""/>
    <m/>
    <m/>
    <m/>
    <m/>
    <s v="SE BRINDÓ APOYO LOGÍSTICO, DIDÁCTICO Y PUBLICITARIO A LOS EVENTOS QUE SE REALIZARON EN LOS MUNICIPIOS DEL DEPARTAMENTO: ENCUENTROS, VISITAS ADMINISTRATIVAS Y JORNADAS DE CAPACITACIÓN, ASESORÍAS Y ACOMPAÑAMIENTO DE PLENARIAS, EN LAS QUE HAN PARTICIPADO ACTIVAMENTE JÓVENES VINCULADOS A ORGANIZACIONES COMUNALES, A QUIENES SE LES GENERO CAPACIDADES DE GESTIÓN Y SE LES PROMOVIÓ LA PARTICIPACIÓN DE LAS Y LOS JÓVENES EN LOS CUADROS DIRECTIVOS DE LOS ORGANISMOS COMUNITARIOS DEL DEPARTAMENTO. SE HAN REALIZADO JORNADAS DE SENSIBILIZACIÓN, CAPACITACIÓN Y FORMACIÓN, DIRIGIDAS A LOS AFILIADOS DE ORGANIZACIONES COMUALES DEL DEPARTAMENTO,, A QUIENES SE LES HA PROMOVIDO E INCENTIVADO LA PARTICIPACIÓN DE LOS JOVENES COMO FORMA DEMOCRATICA DE DAR SOLUCIÓN A NECESIDADES SENTIDAS Y PROBLEMAS DE TIPO LOCAL Y REGIONAL."/>
    <n v="652000000"/>
    <m/>
    <n v="29"/>
  </r>
  <r>
    <n v="151"/>
    <x v="0"/>
    <x v="5"/>
    <x v="3"/>
    <s v="CIUDADANIA"/>
    <s v="PROMOVER LA PARTICIPACIÓN DE LAS Y LOS JÓVENES EN ACTIVIDADES DE INVESTIGACIÓN, CONSERVACIÓN Y RESCATE DEL PATRIMONIO CULTURAL EN 5 MUNICIPIOS EN EL CUATRIENIO "/>
    <s v="NO. DE MUNICIPIOS APOYADOS PARA LA PARTICIPACIÓN DE LOS JÓVENES EN RESCATE DEL PATRIMONIO CULTURAL"/>
    <s v="MUNICIPIOS"/>
    <s v="I"/>
    <n v="0"/>
    <n v="5"/>
    <n v="5"/>
    <n v="0.16500000000000001"/>
    <n v="0"/>
    <n v="0"/>
    <n v="0"/>
    <n v="0"/>
    <n v="0"/>
    <n v="0"/>
    <n v="0"/>
    <n v="0"/>
    <n v="0"/>
    <n v="0"/>
    <n v="0"/>
    <n v="0"/>
    <n v="0"/>
    <n v="0"/>
    <n v="0"/>
    <n v="0"/>
    <n v="0"/>
    <n v="0"/>
    <n v="0"/>
    <n v="0"/>
    <n v="0"/>
    <n v="0"/>
    <n v="0"/>
    <n v="0"/>
    <n v="0"/>
    <n v="0"/>
    <n v="0"/>
    <n v="0"/>
    <n v="6.6000000000000003E-2"/>
    <n v="2"/>
    <n v="0.4"/>
    <n v="6"/>
    <n v="6"/>
    <n v="300"/>
    <n v="100"/>
    <n v="6.6000000000000003E-2"/>
    <n v="100"/>
    <n v="100000000"/>
    <n v="0"/>
    <n v="100000000"/>
    <n v="0"/>
    <n v="0"/>
    <n v="0"/>
    <n v="0"/>
    <n v="0"/>
    <n v="95000000"/>
    <n v="95000000"/>
    <n v="0"/>
    <n v="0"/>
    <n v="0"/>
    <n v="0"/>
    <n v="0"/>
    <n v="0"/>
    <n v="0"/>
    <n v="0"/>
    <n v="0"/>
    <n v="6.6000000000000003E-2"/>
    <n v="2"/>
    <n v="0.4"/>
    <n v="0"/>
    <n v="6"/>
    <n v="2"/>
    <n v="2"/>
    <n v="100"/>
    <n v="100"/>
    <n v="6.6000000000000003E-2"/>
    <n v="100"/>
    <n v="6.6000000000000003E-2"/>
    <n v="3.3000000000000002E-2"/>
    <n v="1"/>
    <n v="0.2"/>
    <n v="2"/>
    <n v="-1"/>
    <n v="2"/>
    <n v="200"/>
    <n v="100"/>
    <n v="3.3000000000000002E-2"/>
    <n v="6.6000000000000003E-2"/>
    <n v="50000000"/>
    <n v="50000000"/>
    <n v="0"/>
    <n v="0"/>
    <n v="0"/>
    <n v="0"/>
    <n v="0"/>
    <n v="0"/>
    <n v="0"/>
    <n v="0"/>
    <n v="0"/>
    <n v="0"/>
    <n v="0"/>
    <n v="0"/>
    <n v="0"/>
    <n v="0"/>
    <n v="0"/>
    <n v="0"/>
    <n v="0"/>
    <n v="10"/>
    <n v="0.16500000000000001"/>
    <n v="200"/>
    <n v="100"/>
    <n v="0.16500000000000001"/>
    <n v="0.16500000000000001"/>
    <n v="0.16500000000000001"/>
    <n v="1"/>
    <n v="0"/>
    <n v="118"/>
    <s v="LOGRAR QUE ANUALMENTE EL 35% DE LAS Y LOS JÓVENES PARTICIPEN DE DINÁMICAS INTEGRALES (CULTURALES, DEPORTIVAS, AMBIENTALES, EMPRENDIMIENTO, EDUCATIVAS)"/>
    <m/>
    <s v=""/>
    <m/>
    <m/>
    <m/>
    <m/>
    <s v="SE APOYARON CON ÉXITO PROYECTOS LOS CUALES BENEFICIAN A LOS JÓVENES QUE PARTICIPAN EN LOS GRUPOS DE VIGÍAS QUE PROPENDEN POR LA INVESTIGACIÓN CONSERVACIÓN Y RESCATE DEL PATRIMONIO CULTURAL, EN LOS MUNICIPIOS DE JERUSALÉN, TABIO, ZIPACÓN, TENJO Y TAUSA."/>
    <n v="368000000"/>
    <m/>
    <n v="1.45"/>
  </r>
  <r>
    <n v="152"/>
    <x v="0"/>
    <x v="5"/>
    <x v="3"/>
    <s v="CIUDADANIA"/>
    <s v="APOYAR 5 INICIATIVAS DE EMPRENDIMIENTO E INDUSTRIA CULTURAL DE JÓVENES EN EL CUATRIENIO"/>
    <s v="NO. DE INICIATIVAS DE EMPRENDIMIENTO CULTURAL DE JÓVENES APOYADOS"/>
    <s v="INICIATIVAS"/>
    <s v="I"/>
    <n v="0"/>
    <n v="5"/>
    <n v="5"/>
    <n v="0.25"/>
    <n v="0"/>
    <n v="0"/>
    <n v="0"/>
    <n v="0"/>
    <n v="0"/>
    <n v="0"/>
    <n v="0"/>
    <n v="0"/>
    <n v="0"/>
    <n v="0"/>
    <n v="0"/>
    <n v="0"/>
    <n v="0"/>
    <n v="0"/>
    <n v="0"/>
    <n v="0"/>
    <n v="0"/>
    <n v="0"/>
    <n v="0"/>
    <n v="0"/>
    <n v="0"/>
    <n v="0"/>
    <n v="0"/>
    <n v="0"/>
    <n v="0"/>
    <n v="0"/>
    <n v="0"/>
    <n v="0"/>
    <n v="0.1"/>
    <n v="2"/>
    <n v="0.4"/>
    <n v="4"/>
    <n v="4"/>
    <n v="200"/>
    <n v="100"/>
    <n v="0.1"/>
    <n v="100"/>
    <n v="40000000"/>
    <n v="0"/>
    <n v="40000000"/>
    <n v="0"/>
    <n v="0"/>
    <n v="0"/>
    <n v="0"/>
    <n v="0"/>
    <n v="355798333"/>
    <n v="355798333"/>
    <n v="0"/>
    <n v="0"/>
    <n v="0"/>
    <n v="0"/>
    <n v="0"/>
    <n v="0"/>
    <n v="0"/>
    <n v="0"/>
    <n v="0"/>
    <n v="0.1"/>
    <n v="2"/>
    <n v="0.4"/>
    <n v="1"/>
    <n v="5"/>
    <n v="2"/>
    <n v="2"/>
    <n v="100"/>
    <n v="100"/>
    <n v="0.1"/>
    <n v="100"/>
    <n v="0.1"/>
    <n v="0.05"/>
    <n v="1"/>
    <n v="0.2"/>
    <n v="4"/>
    <n v="-3"/>
    <n v="4"/>
    <n v="400"/>
    <n v="100"/>
    <n v="0.05"/>
    <n v="0.2"/>
    <n v="30000000"/>
    <n v="30000000"/>
    <n v="0"/>
    <n v="0"/>
    <n v="0"/>
    <n v="0"/>
    <n v="0"/>
    <n v="0"/>
    <n v="0"/>
    <n v="0"/>
    <n v="0"/>
    <n v="0"/>
    <n v="0"/>
    <n v="0"/>
    <n v="0"/>
    <n v="0"/>
    <n v="0"/>
    <n v="0"/>
    <n v="0"/>
    <n v="10"/>
    <n v="0.25"/>
    <n v="200"/>
    <n v="100"/>
    <n v="0.25"/>
    <n v="0.25"/>
    <n v="0.25"/>
    <n v="1"/>
    <n v="0"/>
    <n v="118"/>
    <s v="LOGRAR QUE ANUALMENTE EL 35% DE LAS Y LOS JÓVENES PARTICIPEN DE DINÁMICAS INTEGRALES (CULTURALES, DEPORTIVAS, AMBIENTALES, EMPRENDIMIENTO, EDUCATIVAS)"/>
    <m/>
    <s v=""/>
    <m/>
    <m/>
    <m/>
    <m/>
    <s v="EL INSTITUTO SUSCRIBIÓ CONTRATO DE PRESTACIÓN DE SERVICIOS PARA PARA LA REALIZACIÓN DE TALLER DE ARTE BELENISTA EN EL MUNICIPIO DE GUADUAS. ASÍ MISMO, DURANTE LOS CUATRO AÑOS SE APOYARON LAS ACTIVIDADES DE TEATRO REALIZADAS EN EL MUNICIPIO DE SOACHA, ORGANIZADAS POR LA FUNDACIÓN CULTURAL LIDERARTE Y QUE CONVOCO A JÓVENES ARTISTAS Y COMUNIDAD EN GENERAL DE LAS COMUNAS, CORREGIMIENTOS E INSTITUCIONES EDUCATIVAS DEL MUNICIPIO DE SOACHA."/>
    <n v="500000"/>
    <m/>
    <n v="1"/>
  </r>
  <r>
    <n v="153"/>
    <x v="0"/>
    <x v="8"/>
    <x v="3"/>
    <s v="CIUDADANIA"/>
    <s v="PROMOVER LA PARTICIPACIÓN DE  1000 JÓVENES EN LOS PROCESOS DE  REVEGETALIZACION PROTECTORA, MANTENIMIENTO Y CONSERVACIÓN DEL RECURSO HÍDRICO, CONSERVACIÓN Y/O RECUPERACIÓN DE ECOSISTEMAS LENTICOS, EDUCACIÓN Y CONCIENTIZACIÓN AMBIENTAL."/>
    <s v="NO. DE JÓVENES VINCULADOS A PROGRAMAS AMBIENTALES"/>
    <s v="PERSONAS"/>
    <s v="I"/>
    <n v="0"/>
    <n v="1000"/>
    <n v="1000"/>
    <n v="0.25"/>
    <n v="0"/>
    <n v="0"/>
    <n v="0"/>
    <n v="0"/>
    <n v="0"/>
    <n v="0"/>
    <n v="0"/>
    <n v="0"/>
    <n v="0"/>
    <n v="0"/>
    <n v="0"/>
    <n v="0"/>
    <n v="0"/>
    <n v="0"/>
    <n v="0"/>
    <n v="0"/>
    <n v="0"/>
    <n v="0"/>
    <n v="0"/>
    <n v="0"/>
    <n v="0"/>
    <n v="0"/>
    <n v="0"/>
    <n v="0"/>
    <n v="0"/>
    <n v="0"/>
    <n v="0"/>
    <n v="0"/>
    <n v="7.4999999999999997E-2"/>
    <n v="300"/>
    <n v="0.3"/>
    <n v="483"/>
    <n v="483"/>
    <n v="161"/>
    <n v="100"/>
    <n v="7.4999999999999997E-2"/>
    <n v="100"/>
    <n v="0"/>
    <n v="0"/>
    <n v="0"/>
    <n v="0"/>
    <n v="0"/>
    <n v="0"/>
    <n v="0"/>
    <n v="0"/>
    <n v="0"/>
    <n v="0"/>
    <n v="0"/>
    <n v="0"/>
    <n v="0"/>
    <n v="0"/>
    <n v="0"/>
    <n v="0"/>
    <n v="0"/>
    <n v="0"/>
    <n v="0"/>
    <n v="7.4999999999999997E-2"/>
    <n v="300"/>
    <n v="0.3"/>
    <n v="1000"/>
    <n v="1000"/>
    <n v="1000"/>
    <n v="1000"/>
    <n v="333.33333333333331"/>
    <n v="100"/>
    <n v="7.4999999999999997E-2"/>
    <n v="100"/>
    <n v="0.24999999999999997"/>
    <n v="0.1"/>
    <n v="400"/>
    <n v="0.4"/>
    <n v="811"/>
    <n v="-411"/>
    <n v="811"/>
    <n v="202.75"/>
    <n v="100"/>
    <n v="0.1"/>
    <n v="0.20275000000000001"/>
    <n v="0"/>
    <n v="0"/>
    <n v="0"/>
    <n v="0"/>
    <n v="0"/>
    <n v="0"/>
    <n v="0"/>
    <n v="0"/>
    <n v="0"/>
    <n v="0"/>
    <n v="0"/>
    <n v="0"/>
    <n v="0"/>
    <n v="0"/>
    <n v="0"/>
    <n v="0"/>
    <n v="0"/>
    <n v="0"/>
    <n v="0"/>
    <n v="2294"/>
    <n v="0.25"/>
    <n v="229.4"/>
    <n v="100"/>
    <n v="0.25"/>
    <n v="0.25"/>
    <n v="0.25"/>
    <n v="1"/>
    <n v="0"/>
    <n v="118"/>
    <s v="LOGRAR QUE ANUALMENTE EL 35% DE LAS Y LOS JÓVENES PARTICIPEN DE DINÁMICAS INTEGRALES (CULTURALES, DEPORTIVAS, AMBIENTALES, EMPRENDIMIENTO, EDUCATIVAS)"/>
    <m/>
    <s v=""/>
    <m/>
    <m/>
    <m/>
    <m/>
    <s v="2294 JOVENES, INCORPORADOS EN LOS PROCESOS DE SENSIBILIZACIÒN AMBIENTAL Y PROGRAMAS DE SOSTENIBILIDAD AMBIENTAL EN PROCESOS LUDICO-PEDAGOGICOS DENOMINADOS: YINCANA AMBIENTAL Y DESAFIO AMBIENTAL."/>
    <n v="192000000"/>
    <m/>
    <n v="0.08"/>
  </r>
  <r>
    <n v="154"/>
    <x v="0"/>
    <x v="0"/>
    <x v="3"/>
    <s v="PROTECCION"/>
    <s v="LOGRAR EN LOS 116 MUNICIPIOS ENTORNOS LABORALES SALUDABLES PARA LAS Y LOS JÓVENES CON EL FOMENTO DE LA SALUD OCUPACIONAL PRIORITARIAMENTE EN EL SECTOR MINERO, TURISMO Y AGRICULTURA"/>
    <s v="NO. DE MUNICIPIOS CON CUMPLIMIENTO DE TODOS LOS COMPONENTES DE LA POLÍTICA DE SALUD LABORAL EN EL DEPARTAMENTO"/>
    <s v="MUNICIPIOS"/>
    <s v="I"/>
    <n v="11"/>
    <n v="105"/>
    <n v="116"/>
    <n v="0.16500000000000001"/>
    <n v="2.1336206896551725E-2"/>
    <n v="15"/>
    <n v="0.12931034482758622"/>
    <n v="16"/>
    <n v="16"/>
    <n v="106.66666666666667"/>
    <n v="100"/>
    <n v="2.1336206896551725E-2"/>
    <n v="100"/>
    <n v="354895000"/>
    <n v="0"/>
    <n v="354895000"/>
    <n v="0"/>
    <n v="0"/>
    <n v="0"/>
    <n v="0"/>
    <n v="0"/>
    <n v="0"/>
    <n v="0"/>
    <n v="0"/>
    <n v="0"/>
    <n v="0"/>
    <n v="0"/>
    <n v="0"/>
    <n v="0"/>
    <n v="0"/>
    <n v="0"/>
    <n v="0"/>
    <n v="4.9784482758620692E-2"/>
    <n v="35"/>
    <n v="0.30172413793103448"/>
    <n v="35"/>
    <n v="35"/>
    <n v="100"/>
    <n v="100"/>
    <n v="4.9784482758620692E-2"/>
    <n v="100"/>
    <n v="373000000"/>
    <n v="373000000"/>
    <n v="0"/>
    <n v="0"/>
    <n v="0"/>
    <n v="0"/>
    <n v="0"/>
    <n v="0"/>
    <n v="252567350"/>
    <n v="0"/>
    <n v="252567350"/>
    <n v="0"/>
    <n v="0"/>
    <n v="0"/>
    <n v="0"/>
    <n v="0"/>
    <n v="0"/>
    <n v="0"/>
    <n v="0"/>
    <n v="4.9784482758620692E-2"/>
    <n v="35"/>
    <n v="0.30172413793103448"/>
    <n v="17"/>
    <n v="26"/>
    <n v="35"/>
    <n v="35"/>
    <n v="100"/>
    <n v="100"/>
    <n v="4.9784482758620692E-2"/>
    <n v="100"/>
    <n v="4.9784482758620692E-2"/>
    <n v="4.4094827586206892E-2"/>
    <n v="31"/>
    <n v="0.26724137931034481"/>
    <n v="31"/>
    <n v="0"/>
    <n v="31"/>
    <n v="100"/>
    <n v="100"/>
    <n v="4.4094827586206892E-2"/>
    <n v="4.4094827586206892E-2"/>
    <n v="373000000"/>
    <n v="0"/>
    <n v="373000000"/>
    <n v="0"/>
    <n v="0"/>
    <n v="0"/>
    <n v="0"/>
    <n v="0"/>
    <n v="0"/>
    <n v="0"/>
    <n v="0"/>
    <n v="0"/>
    <n v="0"/>
    <n v="0"/>
    <n v="0"/>
    <n v="0"/>
    <n v="0"/>
    <n v="0"/>
    <n v="0"/>
    <n v="117"/>
    <n v="0.16500000000000001"/>
    <n v="100.86206896551724"/>
    <n v="100"/>
    <n v="0.16500000000000001"/>
    <n v="0.16500000000000001"/>
    <n v="0.16500000000000001"/>
    <n v="1"/>
    <n v="0"/>
    <n v="118"/>
    <s v="LOGRAR QUE ANUALMENTE EL 35% DE LAS Y LOS JÓVENES PARTICIPEN DE DINÁMICAS INTEGRALES (CULTURALES, DEPORTIVAS, AMBIENTALES, EMPRENDIMIENTO, EDUCATIVAS)"/>
    <m/>
    <s v=""/>
    <m/>
    <m/>
    <m/>
    <m/>
    <s v="SE LOGRA LA INTERVENCION DE 2,992 UNIDADES DE TRABAJO INFORMAL . REALIZANDO LA CARECTERIZACION DE CONDICIONES DE SALUD Y TRABAJO, INSPECCION DE RIESGOS DE UNIDAD PRTODUCTIVA Y ENTREGA DE PLANES DE MEJORAMIENTO. EN EL SECTOR AGRICOLA DE INTERVINIERON 1,769 TRABAJADORES A TRAVES DEL PROGRAMA DE VIGILANCIA DE ORGANOS FOSFORADOS Y CARBAMATOS."/>
    <n v="120000000"/>
    <m/>
    <n v="1"/>
  </r>
  <r>
    <n v="155"/>
    <x v="0"/>
    <x v="1"/>
    <x v="3"/>
    <s v="PROTECCION"/>
    <s v="APOYAR EN EL CUATRIENIO A 30 MUNICIPIOS FRENTE A LOS NUEVOS MODELOS DE ABORDAJE INTEGRAL SOCIAL EN LA PREVENCIÓN Y/O ATENCIÓN DE LAS ADICCIONES Y LA INDAGACIÓN DE LAS CAUSAS"/>
    <s v="NO. DE MUNICIPIOS APOYADOS PARA ABORDAR LOS NUEVOS MODELOS DE PREVENCIÓN Y/O ATENCIÓN DE ADICCIONES"/>
    <s v="MUNICIPIOS"/>
    <s v="I"/>
    <n v="0"/>
    <n v="30"/>
    <n v="30"/>
    <n v="0.16500000000000001"/>
    <n v="5.5E-2"/>
    <n v="10"/>
    <n v="0.33333333333333331"/>
    <n v="10"/>
    <n v="10"/>
    <n v="100"/>
    <n v="100"/>
    <n v="5.5E-2"/>
    <n v="100"/>
    <n v="48000000"/>
    <n v="48000000"/>
    <n v="0"/>
    <n v="0"/>
    <n v="0"/>
    <n v="0"/>
    <n v="0"/>
    <n v="0"/>
    <n v="10500000"/>
    <n v="10500000"/>
    <n v="0"/>
    <n v="0"/>
    <n v="0"/>
    <n v="0"/>
    <n v="0"/>
    <n v="0"/>
    <n v="0"/>
    <n v="0"/>
    <n v="0"/>
    <n v="6.6000000000000003E-2"/>
    <n v="12"/>
    <n v="0.4"/>
    <n v="12"/>
    <n v="12"/>
    <n v="100"/>
    <n v="100"/>
    <n v="6.6000000000000003E-2"/>
    <n v="100"/>
    <n v="15000000"/>
    <n v="0"/>
    <n v="15000000"/>
    <n v="0"/>
    <n v="0"/>
    <n v="0"/>
    <n v="0"/>
    <n v="0"/>
    <n v="30000000"/>
    <n v="30000000"/>
    <n v="0"/>
    <n v="0"/>
    <n v="0"/>
    <n v="0"/>
    <n v="0"/>
    <n v="0"/>
    <n v="0"/>
    <n v="0"/>
    <n v="0"/>
    <n v="2.75E-2"/>
    <n v="5"/>
    <n v="0.16666666666666666"/>
    <n v="4"/>
    <n v="7"/>
    <n v="8"/>
    <n v="8"/>
    <n v="160"/>
    <n v="100"/>
    <n v="2.75E-2"/>
    <n v="100"/>
    <n v="4.4000000000000004E-2"/>
    <n v="1.6500000000000001E-2"/>
    <n v="3"/>
    <n v="0.1"/>
    <n v="8"/>
    <n v="-5"/>
    <n v="8"/>
    <n v="266.66666666666669"/>
    <n v="100"/>
    <n v="1.6500000000000001E-2"/>
    <n v="4.4000000000000004E-2"/>
    <n v="35000000"/>
    <n v="35000000"/>
    <n v="0"/>
    <n v="0"/>
    <n v="0"/>
    <n v="0"/>
    <n v="0"/>
    <n v="0"/>
    <n v="0"/>
    <n v="0"/>
    <n v="0"/>
    <n v="0"/>
    <n v="0"/>
    <n v="0"/>
    <n v="0"/>
    <n v="0"/>
    <n v="0"/>
    <n v="0"/>
    <n v="0"/>
    <n v="38"/>
    <n v="0.16499999999999998"/>
    <n v="126.66666666666667"/>
    <n v="100"/>
    <n v="0.16500000000000001"/>
    <n v="0.16500000000000001"/>
    <n v="0.16500000000000001"/>
    <n v="1"/>
    <n v="0"/>
    <n v="118"/>
    <s v="LOGRAR QUE ANUALMENTE EL 35% DE LAS Y LOS JÓVENES PARTICIPEN DE DINÁMICAS INTEGRALES (CULTURALES, DEPORTIVAS, AMBIENTALES, EMPRENDIMIENTO, EDUCATIVAS)"/>
    <n v="119"/>
    <s v="AUMENTAR EN EL CUATRIENIO A 38% EL ÍNDICE DE FLORECIMIENTO JUVENIL"/>
    <m/>
    <m/>
    <m/>
    <m/>
    <s v="FOCALIZACIÓN DE 31 MUNICIPIOS PARA EL DESARROLLO DEL PROCESO DE ACOMPAÑAMIENTO, CONTACTO CON LAS ADMINISTRACIONES E INICIO DE LAS ACCIONES DE FORMACIÓN LA PROPUESTA DE ABORDAJE DE ADICCIONES PROPUESTO POR EL DEPARTAMENTO. SE HAN CAPACITADO MÁS DE 2 MIL PROFESIONALES Y FUNCIONARIOS Y REPRESENTANTES DE LA COMUNIDAD DE LOS MUNICIPIOS DURANTE EL CUATRIENIO. ASIMISMO, SE HAN LOGRADO DESARROLLAR MESAS DE TRABAJO QUE PERMITEN REALIZAR ASISTENCIA TÉCNICA DE CARA A LA ELABORACIÓN DE DOCUMENTOS GUÍAS QUE PERMITAN SUGERIR ESTRATEGIAS ACTUALIZADAS FRENTE A LA PREVENCIÓN DEL CONSUMO DE SUSTANCIAS PSICOACTIVAS._x000a__x000a__x000a__x000a_"/>
    <n v="8500000"/>
    <m/>
    <n v="100"/>
  </r>
  <r>
    <n v="156"/>
    <x v="0"/>
    <x v="2"/>
    <x v="3"/>
    <s v="PROTECCION"/>
    <s v="GARANTIZAR LA ATENCIÓN INTEGRAL AL 100% DE LAS Y LOS JÓVENES VÍCTIMAS Y POSIBLES VÍCTIMAS DE TRATA DE PERSONAS QUE LO DEMANDEN"/>
    <s v="% DE JÓVENES VÍCTIMAS Y POSIBLES VÍCTIMAS DE TRATA DE PERSONAS CON ATENCIÓN INTEGRAL"/>
    <s v="PORCENTAJE DE PERSONAS"/>
    <s v="M"/>
    <n v="0"/>
    <n v="100"/>
    <n v="100"/>
    <n v="0.16500000000000001"/>
    <n v="4.1250000000000002E-2"/>
    <n v="100"/>
    <n v="0.25"/>
    <n v="100"/>
    <n v="25"/>
    <n v="100"/>
    <n v="100"/>
    <n v="4.1250000000000002E-2"/>
    <n v="100"/>
    <n v="0"/>
    <n v="0"/>
    <n v="0"/>
    <n v="0"/>
    <n v="0"/>
    <n v="0"/>
    <n v="0"/>
    <n v="0"/>
    <n v="0"/>
    <n v="0"/>
    <n v="0"/>
    <n v="0"/>
    <n v="0"/>
    <n v="0"/>
    <n v="0"/>
    <n v="0"/>
    <n v="0"/>
    <n v="0"/>
    <n v="0"/>
    <n v="4.1250000000000002E-2"/>
    <n v="100"/>
    <n v="0.25"/>
    <n v="100"/>
    <n v="25"/>
    <n v="100"/>
    <n v="100"/>
    <n v="4.1250000000000002E-2"/>
    <n v="100"/>
    <n v="20000000"/>
    <n v="0"/>
    <n v="20000000"/>
    <n v="0"/>
    <n v="0"/>
    <n v="0"/>
    <n v="0"/>
    <n v="0"/>
    <n v="20000000"/>
    <n v="20000000"/>
    <n v="0"/>
    <n v="0"/>
    <n v="0"/>
    <n v="0"/>
    <n v="0"/>
    <n v="0"/>
    <n v="0"/>
    <n v="0"/>
    <n v="0"/>
    <n v="4.1250000000000002E-2"/>
    <n v="100"/>
    <n v="0.25"/>
    <n v="116"/>
    <n v="100"/>
    <n v="100"/>
    <n v="25"/>
    <n v="100"/>
    <n v="100"/>
    <n v="4.1250000000000002E-2"/>
    <n v="100"/>
    <n v="4.1250000000000002E-2"/>
    <n v="4.1250000000000002E-2"/>
    <n v="100"/>
    <n v="0.25"/>
    <n v="100"/>
    <n v="0"/>
    <n v="25"/>
    <n v="100"/>
    <n v="100"/>
    <n v="4.1250000000000002E-2"/>
    <n v="4.1250000000000002E-2"/>
    <n v="0"/>
    <n v="0"/>
    <n v="0"/>
    <n v="0"/>
    <n v="0"/>
    <n v="0"/>
    <n v="0"/>
    <n v="0"/>
    <n v="0"/>
    <n v="0"/>
    <n v="0"/>
    <n v="0"/>
    <n v="0"/>
    <n v="0"/>
    <n v="0"/>
    <n v="0"/>
    <n v="0"/>
    <n v="0"/>
    <n v="0"/>
    <n v="100"/>
    <n v="0.16500000000000001"/>
    <n v="100"/>
    <n v="100"/>
    <n v="0.16500000000000001"/>
    <n v="0.16500000000000001"/>
    <n v="0.16500000000000001"/>
    <n v="1"/>
    <n v="0"/>
    <n v="115"/>
    <s v="REDUCIR EN EL CUATRIENIO EN MÍNIMO 10% LAS MUERTES POR HOMICIDIO EN JÓVENES"/>
    <m/>
    <s v=""/>
    <m/>
    <m/>
    <m/>
    <m/>
    <s v="EN EL MES DE JULIO SE DISEÑO LA RUTA DE ATENCION Y PROTECCION DE CUNDINAMARCA A VICTIMAS Y POSIBLE VICTIMAS DE LA TRATA DE PERSONAS INCLUYENDO DE MANERA ESPECIFICA A LOS JOVENES. ADICIONALMENTE SE REALIZO LA CAPACITACION EN LEY 985/05. A LOS PERSONEROS Y SECRETARIOS DE GOBIERNO DE LOS 116 MUNICIPIOS EL 2 DE SEPTIEMBRE DE 2013 EN EL MES DE JULIO SE DISEÑO LA RUTA DE ATENCION Y PROTECCION, EN ESTE PROCESO SE REALIZARON TALLERES PARA QUE LAS AUTORIDADES CONOCIERAN DE FONDO COMO GARANTIZAR LA ATENCION INTEGRAL AL 100% DE LAS VICTIMAS Y POSIBLES VICTIMAS"/>
    <n v="0"/>
    <m/>
    <n v="1"/>
  </r>
  <r>
    <n v="157"/>
    <x v="0"/>
    <x v="2"/>
    <x v="3"/>
    <s v="PROTECCION"/>
    <s v="RED DE ACTORES INSTITUCIONALES CON PROTOCOLO INTERVIENEN EN LOS 116 MUNICIPIOS PARA LA PREVENCIÓN DE HOMICIDIOS Y LA COMISIÓN DE DELITOS EN JÓVENES"/>
    <s v="NO. DE MUNICIPIOS CON PROTOCOLO DE INTERVENCIÓN PARA PREVENCIÓN DE LOS HOMICIDIOS Y LA COMISIÓN DE DELITOS EN JÓVENES"/>
    <s v="MUNICIPIOS"/>
    <s v="M"/>
    <n v="0"/>
    <n v="116"/>
    <n v="116"/>
    <n v="0.16500000000000001"/>
    <n v="4.1250000000000002E-2"/>
    <n v="116"/>
    <n v="0.25"/>
    <n v="0"/>
    <n v="0"/>
    <n v="0"/>
    <n v="0"/>
    <n v="0"/>
    <n v="0"/>
    <n v="0"/>
    <n v="0"/>
    <n v="0"/>
    <n v="0"/>
    <n v="0"/>
    <n v="0"/>
    <n v="0"/>
    <n v="0"/>
    <n v="0"/>
    <n v="0"/>
    <n v="0"/>
    <n v="0"/>
    <n v="0"/>
    <n v="0"/>
    <n v="0"/>
    <n v="0"/>
    <n v="0"/>
    <n v="0"/>
    <n v="0"/>
    <n v="4.1250000000000002E-2"/>
    <n v="116"/>
    <n v="0.25"/>
    <n v="116"/>
    <n v="29"/>
    <n v="100"/>
    <n v="100"/>
    <n v="4.1250000000000002E-2"/>
    <n v="100"/>
    <n v="50000000"/>
    <n v="0"/>
    <n v="50000000"/>
    <n v="0"/>
    <n v="0"/>
    <n v="0"/>
    <n v="0"/>
    <n v="0"/>
    <n v="0"/>
    <n v="0"/>
    <n v="0"/>
    <n v="0"/>
    <n v="0"/>
    <n v="0"/>
    <n v="0"/>
    <n v="0"/>
    <n v="0"/>
    <n v="0"/>
    <n v="0"/>
    <n v="4.1250000000000002E-2"/>
    <n v="116"/>
    <n v="0.25"/>
    <n v="116"/>
    <n v="116"/>
    <n v="116"/>
    <n v="29"/>
    <n v="100"/>
    <n v="100"/>
    <n v="4.1250000000000002E-2"/>
    <n v="100"/>
    <n v="4.1250000000000002E-2"/>
    <n v="4.1250000000000002E-2"/>
    <n v="0"/>
    <n v="0.25"/>
    <n v="100"/>
    <n v="-100"/>
    <n v="25"/>
    <n v="0"/>
    <n v="0"/>
    <n v="0"/>
    <n v="0"/>
    <n v="0"/>
    <n v="0"/>
    <n v="0"/>
    <n v="0"/>
    <n v="0"/>
    <n v="0"/>
    <n v="0"/>
    <n v="0"/>
    <n v="0"/>
    <n v="0"/>
    <n v="0"/>
    <n v="0"/>
    <n v="0"/>
    <n v="0"/>
    <n v="0"/>
    <n v="0"/>
    <n v="0"/>
    <n v="0"/>
    <n v="0"/>
    <n v="83"/>
    <n v="0.16500000000000001"/>
    <n v="71.551724137931032"/>
    <n v="71.551724137931032"/>
    <n v="0.11806034482758621"/>
    <n v="0.11806034482758621"/>
    <n v="0.11806034482758621"/>
    <n v="1"/>
    <n v="0"/>
    <n v="115"/>
    <s v="REDUCIR EN EL CUATRIENIO EN MÍNIMO 10% LAS MUERTES POR HOMICIDIO EN JÓVENES"/>
    <m/>
    <s v=""/>
    <m/>
    <m/>
    <m/>
    <m/>
    <s v="ARTICULACION PERMANENTE ENTRE LA SECRETARIA DE GOBIERNO, ICBF, FISCALIA, CON EL DPS DE PRESIDENDIA, CONJUNTAMENTE CON POLICIA DE INFANCIA Y ADOLESCENCIA CON EL FIN DE PREVENCIOS DE HOMICIDIOS Y LA COMISION DE DELITOS EN JOVENES"/>
    <n v="80000000"/>
    <m/>
    <n v="1"/>
  </r>
  <r>
    <n v="161"/>
    <x v="0"/>
    <x v="0"/>
    <x v="4"/>
    <s v="EXISTENCIA"/>
    <s v="IMPLEMENTAR UN MODELO PARA LA GESTIÓN DE LOS PROGRAMAS DE CÁNCERES ASOCIADOS A SALUD SEXUAL Y REPRODUCTIVA (CÉRVIX, SENO Y PRÓSTATA), CON ENFOQUE DE RIESGO EN LOS 116 MUNICIPIOS"/>
    <s v="NO. DE MUNICIPIOS CON MODELO PARA LA GESTIÓN DE PROGRAMAS DE CÁNCERES ASOCIADOS A SALUD SEXUAL IMPLEMENTADOS"/>
    <s v="MUNICIPIOS"/>
    <s v="I"/>
    <n v="0"/>
    <n v="116"/>
    <n v="116"/>
    <n v="0.25"/>
    <n v="3.6637931034482756E-2"/>
    <n v="17"/>
    <n v="0.14655172413793102"/>
    <n v="12"/>
    <n v="12"/>
    <n v="70.588235294117652"/>
    <n v="70.588235294117652"/>
    <n v="2.5862068965517241E-2"/>
    <n v="70.588235294117652"/>
    <n v="0"/>
    <n v="0"/>
    <n v="0"/>
    <n v="0"/>
    <n v="0"/>
    <n v="0"/>
    <n v="0"/>
    <n v="0"/>
    <n v="306600000"/>
    <n v="306600000"/>
    <n v="0"/>
    <n v="0"/>
    <n v="0"/>
    <n v="0"/>
    <n v="0"/>
    <n v="0"/>
    <n v="0"/>
    <n v="0"/>
    <n v="0"/>
    <n v="3.6637931034482756E-2"/>
    <n v="17"/>
    <n v="0.14655172413793102"/>
    <n v="35"/>
    <n v="35"/>
    <n v="205.88235294117646"/>
    <n v="100"/>
    <n v="3.6637931034482756E-2"/>
    <n v="100"/>
    <n v="234000000"/>
    <n v="0"/>
    <n v="234000000"/>
    <n v="0"/>
    <n v="0"/>
    <n v="0"/>
    <n v="0"/>
    <n v="0"/>
    <n v="247001666"/>
    <n v="207500000"/>
    <n v="39501666"/>
    <n v="0"/>
    <n v="0"/>
    <n v="0"/>
    <n v="0"/>
    <n v="0"/>
    <n v="0"/>
    <n v="0"/>
    <n v="0"/>
    <n v="8.8362068965517238E-2"/>
    <n v="41"/>
    <n v="0.35344827586206895"/>
    <n v="18"/>
    <n v="28"/>
    <n v="41"/>
    <n v="41"/>
    <n v="100"/>
    <n v="100"/>
    <n v="8.8362068965517238E-2"/>
    <n v="100"/>
    <n v="8.8362068965517238E-2"/>
    <n v="8.8362068965517238E-2"/>
    <n v="41"/>
    <n v="0.35344827586206895"/>
    <n v="40"/>
    <n v="1"/>
    <n v="40"/>
    <n v="97.560975609756099"/>
    <n v="97.560975609756099"/>
    <n v="8.620689655172413E-2"/>
    <n v="8.620689655172413E-2"/>
    <n v="540000000"/>
    <n v="540000000"/>
    <n v="0"/>
    <n v="0"/>
    <n v="0"/>
    <n v="0"/>
    <n v="0"/>
    <n v="0"/>
    <n v="0"/>
    <n v="0"/>
    <n v="0"/>
    <n v="0"/>
    <n v="0"/>
    <n v="0"/>
    <n v="0"/>
    <n v="0"/>
    <n v="0"/>
    <n v="0"/>
    <n v="0"/>
    <n v="128"/>
    <n v="0.25"/>
    <n v="110.34482758620689"/>
    <n v="100"/>
    <n v="0.25"/>
    <n v="0.25"/>
    <n v="0.25"/>
    <n v="1"/>
    <n v="0"/>
    <n v="160"/>
    <s v="BENEFICIAR ANUALMENTE AL 30% DE LAS Y LOS ADULTOS CON ACTIVIDADES CULTURALES, LÚDICAS Y DEPORTIVAS"/>
    <m/>
    <s v=""/>
    <m/>
    <m/>
    <m/>
    <m/>
    <s v="A TRAVES DE LA IMPLEMENTACION DEL PLAN DECENAL Y MUNICIPAL DE CANCER ENE EL 100% DE LOS MUNICIPIOS EN EL DEPARTAMENTO SE DESARROLLARON ACCIONES DE BUSQUEDA ACTIVA, TAMIZACION Y SEGUIMIENTO EN CUANTO A CANCER DE MAMA, CANCER DE CUELLO UTERINO, PROSTATA Y CANCER COLORECTAL TENIENDO EN CUENTA LOS LINEAMIENTOS Y ESTRATEGIAS DEFINIDOS EN PLAN NACIONAL DE CANCER. LA COBERTURA EN TAMIZACION EN CUANTO A POBLACION FUE DE 48.591 CON UNA POSITIVIDAD DE 3,314 CASOS. "/>
    <n v="42000000"/>
    <m/>
    <n v="3"/>
  </r>
  <r>
    <n v="162"/>
    <x v="0"/>
    <x v="0"/>
    <x v="4"/>
    <s v="EXISTENCIA"/>
    <s v="LOGRAR ADULTAS Y ADULTOS MAS SALUDABLES CON LA IMPLEMENTACIÓN EN EL CUATRIENIO DE UN PROGRAMA INTEGRAL DE ESTILOS DE VIDA SALUDABLES A NIVEL COMUNITARIO EN EL 100% DE LOS MUNICIPIOS"/>
    <s v="% DE MUNICIPIOS CON CUMPLIMIENTO DE TODOS LOS COMPONENTES DE ESTILOS DE VIDA SALUDABLE PARA LOS ADULTOS A NIVEL COMUNITARIO"/>
    <s v="% DE MUNICIPIOS"/>
    <s v="I"/>
    <n v="0"/>
    <n v="100"/>
    <n v="100"/>
    <n v="0.25"/>
    <n v="3.7499999999999999E-2"/>
    <n v="15"/>
    <n v="0.15"/>
    <n v="13"/>
    <n v="13"/>
    <n v="86.666666666666671"/>
    <n v="86.666666666666671"/>
    <n v="3.2500000000000001E-2"/>
    <n v="86.666666666666671"/>
    <n v="2008202000"/>
    <n v="1700202000"/>
    <n v="308000000"/>
    <n v="0"/>
    <n v="0"/>
    <n v="0"/>
    <n v="0"/>
    <n v="0"/>
    <n v="334371000"/>
    <n v="334371000"/>
    <n v="0"/>
    <n v="0"/>
    <n v="0"/>
    <n v="0"/>
    <n v="0"/>
    <n v="0"/>
    <n v="0"/>
    <n v="0"/>
    <n v="0"/>
    <n v="3.7499999999999999E-2"/>
    <n v="15"/>
    <n v="0.15"/>
    <n v="17"/>
    <n v="17"/>
    <n v="113.33333333333333"/>
    <n v="100"/>
    <n v="3.7499999999999999E-2"/>
    <n v="100"/>
    <n v="283000000"/>
    <n v="0"/>
    <n v="283000000"/>
    <n v="0"/>
    <n v="0"/>
    <n v="0"/>
    <n v="0"/>
    <n v="0"/>
    <n v="288611666"/>
    <n v="258611666"/>
    <n v="30000000"/>
    <n v="0"/>
    <n v="0"/>
    <n v="0"/>
    <n v="0"/>
    <n v="0"/>
    <n v="0"/>
    <n v="0"/>
    <n v="0"/>
    <n v="8.7499999999999994E-2"/>
    <n v="35"/>
    <n v="0.35"/>
    <n v="19"/>
    <n v="25"/>
    <n v="35"/>
    <n v="35"/>
    <n v="100"/>
    <n v="100"/>
    <n v="8.7499999999999994E-2"/>
    <n v="100"/>
    <n v="8.7499999999999994E-2"/>
    <n v="8.7499999999999994E-2"/>
    <n v="35"/>
    <n v="0.35"/>
    <n v="35"/>
    <n v="0"/>
    <n v="35"/>
    <n v="100"/>
    <n v="100"/>
    <n v="8.7499999999999994E-2"/>
    <n v="8.7499999999999994E-2"/>
    <n v="652000000"/>
    <n v="652000000"/>
    <n v="0"/>
    <n v="0"/>
    <n v="0"/>
    <n v="0"/>
    <n v="0"/>
    <n v="0"/>
    <n v="0"/>
    <n v="0"/>
    <n v="0"/>
    <n v="0"/>
    <n v="0"/>
    <n v="0"/>
    <n v="0"/>
    <n v="0"/>
    <n v="0"/>
    <n v="0"/>
    <n v="0"/>
    <n v="100"/>
    <n v="0.24999999999999997"/>
    <n v="100"/>
    <n v="100"/>
    <n v="0.25"/>
    <n v="0.25"/>
    <n v="0.25"/>
    <n v="0.99999999999999989"/>
    <n v="0"/>
    <n v="160"/>
    <s v="BENEFICIAR ANUALMENTE AL 30% DE LAS Y LOS ADULTOS CON ACTIVIDADES CULTURALES, LÚDICAS Y DEPORTIVAS"/>
    <m/>
    <s v=""/>
    <m/>
    <m/>
    <m/>
    <m/>
    <s v="SE IMPLENTO LA ESTRATEGIA DE ENTORNOS LABORALES SALUDABLES EN 3,927 UNIDADES DE TRABAJO INFORMAL PREVINIENDO ACCIDENTES Y ENFERMEDADES DE ORIGEN LABORAL. MEDIANTE EL SISTEMA DE SIVISALA SE LOGRA EL REPORTE DE 3,408 ADULTOS TRABAJADORES POR PARTE DE LAS IPS PUBLICAS Y PRIVADAS DEL DEPARTAMENTO. SE TOMARON 2008 MUESTRAS DE SANGRE A TRABAJADORES INFORMALES QUE MANIPULAN PLAGUICIDAS. "/>
    <n v="22000000"/>
    <m/>
    <n v="25"/>
  </r>
  <r>
    <n v="163"/>
    <x v="0"/>
    <x v="3"/>
    <x v="4"/>
    <s v="DESARROLLO"/>
    <s v="ALFABETIZAR Y ELEVAR EL NIVEL EDUCATIVO A 6.206 ADULTOS Y ADULTAS, DURANTE EL CUATRIENIO, CON PRIORIDAD EN LA POBLACIÓN EN EXTREMA POBREZA."/>
    <s v="NO. DE ADULTOS ALFABETIZADOS"/>
    <s v="ALUMNOS"/>
    <s v="I"/>
    <n v="2959"/>
    <n v="9165"/>
    <n v="6206"/>
    <n v="0.25"/>
    <n v="3.8229133097002897E-2"/>
    <n v="949"/>
    <n v="0.15291653238801159"/>
    <n v="949"/>
    <n v="949"/>
    <n v="100"/>
    <n v="100"/>
    <n v="3.8229133097002897E-2"/>
    <n v="100"/>
    <n v="236000000"/>
    <n v="236000000"/>
    <n v="0"/>
    <n v="0"/>
    <n v="0"/>
    <n v="0"/>
    <n v="0"/>
    <n v="0"/>
    <n v="205000000"/>
    <n v="205000000"/>
    <n v="0"/>
    <n v="0"/>
    <n v="0"/>
    <n v="0"/>
    <n v="0"/>
    <n v="0"/>
    <n v="0"/>
    <n v="0"/>
    <n v="0"/>
    <n v="4.5923300032226874E-2"/>
    <n v="1140"/>
    <n v="0.1836932001289075"/>
    <n v="1140"/>
    <n v="1140"/>
    <n v="100"/>
    <n v="100"/>
    <n v="4.5923300032226874E-2"/>
    <n v="100"/>
    <n v="169000000"/>
    <n v="0"/>
    <n v="169000000"/>
    <n v="0"/>
    <n v="0"/>
    <n v="0"/>
    <n v="0"/>
    <n v="0"/>
    <n v="169000000"/>
    <n v="169000000"/>
    <n v="0"/>
    <n v="0"/>
    <n v="0"/>
    <n v="0"/>
    <n v="0"/>
    <n v="0"/>
    <n v="0"/>
    <n v="0"/>
    <n v="0"/>
    <n v="6.5823396712858528E-2"/>
    <n v="1634"/>
    <n v="0.26329358685143411"/>
    <n v="0"/>
    <n v="0"/>
    <n v="1285"/>
    <n v="1285"/>
    <n v="78.641370869033054"/>
    <n v="78.641370869033054"/>
    <n v="5.1764421527553985E-2"/>
    <n v="78.641370869033054"/>
    <n v="5.1764421527553985E-2"/>
    <n v="0.10002417015791169"/>
    <n v="2483"/>
    <n v="0.40009668063164677"/>
    <n v="2792"/>
    <n v="-309"/>
    <n v="2792"/>
    <n v="112.44462343938784"/>
    <n v="100"/>
    <n v="0.10002417015791169"/>
    <n v="0.11247180148243635"/>
    <n v="390000000"/>
    <n v="390000000"/>
    <n v="0"/>
    <n v="0"/>
    <n v="0"/>
    <n v="0"/>
    <n v="0"/>
    <n v="0"/>
    <n v="0"/>
    <n v="0"/>
    <n v="0"/>
    <n v="0"/>
    <n v="0"/>
    <n v="0"/>
    <n v="0"/>
    <n v="0"/>
    <n v="0"/>
    <n v="0"/>
    <n v="0"/>
    <n v="6166"/>
    <n v="0.25"/>
    <n v="99.355462455688041"/>
    <n v="99.355462455688041"/>
    <n v="0.24838865613922009"/>
    <n v="0.24838865613922009"/>
    <n v="0.24838865613922009"/>
    <n v="1"/>
    <n v="0"/>
    <n v="36"/>
    <s v="MANTENER CADA AÑO EN 100% LA COBERTURA BRUTA EN BÁSICA PRIMARIA, PRIORIZANDO LA POBLACIÓN EN POBREZA EXTREMA QUE DEMANDE EL SERVICIO"/>
    <n v="78"/>
    <s v="ALCANZAR EN EL CUATRIENIO UNA COBERTURA BRUTA EN EDUCACIÓN MEDIA DE 78,9%, PRIORIZANDO LA POBLACIÓN EN SITUACIÓN DE POBREZA EXTREMA QUE LO DEMANDE"/>
    <m/>
    <m/>
    <m/>
    <m/>
    <s v="SE ALFABETIZO Y SE ELEVO EL NIVEL EDUCATIVO DE 3.374 ADULTOS CON LA DOTACIÓN DE MODULOS DE EDUCACIÓN CONTIUADA CAFAM Y LA IMPLEMENTACIÓN DE MODELOS DE EDUCACIÓN FLEXIBLE PARA ADULTOS: A CRECER PARA CICLO I Y CICLO II, SER CICLO I , ABCD ESPAÑOL PARA ALFABETIZACIÓN, MODELO DE EDUCACIÓN VIRTUAL DEL CICLO II AL CICLO VI. _x000a_"/>
    <n v="2429000000"/>
    <m/>
    <n v="30"/>
  </r>
  <r>
    <n v="164"/>
    <x v="0"/>
    <x v="1"/>
    <x v="4"/>
    <s v="DESARROLLO"/>
    <s v="MEJORAR DINÁMICAS DE INTERACCIÓN SOCIAL DE LAS Y LOS ADULTOS, VINCULÁNDOLOS A 160 LUDOTECAS FORTALECIDAS EN SU CAPACIDAD DE SERVICIO"/>
    <s v="NO. DE LUDOTECAS CON AMBIENTE Y DOTACIÓN ADECUADA PARA LOS ADULTOS"/>
    <s v="LUDOTECAS"/>
    <s v="I"/>
    <n v="0"/>
    <n v="160"/>
    <n v="160"/>
    <n v="0.16500000000000001"/>
    <n v="1.03125E-2"/>
    <n v="10"/>
    <n v="6.25E-2"/>
    <n v="0"/>
    <n v="0"/>
    <n v="0"/>
    <n v="0"/>
    <n v="0"/>
    <n v="0"/>
    <n v="152000000"/>
    <n v="52000000"/>
    <n v="0"/>
    <n v="0"/>
    <n v="0"/>
    <n v="0"/>
    <n v="0"/>
    <n v="100000000"/>
    <n v="0"/>
    <n v="0"/>
    <n v="0"/>
    <n v="0"/>
    <n v="0"/>
    <n v="0"/>
    <n v="0"/>
    <n v="0"/>
    <n v="0"/>
    <n v="0"/>
    <n v="0"/>
    <n v="5.1562500000000004E-2"/>
    <n v="50"/>
    <n v="0.3125"/>
    <n v="70"/>
    <n v="70"/>
    <n v="140"/>
    <n v="100"/>
    <n v="5.1562499999999997E-2"/>
    <n v="100"/>
    <n v="13000000"/>
    <n v="0"/>
    <n v="13000000"/>
    <n v="0"/>
    <n v="0"/>
    <n v="0"/>
    <n v="0"/>
    <n v="0"/>
    <n v="13000000"/>
    <n v="13000000"/>
    <n v="0"/>
    <n v="0"/>
    <n v="0"/>
    <n v="0"/>
    <n v="0"/>
    <n v="0"/>
    <n v="0"/>
    <n v="0"/>
    <n v="0"/>
    <n v="5.1562500000000004E-2"/>
    <n v="50"/>
    <n v="0.3125"/>
    <n v="0"/>
    <n v="0"/>
    <n v="0"/>
    <n v="0"/>
    <n v="0"/>
    <n v="0"/>
    <n v="0"/>
    <n v="0"/>
    <n v="0"/>
    <n v="5.1562500000000004E-2"/>
    <n v="50"/>
    <n v="0.3125"/>
    <n v="0"/>
    <n v="50"/>
    <n v="0"/>
    <n v="0"/>
    <n v="0"/>
    <n v="0"/>
    <n v="0"/>
    <n v="30000000"/>
    <n v="30000000"/>
    <n v="0"/>
    <n v="0"/>
    <n v="0"/>
    <n v="0"/>
    <n v="0"/>
    <n v="0"/>
    <n v="0"/>
    <n v="0"/>
    <n v="0"/>
    <n v="0"/>
    <n v="0"/>
    <n v="0"/>
    <n v="0"/>
    <n v="0"/>
    <n v="0"/>
    <n v="0"/>
    <n v="0"/>
    <n v="70"/>
    <n v="0.16500000000000001"/>
    <n v="43.75"/>
    <n v="43.75"/>
    <n v="7.2187500000000002E-2"/>
    <n v="7.2187500000000002E-2"/>
    <n v="7.2187500000000002E-2"/>
    <n v="1"/>
    <n v="0"/>
    <n v="160"/>
    <s v="BENEFICIAR ANUALMENTE AL 30% DE LAS Y LOS ADULTOS CON ACTIVIDADES CULTURALES, LÚDICAS Y DEPORTIVAS"/>
    <m/>
    <s v=""/>
    <m/>
    <m/>
    <m/>
    <m/>
    <s v="FORTALECIMIENTO DE ESPACIOS DE PARTICIPACIÓN Y APRENDIZAJE CON DOTACIÓN A 70 LUDOTECAS EN EL MARCO DEL PROGRAMA RED DE LUDOTECAS EN 67 MUNICIPIOS, DE LAS CUALES 19 SE ENCUENTRAN A CARGO DE COLSUBSIDIO EN EL MARCO DEL CONVENIO DE COOPERACIÓN SUSCRITO. ENTRE 2014 Y PRIMER SEMESTRE DE 2015, SE HA BRINDADO ATENCIÓN A MÁS DE 22 MIL ADULTOS."/>
    <n v="0"/>
    <m/>
    <n v="100"/>
  </r>
  <r>
    <n v="165"/>
    <x v="0"/>
    <x v="4"/>
    <x v="4"/>
    <s v="DESARROLLO"/>
    <s v="PROPICIAR LA PARTICIPACIÓN E INTEGRACIÓN DE 25.000 ADULTAS Y ADULTOS ANUALMENTE EN SANA COMPETENCIA DEPORTIVA EN LOS JUEGOS COMUNALES"/>
    <s v="NO. DE PARTICIPANTES CADA AÑO EN JUEGOS COMUNALES"/>
    <s v="PERSONAS"/>
    <s v="M"/>
    <n v="0"/>
    <n v="25000"/>
    <n v="25000"/>
    <n v="0.16500000000000001"/>
    <n v="4.1250000000000002E-2"/>
    <n v="25000"/>
    <n v="0.25"/>
    <n v="27500"/>
    <n v="6875"/>
    <n v="110"/>
    <n v="100"/>
    <n v="4.1250000000000002E-2"/>
    <n v="100"/>
    <n v="421000000"/>
    <n v="421000000"/>
    <n v="0"/>
    <n v="0"/>
    <n v="0"/>
    <n v="0"/>
    <n v="0"/>
    <n v="0"/>
    <n v="421000000"/>
    <n v="421000000"/>
    <n v="0"/>
    <n v="0"/>
    <n v="0"/>
    <n v="0"/>
    <n v="0"/>
    <n v="0"/>
    <n v="0"/>
    <n v="0"/>
    <n v="0"/>
    <n v="4.1250000000000002E-2"/>
    <n v="25000"/>
    <n v="0.25"/>
    <n v="32829"/>
    <n v="8207.25"/>
    <n v="131.316"/>
    <n v="100"/>
    <n v="4.1250000000000002E-2"/>
    <n v="100"/>
    <n v="125000000"/>
    <n v="0"/>
    <n v="125000000"/>
    <n v="0"/>
    <n v="0"/>
    <n v="0"/>
    <n v="0"/>
    <n v="0"/>
    <n v="846536950"/>
    <n v="846536950"/>
    <n v="0"/>
    <n v="0"/>
    <n v="0"/>
    <n v="0"/>
    <n v="0"/>
    <n v="0"/>
    <n v="0"/>
    <n v="0"/>
    <n v="0"/>
    <n v="4.1250000000000002E-2"/>
    <n v="25000"/>
    <n v="0.25"/>
    <n v="17504"/>
    <n v="17504"/>
    <n v="28347"/>
    <n v="7086.75"/>
    <n v="113.38800000000001"/>
    <n v="100"/>
    <n v="4.1250000000000002E-2"/>
    <n v="100"/>
    <n v="4.6772550000000003E-2"/>
    <n v="4.1250000000000002E-2"/>
    <n v="25000"/>
    <n v="0.25"/>
    <n v="0"/>
    <n v="25000"/>
    <n v="0"/>
    <n v="0"/>
    <n v="0"/>
    <n v="0"/>
    <n v="0"/>
    <n v="125000000"/>
    <n v="125000000"/>
    <n v="0"/>
    <n v="0"/>
    <n v="0"/>
    <n v="0"/>
    <n v="0"/>
    <n v="0"/>
    <n v="0"/>
    <n v="0"/>
    <n v="0"/>
    <n v="0"/>
    <n v="0"/>
    <n v="0"/>
    <n v="0"/>
    <n v="0"/>
    <n v="0"/>
    <n v="0"/>
    <n v="0"/>
    <n v="22169"/>
    <n v="0.16500000000000001"/>
    <n v="88.676000000000002"/>
    <n v="88.676000000000002"/>
    <n v="0.14631540000000001"/>
    <n v="0.14631540000000001"/>
    <n v="0.14631540000000001"/>
    <n v="1"/>
    <n v="0"/>
    <n v="160"/>
    <s v="BENEFICIAR ANUALMENTE AL 30% DE LAS Y LOS ADULTOS CON ACTIVIDADES CULTURALES, LÚDICAS Y DEPORTIVAS"/>
    <m/>
    <s v=""/>
    <m/>
    <m/>
    <m/>
    <m/>
    <s v="SE DESTACA COMO ESTRATEGIA DE DEMOCRATIZACIÓN DEL DEPORTE E INCLUSIÓN SOCIAL, EL DESARROLLO DE LOS PROGRAMAS: JUEGOS COMUNALES, LOS CUALES FUERON INSTITUCIONALIZADOS MEDIANTE ORDENANZA 141/2012, Y QUE REGLAMENTA LA REALIZACIÓN DE LAS FASES ZONAL Y FINAL DEPARTAMENTAL A REALIZARSE CADA DOS AÑOS. EN EL AÑO 2013 REPRESENTACIÓN DEL DEPARTAMENTO EN LOS II JUEGOS NACIONALES DEPORTIVOS Y RECREATIVOS COMUNALES, OCUPANDO EL SEGUNDO PUESTO, CON LA PARTICIPACIÓN DE 63 DEPORTISTAS, LA DELEGACIÓN ALCANZÓ 105 PUNTOS, SUPERANDO DEPARTAMENTOS COMO VALLE, BOYACÁ, NORTE DE SANTANDER, ENTRE OTROS. 3 MEDALLA DE ORO 2 DE PLATA Y 5 DE BRONCE FUERON OBTENIDAS POR LOS DEPORTISTAS CUNDINAMARQUESES."/>
    <n v="150000000"/>
    <m/>
    <n v="15"/>
  </r>
  <r>
    <n v="166"/>
    <x v="0"/>
    <x v="4"/>
    <x v="4"/>
    <s v="DESARROLLO"/>
    <s v="PROMOCIONAR ACTIVIDAD FÍSICA A 123.236 ADULTOS Y ADULTAS PARA MEJORAR ESTILOS DE VIDA SALUDABLE PARA LA COMUNIDAD DEL DEPARTAMENTO"/>
    <s v="NO. DE ADULTOS PARTICIPANTES DE PROYECTO DE ACTIVIDAD FÍSICA"/>
    <s v="PERSONAS"/>
    <s v="I"/>
    <n v="0"/>
    <n v="123236"/>
    <n v="123236"/>
    <n v="0.16500000000000001"/>
    <n v="4.1250000000000002E-2"/>
    <n v="30809"/>
    <n v="0.25"/>
    <n v="41058"/>
    <n v="41058"/>
    <n v="133.26625336752247"/>
    <n v="100"/>
    <n v="4.1250000000000002E-2"/>
    <n v="100"/>
    <n v="76000000"/>
    <n v="13000000"/>
    <n v="0"/>
    <n v="0"/>
    <n v="0"/>
    <n v="0"/>
    <n v="0"/>
    <n v="63000000"/>
    <n v="76000000"/>
    <n v="13000000"/>
    <n v="0"/>
    <n v="63000000"/>
    <n v="0"/>
    <n v="0"/>
    <n v="0"/>
    <n v="0"/>
    <n v="0"/>
    <n v="0"/>
    <n v="0"/>
    <n v="4.1250000000000002E-2"/>
    <n v="30809"/>
    <n v="0.25"/>
    <n v="31302"/>
    <n v="31302"/>
    <n v="101.60018176506865"/>
    <n v="100"/>
    <n v="4.1250000000000002E-2"/>
    <n v="100"/>
    <n v="68000000"/>
    <n v="0"/>
    <n v="0"/>
    <n v="0"/>
    <n v="0"/>
    <n v="0"/>
    <n v="0"/>
    <n v="68000000"/>
    <n v="81459223"/>
    <n v="32862568"/>
    <n v="0"/>
    <n v="48596655"/>
    <n v="0"/>
    <n v="0"/>
    <n v="0"/>
    <n v="0"/>
    <n v="0"/>
    <n v="0"/>
    <n v="0"/>
    <n v="4.1250000000000002E-2"/>
    <n v="30809"/>
    <n v="0.25"/>
    <n v="32925"/>
    <n v="16720"/>
    <n v="30957"/>
    <n v="30957"/>
    <n v="100.48037911000033"/>
    <n v="100"/>
    <n v="4.1250000000000002E-2"/>
    <n v="100"/>
    <n v="4.1448156382875141E-2"/>
    <n v="4.1250000000000002E-2"/>
    <n v="30809"/>
    <n v="0.25"/>
    <n v="27035"/>
    <n v="3774"/>
    <n v="27035"/>
    <n v="87.750332694991727"/>
    <n v="87.750332694991727"/>
    <n v="3.619701223668409E-2"/>
    <n v="3.619701223668409E-2"/>
    <n v="68000000"/>
    <n v="0"/>
    <n v="0"/>
    <n v="0"/>
    <n v="0"/>
    <n v="0"/>
    <n v="0"/>
    <n v="68000000"/>
    <n v="0"/>
    <n v="0"/>
    <n v="0"/>
    <n v="0"/>
    <n v="0"/>
    <n v="0"/>
    <n v="0"/>
    <n v="0"/>
    <n v="0"/>
    <n v="0"/>
    <n v="0"/>
    <n v="130352"/>
    <n v="0.16500000000000001"/>
    <n v="105.77428673439579"/>
    <n v="100"/>
    <n v="0.16500000000000001"/>
    <n v="0.16500000000000001"/>
    <n v="0.16500000000000001"/>
    <n v="1"/>
    <n v="0"/>
    <n v="160"/>
    <s v="BENEFICIAR ANUALMENTE AL 30% DE LAS Y LOS ADULTOS CON ACTIVIDADES CULTURALES, LÚDICAS Y DEPORTIVAS"/>
    <m/>
    <s v=""/>
    <m/>
    <m/>
    <m/>
    <m/>
    <s v="SE CONFORMÓ EL GRUPO DE MONITORES DE LA ACTIVIDAD FÍSICA EN EL DEPARTAMENTO, SE ORIENTA EL PROGRAMA HACIA LA CREACIÓN Y FORMACIÓN DE SEMILLEROS EN 22 MUNICIPIOS DEL MILENIO PARA ASEGURAR SU PERMANENCIA Y CONSTANTE BENEFICIO A LA POBLACIÓN CUNDINAMARQUESA. SE CUMPLIÓ CON EL INDICADOR DEFINIDO EN EL CUATRIENIO, CONTRIBUYENDO A LA DISMINUCIÓN DE LOS ÍNDICES DE ENFERMEDADES CRÓNICAS DEGENERATIVAS, Y AJUSTANDO LAS CARACTERÍSTICAS DE LAS ACTIVIDADES A LAS PREFERENCIAS Y NECESIDADES DE LOS DISTINTOS CICLOS DE VIDA DE LA POBLACIÓN DEL DEPARTAMENTO."/>
    <n v="0"/>
    <m/>
    <n v="5"/>
  </r>
  <r>
    <n v="167"/>
    <x v="0"/>
    <x v="5"/>
    <x v="4"/>
    <s v="DESARROLLO"/>
    <s v="DIFUNDIR LA MÚSICA FOLCLÓRICA COLOMBIANA Y UNIVERSAL A TRAVÉS DE LA REALIZACIÓN DE 80 ENCUENTROS Y/O CONCIERTOS DE EXPRESIONES MUSICALES, TRADICIONALES, FOLCLORICAS Y CORALES EN EL CUATRIENIO "/>
    <s v="NO. DE CONCIERTOS Y/O ENCUENTROS DE AGRUPACIONES MUSICALES EN EL CUATRIENIO"/>
    <s v="CONCIERTOS"/>
    <s v="I"/>
    <n v="80"/>
    <n v="160"/>
    <n v="80"/>
    <n v="8.8999999999999996E-2"/>
    <n v="1.1124999999999999E-2"/>
    <n v="10"/>
    <n v="0.125"/>
    <n v="10"/>
    <n v="10"/>
    <n v="100"/>
    <n v="100"/>
    <n v="1.1125000000000001E-2"/>
    <n v="100"/>
    <n v="44000000"/>
    <n v="44000000"/>
    <n v="0"/>
    <n v="0"/>
    <n v="0"/>
    <n v="0"/>
    <n v="0"/>
    <n v="0"/>
    <n v="12800000"/>
    <n v="12800000"/>
    <n v="0"/>
    <n v="0"/>
    <n v="0"/>
    <n v="0"/>
    <n v="0"/>
    <n v="0"/>
    <n v="0"/>
    <n v="0"/>
    <n v="0"/>
    <n v="2.7812499999999997E-2"/>
    <n v="25"/>
    <n v="0.3125"/>
    <n v="53"/>
    <n v="53"/>
    <n v="212"/>
    <n v="100"/>
    <n v="2.7812499999999997E-2"/>
    <n v="100"/>
    <n v="36000000"/>
    <n v="0"/>
    <n v="36000000"/>
    <n v="0"/>
    <n v="0"/>
    <n v="0"/>
    <n v="0"/>
    <n v="0"/>
    <n v="86138363"/>
    <n v="86138363"/>
    <n v="0"/>
    <n v="0"/>
    <n v="0"/>
    <n v="0"/>
    <n v="0"/>
    <n v="0"/>
    <n v="0"/>
    <n v="0"/>
    <n v="0"/>
    <n v="2.7812499999999997E-2"/>
    <n v="25"/>
    <n v="0.3125"/>
    <n v="12"/>
    <n v="65"/>
    <n v="65"/>
    <n v="65"/>
    <n v="260"/>
    <n v="100"/>
    <n v="2.7812499999999997E-2"/>
    <n v="100"/>
    <n v="7.2312499999999988E-2"/>
    <n v="2.2249999999999999E-2"/>
    <n v="20"/>
    <n v="0.25"/>
    <n v="19"/>
    <n v="1"/>
    <n v="19"/>
    <n v="95"/>
    <n v="95"/>
    <n v="2.11375E-2"/>
    <n v="2.11375E-2"/>
    <n v="36000000"/>
    <n v="36000000"/>
    <n v="0"/>
    <n v="0"/>
    <n v="0"/>
    <n v="0"/>
    <n v="0"/>
    <n v="0"/>
    <n v="0"/>
    <n v="0"/>
    <n v="0"/>
    <n v="0"/>
    <n v="0"/>
    <n v="0"/>
    <n v="0"/>
    <n v="0"/>
    <n v="0"/>
    <n v="0"/>
    <n v="0"/>
    <n v="147"/>
    <n v="8.8999999999999996E-2"/>
    <n v="183.75"/>
    <n v="100"/>
    <n v="8.900000000000001E-2"/>
    <n v="8.8999999999999996E-2"/>
    <n v="8.8999999999999996E-2"/>
    <n v="1"/>
    <n v="0"/>
    <n v="160"/>
    <s v="BENEFICIAR ANUALMENTE AL 30% DE LAS Y LOS ADULTOS CON ACTIVIDADES CULTURALES, LÚDICAS Y DEPORTIVAS"/>
    <m/>
    <s v=""/>
    <m/>
    <m/>
    <m/>
    <m/>
    <s v="EL IDECUT HA APOYADO LOS PROCESOS CORALES TRAVÉS DE LOS 16 ENCUENTROS ZONALES Y 3 ENCUENTROS DEPARTAMENTALES DE COROS MUSICALES MUNICIPALES. ES IMPORTANTE RESALTAR QUE DURANTE EL 2014 POR PRIMERA VEZ SE REALIZARON ENCUENTROS ZONALES Y UN DEPARTAMENTAL DE MÚSICAS TRADICIONALES, CAMPESINAS, POPULARES Y URBANAS DE CUNDINAMARCA. EN EL 2015 SE DIO CONTINUIDAD CON LA REALIZACIÓN DE 4 NUEVOS ENCUENTROS ZONALES, CON PROYECCIÓN A UN DEPARTAMENTAL, FOMENTANDO EL RESCATE DE LA IDENTIDAD CUNDINAMARQUESA. LO ANTERIOR PERMITE QUE EL IDECUT REALICE DIAGNÓSTICO, ESTADO DEL ARTE Y EVALUACIÓN A DICHOS PROCESOS, FACILITANDO LA GESTIÓN DE LA ENTIDAD EN EL ÁREA MUSICAL. ADICIONALMENTE, SE HA BRINDADO APOYO CONTINUO AL PROCESO DEL ORFEÓN DE CUNDINAMARCA, A TRAVÉS DE LA CONTRATACIÓN DE SU DIRECTOR, PERMITIENDO EL FUNCIONAMIENTO DE ESTA AGRUPACIÓN Y BRINDADO CAPACITACIÓN AL SECTOR CORAL EN LOS DIFERENTES MUNICIPIOS DE CUNDINAMARCA. A 2015 EL ORFEÓN HA REALIZADO 96 CONCIERTOS EN DIVERSOS ESCENARIOS."/>
    <n v="378000000"/>
    <m/>
    <n v="220"/>
  </r>
  <r>
    <n v="168"/>
    <x v="0"/>
    <x v="5"/>
    <x v="4"/>
    <s v="DESARROLLO"/>
    <s v="APOYAR 3 INICIATIVAS DE EMPRENDIMIENTO E INDUSTRIA CULTURAL DE ADULTOS EN EL CUATRIENIO"/>
    <s v="NO. DE INICIATIVAS DE EMPRENDIMIENTO CULTURAL PRESENTADOS POR ADULTOS APOYADOS"/>
    <s v="INICIATIVAS"/>
    <s v="I"/>
    <n v="0"/>
    <n v="3"/>
    <n v="3"/>
    <n v="0.16500000000000001"/>
    <n v="0"/>
    <n v="0"/>
    <n v="0"/>
    <n v="0"/>
    <n v="0"/>
    <n v="0"/>
    <n v="0"/>
    <n v="0"/>
    <n v="0"/>
    <n v="0"/>
    <n v="0"/>
    <n v="0"/>
    <n v="0"/>
    <n v="0"/>
    <n v="0"/>
    <n v="0"/>
    <n v="0"/>
    <n v="0"/>
    <n v="0"/>
    <n v="0"/>
    <n v="0"/>
    <n v="0"/>
    <n v="0"/>
    <n v="0"/>
    <n v="0"/>
    <n v="0"/>
    <n v="0"/>
    <n v="0"/>
    <n v="5.5E-2"/>
    <n v="1"/>
    <n v="0.33333333333333331"/>
    <n v="6"/>
    <n v="6"/>
    <n v="600"/>
    <n v="100"/>
    <n v="5.5E-2"/>
    <n v="100"/>
    <n v="21000000"/>
    <n v="0"/>
    <n v="21000000"/>
    <n v="0"/>
    <n v="0"/>
    <n v="0"/>
    <n v="0"/>
    <n v="0"/>
    <n v="92308000"/>
    <n v="92308000"/>
    <n v="0"/>
    <n v="0"/>
    <n v="0"/>
    <n v="0"/>
    <n v="0"/>
    <n v="0"/>
    <n v="0"/>
    <n v="0"/>
    <n v="0"/>
    <n v="5.5E-2"/>
    <n v="1"/>
    <n v="0.33333333333333331"/>
    <n v="1"/>
    <n v="7"/>
    <n v="1"/>
    <n v="1"/>
    <n v="100"/>
    <n v="100"/>
    <n v="5.5E-2"/>
    <n v="100"/>
    <n v="5.5E-2"/>
    <n v="5.5E-2"/>
    <n v="1"/>
    <n v="0.33333333333333331"/>
    <n v="3"/>
    <n v="-2"/>
    <n v="3"/>
    <n v="300"/>
    <n v="100"/>
    <n v="5.5E-2"/>
    <n v="0.16500000000000001"/>
    <n v="30000000"/>
    <n v="30000000"/>
    <n v="0"/>
    <n v="0"/>
    <n v="0"/>
    <n v="0"/>
    <n v="0"/>
    <n v="0"/>
    <n v="0"/>
    <n v="0"/>
    <n v="0"/>
    <n v="0"/>
    <n v="0"/>
    <n v="0"/>
    <n v="0"/>
    <n v="0"/>
    <n v="0"/>
    <n v="0"/>
    <n v="0"/>
    <n v="10"/>
    <n v="0.16500000000000001"/>
    <n v="333.33333333333331"/>
    <n v="100"/>
    <n v="0.16500000000000001"/>
    <n v="0.16500000000000001"/>
    <n v="0.16500000000000001"/>
    <n v="1"/>
    <n v="0"/>
    <n v="160"/>
    <s v="BENEFICIAR ANUALMENTE AL 30% DE LAS Y LOS ADULTOS CON ACTIVIDADES CULTURALES, LÚDICAS Y DEPORTIVAS"/>
    <m/>
    <s v=""/>
    <m/>
    <m/>
    <m/>
    <m/>
    <s v="A LO LARGO DE ESTOS 4 AÑOS SE HA LOGRADO BRINDAR APOYO A 8 INICIATIVAS DE EMPRENDIMIENTO CULTURAL PRESENTADAS POR LOS ADULTOS, GENERANDO COMPROMISO, ARRAIGO E IDENTIDAD POR EL DEPARTAMENTO. CON ESTO SE GENERAN PROCESOS INCLUYENTES PARA ESTE GRUPO POBLACIONAL"/>
    <n v="220000000"/>
    <m/>
    <n v="1000"/>
  </r>
  <r>
    <n v="169"/>
    <x v="0"/>
    <x v="5"/>
    <x v="4"/>
    <s v="DESARROLLO"/>
    <s v="APOYAR EL DESARROLLO INTEGRAL A TRAVÉS DE PROCESOS DE FORMACIÓN ARTÍSTICA Y CULTURAL DE LAS Y LOS ADULTOS EN 5 MUNICIPIOS ANUALMENTE"/>
    <s v="MUNICIPIOS APOYADOS ANUALMENTE CON PROCESOS DE FORMACIÓN ARTÍSTICA Y CULTURAL PARA ADULTOS"/>
    <s v="MUNICIPIOS"/>
    <s v="M"/>
    <n v="3"/>
    <n v="5"/>
    <n v="5"/>
    <n v="0.16500000000000001"/>
    <n v="4.1250000000000002E-2"/>
    <n v="5"/>
    <n v="0.25"/>
    <n v="5"/>
    <n v="1.25"/>
    <n v="100"/>
    <n v="100"/>
    <n v="4.1250000000000002E-2"/>
    <n v="100"/>
    <n v="18000000"/>
    <n v="18000000"/>
    <n v="0"/>
    <n v="0"/>
    <n v="0"/>
    <n v="0"/>
    <n v="0"/>
    <n v="0"/>
    <n v="52500000"/>
    <n v="52500000"/>
    <n v="0"/>
    <n v="0"/>
    <n v="0"/>
    <n v="0"/>
    <n v="0"/>
    <n v="0"/>
    <n v="0"/>
    <n v="10850000"/>
    <s v="MUNICIPIOS"/>
    <n v="4.1250000000000002E-2"/>
    <n v="5"/>
    <n v="0.25"/>
    <n v="6"/>
    <n v="1.5"/>
    <n v="120"/>
    <n v="100"/>
    <n v="4.1250000000000002E-2"/>
    <n v="100"/>
    <n v="40000000"/>
    <n v="0"/>
    <n v="40000000"/>
    <n v="0"/>
    <n v="0"/>
    <n v="0"/>
    <n v="0"/>
    <n v="0"/>
    <n v="62488000"/>
    <n v="62488000"/>
    <n v="0"/>
    <n v="0"/>
    <n v="0"/>
    <n v="0"/>
    <n v="0"/>
    <n v="0"/>
    <n v="0"/>
    <n v="0"/>
    <n v="0"/>
    <n v="4.1250000000000002E-2"/>
    <n v="5"/>
    <n v="0.25"/>
    <n v="5"/>
    <n v="5"/>
    <n v="5"/>
    <n v="1.25"/>
    <n v="100"/>
    <n v="100"/>
    <n v="4.1250000000000002E-2"/>
    <n v="100"/>
    <n v="4.1250000000000002E-2"/>
    <n v="4.1250000000000002E-2"/>
    <n v="5"/>
    <n v="0.25"/>
    <n v="14"/>
    <n v="-9"/>
    <n v="3.5"/>
    <n v="280"/>
    <n v="100"/>
    <n v="4.1250000000000002E-2"/>
    <n v="0.11550000000000001"/>
    <n v="50000000"/>
    <n v="50000000"/>
    <n v="0"/>
    <n v="0"/>
    <n v="0"/>
    <n v="0"/>
    <n v="0"/>
    <n v="0"/>
    <n v="0"/>
    <n v="0"/>
    <n v="0"/>
    <n v="0"/>
    <n v="0"/>
    <n v="0"/>
    <n v="0"/>
    <n v="0"/>
    <n v="0"/>
    <n v="0"/>
    <n v="0"/>
    <n v="7.5"/>
    <n v="0.16500000000000001"/>
    <n v="150"/>
    <n v="100"/>
    <n v="0.16500000000000001"/>
    <n v="0.16500000000000001"/>
    <n v="0.16500000000000001"/>
    <n v="1"/>
    <n v="0"/>
    <n v="160"/>
    <s v="BENEFICIAR ANUALMENTE AL 30% DE LAS Y LOS ADULTOS CON ACTIVIDADES CULTURALES, LÚDICAS Y DEPORTIVAS"/>
    <m/>
    <s v=""/>
    <m/>
    <m/>
    <m/>
    <m/>
    <s v="A 2015 SE HAN APOYADO CON EL 50% Y 100% DE LOS HONORARIOS DE DOS FORMADORES PARA LAS ESCUELAS DE FORMACIÓN ARTÍSTICA Y CULTURAL EN DIFERENTES DISCIPLINAS DENTRO DE LAS QUE SE ENCUENTRAN DANZAS, TEATRO, ARTES PLÁTICAS, MÚSICA, LITERATURA Y CINEMATOGRAFÍA, TRADUCIDOS EN 31 PROCESOS DE FORMACIÓN, LO QUE CONLLEVA A PROMOVER EL APROVECHAMIENTO DEL TIEMPO LIBRE Y EL DESARROLLO DE DESTREZAS Y HABILIDADES ARTÍSTICAS DE ESTE GRUPO POBLACIONAL."/>
    <n v="180000000"/>
    <m/>
    <n v="25"/>
  </r>
  <r>
    <n v="170"/>
    <x v="0"/>
    <x v="5"/>
    <x v="4"/>
    <s v="DESARROLLO"/>
    <s v="APOYAR EL PROCESO FORMATIVO DE LAS Y LOS ADULTOS CON EL FORTALECIMIENTO DE 100 BIBLIOTECAS PÚBLICAS MUNICIPALES EN EL CUATRIENIO"/>
    <s v="NO. DE BIBLIOTECAS PÚBLICAS MUNICIPALES APOYADAS EN EL CUATRIENIO PARA LA ATENCIÓN DE ADULTOS"/>
    <s v="BIBLIOTECAS"/>
    <s v="I"/>
    <n v="92"/>
    <n v="192"/>
    <n v="100"/>
    <n v="0.16500000000000001"/>
    <n v="4.1250000000000002E-2"/>
    <n v="25"/>
    <n v="0.25"/>
    <n v="47"/>
    <n v="47"/>
    <n v="188"/>
    <n v="100"/>
    <n v="4.1250000000000002E-2"/>
    <n v="100"/>
    <n v="54000000"/>
    <n v="54000000"/>
    <n v="0"/>
    <n v="0"/>
    <n v="0"/>
    <n v="0"/>
    <n v="0"/>
    <n v="0"/>
    <n v="0"/>
    <n v="0"/>
    <n v="0"/>
    <n v="0"/>
    <n v="0"/>
    <n v="0"/>
    <n v="0"/>
    <n v="0"/>
    <n v="0"/>
    <n v="18182000"/>
    <s v="MINISTERIO DE CULTURA"/>
    <n v="4.1250000000000002E-2"/>
    <n v="25"/>
    <n v="0.25"/>
    <n v="84"/>
    <n v="84"/>
    <n v="336"/>
    <n v="100"/>
    <n v="4.1250000000000002E-2"/>
    <n v="100"/>
    <n v="445000000"/>
    <n v="0"/>
    <n v="125000000"/>
    <n v="0"/>
    <n v="0"/>
    <n v="0"/>
    <n v="0"/>
    <n v="320000000"/>
    <n v="40194250"/>
    <n v="40194250"/>
    <n v="0"/>
    <n v="0"/>
    <n v="0"/>
    <n v="0"/>
    <n v="0"/>
    <n v="0"/>
    <n v="0"/>
    <n v="0"/>
    <n v="0"/>
    <n v="4.1250000000000002E-2"/>
    <n v="25"/>
    <n v="0.25"/>
    <n v="100"/>
    <n v="215"/>
    <n v="120"/>
    <n v="120"/>
    <n v="480"/>
    <n v="100"/>
    <n v="4.1250000000000002E-2"/>
    <n v="100"/>
    <n v="0.19800000000000001"/>
    <n v="4.1250000000000002E-2"/>
    <n v="25"/>
    <n v="0.25"/>
    <n v="143"/>
    <n v="-118"/>
    <n v="143"/>
    <n v="572"/>
    <n v="100"/>
    <n v="4.1250000000000002E-2"/>
    <n v="0.23595000000000002"/>
    <n v="445000000"/>
    <n v="125000000"/>
    <n v="0"/>
    <n v="0"/>
    <n v="0"/>
    <n v="0"/>
    <n v="0"/>
    <n v="320000000"/>
    <n v="0"/>
    <n v="0"/>
    <n v="0"/>
    <n v="0"/>
    <n v="0"/>
    <n v="0"/>
    <n v="0"/>
    <n v="0"/>
    <n v="0"/>
    <n v="0"/>
    <n v="0"/>
    <n v="394"/>
    <n v="0.16500000000000001"/>
    <n v="394"/>
    <n v="100"/>
    <n v="0.16500000000000001"/>
    <n v="0.16500000000000001"/>
    <n v="0.16500000000000001"/>
    <n v="1"/>
    <n v="0"/>
    <n v="160"/>
    <s v="BENEFICIAR ANUALMENTE AL 30% DE LAS Y LOS ADULTOS CON ACTIVIDADES CULTURALES, LÚDICAS Y DEPORTIVAS"/>
    <m/>
    <s v=""/>
    <m/>
    <m/>
    <m/>
    <m/>
    <s v="A TRAVÉS DE GESTIÓN POR PARTE DEL IDECUT CON EL MINISTERIO DE CULTURA Y CON FINANCIACIÓN DEL IDECUT DE SE HA LOGRADO LLEGAR AL 100% DE LAS BIBLIOTECAS PÚBLICAS MUNICIPALES CON DOTACIÓN DE MATERIAL BIBLIOGRÁFICO, ACCIONES DE ASISTENICA TÉCINCA DE TUTORES Y PROMOTORES, SE HAN BENFICIADO CON DOTACIÓN DE CONECTIVIDAD 38 BIBLIOTECAS PÚBLICAS DE 38 MUNICIPIOS, 140 BIBLIOTECAS CON DOTACIÓN DE UN KIT CONFORMADO POR UN VIDEO PROYECTOR, UN TELÓN DE TRIPODE Y UNA IMPRESORA PARA LA ELABORACIÓN DE LOS CARNETS DE LOS USUARIOS, IMPLEMENTACIÓN DEL SISTEMA LLAVE DEL SABER PARA 111 MUNICIPIOS Y REALIZACIÓN DE ENCUENTROS REGIONALES Y DEPARTAMENTALES DE BIBLIOTECARIOS. ADICIONALMENTE, DURANTE EL 2015 SE HA PUESTO EN MARCHA LA ESTRATEGIA DE PROMOTORES REGIONALES CUYA MISIÓN HA SIDO ACOMPAÑAR Y BRINDAR ASISTENCIA TÉCNICA INSITU INSCRITOS A LA RED DE BIBLIOTECAS PÚBLICAS."/>
    <n v="1209000000"/>
    <m/>
    <n v="4"/>
  </r>
  <r>
    <n v="171"/>
    <x v="0"/>
    <x v="1"/>
    <x v="4"/>
    <s v="CIUDADANIA"/>
    <s v="PROMOVER LA EXPEDICIÓN DE LA CEDULA DE CIUDADANIA PARA LOS Y LAS ADULTAS , CON PRIORIDAD EN LA POBLACIÓN DE LA RED UNIDOS Y/O VULNERABLE."/>
    <s v="% DE ADULTOS CON DOCUMENTOS DE IDENTIFICACIÓN."/>
    <s v="PORCENTAJE DE PERSONAS"/>
    <s v="M"/>
    <n v="0"/>
    <n v="100"/>
    <n v="100"/>
    <n v="8.8999999999999996E-2"/>
    <n v="2.2249999999999999E-2"/>
    <n v="100"/>
    <n v="0.25"/>
    <n v="100"/>
    <n v="25"/>
    <n v="100"/>
    <n v="100"/>
    <n v="2.2250000000000002E-2"/>
    <n v="100"/>
    <n v="0"/>
    <n v="0"/>
    <n v="0"/>
    <n v="0"/>
    <n v="0"/>
    <n v="0"/>
    <n v="0"/>
    <n v="0"/>
    <n v="0"/>
    <n v="0"/>
    <n v="0"/>
    <n v="0"/>
    <n v="0"/>
    <n v="0"/>
    <n v="0"/>
    <n v="0"/>
    <n v="0"/>
    <n v="0"/>
    <n v="0"/>
    <n v="2.2249999999999999E-2"/>
    <n v="100"/>
    <n v="0.25"/>
    <n v="100"/>
    <n v="25"/>
    <n v="100"/>
    <n v="100"/>
    <n v="2.2250000000000002E-2"/>
    <n v="100"/>
    <n v="3000000"/>
    <n v="0"/>
    <n v="3000000"/>
    <n v="0"/>
    <n v="0"/>
    <n v="0"/>
    <n v="0"/>
    <n v="0"/>
    <n v="0"/>
    <n v="0"/>
    <n v="0"/>
    <n v="0"/>
    <n v="0"/>
    <n v="0"/>
    <n v="0"/>
    <n v="0"/>
    <n v="0"/>
    <n v="0"/>
    <n v="0"/>
    <n v="2.2249999999999999E-2"/>
    <n v="100"/>
    <n v="0.25"/>
    <n v="0"/>
    <n v="0"/>
    <n v="100"/>
    <n v="25"/>
    <n v="100"/>
    <n v="100"/>
    <n v="2.2250000000000002E-2"/>
    <n v="100"/>
    <n v="2.2250000000000002E-2"/>
    <n v="2.2249999999999999E-2"/>
    <n v="100"/>
    <n v="0.25"/>
    <n v="0"/>
    <n v="100"/>
    <n v="0"/>
    <n v="0"/>
    <n v="0"/>
    <n v="0"/>
    <n v="0"/>
    <n v="6000000"/>
    <n v="6000000"/>
    <n v="0"/>
    <n v="0"/>
    <n v="0"/>
    <n v="0"/>
    <n v="0"/>
    <n v="0"/>
    <n v="0"/>
    <n v="0"/>
    <n v="0"/>
    <n v="0"/>
    <n v="0"/>
    <n v="0"/>
    <n v="0"/>
    <n v="0"/>
    <n v="0"/>
    <n v="0"/>
    <n v="0"/>
    <n v="75"/>
    <n v="8.8999999999999996E-2"/>
    <n v="75"/>
    <n v="75"/>
    <n v="6.6750000000000004E-2"/>
    <n v="6.6750000000000004E-2"/>
    <n v="6.6750000000000004E-2"/>
    <n v="1"/>
    <n v="0"/>
    <n v="160"/>
    <s v="BENEFICIAR ANUALMENTE AL 30% DE LAS Y LOS ADULTOS CON ACTIVIDADES CULTURALES, LÚDICAS Y DEPORTIVAS"/>
    <m/>
    <s v=""/>
    <m/>
    <m/>
    <m/>
    <m/>
    <s v="EN ALIANZA CON LA REGISTRADURÍA Y LA RED UNIDOS, SE DESARROLLARON CAMPAÑAS DE IDENTIFICACIÓN A POBLACIÓN VULNERABLE EN LOS MUNICIPIOS DE FUSAGASUGÁ Y SOACHA, ATENDIENDO AL 100% DE LA POBLACIÓN QUE DEMANDÓ LOS SERVICIOS."/>
    <n v="20000000"/>
    <m/>
    <n v="0"/>
  </r>
  <r>
    <n v="172"/>
    <x v="0"/>
    <x v="1"/>
    <x v="4"/>
    <s v="CIUDADANIA"/>
    <s v="PROMOVER LA EXPEDICIÓN DE LA LIBRETA MILITAR PARA ADULTOS CON PRIORIDAD EN LA POBLACIÓN DE LA RED UNIDOS Y/O VULNERABLE."/>
    <s v="% DE ADULTOS BENEFICIADOS CON LIBRETA MILITAR"/>
    <s v="PERSONAS"/>
    <s v="M"/>
    <n v="0"/>
    <n v="100"/>
    <n v="100"/>
    <n v="8.8999999999999996E-2"/>
    <n v="2.2249999999999999E-2"/>
    <n v="100"/>
    <n v="0.25"/>
    <n v="800"/>
    <n v="200"/>
    <n v="800"/>
    <n v="100"/>
    <n v="2.2250000000000002E-2"/>
    <n v="100"/>
    <n v="0"/>
    <n v="0"/>
    <n v="0"/>
    <n v="0"/>
    <n v="0"/>
    <n v="0"/>
    <n v="0"/>
    <n v="0"/>
    <n v="0"/>
    <n v="0"/>
    <n v="0"/>
    <n v="0"/>
    <n v="0"/>
    <n v="0"/>
    <n v="0"/>
    <n v="0"/>
    <n v="0"/>
    <n v="0"/>
    <n v="0"/>
    <n v="2.2249999999999999E-2"/>
    <n v="100"/>
    <n v="0.25"/>
    <n v="0"/>
    <n v="0"/>
    <n v="0"/>
    <n v="0"/>
    <n v="0"/>
    <n v="0"/>
    <n v="3000000"/>
    <n v="0"/>
    <n v="3000000"/>
    <n v="0"/>
    <n v="0"/>
    <n v="0"/>
    <n v="0"/>
    <n v="0"/>
    <n v="0"/>
    <n v="0"/>
    <n v="0"/>
    <n v="0"/>
    <n v="0"/>
    <n v="0"/>
    <n v="0"/>
    <n v="0"/>
    <n v="0"/>
    <n v="0"/>
    <n v="0"/>
    <n v="2.2249999999999999E-2"/>
    <n v="100"/>
    <n v="0.25"/>
    <n v="0"/>
    <n v="0"/>
    <n v="100"/>
    <n v="25"/>
    <n v="100"/>
    <n v="100"/>
    <n v="2.2250000000000002E-2"/>
    <n v="100"/>
    <n v="2.2250000000000002E-2"/>
    <n v="2.2249999999999999E-2"/>
    <n v="100"/>
    <n v="0.25"/>
    <n v="100"/>
    <n v="0"/>
    <n v="25"/>
    <n v="100"/>
    <n v="100"/>
    <n v="2.2250000000000002E-2"/>
    <n v="2.2250000000000002E-2"/>
    <n v="6000000"/>
    <n v="6000000"/>
    <n v="0"/>
    <n v="0"/>
    <n v="0"/>
    <n v="0"/>
    <n v="0"/>
    <n v="0"/>
    <n v="0"/>
    <n v="0"/>
    <n v="0"/>
    <n v="0"/>
    <n v="0"/>
    <n v="0"/>
    <n v="0"/>
    <n v="0"/>
    <n v="0"/>
    <n v="0"/>
    <n v="0"/>
    <n v="250"/>
    <n v="8.8999999999999996E-2"/>
    <n v="250"/>
    <n v="100"/>
    <n v="8.900000000000001E-2"/>
    <n v="8.900000000000001E-2"/>
    <n v="8.900000000000001E-2"/>
    <n v="1"/>
    <n v="0"/>
    <n v="160"/>
    <s v="BENEFICIAR ANUALMENTE AL 30% DE LAS Y LOS ADULTOS CON ACTIVIDADES CULTURALES, LÚDICAS Y DEPORTIVAS"/>
    <m/>
    <s v=""/>
    <m/>
    <m/>
    <m/>
    <m/>
    <s v="EN ALIANZA CON EL EJERCITO NACIONAL Y ANSPE, SE PROMOVIÓ LA EXPEDICIÓN DE 1.119 LIBRETAS MILITARES A IGUAL NÚMERO DE PERSONAS."/>
    <n v="0"/>
    <m/>
    <n v="0"/>
  </r>
  <r>
    <n v="173"/>
    <x v="0"/>
    <x v="7"/>
    <x v="4"/>
    <s v="CIUDADANIA"/>
    <s v="GENERAR CAPACIDADES DE GESTIÓN LOCAL CON LA FORMACIÓN DE 6.500 DIGNATARIAS Y DIGNATARIOS DE LAS JUNTAS DE ACCIÓN COMUNAL EN EL CUATRIENIO"/>
    <s v="NO. DE DIGNATARIOS DE LAS JAC FORMADOS"/>
    <s v="PERSONAS"/>
    <s v="I"/>
    <n v="5650"/>
    <n v="12150"/>
    <n v="6500"/>
    <n v="0.16500000000000001"/>
    <n v="2.5384615384615387E-2"/>
    <n v="1000"/>
    <n v="0.15384615384615385"/>
    <n v="5220"/>
    <n v="5220"/>
    <n v="522"/>
    <n v="100"/>
    <n v="2.5384615384615387E-2"/>
    <n v="100"/>
    <n v="50000000"/>
    <n v="50000000"/>
    <n v="0"/>
    <n v="0"/>
    <n v="0"/>
    <n v="0"/>
    <n v="0"/>
    <n v="0"/>
    <n v="77282000"/>
    <n v="77282000"/>
    <n v="0"/>
    <n v="0"/>
    <n v="0"/>
    <n v="0"/>
    <n v="0"/>
    <n v="0"/>
    <n v="0"/>
    <n v="0"/>
    <n v="0"/>
    <n v="6.3461538461538472E-2"/>
    <n v="2500"/>
    <n v="0.38461538461538464"/>
    <n v="2713"/>
    <n v="2713"/>
    <n v="108.52"/>
    <n v="100"/>
    <n v="6.3461538461538472E-2"/>
    <n v="100"/>
    <n v="70000000"/>
    <n v="0"/>
    <n v="30000000"/>
    <n v="0"/>
    <n v="0"/>
    <n v="0"/>
    <n v="0"/>
    <n v="40000000"/>
    <n v="0"/>
    <n v="0"/>
    <n v="0"/>
    <n v="0"/>
    <n v="0"/>
    <n v="0"/>
    <n v="0"/>
    <n v="0"/>
    <n v="0"/>
    <n v="0"/>
    <n v="0"/>
    <n v="6.3461538461538472E-2"/>
    <n v="2500"/>
    <n v="0.38461538461538464"/>
    <n v="1544"/>
    <n v="1652"/>
    <n v="2257"/>
    <n v="2257"/>
    <n v="90.28"/>
    <n v="90.28"/>
    <n v="5.7293076923076933E-2"/>
    <n v="90.28"/>
    <n v="5.7293076923076933E-2"/>
    <n v="1.2692307692307694E-2"/>
    <n v="500"/>
    <n v="7.6923076923076927E-2"/>
    <n v="1655"/>
    <n v="-1155"/>
    <n v="1655"/>
    <n v="331"/>
    <n v="100"/>
    <n v="1.2692307692307694E-2"/>
    <n v="4.2011538461538461E-2"/>
    <n v="0"/>
    <n v="0"/>
    <n v="0"/>
    <n v="0"/>
    <n v="0"/>
    <n v="0"/>
    <n v="0"/>
    <n v="0"/>
    <n v="0"/>
    <n v="0"/>
    <n v="0"/>
    <n v="0"/>
    <n v="0"/>
    <n v="0"/>
    <n v="0"/>
    <n v="0"/>
    <n v="0"/>
    <n v="0"/>
    <n v="0"/>
    <n v="11845"/>
    <n v="0.16500000000000001"/>
    <n v="182.23076923076923"/>
    <n v="100"/>
    <n v="0.16500000000000001"/>
    <n v="0.16500000000000001"/>
    <n v="0.16500000000000001"/>
    <n v="1"/>
    <n v="-2.4286128663675299E-17"/>
    <n v="619"/>
    <s v="LA INSTITUCIÓN DEPARTAMENTAL, LOS GOBIERNOS TERRITORIALES Y LA COMUNIDAD INVOLUCRAN AL 100% DE LAS DIFERENTES INSTANCIAS DE PARTICIPACIÓN EN EL DESARROLLO DE SUS PROGRAMAS Y PROYECTOS GENERANDO CORRESPONSABILIDAD CON PARTICIPACIÓN REAL Y ACTIVA."/>
    <m/>
    <s v=""/>
    <m/>
    <m/>
    <m/>
    <m/>
    <s v="SE GENERARON CAPACIDADES DE GESTIÓN A MÁS DE 11.000 AFILIADOS A ORGANIZACIONES COMUNALES DE PRIMER Y SEGUNDO GRADO DE LOS 116 MUNICIPIOS DEL DEPARTAMENTO A TRAVÉS DE CAPACITACIONES, TALLERES, FOROS, ENCUENTROS Y CUMBRES COMUNALES EN DIVERSOS TEMAS, ENTRE OTROS: PREPARACIÓN PARA ELECCIONES COMUNALES, FUNCIONES DE DIGNATARIOS, PROMOCIÓN DE LA PARTICIPACIÓN CIUDADANA, DERECHOS, VALORES, RESOLUCIÓN DE CONFLICTOS, LEGISLACIÓN COMUNAL, LIDERAZGO Y EMPRENDIMIENTO COMUNAL, DIRIGIDOS A DIGNATARIAS Y DIGNATARIOS DE ORGANISMOS COMUNALES"/>
    <n v="390000000"/>
    <m/>
    <n v="1569"/>
  </r>
  <r>
    <n v="174"/>
    <x v="0"/>
    <x v="2"/>
    <x v="4"/>
    <s v="PROTECCION"/>
    <s v="GARANTIZAR LA ATENCIÓN INTEGRAL AL 100% DE LAS Y LOS ADULTOS VÍCTIMAS Y POSIBLES VÍCTIMAS DE TRATA DE PERSONAS QUE LO DEMANDEN"/>
    <s v="% DE ADULTOS VÍCTIMAS Y POSIBLES VÍCTIMAS DE TRATA DE PERSONAS CON ATENCIÓN INTEGRAL"/>
    <s v="PORCENTAJE DE PERSONAS"/>
    <s v="M"/>
    <n v="0"/>
    <n v="100"/>
    <n v="100"/>
    <n v="0.16500000000000001"/>
    <n v="4.1250000000000002E-2"/>
    <n v="100"/>
    <n v="0.25"/>
    <n v="100"/>
    <n v="25"/>
    <n v="100"/>
    <n v="100"/>
    <n v="4.1250000000000002E-2"/>
    <n v="100"/>
    <n v="0"/>
    <n v="0"/>
    <n v="0"/>
    <n v="0"/>
    <n v="0"/>
    <n v="0"/>
    <n v="0"/>
    <n v="0"/>
    <n v="0"/>
    <n v="0"/>
    <n v="0"/>
    <n v="0"/>
    <n v="0"/>
    <n v="0"/>
    <n v="0"/>
    <n v="0"/>
    <n v="0"/>
    <n v="0"/>
    <s v="-"/>
    <n v="4.1250000000000002E-2"/>
    <n v="100"/>
    <n v="0.25"/>
    <n v="100"/>
    <n v="25"/>
    <n v="100"/>
    <n v="100"/>
    <n v="4.1250000000000002E-2"/>
    <n v="100"/>
    <n v="0"/>
    <n v="0"/>
    <n v="0"/>
    <n v="0"/>
    <n v="0"/>
    <n v="0"/>
    <n v="0"/>
    <n v="0"/>
    <n v="0"/>
    <n v="0"/>
    <n v="0"/>
    <n v="0"/>
    <n v="0"/>
    <n v="0"/>
    <n v="0"/>
    <n v="0"/>
    <n v="0"/>
    <n v="0"/>
    <n v="0"/>
    <n v="4.1250000000000002E-2"/>
    <n v="100"/>
    <n v="0.25"/>
    <n v="116"/>
    <n v="100"/>
    <n v="100"/>
    <n v="25"/>
    <n v="100"/>
    <n v="100"/>
    <n v="4.1250000000000002E-2"/>
    <n v="100"/>
    <n v="4.1250000000000002E-2"/>
    <n v="4.1250000000000002E-2"/>
    <n v="100"/>
    <n v="0.25"/>
    <n v="0"/>
    <n v="100"/>
    <n v="0"/>
    <n v="0"/>
    <n v="0"/>
    <n v="0"/>
    <n v="0"/>
    <n v="0"/>
    <n v="0"/>
    <n v="0"/>
    <n v="0"/>
    <n v="0"/>
    <n v="0"/>
    <n v="0"/>
    <n v="0"/>
    <n v="0"/>
    <n v="0"/>
    <n v="0"/>
    <n v="0"/>
    <n v="0"/>
    <n v="0"/>
    <n v="0"/>
    <n v="0"/>
    <n v="0"/>
    <n v="0"/>
    <n v="0"/>
    <n v="75"/>
    <n v="0.16500000000000001"/>
    <n v="75"/>
    <n v="75"/>
    <n v="0.12375"/>
    <n v="0.12375"/>
    <n v="0.12375"/>
    <n v="1"/>
    <n v="0"/>
    <n v="158"/>
    <s v="REDUCIR EN EL CUATRIENIO EN MÍNIMO 10% LAS MUERTES POR HOMICIDIO EN ADULTOS"/>
    <m/>
    <s v=""/>
    <m/>
    <m/>
    <m/>
    <m/>
    <s v="EN EL MES DE JULIO SE DISEÑO LA RUTA DE ATENCION Y PROTECCION DE CUNDINAMARCA A VICTIMAS Y POSIBLE VICTIMAS DE LA TRATA DE PERSONAS INCLUYENDO DE MANERA ESPECIFICA A LOS JOVENES. ADICIONALMENTE SE REALIZO LA CAPACITACION EN LEY 985/05. A LOS PERSONEROS Y SECRETARIOS DE GOBIERNO DE LOS 116 MUNICIPIOS EL 2 DE SEPTIEMBRE DE 2013"/>
    <n v="1995000000"/>
    <m/>
    <n v="5"/>
  </r>
  <r>
    <n v="175"/>
    <x v="0"/>
    <x v="2"/>
    <x v="4"/>
    <s v="PROTECCION"/>
    <s v="RED DE ACTORES INSTITUCIONALES CON PROTOCOLO INTERVIENEN EN LOS 116 MUNICIPIOS PARA LA PREVENCIÓN DE HOMICIDIOS Y LA COMISIÓN DE DELITOS EN ADULTOS"/>
    <s v="NO. DE MUNICIPIOS CON PROTOCOLO DE INTERVENCIÓN PARA PREVENCIÓN DE LOS HOMICIDIOS Y LA COMISIÓN DE DELITOS EN JÓVENES"/>
    <s v="MUNICIPIOS"/>
    <s v="I"/>
    <n v="0"/>
    <n v="116"/>
    <n v="116"/>
    <n v="0.16500000000000001"/>
    <n v="0"/>
    <n v="0"/>
    <n v="0"/>
    <n v="0"/>
    <n v="0"/>
    <n v="0"/>
    <n v="0"/>
    <n v="0"/>
    <n v="0"/>
    <n v="0"/>
    <n v="0"/>
    <n v="0"/>
    <n v="0"/>
    <n v="0"/>
    <n v="0"/>
    <n v="0"/>
    <n v="0"/>
    <n v="0"/>
    <n v="0"/>
    <n v="0"/>
    <n v="0"/>
    <n v="0"/>
    <n v="0"/>
    <n v="0"/>
    <n v="0"/>
    <n v="0"/>
    <n v="0"/>
    <s v="-"/>
    <n v="0.16500000000000001"/>
    <n v="116"/>
    <n v="1"/>
    <n v="116"/>
    <n v="116"/>
    <n v="100"/>
    <n v="100"/>
    <n v="0.16500000000000001"/>
    <n v="100"/>
    <n v="50000000"/>
    <n v="0"/>
    <n v="50000000"/>
    <n v="0"/>
    <n v="0"/>
    <n v="0"/>
    <n v="0"/>
    <n v="0"/>
    <n v="0"/>
    <n v="0"/>
    <n v="0"/>
    <n v="0"/>
    <n v="0"/>
    <n v="0"/>
    <n v="0"/>
    <n v="0"/>
    <n v="0"/>
    <n v="0"/>
    <n v="0"/>
    <n v="0"/>
    <n v="0"/>
    <n v="0"/>
    <n v="116"/>
    <n v="0"/>
    <n v="0"/>
    <n v="0"/>
    <n v="0"/>
    <n v="0"/>
    <n v="0"/>
    <n v="0"/>
    <n v="0"/>
    <n v="0"/>
    <n v="0"/>
    <n v="0"/>
    <n v="100"/>
    <n v="-100"/>
    <n v="100"/>
    <n v="0"/>
    <n v="0"/>
    <n v="0"/>
    <n v="0"/>
    <n v="0"/>
    <n v="0"/>
    <n v="0"/>
    <n v="0"/>
    <n v="0"/>
    <n v="0"/>
    <n v="0"/>
    <n v="0"/>
    <n v="0"/>
    <n v="0"/>
    <n v="0"/>
    <n v="0"/>
    <n v="0"/>
    <n v="0"/>
    <n v="0"/>
    <n v="0"/>
    <n v="0"/>
    <n v="0"/>
    <n v="0"/>
    <n v="216"/>
    <n v="0.16500000000000001"/>
    <n v="186.20689655172413"/>
    <n v="100"/>
    <n v="0.16500000000000001"/>
    <n v="0.16500000000000001"/>
    <n v="0.16500000000000001"/>
    <n v="1"/>
    <n v="0"/>
    <n v="158"/>
    <s v="REDUCIR EN EL CUATRIENIO EN MÍNIMO 10% LAS MUERTES POR HOMICIDIO EN ADULTOS"/>
    <m/>
    <s v=""/>
    <m/>
    <m/>
    <m/>
    <m/>
    <s v="ARTICULACION PERMANENTE ENTRE LA SECRETARIA DE GOBIERNO, ICBF, FISCALIA, CON EL DPS DE PRESIDENDIA, CONJUNTAMENTE CON POLICIA DE INFANCIA Y ADOLESCENCIA CON EL FIN DE PREVENCIOS DE HOMICIDIOS Y LA COMISION DE DELITOS EN LOS ADULTOS Y ADULTAS"/>
    <n v="514000000"/>
    <m/>
    <n v="70"/>
  </r>
  <r>
    <n v="176"/>
    <x v="0"/>
    <x v="1"/>
    <x v="4"/>
    <s v="PROTECCION"/>
    <s v="CONSOLIDAR EN EL CUATRIENIO 3 ALIANZAS CON ORGANISMOS PÚBLICOS O PRIVADOS, CON EL FIN DE ENCAMINAR ESFUERZOS HACIA LA PROTECCIÓN DE LOS DERECHOS HUMANOS, CIVILES Y POLÍTICOS DE LA POBLACIÓN ADULTA DEL DEPARTAMENTO."/>
    <s v="NO DE ALIANZAS PARA LA PROTECCIÓN DE LOS DERECHOS DE LOS ADULTOS"/>
    <s v="ALIANZAS"/>
    <s v="I"/>
    <n v="0"/>
    <n v="3"/>
    <n v="3"/>
    <n v="0.16500000000000001"/>
    <n v="5.5E-2"/>
    <n v="1"/>
    <n v="0.33333333333333331"/>
    <n v="1"/>
    <n v="1"/>
    <n v="100"/>
    <n v="100"/>
    <n v="5.5E-2"/>
    <n v="100"/>
    <n v="0"/>
    <n v="0"/>
    <n v="0"/>
    <n v="0"/>
    <n v="0"/>
    <n v="0"/>
    <n v="0"/>
    <n v="0"/>
    <n v="12500000"/>
    <n v="12500000"/>
    <n v="0"/>
    <n v="0"/>
    <n v="0"/>
    <n v="0"/>
    <n v="0"/>
    <n v="0"/>
    <n v="0"/>
    <n v="0"/>
    <s v="-"/>
    <n v="0"/>
    <n v="0"/>
    <n v="0"/>
    <n v="0"/>
    <n v="0"/>
    <n v="0"/>
    <n v="0"/>
    <n v="0"/>
    <n v="0"/>
    <n v="0"/>
    <n v="0"/>
    <n v="0"/>
    <n v="0"/>
    <n v="0"/>
    <n v="0"/>
    <n v="0"/>
    <n v="0"/>
    <n v="0"/>
    <n v="0"/>
    <n v="0"/>
    <n v="0"/>
    <n v="0"/>
    <n v="0"/>
    <n v="0"/>
    <n v="0"/>
    <n v="0"/>
    <n v="0"/>
    <n v="0"/>
    <n v="5.5E-2"/>
    <n v="1"/>
    <n v="0.33333333333333331"/>
    <n v="0"/>
    <n v="0"/>
    <n v="1"/>
    <n v="1"/>
    <n v="100"/>
    <n v="100"/>
    <n v="5.5E-2"/>
    <n v="100"/>
    <n v="5.5E-2"/>
    <n v="5.5E-2"/>
    <n v="1"/>
    <n v="0.33333333333333331"/>
    <n v="1"/>
    <n v="0"/>
    <n v="1"/>
    <n v="100"/>
    <n v="100"/>
    <n v="5.5E-2"/>
    <n v="5.5E-2"/>
    <n v="0"/>
    <n v="0"/>
    <n v="0"/>
    <n v="0"/>
    <n v="0"/>
    <n v="0"/>
    <n v="0"/>
    <n v="0"/>
    <n v="0"/>
    <n v="0"/>
    <n v="0"/>
    <n v="0"/>
    <n v="0"/>
    <n v="0"/>
    <n v="0"/>
    <n v="0"/>
    <n v="0"/>
    <n v="0"/>
    <n v="0"/>
    <n v="3"/>
    <n v="0.16500000000000001"/>
    <n v="100"/>
    <n v="100"/>
    <n v="0.16500000000000001"/>
    <n v="0.16500000000000001"/>
    <n v="0.16500000000000001"/>
    <n v="1"/>
    <n v="0"/>
    <n v="158"/>
    <s v="REDUCIR EN EL CUATRIENIO EN MÍNIMO 10% LAS MUERTES POR HOMICIDIO EN ADULTOS"/>
    <m/>
    <s v=""/>
    <m/>
    <m/>
    <m/>
    <m/>
    <s v="CONSTITUCIÓN DE ALIANZAS ESTRATÉGICAS, EN VIRTUD DE LO CUAL SE REALIZÓ SEMINARIO TALLER CON DEFENSORÍA DEL PUEBLO &quot;ENCUENTRO DEPARTAMENTAL DE PERSONEROS MUNICIPALES Y SECRETARIOS DE DESARROLLO SOCIAL POR UNA VIDA LIBRE DE VIOLENCIAS GÉNERO&quot;._x000a_SE HAN REALIZADO GESTIONES CON LA CONSEJERIA PRESIDENCIAL DE DERECHOS HUANOS PARA LA REALIZACIÓN DE UN ENCUENTRO DE PROMOCION DE DERECHOS HUMANOS; IGUALMENTE EN COORDINACIÓN CON LA SUBDIRECCIÓN DE SUPERACIÓN DE LA POBREZA SE SELECCIONARAN ALGUNOS MUNICIPIOS PARA TRABAJAR ESTE TEMA EN EL MARCO DEL PROYECTO DE BANCO DE ALIMENTOS Y NUTRIR."/>
    <n v="0"/>
    <m/>
    <n v="100"/>
  </r>
  <r>
    <n v="180"/>
    <x v="0"/>
    <x v="0"/>
    <x v="5"/>
    <s v="EXISTENCIA"/>
    <s v="LOGRAR ADULTAS Y ADULTOS MAYORES MAS SALUDABLES CON LA IMPLEMENTACIÓN EN EL CUATRIENIO DE UN PROGRAMA INTEGRAL DE ESTILOS DE VIDA SALUDABLE A NIVEL COMUNITARIO EN EL 100% DE LOS MUNICIPIOS"/>
    <s v="% DE MUNICIPIOS CON CUMPLIMIENTO DE TODOS LOS COMPONENTES DE ESTILOS DE VIDA SALUDABLE PARA LOS ADULTOS MAYORES A NIVEL COMUNITARIO"/>
    <s v="% DE MUNICIPIOS"/>
    <s v="I"/>
    <n v="0"/>
    <n v="100"/>
    <n v="100"/>
    <n v="0.25"/>
    <n v="2.2499999999999999E-2"/>
    <n v="9"/>
    <n v="0.09"/>
    <n v="9"/>
    <n v="9"/>
    <n v="100"/>
    <n v="100"/>
    <n v="2.2499999999999999E-2"/>
    <n v="100"/>
    <n v="230262000"/>
    <n v="190262000"/>
    <n v="0"/>
    <n v="40000000"/>
    <n v="0"/>
    <n v="0"/>
    <n v="0"/>
    <n v="0"/>
    <n v="49500000"/>
    <n v="49500000"/>
    <n v="0"/>
    <n v="0"/>
    <n v="0"/>
    <n v="0"/>
    <n v="0"/>
    <n v="0"/>
    <n v="0"/>
    <n v="0"/>
    <n v="0"/>
    <n v="2.2499999999999999E-2"/>
    <n v="9"/>
    <n v="0.09"/>
    <n v="9"/>
    <n v="9"/>
    <n v="100"/>
    <n v="100"/>
    <n v="2.2499999999999999E-2"/>
    <n v="100"/>
    <n v="0"/>
    <n v="0"/>
    <n v="0"/>
    <n v="0"/>
    <n v="0"/>
    <n v="0"/>
    <n v="0"/>
    <n v="0"/>
    <n v="409568843"/>
    <n v="314149358"/>
    <n v="55420000"/>
    <n v="39999485"/>
    <n v="0"/>
    <n v="0"/>
    <n v="0"/>
    <n v="0"/>
    <n v="0"/>
    <n v="0"/>
    <n v="0"/>
    <n v="0.10249999999999999"/>
    <n v="41"/>
    <n v="0.41"/>
    <n v="22"/>
    <n v="31.399999618530273"/>
    <n v="47"/>
    <n v="47"/>
    <n v="114.63414634146342"/>
    <n v="100"/>
    <n v="0.10249999999999999"/>
    <n v="100"/>
    <n v="0.11749999999999999"/>
    <n v="0.10249999999999999"/>
    <n v="41"/>
    <n v="0.41"/>
    <n v="41"/>
    <n v="0"/>
    <n v="41"/>
    <n v="100"/>
    <n v="100"/>
    <n v="0.10249999999999999"/>
    <n v="0.10249999999999999"/>
    <n v="0"/>
    <n v="0"/>
    <n v="0"/>
    <n v="0"/>
    <n v="0"/>
    <n v="0"/>
    <n v="0"/>
    <n v="0"/>
    <n v="0"/>
    <n v="0"/>
    <n v="0"/>
    <n v="0"/>
    <n v="0"/>
    <n v="0"/>
    <n v="0"/>
    <n v="0"/>
    <n v="0"/>
    <n v="0"/>
    <n v="0"/>
    <n v="106"/>
    <n v="0.25"/>
    <n v="106"/>
    <n v="100"/>
    <n v="0.25"/>
    <n v="0.25"/>
    <n v="0.25"/>
    <n v="1"/>
    <n v="0"/>
    <n v="179"/>
    <s v="POTENCIALIZAR HABILIDADES Y DESTREZAS EN EL 5% DE LAS PERSONAS ADULTAS MAYORES CON Y SIN DISCAPACIDAD COMO USUARIOS DE PROGRAMAS CULTURALES, RECREATIVOS Y LÚDICOS CADA AÑO"/>
    <m/>
    <s v=""/>
    <m/>
    <m/>
    <m/>
    <m/>
    <s v="SE IMPLEMENTA LA RUTA ESTRATEGICA PARA LA FORMULACION DE LA POLITICA DEPARTAMENTAL DE ENVEJECIMIENTO Y VEJEZ; SE IMPLEMENTAN LAS ACCIONES CONCERNIENTES A LA PROMOCION DE ESTILOS DE VIDA SALUDABLES EN EL MARCO DEL ENVEJECIMIENTO ACTIVO."/>
    <n v="5600000000"/>
    <m/>
    <n v="3"/>
  </r>
  <r>
    <n v="181"/>
    <x v="0"/>
    <x v="0"/>
    <x v="5"/>
    <s v="EXISTENCIA"/>
    <s v="VACUNAR EN EL CUATRIENIO A 40.000 ADULTAS Y ADULTOS MAYORES DE 60 AÑOS CONTRA INFLUENZA Y NEUMOCOCO"/>
    <s v="NO. DE ADULTOS MAYORES VACUNADOS CONTRA INFLUENZA Y NEUMOCOCO"/>
    <s v="VACUNAS"/>
    <s v="I"/>
    <n v="0"/>
    <n v="40000"/>
    <n v="40000"/>
    <n v="0.16500000000000001"/>
    <n v="0"/>
    <n v="0"/>
    <n v="0"/>
    <n v="0"/>
    <n v="0"/>
    <n v="0"/>
    <n v="0"/>
    <n v="0"/>
    <n v="0"/>
    <n v="0"/>
    <n v="0"/>
    <n v="0"/>
    <n v="0"/>
    <n v="0"/>
    <n v="0"/>
    <n v="0"/>
    <n v="0"/>
    <n v="0"/>
    <n v="0"/>
    <n v="0"/>
    <n v="0"/>
    <n v="0"/>
    <n v="0"/>
    <n v="0"/>
    <n v="0"/>
    <n v="0"/>
    <n v="0"/>
    <n v="0"/>
    <n v="5.7749999999999996E-2"/>
    <n v="14000"/>
    <n v="0.35"/>
    <n v="12300"/>
    <n v="12300"/>
    <n v="87.857142857142861"/>
    <n v="87.857142857142861"/>
    <n v="5.0737499999999998E-2"/>
    <n v="87.857142857142861"/>
    <n v="341000000"/>
    <n v="0"/>
    <n v="341000000"/>
    <n v="0"/>
    <n v="0"/>
    <n v="0"/>
    <n v="0"/>
    <n v="0"/>
    <n v="10500000"/>
    <n v="10000000"/>
    <n v="500000"/>
    <n v="0"/>
    <n v="0"/>
    <n v="0"/>
    <n v="0"/>
    <n v="0"/>
    <n v="0"/>
    <n v="0"/>
    <n v="0"/>
    <n v="5.3625000000000006E-2"/>
    <n v="13000"/>
    <n v="0.32500000000000001"/>
    <n v="12335"/>
    <n v="10138"/>
    <n v="67509"/>
    <n v="67509"/>
    <n v="519.29999999999995"/>
    <n v="100"/>
    <n v="5.3625000000000006E-2"/>
    <n v="100"/>
    <n v="0.27847462500000003"/>
    <n v="5.3625000000000006E-2"/>
    <n v="13000"/>
    <n v="0.32500000000000001"/>
    <n v="77349"/>
    <n v="-64349"/>
    <n v="77349"/>
    <n v="594.99230769230769"/>
    <n v="100"/>
    <n v="5.3625000000000006E-2"/>
    <n v="0.31906462500000005"/>
    <n v="330000000"/>
    <n v="330000000"/>
    <n v="0"/>
    <n v="0"/>
    <n v="0"/>
    <n v="0"/>
    <n v="0"/>
    <n v="0"/>
    <n v="0"/>
    <n v="0"/>
    <n v="0"/>
    <n v="0"/>
    <n v="0"/>
    <n v="0"/>
    <n v="0"/>
    <n v="0"/>
    <n v="0"/>
    <n v="0"/>
    <n v="0"/>
    <n v="157158"/>
    <n v="0.16500000000000001"/>
    <n v="392.89499999999998"/>
    <n v="100"/>
    <n v="0.16500000000000001"/>
    <n v="0.16500000000000001"/>
    <n v="0.16500000000000001"/>
    <n v="1"/>
    <n v="0"/>
    <n v="202"/>
    <s v="30.000 FAMILIAS MAS SANAS Y FUERTES CON ACOMPAÑAMIENTO INSTITUCIONAL, FAMILIAR Y COMUNITARIO "/>
    <m/>
    <s v=""/>
    <m/>
    <m/>
    <m/>
    <m/>
    <s v="LA META PROPUESTA PARA EL CUATRIENIO SE ALCANZO A 31 DE DICIEMBRE DE 2014 EN 65.000 DOSIS APLICADAS; PARA EL 2015 SE REALIZARA LA VACUNACION DEL ADULTO MAYOR DE 60 AÑOS EN CONDICION DE VULNERABILIDAD SISBEN 1 Y 2."/>
    <n v="0"/>
    <m/>
    <n v="0"/>
  </r>
  <r>
    <n v="182"/>
    <x v="0"/>
    <x v="1"/>
    <x v="5"/>
    <s v="EXISTENCIA"/>
    <s v="ATENDER ANUALMENTE A 400 ADULTAS Y ADULTOS MAYORES EN PROGRAMA DE SEGURIDAD ALIMENTARIA"/>
    <s v="NO. DE ADULTOS MAYORES ATENDIDOS ANUALMENTE EN PROGRAMAS DE SEGURIDAD ALIMENTARIA"/>
    <s v="PERSONAS"/>
    <s v="M"/>
    <n v="0"/>
    <n v="400"/>
    <n v="400"/>
    <n v="0.16500000000000001"/>
    <n v="4.1250000000000002E-2"/>
    <n v="400"/>
    <n v="0.25"/>
    <n v="0"/>
    <n v="0"/>
    <n v="0"/>
    <n v="0"/>
    <n v="0"/>
    <n v="0"/>
    <n v="182000000"/>
    <n v="182000000"/>
    <n v="0"/>
    <n v="0"/>
    <n v="0"/>
    <n v="0"/>
    <n v="0"/>
    <n v="0"/>
    <n v="6000000"/>
    <n v="6000000"/>
    <n v="0"/>
    <n v="0"/>
    <n v="0"/>
    <n v="0"/>
    <n v="0"/>
    <n v="0"/>
    <n v="0"/>
    <n v="0"/>
    <n v="0"/>
    <n v="4.1250000000000002E-2"/>
    <n v="400"/>
    <n v="0.25"/>
    <n v="400"/>
    <n v="100"/>
    <n v="100"/>
    <n v="100"/>
    <n v="4.1250000000000002E-2"/>
    <n v="100"/>
    <n v="0"/>
    <n v="0"/>
    <n v="0"/>
    <n v="0"/>
    <n v="0"/>
    <n v="0"/>
    <n v="0"/>
    <n v="0"/>
    <n v="398100148"/>
    <n v="398100148"/>
    <n v="0"/>
    <n v="0"/>
    <n v="0"/>
    <n v="0"/>
    <n v="0"/>
    <n v="0"/>
    <n v="0"/>
    <n v="0"/>
    <n v="0"/>
    <n v="4.1250000000000002E-2"/>
    <n v="400"/>
    <n v="0.25"/>
    <n v="0"/>
    <n v="0"/>
    <n v="400"/>
    <n v="100"/>
    <n v="100"/>
    <n v="100"/>
    <n v="4.1250000000000002E-2"/>
    <n v="100"/>
    <n v="4.1250000000000002E-2"/>
    <n v="4.1250000000000002E-2"/>
    <n v="400"/>
    <n v="0.25"/>
    <n v="400"/>
    <n v="0"/>
    <n v="100"/>
    <n v="100"/>
    <n v="100"/>
    <n v="4.1250000000000002E-2"/>
    <n v="4.1250000000000002E-2"/>
    <n v="0"/>
    <n v="0"/>
    <n v="0"/>
    <n v="0"/>
    <n v="0"/>
    <n v="0"/>
    <n v="0"/>
    <n v="0"/>
    <n v="0"/>
    <n v="0"/>
    <n v="0"/>
    <n v="0"/>
    <n v="0"/>
    <n v="0"/>
    <n v="0"/>
    <n v="0"/>
    <n v="0"/>
    <n v="0"/>
    <n v="0"/>
    <n v="300"/>
    <n v="0.16500000000000001"/>
    <n v="75"/>
    <n v="75"/>
    <n v="0.12375"/>
    <n v="0.12375"/>
    <n v="0.12375"/>
    <n v="1"/>
    <n v="0"/>
    <n v="179"/>
    <s v="POTENCIALIZAR HABILIDADES Y DESTREZAS EN EL 5% DE LAS PERSONAS ADULTAS MAYORES CON Y SIN DISCAPACIDAD COMO USUARIOS DE PROGRAMAS CULTURALES, RECREATIVOS Y LÚDICOS CADA AÑO"/>
    <m/>
    <s v=""/>
    <m/>
    <m/>
    <m/>
    <m/>
    <s v="ATENCIÓN DE MÁS DE 3 MIL ADULTOS MAYORES EN SEGURIDAD ALIMENTARIA EN 75 MUNICIPIOS (ENTREGA DE PAQUETES ALIMENTARIOS EN 2013 E IMPLEMENTACIÓN DE PROGRAMA RACIÓN CALIENTE EN 2014 Y 2015). "/>
    <n v="900000000"/>
    <m/>
    <n v="0"/>
  </r>
  <r>
    <n v="183"/>
    <x v="0"/>
    <x v="3"/>
    <x v="5"/>
    <s v="DESARROLLO"/>
    <s v="ALFABETIZAR Y ELEVAR EL NIVEL EDUCATIVO A 3.817 ADULTOS Y ADULTAS MAYORES, DURANTE EL CUATRIENIO, CON PRIORIDAD EN LA POBLACIÓN EN CONDICIÓN DE EXTREMA POBREZA. "/>
    <s v="NO. DE ADULTOS MAYORES ALFABETIZADOS EN EL CUATRIENIO"/>
    <s v="ALUMNOS"/>
    <s v="I"/>
    <n v="1643"/>
    <n v="5460"/>
    <n v="3817"/>
    <n v="0.16500000000000001"/>
    <n v="2.5288184438040349E-2"/>
    <n v="585"/>
    <n v="0.1532617238669112"/>
    <n v="585"/>
    <n v="585"/>
    <n v="100"/>
    <n v="100"/>
    <n v="2.5288184438040352E-2"/>
    <n v="100"/>
    <n v="64000000"/>
    <n v="64000000"/>
    <n v="0"/>
    <n v="0"/>
    <n v="0"/>
    <n v="0"/>
    <n v="0"/>
    <n v="0"/>
    <n v="63814000"/>
    <n v="63814000"/>
    <n v="0"/>
    <n v="0"/>
    <n v="0"/>
    <n v="0"/>
    <n v="0"/>
    <n v="0"/>
    <n v="0"/>
    <n v="0"/>
    <n v="0"/>
    <n v="3.3242074927953891E-2"/>
    <n v="769"/>
    <n v="0.20146712077547813"/>
    <n v="769"/>
    <n v="769"/>
    <n v="100"/>
    <n v="100"/>
    <n v="3.3242074927953891E-2"/>
    <n v="100"/>
    <n v="0"/>
    <n v="0"/>
    <n v="0"/>
    <n v="0"/>
    <n v="0"/>
    <n v="0"/>
    <n v="0"/>
    <n v="0"/>
    <n v="104000000"/>
    <n v="104000000"/>
    <n v="0"/>
    <n v="0"/>
    <n v="0"/>
    <n v="0"/>
    <n v="0"/>
    <n v="0"/>
    <n v="0"/>
    <n v="0"/>
    <n v="0"/>
    <n v="4.4481268011527381E-2"/>
    <n v="1029"/>
    <n v="0.26958344249410532"/>
    <n v="0"/>
    <n v="0"/>
    <n v="918"/>
    <n v="918"/>
    <n v="89.212827988338191"/>
    <n v="89.212827988338191"/>
    <n v="3.9682997118155622E-2"/>
    <n v="89.212827988338191"/>
    <n v="3.9682997118155622E-2"/>
    <n v="6.1988472622478391E-2"/>
    <n v="1434"/>
    <n v="0.37568771286350539"/>
    <n v="1742"/>
    <n v="-308"/>
    <n v="1742"/>
    <n v="121.47838214783822"/>
    <n v="100"/>
    <n v="6.1988472622478391E-2"/>
    <n v="7.5302593659942366E-2"/>
    <n v="0"/>
    <n v="0"/>
    <n v="0"/>
    <n v="0"/>
    <n v="0"/>
    <n v="0"/>
    <n v="0"/>
    <n v="0"/>
    <n v="0"/>
    <n v="0"/>
    <n v="0"/>
    <n v="0"/>
    <n v="0"/>
    <n v="0"/>
    <n v="0"/>
    <n v="0"/>
    <n v="0"/>
    <n v="0"/>
    <n v="0"/>
    <n v="4014"/>
    <n v="0.16500000000000001"/>
    <n v="105.16112129944983"/>
    <n v="100"/>
    <n v="0.16500000000000001"/>
    <n v="0.16500000000000001"/>
    <n v="0.16500000000000001"/>
    <n v="1"/>
    <n v="0"/>
    <n v="36"/>
    <s v="MANTENER CADA AÑO EN 100% LA COBERTURA BRUTA EN BÁSICA PRIMARIA, PRIORIZANDO LA POBLACIÓN EN POBREZA EXTREMA QUE DEMANDE EL SERVICIO"/>
    <n v="78"/>
    <s v="ALCANZAR EN EL CUATRIENIO UNA COBERTURA BRUTA EN EDUCACIÓN MEDIA DE 78,9%, PRIORIZANDO LA POBLACIÓN EN SITUACIÓN DE POBREZA EXTREMA QUE LO DEMANDE"/>
    <m/>
    <m/>
    <m/>
    <m/>
    <s v="SE ALFABETIZO Y SE ELEVO EL NIVEL EDUCATIVO DE 2.272 ADULTOS MAYORES CON LA DOTACIÓN DE MODULOS DE EDUCACIÓN CONTIUADA CAFAM Y LA IMPLEMENTACIÓN DE MODELOS DE EDUCACIÓN FLEXIBLE PARA ADULTOS: A CRECER PARA CICLO I Y CICLO II, SER CICLO I , ABCD ESPAÑOL PARA ALFABETIZACIÓN, MODELO DE EDUCACIÓN VIRTUAL DEL CICLO II AL CICLO VI. _x000a_"/>
    <n v="126000000"/>
    <m/>
    <n v="40"/>
  </r>
  <r>
    <n v="184"/>
    <x v="0"/>
    <x v="1"/>
    <x v="5"/>
    <s v="DESARROLLO"/>
    <s v="APOYAR EN EL CUATRIENIO 100 INICIATIVAS PRODUCTIVAS DE LAS Y LOS ADULTOS MAYORES"/>
    <s v="NO. DE INICIATIVAS PRODUCTIVAS DE ADULTOS MAYORES APOYADAS"/>
    <s v="INICIATIVAS"/>
    <s v="I"/>
    <n v="0"/>
    <n v="100"/>
    <n v="100"/>
    <n v="0.16500000000000001"/>
    <n v="6.6000000000000003E-2"/>
    <n v="40"/>
    <n v="0.4"/>
    <n v="40"/>
    <n v="40"/>
    <n v="100"/>
    <n v="100"/>
    <n v="6.6000000000000003E-2"/>
    <n v="100"/>
    <n v="50000000"/>
    <n v="50000000"/>
    <n v="0"/>
    <n v="0"/>
    <n v="0"/>
    <n v="0"/>
    <n v="0"/>
    <n v="0"/>
    <n v="50000000"/>
    <n v="50000000"/>
    <n v="0"/>
    <n v="0"/>
    <n v="0"/>
    <n v="0"/>
    <n v="0"/>
    <n v="0"/>
    <n v="0"/>
    <n v="0"/>
    <n v="0"/>
    <n v="0"/>
    <n v="0"/>
    <n v="0"/>
    <n v="40"/>
    <n v="40"/>
    <n v="0"/>
    <n v="0"/>
    <n v="0"/>
    <n v="100"/>
    <n v="0"/>
    <n v="0"/>
    <n v="0"/>
    <n v="0"/>
    <n v="0"/>
    <n v="0"/>
    <n v="0"/>
    <n v="0"/>
    <n v="0"/>
    <n v="0"/>
    <n v="0"/>
    <n v="0"/>
    <n v="0"/>
    <n v="0"/>
    <n v="0"/>
    <n v="0"/>
    <n v="0"/>
    <n v="0"/>
    <n v="0"/>
    <n v="0"/>
    <n v="0"/>
    <n v="0"/>
    <n v="0"/>
    <n v="0"/>
    <n v="40"/>
    <n v="40"/>
    <n v="0"/>
    <n v="0"/>
    <n v="0"/>
    <n v="0"/>
    <n v="0"/>
    <n v="9.9000000000000005E-2"/>
    <n v="60"/>
    <n v="0.6"/>
    <n v="62"/>
    <n v="-2"/>
    <n v="62"/>
    <n v="103.33333333333333"/>
    <n v="100"/>
    <n v="9.9000000000000005E-2"/>
    <n v="0.1023"/>
    <n v="0"/>
    <n v="0"/>
    <n v="0"/>
    <n v="0"/>
    <n v="0"/>
    <n v="0"/>
    <n v="0"/>
    <n v="0"/>
    <n v="0"/>
    <n v="0"/>
    <n v="0"/>
    <n v="0"/>
    <n v="0"/>
    <n v="0"/>
    <n v="0"/>
    <n v="0"/>
    <n v="0"/>
    <n v="0"/>
    <n v="0"/>
    <n v="182"/>
    <n v="0.16500000000000001"/>
    <n v="182"/>
    <n v="100"/>
    <n v="0.16500000000000001"/>
    <n v="0.16500000000000001"/>
    <n v="0.16500000000000001"/>
    <n v="1"/>
    <n v="0"/>
    <n v="179"/>
    <s v="POTENCIALIZAR HABILIDADES Y DESTREZAS EN EL 5% DE LAS PERSONAS ADULTAS MAYORES CON Y SIN DISCAPACIDAD COMO USUARIOS DE PROGRAMAS CULTURALES, RECREATIVOS Y LÚDICOS CADA AÑO"/>
    <m/>
    <s v=""/>
    <m/>
    <m/>
    <m/>
    <m/>
    <s v="IMPLEMENTACIÓN DE 102 UNIDADES PRODUCTIVAS EN 7 MUNICIPIOS A TRAVES DE SESIONES DE ACTIVIDADES DE EMPRENDIMIENTO. "/>
    <n v="0"/>
    <m/>
    <n v="0"/>
  </r>
  <r>
    <n v="185"/>
    <x v="0"/>
    <x v="1"/>
    <x v="5"/>
    <s v="DESARROLLO"/>
    <s v="CREAR EN LOS 2 PRIMEROS AÑOS EL BANCO DE SABERES Y TALENTOS DE PERSONAS ADULTAS MAYORES LIDERES EN LA TRANSMISIÓN DEL CONOCIMIENTO, HABILIDADES, EXPERIENCIA Y SABIDURÍA."/>
    <s v="BANCO DE SABERES Y TALENTOS CREADO"/>
    <s v="BANCO"/>
    <s v="I"/>
    <n v="0"/>
    <n v="1"/>
    <n v="1"/>
    <n v="0.16500000000000001"/>
    <n v="0"/>
    <n v="0"/>
    <n v="0"/>
    <n v="0"/>
    <n v="0"/>
    <n v="0"/>
    <n v="0"/>
    <n v="0"/>
    <n v="0"/>
    <n v="0"/>
    <n v="0"/>
    <n v="0"/>
    <n v="0"/>
    <n v="0"/>
    <n v="0"/>
    <n v="0"/>
    <n v="0"/>
    <n v="0"/>
    <n v="0"/>
    <n v="0"/>
    <n v="0"/>
    <n v="0"/>
    <n v="0"/>
    <n v="0"/>
    <n v="0"/>
    <n v="0"/>
    <n v="0"/>
    <n v="0"/>
    <n v="0"/>
    <n v="0"/>
    <n v="0"/>
    <n v="0"/>
    <n v="0"/>
    <n v="0"/>
    <n v="0"/>
    <n v="0"/>
    <n v="0"/>
    <n v="0"/>
    <n v="0"/>
    <n v="0"/>
    <n v="0"/>
    <n v="0"/>
    <n v="0"/>
    <n v="0"/>
    <n v="0"/>
    <n v="46200000"/>
    <n v="46200000"/>
    <n v="0"/>
    <n v="0"/>
    <n v="0"/>
    <n v="0"/>
    <n v="0"/>
    <n v="0"/>
    <n v="0"/>
    <n v="0"/>
    <n v="0"/>
    <n v="0.16500000000000001"/>
    <n v="1"/>
    <n v="1"/>
    <n v="1"/>
    <n v="1"/>
    <n v="1"/>
    <n v="1"/>
    <n v="100"/>
    <n v="100"/>
    <n v="0.16500000000000001"/>
    <n v="100"/>
    <n v="0.16500000000000001"/>
    <n v="0"/>
    <n v="0"/>
    <n v="0"/>
    <n v="0"/>
    <n v="0"/>
    <n v="0"/>
    <n v="0"/>
    <n v="0"/>
    <n v="0"/>
    <n v="0"/>
    <n v="0"/>
    <n v="0"/>
    <n v="0"/>
    <n v="0"/>
    <n v="0"/>
    <n v="0"/>
    <n v="0"/>
    <n v="0"/>
    <n v="0"/>
    <n v="0"/>
    <n v="0"/>
    <n v="0"/>
    <n v="0"/>
    <n v="0"/>
    <n v="0"/>
    <n v="0"/>
    <n v="0"/>
    <n v="0"/>
    <n v="0"/>
    <n v="1"/>
    <n v="0.16500000000000001"/>
    <n v="100"/>
    <n v="100"/>
    <n v="0.16500000000000001"/>
    <n v="0.16500000000000001"/>
    <n v="0.16500000000000001"/>
    <n v="1"/>
    <n v="0"/>
    <n v="179"/>
    <s v="POTENCIALIZAR HABILIDADES Y DESTREZAS EN EL 5% DE LAS PERSONAS ADULTAS MAYORES CON Y SIN DISCAPACIDAD COMO USUARIOS DE PROGRAMAS CULTURALES, RECREATIVOS Y LÚDICOS CADA AÑO"/>
    <m/>
    <s v=""/>
    <m/>
    <m/>
    <m/>
    <m/>
    <s v="CREACIÓN DEL “BANCO DE SABERES”, MEDIANTE LA IMPLEMENTACIÓN DE PROCESOS DE ACOMPAÑAMIENTO IDENTIFICANDO Y CARACTERIZANDO A LAS PERSONAS ADULTAS MAYORES CON SUS HABILIDADES Y TALENTOS EN 6 MUNICIPIOS (COTA, GIRARDOT, TIBIRITA, SOACHA, SAN JUAN DE RIOSECO Y UBAQUE)."/>
    <n v="0"/>
    <m/>
    <n v="0"/>
  </r>
  <r>
    <n v="186"/>
    <x v="0"/>
    <x v="1"/>
    <x v="5"/>
    <s v="DESARROLLO"/>
    <s v="CELEBRAR EN EL CUATRIENIO 6 ENCUENTROS DE ADULTAS Y ADULTOS MAYORES E INTERGENERACIONALES"/>
    <s v="NO. DE ENCUENTROS INTERGENERACIONALES CELEBRADOS"/>
    <s v="ENCUENTROS"/>
    <s v="I"/>
    <n v="0"/>
    <n v="6"/>
    <n v="6"/>
    <n v="8.8999999999999996E-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4.4499999999999998E-2"/>
    <n v="3"/>
    <n v="0.5"/>
    <n v="2"/>
    <n v="2"/>
    <n v="3"/>
    <n v="3"/>
    <n v="100"/>
    <n v="100"/>
    <n v="4.4500000000000005E-2"/>
    <n v="100"/>
    <n v="4.4500000000000005E-2"/>
    <n v="4.4499999999999998E-2"/>
    <n v="3"/>
    <n v="0.5"/>
    <n v="3"/>
    <n v="0"/>
    <n v="3"/>
    <n v="100"/>
    <n v="100"/>
    <n v="4.4500000000000005E-2"/>
    <n v="4.4500000000000005E-2"/>
    <n v="0"/>
    <n v="0"/>
    <n v="0"/>
    <n v="0"/>
    <n v="0"/>
    <n v="0"/>
    <n v="0"/>
    <n v="0"/>
    <n v="0"/>
    <n v="0"/>
    <n v="0"/>
    <n v="0"/>
    <n v="0"/>
    <n v="0"/>
    <n v="0"/>
    <n v="0"/>
    <n v="0"/>
    <n v="0"/>
    <n v="0"/>
    <n v="6"/>
    <n v="8.8999999999999996E-2"/>
    <n v="100"/>
    <n v="100"/>
    <n v="8.900000000000001E-2"/>
    <n v="8.8999999999999996E-2"/>
    <n v="8.8999999999999996E-2"/>
    <n v="1"/>
    <n v="0"/>
    <n v="179"/>
    <s v="POTENCIALIZAR HABILIDADES Y DESTREZAS EN EL 5% DE LAS PERSONAS ADULTAS MAYORES CON Y SIN DISCAPACIDAD COMO USUARIOS DE PROGRAMAS CULTURALES, RECREATIVOS Y LÚDICOS CADA AÑO"/>
    <m/>
    <s v=""/>
    <m/>
    <m/>
    <m/>
    <m/>
    <s v="SE LOGRÓ EL DESARROLLO DE TRES (3) ENCUENTROS INTERNACIONALES EN EL MUNICIPIO DE CHÍA. COMO HECHO SIGNIFICATIVO, SE LOGRÓ EL PRIMER PARQUE ACCESIBLE PARA PERSONAS CON DISCAPACIDAD. INSTALADO Y OPERANDO EN EL MUNICIPIO DE MADRID."/>
    <n v="1557000000"/>
    <m/>
    <n v="15"/>
  </r>
  <r>
    <n v="187"/>
    <x v="0"/>
    <x v="1"/>
    <x v="5"/>
    <s v="DESARROLLO"/>
    <s v="CONTRIBUÍR CON ESPACIOS DE INTEGRACIÓN PARA LOS ADULTOS MAYORES, FORTALECIENDO EN EL CUATRIENIO LA OPERACIÓN DE 160 LUDOTECAS CON AMBIENTE E IMPLEMENTOS ADECUADOS"/>
    <s v="NO. DE LUDOTECAS CON AMBIENTE Y DOTACIÓN ADECUADA PARA LOS ADULTOS MAYORES"/>
    <s v="LUDOTECAS"/>
    <s v="I"/>
    <n v="0"/>
    <n v="160"/>
    <n v="160"/>
    <n v="0.16500000000000001"/>
    <n v="0"/>
    <n v="0"/>
    <n v="0"/>
    <n v="0"/>
    <n v="0"/>
    <n v="0"/>
    <n v="0"/>
    <n v="0"/>
    <n v="0"/>
    <n v="200000000"/>
    <n v="100000000"/>
    <n v="0"/>
    <n v="0"/>
    <n v="0"/>
    <n v="0"/>
    <n v="0"/>
    <n v="100000000"/>
    <n v="0"/>
    <n v="0"/>
    <n v="0"/>
    <n v="0"/>
    <n v="0"/>
    <n v="0"/>
    <n v="0"/>
    <n v="0"/>
    <n v="0"/>
    <n v="0"/>
    <n v="0"/>
    <n v="5.3625000000000006E-2"/>
    <n v="52"/>
    <n v="0.32500000000000001"/>
    <n v="70"/>
    <n v="70"/>
    <n v="134.61538461538461"/>
    <n v="100"/>
    <n v="5.3625000000000006E-2"/>
    <n v="100"/>
    <n v="0"/>
    <n v="0"/>
    <n v="0"/>
    <n v="0"/>
    <n v="0"/>
    <n v="0"/>
    <n v="0"/>
    <n v="0"/>
    <n v="0"/>
    <n v="0"/>
    <n v="0"/>
    <n v="0"/>
    <n v="0"/>
    <n v="0"/>
    <n v="0"/>
    <n v="0"/>
    <n v="0"/>
    <n v="0"/>
    <n v="0"/>
    <n v="5.8781250000000007E-2"/>
    <n v="57"/>
    <n v="0.35625000000000001"/>
    <n v="0"/>
    <n v="0"/>
    <n v="0"/>
    <n v="0"/>
    <n v="0"/>
    <n v="0"/>
    <n v="0"/>
    <n v="0"/>
    <n v="0"/>
    <n v="5.2593750000000002E-2"/>
    <n v="51"/>
    <n v="0.31874999999999998"/>
    <n v="0"/>
    <n v="51"/>
    <n v="0"/>
    <n v="0"/>
    <n v="0"/>
    <n v="0"/>
    <n v="0"/>
    <n v="0"/>
    <n v="0"/>
    <n v="0"/>
    <n v="0"/>
    <n v="0"/>
    <n v="0"/>
    <n v="0"/>
    <n v="0"/>
    <n v="0"/>
    <n v="0"/>
    <n v="0"/>
    <n v="0"/>
    <n v="0"/>
    <n v="0"/>
    <n v="0"/>
    <n v="0"/>
    <n v="0"/>
    <n v="0"/>
    <n v="0"/>
    <n v="70"/>
    <n v="0.16500000000000001"/>
    <n v="43.75"/>
    <n v="43.75"/>
    <n v="7.2187500000000002E-2"/>
    <n v="7.2187500000000002E-2"/>
    <n v="7.2187500000000002E-2"/>
    <n v="1"/>
    <n v="0"/>
    <n v="179"/>
    <s v="POTENCIALIZAR HABILIDADES Y DESTREZAS EN EL 5% DE LAS PERSONAS ADULTAS MAYORES CON Y SIN DISCAPACIDAD COMO USUARIOS DE PROGRAMAS CULTURALES, RECREATIVOS Y LÚDICOS CADA AÑO"/>
    <m/>
    <s v=""/>
    <m/>
    <m/>
    <m/>
    <m/>
    <s v="FORTALECIMIENTO DE ESPACIOS DE PARTICIPACIÓN Y APRENDIZAJE CON DOTACIÓN A 70 LUDOTECAS EN EL MARCO DEL PROGRAMA RED DE LUDOTECAS EN 67 MUNICIPIOS, DE LAS CUALES 19 SE ENCUENTRAN A CARGO DE COLSUBSIDIO EN EL MARCO DEL CONVENIO DE COOPERACIÓN SUSCRITO. ENTRE 2014 Y PRIMER SEMESTRE DE 2015, SE HA BRINDADO ATENCIÓN A MÁS DE 15 MIL ADULTOS MAYORES."/>
    <n v="0"/>
    <m/>
    <n v="30"/>
  </r>
  <r>
    <n v="188"/>
    <x v="0"/>
    <x v="4"/>
    <x v="5"/>
    <s v="DESARROLLO"/>
    <s v="CONTRIBUÍR AL FORTALECIMIENTO SOCIAL Y A LA CALIDAD DE VIDA DE 18.000 ADULTAS Y ADULTOS MAYORES MEDIANTE LA PARTICIPACIÓN EN ENCUENTROS DEPORTIVOS AUTOCTONOS, OLIMPIADAS DEPARTAMENTALES &quot;VEJEZ DIVINO TESORO&quot;"/>
    <s v="NO. DE ADULTOS MAYORES QUE PARTICIPAN EN LAS OLIMPIADAS DEPARTAMENTALES &quot;VEJEZ DIVINO TESORO&quot;"/>
    <s v="PERSONAS"/>
    <s v="I"/>
    <n v="0"/>
    <n v="18000"/>
    <n v="18000"/>
    <n v="0.16500000000000001"/>
    <n v="0"/>
    <n v="0"/>
    <n v="0"/>
    <n v="0"/>
    <n v="0"/>
    <n v="0"/>
    <n v="0"/>
    <n v="0"/>
    <n v="0"/>
    <n v="85000000"/>
    <n v="85000000"/>
    <n v="0"/>
    <n v="0"/>
    <n v="0"/>
    <n v="0"/>
    <n v="0"/>
    <n v="0"/>
    <n v="85000000"/>
    <n v="85000000"/>
    <n v="0"/>
    <n v="0"/>
    <n v="0"/>
    <n v="0"/>
    <n v="0"/>
    <n v="0"/>
    <n v="0"/>
    <n v="0"/>
    <n v="0"/>
    <n v="5.5E-2"/>
    <n v="6000"/>
    <n v="0.33333333333333331"/>
    <n v="5693"/>
    <n v="5693"/>
    <n v="94.88333333333334"/>
    <n v="94.88333333333334"/>
    <n v="5.2185833333333341E-2"/>
    <n v="94.88333333333334"/>
    <n v="0"/>
    <n v="0"/>
    <n v="0"/>
    <n v="0"/>
    <n v="0"/>
    <n v="0"/>
    <n v="0"/>
    <n v="0"/>
    <n v="195722768"/>
    <n v="195722768"/>
    <n v="0"/>
    <n v="0"/>
    <n v="0"/>
    <n v="0"/>
    <n v="0"/>
    <n v="0"/>
    <n v="0"/>
    <n v="0"/>
    <n v="0"/>
    <n v="5.5E-2"/>
    <n v="6000"/>
    <n v="0.33333333333333331"/>
    <n v="6385"/>
    <n v="6385"/>
    <n v="6385"/>
    <n v="6385"/>
    <n v="106.41666666666667"/>
    <n v="100"/>
    <n v="5.5E-2"/>
    <n v="100"/>
    <n v="5.8529166666666674E-2"/>
    <n v="5.5E-2"/>
    <n v="6000"/>
    <n v="0.33333333333333331"/>
    <n v="8307"/>
    <n v="-2307"/>
    <n v="8307"/>
    <n v="138.44999999999999"/>
    <n v="100"/>
    <n v="5.5E-2"/>
    <n v="7.6147499999999993E-2"/>
    <n v="0"/>
    <n v="0"/>
    <n v="0"/>
    <n v="0"/>
    <n v="0"/>
    <n v="0"/>
    <n v="0"/>
    <n v="0"/>
    <n v="0"/>
    <n v="0"/>
    <n v="0"/>
    <n v="0"/>
    <n v="0"/>
    <n v="0"/>
    <n v="0"/>
    <n v="0"/>
    <n v="0"/>
    <n v="0"/>
    <n v="0"/>
    <n v="20385"/>
    <n v="0.16500000000000001"/>
    <n v="113.25"/>
    <n v="100"/>
    <n v="0.16500000000000001"/>
    <n v="0.16500000000000001"/>
    <n v="0.16500000000000001"/>
    <n v="1"/>
    <n v="0"/>
    <n v="179"/>
    <s v="POTENCIALIZAR HABILIDADES Y DESTREZAS EN EL 5% DE LAS PERSONAS ADULTAS MAYORES CON Y SIN DISCAPACIDAD COMO USUARIOS DE PROGRAMAS CULTURALES, RECREATIVOS Y LÚDICOS CADA AÑO"/>
    <m/>
    <s v=""/>
    <m/>
    <m/>
    <m/>
    <m/>
    <s v="SE LOGRO UN TRABAJO ARTICULADO EN LOS 116 MUNICIPIOS CON LOS ENLACES Y ENTES RESPONSABLES DE LA ATENCIÓN A LA PERSONA MAYOR, PARA LA REALIZACIÓN DE ACCIONES ARTICULADAS CON LA OFERTA INSTITUCIONAL DE INDEPORTES. SE CUMPLIÓ CON EL INDICADOR DEFINIDO PARA EL CUATRIENIO, CONTRIBUYENDO EN AL POBLACIÓN DE LA PERSONA MAYOR, A PERPETUAR FORMAS DE PARTICIPACIÓN ACTIVA EN LA COMUNIDAD, ENRIQUECIENDO EL APROVECHAMIENTO DEL OCIO Y SUMÁNDOLE CALIDAD DE VIDA A SUS AÑOS. "/>
    <n v="12000000"/>
    <m/>
    <n v="1"/>
  </r>
  <r>
    <n v="189"/>
    <x v="0"/>
    <x v="4"/>
    <x v="5"/>
    <s v="DESARROLLO"/>
    <s v="PROMOCIONAR EL PROYECTO DE ACTIVIDAD FÍSICA A 17.863 ADULTOS Y ADULTAS MAYORES PARA MEJORAR LOS ESTILOS DE VIDA SALUDABLE PARA LA COMUNIDAD DEL DEPARTAMENTO"/>
    <s v="NO. DE ADULTOS MAYORES BENEFICIARIOS DEL PROGRAMA DE ACTIVIDAD FÍSICA"/>
    <s v="PERSONAS"/>
    <s v="I"/>
    <n v="0"/>
    <n v="17863"/>
    <n v="17863"/>
    <n v="0.16500000000000001"/>
    <n v="4.1252309242568438E-2"/>
    <n v="4466"/>
    <n v="0.2500139954095057"/>
    <n v="5359"/>
    <n v="5359"/>
    <n v="119.99552171965965"/>
    <n v="100"/>
    <n v="4.1252309242568438E-2"/>
    <n v="100"/>
    <n v="76000000"/>
    <n v="13000000"/>
    <n v="0"/>
    <n v="0"/>
    <n v="0"/>
    <n v="0"/>
    <n v="0"/>
    <n v="63000000"/>
    <n v="76000000"/>
    <n v="13000000"/>
    <n v="0"/>
    <n v="63000000"/>
    <n v="0"/>
    <n v="0"/>
    <n v="0"/>
    <n v="0"/>
    <n v="0"/>
    <n v="0"/>
    <n v="0"/>
    <n v="4.1252309242568438E-2"/>
    <n v="4466"/>
    <n v="0.2500139954095057"/>
    <n v="4649"/>
    <n v="4649"/>
    <n v="104.09762651141962"/>
    <n v="100"/>
    <n v="4.1252309242568438E-2"/>
    <n v="100"/>
    <n v="0"/>
    <n v="0"/>
    <n v="0"/>
    <n v="0"/>
    <n v="0"/>
    <n v="0"/>
    <n v="0"/>
    <n v="0"/>
    <n v="104374451"/>
    <n v="104374451"/>
    <n v="0"/>
    <n v="0"/>
    <n v="0"/>
    <n v="0"/>
    <n v="0"/>
    <n v="0"/>
    <n v="0"/>
    <n v="0"/>
    <n v="0"/>
    <n v="4.1252309242568438E-2"/>
    <n v="4466"/>
    <n v="0.2500139954095057"/>
    <n v="4200"/>
    <n v="4200"/>
    <n v="4557"/>
    <n v="4557"/>
    <n v="102.03761755485894"/>
    <n v="100"/>
    <n v="4.1252309242568438E-2"/>
    <n v="100"/>
    <n v="4.2092873537479709E-2"/>
    <n v="4.1243072272294685E-2"/>
    <n v="4465"/>
    <n v="0.24995801377148294"/>
    <n v="4710"/>
    <n v="-245"/>
    <n v="4710"/>
    <n v="105.48712206047033"/>
    <n v="100"/>
    <n v="4.1243072272294692E-2"/>
    <n v="4.3506129989363485E-2"/>
    <n v="0"/>
    <n v="0"/>
    <n v="0"/>
    <n v="0"/>
    <n v="0"/>
    <n v="0"/>
    <n v="0"/>
    <n v="0"/>
    <n v="0"/>
    <n v="0"/>
    <n v="0"/>
    <n v="0"/>
    <n v="0"/>
    <n v="0"/>
    <n v="0"/>
    <n v="0"/>
    <n v="0"/>
    <n v="0"/>
    <n v="0"/>
    <n v="19275"/>
    <n v="0.16500000000000001"/>
    <n v="107.90460728880927"/>
    <n v="100"/>
    <n v="0.16500000000000001"/>
    <n v="0.16500000000000001"/>
    <n v="0.16500000000000001"/>
    <n v="1"/>
    <n v="0"/>
    <n v="179"/>
    <s v="POTENCIALIZAR HABILIDADES Y DESTREZAS EN EL 5% DE LAS PERSONAS ADULTAS MAYORES CON Y SIN DISCAPACIDAD COMO USUARIOS DE PROGRAMAS CULTURALES, RECREATIVOS Y LÚDICOS CADA AÑO"/>
    <m/>
    <s v=""/>
    <m/>
    <m/>
    <m/>
    <m/>
    <s v="SE CONFORMÓ EL GRUPO DE MONITORES DE LA ACTIVIDAD FÍSICA EN EL DEPARTAMENTO, SE ORIENTA EL PROGRAMA HACIA LA CREACIÓN Y FORMACIÓN DE SEMILLEROS EN 22 MUNICIPIOS DEL MILENIO PARA ASEGURAR SU PERMANENCIA Y CONSTANTE BENEFICIO A LA POBLACIÓN CUNDINAMARQUESA. SE CUMPLIÓ CON EL INDICADOR DEFINIDO EN EL CUATRIENIO, CONTRIBUYENDO A LA DISMINUCIÓN DE LOS ÍNDICES DE ENFERMEDADES CRÓNICAS DEGENERATIVAS, Y AJUSTANDO LAS CARACTERÍSTICAS DE LAS ACTIVIDADES A LAS PREFERENCIAS Y NECESIDADES DE LOS DISTINTOS CICLOS DE VIDA DE LA POBLACIÓN DEL DEPARTAMENTO."/>
    <n v="30000000"/>
    <m/>
    <n v="25"/>
  </r>
  <r>
    <n v="190"/>
    <x v="0"/>
    <x v="5"/>
    <x v="5"/>
    <s v="DESARROLLO"/>
    <s v="APOYAR EL PROCESO FORMATIVO DE LAS Y LOS ADULTOS MAYORES CON EL FORTALECIMIENTO DE 100 BIBLIOTECAS PÚBLICAS MUNICIPALES EN EL CUATRIENIO"/>
    <s v="NO. DE BILIOTECAS APOYADAS PARA LA ATENCIÓN DE ADULTOS MAYORES"/>
    <s v="BIBLIOTECAS"/>
    <s v="I"/>
    <n v="92"/>
    <n v="192"/>
    <n v="100"/>
    <n v="0.16500000000000001"/>
    <n v="4.1250000000000002E-2"/>
    <n v="25"/>
    <n v="0.25"/>
    <n v="47"/>
    <n v="47"/>
    <n v="188"/>
    <n v="100"/>
    <n v="4.1250000000000002E-2"/>
    <n v="100"/>
    <n v="54000000"/>
    <n v="54000000"/>
    <n v="0"/>
    <n v="0"/>
    <n v="0"/>
    <n v="0"/>
    <n v="0"/>
    <n v="0"/>
    <n v="0"/>
    <n v="0"/>
    <n v="0"/>
    <n v="0"/>
    <n v="0"/>
    <n v="0"/>
    <n v="0"/>
    <n v="0"/>
    <n v="0"/>
    <n v="18182000"/>
    <s v="MINISTERIO DE CULTURA"/>
    <n v="4.1250000000000002E-2"/>
    <n v="25"/>
    <n v="0.25"/>
    <n v="84"/>
    <n v="84"/>
    <n v="336"/>
    <n v="100"/>
    <n v="4.1250000000000002E-2"/>
    <n v="100"/>
    <n v="0"/>
    <n v="0"/>
    <n v="0"/>
    <n v="0"/>
    <n v="0"/>
    <n v="0"/>
    <n v="0"/>
    <n v="0"/>
    <n v="39475000"/>
    <n v="39475000"/>
    <n v="0"/>
    <n v="0"/>
    <n v="0"/>
    <n v="0"/>
    <n v="0"/>
    <n v="0"/>
    <n v="0"/>
    <n v="0"/>
    <n v="0"/>
    <n v="4.1250000000000002E-2"/>
    <n v="25"/>
    <n v="0.25"/>
    <n v="100"/>
    <n v="215"/>
    <n v="120"/>
    <n v="120"/>
    <n v="480"/>
    <n v="100"/>
    <n v="4.1250000000000002E-2"/>
    <n v="100"/>
    <n v="0.19800000000000001"/>
    <n v="4.1250000000000002E-2"/>
    <n v="25"/>
    <n v="0.25"/>
    <n v="143"/>
    <n v="-118"/>
    <n v="143"/>
    <n v="572"/>
    <n v="100"/>
    <n v="4.1250000000000002E-2"/>
    <n v="0.23595000000000002"/>
    <n v="0"/>
    <n v="0"/>
    <n v="0"/>
    <n v="0"/>
    <n v="0"/>
    <n v="0"/>
    <n v="0"/>
    <n v="0"/>
    <n v="0"/>
    <n v="0"/>
    <n v="0"/>
    <n v="0"/>
    <n v="0"/>
    <n v="0"/>
    <n v="0"/>
    <n v="0"/>
    <n v="0"/>
    <n v="0"/>
    <n v="0"/>
    <n v="394"/>
    <n v="0.16500000000000001"/>
    <n v="394"/>
    <n v="100"/>
    <n v="0.16500000000000001"/>
    <n v="0.16500000000000001"/>
    <n v="0.16500000000000001"/>
    <n v="1"/>
    <n v="0"/>
    <n v="179"/>
    <s v="POTENCIALIZAR HABILIDADES Y DESTREZAS EN EL 5% DE LAS PERSONAS ADULTAS MAYORES CON Y SIN DISCAPACIDAD COMO USUARIOS DE PROGRAMAS CULTURALES, RECREATIVOS Y LÚDICOS CADA AÑO"/>
    <m/>
    <s v=""/>
    <m/>
    <m/>
    <m/>
    <m/>
    <s v="A TRAVÉS DE GESTIÓN POR PARTE DEL IDECUT CON EL MINISTERIO DE CULTURA Y CON FINANCIACIÓN DEL IDECUT DE SE HA LOGRADO LLEGAR AL 100% DE LAS BIBLIOTECAS PÚBLICAS MUNICIPALES, SE HAN BENFICIADO CON DOTACIÓN DE CONECTIVIDAD 38 BIBLIOTECAS PÚBLICAS DE 38 MUNICIPIOS, 140 BIBLIOTECAS CON DOTACIÓN DE UN KIT CONFORMADO POR UN VIDEO PROYECTOR, UN TELÓN DE TRIPODE Y UNA IMPRESORA PARA LA ELABORACIÓN DE LOS CARNETS DE LOS USUARIOS, IMPLEMENTACIÓN DEL SISTEMA LLAVE DEL SABER PARA 111 MUNICIPIOS Y REALIZACIÓN DE ENCUENTROS REGIONALES Y DEPARTAMENTALES DE BIBLIOTECARIOS. ADICIONALMENTE, DURANTE EL 2015 SE HA PUESTO EN MARCHA LA ESTRATEGIA DE PROMOTORES REGIONALES CUYA MISIÓN HA SIDO ACOMPAÑAR Y BRINDAR ASISTENCIA TÉCNICA INSITU INSCRITOS A LA RED DE BIBLIOTECAS PÚBLICAS."/>
    <n v="995000000"/>
    <m/>
    <n v="52"/>
  </r>
  <r>
    <n v="191"/>
    <x v="0"/>
    <x v="5"/>
    <x v="5"/>
    <s v="DESARROLLO"/>
    <s v="APOYAR EL DESARROLLO INTEGRAL A TRAVÉS DE PROCESOS DE FORMACIÓN ARTÍSTICA Y CULTURAL DE LAS Y LOS ADULTOS MAYORES EN 5 MUNICIPIOS ANUALMENTE"/>
    <s v="MUNICIPIOS APOYADOS ANUALMENTE CON PROCESOS DE FORMACIÓN ARTÍSTICA Y CULTURAL PARA ADULTOS MAYORES"/>
    <s v="MUNICIPIOS"/>
    <s v="M"/>
    <n v="3"/>
    <n v="5"/>
    <n v="5"/>
    <n v="0.16500000000000001"/>
    <n v="4.1250000000000002E-2"/>
    <n v="5"/>
    <n v="0.25"/>
    <n v="5"/>
    <n v="1.25"/>
    <n v="100"/>
    <n v="100"/>
    <n v="4.1250000000000002E-2"/>
    <n v="100"/>
    <n v="18000000"/>
    <n v="18000000"/>
    <n v="0"/>
    <n v="0"/>
    <n v="0"/>
    <n v="0"/>
    <n v="0"/>
    <n v="0"/>
    <n v="65500000"/>
    <n v="65500000"/>
    <n v="0"/>
    <n v="0"/>
    <n v="0"/>
    <n v="0"/>
    <n v="0"/>
    <n v="0"/>
    <n v="0"/>
    <n v="10850000"/>
    <s v="MUNICIPIOS"/>
    <n v="4.1250000000000002E-2"/>
    <n v="5"/>
    <n v="0.25"/>
    <n v="10"/>
    <n v="2.5"/>
    <n v="200"/>
    <n v="100"/>
    <n v="4.1250000000000002E-2"/>
    <n v="100"/>
    <n v="0"/>
    <n v="0"/>
    <n v="0"/>
    <n v="0"/>
    <n v="0"/>
    <n v="0"/>
    <n v="0"/>
    <n v="0"/>
    <n v="127812000"/>
    <n v="127812000"/>
    <n v="0"/>
    <n v="0"/>
    <n v="0"/>
    <n v="0"/>
    <n v="0"/>
    <n v="0"/>
    <n v="0"/>
    <n v="0"/>
    <n v="0"/>
    <n v="4.1250000000000002E-2"/>
    <n v="5"/>
    <n v="0.25"/>
    <n v="5"/>
    <n v="5"/>
    <n v="5"/>
    <n v="1.25"/>
    <n v="100"/>
    <n v="100"/>
    <n v="4.1250000000000002E-2"/>
    <n v="100"/>
    <n v="4.1250000000000002E-2"/>
    <n v="4.1250000000000002E-2"/>
    <n v="5"/>
    <n v="0.25"/>
    <n v="8"/>
    <n v="-3"/>
    <n v="2"/>
    <n v="160"/>
    <n v="100"/>
    <n v="4.1250000000000002E-2"/>
    <n v="6.6000000000000003E-2"/>
    <n v="0"/>
    <n v="0"/>
    <n v="0"/>
    <n v="0"/>
    <n v="0"/>
    <n v="0"/>
    <n v="0"/>
    <n v="0"/>
    <n v="0"/>
    <n v="0"/>
    <n v="0"/>
    <n v="0"/>
    <n v="0"/>
    <n v="0"/>
    <n v="0"/>
    <n v="0"/>
    <n v="0"/>
    <n v="0"/>
    <n v="0"/>
    <n v="7"/>
    <n v="0.16500000000000001"/>
    <n v="140"/>
    <n v="100"/>
    <n v="0.16500000000000001"/>
    <n v="0.16500000000000001"/>
    <n v="0.16500000000000001"/>
    <n v="1"/>
    <n v="0"/>
    <n v="179"/>
    <s v="POTENCIALIZAR HABILIDADES Y DESTREZAS EN EL 5% DE LAS PERSONAS ADULTAS MAYORES CON Y SIN DISCAPACIDAD COMO USUARIOS DE PROGRAMAS CULTURALES, RECREATIVOS Y LÚDICOS CADA AÑO"/>
    <m/>
    <s v=""/>
    <m/>
    <m/>
    <m/>
    <m/>
    <s v="A 2015 SE HAN APOYADO CON EL 50% Y 100% DE LOS HONORARIOS DE DOS FORMADORES PARA LAS ESCUELAS DE FORMACIÓN ARTÍSTICA Y CULTURAL EN DIFERENTES DISCIPLINAS DENTRO DE LAS QUE SE ENCUENTRAN DANZAS, TEATRO, ARTES PLÁTICAS, LITERATURA, MÚSICA, CINEMATOGRAFÍA, ENTRE OTRAS, TRADUCIDOS EN 30 PROCESOS DE FORMACIÓN, LO QUE CONLLEVA A PROMOVER EL APROVECHAMIENTO DEL TIEMPO LIBRE Y EL DESARROLLO DE DESTREZAS Y HABILIDADES ARTÍSTICAS DE ESTE GRUPO POBLACIONAL."/>
    <n v="249000000"/>
    <m/>
    <n v="32"/>
  </r>
  <r>
    <n v="192"/>
    <x v="0"/>
    <x v="3"/>
    <x v="5"/>
    <s v="DESARROLLO"/>
    <s v="GARANTIZAR ANUALMENTE EL PAGO DEL 100% DE LA NÓMINA DE PENSIONADOS Y SUSTITUTOS DEL MAGISTERIO DEL DEPARTAMENTO DE CUNDINAMARCA"/>
    <s v="% DE PAGO DE NÓMINA DE PENSIONADOS Y SUSTITUTOS DEL MAGISTERIO"/>
    <s v="PORCENTAJE"/>
    <s v="M"/>
    <n v="100"/>
    <n v="100"/>
    <n v="100"/>
    <n v="0.16500000000000001"/>
    <n v="4.1250000000000002E-2"/>
    <n v="100"/>
    <n v="0.25"/>
    <n v="100"/>
    <n v="25"/>
    <n v="100"/>
    <n v="100"/>
    <n v="4.1250000000000002E-2"/>
    <n v="100"/>
    <n v="48502000000"/>
    <n v="0"/>
    <n v="48502000000"/>
    <n v="0"/>
    <n v="0"/>
    <n v="0"/>
    <n v="0"/>
    <n v="0"/>
    <n v="38164620000"/>
    <n v="0"/>
    <n v="38164620000"/>
    <n v="0"/>
    <n v="0"/>
    <n v="0"/>
    <n v="0"/>
    <n v="0"/>
    <n v="0"/>
    <n v="0"/>
    <n v="0"/>
    <n v="4.1250000000000002E-2"/>
    <n v="100"/>
    <n v="0.25"/>
    <n v="100"/>
    <n v="25"/>
    <n v="100"/>
    <n v="100"/>
    <n v="4.1250000000000002E-2"/>
    <n v="100"/>
    <n v="0"/>
    <n v="0"/>
    <n v="0"/>
    <n v="0"/>
    <n v="0"/>
    <n v="0"/>
    <n v="0"/>
    <n v="0"/>
    <n v="38649085797"/>
    <n v="0"/>
    <n v="38649085797"/>
    <n v="0"/>
    <n v="0"/>
    <n v="0"/>
    <n v="0"/>
    <n v="0"/>
    <n v="0"/>
    <n v="0"/>
    <n v="0"/>
    <n v="4.1250000000000002E-2"/>
    <n v="100"/>
    <n v="0.25"/>
    <n v="100"/>
    <n v="100"/>
    <n v="100"/>
    <n v="25"/>
    <n v="100"/>
    <n v="100"/>
    <n v="4.1250000000000002E-2"/>
    <n v="100"/>
    <n v="4.1250000000000002E-2"/>
    <n v="4.1250000000000002E-2"/>
    <n v="100"/>
    <n v="0.25"/>
    <n v="100"/>
    <n v="0"/>
    <n v="25"/>
    <n v="100"/>
    <n v="100"/>
    <n v="4.1250000000000002E-2"/>
    <n v="4.1250000000000002E-2"/>
    <n v="0"/>
    <n v="0"/>
    <n v="0"/>
    <n v="0"/>
    <n v="0"/>
    <n v="0"/>
    <n v="0"/>
    <n v="0"/>
    <n v="0"/>
    <n v="0"/>
    <n v="0"/>
    <n v="0"/>
    <n v="0"/>
    <n v="0"/>
    <n v="0"/>
    <n v="0"/>
    <n v="0"/>
    <n v="0"/>
    <n v="0"/>
    <n v="100"/>
    <n v="0.16500000000000001"/>
    <n v="100"/>
    <n v="100"/>
    <n v="0.16500000000000001"/>
    <n v="0.16500000000000001"/>
    <n v="0.16500000000000001"/>
    <n v="1"/>
    <n v="0"/>
    <n v="77"/>
    <s v="MEJORAR EN EL CUATRIENIO LOS PROCESOS EDUCATIVOS, FORMATIVOS, PEDAGÓGICOS E INSTITUCIONALES DEL 100% DE LAS INSTITUCIONES EDUCATIVAS DE LOS MUNICIPIOS NO CERTIFICADOS"/>
    <m/>
    <s v=""/>
    <m/>
    <m/>
    <m/>
    <m/>
    <s v="DURANTE EL CUATRIENIO SE HA DADO CUMPLIMIENTO CON EL TRÁMITE OPORTUNO PARA GARANTIZAR EL PAGO DEL 100% DE NÓMINA DE PENSIONADOS Y SUSTITUTOS DEL MAGISTERIO, SENTENCIAS Y AUXILIOS FUNERARIOS."/>
    <n v="54000000"/>
    <m/>
    <n v="0"/>
  </r>
  <r>
    <n v="193"/>
    <x v="0"/>
    <x v="1"/>
    <x v="5"/>
    <s v="DESARROLLO"/>
    <s v="TRES ESPACIOS Y/O DINAMICAS DE PARTICIPACIÒN PROMUEVEN CIUDADADANIA EN LOS Y LAS ADULLTAS MAYORES (CONSEJO DE POLITICA SOCIAL, COMITÉ DE ADULTO MAYOR, ENTRE OTROS)"/>
    <s v="NO. DE ESPACIOS Y/O DINAMICAS QUE FORTALECEN EL DERECHO A LA PARTICIPACIÓN EN LOS Y LAS ADULTAS MAYORES"/>
    <s v="ESPACIOS"/>
    <s v="I"/>
    <n v="0"/>
    <n v="3"/>
    <n v="3"/>
    <n v="8.8999999999999996E-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5.9333333333333328E-2"/>
    <n v="2"/>
    <n v="0.66666666666666663"/>
    <n v="1"/>
    <n v="1"/>
    <n v="5"/>
    <n v="5"/>
    <n v="250"/>
    <n v="100"/>
    <n v="5.9333333333333328E-2"/>
    <n v="100"/>
    <n v="0.14833333333333332"/>
    <n v="2.9666666666666664E-2"/>
    <n v="1"/>
    <n v="0.33333333333333331"/>
    <n v="1"/>
    <n v="0"/>
    <n v="1"/>
    <n v="100"/>
    <n v="100"/>
    <n v="2.9666666666666664E-2"/>
    <n v="2.9666666666666664E-2"/>
    <n v="0"/>
    <n v="0"/>
    <n v="0"/>
    <n v="0"/>
    <n v="0"/>
    <n v="0"/>
    <n v="0"/>
    <n v="0"/>
    <n v="0"/>
    <n v="0"/>
    <n v="0"/>
    <n v="0"/>
    <n v="0"/>
    <n v="0"/>
    <n v="0"/>
    <n v="0"/>
    <n v="0"/>
    <n v="0"/>
    <n v="0"/>
    <n v="6"/>
    <n v="8.8999999999999996E-2"/>
    <n v="200"/>
    <n v="100"/>
    <n v="8.900000000000001E-2"/>
    <n v="8.8999999999999996E-2"/>
    <n v="8.8999999999999996E-2"/>
    <n v="1"/>
    <n v="0"/>
    <n v="179"/>
    <s v="POTENCIALIZAR HABILIDADES Y DESTREZAS EN EL 5% DE LAS PERSONAS ADULTAS MAYORES CON Y SIN DISCAPACIDAD COMO USUARIOS DE PROGRAMAS CULTURALES, RECREATIVOS Y LÚDICOS CADA AÑO"/>
    <m/>
    <s v=""/>
    <m/>
    <m/>
    <m/>
    <m/>
    <s v="FORTALECIMIENTO A LOS CONSEJOS MUNICIPALES DE ADULTO MAYOR EN 5 MUNICIPIOS (TAUSA, TABIO, LENGUAZAQUE, TENJO, Y NEMOCÓN) COMO ESPACIOS DE PARTICIPACIÓN. 210 ADULTOS MAYORES PARTICIPARON DEL PROCESO. EN 2015 SE REALIZÓ ASISTENCIA TÉCNICA A LOS MUNICIPIOS."/>
    <n v="1076000000"/>
    <m/>
    <n v="1"/>
  </r>
  <r>
    <n v="194"/>
    <x v="0"/>
    <x v="1"/>
    <x v="5"/>
    <s v="CIUDADANIA"/>
    <s v="PROMOVER LA EXPEDICIÓN Y RENOVACIÓN DE DOCUMENTOS DE IDENTIDAD DE LAS Y LOS ADULTOS MAYORES QUE LO DEMANDEN, CON PRIORIDAD EN LA POBLACIÓN DE LA RED UNIDOS Y/O VULNERABLES"/>
    <s v="% DE ADULTOS MAYORES BENEFICIADOS CON EXPEDICIÓN Y/O ACTUALIZACIÓN DE DOCUMENTOS DE IDENTIDAD"/>
    <s v="PORCENTAJE DE PERSONAS"/>
    <s v="M"/>
    <n v="0"/>
    <n v="100"/>
    <n v="100"/>
    <n v="0.16500000000000001"/>
    <n v="4.1250000000000002E-2"/>
    <n v="100"/>
    <n v="0.25"/>
    <n v="100"/>
    <n v="25"/>
    <n v="100"/>
    <n v="100"/>
    <n v="4.1250000000000002E-2"/>
    <n v="100"/>
    <n v="0"/>
    <n v="0"/>
    <n v="0"/>
    <n v="0"/>
    <n v="0"/>
    <n v="0"/>
    <n v="0"/>
    <n v="0"/>
    <n v="0"/>
    <n v="0"/>
    <n v="0"/>
    <n v="0"/>
    <n v="0"/>
    <n v="0"/>
    <n v="0"/>
    <n v="0"/>
    <n v="0"/>
    <n v="0"/>
    <n v="0"/>
    <n v="4.1250000000000002E-2"/>
    <n v="100"/>
    <n v="0.25"/>
    <n v="100"/>
    <n v="25"/>
    <n v="100"/>
    <n v="100"/>
    <n v="4.1250000000000002E-2"/>
    <n v="100"/>
    <n v="0"/>
    <n v="0"/>
    <n v="0"/>
    <n v="0"/>
    <n v="0"/>
    <n v="0"/>
    <n v="0"/>
    <n v="0"/>
    <n v="0"/>
    <n v="0"/>
    <n v="0"/>
    <n v="0"/>
    <n v="0"/>
    <n v="0"/>
    <n v="0"/>
    <n v="0"/>
    <n v="0"/>
    <n v="0"/>
    <n v="0"/>
    <n v="4.1250000000000002E-2"/>
    <n v="100"/>
    <n v="0.25"/>
    <n v="0"/>
    <n v="0"/>
    <n v="100"/>
    <n v="25"/>
    <n v="100"/>
    <n v="100"/>
    <n v="4.1250000000000002E-2"/>
    <n v="100"/>
    <n v="4.1250000000000002E-2"/>
    <n v="4.1250000000000002E-2"/>
    <n v="100"/>
    <n v="0.25"/>
    <n v="0"/>
    <n v="100"/>
    <n v="0"/>
    <n v="0"/>
    <n v="0"/>
    <n v="0"/>
    <n v="0"/>
    <n v="0"/>
    <n v="0"/>
    <n v="0"/>
    <n v="0"/>
    <n v="0"/>
    <n v="0"/>
    <n v="0"/>
    <n v="0"/>
    <n v="0"/>
    <n v="0"/>
    <n v="0"/>
    <n v="0"/>
    <n v="0"/>
    <n v="0"/>
    <n v="0"/>
    <n v="0"/>
    <n v="0"/>
    <n v="0"/>
    <n v="0"/>
    <n v="75"/>
    <n v="0.16500000000000001"/>
    <n v="75"/>
    <n v="75"/>
    <n v="0.12375"/>
    <n v="0.12375"/>
    <n v="0.12375"/>
    <n v="1"/>
    <n v="0"/>
    <n v="179"/>
    <s v="POTENCIALIZAR HABILIDADES Y DESTREZAS EN EL 5% DE LAS PERSONAS ADULTAS MAYORES CON Y SIN DISCAPACIDAD COMO USUARIOS DE PROGRAMAS CULTURALES, RECREATIVOS Y LÚDICOS CADA AÑO"/>
    <m/>
    <s v=""/>
    <m/>
    <m/>
    <m/>
    <m/>
    <s v="EN ALIANZA CON LA REGISTRADURÍA Y LA RED UNIDOS, SE DESARROLLARON CAMPAÑAS DE IDENTIFICACIÓN A POBLACIÓN VULNERABLE EN LOS MUNICIPIOS DE FUSAGASUGÁ Y SOACHA, ATENDIENDO AL 100% DE LA POBLACIÓN QUE DEMANDÓ LOS SERVICIOS."/>
    <n v="275000000"/>
    <m/>
    <n v="0"/>
  </r>
  <r>
    <n v="195"/>
    <x v="0"/>
    <x v="6"/>
    <x v="5"/>
    <s v="PROTECCION"/>
    <s v="PROTEGER INTEGRALMENTE A 630 ADULTAS Y ADULTOS MAYORES CADA AÑO EN LOS CENTROS DE PROTECCIÓN DE LA BENEFICENCIA DE CUNDINAMARCA"/>
    <s v="NO. DE PERSONAS MAYORES ATENDIDOS CADA AÑO EN LOS CENTROS DE LA BENEFICENCIA"/>
    <s v="PERSONAS"/>
    <s v="M"/>
    <n v="597"/>
    <n v="630"/>
    <n v="630"/>
    <n v="0.16500000000000001"/>
    <n v="4.1250000000000002E-2"/>
    <n v="630"/>
    <n v="0.25"/>
    <n v="763"/>
    <n v="190.75"/>
    <n v="121.11111111111111"/>
    <n v="100"/>
    <n v="4.1250000000000002E-2"/>
    <n v="100"/>
    <n v="7456000000"/>
    <n v="7456000000"/>
    <n v="0"/>
    <n v="0"/>
    <n v="0"/>
    <n v="0"/>
    <n v="0"/>
    <n v="0"/>
    <n v="7417842000"/>
    <n v="7417842000"/>
    <n v="0"/>
    <n v="0"/>
    <n v="0"/>
    <n v="0"/>
    <n v="0"/>
    <n v="0"/>
    <n v="0"/>
    <n v="0"/>
    <n v="0"/>
    <n v="4.1250000000000002E-2"/>
    <n v="630"/>
    <n v="0.25"/>
    <n v="782"/>
    <n v="195.5"/>
    <n v="124.12698412698413"/>
    <n v="100"/>
    <n v="4.1250000000000002E-2"/>
    <n v="100"/>
    <n v="0"/>
    <n v="0"/>
    <n v="0"/>
    <n v="0"/>
    <n v="0"/>
    <n v="0"/>
    <n v="0"/>
    <n v="0"/>
    <n v="6972008178"/>
    <n v="6972008178"/>
    <n v="0"/>
    <n v="0"/>
    <n v="0"/>
    <n v="0"/>
    <n v="0"/>
    <n v="0"/>
    <n v="0"/>
    <n v="0"/>
    <n v="0"/>
    <n v="4.1250000000000002E-2"/>
    <n v="630"/>
    <n v="0.25"/>
    <n v="726"/>
    <n v="734"/>
    <n v="772"/>
    <n v="193"/>
    <n v="122.53968253968254"/>
    <n v="100"/>
    <n v="4.1250000000000002E-2"/>
    <n v="100"/>
    <n v="5.0547619047619056E-2"/>
    <n v="4.1250000000000002E-2"/>
    <n v="630"/>
    <n v="0.25"/>
    <n v="1477"/>
    <n v="-847"/>
    <n v="369.25"/>
    <n v="234.44444444444446"/>
    <n v="100"/>
    <n v="4.1250000000000002E-2"/>
    <n v="9.6708333333333341E-2"/>
    <n v="0"/>
    <n v="0"/>
    <n v="0"/>
    <n v="0"/>
    <n v="0"/>
    <n v="0"/>
    <n v="0"/>
    <n v="0"/>
    <n v="0"/>
    <n v="0"/>
    <n v="0"/>
    <n v="0"/>
    <n v="0"/>
    <n v="0"/>
    <n v="0"/>
    <n v="0"/>
    <n v="0"/>
    <n v="0"/>
    <n v="0"/>
    <n v="948.5"/>
    <n v="0.16500000000000001"/>
    <n v="150.55555555555554"/>
    <n v="100"/>
    <n v="0.16500000000000001"/>
    <n v="0.16500000000000001"/>
    <n v="0.16500000000000001"/>
    <n v="1"/>
    <n v="0"/>
    <n v="179"/>
    <s v="POTENCIALIZAR HABILIDADES Y DESTREZAS EN EL 5% DE LAS PERSONAS ADULTAS MAYORES CON Y SIN DISCAPACIDAD COMO USUARIOS DE PROGRAMAS CULTURALES, RECREATIVOS Y LÚDICOS CADA AÑO"/>
    <m/>
    <s v=""/>
    <m/>
    <m/>
    <m/>
    <m/>
    <s v="348 MUJERES Y 434 HOMBRES MAYORES DE 60 AÑOS PROTEGIDOS CON ALOJAMIENTO, ALIMENTACIÓN, RECREACIÓN BUEN USO DEL TIEMPO LIBRE, DESARROLLO DE PROYECTOS OCUPACIONALES, SERVICIOS PROFESIONALES ESPECIALIZADOS: TRABAJO SOCIAL, PSICOLOGÍA, GERONTOLOGÍA, NUTRICIÓN, DOTACIÓN INDIVIDUAL DE VESTUARIO Y ASEO, ACCESO A SERVICIOS DE SALUD Y SERVICIOS FUNERARIOS PARA PERSONAS SIN FAMILIA."/>
    <n v="491000000"/>
    <m/>
    <n v="95"/>
  </r>
  <r>
    <n v="196"/>
    <x v="0"/>
    <x v="2"/>
    <x v="5"/>
    <s v="PROTECCION"/>
    <s v="GARANTIZAR LA ATENCIÓN INTEGRAL AL 100% DE LAS Y LOS ADULTOS MAYORES VÍCTIMAS Y POSIBLES VÍCTIMAS DE TRATA DE PERSONAS QUE LO DEMANDEN"/>
    <s v="% DE ADULTOS MAYORES VÍCTIMAS Y POSIBLES VÍCTIMAS DE TRATA DE PERSONAS CON ATENCIÓN INTEGRAL"/>
    <s v="PORCENTAJE DE PERSONAS"/>
    <s v="M"/>
    <n v="0"/>
    <n v="100"/>
    <n v="100"/>
    <n v="0.16500000000000001"/>
    <n v="4.1250000000000002E-2"/>
    <n v="100"/>
    <n v="0.25"/>
    <n v="100"/>
    <n v="25"/>
    <n v="100"/>
    <n v="100"/>
    <n v="4.1250000000000002E-2"/>
    <n v="100"/>
    <n v="0"/>
    <n v="0"/>
    <n v="0"/>
    <n v="0"/>
    <n v="0"/>
    <n v="0"/>
    <n v="0"/>
    <n v="0"/>
    <n v="0"/>
    <n v="0"/>
    <n v="0"/>
    <n v="0"/>
    <n v="0"/>
    <n v="0"/>
    <n v="0"/>
    <n v="0"/>
    <n v="0"/>
    <n v="0"/>
    <n v="0"/>
    <n v="4.1250000000000002E-2"/>
    <n v="100"/>
    <n v="0.25"/>
    <n v="100"/>
    <n v="25"/>
    <n v="100"/>
    <n v="100"/>
    <n v="4.1250000000000002E-2"/>
    <n v="100"/>
    <n v="0"/>
    <n v="0"/>
    <n v="0"/>
    <n v="0"/>
    <n v="0"/>
    <n v="0"/>
    <n v="0"/>
    <n v="0"/>
    <n v="0"/>
    <n v="0"/>
    <n v="0"/>
    <n v="0"/>
    <n v="0"/>
    <n v="0"/>
    <n v="0"/>
    <n v="0"/>
    <n v="0"/>
    <n v="0"/>
    <n v="0"/>
    <n v="4.1250000000000002E-2"/>
    <n v="100"/>
    <n v="0.25"/>
    <n v="116"/>
    <n v="100"/>
    <n v="100"/>
    <n v="25"/>
    <n v="100"/>
    <n v="100"/>
    <n v="4.1250000000000002E-2"/>
    <n v="100"/>
    <n v="4.1250000000000002E-2"/>
    <n v="4.1250000000000002E-2"/>
    <n v="100"/>
    <n v="0.25"/>
    <n v="100"/>
    <n v="0"/>
    <n v="25"/>
    <n v="100"/>
    <n v="100"/>
    <n v="4.1250000000000002E-2"/>
    <n v="4.1250000000000002E-2"/>
    <n v="0"/>
    <n v="0"/>
    <n v="0"/>
    <n v="0"/>
    <n v="0"/>
    <n v="0"/>
    <n v="0"/>
    <n v="0"/>
    <n v="0"/>
    <n v="0"/>
    <n v="0"/>
    <n v="0"/>
    <n v="0"/>
    <n v="0"/>
    <n v="0"/>
    <n v="0"/>
    <n v="0"/>
    <n v="0"/>
    <n v="0"/>
    <n v="100"/>
    <n v="0.16500000000000001"/>
    <n v="100"/>
    <n v="100"/>
    <n v="0.16500000000000001"/>
    <n v="0.16500000000000001"/>
    <n v="0.16500000000000001"/>
    <n v="1"/>
    <n v="0"/>
    <n v="177"/>
    <s v="REDUCIR EN EL CUATRIENIO EN MÍNIMO 10% LAS MUERTES POR HOMICIDIO EN ADULTOS MAYORES"/>
    <m/>
    <s v=""/>
    <m/>
    <m/>
    <m/>
    <m/>
    <s v="EN EL MES DE JULIO SE DISEÑO LA RUTA DE ATENCION Y PROTECCION DE CUNDINAMARCA A VICTIMAS Y POSIBLE VICTIMAS DE LA TRATA DE PERSONAS INCLUYENDO DE MANERA ESPECIFICA LOS ADULTOS MAYORES. ADICIONALMENTE SE REALIZO LA CAPACITACION EN LEY 985/05. A LOS PERSONEROS Y SECRETARIOS DE GOBIERNO DE LOS 116 MUNICIPIOS EL 2 DE SEPTIEMBRE DE 2013."/>
    <n v="0"/>
    <m/>
    <n v="626"/>
  </r>
  <r>
    <n v="197"/>
    <x v="0"/>
    <x v="1"/>
    <x v="5"/>
    <s v="PROTECCION"/>
    <s v="IMPLEMENTAR EN EL CUATRIENIO EN 35 MUNICIPIOS EL PROGRAMA DE CUIDADORES DE PERSONAS ADULTAS MAYORES"/>
    <s v="NO. DE MUNICIPIOS CON PROGRAMA DE CUIDADORES DE PERSONAS ADULTAS MAYORES"/>
    <s v="MUNICIPIOS"/>
    <s v="I"/>
    <n v="0"/>
    <n v="35"/>
    <n v="35"/>
    <n v="0.16500000000000001"/>
    <n v="0"/>
    <n v="0"/>
    <n v="0"/>
    <n v="0"/>
    <n v="0"/>
    <n v="0"/>
    <n v="0"/>
    <n v="0"/>
    <n v="0"/>
    <n v="0"/>
    <n v="0"/>
    <n v="0"/>
    <n v="0"/>
    <n v="0"/>
    <n v="0"/>
    <n v="0"/>
    <n v="0"/>
    <n v="0"/>
    <n v="0"/>
    <n v="0"/>
    <n v="0"/>
    <n v="0"/>
    <n v="0"/>
    <n v="0"/>
    <n v="0"/>
    <n v="0"/>
    <n v="0"/>
    <n v="0"/>
    <n v="6.1285714285714291E-2"/>
    <n v="13"/>
    <n v="0.37142857142857144"/>
    <n v="13"/>
    <n v="13"/>
    <n v="100"/>
    <n v="100"/>
    <n v="6.1285714285714291E-2"/>
    <n v="100"/>
    <n v="0"/>
    <n v="0"/>
    <n v="0"/>
    <n v="0"/>
    <n v="0"/>
    <n v="0"/>
    <n v="0"/>
    <n v="0"/>
    <n v="70000000"/>
    <n v="70000000"/>
    <n v="0"/>
    <n v="0"/>
    <n v="0"/>
    <n v="0"/>
    <n v="0"/>
    <n v="0"/>
    <n v="0"/>
    <n v="35000000"/>
    <s v="Aporte Fundacion Torre Fuerte para la ejecucion del contrato SDS 19 de 2013"/>
    <n v="4.7142857142857139E-2"/>
    <n v="10"/>
    <n v="0.2857142857142857"/>
    <n v="0"/>
    <n v="11"/>
    <n v="12"/>
    <n v="12"/>
    <n v="120"/>
    <n v="100"/>
    <n v="4.7142857142857132E-2"/>
    <n v="100"/>
    <n v="5.6571428571428564E-2"/>
    <n v="5.6571428571428578E-2"/>
    <n v="12"/>
    <n v="0.34285714285714286"/>
    <n v="11"/>
    <n v="1"/>
    <n v="11"/>
    <n v="91.666666666666671"/>
    <n v="91.666666666666671"/>
    <n v="5.1857142857142866E-2"/>
    <n v="5.1857142857142866E-2"/>
    <n v="0"/>
    <n v="0"/>
    <n v="0"/>
    <n v="0"/>
    <n v="0"/>
    <n v="0"/>
    <n v="0"/>
    <n v="0"/>
    <n v="0"/>
    <n v="0"/>
    <n v="0"/>
    <n v="0"/>
    <n v="0"/>
    <n v="0"/>
    <n v="0"/>
    <n v="0"/>
    <n v="0"/>
    <n v="0"/>
    <n v="0"/>
    <n v="36"/>
    <n v="0.16500000000000001"/>
    <n v="102.85714285714286"/>
    <n v="100"/>
    <n v="0.16500000000000001"/>
    <n v="0.16500000000000001"/>
    <n v="0.16500000000000001"/>
    <n v="1"/>
    <n v="0"/>
    <n v="179"/>
    <s v="POTENCIALIZAR HABILIDADES Y DESTREZAS EN EL 5% DE LAS PERSONAS ADULTAS MAYORES CON Y SIN DISCAPACIDAD COMO USUARIOS DE PROGRAMAS CULTURALES, RECREATIVOS Y LÚDICOS CADA AÑO"/>
    <m/>
    <s v=""/>
    <m/>
    <m/>
    <m/>
    <m/>
    <s v="IMPLEMENTACIÓN DEL PROCESO DE FORMACIÓN DE CUIDADORES DE ADULTO MAYOR EN 36 MUNICIPIOS, BENEFICIANDO A 782 PERSONAS."/>
    <n v="0"/>
    <m/>
    <n v="0"/>
  </r>
  <r>
    <n v="198"/>
    <x v="0"/>
    <x v="2"/>
    <x v="4"/>
    <s v="PROTECCION"/>
    <s v="RED DE ACTORES INSTITUCIONALES CON PROTOCOLO INTERVIENEN EN LOS 116 MUNICIPIOS PARA LA PREVENCIÓN DE HOMICIDIOS Y LA COMISION DE DELITOS EN LOS ADULTOS MAYORES"/>
    <s v="NO. DE MUNICIPIOS CON PROTOCOLO DE INTERVENCIÓN PARA PREVENCIÓN DE LOS HOMICIDIOS Y LA COMISION DE DELITOS EN ADLTOS MAYORES"/>
    <s v="MUNICIPIOS"/>
    <s v="I"/>
    <n v="0"/>
    <n v="116"/>
    <n v="116"/>
    <n v="0.16500000000000001"/>
    <n v="0"/>
    <n v="0"/>
    <n v="0"/>
    <n v="0"/>
    <n v="0"/>
    <n v="0"/>
    <n v="0"/>
    <n v="0"/>
    <n v="0"/>
    <n v="0"/>
    <n v="0"/>
    <n v="0"/>
    <n v="0"/>
    <n v="0"/>
    <n v="0"/>
    <n v="0"/>
    <n v="0"/>
    <n v="0"/>
    <n v="0"/>
    <n v="0"/>
    <n v="0"/>
    <n v="0"/>
    <n v="0"/>
    <n v="0"/>
    <n v="0"/>
    <n v="0"/>
    <n v="0"/>
    <n v="0"/>
    <n v="0.16500000000000001"/>
    <n v="116"/>
    <n v="1"/>
    <n v="116"/>
    <n v="116"/>
    <n v="100"/>
    <n v="100"/>
    <n v="0.16500000000000001"/>
    <n v="100"/>
    <n v="50000000"/>
    <n v="0"/>
    <n v="50000000"/>
    <n v="0"/>
    <n v="0"/>
    <n v="0"/>
    <n v="0"/>
    <n v="0"/>
    <n v="0"/>
    <n v="0"/>
    <n v="0"/>
    <n v="0"/>
    <n v="0"/>
    <n v="0"/>
    <n v="0"/>
    <n v="0"/>
    <n v="0"/>
    <n v="0"/>
    <n v="0"/>
    <n v="0"/>
    <n v="0"/>
    <n v="0"/>
    <n v="116"/>
    <n v="0"/>
    <n v="0"/>
    <n v="0"/>
    <n v="0"/>
    <n v="0"/>
    <n v="0"/>
    <n v="0"/>
    <n v="0"/>
    <n v="0"/>
    <n v="0"/>
    <n v="0"/>
    <n v="100"/>
    <n v="-100"/>
    <n v="100"/>
    <n v="0"/>
    <n v="0"/>
    <n v="0"/>
    <n v="0"/>
    <n v="0"/>
    <n v="0"/>
    <n v="0"/>
    <n v="0"/>
    <n v="0"/>
    <n v="0"/>
    <n v="0"/>
    <n v="0"/>
    <n v="0"/>
    <n v="0"/>
    <n v="0"/>
    <n v="0"/>
    <n v="0"/>
    <n v="0"/>
    <n v="0"/>
    <n v="0"/>
    <n v="0"/>
    <n v="0"/>
    <n v="0"/>
    <n v="216"/>
    <n v="0.16500000000000001"/>
    <n v="186.20689655172413"/>
    <n v="100"/>
    <n v="0.16500000000000001"/>
    <n v="0.16500000000000001"/>
    <n v="0.16500000000000001"/>
    <n v="1"/>
    <n v="0"/>
    <n v="177"/>
    <s v="REDUCIR EN EL CUATRIENIO EN MÍNIMO 10% LAS MUERTES POR HOMICIDIO EN ADULTOS MAYORES"/>
    <m/>
    <s v=""/>
    <m/>
    <m/>
    <m/>
    <m/>
    <s v="ARTICULACION PERMANENTE ENTRE LA SECRETARIA DE GOBIERNO, ICBF, FISCALIA, CON EL DPS DE PRESIDENDIA, CONJUNTAMENTE CON POLICIA DE INFANCIA Y ADOLESCENCIA CON EL FIN DE PREVENCIOS DE HOMICIDIOS Y LA COMISION DE DELITOS EN ADULTOS MAYORES"/>
    <n v="0"/>
    <m/>
    <n v="146"/>
  </r>
  <r>
    <n v="204"/>
    <x v="0"/>
    <x v="9"/>
    <x v="6"/>
    <s v="VIVIENDA"/>
    <s v="CONTRIBUIR TÉCNICA Y FINANCIERAMENTE DURANTE EL CUATRIENIO PARA QUE 500 FAMILIAS URBANAS, ACCEDAN A VIVIENDAS NUEVAS (VIS Y VIP) Y REUBICACIÓN, A TRAVÉS DE PROGRAMAS DE CONSTRUCCIÓN DE INFRAESTRUCTURA URBANÍSTICA, EN CONJUNTO CON LAS DEMÁS ENTIDADES COOP"/>
    <s v="NO. DE FAMILIAS APOYADAS CON INFRAESTRUCTURA URBANÍSTICA"/>
    <s v="FAMILIAS"/>
    <s v="I"/>
    <n v="500"/>
    <n v="1000"/>
    <n v="500"/>
    <n v="0.16500000000000001"/>
    <n v="2.9700000000000001E-2"/>
    <n v="90"/>
    <n v="0.18"/>
    <n v="0"/>
    <n v="0"/>
    <n v="0"/>
    <n v="0"/>
    <n v="0"/>
    <n v="0"/>
    <n v="0"/>
    <n v="0"/>
    <n v="0"/>
    <n v="0"/>
    <n v="0"/>
    <n v="0"/>
    <n v="0"/>
    <n v="0"/>
    <n v="0"/>
    <n v="0"/>
    <n v="0"/>
    <n v="0"/>
    <n v="0"/>
    <n v="0"/>
    <n v="0"/>
    <n v="0"/>
    <n v="0"/>
    <n v="0"/>
    <n v="0"/>
    <n v="1.6500000000000001E-2"/>
    <n v="50"/>
    <n v="0.1"/>
    <n v="145"/>
    <n v="145"/>
    <n v="290"/>
    <n v="100"/>
    <n v="1.6500000000000001E-2"/>
    <n v="100"/>
    <n v="130000000"/>
    <n v="0"/>
    <n v="130000000"/>
    <n v="0"/>
    <n v="0"/>
    <n v="0"/>
    <n v="0"/>
    <n v="0"/>
    <n v="130000000"/>
    <n v="130000000"/>
    <n v="0"/>
    <n v="0"/>
    <n v="0"/>
    <n v="0"/>
    <n v="0"/>
    <n v="0"/>
    <n v="0"/>
    <n v="0"/>
    <n v="0"/>
    <n v="5.9400000000000001E-2"/>
    <n v="180"/>
    <n v="0.36"/>
    <n v="0"/>
    <n v="0"/>
    <n v="345"/>
    <n v="345"/>
    <n v="191.66666666666666"/>
    <n v="100"/>
    <n v="5.9400000000000001E-2"/>
    <n v="100"/>
    <n v="0.11384999999999999"/>
    <n v="5.9400000000000001E-2"/>
    <n v="180"/>
    <n v="0.36"/>
    <n v="0"/>
    <n v="180"/>
    <n v="0"/>
    <n v="0"/>
    <n v="0"/>
    <n v="0"/>
    <n v="0"/>
    <n v="300000000"/>
    <n v="300000000"/>
    <n v="0"/>
    <n v="0"/>
    <n v="0"/>
    <n v="0"/>
    <n v="0"/>
    <n v="0"/>
    <n v="0"/>
    <n v="0"/>
    <n v="0"/>
    <n v="0"/>
    <n v="0"/>
    <n v="0"/>
    <n v="0"/>
    <n v="0"/>
    <n v="0"/>
    <n v="0"/>
    <n v="0"/>
    <n v="490"/>
    <n v="0.16500000000000001"/>
    <n v="98"/>
    <n v="98"/>
    <n v="0.16170000000000001"/>
    <n v="0.16170000000000001"/>
    <n v="0.16170000000000001"/>
    <n v="1"/>
    <n v="0"/>
    <n v="199"/>
    <s v="INCREMENTAR EN EL CUATRIENIO EN 25.000 FAMILIAS, EL DERECHO DE HABITAR Y DISFRUTAR UNA VIVIENDA NUEVA O MEJORADA, CON PRIORIDAD EN LAS FAMILIAS DE POBREZA EXTREMA "/>
    <m/>
    <s v=""/>
    <m/>
    <m/>
    <m/>
    <m/>
    <s v="LA INVERSION DE RECURSOS EN PROYECTOS DE CONSTRUCCION DE INFRAESTRUCTURA UARBANISITICA PARA VIVIENDA NUEVA LOGRÒ UN AVANCE DE LA META EN EL CUATRIENIO DEL 98,40%"/>
    <n v="6000000"/>
    <m/>
    <n v="0"/>
  </r>
  <r>
    <n v="205"/>
    <x v="0"/>
    <x v="9"/>
    <x v="6"/>
    <s v="VIVIENDA"/>
    <s v="CONTRIBUIR TÉCNICA Y FINANCIERAMENTE DURANTE EL CUATRIENIO PARA QUE 3.000 FAMILIAS ACCEDAN A VIVIENDAS NUEVAS RURALES (VISR) Y REUBICACIÓN, A TRAVÉS DE PROGRAMAS DE CONSTRUCCIÓN EN CONJUNCIÓN CON LAS DEMÁS ENTIDADES COOPERANTES DEL SNV"/>
    <s v="NO. DE FAMILIAS RURALES APOYADAS CON PROYECTOS DE CONSTRUCCIÓN DE VIVIENDA NUEVA EN EL CUATRIENIO"/>
    <s v="FAMILIAS"/>
    <s v="I"/>
    <n v="2779"/>
    <n v="5779"/>
    <n v="3000"/>
    <n v="0.25"/>
    <n v="1.6666666666666666E-2"/>
    <n v="200"/>
    <n v="6.6666666666666666E-2"/>
    <n v="734"/>
    <n v="734"/>
    <n v="367"/>
    <n v="100"/>
    <n v="1.6666666666666666E-2"/>
    <n v="100"/>
    <n v="712000000"/>
    <n v="712000000"/>
    <n v="0"/>
    <n v="0"/>
    <n v="0"/>
    <n v="0"/>
    <n v="0"/>
    <n v="0"/>
    <n v="12142615000"/>
    <n v="2341069000"/>
    <n v="0"/>
    <n v="9801546000"/>
    <n v="0"/>
    <n v="0"/>
    <n v="0"/>
    <n v="0"/>
    <n v="0"/>
    <n v="0"/>
    <n v="0"/>
    <n v="8.3333333333333329E-2"/>
    <n v="1000"/>
    <n v="0.33333333333333331"/>
    <n v="4090"/>
    <n v="4090"/>
    <n v="409"/>
    <n v="100"/>
    <n v="8.3333333333333315E-2"/>
    <n v="100"/>
    <n v="741000000"/>
    <n v="0"/>
    <n v="741000000"/>
    <n v="0"/>
    <n v="0"/>
    <n v="0"/>
    <n v="0"/>
    <n v="0"/>
    <n v="14057581000"/>
    <n v="844267000"/>
    <n v="0"/>
    <n v="0"/>
    <n v="0"/>
    <n v="13213314000"/>
    <n v="0"/>
    <n v="0"/>
    <n v="0"/>
    <n v="0"/>
    <n v="0"/>
    <n v="8.3333333333333329E-2"/>
    <n v="1000"/>
    <n v="0.33333333333333331"/>
    <n v="0"/>
    <n v="0"/>
    <n v="149"/>
    <n v="149"/>
    <n v="14.9"/>
    <n v="14.9"/>
    <n v="1.2416666666666666E-2"/>
    <n v="14.9"/>
    <n v="1.2416666666666666E-2"/>
    <n v="6.6666666666666666E-2"/>
    <n v="800"/>
    <n v="0.26666666666666666"/>
    <n v="0"/>
    <n v="800"/>
    <n v="0"/>
    <n v="0"/>
    <n v="0"/>
    <n v="0"/>
    <n v="0"/>
    <n v="1710000000"/>
    <n v="1710000000"/>
    <n v="0"/>
    <n v="0"/>
    <n v="0"/>
    <n v="0"/>
    <n v="0"/>
    <n v="0"/>
    <n v="0"/>
    <n v="0"/>
    <n v="0"/>
    <n v="0"/>
    <n v="0"/>
    <n v="0"/>
    <n v="0"/>
    <n v="0"/>
    <n v="0"/>
    <n v="0"/>
    <n v="0"/>
    <n v="4973"/>
    <n v="0.25"/>
    <n v="165.76666666666668"/>
    <n v="100"/>
    <n v="0.25"/>
    <n v="0.25"/>
    <n v="0.25"/>
    <n v="1"/>
    <n v="0"/>
    <n v="199"/>
    <s v="INCREMENTAR EN EL CUATRIENIO EN 25.000 FAMILIAS, EL DERECHO DE HABITAR Y DISFRUTAR UNA VIVIENDA NUEVA O MEJORADA, CON PRIORIDAD EN LAS FAMILIAS DE POBREZA EXTREMA "/>
    <m/>
    <s v=""/>
    <m/>
    <m/>
    <m/>
    <m/>
    <s v="ESTA META REPORTA AVANCE DE 4.517 VIVIENDAS RURALES APOYADAS EN SU CONSTRUCCION. EQUIVALENTE AL 179%. EL LOGRO MAS IMPORTANTE CONSEGUIDO EN EL CUATRIENIO FUE LA GESTION DE RECURSOS DEL ORDEN NACIONAL DURANTE LAS VIGENCIAS 2012 Y 2013 CON LA ASIGNACION DE 4,824 SUBSIDIOS DEL BANCO AGRARIO Y UNA INVERSION DE 84,000 MILLONES DE PESOS DE DICHA ENTIDAD."/>
    <n v="140000000"/>
    <m/>
    <n v="1500"/>
  </r>
  <r>
    <n v="206"/>
    <x v="0"/>
    <x v="9"/>
    <x v="6"/>
    <s v="VIVIENDA"/>
    <s v="APOYAR EN EL CUATRIENIO A 5.000 FAMILIAS URBANAS, TÉCNICA Y FINANCIERAMENTE, A TRAVÉS DE PROGRAMAS DE CONSTRUCCIÓN DE VIVIENDA NUEVA VIS Y VIP Y REUBICACIÓN EN CONJUNCIÓN CON LAS DEMÁS ENTIDADES COOPERANTES DEL SNV."/>
    <s v="NO. DE FAMILIAS URBANAS APOYADAS CON PROYECTOS DE CONSTRUCCIÓN DE VIVIENDA NUEVA EN EL CUATRIENIO"/>
    <s v="FAMILIAS"/>
    <s v="I"/>
    <n v="3860"/>
    <n v="8860"/>
    <n v="5000"/>
    <n v="0.25"/>
    <n v="0.01"/>
    <n v="200"/>
    <n v="0.04"/>
    <n v="558"/>
    <n v="558"/>
    <n v="279"/>
    <n v="100"/>
    <n v="0.01"/>
    <n v="100"/>
    <n v="900000000"/>
    <n v="900000000"/>
    <n v="0"/>
    <n v="0"/>
    <n v="0"/>
    <n v="0"/>
    <n v="0"/>
    <n v="0"/>
    <n v="23310970000"/>
    <n v="1319931000"/>
    <n v="0"/>
    <n v="21991039000"/>
    <n v="0"/>
    <n v="0"/>
    <n v="0"/>
    <n v="0"/>
    <n v="0"/>
    <n v="0"/>
    <n v="0"/>
    <n v="7.4999999999999997E-2"/>
    <n v="1500"/>
    <n v="0.3"/>
    <n v="455"/>
    <n v="455"/>
    <n v="30.333333333333332"/>
    <n v="30.333333333333332"/>
    <n v="2.2749999999999999E-2"/>
    <n v="30.333333333333332"/>
    <n v="1170000000"/>
    <n v="0"/>
    <n v="1170000000"/>
    <n v="0"/>
    <n v="0"/>
    <n v="0"/>
    <n v="0"/>
    <n v="0"/>
    <n v="1170000000"/>
    <n v="1170000000"/>
    <n v="0"/>
    <n v="0"/>
    <n v="0"/>
    <n v="0"/>
    <n v="0"/>
    <n v="0"/>
    <n v="0"/>
    <n v="0"/>
    <n v="0"/>
    <n v="7.4999999999999997E-2"/>
    <n v="1500"/>
    <n v="0.3"/>
    <n v="0"/>
    <n v="0"/>
    <n v="481"/>
    <n v="481"/>
    <n v="32.06666666666667"/>
    <n v="32.06666666666667"/>
    <n v="2.4050000000000002E-2"/>
    <n v="32.06666666666667"/>
    <n v="2.4050000000000002E-2"/>
    <n v="0.09"/>
    <n v="1800"/>
    <n v="0.36"/>
    <n v="2819"/>
    <n v="-1019"/>
    <n v="2819"/>
    <n v="156.61111111111111"/>
    <n v="100"/>
    <n v="0.09"/>
    <n v="0.14095000000000002"/>
    <n v="2700000000"/>
    <n v="2700000000"/>
    <n v="0"/>
    <n v="0"/>
    <n v="0"/>
    <n v="0"/>
    <n v="0"/>
    <n v="0"/>
    <n v="0"/>
    <n v="0"/>
    <n v="0"/>
    <n v="0"/>
    <n v="0"/>
    <n v="0"/>
    <n v="0"/>
    <n v="0"/>
    <n v="0"/>
    <n v="0"/>
    <n v="0"/>
    <n v="4313"/>
    <n v="0.24999999999999997"/>
    <n v="86.26"/>
    <n v="86.26"/>
    <n v="0.21565000000000001"/>
    <n v="0.21565000000000001"/>
    <n v="0.21565000000000001"/>
    <n v="0.99999999999999989"/>
    <n v="0"/>
    <n v="199"/>
    <s v="INCREMENTAR EN EL CUATRIENIO EN 25.000 FAMILIAS, EL DERECHO DE HABITAR Y DISFRUTAR UNA VIVIENDA NUEVA O MEJORADA, CON PRIORIDAD EN LAS FAMILIAS DE POBREZA EXTREMA "/>
    <m/>
    <s v=""/>
    <m/>
    <m/>
    <m/>
    <m/>
    <s v="SE SUSCRIBIERON CONVENIOS CON VARIOS MUNICIPIOS EN EL MARCO DEL PROGRAMA DE VIVIENDA GRATUITA. _x000a__x000a_SE SANCIONÓ LA ORDENANZA NO.179 DE 2013 DE EXENCION DEL IMPUESTO DE REGISTRO PARA LOS PROYECTOS DEL PROGRAMA DE VIVIENDA GRATUITA EN CUNDINAMARCA. ESTA ORDENANZA APOYA A 4.221 VIVIENDAS GRATIS. _x000a__x000a_EL REPORTE DE LA TOTALIDAD DE VIVIENDAS CONSTRUIDAS EN CUNDINAMARCA EN EL MARCO PROGRAMA DE VIVIENDAS GRATIS, SE HARÀ EN EL MES DE NOVIEMBRE CUANDO FONVIVIENDA PRESENTE EL INFORME."/>
    <n v="0"/>
    <m/>
    <n v="100"/>
  </r>
  <r>
    <n v="207"/>
    <x v="0"/>
    <x v="9"/>
    <x v="6"/>
    <s v="VIVIENDA"/>
    <s v="APOYAR EN EL CUATRIENIO A 5.500 FAMILIAS RURALES, TÉCNICA Y FINANCIERAMENTE, A TRAVÉS DE PROGRAMAS DE MEJORAMIENTO DE VIVIENDA, EN CONJUNTO CON LAS DEMÁS ENTIDADES COOPERANTES DEL SNV. CON PRIORIDAD EN LAS FAMILIAS DE POBREZA EXTREMA"/>
    <s v="NO. DE FAMILIAS RURALES APOYADAS CON PROYECTOS DE MEJORAMIENTO DE VIVIENDA EN EL CUATRIENIO"/>
    <s v="FAMILIAS"/>
    <s v="I"/>
    <n v="7758"/>
    <n v="13258"/>
    <n v="5500"/>
    <n v="0.25"/>
    <n v="2.2727272727272728E-2"/>
    <n v="500"/>
    <n v="9.0909090909090912E-2"/>
    <n v="445"/>
    <n v="445"/>
    <n v="89"/>
    <n v="89"/>
    <n v="2.0227272727272729E-2"/>
    <n v="89"/>
    <n v="1000000000"/>
    <n v="1000000000"/>
    <n v="0"/>
    <n v="0"/>
    <n v="0"/>
    <n v="0"/>
    <n v="0"/>
    <n v="0"/>
    <n v="15366672000"/>
    <n v="1231609000"/>
    <n v="0"/>
    <n v="14135063000"/>
    <n v="0"/>
    <n v="0"/>
    <n v="0"/>
    <n v="0"/>
    <n v="0"/>
    <n v="0"/>
    <n v="0"/>
    <n v="2.2727272727272728E-2"/>
    <n v="500"/>
    <n v="9.0909090909090912E-2"/>
    <n v="544"/>
    <n v="544"/>
    <n v="108.8"/>
    <n v="100"/>
    <n v="2.2727272727272728E-2"/>
    <n v="100"/>
    <n v="4082000000"/>
    <n v="0"/>
    <n v="4082000000"/>
    <n v="0"/>
    <n v="0"/>
    <n v="0"/>
    <n v="0"/>
    <n v="0"/>
    <n v="2109139287"/>
    <n v="2109139287"/>
    <n v="0"/>
    <n v="0"/>
    <n v="0"/>
    <n v="0"/>
    <n v="0"/>
    <n v="0"/>
    <n v="0"/>
    <n v="0"/>
    <n v="0"/>
    <n v="9.0909090909090912E-2"/>
    <n v="2000"/>
    <n v="0.36363636363636365"/>
    <n v="0"/>
    <n v="0"/>
    <n v="2260"/>
    <n v="2260"/>
    <n v="113"/>
    <n v="100"/>
    <n v="9.0909090909090912E-2"/>
    <n v="100"/>
    <n v="0.10272727272727274"/>
    <n v="0.11363636363636363"/>
    <n v="2500"/>
    <n v="0.45454545454545453"/>
    <n v="2008"/>
    <n v="492"/>
    <n v="2008"/>
    <n v="80.319999999999993"/>
    <n v="80.319999999999993"/>
    <n v="9.1272727272727269E-2"/>
    <n v="9.1272727272727269E-2"/>
    <n v="9420000000"/>
    <n v="9420000000"/>
    <n v="0"/>
    <n v="0"/>
    <n v="0"/>
    <n v="0"/>
    <n v="0"/>
    <n v="0"/>
    <n v="0"/>
    <n v="0"/>
    <n v="0"/>
    <n v="0"/>
    <n v="0"/>
    <n v="0"/>
    <n v="0"/>
    <n v="0"/>
    <n v="0"/>
    <n v="0"/>
    <n v="0"/>
    <n v="5257"/>
    <n v="0.25"/>
    <n v="95.581818181818178"/>
    <n v="95.581818181818178"/>
    <n v="0.23895454545454545"/>
    <n v="0.23895454545454545"/>
    <n v="0.23895454545454545"/>
    <n v="1"/>
    <n v="0"/>
    <n v="199"/>
    <s v="INCREMENTAR EN EL CUATRIENIO EN 25.000 FAMILIAS, EL DERECHO DE HABITAR Y DISFRUTAR UNA VIVIENDA NUEVA O MEJORADA, CON PRIORIDAD EN LAS FAMILIAS DE POBREZA EXTREMA "/>
    <m/>
    <s v=""/>
    <m/>
    <m/>
    <m/>
    <m/>
    <s v="LA UAE DE VIVIENDA SOCIAL ADELANTÒ DURANTE EL CUATRIENIO CONVOCATORIAS DEPARTAMENTALES PARA LA PRESENTACION DE PROYECTOS, LO QUE GENERÒ UNA MAYOR PARTICIPACION Y ACCESO DE LOS MUNICIPIOS A RECURSOS DEPARTAMENTALES PARA LA EJECUCION DE LOS MISMOS._x000a__x000a_HUBO GRAN ACOGIDA FRENTE AL TEMA DE MEJORAMIENTO DE VIVIENDA RURAL._x000a__x000a_EL PORCENTAJE DE CUMPLIMIENTO DE LA META A LA FECHA ES DEL 95,58%"/>
    <n v="0"/>
    <m/>
    <n v="0"/>
  </r>
  <r>
    <n v="208"/>
    <x v="0"/>
    <x v="9"/>
    <x v="6"/>
    <s v="VIVIENDA"/>
    <s v="APOYAR EN EL CUATRIENIO A 1.000 FAMILIAS URBANAS, TÉCNICA Y FINANCIERAMENTE, A TRAVÉS DE PROGRAMAS DE MEJORAMIENTO DE VIVIENDAS, EN CONJUNCIÓN CON LAS DEMÁS ENTIDADES COOPERANTES DEL SNV. CON PRIORIDAD EN LAS FAMILIAS DE POBREZA EXTREMA"/>
    <s v="NO. DE FAMILIAS URBANAS APOYADAS CON PROYECTOS DE MEJORAMIENTO DE VIVIENDA EN EL CUATRIENIO"/>
    <s v="FAMILIAS"/>
    <s v="I"/>
    <n v="6110"/>
    <n v="7110"/>
    <n v="1000"/>
    <n v="0.25"/>
    <n v="0.05"/>
    <n v="200"/>
    <n v="0.2"/>
    <n v="0"/>
    <n v="0"/>
    <n v="0"/>
    <n v="0"/>
    <n v="0"/>
    <n v="0"/>
    <n v="0"/>
    <n v="0"/>
    <n v="0"/>
    <n v="0"/>
    <n v="0"/>
    <n v="0"/>
    <n v="0"/>
    <n v="0"/>
    <n v="0"/>
    <n v="0"/>
    <n v="0"/>
    <n v="0"/>
    <n v="0"/>
    <n v="0"/>
    <n v="0"/>
    <n v="0"/>
    <n v="0"/>
    <n v="0"/>
    <n v="0"/>
    <n v="0.05"/>
    <n v="200"/>
    <n v="0.2"/>
    <n v="26"/>
    <n v="26"/>
    <n v="13"/>
    <n v="13"/>
    <n v="6.5000000000000006E-3"/>
    <n v="13"/>
    <n v="390000000"/>
    <n v="0"/>
    <n v="390000000"/>
    <n v="0"/>
    <n v="0"/>
    <n v="0"/>
    <n v="0"/>
    <n v="0"/>
    <n v="61453500"/>
    <n v="61453500"/>
    <n v="0"/>
    <n v="0"/>
    <n v="0"/>
    <n v="0"/>
    <n v="0"/>
    <n v="0"/>
    <n v="0"/>
    <n v="0"/>
    <n v="0"/>
    <n v="0.1"/>
    <n v="400"/>
    <n v="0.4"/>
    <n v="0"/>
    <n v="0"/>
    <n v="701"/>
    <n v="701"/>
    <n v="175.25"/>
    <n v="100"/>
    <n v="0.1"/>
    <n v="100"/>
    <n v="0.17525000000000002"/>
    <n v="0.05"/>
    <n v="200"/>
    <n v="0.2"/>
    <n v="215"/>
    <n v="-15"/>
    <n v="215"/>
    <n v="107.5"/>
    <n v="100"/>
    <n v="0.05"/>
    <n v="5.3749999999999999E-2"/>
    <n v="900000000"/>
    <n v="900000000"/>
    <n v="0"/>
    <n v="0"/>
    <n v="0"/>
    <n v="0"/>
    <n v="0"/>
    <n v="0"/>
    <n v="0"/>
    <n v="0"/>
    <n v="0"/>
    <n v="0"/>
    <n v="0"/>
    <n v="0"/>
    <n v="0"/>
    <n v="0"/>
    <n v="0"/>
    <n v="0"/>
    <n v="0"/>
    <n v="942"/>
    <n v="0.25"/>
    <n v="94.2"/>
    <n v="94.2"/>
    <n v="0.23550000000000001"/>
    <n v="0.23550000000000001"/>
    <n v="0.23550000000000001"/>
    <n v="1"/>
    <n v="0"/>
    <n v="199"/>
    <s v="INCREMENTAR EN EL CUATRIENIO EN 25.000 FAMILIAS, EL DERECHO DE HABITAR Y DISFRUTAR UNA VIVIENDA NUEVA O MEJORADA, CON PRIORIDAD EN LAS FAMILIAS DE POBREZA EXTREMA "/>
    <m/>
    <s v=""/>
    <m/>
    <m/>
    <m/>
    <m/>
    <s v="EN EL CUATRIENIO SE LOGRO UN PORCENTAJE DE CUMPLIMIENTO DE LA META DEL 94.50%"/>
    <n v="0"/>
    <m/>
    <n v="0"/>
  </r>
  <r>
    <n v="209"/>
    <x v="0"/>
    <x v="9"/>
    <x v="6"/>
    <s v="VIVIENDA"/>
    <s v="CONTRIBUIR A LA VIDA DIGNA DE 4.500 FAMILIAS URBANAS Y RURALES, CON PRIORIDAD EN LAS DE POBREZA EXTREMA, PARA QUE HABITEN VIVIENDAS CON PISOS ANTIBACTERIALES"/>
    <s v="NO. DE VIVIENDAS MEJORADAS CON PISOS EN CONCRETO ANTIBACTERIAL"/>
    <s v="FAMILIAS"/>
    <s v="I"/>
    <n v="0"/>
    <n v="4500"/>
    <n v="4500"/>
    <n v="0.25"/>
    <n v="2.2222222222222223E-2"/>
    <n v="400"/>
    <n v="8.8888888888888892E-2"/>
    <n v="546"/>
    <n v="546"/>
    <n v="136.5"/>
    <n v="100"/>
    <n v="2.2222222222222223E-2"/>
    <n v="100"/>
    <n v="1500000000"/>
    <n v="1500000000"/>
    <n v="0"/>
    <n v="0"/>
    <n v="0"/>
    <n v="0"/>
    <n v="0"/>
    <n v="0"/>
    <n v="1940200000"/>
    <n v="1258347000"/>
    <n v="0"/>
    <n v="681853000"/>
    <n v="0"/>
    <n v="0"/>
    <n v="0"/>
    <n v="0"/>
    <n v="0"/>
    <n v="0"/>
    <n v="0"/>
    <n v="5.5555555555555552E-2"/>
    <n v="1000"/>
    <n v="0.22222222222222221"/>
    <n v="1043"/>
    <n v="1043"/>
    <n v="104.3"/>
    <n v="100"/>
    <n v="5.5555555555555552E-2"/>
    <n v="100"/>
    <n v="1287000000"/>
    <n v="0"/>
    <n v="1287000000"/>
    <n v="0"/>
    <n v="0"/>
    <n v="0"/>
    <n v="0"/>
    <n v="0"/>
    <n v="3039218630"/>
    <n v="3039218630"/>
    <n v="0"/>
    <n v="0"/>
    <n v="0"/>
    <n v="0"/>
    <n v="0"/>
    <n v="0"/>
    <n v="0"/>
    <n v="0"/>
    <n v="0"/>
    <n v="8.3333333333333329E-2"/>
    <n v="1500"/>
    <n v="0.33333333333333331"/>
    <n v="0"/>
    <n v="0"/>
    <n v="1001"/>
    <n v="1001"/>
    <n v="66.733333333333334"/>
    <n v="66.733333333333334"/>
    <n v="5.5611111111111111E-2"/>
    <n v="66.733333333333334"/>
    <n v="5.5611111111111111E-2"/>
    <n v="8.8888888888888892E-2"/>
    <n v="1600"/>
    <n v="0.35555555555555557"/>
    <n v="886"/>
    <n v="714"/>
    <n v="886"/>
    <n v="55.375"/>
    <n v="55.375"/>
    <n v="4.9222222222222223E-2"/>
    <n v="4.9222222222222223E-2"/>
    <n v="2970000000"/>
    <n v="2970000000"/>
    <n v="0"/>
    <n v="0"/>
    <n v="0"/>
    <n v="0"/>
    <n v="0"/>
    <n v="0"/>
    <n v="0"/>
    <n v="0"/>
    <n v="0"/>
    <n v="0"/>
    <n v="0"/>
    <n v="0"/>
    <n v="0"/>
    <n v="0"/>
    <n v="0"/>
    <n v="0"/>
    <n v="0"/>
    <n v="3476"/>
    <n v="0.25"/>
    <n v="77.24444444444444"/>
    <n v="77.24444444444444"/>
    <n v="0.19311111111111109"/>
    <n v="0.19311111111111109"/>
    <n v="0.19311111111111109"/>
    <n v="1"/>
    <n v="0"/>
    <n v="199"/>
    <s v="INCREMENTAR EN EL CUATRIENIO EN 25.000 FAMILIAS, EL DERECHO DE HABITAR Y DISFRUTAR UNA VIVIENDA NUEVA O MEJORADA, CON PRIORIDAD EN LAS FAMILIAS DE POBREZA EXTREMA "/>
    <m/>
    <s v=""/>
    <m/>
    <m/>
    <m/>
    <m/>
    <s v="CON LAS CONVOCATORIAS ABIERTAS POR LA UAE DE VIVIENDA SOCIAL, LOS MUNICIPIOS PRESENTARON UN GRAN NUMERO DE PROYECTOS EN LA MODALIDAD DE PISOS ANTIBACTERIALES._x000a__x000a_EL PORCENTAJE DE CUMPLIMIENTO DE LA META A LA FECHA ES DEL 77.24%._x000a__x000a_EN CONSECUENCIA ESTA META DEBE MANTENERSE PARA LA VIGENCIA 2016."/>
    <n v="0"/>
    <m/>
    <n v="29"/>
  </r>
  <r>
    <n v="210"/>
    <x v="0"/>
    <x v="9"/>
    <x v="6"/>
    <s v="VIVIENDA"/>
    <s v="CONTRIBUIR AL BUEN HABITAT DE 500 FAMILIAS URBANAS CON PROGRAMAS DE MEJORAMIENTO BARRIAL INTEGRAL DURANTE EL CUATRIENIO"/>
    <s v="NO. DE VIVIENDAS ATENDIDAS A TRAVÉS DE PROGRAMAS DE MEJORAMIENTO BARRIAL"/>
    <s v="FAMILIAS"/>
    <s v="I"/>
    <n v="500"/>
    <n v="1000"/>
    <n v="500"/>
    <n v="0.25"/>
    <n v="0"/>
    <n v="0"/>
    <n v="0"/>
    <n v="0"/>
    <n v="0"/>
    <n v="0"/>
    <n v="0"/>
    <n v="0"/>
    <n v="0"/>
    <n v="0"/>
    <n v="0"/>
    <n v="0"/>
    <n v="0"/>
    <n v="0"/>
    <n v="0"/>
    <n v="0"/>
    <n v="0"/>
    <n v="0"/>
    <n v="0"/>
    <n v="0"/>
    <n v="0"/>
    <n v="0"/>
    <n v="0"/>
    <n v="0"/>
    <n v="0"/>
    <n v="0"/>
    <n v="0"/>
    <n v="0"/>
    <n v="0.1"/>
    <n v="200"/>
    <n v="0.4"/>
    <n v="482"/>
    <n v="482"/>
    <n v="241"/>
    <n v="100"/>
    <n v="0.1"/>
    <n v="100"/>
    <n v="163000000"/>
    <n v="0"/>
    <n v="163000000"/>
    <n v="0"/>
    <n v="0"/>
    <n v="0"/>
    <n v="0"/>
    <n v="0"/>
    <n v="527688123"/>
    <n v="527688123"/>
    <n v="0"/>
    <n v="0"/>
    <n v="0"/>
    <n v="0"/>
    <n v="0"/>
    <n v="0"/>
    <n v="0"/>
    <n v="0"/>
    <n v="0"/>
    <n v="0.1"/>
    <n v="200"/>
    <n v="0.4"/>
    <n v="0"/>
    <n v="0"/>
    <n v="511"/>
    <n v="511"/>
    <n v="255.5"/>
    <n v="100"/>
    <n v="0.1"/>
    <n v="100"/>
    <n v="0.2555"/>
    <n v="0.05"/>
    <n v="100"/>
    <n v="0.2"/>
    <n v="0"/>
    <n v="100"/>
    <n v="0"/>
    <n v="0"/>
    <n v="0"/>
    <n v="0"/>
    <n v="0"/>
    <n v="375000000"/>
    <n v="375000000"/>
    <n v="0"/>
    <n v="0"/>
    <n v="0"/>
    <n v="0"/>
    <n v="0"/>
    <n v="0"/>
    <n v="0"/>
    <n v="0"/>
    <n v="0"/>
    <n v="0"/>
    <n v="0"/>
    <n v="0"/>
    <n v="0"/>
    <n v="0"/>
    <n v="0"/>
    <n v="0"/>
    <n v="0"/>
    <n v="993"/>
    <n v="0.25"/>
    <n v="198.6"/>
    <n v="100"/>
    <n v="0.25"/>
    <n v="0.25"/>
    <n v="0.25"/>
    <n v="1"/>
    <n v="0"/>
    <n v="199"/>
    <s v="INCREMENTAR EN EL CUATRIENIO EN 25.000 FAMILIAS, EL DERECHO DE HABITAR Y DISFRUTAR UNA VIVIENDA NUEVA O MEJORADA, CON PRIORIDAD EN LAS FAMILIAS DE POBREZA EXTREMA "/>
    <m/>
    <s v=""/>
    <m/>
    <m/>
    <m/>
    <m/>
    <s v="DURANTE EL CUATRINEIO HUBO GRAN INTERES DE LOS MUNICIPIOS DEL DEPARTAMENTO EN LA EJECUCION DE PROYECTOS EN LA MODALIDAD MEJORAMIENTO BARRIAL._x000a__x000a_EL AVANCE DE LA META EN EL CUATRIENIO DEL 467%."/>
    <n v="330000000"/>
    <m/>
    <n v="8000"/>
  </r>
  <r>
    <n v="211"/>
    <x v="0"/>
    <x v="2"/>
    <x v="6"/>
    <s v="VIVIENDA"/>
    <s v="PROMOVER LA TITULACIÓN PREDIAL APOYANDO TÉCNICA, JURÍDICA Y SOCIALMENTE A 250 HOGARES URBANOS Y RURALES EN EL CUATRIENIO"/>
    <s v="NO. PREDIOS TITULADOS EN EL CUATRIENIO"/>
    <s v="HOGARES"/>
    <s v="I"/>
    <n v="0"/>
    <n v="250"/>
    <n v="250"/>
    <n v="0.16500000000000001"/>
    <n v="0"/>
    <n v="0"/>
    <n v="0"/>
    <n v="1"/>
    <n v="1"/>
    <n v="0"/>
    <n v="0"/>
    <n v="0"/>
    <n v="100"/>
    <n v="50000000"/>
    <n v="50000000"/>
    <n v="0"/>
    <n v="0"/>
    <n v="0"/>
    <n v="0"/>
    <n v="0"/>
    <n v="0"/>
    <n v="50000000"/>
    <n v="50000000"/>
    <n v="0"/>
    <n v="0"/>
    <n v="0"/>
    <n v="0"/>
    <n v="0"/>
    <n v="0"/>
    <n v="0"/>
    <n v="0"/>
    <n v="0"/>
    <n v="3.3000000000000002E-2"/>
    <n v="50"/>
    <n v="0.2"/>
    <n v="3"/>
    <n v="3"/>
    <n v="6"/>
    <n v="6"/>
    <n v="1.98E-3"/>
    <n v="6"/>
    <n v="100000000"/>
    <n v="0"/>
    <n v="100000000"/>
    <n v="0"/>
    <n v="0"/>
    <n v="0"/>
    <n v="0"/>
    <n v="0"/>
    <n v="79166316"/>
    <n v="79166316"/>
    <n v="0"/>
    <n v="0"/>
    <n v="0"/>
    <n v="0"/>
    <n v="0"/>
    <n v="0"/>
    <n v="0"/>
    <n v="0"/>
    <n v="0"/>
    <n v="3.3000000000000002E-2"/>
    <n v="50"/>
    <n v="0.2"/>
    <n v="104"/>
    <n v="108"/>
    <n v="129"/>
    <n v="129"/>
    <n v="258"/>
    <n v="100"/>
    <n v="3.3000000000000002E-2"/>
    <n v="100"/>
    <n v="8.5140000000000007E-2"/>
    <n v="9.9000000000000005E-2"/>
    <n v="150"/>
    <n v="0.6"/>
    <n v="330"/>
    <n v="-180"/>
    <n v="330"/>
    <n v="220"/>
    <n v="100"/>
    <n v="9.9000000000000005E-2"/>
    <n v="0.21780000000000002"/>
    <n v="350000000"/>
    <n v="350000000"/>
    <n v="0"/>
    <n v="0"/>
    <n v="0"/>
    <n v="0"/>
    <n v="0"/>
    <n v="0"/>
    <n v="0"/>
    <n v="0"/>
    <n v="0"/>
    <n v="0"/>
    <n v="0"/>
    <n v="0"/>
    <n v="0"/>
    <n v="0"/>
    <n v="0"/>
    <n v="0"/>
    <n v="0"/>
    <n v="463"/>
    <n v="0.16500000000000001"/>
    <n v="185.2"/>
    <n v="100"/>
    <n v="0.16500000000000001"/>
    <n v="0.16500000000000001"/>
    <n v="0.16500000000000001"/>
    <n v="1"/>
    <n v="0"/>
    <n v="199"/>
    <s v="INCREMENTAR EN EL CUATRIENIO EN 25.000 FAMILIAS, EL DERECHO DE HABITAR Y DISFRUTAR UNA VIVIENDA NUEVA O MEJORADA, CON PRIORIDAD EN LAS FAMILIAS DE POBREZA EXTREMA "/>
    <m/>
    <s v=""/>
    <m/>
    <m/>
    <m/>
    <m/>
    <s v="COMO CONDICIONES PREVIAS A LA TITULACION DE PREDIOS SE HA EFECTUADO UNA SERIE DE ACTIVIDADES A SABER: LA CONTRATACION DE UN CARTOGRAFO, UN ABOGADO, A LA FECHA SE HA DESARROLLADO PLANOS DISEÑOS Y ESTUDIOS EN LOS MUNICIPIOS DE SASAIMA, TOPAIPI, SOACHA, PARATEBUENO Y ARBELAEZ"/>
    <n v="0"/>
    <m/>
    <n v="244"/>
  </r>
  <r>
    <n v="212"/>
    <x v="0"/>
    <x v="9"/>
    <x v="6"/>
    <s v="VIVIENDA"/>
    <s v="FORTALECER INSTITUCIONALMENTE EN EL CUATRIENIO A LOS 116 MUNICIPIOS EN HERRAMIENTAS DE GESTIÓN DEL SUELO, FORMULACIÓN DE PROYECTOS DE VIVIENDA Y NORMATIVIDAD URBANA"/>
    <s v="NO. DE MUNICIPIOS FORTALECIDOS EN GESTIÓN DEL SUELO, PROYECTOS DE VIVIENDA Y NORMATIVIDAD URBANA"/>
    <s v="MUNICIPIOS"/>
    <s v="M"/>
    <n v="116"/>
    <n v="116"/>
    <n v="116"/>
    <n v="0.16500000000000001"/>
    <n v="4.1250000000000002E-2"/>
    <n v="116"/>
    <n v="0.25"/>
    <n v="80"/>
    <n v="20"/>
    <n v="68.965517241379317"/>
    <n v="68.965517241379317"/>
    <n v="2.8448275862068967E-2"/>
    <n v="68.965517241379317"/>
    <n v="0"/>
    <n v="0"/>
    <n v="0"/>
    <n v="0"/>
    <n v="0"/>
    <n v="0"/>
    <n v="0"/>
    <n v="0"/>
    <n v="0"/>
    <n v="0"/>
    <n v="0"/>
    <n v="0"/>
    <n v="0"/>
    <n v="0"/>
    <n v="0"/>
    <n v="0"/>
    <n v="0"/>
    <n v="0"/>
    <n v="0"/>
    <n v="4.1250000000000002E-2"/>
    <n v="116"/>
    <n v="0.25"/>
    <n v="115"/>
    <n v="28.75"/>
    <n v="99.137931034482762"/>
    <n v="99.137931034482762"/>
    <n v="4.0894396551724138E-2"/>
    <n v="99.137931034482762"/>
    <n v="22000000"/>
    <n v="0"/>
    <n v="22000000"/>
    <n v="0"/>
    <n v="0"/>
    <n v="0"/>
    <n v="0"/>
    <n v="0"/>
    <n v="0"/>
    <n v="0"/>
    <n v="0"/>
    <n v="0"/>
    <n v="0"/>
    <n v="0"/>
    <n v="0"/>
    <n v="0"/>
    <n v="0"/>
    <n v="0"/>
    <n v="0"/>
    <n v="4.1250000000000002E-2"/>
    <n v="116"/>
    <n v="0.25"/>
    <n v="0"/>
    <n v="0"/>
    <n v="0"/>
    <n v="0"/>
    <n v="0"/>
    <n v="0"/>
    <n v="0"/>
    <n v="0"/>
    <n v="0"/>
    <n v="4.1250000000000002E-2"/>
    <n v="116"/>
    <n v="0.25"/>
    <n v="0"/>
    <n v="116"/>
    <n v="0"/>
    <n v="0"/>
    <n v="0"/>
    <n v="0"/>
    <n v="0"/>
    <n v="51000000"/>
    <n v="51000000"/>
    <n v="0"/>
    <n v="0"/>
    <n v="0"/>
    <n v="0"/>
    <n v="0"/>
    <n v="0"/>
    <n v="0"/>
    <n v="0"/>
    <n v="0"/>
    <n v="0"/>
    <n v="0"/>
    <n v="0"/>
    <n v="0"/>
    <n v="0"/>
    <n v="0"/>
    <n v="0"/>
    <n v="0"/>
    <n v="48.75"/>
    <n v="0.16500000000000001"/>
    <n v="42.025862068965516"/>
    <n v="42.025862068965516"/>
    <n v="6.9342672413793105E-2"/>
    <n v="6.9342672413793105E-2"/>
    <n v="6.9342672413793105E-2"/>
    <n v="1"/>
    <n v="0"/>
    <n v="199"/>
    <s v="INCREMENTAR EN EL CUATRIENIO EN 25.000 FAMILIAS, EL DERECHO DE HABITAR Y DISFRUTAR UNA VIVIENDA NUEVA O MEJORADA, CON PRIORIDAD EN LAS FAMILIAS DE POBREZA EXTREMA "/>
    <m/>
    <s v=""/>
    <m/>
    <m/>
    <m/>
    <m/>
    <s v=""/>
    <n v="0"/>
    <m/>
    <n v="400"/>
  </r>
  <r>
    <n v="213"/>
    <x v="0"/>
    <x v="1"/>
    <x v="6"/>
    <s v="POBREZA"/>
    <s v="ATENDER EN EL CUATRIENIO A 10.000 FAMILIAS DE LA RED UNIDOS EN LA DIMENSIÓN DE HABITABILIDAD CON ESTRATEGIAS DE RESPONSABILIDAD SOCIAL EMPRESARIAL Y COOPERACIÓN PÚBLICA"/>
    <s v="NO. DE FAMILIAS DE LA RED UNIDOS ATENDIDAS CON ESTRATEGIAS DE RESPONSABILIDAD EMPRESARIAL Y COOPERACIÓN PUBLICA"/>
    <s v="FAMILIAS"/>
    <s v="I"/>
    <n v="0"/>
    <n v="10000"/>
    <n v="10000"/>
    <n v="0.16500000000000001"/>
    <n v="4.1250000000000002E-2"/>
    <n v="2500"/>
    <n v="0.25"/>
    <n v="3055"/>
    <n v="3055"/>
    <n v="122.2"/>
    <n v="100"/>
    <n v="4.1250000000000002E-2"/>
    <n v="100"/>
    <n v="880000000"/>
    <n v="560000000"/>
    <n v="0"/>
    <n v="0"/>
    <n v="0"/>
    <n v="0"/>
    <n v="0"/>
    <n v="320000000"/>
    <n v="870000000"/>
    <n v="870000000"/>
    <n v="0"/>
    <n v="0"/>
    <n v="0"/>
    <n v="0"/>
    <n v="0"/>
    <n v="0"/>
    <n v="0"/>
    <n v="0"/>
    <n v="0"/>
    <n v="4.1250000000000002E-2"/>
    <n v="2500"/>
    <n v="0.25"/>
    <n v="3740"/>
    <n v="3740"/>
    <n v="149.6"/>
    <n v="100"/>
    <n v="4.1250000000000002E-2"/>
    <n v="100"/>
    <n v="190000000"/>
    <n v="0"/>
    <n v="65000000"/>
    <n v="0"/>
    <n v="0"/>
    <n v="0"/>
    <n v="0"/>
    <n v="125000000"/>
    <n v="227020000"/>
    <n v="227020000"/>
    <n v="0"/>
    <n v="0"/>
    <n v="0"/>
    <n v="0"/>
    <n v="0"/>
    <n v="0"/>
    <n v="0"/>
    <n v="0"/>
    <n v="0"/>
    <n v="8.2500000000000004E-2"/>
    <n v="5000"/>
    <n v="0.5"/>
    <n v="58"/>
    <n v="58"/>
    <n v="5563"/>
    <n v="5563"/>
    <n v="111.26"/>
    <n v="100"/>
    <n v="8.2500000000000004E-2"/>
    <n v="100"/>
    <n v="9.178950000000001E-2"/>
    <n v="0"/>
    <n v="0"/>
    <n v="0"/>
    <n v="0"/>
    <n v="0"/>
    <n v="0"/>
    <n v="0"/>
    <n v="0"/>
    <n v="0"/>
    <n v="0"/>
    <n v="275000000"/>
    <n v="150000000"/>
    <n v="0"/>
    <n v="0"/>
    <n v="0"/>
    <n v="0"/>
    <n v="0"/>
    <n v="125000000"/>
    <n v="0"/>
    <n v="0"/>
    <n v="0"/>
    <n v="0"/>
    <n v="0"/>
    <n v="0"/>
    <n v="0"/>
    <n v="0"/>
    <n v="0"/>
    <n v="0"/>
    <n v="0"/>
    <n v="12358"/>
    <n v="0.16500000000000001"/>
    <n v="123.58"/>
    <n v="100"/>
    <n v="0.16500000000000001"/>
    <n v="0.16500000000000001"/>
    <n v="0.16500000000000001"/>
    <n v="1"/>
    <n v="-1.3877787807814457E-17"/>
    <n v="200"/>
    <s v="ATENDER EN EL CUATRIENIO A 21,000 FAMILIAS DE LA RED UNIDOS CON SINERGIA DE SECTORES"/>
    <n v="202"/>
    <s v="30.000 FAMILIAS MAS SANAS Y FUERTES CON ACOMPAÑAMIENTO INSTITUCIONAL, FAMILIAR Y COMUNITARIO "/>
    <m/>
    <m/>
    <m/>
    <m/>
    <s v="SE MEJORÓ LA CONDICIÓN DE HABITABILIDAD DE FAMILIAS EN POBREZA EXTREMA A TRAVÉS DE: (I) LA INTERVENCIÓN DE 578 VIVIENDAS RURALES DISPERSAS MEDIANTE EL MEJORAMIENTO DE PISOS Y TECHOS EN 11 MUNICIPIOS; (II) LA ENTREGA E INSTALACIÓN DE 14.026 FILTROS PURIFICADORES DE AGUA EN 75 MUNICIPIOS, PARA LA PREVENCION DE ENFERMEDADES EN NIÑOS Y NIÑAS."/>
    <n v="6126000000"/>
    <m/>
    <n v="2000"/>
  </r>
  <r>
    <n v="214"/>
    <x v="0"/>
    <x v="1"/>
    <x v="6"/>
    <s v="POBREZA"/>
    <s v="PROMOVER EN EL CUATRIENIO EN 500 FAMILIAS LA CULTURA DEL AHORRO, MICROFINANZAS Y LA VINCULACIÓN AL SISTEMA FINANCIERO"/>
    <s v="NO. DE NUEVAS FAMILIAS DE LA RED UNIDOS QUE AHORRAN A TRAVÉS DE MECANISMOS FORMALES Y NO FORMALES."/>
    <s v="FAMILIAS"/>
    <s v="I"/>
    <n v="3987"/>
    <n v="4487"/>
    <n v="500"/>
    <n v="0.16500000000000001"/>
    <n v="0"/>
    <n v="0"/>
    <n v="0"/>
    <n v="0"/>
    <n v="0"/>
    <n v="0"/>
    <n v="0"/>
    <n v="0"/>
    <n v="0"/>
    <n v="0"/>
    <n v="0"/>
    <n v="0"/>
    <n v="0"/>
    <n v="0"/>
    <n v="0"/>
    <n v="0"/>
    <n v="0"/>
    <n v="0"/>
    <n v="0"/>
    <n v="0"/>
    <n v="0"/>
    <n v="0"/>
    <n v="0"/>
    <n v="0"/>
    <n v="0"/>
    <n v="0"/>
    <n v="0"/>
    <n v="0"/>
    <n v="6.6000000000000003E-2"/>
    <n v="200"/>
    <n v="0.4"/>
    <n v="219"/>
    <n v="219"/>
    <n v="109.5"/>
    <n v="100"/>
    <n v="6.6000000000000003E-2"/>
    <n v="100"/>
    <n v="65000000"/>
    <n v="0"/>
    <n v="65000000"/>
    <n v="0"/>
    <n v="0"/>
    <n v="0"/>
    <n v="0"/>
    <n v="0"/>
    <n v="0"/>
    <n v="0"/>
    <n v="0"/>
    <n v="0"/>
    <n v="0"/>
    <n v="0"/>
    <n v="0"/>
    <n v="0"/>
    <n v="0"/>
    <n v="0"/>
    <n v="0"/>
    <n v="0"/>
    <n v="0"/>
    <n v="0"/>
    <n v="0"/>
    <n v="0"/>
    <n v="0"/>
    <n v="0"/>
    <n v="0"/>
    <n v="0"/>
    <n v="0"/>
    <n v="0"/>
    <n v="0"/>
    <n v="9.9000000000000005E-2"/>
    <n v="300"/>
    <n v="0.6"/>
    <n v="305"/>
    <n v="-5"/>
    <n v="305"/>
    <n v="101.66666666666667"/>
    <n v="100"/>
    <n v="9.9000000000000005E-2"/>
    <n v="0.10065000000000002"/>
    <n v="150000000"/>
    <n v="150000000"/>
    <n v="0"/>
    <n v="0"/>
    <n v="0"/>
    <n v="0"/>
    <n v="0"/>
    <n v="0"/>
    <n v="0"/>
    <n v="0"/>
    <n v="0"/>
    <n v="0"/>
    <n v="0"/>
    <n v="0"/>
    <n v="0"/>
    <n v="0"/>
    <n v="0"/>
    <n v="0"/>
    <n v="0"/>
    <n v="524"/>
    <n v="0.16500000000000001"/>
    <n v="104.8"/>
    <n v="100"/>
    <n v="0.16500000000000001"/>
    <n v="0.16500000000000001"/>
    <n v="0.16500000000000001"/>
    <n v="1"/>
    <n v="0"/>
    <n v="202"/>
    <s v="30.000 FAMILIAS MAS SANAS Y FUERTES CON ACOMPAÑAMIENTO INSTITUCIONAL, FAMILIAR Y COMUNITARIO "/>
    <m/>
    <s v=""/>
    <m/>
    <m/>
    <m/>
    <m/>
    <s v="EN 2015, MÁS DE MIL FAMILIAS EN SITUACIÓN DE POBREZA HAN CONFORMADO 67 GRUPOS DE AHORRO Y CRÉDITO LOCAL. YA SE CUENTAN CON 305 FAMILIAS VINCULADAS DE LA RED UNIDOS, PERTENECIENTES A 67 GRUPOS DE AHORRO ACTIVOS, CON RESULTADOS YA EFECTIVOS EN AHORRO COMUNITARIO. EN TOTAL DURANTE EL CUATRIENIO PARTICIPARON 524 FAMILIAS."/>
    <n v="1531000000"/>
    <m/>
    <n v="60"/>
  </r>
  <r>
    <n v="215"/>
    <x v="0"/>
    <x v="1"/>
    <x v="6"/>
    <s v="POBREZA"/>
    <s v="BENEFICIAR EN EL CUATRIENIO A 11.000 FAMILIAS EN ESTADO DE INSEGURIDAD ALIMENTARIA A TRAVÉS DE LOS BANCOS DE ALIMENTOS."/>
    <s v="NO. DE FAMILIAS BENEFICIADAS CON BANCOS DE ALIMENTOS EN EL CUATRIENIO"/>
    <s v="FAMILIAS"/>
    <s v="I"/>
    <n v="3545"/>
    <n v="14545"/>
    <n v="11000"/>
    <n v="0.16500000000000001"/>
    <n v="0"/>
    <n v="0"/>
    <n v="0"/>
    <n v="0"/>
    <n v="0"/>
    <n v="0"/>
    <n v="0"/>
    <n v="0"/>
    <n v="0"/>
    <n v="0"/>
    <n v="0"/>
    <n v="0"/>
    <n v="0"/>
    <n v="0"/>
    <n v="0"/>
    <n v="0"/>
    <n v="0"/>
    <n v="0"/>
    <n v="0"/>
    <n v="0"/>
    <n v="0"/>
    <n v="0"/>
    <n v="0"/>
    <n v="0"/>
    <n v="0"/>
    <n v="0"/>
    <n v="0"/>
    <n v="0"/>
    <n v="0.09"/>
    <n v="6000"/>
    <n v="0.54545454545454541"/>
    <n v="6091"/>
    <n v="6091"/>
    <n v="101.51666666666667"/>
    <n v="100"/>
    <n v="0.09"/>
    <n v="100"/>
    <n v="57000000"/>
    <n v="0"/>
    <n v="57000000"/>
    <n v="0"/>
    <n v="0"/>
    <n v="0"/>
    <n v="0"/>
    <n v="0"/>
    <n v="50000000"/>
    <n v="50000000"/>
    <n v="0"/>
    <n v="0"/>
    <n v="0"/>
    <n v="0"/>
    <n v="0"/>
    <n v="0"/>
    <n v="0"/>
    <n v="0"/>
    <n v="0"/>
    <n v="6.0000000000000005E-2"/>
    <n v="4000"/>
    <n v="0.36363636363636365"/>
    <n v="600"/>
    <n v="600"/>
    <n v="9618"/>
    <n v="9618"/>
    <n v="240.45"/>
    <n v="100"/>
    <n v="6.0000000000000012E-2"/>
    <n v="100"/>
    <n v="0.14427000000000001"/>
    <n v="1.5000000000000001E-2"/>
    <n v="1000"/>
    <n v="9.0909090909090912E-2"/>
    <n v="4561"/>
    <n v="-3561"/>
    <n v="4561"/>
    <n v="456.1"/>
    <n v="100"/>
    <n v="1.5000000000000003E-2"/>
    <n v="6.8415000000000004E-2"/>
    <n v="132000000"/>
    <n v="132000000"/>
    <n v="0"/>
    <n v="0"/>
    <n v="0"/>
    <n v="0"/>
    <n v="0"/>
    <n v="0"/>
    <n v="0"/>
    <n v="0"/>
    <n v="0"/>
    <n v="0"/>
    <n v="0"/>
    <n v="0"/>
    <n v="0"/>
    <n v="0"/>
    <n v="0"/>
    <n v="0"/>
    <n v="0"/>
    <n v="20270"/>
    <n v="0.16500000000000001"/>
    <n v="184.27272727272728"/>
    <n v="100"/>
    <n v="0.16500000000000001"/>
    <n v="0.16500000000000001"/>
    <n v="0.16500000000000001"/>
    <n v="1"/>
    <n v="0"/>
    <n v="202"/>
    <s v="30.000 FAMILIAS MAS SANAS Y FUERTES CON ACOMPAÑAMIENTO INSTITUCIONAL, FAMILIAR Y COMUNITARIO "/>
    <m/>
    <s v=""/>
    <m/>
    <m/>
    <m/>
    <m/>
    <s v="CONTRIBUCIÓN A LA SEGURIDAD ALIMENTARIA Y NUTRICIONAL DE LA POBLACIÓN VULNERABLE DEL DEPARTAMENTO, CON MÁS DE 18 MIL FAMILIAS BENEFICIARIAS DURANTE EL CUATRIENIO CON EL SUMINISTRO DE PAQUETES ALIMENTARIOS, CAPACITACIÓN EN TEMAS DE DINÁMICA FAMILIAR Y CREACIÓN Y/ O FORTALECIMIENTO DE PROYECTOS PRODUCTIVO PARA FAMILIAS EN POBREZA, A TRAVÉS DEL PROGRAMA BANCOS DE ALIMENTOS EN 20 MUNICIPIOS (RECURSOS DE LA GOBERNACIÓN Y MUNICIPIOS). EN 2015, SE IMPLEMENTÓ ESTRATEGIA DE RECOLECCIÓN DE EXCEDENTES AGROALIMENTARIOS, A PARTIR DE LA CUAL SE ESPERA RECOLECTAR A DICIEMBRE 70 TONELADAS. ADICIONALMENTE, SE REALIZÓ ALIANZA ENTRE LA SECRETARÍA DE DESARROLLO SOCIAL Y EL BANCO DE ALIMENTOS DE LA DIÓCESIS DE ZIPAQUIRÁ CON EL FIN DE MEJORAR LA CALIDAD DE VIDA DE LOS MÁS POBRES."/>
    <n v="0"/>
    <m/>
    <n v="116"/>
  </r>
  <r>
    <n v="216"/>
    <x v="0"/>
    <x v="1"/>
    <x v="6"/>
    <s v="POBREZA"/>
    <s v="BENEFICIAR EN EL CUATRIENIO A 5.000 PERSONAS EN SITUACIÓN DE INSEGURIDAD ALIMENTARIA A TRAVÉS DE LAS PLANTAS DE SOYA."/>
    <s v="NO. DE PERSONAS BENEFICIADAS CON PLANTAS DE SOYA EN EL CUATRIENIO"/>
    <s v="PERSONAS"/>
    <s v="I"/>
    <n v="2000"/>
    <n v="7000"/>
    <n v="5000"/>
    <n v="0.16500000000000001"/>
    <n v="1.221E-2"/>
    <n v="370"/>
    <n v="7.3999999999999996E-2"/>
    <n v="370"/>
    <n v="370"/>
    <n v="100"/>
    <n v="100"/>
    <n v="1.221E-2"/>
    <n v="100"/>
    <n v="274000000"/>
    <n v="134000000"/>
    <n v="0"/>
    <n v="0"/>
    <n v="0"/>
    <n v="0"/>
    <n v="0"/>
    <n v="140000000"/>
    <n v="144750000"/>
    <n v="144750000"/>
    <n v="0"/>
    <n v="0"/>
    <n v="0"/>
    <n v="0"/>
    <n v="0"/>
    <n v="0"/>
    <n v="0"/>
    <n v="210000000"/>
    <s v="CORPORACION LEXCOM Y ORGANIZACIONES SOLIDARIAS"/>
    <n v="3.993E-2"/>
    <n v="1210"/>
    <n v="0.24199999999999999"/>
    <n v="500"/>
    <n v="500"/>
    <n v="41.32231404958678"/>
    <n v="41.32231404958678"/>
    <n v="1.6500000000000001E-2"/>
    <n v="41.32231404958678"/>
    <n v="104000000"/>
    <n v="0"/>
    <n v="104000000"/>
    <n v="0"/>
    <n v="0"/>
    <n v="0"/>
    <n v="0"/>
    <n v="0"/>
    <n v="60000000"/>
    <n v="60000000"/>
    <n v="0"/>
    <n v="0"/>
    <n v="0"/>
    <n v="0"/>
    <n v="0"/>
    <n v="0"/>
    <n v="0"/>
    <n v="0"/>
    <n v="0"/>
    <n v="5.6430000000000008E-2"/>
    <n v="1710"/>
    <n v="0.34200000000000003"/>
    <n v="200"/>
    <n v="200"/>
    <n v="1646"/>
    <n v="1646"/>
    <n v="96.257309941520461"/>
    <n v="96.257309941520461"/>
    <n v="5.4317999999999998E-2"/>
    <n v="96.257309941520461"/>
    <n v="5.4317999999999998E-2"/>
    <n v="5.6430000000000008E-2"/>
    <n v="1710"/>
    <n v="0.34200000000000003"/>
    <n v="3400"/>
    <n v="-1690"/>
    <n v="3400"/>
    <n v="198.83040935672514"/>
    <n v="100"/>
    <n v="5.6430000000000008E-2"/>
    <n v="0.11220000000000001"/>
    <n v="240000000"/>
    <n v="240000000"/>
    <n v="0"/>
    <n v="0"/>
    <n v="0"/>
    <n v="0"/>
    <n v="0"/>
    <n v="0"/>
    <n v="0"/>
    <n v="0"/>
    <n v="0"/>
    <n v="0"/>
    <n v="0"/>
    <n v="0"/>
    <n v="0"/>
    <n v="0"/>
    <n v="0"/>
    <n v="0"/>
    <n v="0"/>
    <n v="5916"/>
    <n v="0.16500000000000001"/>
    <n v="118.32"/>
    <n v="100"/>
    <n v="0.16500000000000001"/>
    <n v="0.16500000000000001"/>
    <n v="0.16500000000000001"/>
    <n v="1"/>
    <n v="0"/>
    <n v="200"/>
    <s v="ATENDER EN EL CUATRIENIO A 21,000 FAMILIAS DE LA RED UNIDOS CON SINERGIA DE SECTORES"/>
    <n v="202"/>
    <s v="30.000 FAMILIAS MAS SANAS Y FUERTES CON ACOMPAÑAMIENTO INSTITUCIONAL, FAMILIAR Y COMUNITARIO "/>
    <m/>
    <m/>
    <m/>
    <m/>
    <s v="FORTALECIMIENTO EN 42 PLANTAS PROCESADORAS DE SOYA LIDERADAS EN SU MAYORÍA GRUPOS POR MUJERES CABEZA DE HOGAR DE POBLACIÓN VULNERABLE Y VÍCTIMAS DEL CONFLICTO ARMADO Y 14 PLANTAS UBICADAS QUE BENEFICIAN A ADULTOS MAYORES EN CENTROS DÍA Y NIÑOS DE COLEGIOS. A PARTIR DE ESTE APOYO, SE MEJORA LA NUTRICIÓN DE POBLACIÓN VULNERABLE Y SE GENERAN PROYECTOS PRODUCTIVOS. A HOY MÁS DE 5 MIL BENEFICIARIOS ENTRE MADRES CABEZA DE FAMILIA, NIÑOS QUE ESTÁN EN INSTITUCIONES EDUCATIVAS, VÍCTIMAS DEL CONFLICTO ARMADO Y ADULTOS MAYORES EN CENTROS VIDA SE NUTREN MEJOR CON ALIMENTOS HECHOS EN PLANTAS PROCESADORAS DE SOYA."/>
    <n v="0"/>
    <m/>
    <n v="0"/>
  </r>
  <r>
    <n v="217"/>
    <x v="0"/>
    <x v="2"/>
    <x v="6"/>
    <s v="POBREZA"/>
    <s v="PROMOVER QUE EL 100% DE LAS FAMILIAS EN POBREZA EXTREMA CONOZCAN LAS RUTAS DE ATENCIÓN DE LOS SERVICIOS DE JUSTICIA Y ACCEDAN A ESTOS DE MANERA OPORTUNA Y EFICAZ."/>
    <s v="% DE FAMILIAS EN POBREZA EXTREMA QUE CONOCEN Y ACCEDEN DE MANERA OPORTUNA Y EFICAZ AL SISTEMA DE JUSTICIA."/>
    <s v="PORCENTAJE DE FAMILIAS"/>
    <s v="M"/>
    <n v="0"/>
    <n v="100"/>
    <n v="100"/>
    <n v="0.16500000000000001"/>
    <n v="4.1250000000000002E-2"/>
    <n v="100"/>
    <n v="0.25"/>
    <n v="100"/>
    <n v="25"/>
    <n v="100"/>
    <n v="100"/>
    <n v="4.1250000000000002E-2"/>
    <n v="100"/>
    <n v="0"/>
    <n v="0"/>
    <n v="0"/>
    <n v="0"/>
    <n v="0"/>
    <n v="0"/>
    <n v="0"/>
    <n v="0"/>
    <n v="0"/>
    <n v="0"/>
    <n v="0"/>
    <n v="0"/>
    <n v="0"/>
    <n v="0"/>
    <n v="0"/>
    <n v="0"/>
    <n v="0"/>
    <n v="0"/>
    <n v="0"/>
    <n v="4.1250000000000002E-2"/>
    <n v="100"/>
    <n v="0.25"/>
    <n v="100"/>
    <n v="25"/>
    <n v="100"/>
    <n v="100"/>
    <n v="4.1250000000000002E-2"/>
    <n v="100"/>
    <n v="0"/>
    <n v="0"/>
    <n v="0"/>
    <n v="0"/>
    <n v="0"/>
    <n v="0"/>
    <n v="0"/>
    <n v="0"/>
    <n v="0"/>
    <n v="0"/>
    <n v="0"/>
    <n v="0"/>
    <n v="0"/>
    <n v="0"/>
    <n v="0"/>
    <n v="0"/>
    <n v="0"/>
    <n v="0"/>
    <n v="0"/>
    <n v="4.1250000000000002E-2"/>
    <n v="100"/>
    <n v="0.25"/>
    <n v="116"/>
    <n v="100"/>
    <n v="100"/>
    <n v="25"/>
    <n v="100"/>
    <n v="100"/>
    <n v="4.1250000000000002E-2"/>
    <n v="100"/>
    <n v="4.1250000000000002E-2"/>
    <n v="4.1250000000000002E-2"/>
    <n v="0"/>
    <n v="0.25"/>
    <n v="100"/>
    <n v="-100"/>
    <n v="25"/>
    <n v="0"/>
    <n v="0"/>
    <n v="0"/>
    <n v="0"/>
    <n v="0"/>
    <n v="0"/>
    <n v="0"/>
    <n v="0"/>
    <n v="0"/>
    <n v="0"/>
    <n v="0"/>
    <n v="0"/>
    <n v="0"/>
    <n v="0"/>
    <n v="0"/>
    <n v="0"/>
    <n v="0"/>
    <n v="0"/>
    <n v="0"/>
    <n v="0"/>
    <n v="0"/>
    <n v="0"/>
    <n v="0"/>
    <n v="100"/>
    <n v="0.16500000000000001"/>
    <n v="100"/>
    <n v="100"/>
    <n v="0.16500000000000001"/>
    <n v="0.16500000000000001"/>
    <n v="0.16500000000000001"/>
    <n v="1"/>
    <n v="0"/>
    <n v="202"/>
    <s v="30.000 FAMILIAS MAS SANAS Y FUERTES CON ACOMPAÑAMIENTO INSTITUCIONAL, FAMILIAR Y COMUNITARIO "/>
    <m/>
    <s v=""/>
    <m/>
    <m/>
    <m/>
    <m/>
    <s v="JORNADAS PERMANENTE EN LOS 116 MUNICIPIOS CON EL FIN DE LA DULGACION Y CAPACITACION DE QUE LA POBLACION CONOZCA LOS SERVICIOS DE JUSTICIA Y ACCEDAN DE MANERA EFICAZ Y OPORTUNA"/>
    <n v="0"/>
    <m/>
    <n v="20700"/>
  </r>
  <r>
    <n v="218"/>
    <x v="0"/>
    <x v="0"/>
    <x v="6"/>
    <s v="POBREZA"/>
    <s v="INCREMENTAR EN EL CUATRIENIO EL ÍNDICE DE CAPTACIÓN DE LOS PACIENTES SINTOMÁTICOS DE PIEL Y SISTEMA NERVIOSO PERIFÉRICO A 1 POR CADA 1.000 HABITANTES, "/>
    <s v="ÍNDICE DE CAPTACIÓN DE PACIENTES SINTOMÁTICOS DE PIEL Y SISTEMA NERVIOSO PERIFÉRICO"/>
    <s v="INDICE"/>
    <s v="I"/>
    <n v="0"/>
    <n v="1"/>
    <n v="1"/>
    <n v="8.8999999999999996E-2"/>
    <n v="1.78E-2"/>
    <n v="0.2"/>
    <n v="0.2"/>
    <n v="0.2"/>
    <n v="0.2"/>
    <n v="100"/>
    <n v="100"/>
    <n v="1.78E-2"/>
    <n v="100"/>
    <n v="271798000"/>
    <n v="0"/>
    <n v="0"/>
    <n v="271798000"/>
    <n v="0"/>
    <n v="0"/>
    <n v="0"/>
    <n v="0"/>
    <n v="226346000"/>
    <n v="0"/>
    <n v="0"/>
    <n v="0"/>
    <n v="0"/>
    <n v="0"/>
    <n v="0"/>
    <n v="226346000"/>
    <n v="0"/>
    <n v="0"/>
    <n v="0"/>
    <n v="2.6699999999999998E-2"/>
    <n v="0.3"/>
    <n v="0.3"/>
    <n v="0.3"/>
    <n v="0.3"/>
    <n v="100"/>
    <n v="100"/>
    <n v="2.6699999999999998E-2"/>
    <n v="100"/>
    <n v="90000000"/>
    <n v="0"/>
    <n v="90000000"/>
    <n v="0"/>
    <n v="0"/>
    <n v="0"/>
    <n v="0"/>
    <n v="0"/>
    <n v="65552316"/>
    <n v="0"/>
    <n v="0"/>
    <n v="65552316"/>
    <n v="0"/>
    <n v="0"/>
    <n v="0"/>
    <n v="0"/>
    <n v="0"/>
    <n v="0"/>
    <n v="0"/>
    <n v="2.6699999999999998E-2"/>
    <n v="0.3"/>
    <n v="0.3"/>
    <n v="5.000000074505806E-2"/>
    <n v="0.23000000417232513"/>
    <n v="0.30000001192092896"/>
    <n v="0.30000001192092896"/>
    <n v="100.00000397364299"/>
    <n v="100"/>
    <n v="2.6699999999999998E-2"/>
    <n v="100"/>
    <n v="2.6700001060962677E-2"/>
    <n v="1.78E-2"/>
    <n v="0.2"/>
    <n v="0.2"/>
    <n v="0.2"/>
    <n v="0"/>
    <n v="0.2"/>
    <n v="100"/>
    <n v="100"/>
    <n v="1.78E-2"/>
    <n v="1.78E-2"/>
    <n v="0"/>
    <n v="0"/>
    <n v="0"/>
    <n v="0"/>
    <n v="0"/>
    <n v="0"/>
    <n v="0"/>
    <n v="0"/>
    <n v="0"/>
    <n v="0"/>
    <n v="0"/>
    <n v="0"/>
    <n v="0"/>
    <n v="0"/>
    <n v="0"/>
    <n v="0"/>
    <n v="0"/>
    <n v="0"/>
    <n v="0"/>
    <n v="1.0000000119209289"/>
    <n v="8.8999999999999996E-2"/>
    <n v="100.0000011920929"/>
    <n v="100"/>
    <n v="8.900000000000001E-2"/>
    <n v="8.8999999999999996E-2"/>
    <n v="8.8999999999999996E-2"/>
    <n v="1"/>
    <n v="0"/>
    <n v="202"/>
    <s v="30.000 FAMILIAS MAS SANAS Y FUERTES CON ACOMPAÑAMIENTO INSTITUCIONAL, FAMILIAR Y COMUNITARIO "/>
    <m/>
    <s v=""/>
    <m/>
    <m/>
    <m/>
    <m/>
    <s v="EL DEPARTAMENTO HA LOGRADO Y MANTIENE TASAS DE PREVALENCIAS MENORES A 1 CASO POR 10.000 HABITANTES Y SE HA REDUCIDO LA DISCAPACIDAD GRADO 2 EN LOS CASOS NUEVOS DETECTADOS, SIN EMBARGO ES NECESARIO REFORMULAR LA META A PARTIR DEL 2016 PARA QUE SEA ACORDE A LO PLANTEADO A LA ELIMINACIÓN DE LA LEPRA EN EL PAÍS Y A LAS METAS DE LOS PLANES DECENAL Y ESTRATEGICO DE LA LEPRA, SE PROPONE LAS METAS DE LA MATRIZ Y LOS SIGUIENTES INDICADORES "/>
    <n v="325000000"/>
    <m/>
    <n v="5"/>
  </r>
  <r>
    <n v="219"/>
    <x v="0"/>
    <x v="0"/>
    <x v="6"/>
    <s v="POBREZA"/>
    <s v="INCREMENTAR EN EL CUATRIENIO, EN 10 PUNTOS PORCENTUALES LA BÚSQUEDA DE LAS Y LOS PACIENTES SINTOMÁTICOS RESPIRATORIOS PARA EL DIAGNOSTICO DE LA TUBERCULOSIS PULMONAR"/>
    <s v="ÍNDICE DE CAPTACIÓN DE PACIENTES SINTOMÁTICOS RESPIRATORIOS PARA EL DIAGNOSTICO DE LA TUBERCULOSIS PULMONAR"/>
    <s v="PUNTOS PORCENTUALES"/>
    <s v="I"/>
    <n v="12"/>
    <n v="22"/>
    <n v="10"/>
    <n v="8.8999999999999996E-2"/>
    <n v="1.78E-2"/>
    <n v="2"/>
    <n v="0.2"/>
    <n v="34"/>
    <n v="34"/>
    <n v="1700"/>
    <n v="100"/>
    <n v="1.78E-2"/>
    <n v="100"/>
    <n v="0"/>
    <n v="0"/>
    <n v="0"/>
    <n v="0"/>
    <n v="0"/>
    <n v="0"/>
    <n v="0"/>
    <n v="0"/>
    <n v="565864000"/>
    <n v="0"/>
    <n v="0"/>
    <n v="0"/>
    <n v="0"/>
    <n v="0"/>
    <n v="0"/>
    <n v="565864000"/>
    <n v="0"/>
    <n v="0"/>
    <n v="0"/>
    <n v="2.6699999999999998E-2"/>
    <n v="3"/>
    <n v="0.3"/>
    <n v="4"/>
    <n v="4"/>
    <n v="133.33333333333334"/>
    <n v="100"/>
    <n v="2.6699999999999998E-2"/>
    <n v="100"/>
    <n v="192000000"/>
    <n v="192000000"/>
    <n v="0"/>
    <n v="0"/>
    <n v="0"/>
    <n v="0"/>
    <n v="0"/>
    <n v="0"/>
    <n v="450313218"/>
    <n v="0"/>
    <n v="200000000"/>
    <n v="250313218"/>
    <n v="0"/>
    <n v="0"/>
    <n v="0"/>
    <n v="0"/>
    <n v="0"/>
    <n v="0"/>
    <n v="0"/>
    <n v="2.6699999999999998E-2"/>
    <n v="3"/>
    <n v="0.3"/>
    <n v="2.0999999046325684"/>
    <n v="2.25"/>
    <n v="3"/>
    <n v="3"/>
    <n v="100"/>
    <n v="100"/>
    <n v="2.6699999999999998E-2"/>
    <n v="100"/>
    <n v="2.6699999999999998E-2"/>
    <n v="1.78E-2"/>
    <n v="2"/>
    <n v="0.2"/>
    <n v="2"/>
    <n v="0"/>
    <n v="2"/>
    <n v="100"/>
    <n v="100"/>
    <n v="1.78E-2"/>
    <n v="1.78E-2"/>
    <n v="192000000"/>
    <n v="0"/>
    <n v="192000000"/>
    <n v="0"/>
    <n v="0"/>
    <n v="0"/>
    <n v="0"/>
    <n v="0"/>
    <n v="0"/>
    <n v="0"/>
    <n v="0"/>
    <n v="0"/>
    <n v="0"/>
    <n v="0"/>
    <n v="0"/>
    <n v="0"/>
    <n v="0"/>
    <n v="0"/>
    <n v="0"/>
    <n v="43"/>
    <n v="8.8999999999999996E-2"/>
    <n v="430"/>
    <n v="100"/>
    <n v="8.900000000000001E-2"/>
    <n v="8.8999999999999996E-2"/>
    <n v="8.8999999999999996E-2"/>
    <n v="1"/>
    <n v="0"/>
    <n v="203"/>
    <s v="LOGAR QUE EL 80% DE LOS ENTES TERRITORIALES MUNICIPALES, LAS ENTIDADES RESPONSABLES DE PAGO Y LA RED CONTRATADA POR EL DEPARTAMENTO MEJOREN LOS RESULTADOS EN EL ASEGURAMIENTO Y LA PRESTACIÓN DE SERVICIOS DE SALUD"/>
    <m/>
    <s v=""/>
    <m/>
    <m/>
    <m/>
    <m/>
    <s v="EL DEPARTAMENTO HA MOSTRADO UNA TENDENCIA POSITIVA EN EL INDICADOR DE CAPTACIÓN (BÚSQUEDA DE SINTOMÁTICOS RESPIRATORIOS (SR), CON RELACIÓN A LA LÍNEA DE BASE CON LA QUE INICIO EL CUATRIENIO DE 12.2 %, EN LA META DE CAPTACIÓN DE SINTOMÁTICOS RESPIRATORIOS, EL DEPARTAMENTO HA SOBREPASADO MÁS DE TRES VECES LA META PROPUESTA PARA EL CUATRIENIO. DE MANTENERSE ESTA TENDENCIA LOGRARÍAMOS SOBREPASAR EL RESULTADO ALCANZADO PARA ESTE INDICADOR EN EL AÑO 2014, DEL 38%. OTRO INDICADORMUY IMPORTANTE PARA EL PROGRAMA, ES EL DE EXITO DE CURACIÓN, EL CUAL ALCANZA EL 80%, SE REPORTA A NIVEL NACIONAL Y CUNDINAMARCA OCUPA EL QUINTO LUGAR."/>
    <n v="400000000"/>
    <m/>
    <n v="5"/>
  </r>
  <r>
    <n v="220"/>
    <x v="0"/>
    <x v="0"/>
    <x v="6"/>
    <s v="POBREZA"/>
    <s v="REDUCIR EN EL CUATRENIO LOS ÍNDICES DE INFESTACIÓN LARVARIO AEDES AEGYPTI (DENGUE) AL 10%"/>
    <s v=" ÍNDICE DE INFESTACIÓN LARVARIO AEDES AEGYPTI "/>
    <s v="PUNTOS PORCENTUALES"/>
    <s v="R"/>
    <n v="12"/>
    <n v="10"/>
    <n v="2"/>
    <n v="0.16500000000000001"/>
    <n v="4.1250000000000002E-2"/>
    <n v="11.5"/>
    <n v="0.25"/>
    <n v="9.1999999999999993"/>
    <n v="9.1999999999999993"/>
    <n v="560.00000000000011"/>
    <n v="100"/>
    <n v="4.1250000000000002E-2"/>
    <n v="100"/>
    <n v="1094304000"/>
    <n v="0"/>
    <n v="671000000"/>
    <n v="423304000"/>
    <n v="0"/>
    <n v="0"/>
    <n v="0"/>
    <n v="0"/>
    <n v="3257955000"/>
    <n v="715256000"/>
    <n v="1750489000"/>
    <n v="0"/>
    <n v="0"/>
    <n v="0"/>
    <n v="0"/>
    <n v="792210000"/>
    <n v="0"/>
    <n v="0"/>
    <n v="0"/>
    <n v="4.1250000000000002E-2"/>
    <n v="11"/>
    <n v="0.25"/>
    <n v="11"/>
    <n v="11"/>
    <n v="100"/>
    <n v="100"/>
    <n v="4.1250000000000002E-2"/>
    <n v="100"/>
    <n v="677000000"/>
    <n v="677000000"/>
    <n v="0"/>
    <n v="0"/>
    <n v="0"/>
    <n v="0"/>
    <n v="0"/>
    <n v="0"/>
    <n v="1163310214"/>
    <n v="0"/>
    <n v="614366168"/>
    <n v="548944046"/>
    <n v="0"/>
    <n v="0"/>
    <n v="0"/>
    <n v="0"/>
    <n v="0"/>
    <n v="0"/>
    <n v="0"/>
    <n v="4.1250000000000002E-2"/>
    <n v="10.5"/>
    <n v="0.25"/>
    <n v="1.5"/>
    <n v="1.8"/>
    <n v="9.6999999999999993"/>
    <n v="9.6999999999999993"/>
    <n v="260.00000000000011"/>
    <n v="100"/>
    <n v="4.1250000000000002E-2"/>
    <n v="100"/>
    <n v="0.10725000000000005"/>
    <n v="4.1250000000000002E-2"/>
    <n v="10"/>
    <n v="0.25"/>
    <n v="0.5"/>
    <n v="9.1999999999999993"/>
    <n v="0.5"/>
    <n v="2000"/>
    <n v="100"/>
    <n v="4.1250000000000002E-2"/>
    <n v="0.82499999999999996"/>
    <n v="677000000"/>
    <n v="0"/>
    <n v="677000000"/>
    <n v="0"/>
    <n v="0"/>
    <n v="0"/>
    <n v="0"/>
    <n v="0"/>
    <n v="0"/>
    <n v="0"/>
    <n v="0"/>
    <n v="0"/>
    <n v="0"/>
    <n v="0"/>
    <n v="0"/>
    <n v="0"/>
    <n v="0"/>
    <n v="0"/>
    <n v="0"/>
    <n v="11.5"/>
    <n v="0.16500000000000001"/>
    <n v="575"/>
    <n v="100"/>
    <n v="0.16500000000000001"/>
    <n v="0.16500000000000001"/>
    <n v="0.16500000000000001"/>
    <n v="1"/>
    <n v="0"/>
    <n v="202"/>
    <s v="30.000 FAMILIAS MAS SANAS Y FUERTES CON ACOMPAÑAMIENTO INSTITUCIONAL, FAMILIAR Y COMUNITARIO "/>
    <n v="203"/>
    <s v="LOGAR QUE EL 80% DE LOS ENTES TERRITORIALES MUNICIPALES, LAS ENTIDADES RESPONSABLES DE PAGO Y LA RED CONTRATADA POR EL DEPARTAMENTO MEJOREN LOS RESULTADOS EN EL ASEGURAMIENTO Y LA PRESTACIÓN DE SERVICIOS DE SALUD"/>
    <m/>
    <m/>
    <m/>
    <m/>
    <s v="ES IMPORTATENTE RESALTAR QUE DURANTE ESTE CAUTRENIO SE FORTALERIERON LAS ACCIONES DE PROMOCION, PREVENCION Y CONTROL CON EL FIN DE DIMINUIR LA MORBI-MORTALIDAD, A TREVES DE LA CONTRATRLACION DE 70 AUXILARES ENCARGADOS DE DESRROLLAR ACCIONES PERMAMENTE DE EDUACION Y PREVENCION DE ESTA PATOLOGIA Y CUANDO FUE NECESARIO LA APLICACION DE ACTIVIDES DE CONTROL QUIMICO CON EL FIN DE EVITAR LA PRESENCIA DE BROTES O EPIDEMIAS. SE FORATLECIO EL PROYECTO DE PARTICIPACION SOCIAL EN 25 MUNICIPIO DEL DEPARTAMENTO PROMOVIENDO LA PARTICIPACION SOCIAL Y COMUNITARIA Y ESTIMULIANDO LA CORRESPOINSABILIDAD DE LOS HABITANTES DE LOA MUNICPIOS EN RIESGO CON EL FIN DE BUSCAR PROMOVER ESPACIOS LIBRES DE FACTORES DE RIESGO PARA LA PRESENCIA DE ESTAS PATOLOGIAS Y LO MAS IMPORTANTE LA CREACION DE ENTORNOS SALUDABLES ATREZ DE LOS CUALES SE LOGRO NO SOLAMENTE CONTRIBUIR A MEJORAR LA CONDICION DE SALUD DE LAS PERSONAS SI NO A MEJORAR LA CALIDAD DE VIDA DE LAS POBLACIONES EN REISGO PARA ESTA EVENTO. SE REALIZO EL LANZAMIENTO DE LA ESTRATEGIA COMBI, EN LAS MUNICIPIO DE AGUA DE DIOS Y VILLETA PARA LO CAUL SE CONTO CON LA PARTICIPAICON DE LAS AUTORIDADES MUNICPALES SE PROMOVIO LA PARTICIPACION SOCIAL A TRAVES DE LA CREACION DE GESTORES DE SALUD Y REUNIONES COMUNITARIAS EN LAS CUALES SE BUSCABA CAPACITAR Y SENCIBILIZAR A LA POBLACION EN LA PREVENCION DE ESTE EVENTO Y FINALMENTE SE FORTALECION LA ESTRATEGIA DE INFORMACION, EDUCAION Y COMUNICACION EN 100% DE LOS MUNICIAPOO EN REISGO. "/>
    <n v="4850000000"/>
    <m/>
    <n v="9"/>
  </r>
  <r>
    <n v="221"/>
    <x v="0"/>
    <x v="0"/>
    <x v="6"/>
    <s v="POBREZA"/>
    <s v="INCREMENTAR EN EL CUATRIENIO EN 12.000 PRUEBAS LA COBERTURA PARA EL DIAGNÓSTICO DE VIH EN EL DEPARTAMENTO"/>
    <s v="NO. DE COBERTURA DE PRUEBAS DE VIH"/>
    <s v="PRUEBAS"/>
    <s v="I"/>
    <n v="4000"/>
    <n v="16000"/>
    <n v="12000"/>
    <n v="8.8999999999999996E-2"/>
    <n v="2.2249999999999999E-2"/>
    <n v="3000"/>
    <n v="0.25"/>
    <n v="6706"/>
    <n v="6706"/>
    <n v="223.53333333333333"/>
    <n v="100"/>
    <n v="2.2250000000000002E-2"/>
    <n v="100"/>
    <n v="19000000"/>
    <n v="0"/>
    <n v="19000000"/>
    <n v="0"/>
    <n v="0"/>
    <n v="0"/>
    <n v="0"/>
    <n v="0"/>
    <n v="0"/>
    <n v="0"/>
    <n v="0"/>
    <n v="0"/>
    <n v="0"/>
    <n v="0"/>
    <n v="0"/>
    <n v="0"/>
    <n v="0"/>
    <n v="0"/>
    <n v="0"/>
    <n v="2.2249999999999999E-2"/>
    <n v="3000"/>
    <n v="0.25"/>
    <n v="2585"/>
    <n v="2585"/>
    <n v="86.166666666666671"/>
    <n v="86.166666666666671"/>
    <n v="1.9172083333333333E-2"/>
    <n v="86.166666666666671"/>
    <n v="100000000"/>
    <n v="100000000"/>
    <n v="0"/>
    <n v="0"/>
    <n v="0"/>
    <n v="0"/>
    <n v="0"/>
    <n v="0"/>
    <n v="100199954"/>
    <n v="0"/>
    <n v="100000000"/>
    <n v="199954"/>
    <n v="0"/>
    <n v="0"/>
    <n v="0"/>
    <n v="0"/>
    <n v="0"/>
    <n v="0"/>
    <n v="0"/>
    <n v="2.2249999999999999E-2"/>
    <n v="3000"/>
    <n v="0.25"/>
    <n v="1900"/>
    <n v="4217"/>
    <n v="6500"/>
    <n v="6500"/>
    <n v="216.66666666666666"/>
    <n v="100"/>
    <n v="2.2250000000000002E-2"/>
    <n v="100"/>
    <n v="4.8208333333333325E-2"/>
    <n v="2.2249999999999999E-2"/>
    <n v="3000"/>
    <n v="0.25"/>
    <n v="3000"/>
    <n v="0"/>
    <n v="3000"/>
    <n v="100"/>
    <n v="100"/>
    <n v="2.2250000000000002E-2"/>
    <n v="2.2250000000000002E-2"/>
    <n v="100000000"/>
    <n v="0"/>
    <n v="100000000"/>
    <n v="0"/>
    <n v="0"/>
    <n v="0"/>
    <n v="0"/>
    <n v="0"/>
    <n v="0"/>
    <n v="0"/>
    <n v="0"/>
    <n v="0"/>
    <n v="0"/>
    <n v="0"/>
    <n v="0"/>
    <n v="0"/>
    <n v="0"/>
    <n v="0"/>
    <n v="0"/>
    <n v="18791"/>
    <n v="8.8999999999999996E-2"/>
    <n v="156.59166666666667"/>
    <n v="100"/>
    <n v="8.900000000000001E-2"/>
    <n v="8.8999999999999996E-2"/>
    <n v="8.8999999999999996E-2"/>
    <n v="1"/>
    <n v="0"/>
    <n v="202"/>
    <s v="30.000 FAMILIAS MAS SANAS Y FUERTES CON ACOMPAÑAMIENTO INSTITUCIONAL, FAMILIAR Y COMUNITARIO "/>
    <m/>
    <s v=""/>
    <m/>
    <m/>
    <m/>
    <m/>
    <s v="SE LOGRA CON CORTE A 31 AGOSTO LLEGAR A 22.000 PRUEBAS PARA EL DIAGNOSTICO DE VIH. SIN EMBARGO AL PASAR HACER UNA TECNOLOGIA POS NO SE PROGRAMA PARA EL 2016."/>
    <n v="277000000"/>
    <m/>
    <n v="5"/>
  </r>
  <r>
    <n v="222"/>
    <x v="0"/>
    <x v="0"/>
    <x v="6"/>
    <s v="POBREZA"/>
    <s v="IMPLEMENTAR LA ASISTENCIA TÉCNICA EN EL MARCO DE LA ATENCIÓN DEL SISTEMA GENERAL DE SEGURIDAD SOCIAL EN SALUD EN EL 50% DE LOS MUNICIPIOS Y LAS DEMÁS EMPRESAS ADMINISTRADORAS DE PLANES DE BENEFICIOS"/>
    <s v="% DE ADMINISTRADORAS DE PLANES DE BENEFICIO Y MUNICIPIOS CON ASISTENCIA TÉCNICA IMPLEMENTADA"/>
    <s v="PUNTOS PORCENTUALES"/>
    <s v="I"/>
    <n v="10"/>
    <n v="50"/>
    <n v="40"/>
    <n v="0.16500000000000001"/>
    <n v="2.0625000000000001E-2"/>
    <n v="5"/>
    <n v="0.125"/>
    <n v="5"/>
    <n v="5"/>
    <n v="100"/>
    <n v="100"/>
    <n v="2.0625000000000001E-2"/>
    <n v="100"/>
    <n v="115596000000"/>
    <n v="0"/>
    <n v="100346000000"/>
    <n v="15250000000"/>
    <n v="0"/>
    <n v="0"/>
    <n v="0"/>
    <n v="0"/>
    <n v="9826762000"/>
    <n v="2145769000"/>
    <n v="7001956000"/>
    <n v="0"/>
    <n v="0"/>
    <n v="0"/>
    <n v="0"/>
    <n v="679037000"/>
    <n v="0"/>
    <n v="0"/>
    <n v="0"/>
    <n v="6.1874999999999999E-2"/>
    <n v="15"/>
    <n v="0.375"/>
    <n v="15"/>
    <n v="15"/>
    <n v="100"/>
    <n v="100"/>
    <n v="6.1874999999999999E-2"/>
    <n v="100"/>
    <n v="351000000"/>
    <n v="0"/>
    <n v="351000000"/>
    <n v="0"/>
    <n v="0"/>
    <n v="0"/>
    <n v="0"/>
    <n v="0"/>
    <n v="0"/>
    <n v="0"/>
    <n v="0"/>
    <n v="0"/>
    <n v="0"/>
    <n v="0"/>
    <n v="0"/>
    <n v="0"/>
    <n v="0"/>
    <n v="0"/>
    <n v="0"/>
    <n v="6.1874999999999999E-2"/>
    <n v="15"/>
    <n v="0.375"/>
    <n v="5"/>
    <n v="15"/>
    <n v="15"/>
    <n v="15"/>
    <n v="100"/>
    <n v="100"/>
    <n v="6.1874999999999999E-2"/>
    <n v="100"/>
    <n v="6.1874999999999999E-2"/>
    <n v="2.0625000000000001E-2"/>
    <n v="5"/>
    <n v="0.125"/>
    <n v="5"/>
    <n v="0"/>
    <n v="5"/>
    <n v="100"/>
    <n v="100"/>
    <n v="2.0625000000000001E-2"/>
    <n v="2.0625000000000001E-2"/>
    <n v="810000000"/>
    <n v="810000000"/>
    <n v="0"/>
    <n v="0"/>
    <n v="0"/>
    <n v="0"/>
    <n v="0"/>
    <n v="0"/>
    <n v="0"/>
    <n v="0"/>
    <n v="0"/>
    <n v="0"/>
    <n v="0"/>
    <n v="0"/>
    <n v="0"/>
    <n v="0"/>
    <n v="0"/>
    <n v="0"/>
    <n v="0"/>
    <n v="40"/>
    <n v="0.16500000000000001"/>
    <n v="100"/>
    <n v="100"/>
    <n v="0.16500000000000001"/>
    <n v="0.16500000000000001"/>
    <n v="0.16500000000000001"/>
    <n v="1"/>
    <n v="0"/>
    <n v="202"/>
    <s v="30.000 FAMILIAS MAS SANAS Y FUERTES CON ACOMPAÑAMIENTO INSTITUCIONAL, FAMILIAR Y COMUNITARIO "/>
    <n v="203"/>
    <s v="LOGAR QUE EL 80% DE LOS ENTES TERRITORIALES MUNICIPALES, LAS ENTIDADES RESPONSABLES DE PAGO Y LA RED CONTRATADA POR EL DEPARTAMENTO MEJOREN LOS RESULTADOS EN EL ASEGURAMIENTO Y LA PRESTACIÓN DE SERVICIOS DE SALUD"/>
    <m/>
    <m/>
    <m/>
    <m/>
    <s v="A TRAVÉS DE LA ASISTENCIA TÉCNICA REALIZADA A 103 MUNICIPIOS Y 8 EAPB DEL DEPARTAMENTO, SE LOGRA LA GARANTÍA Y LA OPORTUNIDAD EN EL ACCESO A LOS SERVICIOS DE SALUD DE LA POBLACIÓN POBRE Y VULNERABLE DEL DEPARTAMENTO, POBLACIONES ESPECIALES, POBLACIÓN VÍCTIMA DEL CONFLICTO ARMADO Y NO AFILIADA DEL DEPARTAMENTO"/>
    <n v="19600000000"/>
    <m/>
    <n v="8000"/>
  </r>
  <r>
    <n v="223"/>
    <x v="0"/>
    <x v="0"/>
    <x v="6"/>
    <s v="POBREZA"/>
    <s v="GESTIONAR EL ACCESO A LA PRESTACIÓN DE SERVICIOS DE SALUD AL 100% DE LA POBLACIÓN POBRE NO ASEGURADA QUE DEMANDE LAS ATENCIONES EN SALUD Y AFILIADA AL RÉGIMEN SUBSIDIADO EN LO NO CUBIERTO POR SUBSIDIOS A LA DEMANDA DEL DEPARTAMENTO"/>
    <s v="% DE PERSONAS ATENDIDAS DE LA POBLACIÓN POBRE NO ASEGURADA Y AFILIADA AL RÉGIMEN SUBSIDIADO EN LO NO CUBIERTO POR SUBSIDIOS QUE DEMANDAN SERVICIOS DE SALUD"/>
    <s v="PORCENTAJE DE PERSONAS"/>
    <s v="M"/>
    <n v="1"/>
    <n v="100"/>
    <n v="100"/>
    <n v="0.25"/>
    <n v="6.25E-2"/>
    <n v="100"/>
    <n v="0.25"/>
    <n v="100"/>
    <n v="25"/>
    <n v="100"/>
    <n v="100"/>
    <n v="6.25E-2"/>
    <n v="100"/>
    <n v="99807000"/>
    <n v="0"/>
    <n v="99807000"/>
    <n v="0"/>
    <n v="0"/>
    <n v="0"/>
    <n v="0"/>
    <n v="0"/>
    <n v="149358942000"/>
    <n v="0"/>
    <n v="0"/>
    <n v="0"/>
    <n v="0"/>
    <n v="0"/>
    <n v="0"/>
    <n v="149358942000"/>
    <n v="0"/>
    <n v="0"/>
    <n v="0"/>
    <n v="6.25E-2"/>
    <n v="100"/>
    <n v="0.25"/>
    <n v="100"/>
    <n v="25"/>
    <n v="100"/>
    <n v="100"/>
    <n v="6.25E-2"/>
    <n v="100"/>
    <n v="110261000000"/>
    <n v="110261000"/>
    <n v="0"/>
    <n v="0"/>
    <n v="0"/>
    <n v="0"/>
    <n v="0"/>
    <n v="0"/>
    <n v="70876829574"/>
    <n v="3165566739"/>
    <n v="60278745886"/>
    <n v="7432516949"/>
    <n v="0"/>
    <n v="0"/>
    <n v="0"/>
    <n v="0"/>
    <n v="0"/>
    <n v="0"/>
    <n v="0"/>
    <n v="6.25E-2"/>
    <n v="100"/>
    <n v="0.25"/>
    <n v="100"/>
    <n v="100"/>
    <n v="100"/>
    <n v="25"/>
    <n v="100"/>
    <n v="100"/>
    <n v="6.25E-2"/>
    <n v="100"/>
    <n v="6.25E-2"/>
    <n v="6.25E-2"/>
    <n v="100"/>
    <n v="0.25"/>
    <n v="100"/>
    <n v="0"/>
    <n v="25"/>
    <n v="100"/>
    <n v="100"/>
    <n v="6.25E-2"/>
    <n v="6.25E-2"/>
    <n v="94134000000"/>
    <n v="0"/>
    <n v="94134000"/>
    <n v="0"/>
    <n v="0"/>
    <n v="0"/>
    <n v="0"/>
    <n v="0"/>
    <n v="0"/>
    <n v="0"/>
    <n v="0"/>
    <n v="0"/>
    <n v="0"/>
    <n v="0"/>
    <n v="0"/>
    <n v="0"/>
    <n v="0"/>
    <n v="0"/>
    <n v="0"/>
    <n v="100"/>
    <n v="0.25"/>
    <n v="100"/>
    <n v="100"/>
    <n v="0.25"/>
    <n v="0.25"/>
    <n v="0.25"/>
    <n v="1"/>
    <n v="0"/>
    <n v="202"/>
    <s v="30.000 FAMILIAS MAS SANAS Y FUERTES CON ACOMPAÑAMIENTO INSTITUCIONAL, FAMILIAR Y COMUNITARIO "/>
    <m/>
    <s v=""/>
    <m/>
    <m/>
    <m/>
    <m/>
    <s v="1. DISMINUIR EN 51% CON RESPECTO AL 2011 EL NÚMERO DE PERSONAS POBRES NO AFILIADAS EN EL DEPARTAMENTO PARA UN TOTAL DE 64.113 PERSONAS PPNA EN EL 2014._x000a_2. REALIZAR EL PAGO EFECTIVO DE LA CARTERA DE LA VIGENCIA 2015, DE ACUERDO CON EL PRESUPUESTO ADJUDICADO POR UN VALOR DE $18.204, DONDE PARA EL PRIMER SEMESTRE DE 2015 SE HA LOGRADO UN PAGO EFECTIVO DE $8.500 (QUE CORRESPONDEN AL 65% DE LO GESTIONADO PARA PAGO)_x000a_3. INCREMENTAR LA RED DE PRESTADORES DE SERVICIOS DE SALUD (HOSPITAL DEPARTAMENTAL DE VILLAVICENCIO, HOSPITAL SAN FÉLIX DE LA DORADA, Y CLÍNICA DE ESPECIALISTAS LA CELAD).4. DAR CONTINUIDAD EN EL SEGUIMIENTO A LA GARANTÍA EN LA CALIDAD DE LA PRESTACIÓN DE LOS SERVICIOS DE LA RED ADSCRITA Y NO ADSCRITA DEL DEPARTAMENTO._x000a_5. EN CUANTO A LA INTEGRALIDAD, LA OPORTUNIDAD Y CAPACIDAD DE RESPUESTA A LAS NECESIDADES DE LOS PACIENTES CON PATOLOGÍAS CRÓNICAS IRREVERSIBLES, Y EN EL SUMINISTRO DE INSUMOS MÉDICOS Y/O AYUDAS TÉCNICAS A LA POBLACIÓN POBRE NO AFILIADA, POBLACIONES ESPECIALES, Y LA AFILIADA AL RÉGIMEN SUBSIDIADO EN LO NO CUBIERTO POR SUBSIDIOS A LA DEMANDA._x000a_"/>
    <n v="0"/>
    <m/>
    <n v="9"/>
  </r>
  <r>
    <n v="224"/>
    <x v="0"/>
    <x v="0"/>
    <x v="6"/>
    <s v="POBREZA"/>
    <s v="MONITOREAR EN EL 60% DE LAS EMPRESAS ADMINISTRADORAS DE PLANES DE BENEFICIO LA CALIDAD DE LA PRESTACIÓN DE LOS SERVICIOS DE SALUD A LA POBLACIÓN ASEGURADA"/>
    <s v="% DE EMPRESAS ADMINISTRADORAS DE PLANES DE BENEFICIO MONITOREADAS"/>
    <s v="PORCENTAJE DE EMPRESAS"/>
    <s v="I"/>
    <n v="0"/>
    <n v="60"/>
    <n v="60"/>
    <n v="0.16500000000000001"/>
    <n v="1.375E-2"/>
    <n v="5"/>
    <n v="8.3333333333333329E-2"/>
    <n v="5"/>
    <n v="5"/>
    <n v="100"/>
    <n v="100"/>
    <n v="1.375E-2"/>
    <n v="100"/>
    <n v="0"/>
    <n v="0"/>
    <n v="0"/>
    <n v="0"/>
    <n v="0"/>
    <n v="0"/>
    <n v="0"/>
    <n v="0"/>
    <n v="0"/>
    <n v="0"/>
    <n v="0"/>
    <n v="0"/>
    <n v="0"/>
    <n v="0"/>
    <n v="0"/>
    <n v="0"/>
    <n v="0"/>
    <n v="0"/>
    <n v="0"/>
    <n v="2.75E-2"/>
    <n v="10"/>
    <n v="0.16666666666666666"/>
    <n v="10"/>
    <n v="10"/>
    <n v="100"/>
    <n v="100"/>
    <n v="2.75E-2"/>
    <n v="100"/>
    <n v="104000000"/>
    <n v="0"/>
    <n v="104000000"/>
    <n v="0"/>
    <n v="0"/>
    <n v="0"/>
    <n v="0"/>
    <n v="0"/>
    <n v="0"/>
    <n v="0"/>
    <n v="0"/>
    <n v="0"/>
    <n v="0"/>
    <n v="0"/>
    <n v="0"/>
    <n v="0"/>
    <n v="0"/>
    <n v="0"/>
    <n v="0"/>
    <n v="6.8750000000000006E-2"/>
    <n v="25"/>
    <n v="0.41666666666666669"/>
    <n v="5"/>
    <n v="22"/>
    <n v="25"/>
    <n v="25"/>
    <n v="100"/>
    <n v="100"/>
    <n v="6.8750000000000006E-2"/>
    <n v="100"/>
    <n v="6.8750000000000006E-2"/>
    <n v="5.5E-2"/>
    <n v="20"/>
    <n v="0.33333333333333331"/>
    <n v="20"/>
    <n v="0"/>
    <n v="20"/>
    <n v="100"/>
    <n v="100"/>
    <n v="5.5E-2"/>
    <n v="5.5E-2"/>
    <n v="240000000"/>
    <n v="240000000"/>
    <n v="0"/>
    <n v="0"/>
    <n v="0"/>
    <n v="0"/>
    <n v="0"/>
    <n v="0"/>
    <n v="0"/>
    <n v="0"/>
    <n v="0"/>
    <n v="0"/>
    <n v="0"/>
    <n v="0"/>
    <n v="0"/>
    <n v="0"/>
    <n v="0"/>
    <n v="0"/>
    <n v="0"/>
    <n v="60"/>
    <n v="0.16500000000000001"/>
    <n v="100"/>
    <n v="100"/>
    <n v="0.16500000000000001"/>
    <n v="0.16500000000000001"/>
    <n v="0.16500000000000001"/>
    <n v="1"/>
    <n v="0"/>
    <n v="203"/>
    <s v="LOGAR QUE EL 80% DE LOS ENTES TERRITORIALES MUNICIPALES, LAS ENTIDADES RESPONSABLES DE PAGO Y LA RED CONTRATADA POR EL DEPARTAMENTO MEJOREN LOS RESULTADOS EN EL ASEGURAMIENTO Y LA PRESTACIÓN DE SERVICIOS DE SALUD"/>
    <m/>
    <s v=""/>
    <m/>
    <m/>
    <m/>
    <m/>
    <s v="MEDIANTE EL SEGUIMIENTO CON EL RESPECTIVO ANÁLISIS DE LOS INDICADORES DE ALERTA TEMPRANA, DE CALIDAD OBSERVADA Y ESPERADA Y DE LOS PLANES DE MEJORAMIENTO IMPLEMENTADOS COMO FACTOR DETERMINANTE DE LA VERIFICACIÓN DE LA CALIDAD EN LA PRESTACIÓN DE LOS SERVICIOS DE SALUD EN EL 100% DE LAS EMPRESAS ADMINISTRADORAS DE PLANES DE BENEFICIOS EAPB, SE HA LOGRADO IDENTIFICAR LAS EAPB QUE HAN REPORTADO INDICADORES SUPERIORES AL 45%, CON RESPECTO A LOS INDICADORES DE LA CALIDAD ESPERADA POR EL DEPARTAMENTO"/>
    <n v="24223000000"/>
    <m/>
    <n v="808"/>
  </r>
  <r>
    <n v="225"/>
    <x v="0"/>
    <x v="5"/>
    <x v="6"/>
    <s v="ETNIAS"/>
    <s v="APOYAR A LA POBLACIÓN PERTENECIENTES A GRUPOS ETNICOS, RESPETANDO SU COSMOVISION, SABERES, IDENTIDAD CULTURAL E IMAGINARIOS, CON 5 EVENTOS ARTÍSTICOS Y/O CULTURALES FOCALIZADOS DURANTE EL CUATRIENIO"/>
    <s v="NO. DE EVENTOS ARTÍSTICOS Y/O CULTURALES FOCALIZADAS A LA POBLACIÓN PERTENECIENTE A GRUPOS ÉTNICOS"/>
    <s v="EVENTOS"/>
    <s v="I"/>
    <n v="0"/>
    <n v="5"/>
    <n v="5"/>
    <n v="0.16500000000000001"/>
    <n v="0"/>
    <n v="0"/>
    <n v="0"/>
    <n v="0"/>
    <n v="0"/>
    <n v="0"/>
    <n v="0"/>
    <n v="0"/>
    <n v="0"/>
    <n v="0"/>
    <n v="0"/>
    <n v="0"/>
    <n v="0"/>
    <n v="0"/>
    <n v="0"/>
    <n v="0"/>
    <n v="0"/>
    <n v="0"/>
    <n v="0"/>
    <n v="0"/>
    <n v="0"/>
    <n v="0"/>
    <n v="0"/>
    <n v="0"/>
    <n v="0"/>
    <n v="0"/>
    <n v="0"/>
    <n v="0"/>
    <n v="6.6000000000000003E-2"/>
    <n v="2"/>
    <n v="0.4"/>
    <n v="2"/>
    <n v="2"/>
    <n v="100"/>
    <n v="100"/>
    <n v="6.6000000000000003E-2"/>
    <n v="100"/>
    <n v="20000000"/>
    <n v="0"/>
    <n v="20000000"/>
    <n v="0"/>
    <n v="0"/>
    <n v="0"/>
    <n v="0"/>
    <n v="0"/>
    <n v="12000000"/>
    <n v="12000000"/>
    <n v="0"/>
    <n v="0"/>
    <n v="0"/>
    <n v="0"/>
    <n v="0"/>
    <n v="0"/>
    <n v="0"/>
    <n v="0"/>
    <n v="0"/>
    <n v="6.6000000000000003E-2"/>
    <n v="2"/>
    <n v="0.4"/>
    <n v="2"/>
    <n v="4"/>
    <n v="2"/>
    <n v="2"/>
    <n v="100"/>
    <n v="100"/>
    <n v="6.6000000000000003E-2"/>
    <n v="100"/>
    <n v="6.6000000000000003E-2"/>
    <n v="3.3000000000000002E-2"/>
    <n v="1"/>
    <n v="0.2"/>
    <n v="1"/>
    <n v="0"/>
    <n v="1"/>
    <n v="100"/>
    <n v="100"/>
    <n v="3.3000000000000002E-2"/>
    <n v="3.3000000000000002E-2"/>
    <n v="11000000"/>
    <n v="11000000"/>
    <n v="0"/>
    <n v="0"/>
    <n v="0"/>
    <n v="0"/>
    <n v="0"/>
    <n v="0"/>
    <n v="0"/>
    <n v="0"/>
    <n v="0"/>
    <n v="0"/>
    <n v="0"/>
    <n v="0"/>
    <n v="0"/>
    <n v="0"/>
    <n v="0"/>
    <n v="0"/>
    <n v="0"/>
    <n v="5"/>
    <n v="0.16500000000000001"/>
    <n v="100"/>
    <n v="100"/>
    <n v="0.16500000000000001"/>
    <n v="0.16500000000000001"/>
    <n v="0.16500000000000001"/>
    <n v="1"/>
    <n v="0"/>
    <n v="202"/>
    <s v="30.000 FAMILIAS MAS SANAS Y FUERTES CON ACOMPAÑAMIENTO INSTITUCIONAL, FAMILIAR Y COMUNITARIO "/>
    <m/>
    <s v=""/>
    <m/>
    <m/>
    <m/>
    <m/>
    <s v="SE HA TENIDO PARTICIPACIÓN EN LA MESA DE ETNIAS DONDE SE ACORDÓ QUE EL SECTOR CULTURAL AUNARÁ ESFUERZOS CON LA SECRETARÍA DE DESARROLLO SOCIAL Y EL ICBF, PARA EL RESCATE Y CONSERVACIÓN DE SUS TRADICIONES DE LA CULTURA WUAMNAN ASENTADAS EN EL MUNICIPIO DE LA MESA, ASÍ MISMO MEDIANTE LOS ENCUENTROS CULTURALES QUE CONVOCÓ A LAS COMUNIDADES MUISCAS IDENTIFICADAS EN CUNDINAMARCA, SE CONTRIBUYÓ AL RESCATE DE SUS TRADICIONES Y MANIFESTACIONES CULTURALES."/>
    <n v="0"/>
    <m/>
    <n v="2"/>
  </r>
  <r>
    <n v="226"/>
    <x v="0"/>
    <x v="1"/>
    <x v="6"/>
    <s v="ETNIAS"/>
    <s v="APOYAR PARTICIPATIVAMENTE DURANTE EL CUATRIENIO 3 PLANES DE VIDA PARA GRUPOS INDIGENAS"/>
    <s v="NO. DE PLANES DE VIDA PARA GRUPOS INDÍGENAS CONSTRUIDOS "/>
    <s v="PLANES DE VIDA"/>
    <s v="I"/>
    <n v="0"/>
    <n v="3"/>
    <n v="3"/>
    <n v="0.16500000000000001"/>
    <n v="0"/>
    <n v="0"/>
    <n v="0"/>
    <n v="0"/>
    <n v="0"/>
    <n v="0"/>
    <n v="0"/>
    <n v="0"/>
    <n v="0"/>
    <n v="0"/>
    <n v="0"/>
    <n v="0"/>
    <n v="0"/>
    <n v="0"/>
    <n v="0"/>
    <n v="0"/>
    <n v="0"/>
    <n v="19980000"/>
    <n v="19980000"/>
    <n v="0"/>
    <n v="0"/>
    <n v="0"/>
    <n v="0"/>
    <n v="0"/>
    <n v="0"/>
    <n v="0"/>
    <n v="0"/>
    <s v="-"/>
    <n v="0"/>
    <n v="0"/>
    <n v="0"/>
    <n v="0"/>
    <n v="0"/>
    <n v="0"/>
    <n v="0"/>
    <n v="0"/>
    <n v="0"/>
    <n v="16000000"/>
    <n v="0"/>
    <n v="16000000"/>
    <n v="0"/>
    <n v="0"/>
    <n v="0"/>
    <n v="0"/>
    <n v="0"/>
    <n v="0"/>
    <n v="0"/>
    <n v="0"/>
    <n v="0"/>
    <n v="0"/>
    <n v="0"/>
    <n v="0"/>
    <n v="0"/>
    <n v="0"/>
    <n v="0"/>
    <n v="0"/>
    <n v="0.11"/>
    <n v="2"/>
    <n v="0.66666666666666663"/>
    <n v="0"/>
    <n v="2"/>
    <n v="2"/>
    <n v="2"/>
    <n v="100"/>
    <n v="100"/>
    <n v="0.11"/>
    <n v="100"/>
    <n v="0.11"/>
    <n v="5.5E-2"/>
    <n v="1"/>
    <n v="0.33333333333333331"/>
    <n v="1"/>
    <n v="0"/>
    <n v="1"/>
    <n v="100"/>
    <n v="100"/>
    <n v="5.5E-2"/>
    <n v="5.5E-2"/>
    <n v="36000000"/>
    <n v="36000000"/>
    <n v="0"/>
    <n v="0"/>
    <n v="0"/>
    <n v="0"/>
    <n v="0"/>
    <n v="0"/>
    <n v="0"/>
    <n v="0"/>
    <n v="0"/>
    <n v="0"/>
    <n v="0"/>
    <n v="0"/>
    <n v="0"/>
    <n v="0"/>
    <n v="0"/>
    <n v="0"/>
    <n v="0"/>
    <n v="3"/>
    <n v="0.16500000000000001"/>
    <n v="100"/>
    <n v="100"/>
    <n v="0.16500000000000001"/>
    <n v="0.16500000000000001"/>
    <n v="0.16500000000000001"/>
    <n v="1"/>
    <n v="0"/>
    <n v="202"/>
    <s v="30.000 FAMILIAS MAS SANAS Y FUERTES CON ACOMPAÑAMIENTO INSTITUCIONAL, FAMILIAR Y COMUNITARIO "/>
    <m/>
    <s v=""/>
    <m/>
    <m/>
    <m/>
    <m/>
    <s v="ARTICULACIÓN A TRAVES DE LAS INSTANCIAS DEPARTAMENTALES Y NACIONALES PARA AUNAR ESFUERZOS ECONÓMICOS, TÉCNICOS Y HUMANOS EN EL ACOMPAÑAMIENTO PARA EL DESARROLLO DE PROCESOS DE FORTALECIMIENTO ORGANIZATIVO, PRODUCTIVO QUE PERMITA A LA SECRETARIA DINAMIZAR EN LOS PROCESOS DE LOS PLANES DE VIDA DE LAS 4 COMUNIDADES INDIGENAS (MUISCAS, KICHWA) ENTRE OTRAS, RECONOCIDAS ANTE EL MINISTERIO DEL INTERIOR."/>
    <n v="290000000"/>
    <m/>
    <n v="1"/>
  </r>
  <r>
    <n v="227"/>
    <x v="0"/>
    <x v="1"/>
    <x v="6"/>
    <s v="ETNIAS"/>
    <s v="IMPLEMENTAR Y EJECUTAR UN PROYECTO DE RECONOCIMIENTO Y AUTORRECONOCIMIENTO DE LA IDENTIDAD ETNICA."/>
    <s v="NO. DE PROYECTOS DE IDENTIDAD ETNICA IMPLEMENTADOS"/>
    <s v="PROYECTO"/>
    <s v="I"/>
    <n v="0"/>
    <n v="1"/>
    <n v="1"/>
    <n v="0.16500000000000001"/>
    <n v="0.16500000000000001"/>
    <n v="1"/>
    <n v="1"/>
    <n v="0.5"/>
    <n v="0.5"/>
    <n v="50"/>
    <n v="50"/>
    <n v="8.2500000000000004E-2"/>
    <n v="50"/>
    <n v="20000000"/>
    <n v="20000000"/>
    <n v="0"/>
    <n v="0"/>
    <n v="0"/>
    <n v="0"/>
    <n v="0"/>
    <n v="0"/>
    <n v="79865000"/>
    <n v="79865000"/>
    <n v="0"/>
    <n v="0"/>
    <n v="0"/>
    <n v="0"/>
    <n v="0"/>
    <n v="0"/>
    <n v="0"/>
    <n v="0"/>
    <n v="0"/>
    <n v="0"/>
    <n v="0"/>
    <n v="0"/>
    <n v="0"/>
    <n v="0"/>
    <n v="0"/>
    <n v="0"/>
    <n v="0"/>
    <n v="0"/>
    <n v="0"/>
    <n v="0"/>
    <n v="0"/>
    <n v="0"/>
    <n v="0"/>
    <n v="0"/>
    <n v="0"/>
    <n v="0"/>
    <n v="0"/>
    <n v="0"/>
    <n v="0"/>
    <n v="0"/>
    <n v="0"/>
    <n v="0"/>
    <n v="0"/>
    <n v="0"/>
    <n v="0"/>
    <n v="0"/>
    <n v="0"/>
    <n v="0"/>
    <n v="0"/>
    <n v="0"/>
    <n v="1"/>
    <n v="0"/>
    <n v="0"/>
    <n v="0"/>
    <n v="0"/>
    <n v="0"/>
    <n v="0"/>
    <n v="0"/>
    <n v="0"/>
    <n v="0"/>
    <n v="0"/>
    <n v="0"/>
    <n v="1"/>
    <n v="-1"/>
    <n v="1"/>
    <n v="0"/>
    <n v="0"/>
    <n v="0"/>
    <n v="0"/>
    <n v="0"/>
    <n v="0"/>
    <n v="0"/>
    <n v="0"/>
    <n v="0"/>
    <n v="0"/>
    <n v="0"/>
    <n v="0"/>
    <n v="0"/>
    <n v="0"/>
    <n v="0"/>
    <n v="0"/>
    <n v="0"/>
    <n v="0"/>
    <n v="0"/>
    <n v="0"/>
    <n v="0"/>
    <n v="0"/>
    <n v="0"/>
    <n v="1.5"/>
    <n v="0.16500000000000001"/>
    <n v="150"/>
    <n v="100"/>
    <n v="0.16500000000000001"/>
    <n v="0.16500000000000001"/>
    <n v="0.16500000000000001"/>
    <n v="1"/>
    <n v="0"/>
    <n v="202"/>
    <s v="30.000 FAMILIAS MAS SANAS Y FUERTES CON ACOMPAÑAMIENTO INSTITUCIONAL, FAMILIAR Y COMUNITARIO "/>
    <m/>
    <s v=""/>
    <m/>
    <m/>
    <m/>
    <m/>
    <s v="ACOMPAÑAMIENTO Y SEGUIMIENTO AL PROYECTO DE HABILIDADES CULINARIAS DE LA POBLACIÓN AFROCOLOMBIANA RESIDENTE EN EL MUNICIPIO DE GIRARDOT, PARA LOGRAR EL RECONOCIMIENTO DE LA CULTURA AFROCOLOMBIANA A TRAVÉS DE ESTRATEGIAS DE VISIBILIZACIÓN Y SENSIBILIZACIÓN PARA LA INCLUSIÓN DE LA CULTURA AFRO EN LA COMUNIDAD CUNDINAMARQUESA. "/>
    <n v="0"/>
    <m/>
    <n v="4"/>
  </r>
  <r>
    <n v="228"/>
    <x v="0"/>
    <x v="1"/>
    <x v="6"/>
    <s v="ETNIAS"/>
    <s v="6 COMUNIDADES PERTENECIENTES A GRUPOS ETNICOS FORTALECIDAS Y ASESORADAS EN GESTION, AUTODETERMINACION, PRODUCTIVIDAD, INSTITUCIONALIDAD Y LIDERAZGO."/>
    <s v="NO DE COMUNIDADES ASESORADAS"/>
    <s v="COMUNIDADES"/>
    <s v="I"/>
    <n v="0"/>
    <n v="6"/>
    <n v="6"/>
    <n v="0.16500000000000001"/>
    <n v="2.75E-2"/>
    <n v="1"/>
    <n v="0.16666666666666666"/>
    <n v="1"/>
    <n v="1"/>
    <n v="100"/>
    <n v="100"/>
    <n v="2.75E-2"/>
    <n v="100"/>
    <n v="85000000"/>
    <n v="85000000"/>
    <n v="0"/>
    <n v="0"/>
    <n v="0"/>
    <n v="0"/>
    <n v="0"/>
    <n v="0"/>
    <n v="19960000"/>
    <n v="19960000"/>
    <n v="0"/>
    <n v="0"/>
    <n v="0"/>
    <n v="0"/>
    <n v="0"/>
    <n v="0"/>
    <n v="0"/>
    <n v="0"/>
    <n v="0"/>
    <n v="2.75E-2"/>
    <n v="1"/>
    <n v="0.16666666666666666"/>
    <n v="1"/>
    <n v="1"/>
    <n v="100"/>
    <n v="100"/>
    <n v="2.75E-2"/>
    <n v="100"/>
    <n v="12000000"/>
    <n v="0"/>
    <n v="12000000"/>
    <n v="0"/>
    <n v="0"/>
    <n v="0"/>
    <n v="0"/>
    <n v="0"/>
    <n v="0"/>
    <n v="0"/>
    <n v="0"/>
    <n v="0"/>
    <n v="0"/>
    <n v="0"/>
    <n v="0"/>
    <n v="0"/>
    <n v="0"/>
    <n v="0"/>
    <n v="0"/>
    <n v="5.5E-2"/>
    <n v="2"/>
    <n v="0.33333333333333331"/>
    <n v="5"/>
    <n v="5"/>
    <n v="5"/>
    <n v="5"/>
    <n v="250"/>
    <n v="100"/>
    <n v="5.5E-2"/>
    <n v="100"/>
    <n v="0.13750000000000001"/>
    <n v="5.5E-2"/>
    <n v="2"/>
    <n v="0.33333333333333331"/>
    <n v="1"/>
    <n v="1"/>
    <n v="1"/>
    <n v="50"/>
    <n v="50"/>
    <n v="2.75E-2"/>
    <n v="2.75E-2"/>
    <n v="27000000"/>
    <n v="27000000"/>
    <n v="0"/>
    <n v="0"/>
    <n v="0"/>
    <n v="0"/>
    <n v="0"/>
    <n v="0"/>
    <n v="0"/>
    <n v="0"/>
    <n v="0"/>
    <n v="0"/>
    <n v="0"/>
    <n v="0"/>
    <n v="0"/>
    <n v="0"/>
    <n v="0"/>
    <n v="0"/>
    <n v="0"/>
    <n v="8"/>
    <n v="0.16500000000000001"/>
    <n v="133.33333333333334"/>
    <n v="100"/>
    <n v="0.16500000000000001"/>
    <n v="0.16500000000000001"/>
    <n v="0.16500000000000001"/>
    <n v="1"/>
    <n v="0"/>
    <n v="202"/>
    <s v="30.000 FAMILIAS MAS SANAS Y FUERTES CON ACOMPAÑAMIENTO INSTITUCIONAL, FAMILIAR Y COMUNITARIO "/>
    <m/>
    <s v=""/>
    <m/>
    <m/>
    <m/>
    <m/>
    <s v="A TRAVES DE LA IMPLEMENTACION DE LOS PROCESOS PRODUCTIVOS DIRIGIDOS A COMUNIDADES ETNICAS EXISTENTES EN EL DEPARTAMENTO, SE FORTALECIERON RESCATE DE SABERES Y TRADICIONES ANCESTRALES (GASTRONOMÍA, EXPRESIONES ARTÍSTICAS), ARTES Y OFICIOS (TEJIDOS, CERÁMICA) PARA LOGRAR EL RECONOCIMIENTO DE LAS COMUNIDADES ETNICAS EN EL DEPARTAMENTO DE CUNDINAMARCA, LAS CUALES SE LOGRARON CON PROCESOS DE ARTICULACIÓN CON ENTIDADES PARA EL CONOCIMIENTO DEL MARCO NORMATIVO DE PROTECCIÓN ÉTNICA, YA QUE EL DESCONOCIMENTO EN LAS LÍNEAS DE ATENCIÓN DE ESTAS COMUNIDADES REQUIRIÓ DE UN MAYOR ESFUERZO Y ARTICULACIÓN."/>
    <n v="390000000"/>
    <m/>
    <n v="2500"/>
  </r>
  <r>
    <n v="229"/>
    <x v="0"/>
    <x v="1"/>
    <x v="6"/>
    <s v="ETNIAS"/>
    <s v="6 EVENTOS CONMEMORATIVOS DE LA DIVERSIDAD ETNICA REALIZADOS"/>
    <s v="NO DE EVENTOS DE CONMEMORACIÓN DE LA DIVERSIDAD ETNICA REALIZADOS"/>
    <s v="EVENTOS"/>
    <s v="I"/>
    <n v="0"/>
    <n v="6"/>
    <n v="6"/>
    <n v="0.16500000000000001"/>
    <n v="2.75E-2"/>
    <n v="1"/>
    <n v="0.16666666666666666"/>
    <n v="1"/>
    <n v="1"/>
    <n v="100"/>
    <n v="100"/>
    <n v="2.75E-2"/>
    <n v="100"/>
    <n v="0"/>
    <n v="0"/>
    <n v="0"/>
    <n v="0"/>
    <n v="0"/>
    <n v="0"/>
    <n v="0"/>
    <n v="0"/>
    <n v="0"/>
    <n v="0"/>
    <n v="0"/>
    <n v="0"/>
    <n v="0"/>
    <n v="0"/>
    <n v="0"/>
    <n v="0"/>
    <n v="0"/>
    <n v="0"/>
    <n v="0"/>
    <n v="0"/>
    <n v="0"/>
    <n v="0"/>
    <n v="0"/>
    <n v="0"/>
    <n v="0"/>
    <n v="0"/>
    <n v="0"/>
    <n v="0"/>
    <n v="16000000"/>
    <n v="0"/>
    <n v="16000000"/>
    <n v="0"/>
    <n v="0"/>
    <n v="0"/>
    <n v="0"/>
    <n v="0"/>
    <n v="0"/>
    <n v="0"/>
    <n v="0"/>
    <n v="0"/>
    <n v="0"/>
    <n v="0"/>
    <n v="0"/>
    <n v="0"/>
    <n v="0"/>
    <n v="0"/>
    <n v="0"/>
    <n v="0.11"/>
    <n v="4"/>
    <n v="0.66666666666666663"/>
    <n v="6"/>
    <n v="6"/>
    <n v="8"/>
    <n v="8"/>
    <n v="200"/>
    <n v="100"/>
    <n v="0.11"/>
    <n v="100"/>
    <n v="0.22"/>
    <n v="2.75E-2"/>
    <n v="1"/>
    <n v="0.16666666666666666"/>
    <n v="1"/>
    <n v="0"/>
    <n v="1"/>
    <n v="100"/>
    <n v="100"/>
    <n v="2.75E-2"/>
    <n v="2.75E-2"/>
    <n v="36000000"/>
    <n v="36000000"/>
    <n v="0"/>
    <n v="0"/>
    <n v="0"/>
    <n v="0"/>
    <n v="0"/>
    <n v="0"/>
    <n v="0"/>
    <n v="0"/>
    <n v="0"/>
    <n v="0"/>
    <n v="0"/>
    <n v="0"/>
    <n v="0"/>
    <n v="0"/>
    <n v="0"/>
    <n v="0"/>
    <n v="0"/>
    <n v="10"/>
    <n v="0.16500000000000001"/>
    <n v="166.66666666666666"/>
    <n v="100"/>
    <n v="0.16500000000000001"/>
    <n v="0.16500000000000001"/>
    <n v="0.16500000000000001"/>
    <n v="0.99999999999999989"/>
    <n v="0"/>
    <n v="202"/>
    <s v="30.000 FAMILIAS MAS SANAS Y FUERTES CON ACOMPAÑAMIENTO INSTITUCIONAL, FAMILIAR Y COMUNITARIO "/>
    <m/>
    <s v=""/>
    <m/>
    <m/>
    <m/>
    <m/>
    <s v="ACOMPAÑAMIENTO A POBLACIÓN AFROCOLOMBIANA DE GIRARDOT EL 23 MAYO DE 2015 EN EL CUAL SE DESARROLLÓ UNA AGENDA CULTURAL CON PARTICIPACIÓN DE GRUPOS FOLCLÓRICOS DEL SENA, CASA DE LA CULTURA DE GIRARDOT, SDS DE SOACHA PARA CONMEMORAR EL DÍA DE LA AFROCOLOMBIANIDAD; IMPULSO DE LA ESTRATÉGIA A NIVEL DEPARTAMENTAL DECADA INTERNACIONAL DE LOS PUEBLOS AFRODESCENDIENTES. RESOLUCIÓN 68/237 DE LAS NACIONES UNIDAS CON EL PRÓPOSITO DE PROFUNDIZAR EL RECONOCIMIENTO, LA JUSTICIA Y EL DESARROLLO DE LOS AFRODESCENDIENTES., EVENTO DE ETNOEDUCACIÓN &quot;CONECTATE CON TUS RAICES&quot;, CON EL FIN DE ESTABLECER UN ESPACIO PARA COMPARTIR EXPERIENCIAS, CONOCIMIENTOS Y REFLEXIONES DE PROCESOS ETNOEDUCATIVOS EN EL DEPARTAMENTO, PARA LA VISIBILIZACION Y RESCATE DE LA IDENTIDAD ETNICA, REALIZADO EN EL MUNICIPIO DE COTA, ENVIO DE SALUDO Y RECONOCIMIENTO DE LA COMUNIDAD AFROCOLOMBIANA A TRAVES DE EL ENVIO DE UNA TARJETA DE CONMEMORACIÓN DE LA AFROCOLOMBIANIDAD, IMPLEMENTACION DE INSTRUMENTO DE PROTECCION ETNICA A TRAVES DE UNA CONFERENCIA CONTRA EL RACISMO Y LA DISCRIMINACION, LLEVADO A CABO EL MUNICIPIO DE CHIA , SE DESARROLLO PROCESO DE SENSIBILIZACION DE LA CULTURA AFROCOLOMBIANA E INDIGENA EN EL MARCO DE LA FERIA DE COLONIAS (CORFERIAS), Y APOYO AL PROCESO DE RESCATE DE LAS TRADICIONES ANCESTRALES INDIGENAS MUISCAS EN EL MUNICIPIO DE SESQUILE A TRAVÉS DEL ENCUENTRO MULTIETNICO Y CULTURAL, ESTOS DOS EVENTOS FUERON LOGRADOS A TRAVES DE LOS APOYOS ECONOMICOS CON EL IDECUT CUNDINAMARCA"/>
    <n v="100000000"/>
    <m/>
    <n v="4"/>
  </r>
  <r>
    <n v="230"/>
    <x v="0"/>
    <x v="1"/>
    <x v="6"/>
    <s v="DISCAPACIDAD"/>
    <s v="APOYAR EN EL CUATRIENIO A 2.000 PERSONAS CON DISCAPACIDAD, FAMILIAS Y/O CUIDADORES CON INGRESOS, POR EMPLEO, PROYECTOS PRODUCTIVOS"/>
    <s v="NO. DE PERSONAS CON DISCPACIDAD PCD, FAMILIS Y/O CUIDADORES EN PROYECTOS AUTOSOSTENIBLES "/>
    <s v="PERSONAS"/>
    <s v="I"/>
    <n v="0"/>
    <n v="2000"/>
    <n v="2000"/>
    <n v="0.16500000000000001"/>
    <n v="1.6500000000000001E-2"/>
    <n v="200"/>
    <n v="0.1"/>
    <n v="200"/>
    <n v="200"/>
    <n v="100"/>
    <n v="100"/>
    <n v="1.6500000000000001E-2"/>
    <n v="100"/>
    <n v="126600000"/>
    <n v="85600000"/>
    <n v="0"/>
    <n v="0"/>
    <n v="0"/>
    <n v="0"/>
    <n v="0"/>
    <n v="41000000"/>
    <n v="58140000"/>
    <n v="58140000"/>
    <n v="0"/>
    <n v="0"/>
    <n v="0"/>
    <n v="0"/>
    <n v="0"/>
    <n v="0"/>
    <n v="0"/>
    <n v="140000000"/>
    <s v="ORGANIZACIÓN LATINOAMERICANA DE COLOMBIA , CIREC , FUNDACION PARA LA REHABILITACION INTEGRAL ARCANGELES"/>
    <n v="3.7125000000000005E-2"/>
    <n v="450"/>
    <n v="0.22500000000000001"/>
    <n v="456"/>
    <n v="456"/>
    <n v="101.33333333333333"/>
    <n v="100"/>
    <n v="3.7125000000000005E-2"/>
    <n v="100"/>
    <n v="33000000"/>
    <n v="0"/>
    <n v="33000000"/>
    <n v="0"/>
    <n v="0"/>
    <n v="0"/>
    <n v="0"/>
    <n v="0"/>
    <n v="203761904"/>
    <n v="203761904"/>
    <n v="0"/>
    <n v="0"/>
    <n v="0"/>
    <n v="0"/>
    <n v="0"/>
    <n v="0"/>
    <n v="0"/>
    <n v="136955382"/>
    <s v="Aportes de Oportunidad Latinoamerica $50,000,000 para la ejecucion 025 de 2012, Aportes oportunidad Latinoameria $9,000,000 para la ejecucion del contrato SDS 023 de 2013 y aportes Fundacion Mariana $77,955,382, para la ejecucion del contrato SDS 016 DE 2013"/>
    <n v="4.9500000000000002E-2"/>
    <n v="600"/>
    <n v="0.3"/>
    <n v="86"/>
    <n v="146"/>
    <n v="500"/>
    <n v="500"/>
    <n v="83.333333333333329"/>
    <n v="83.333333333333329"/>
    <n v="4.1250000000000002E-2"/>
    <n v="83.333333333333329"/>
    <n v="4.1250000000000002E-2"/>
    <n v="6.1874999999999999E-2"/>
    <n v="750"/>
    <n v="0.375"/>
    <n v="207"/>
    <n v="543"/>
    <n v="207"/>
    <n v="27.6"/>
    <n v="27.6"/>
    <n v="1.7077500000000002E-2"/>
    <n v="1.7077500000000002E-2"/>
    <n v="75000000"/>
    <n v="75000000"/>
    <n v="0"/>
    <n v="0"/>
    <n v="0"/>
    <n v="0"/>
    <n v="0"/>
    <n v="0"/>
    <n v="0"/>
    <n v="0"/>
    <n v="0"/>
    <n v="0"/>
    <n v="0"/>
    <n v="0"/>
    <n v="0"/>
    <n v="0"/>
    <n v="0"/>
    <n v="0"/>
    <n v="0"/>
    <n v="1363"/>
    <n v="0.16500000000000001"/>
    <n v="68.150000000000006"/>
    <n v="68.150000000000006"/>
    <n v="0.11244750000000002"/>
    <n v="0.11244750000000002"/>
    <n v="0.11244750000000002"/>
    <n v="1"/>
    <n v="0"/>
    <n v="202"/>
    <s v="30.000 FAMILIAS MAS SANAS Y FUERTES CON ACOMPAÑAMIENTO INSTITUCIONAL, FAMILIAR Y COMUNITARIO "/>
    <m/>
    <s v=""/>
    <m/>
    <m/>
    <m/>
    <m/>
    <s v="SE APOYARON MÁS DE MIL PERSONAS EN CONDICIÓN DE DISCAPACIDAD, SUS FAMILIAS Y/O CUIDADORES A TRAVÉS DE PROCESO DE GENERACIÓN DE INGRESOS “UNIDADES PRODUCTIVAS INDIVIDUALES Y GRUPALES” CON CUIDADORES O PERSONAS EN CONDICIÓN DE DISCAPACIDAD EN 52 MUNICIPIOS."/>
    <n v="169000000"/>
    <m/>
    <n v="0"/>
  </r>
  <r>
    <n v="231"/>
    <x v="0"/>
    <x v="1"/>
    <x v="6"/>
    <s v="DISCAPACIDAD"/>
    <s v="INCLUIR EN EL CUATRIENIO A 400 FAMILIAS Y/O CUIDADORES EN DINAMICAS SOCIALES, LUDICAS, COMUNITARIAS Y CON HERRAMIENTAS PARA EL MANEJO DE LA DISCAPACIDAD E INTEGRACIÒN FAMILIAR."/>
    <s v="NO. DE FAMILIAS Y/O CUIDADORES EN DINAMICAS SOCIALES, LUDICAS Y CON HERRAMIENATS PARA EL MANEJO DE LA DISCAPACIDAD"/>
    <s v="FAMILIAS"/>
    <s v="I"/>
    <n v="0"/>
    <n v="400"/>
    <n v="400"/>
    <n v="0.16500000000000001"/>
    <n v="2.0625000000000001E-2"/>
    <n v="50"/>
    <n v="0.125"/>
    <n v="50"/>
    <n v="50"/>
    <n v="100"/>
    <n v="100"/>
    <n v="2.0625000000000001E-2"/>
    <n v="100"/>
    <n v="346000000"/>
    <n v="211000000"/>
    <n v="0"/>
    <n v="0"/>
    <n v="0"/>
    <n v="0"/>
    <n v="0"/>
    <n v="135000000"/>
    <n v="191017000"/>
    <n v="191017000"/>
    <n v="0"/>
    <n v="0"/>
    <n v="0"/>
    <n v="0"/>
    <n v="0"/>
    <n v="0"/>
    <n v="0"/>
    <n v="32650000"/>
    <s v="FUNDACION MARIANA"/>
    <n v="7.8375E-2"/>
    <n v="190"/>
    <n v="0.47499999999999998"/>
    <n v="358"/>
    <n v="358"/>
    <n v="188.42105263157896"/>
    <n v="100"/>
    <n v="7.8375E-2"/>
    <n v="100"/>
    <n v="27000000"/>
    <n v="0"/>
    <n v="27000000"/>
    <n v="0"/>
    <n v="0"/>
    <n v="0"/>
    <n v="0"/>
    <n v="0"/>
    <n v="109043083"/>
    <n v="109043083"/>
    <n v="0"/>
    <n v="0"/>
    <n v="0"/>
    <n v="0"/>
    <n v="0"/>
    <n v="0"/>
    <n v="0"/>
    <n v="23123000"/>
    <s v=" Aportes de la Fundacion Arcangeles para la Ejecucion del Contrato SDS 028 de 2013, y aportes de CIREC para la ejecucion del Contrato SDS 018 de 2013"/>
    <n v="3.3000000000000002E-2"/>
    <n v="80"/>
    <n v="0.2"/>
    <n v="30"/>
    <n v="30"/>
    <n v="50"/>
    <n v="50"/>
    <n v="62.5"/>
    <n v="62.5"/>
    <n v="2.0625000000000001E-2"/>
    <n v="62.5"/>
    <n v="2.0625000000000001E-2"/>
    <n v="3.3000000000000002E-2"/>
    <n v="80"/>
    <n v="0.2"/>
    <n v="62"/>
    <n v="18"/>
    <n v="62"/>
    <n v="77.5"/>
    <n v="77.5"/>
    <n v="2.5575000000000001E-2"/>
    <n v="2.5575000000000001E-2"/>
    <n v="63000000"/>
    <n v="63000000"/>
    <n v="0"/>
    <n v="0"/>
    <n v="0"/>
    <n v="0"/>
    <n v="0"/>
    <n v="0"/>
    <n v="0"/>
    <n v="0"/>
    <n v="0"/>
    <n v="0"/>
    <n v="0"/>
    <n v="0"/>
    <n v="0"/>
    <n v="0"/>
    <n v="0"/>
    <n v="0"/>
    <n v="0"/>
    <n v="520"/>
    <n v="0.16500000000000001"/>
    <n v="130"/>
    <n v="100"/>
    <n v="0.16500000000000001"/>
    <n v="0.16500000000000001"/>
    <n v="0.16500000000000001"/>
    <n v="1"/>
    <n v="0"/>
    <n v="200"/>
    <s v="ATENDER EN EL CUATRIENIO A 21,000 FAMILIAS DE LA RED UNIDOS CON SINERGIA DE SECTORES"/>
    <n v="202"/>
    <s v="30.000 FAMILIAS MAS SANAS Y FUERTES CON ACOMPAÑAMIENTO INSTITUCIONAL, FAMILIAR Y COMUNITARIO "/>
    <m/>
    <m/>
    <m/>
    <m/>
    <s v="INTERVENCIÓN EN MÁS DE 500 FAMILIAS EN DINÁMICAS LÚDICAS Y CON HERRAMIENTAS PARA EL MANEJO DE LA DISCAPACIDAD EN 19 MUNICIPIOS."/>
    <n v="100000000"/>
    <m/>
    <n v="0"/>
  </r>
  <r>
    <n v="232"/>
    <x v="0"/>
    <x v="5"/>
    <x v="6"/>
    <s v="DISCAPACIDAD"/>
    <s v="APOYAR A LA POBLACIÓN EN CONDICIÓN DE DISCAPACIDAD CON 5 EVENTOS ARÍSTICOS Y/O CULTURALES FOCALIZADOS EN EL CUATRIENIO"/>
    <s v="NO. DEEVENTOS ARTISTICOS Y/O CULTURALES PARA LA POBLACIÓN DISCAPACITADA"/>
    <s v="EVENTOS"/>
    <s v="I"/>
    <n v="0"/>
    <n v="5"/>
    <n v="5"/>
    <n v="0.16500000000000001"/>
    <n v="0"/>
    <n v="0"/>
    <n v="0"/>
    <n v="0"/>
    <n v="0"/>
    <n v="0"/>
    <n v="0"/>
    <n v="0"/>
    <n v="0"/>
    <n v="0"/>
    <n v="0"/>
    <n v="0"/>
    <n v="0"/>
    <n v="0"/>
    <n v="0"/>
    <n v="0"/>
    <n v="0"/>
    <n v="0"/>
    <n v="0"/>
    <n v="0"/>
    <n v="0"/>
    <n v="0"/>
    <n v="0"/>
    <n v="0"/>
    <n v="0"/>
    <n v="0"/>
    <n v="0"/>
    <n v="0"/>
    <n v="6.6000000000000003E-2"/>
    <n v="2"/>
    <n v="0.4"/>
    <n v="1"/>
    <n v="1"/>
    <n v="50"/>
    <n v="50"/>
    <n v="3.3000000000000002E-2"/>
    <n v="50"/>
    <n v="20000000"/>
    <n v="0"/>
    <n v="20000000"/>
    <n v="0"/>
    <n v="0"/>
    <n v="0"/>
    <n v="0"/>
    <n v="0"/>
    <n v="33000000"/>
    <n v="33000000"/>
    <n v="0"/>
    <n v="0"/>
    <n v="0"/>
    <n v="0"/>
    <n v="0"/>
    <n v="0"/>
    <n v="0"/>
    <n v="0"/>
    <n v="0"/>
    <n v="6.6000000000000003E-2"/>
    <n v="2"/>
    <n v="0.4"/>
    <n v="1"/>
    <n v="2"/>
    <n v="3"/>
    <n v="3"/>
    <n v="150"/>
    <n v="100"/>
    <n v="6.6000000000000003E-2"/>
    <n v="100"/>
    <n v="9.9000000000000005E-2"/>
    <n v="3.3000000000000002E-2"/>
    <n v="1"/>
    <n v="0.2"/>
    <n v="4"/>
    <n v="-3"/>
    <n v="4"/>
    <n v="400"/>
    <n v="100"/>
    <n v="3.3000000000000002E-2"/>
    <n v="0.13200000000000001"/>
    <n v="11000000"/>
    <n v="11000000"/>
    <n v="0"/>
    <n v="0"/>
    <n v="0"/>
    <n v="0"/>
    <n v="0"/>
    <n v="0"/>
    <n v="0"/>
    <n v="0"/>
    <n v="0"/>
    <n v="0"/>
    <n v="0"/>
    <n v="0"/>
    <n v="0"/>
    <n v="0"/>
    <n v="0"/>
    <n v="0"/>
    <n v="0"/>
    <n v="8"/>
    <n v="0.16500000000000001"/>
    <n v="160"/>
    <n v="100"/>
    <n v="0.16500000000000001"/>
    <n v="0.16500000000000001"/>
    <n v="0.16500000000000001"/>
    <n v="1"/>
    <n v="0"/>
    <n v="202"/>
    <s v="30.000 FAMILIAS MAS SANAS Y FUERTES CON ACOMPAÑAMIENTO INSTITUCIONAL, FAMILIAR Y COMUNITARIO "/>
    <m/>
    <s v=""/>
    <m/>
    <m/>
    <m/>
    <m/>
    <s v="SE APOYÓ AL MUNICIPIO DE GACHETA PARA LA REALIZACIÓN DELA NAVIDAD DIVERSAMENTE HÁBIL EN DICHO MUNICIPIO. SE APOYARON PROCESOS DE FORMACIÓN ARTÍSTICA Y CULTURAL Y EL RESCATE DE LAS MANIFESTACIONES NAVIDEÑAS DEL MUNICIPIO DE ARBELÁEZ, EN LA CELEBRACIÓN DE SU EVENTO TRADICIONAL &quot;FESTIVAL DECEMBRINO&quot;, CON LA INCLUSIÓN DE POBLACIÓN EN CONDICIÓN DE DISCAPACIDAD."/>
    <n v="368000000"/>
    <m/>
    <n v="1"/>
  </r>
  <r>
    <n v="233"/>
    <x v="0"/>
    <x v="0"/>
    <x v="6"/>
    <s v="DISCAPACIDAD"/>
    <s v="AUMENTAR DURANTE EL CUATRIENIO AL 100% DE LOS MUNICIPIOS LA COBERTURA DE LOS PROGRAMAS EN SALUD PARA LA POBLACIÓN EN CONDICION DE DISCAPACIDAD (CENTROS DE VIDA SENSORIAL, AYUDAS TÉCNICAS Y/O REHABILITACIÓN BASADA EN COMUNIDAD)"/>
    <s v="% DE MUNICIPIOS CON COBERTURA DE PROGRAMAS EN SALUD PARA POBLACIÓN EN CONDICIÓN DE DISCAPACIDAD"/>
    <s v="PUNTOS PORCENTUALES"/>
    <s v="I"/>
    <n v="79"/>
    <n v="100"/>
    <n v="21"/>
    <n v="0.16500000000000001"/>
    <n v="0"/>
    <n v="0"/>
    <n v="0"/>
    <n v="4"/>
    <n v="4"/>
    <n v="0"/>
    <n v="0"/>
    <n v="0"/>
    <n v="100"/>
    <n v="234274000"/>
    <n v="0"/>
    <n v="0"/>
    <n v="234274000"/>
    <n v="0"/>
    <n v="0"/>
    <n v="0"/>
    <n v="0"/>
    <n v="0"/>
    <n v="0"/>
    <n v="0"/>
    <n v="0"/>
    <n v="0"/>
    <n v="0"/>
    <n v="0"/>
    <n v="0"/>
    <n v="0"/>
    <n v="0"/>
    <n v="0"/>
    <n v="3.1428571428571431E-2"/>
    <n v="4"/>
    <n v="0.19047619047619047"/>
    <n v="10"/>
    <n v="10"/>
    <n v="250"/>
    <n v="100"/>
    <n v="3.1428571428571431E-2"/>
    <n v="100"/>
    <n v="390000000"/>
    <n v="60000000"/>
    <n v="330000000"/>
    <n v="0"/>
    <n v="0"/>
    <n v="0"/>
    <n v="0"/>
    <n v="0"/>
    <n v="91856660"/>
    <n v="51580000"/>
    <n v="40276660"/>
    <n v="0"/>
    <n v="0"/>
    <n v="0"/>
    <n v="0"/>
    <n v="0"/>
    <n v="0"/>
    <n v="0"/>
    <n v="0"/>
    <n v="7.0714285714285716E-2"/>
    <n v="9"/>
    <n v="0.42857142857142855"/>
    <n v="9"/>
    <n v="9"/>
    <n v="30"/>
    <n v="30"/>
    <n v="333.33333333333331"/>
    <n v="100"/>
    <n v="7.0714285714285716E-2"/>
    <n v="100"/>
    <n v="0.23571428571428568"/>
    <n v="6.2857142857142861E-2"/>
    <n v="8"/>
    <n v="0.38095238095238093"/>
    <n v="10"/>
    <n v="-2"/>
    <n v="10"/>
    <n v="125"/>
    <n v="100"/>
    <n v="6.2857142857142861E-2"/>
    <n v="7.857142857142857E-2"/>
    <n v="821000000"/>
    <n v="761000000"/>
    <n v="60000000"/>
    <n v="0"/>
    <n v="0"/>
    <n v="0"/>
    <n v="0"/>
    <n v="0"/>
    <n v="0"/>
    <n v="0"/>
    <n v="0"/>
    <n v="0"/>
    <n v="0"/>
    <n v="0"/>
    <n v="0"/>
    <n v="0"/>
    <n v="0"/>
    <n v="0"/>
    <n v="0"/>
    <n v="54"/>
    <n v="0.16500000000000001"/>
    <n v="257.14285714285717"/>
    <n v="100"/>
    <n v="0.16500000000000001"/>
    <n v="0.16500000000000001"/>
    <n v="0.16500000000000001"/>
    <n v="1"/>
    <n v="0"/>
    <n v="200"/>
    <s v="ATENDER EN EL CUATRIENIO A 21,000 FAMILIAS DE LA RED UNIDOS CON SINERGIA DE SECTORES"/>
    <n v="202"/>
    <s v="30.000 FAMILIAS MAS SANAS Y FUERTES CON ACOMPAÑAMIENTO INSTITUCIONAL, FAMILIAR Y COMUNITARIO "/>
    <m/>
    <m/>
    <m/>
    <m/>
    <s v="SE LOGRA LA APROBACION DE LA POLITICA PUBLICA PARA LA INCLUSION SOCIAL DE LAS PERSONAS CON DISCAPACIDAD EN EL DEPARTAMENTO DE CUNDINAMARCA, MEDFIANTE ORDENANZA 0266 DE 2015. "/>
    <n v="1610000000"/>
    <m/>
    <n v="0"/>
  </r>
  <r>
    <n v="234"/>
    <x v="0"/>
    <x v="6"/>
    <x v="6"/>
    <s v="DISCAPACIDAD"/>
    <s v="ATENDER INTEGRALMENTE A 1.200 PERSONAS CON DISCAPACIDAD MENTAL, CADA AÑO, EN LOS CENTROS DE PROTECCIÓN DE LA BENEFICENCIA DE CUNDINAMARCA"/>
    <s v="NO. DE PERSONAS EN SITUACION DE DISCAPACIDAD MENTAL ATENDIDOS CADA AÑO EN LOS CENTROS DE LA BENEFICENCIA"/>
    <s v="PERSONAS"/>
    <s v="M"/>
    <n v="1154"/>
    <n v="1200"/>
    <n v="1200"/>
    <n v="0.16500000000000001"/>
    <n v="4.1250000000000002E-2"/>
    <n v="1200"/>
    <n v="0.25"/>
    <n v="1174"/>
    <n v="293.5"/>
    <n v="97.833333333333329"/>
    <n v="97.833333333333329"/>
    <n v="4.0356249999999996E-2"/>
    <n v="97.833333333333329"/>
    <n v="11962000000"/>
    <n v="11962000000"/>
    <n v="0"/>
    <n v="0"/>
    <n v="0"/>
    <n v="0"/>
    <n v="0"/>
    <n v="0"/>
    <n v="12075022000"/>
    <n v="12075022000"/>
    <n v="0"/>
    <n v="0"/>
    <n v="0"/>
    <n v="0"/>
    <n v="0"/>
    <n v="0"/>
    <n v="0"/>
    <n v="0"/>
    <n v="0"/>
    <n v="4.1250000000000002E-2"/>
    <n v="1200"/>
    <n v="0.25"/>
    <n v="1164"/>
    <n v="291"/>
    <n v="97"/>
    <n v="97"/>
    <n v="4.0012499999999999E-2"/>
    <n v="97"/>
    <n v="11700000000"/>
    <n v="0"/>
    <n v="11700000"/>
    <n v="0"/>
    <n v="0"/>
    <n v="0"/>
    <n v="0"/>
    <n v="0"/>
    <n v="11643967583"/>
    <n v="11643967583"/>
    <n v="0"/>
    <n v="0"/>
    <n v="0"/>
    <n v="0"/>
    <n v="0"/>
    <n v="0"/>
    <n v="0"/>
    <n v="0"/>
    <n v="0"/>
    <n v="4.1250000000000002E-2"/>
    <n v="1200"/>
    <n v="0.25"/>
    <n v="1117"/>
    <n v="1127"/>
    <n v="1145"/>
    <n v="286.25"/>
    <n v="95.416666666666671"/>
    <n v="95.416666666666671"/>
    <n v="3.9359375000000002E-2"/>
    <n v="95.416666666666671"/>
    <n v="3.9359375000000002E-2"/>
    <n v="4.1250000000000002E-2"/>
    <n v="1200"/>
    <n v="0.25"/>
    <n v="1024"/>
    <n v="176"/>
    <n v="256"/>
    <n v="85.333333333333329"/>
    <n v="85.333333333333329"/>
    <n v="3.5200000000000002E-2"/>
    <n v="3.5200000000000002E-2"/>
    <n v="12400000000"/>
    <n v="12400000"/>
    <n v="0"/>
    <n v="0"/>
    <n v="0"/>
    <n v="0"/>
    <n v="0"/>
    <n v="0"/>
    <n v="0"/>
    <n v="0"/>
    <n v="0"/>
    <n v="0"/>
    <n v="0"/>
    <n v="0"/>
    <n v="0"/>
    <n v="0"/>
    <n v="0"/>
    <n v="0"/>
    <n v="0"/>
    <n v="1126.75"/>
    <n v="0.16500000000000001"/>
    <n v="93.895833333333329"/>
    <n v="93.895833333333329"/>
    <n v="0.154928125"/>
    <n v="0.154928125"/>
    <n v="0.154928125"/>
    <n v="1"/>
    <n v="0"/>
    <n v="201"/>
    <s v="45.000 FAMILIAS MEJORAN SU CONVIVENCIA POR MEDIO DE LA INTERVENCIÓN DEL PROGRAMA &quot;DEPORTE, CONVIVENCIA Y PAZ&quot;"/>
    <m/>
    <s v=""/>
    <m/>
    <m/>
    <m/>
    <m/>
    <s v="597 MUJERES Y 567 HOMBRES CON DISCAPACIDAD MENTAL PROTEGIDOS CON ALOJAMIENTO, ALIMENTACIÓN, INTERVENCIÓN TERAPÉUTICA PROFESIONAL E INTERDISCIPLINARIA: PSIQUIATRÍA, TRABAJO SOCIAL, PSICOLOGÍA, GERONTOLOGÍA, NUTRICIÓN, EDUCACIÓN FÍSICA, EDUCACIÓN ESPECIAL, TERAPIA OCUPACIONAL, TERAPIA FÍSICA Y RESPIRATORIA, RECREACIÓN, BUEN USO DEL TIEMPO LIBRE, DESARROLLO DE PROYECTOS OCUPACIONALES, DOTACIÓN INDIVIDUAL DE VESTUARIO Y ASEO, ACCESO A SERVICIOS DE SALUD Y SERVICIOS FUNERARIOS PARA PERSONAS SIN FAMILIA."/>
    <n v="893000000"/>
    <m/>
    <s v="0.166"/>
  </r>
  <r>
    <n v="235"/>
    <x v="0"/>
    <x v="3"/>
    <x v="6"/>
    <s v="DINAMICA FAMILIAR"/>
    <s v="FORMAR EN EL CUATRIENIO A 120 ORIENTADORES Y ORIENTADORAS, PARA VINCULAR A 5.000 FAMILIAS EN LAS QUE LOS PADRES SEAN SUJETOS ACTIVOS DEL PROCESO FORMATIVO Y EDUCATIVO DE SUS HIJOS E HIJAS."/>
    <s v="NO. DE ORIENTADORES CAPACITADOS"/>
    <s v="ORIENTADORES"/>
    <s v="I"/>
    <n v="0"/>
    <n v="120"/>
    <n v="120"/>
    <n v="0.25"/>
    <n v="0"/>
    <n v="0"/>
    <n v="0"/>
    <n v="30"/>
    <n v="30"/>
    <n v="0"/>
    <n v="0"/>
    <n v="0"/>
    <n v="100"/>
    <n v="0"/>
    <n v="0"/>
    <n v="0"/>
    <n v="0"/>
    <n v="0"/>
    <n v="0"/>
    <n v="0"/>
    <n v="0"/>
    <n v="0"/>
    <n v="0"/>
    <n v="0"/>
    <n v="0"/>
    <n v="0"/>
    <n v="0"/>
    <n v="0"/>
    <n v="0"/>
    <n v="0"/>
    <n v="0"/>
    <n v="0"/>
    <n v="0.25"/>
    <n v="120"/>
    <n v="1"/>
    <n v="103"/>
    <n v="103"/>
    <n v="85.833333333333329"/>
    <n v="85.833333333333329"/>
    <n v="0.21458333333333332"/>
    <n v="85.833333333333329"/>
    <n v="0"/>
    <n v="0"/>
    <n v="0"/>
    <n v="0"/>
    <n v="0"/>
    <n v="0"/>
    <n v="0"/>
    <n v="0"/>
    <n v="0"/>
    <n v="0"/>
    <n v="0"/>
    <n v="0"/>
    <n v="0"/>
    <n v="0"/>
    <n v="0"/>
    <n v="0"/>
    <n v="0"/>
    <n v="0"/>
    <n v="0"/>
    <n v="0"/>
    <n v="0"/>
    <n v="0"/>
    <n v="66"/>
    <n v="66"/>
    <n v="50"/>
    <n v="50"/>
    <n v="0"/>
    <n v="0"/>
    <n v="0"/>
    <n v="100"/>
    <n v="0"/>
    <n v="0"/>
    <n v="0"/>
    <n v="0"/>
    <n v="20"/>
    <n v="-20"/>
    <n v="20"/>
    <n v="0"/>
    <n v="0"/>
    <n v="0"/>
    <n v="0"/>
    <n v="0"/>
    <n v="0"/>
    <n v="0"/>
    <n v="0"/>
    <n v="0"/>
    <n v="0"/>
    <n v="0"/>
    <n v="0"/>
    <n v="0"/>
    <n v="0"/>
    <n v="0"/>
    <n v="0"/>
    <n v="0"/>
    <n v="0"/>
    <n v="0"/>
    <n v="0"/>
    <n v="0"/>
    <n v="0"/>
    <n v="0"/>
    <n v="203"/>
    <n v="0.25"/>
    <n v="169.16666666666666"/>
    <n v="100"/>
    <n v="0.25"/>
    <n v="0.25"/>
    <n v="0.25"/>
    <n v="1"/>
    <n v="0"/>
    <n v="202"/>
    <s v="30.000 FAMILIAS MAS SANAS Y FUERTES CON ACOMPAÑAMIENTO INSTITUCIONAL, FAMILIAR Y COMUNITARIO "/>
    <m/>
    <s v=""/>
    <m/>
    <m/>
    <m/>
    <m/>
    <s v="SE REALIZARON CONVERSATORIOS MUNICIPALES PARA APORTAR AL DESARROLLO Y AL MEJORAMIENTO DE LA CONVIVENCIA A TRAVES DEL FOMENTO DE UNA CULTURA DEL DIALOGO, LA INTEGRACION DE LA FAMILIA EN LA ESCUELA, LA PARTICIPACION DE LOS GOBIERNOS ESCOLARES, EL APRECIO A LA INSTITUCION Y LOS PROFESORES. "/>
    <n v="60000000"/>
    <m/>
    <n v="1"/>
  </r>
  <r>
    <n v="236"/>
    <x v="0"/>
    <x v="1"/>
    <x v="6"/>
    <s v="DINAMICA FAMILIAR"/>
    <s v="ATENDER DURANTE EL CUATRIENIO A 18.000 FAMILIAS VULNERABLES EN LA DIMENSIÓN DE DINAMICA FAMILIAR CON ESTRATEGIAS DE INFORMACIÓN EDUCACIÓN PARA PROMOVER PRINCIPIOS Y VALORES, DERECHOS HUMANOS, PREVENIR LA VIOLENCIA INTRAFAMILIAR Y LA OCURRENCIA DE HECHOS RELACIONADOS CON ABUSO SEXUAL."/>
    <s v="NO. DE FAMILIAS ATENDIDAS CON ESTRATEGIAS DE COMUNICACIÓN PARA PREVENIR LA VIOLENCIA INTRAFAMILIAR"/>
    <s v="FAMILIAS"/>
    <s v="I"/>
    <n v="0"/>
    <n v="18000"/>
    <n v="18000"/>
    <n v="0.25"/>
    <n v="0"/>
    <n v="0"/>
    <n v="0"/>
    <n v="0"/>
    <n v="0"/>
    <n v="0"/>
    <n v="0"/>
    <n v="0"/>
    <n v="0"/>
    <n v="0"/>
    <n v="0"/>
    <n v="0"/>
    <n v="0"/>
    <n v="0"/>
    <n v="0"/>
    <n v="0"/>
    <n v="0"/>
    <n v="0"/>
    <n v="0"/>
    <n v="0"/>
    <n v="0"/>
    <n v="0"/>
    <n v="0"/>
    <n v="0"/>
    <n v="0"/>
    <n v="0"/>
    <n v="0"/>
    <n v="0"/>
    <n v="1.3888888888888888E-2"/>
    <n v="1000"/>
    <n v="5.5555555555555552E-2"/>
    <n v="1029"/>
    <n v="1029"/>
    <n v="102.9"/>
    <n v="100"/>
    <n v="1.3888888888888888E-2"/>
    <n v="100"/>
    <n v="33000000"/>
    <n v="0"/>
    <n v="33000000"/>
    <n v="0"/>
    <n v="0"/>
    <n v="0"/>
    <n v="0"/>
    <n v="0"/>
    <n v="30000000"/>
    <n v="30000000"/>
    <n v="0"/>
    <n v="0"/>
    <n v="0"/>
    <n v="0"/>
    <n v="0"/>
    <n v="0"/>
    <n v="0"/>
    <n v="0"/>
    <n v="0"/>
    <n v="0.19444444444444445"/>
    <n v="14000"/>
    <n v="0.77777777777777779"/>
    <n v="9738"/>
    <n v="14670"/>
    <n v="17326"/>
    <n v="17326"/>
    <n v="123.75714285714285"/>
    <n v="100"/>
    <n v="0.19444444444444448"/>
    <n v="100"/>
    <n v="0.2406388888888889"/>
    <n v="4.1666666666666664E-2"/>
    <n v="3000"/>
    <n v="0.16666666666666666"/>
    <n v="6632"/>
    <n v="-3632"/>
    <n v="6632"/>
    <n v="221.06666666666666"/>
    <n v="100"/>
    <n v="4.1666666666666657E-2"/>
    <n v="9.2111111111111102E-2"/>
    <n v="75000000"/>
    <n v="75000000"/>
    <n v="0"/>
    <n v="0"/>
    <n v="0"/>
    <n v="0"/>
    <n v="0"/>
    <n v="0"/>
    <n v="0"/>
    <n v="0"/>
    <n v="0"/>
    <n v="0"/>
    <n v="0"/>
    <n v="0"/>
    <n v="0"/>
    <n v="0"/>
    <n v="0"/>
    <n v="0"/>
    <n v="0"/>
    <n v="24987"/>
    <n v="0.25"/>
    <n v="138.81666666666666"/>
    <n v="100"/>
    <n v="0.25"/>
    <n v="0.25"/>
    <n v="0.25"/>
    <n v="1"/>
    <n v="0"/>
    <n v="200"/>
    <s v="ATENDER EN EL CUATRIENIO A 21,000 FAMILIAS DE LA RED UNIDOS CON SINERGIA DE SECTORES"/>
    <n v="202"/>
    <s v="30.000 FAMILIAS MAS SANAS Y FUERTES CON ACOMPAÑAMIENTO INSTITUCIONAL, FAMILIAR Y COMUNITARIO "/>
    <m/>
    <m/>
    <m/>
    <m/>
    <s v="MÁS DE 20 MIL FAMILIAS BENEFICIARIAS DE ACCIONES DE ATENCIÓN PSICOSOCIAL Y CAPACITACIÓN EN TEMAS RELACIONADOS CON DINÁMICA FAMILIAR (PREVENCIÓN DE VIOLENCIA INTRAFAMILIAR, PAUTAS DE CRIANZA, AUTOESTIMA, ENTRE OTROS TEMAS)."/>
    <n v="100000000"/>
    <m/>
    <n v="116"/>
  </r>
  <r>
    <n v="237"/>
    <x v="0"/>
    <x v="1"/>
    <x v="6"/>
    <s v="DINAMICA FAMILIAR"/>
    <s v="FORMULAR EN EL CUATRIENIO LAS POLÍTICAS PÚBLICAS POBLACIONALES DE POBLACIÓN EN CONDICIÓN DE DISCAPACIDAD; PRIMERA INFANCIA, INFANCIA Y ADOLESCENCIA; FAMILIA; SEGURIDAD ALIMENTARIA Y NUTRICIONAL , VEJEZ Y ENVEJECIMIENTO, ENTRE OTRAS. CON ENFOQUE DIFEREN"/>
    <s v="NO. DE POLÍTICAS PÚBLICAS DEPARTAMENTALES POBLACIONALES FORMULADAS"/>
    <s v="POLITICAS"/>
    <s v="I"/>
    <n v="0"/>
    <n v="5"/>
    <n v="5"/>
    <n v="0.16500000000000001"/>
    <n v="3.3000000000000002E-2"/>
    <n v="1"/>
    <n v="0.2"/>
    <n v="1"/>
    <n v="1"/>
    <n v="100"/>
    <n v="100"/>
    <n v="3.3000000000000002E-2"/>
    <n v="100"/>
    <n v="80000000"/>
    <n v="80000000"/>
    <n v="0"/>
    <n v="0"/>
    <n v="0"/>
    <n v="0"/>
    <n v="0"/>
    <n v="0"/>
    <n v="25000000"/>
    <n v="25000000"/>
    <n v="0"/>
    <n v="0"/>
    <n v="0"/>
    <n v="0"/>
    <n v="0"/>
    <n v="0"/>
    <n v="0"/>
    <n v="0"/>
    <n v="0"/>
    <n v="0"/>
    <n v="0"/>
    <n v="0"/>
    <n v="0"/>
    <n v="0"/>
    <n v="0"/>
    <n v="0"/>
    <n v="0"/>
    <n v="0"/>
    <n v="33000000"/>
    <n v="0"/>
    <n v="33000000"/>
    <n v="0"/>
    <n v="0"/>
    <n v="0"/>
    <n v="0"/>
    <n v="0"/>
    <n v="27250000"/>
    <n v="27250000"/>
    <n v="0"/>
    <n v="0"/>
    <n v="0"/>
    <n v="0"/>
    <n v="0"/>
    <n v="0"/>
    <n v="0"/>
    <n v="0"/>
    <n v="0"/>
    <n v="6.6000000000000003E-2"/>
    <n v="2"/>
    <n v="0.4"/>
    <n v="1"/>
    <n v="0"/>
    <n v="0"/>
    <n v="0"/>
    <n v="0"/>
    <n v="0"/>
    <n v="0"/>
    <n v="0"/>
    <n v="0"/>
    <n v="6.6000000000000003E-2"/>
    <n v="2"/>
    <n v="0.4"/>
    <n v="5"/>
    <n v="-3"/>
    <n v="5"/>
    <n v="250"/>
    <n v="100"/>
    <n v="6.6000000000000003E-2"/>
    <n v="0.16500000000000001"/>
    <n v="75000000"/>
    <n v="75000000"/>
    <n v="0"/>
    <n v="0"/>
    <n v="0"/>
    <n v="0"/>
    <n v="0"/>
    <n v="0"/>
    <n v="0"/>
    <n v="0"/>
    <n v="0"/>
    <n v="0"/>
    <n v="0"/>
    <n v="0"/>
    <n v="0"/>
    <n v="0"/>
    <n v="0"/>
    <n v="0"/>
    <n v="0"/>
    <n v="6"/>
    <n v="0.16500000000000001"/>
    <n v="120"/>
    <n v="100"/>
    <n v="0.16500000000000001"/>
    <n v="0.16500000000000001"/>
    <n v="0.16500000000000001"/>
    <n v="1"/>
    <n v="0"/>
    <n v="200"/>
    <s v="ATENDER EN EL CUATRIENIO A 21,000 FAMILIAS DE LA RED UNIDOS CON SINERGIA DE SECTORES"/>
    <n v="202"/>
    <s v="30.000 FAMILIAS MAS SANAS Y FUERTES CON ACOMPAÑAMIENTO INSTITUCIONAL, FAMILIAR Y COMUNITARIO "/>
    <m/>
    <m/>
    <m/>
    <m/>
    <s v="EN SESIÓN ORDINARIA DE LA ASAMBLEA DEPARTAMENTAL EN EL MES DE ABRIL FUE APROBADA LA POLÍTICA PÚBLICA DE SEGURIDAD ALIMENTARIA Y NUTRICIONAL DEL DEPARTAMENTO DE CUNDINAMARCA Y POSTERIORMENTE SANCIONADA POR EL SEÑOR GOBERNADOR MEDIANTE ORDENANZA NO 261 DE 2015. EN SESIÓN EXTRAORDINARIA DEL MES DE MAYO FUE APROBADA LA POLÍTICA PÚBLICA DE INCLUSIÓN SOCIAL PARA LAS PERSONAS CON DISCAPACIDAD Y POSTERIORMENTE SANCIONADA POR EL SEÑOR GOBERNADOR MEDIANTE ORDENANZA NO 266 DE 2015. EN EL MISMO PERIODO DE SESIONES EXTRAORDINARIAS SE APROBÓ EL AJUSTE DE LA POLÍTICA PÚBLICA DE JUVENTUD, SANCIONADA MEDIANTE ORDENANZA NO 267 DE 2015. EN LAS SESIONES EXTRAORDINARIAS DE LA ASAMBLEA DEPARTAMETAL DEL MES DE AGOSTO-SEPTIEMBRE FUÉ APROBADA LA POLÍTICA PÚBLICA DE PRIMERA INFANCIA, INFANCIA Y ADOLESCENCIA, SANCIONADA POR EL SEÑOR GOBERNADOR MEDIANTE ORDENANZA NO. 280. EL CONSEJO DEPARTAMENTAL DE POLÍTICA SOCIAL APROBÓ LOS LINEAMIENTOS DEL PLAN PARA PREVENCIÓN DEL EMBARAZO EN LA ADOLESCENCIA Y LA PROMOCIÓN DE LOS DERECHOS SEXUALES Y REPRODUCTIVOS. SE FORMULÓ EL PLAN DE IGUALDAD DE OPORTUNIDADES DE ACUERDO A LA POLÍTICA PÚBLICA DE MUJER Y GÉNERO."/>
    <n v="19885000000"/>
    <m/>
    <n v="0"/>
  </r>
  <r>
    <n v="238"/>
    <x v="0"/>
    <x v="0"/>
    <x v="5"/>
    <s v="DINAMICA FAMILIAR"/>
    <s v="IMPLEMENTAR EN LOS 116 MUNICIPIOS UNA ESTRATEGIA DE MOVILIZACION SOCIAL Y GESTIÓN DEL PLAN DE INTERVENCIONES COLECTIVAS PARA FORTALECER LOS PROGRAMAS INTEGRALES DE LAS ETAPAS DEL CICLO VITAL"/>
    <s v="NO. DE MUNICIPIOS CON ESTRATEGIA DE MOVILIZACIÓN SOCIAL Y GESTIÓN DEL PLAN DE INTERVENCIONES COLECTIVAS IMPLEMENTADA "/>
    <s v="MUNICIPIOS"/>
    <s v="M"/>
    <n v="0"/>
    <n v="116"/>
    <n v="116"/>
    <n v="0.16500000000000001"/>
    <n v="4.1250000000000002E-2"/>
    <n v="116"/>
    <n v="0.25"/>
    <n v="116"/>
    <n v="29"/>
    <n v="100"/>
    <n v="100"/>
    <n v="4.1250000000000002E-2"/>
    <n v="100"/>
    <n v="2839000000"/>
    <n v="1070000000"/>
    <n v="1769000000"/>
    <n v="0"/>
    <n v="0"/>
    <n v="0"/>
    <n v="0"/>
    <n v="0"/>
    <n v="0"/>
    <n v="0"/>
    <n v="0"/>
    <n v="0"/>
    <n v="0"/>
    <n v="0"/>
    <n v="0"/>
    <n v="0"/>
    <n v="0"/>
    <n v="0"/>
    <n v="0"/>
    <n v="4.1250000000000002E-2"/>
    <n v="116"/>
    <n v="0.25"/>
    <n v="116"/>
    <n v="29"/>
    <n v="100"/>
    <n v="100"/>
    <n v="4.1250000000000002E-2"/>
    <n v="100"/>
    <n v="650000000"/>
    <n v="450000000"/>
    <n v="200000000"/>
    <n v="0"/>
    <n v="0"/>
    <n v="0"/>
    <n v="0"/>
    <n v="0"/>
    <n v="433626666"/>
    <n v="0"/>
    <n v="422193332"/>
    <n v="11433334"/>
    <n v="0"/>
    <n v="0"/>
    <n v="0"/>
    <n v="0"/>
    <n v="0"/>
    <n v="0"/>
    <n v="0"/>
    <n v="4.1250000000000002E-2"/>
    <n v="116"/>
    <n v="0.25"/>
    <n v="100"/>
    <n v="100"/>
    <n v="100"/>
    <n v="25"/>
    <n v="86.206896551724142"/>
    <n v="86.206896551724142"/>
    <n v="3.5560344827586209E-2"/>
    <n v="86.206896551724142"/>
    <n v="3.5560344827586209E-2"/>
    <n v="4.1250000000000002E-2"/>
    <n v="116"/>
    <n v="0.25"/>
    <n v="116"/>
    <n v="0"/>
    <n v="29"/>
    <n v="100"/>
    <n v="100"/>
    <n v="4.1250000000000002E-2"/>
    <n v="4.1250000000000002E-2"/>
    <n v="826000000"/>
    <n v="400000000"/>
    <n v="426000000"/>
    <n v="0"/>
    <n v="0"/>
    <n v="0"/>
    <n v="0"/>
    <n v="0"/>
    <n v="0"/>
    <n v="0"/>
    <n v="0"/>
    <n v="0"/>
    <n v="0"/>
    <n v="0"/>
    <n v="0"/>
    <n v="0"/>
    <n v="0"/>
    <n v="0"/>
    <n v="0"/>
    <n v="112"/>
    <n v="0.16500000000000001"/>
    <n v="96.551724137931032"/>
    <n v="96.551724137931032"/>
    <n v="0.15931034482758621"/>
    <n v="0.15931034482758621"/>
    <n v="0.15931034482758621"/>
    <n v="1"/>
    <n v="0"/>
    <n v="203"/>
    <s v="LOGAR QUE EL 80% DE LOS ENTES TERRITORIALES MUNICIPALES, LAS ENTIDADES RESPONSABLES DE PAGO Y LA RED CONTRATADA POR EL DEPARTAMENTO MEJOREN LOS RESULTADOS EN EL ASEGURAMIENTO Y LA PRESTACIÓN DE SERVICIOS DE SALUD"/>
    <m/>
    <s v=""/>
    <m/>
    <m/>
    <m/>
    <m/>
    <s v="SE LOGRA FORTALECER LOS PROCESOS TERRITOROIALES EN LOS COMPONETES DE: PLANEACION, CONTRATACION, EJECUCION, SEGUIMIENTO Y EVALUACION DE LOS PLANEA TERRITORIALES EN SALUD E INTERVENCUIOINES COLECTIVAS, AL IGUAL QUE LOS PROCESOS DE GESTION EN SALUD PUBLICA, INCLUYENDO LA RENDICION DE CUENTAS Y MOVILIZACION SOCIAL, BAJO EL MARCO DEL MODELO DE GESTION EN SALUD."/>
    <n v="0"/>
    <m/>
    <s v="0.2"/>
  </r>
  <r>
    <n v="239"/>
    <x v="0"/>
    <x v="0"/>
    <x v="6"/>
    <s v="DINAMICA FAMILIAR"/>
    <s v="MANTENER CADA AÑO LA COFINANCIACIÓN DEL ASEGURAMIENTO AL RÉGIMEN SUBSIDIADO EN LOS 116 MUNICIPIOS DEL DEPARTAMENTO"/>
    <s v="NO. DE MUNICIPIOS COFINANCIADOS PARA EL ASEGURAMIENTO AL RÉGIMEN SUBSIDIADO"/>
    <s v="MUNICIPIOS"/>
    <s v="M"/>
    <n v="116"/>
    <n v="116"/>
    <n v="116"/>
    <n v="0.25"/>
    <n v="6.25E-2"/>
    <n v="116"/>
    <n v="0.25"/>
    <n v="116"/>
    <n v="29"/>
    <n v="100"/>
    <n v="100"/>
    <n v="6.25E-2"/>
    <n v="100"/>
    <n v="70248000"/>
    <n v="70248000"/>
    <n v="0"/>
    <n v="0"/>
    <n v="0"/>
    <n v="0"/>
    <n v="0"/>
    <n v="0"/>
    <n v="71371170000"/>
    <n v="0"/>
    <n v="0"/>
    <n v="0"/>
    <n v="0"/>
    <n v="0"/>
    <n v="0"/>
    <n v="71371170000"/>
    <n v="0"/>
    <n v="0"/>
    <n v="0"/>
    <n v="6.25E-2"/>
    <n v="116"/>
    <n v="0.25"/>
    <n v="116"/>
    <n v="29"/>
    <n v="100"/>
    <n v="100"/>
    <n v="6.25E-2"/>
    <n v="100"/>
    <n v="61257000000"/>
    <n v="61257000"/>
    <n v="0"/>
    <n v="0"/>
    <n v="0"/>
    <n v="0"/>
    <n v="0"/>
    <n v="0"/>
    <n v="77220388147"/>
    <n v="77220388147"/>
    <n v="0"/>
    <n v="0"/>
    <n v="0"/>
    <n v="0"/>
    <n v="0"/>
    <n v="0"/>
    <n v="0"/>
    <n v="0"/>
    <n v="0"/>
    <n v="6.25E-2"/>
    <n v="116"/>
    <n v="0.25"/>
    <n v="50"/>
    <n v="67"/>
    <n v="116"/>
    <n v="29"/>
    <n v="100"/>
    <n v="100"/>
    <n v="6.25E-2"/>
    <n v="100"/>
    <n v="6.25E-2"/>
    <n v="6.25E-2"/>
    <n v="116"/>
    <n v="0.25"/>
    <n v="116"/>
    <n v="0"/>
    <n v="29"/>
    <n v="100"/>
    <n v="100"/>
    <n v="6.25E-2"/>
    <n v="6.25E-2"/>
    <n v="64644000000"/>
    <n v="0"/>
    <n v="64644000"/>
    <n v="0"/>
    <n v="0"/>
    <n v="0"/>
    <n v="0"/>
    <n v="0"/>
    <n v="0"/>
    <n v="0"/>
    <n v="0"/>
    <n v="0"/>
    <n v="0"/>
    <n v="0"/>
    <n v="0"/>
    <n v="0"/>
    <n v="0"/>
    <n v="0"/>
    <n v="0"/>
    <n v="116"/>
    <n v="0.25"/>
    <n v="100"/>
    <n v="100"/>
    <n v="0.25"/>
    <n v="0.25"/>
    <n v="0.25"/>
    <n v="1"/>
    <n v="0"/>
    <n v="203"/>
    <s v="LOGAR QUE EL 80% DE LOS ENTES TERRITORIALES MUNICIPALES, LAS ENTIDADES RESPONSABLES DE PAGO Y LA RED CONTRATADA POR EL DEPARTAMENTO MEJOREN LOS RESULTADOS EN EL ASEGURAMIENTO Y LA PRESTACIÓN DE SERVICIOS DE SALUD"/>
    <m/>
    <s v=""/>
    <m/>
    <m/>
    <m/>
    <m/>
    <s v="COFINANCIAR DEL 100% DEL ASEGURAMIENTO A LOS 116 MUNICIPIOS DEL DEPARTAMENTO"/>
    <n v="0"/>
    <m/>
    <n v="0"/>
  </r>
  <r>
    <n v="240"/>
    <x v="0"/>
    <x v="0"/>
    <x v="6"/>
    <s v="DINAMICA FAMILIAR"/>
    <s v="IMPLEMENTAR LA ESTRATEGIA &quot;CUNDINAMARCA ASEGURADA Y SALUDABLE&quot; EN LOS 116 MUNICIPIOS"/>
    <s v="NO. DE MUNICIPIOS CON LA ESTRETEGIA &quot;CUNDINAMARCA SEGURADA Y SALUDABLE&quot; IMPLEMENTADA"/>
    <s v="MUNICIPIOS"/>
    <s v="I"/>
    <n v="0"/>
    <n v="116"/>
    <n v="116"/>
    <n v="0.25"/>
    <n v="1.0775862068965518E-2"/>
    <n v="5"/>
    <n v="4.3103448275862072E-2"/>
    <n v="5"/>
    <n v="5"/>
    <n v="100"/>
    <n v="100"/>
    <n v="1.0775862068965518E-2"/>
    <n v="100"/>
    <n v="0"/>
    <n v="0"/>
    <n v="0"/>
    <n v="0"/>
    <n v="0"/>
    <n v="0"/>
    <n v="0"/>
    <n v="0"/>
    <n v="1510185000"/>
    <n v="1510185000"/>
    <n v="0"/>
    <n v="0"/>
    <n v="0"/>
    <n v="0"/>
    <n v="0"/>
    <n v="0"/>
    <n v="0"/>
    <n v="0"/>
    <n v="0"/>
    <n v="3.2327586206896554E-2"/>
    <n v="15"/>
    <n v="0.12931034482758622"/>
    <n v="109"/>
    <n v="109"/>
    <n v="726.66666666666663"/>
    <n v="100"/>
    <n v="3.2327586206896554E-2"/>
    <n v="100"/>
    <n v="416000000"/>
    <n v="0"/>
    <n v="416000000"/>
    <n v="0"/>
    <n v="0"/>
    <n v="0"/>
    <n v="0"/>
    <n v="0"/>
    <n v="674651332"/>
    <n v="674651332"/>
    <n v="0"/>
    <n v="0"/>
    <n v="0"/>
    <n v="0"/>
    <n v="0"/>
    <n v="0"/>
    <n v="0"/>
    <n v="0"/>
    <n v="0"/>
    <n v="9.6982758620689655E-2"/>
    <n v="45"/>
    <n v="0.38793103448275862"/>
    <n v="104"/>
    <n v="2"/>
    <n v="116"/>
    <n v="116"/>
    <n v="257.77777777777777"/>
    <n v="100"/>
    <n v="9.6982758620689669E-2"/>
    <n v="100"/>
    <n v="0.25"/>
    <n v="0.10991379310344827"/>
    <n v="51"/>
    <n v="0.43965517241379309"/>
    <n v="116"/>
    <n v="-65"/>
    <n v="116"/>
    <n v="227.45098039215685"/>
    <n v="100"/>
    <n v="0.10991379310344827"/>
    <n v="0.24999999999999997"/>
    <n v="960000000"/>
    <n v="960000000"/>
    <n v="0"/>
    <n v="0"/>
    <n v="0"/>
    <n v="0"/>
    <n v="0"/>
    <n v="0"/>
    <n v="0"/>
    <n v="0"/>
    <n v="0"/>
    <n v="0"/>
    <n v="0"/>
    <n v="0"/>
    <n v="0"/>
    <n v="0"/>
    <n v="0"/>
    <n v="0"/>
    <n v="0"/>
    <n v="346"/>
    <n v="0.25"/>
    <n v="298.27586206896552"/>
    <n v="100"/>
    <n v="0.25"/>
    <n v="0.25"/>
    <n v="0.25"/>
    <n v="1"/>
    <n v="0"/>
    <n v="203"/>
    <s v="LOGAR QUE EL 80% DE LOS ENTES TERRITORIALES MUNICIPALES, LAS ENTIDADES RESPONSABLES DE PAGO Y LA RED CONTRATADA POR EL DEPARTAMENTO MEJOREN LOS RESULTADOS EN EL ASEGURAMIENTO Y LA PRESTACIÓN DE SERVICIOS DE SALUD"/>
    <m/>
    <s v=""/>
    <m/>
    <m/>
    <m/>
    <m/>
    <s v="1. IMPLEMENTAR Y EVALUAR LA ESTRATEGIA CUNDINAMARCA ASEGURADA Y SALUDABLE EN EL 98.4% DE LOS MUNICIPIOS._x000a_2. REALIZACIÓN DE ENTREGA Y ADAPTACIÓN DE MÁS DE 20.183 PRÓTESIS DENTALES ACRÍLICAS REMOVIBLES, EDUCACIÓN SOBRE PAUTAS DE SALUD ORAL Y AUTOCUIDADO DE SUS PRÓTESIS PARA MÁS DE 10.052 BENEFICIARIOS DE LOGRA MEJORAR LA CALIDAD DE VIDA DE LOS USUARIOS DE LOS SERVICIOS DE SALUD._x000a_3. A TRAVÉS DEL ESTUDIO DEL RANKIN EPSS SE LOGRÓ ESTABLECER LA EVALUACIÓN Y MEDICIÓN DEL GRADO DE SATISFACCIÓN DE USUARIOS DE LOS SERVICIOS DE LAS EMPRESAS PROMOTORAS DE SALUD – EPS DEL RÉGIMEN SUBSIDIADO QUE OPERAN EN LA JURISDICCIÓN."/>
    <n v="1384000000"/>
    <m/>
    <n v="32"/>
  </r>
  <r>
    <n v="241"/>
    <x v="0"/>
    <x v="5"/>
    <x v="6"/>
    <s v="DINAMICA FAMILIAR"/>
    <s v="FOMENTAR LA TRADICIÓN, LA CULTURA Y LAS ARTES CON EVENTOS ARTÍSTICOS Y CULTURALES EN 90 MUNICIPIOS CADA AÑO"/>
    <s v="NO. DE EVENTOS MUNICIPALES QUE FOMENTAN LA TRADICIÓN, LA CULTURA Y LAS ARTES CADA AÑO"/>
    <s v="EVENTOS"/>
    <s v="M"/>
    <n v="90"/>
    <n v="90"/>
    <n v="90"/>
    <n v="0.16500000000000001"/>
    <n v="4.1250000000000002E-2"/>
    <n v="90"/>
    <n v="0.25"/>
    <n v="100"/>
    <n v="25"/>
    <n v="111.11111111111111"/>
    <n v="100"/>
    <n v="4.1250000000000002E-2"/>
    <n v="100"/>
    <n v="0"/>
    <n v="0"/>
    <n v="0"/>
    <n v="0"/>
    <n v="0"/>
    <n v="0"/>
    <n v="0"/>
    <n v="0"/>
    <n v="620109000"/>
    <n v="620109000"/>
    <n v="0"/>
    <n v="0"/>
    <n v="0"/>
    <n v="0"/>
    <n v="0"/>
    <n v="0"/>
    <n v="0"/>
    <n v="1267334000"/>
    <s v="MUNICIPIOS,FUNDACION COMPARTIR"/>
    <n v="4.1250000000000002E-2"/>
    <n v="90"/>
    <n v="0.25"/>
    <n v="137"/>
    <n v="34.25"/>
    <n v="152.22222222222223"/>
    <n v="100"/>
    <n v="4.1250000000000002E-2"/>
    <n v="100"/>
    <n v="3030000000"/>
    <n v="0"/>
    <n v="630000000"/>
    <n v="0"/>
    <n v="0"/>
    <n v="0"/>
    <n v="0"/>
    <n v="2400000000"/>
    <n v="1211769364"/>
    <n v="1211769364"/>
    <n v="0"/>
    <n v="0"/>
    <n v="0"/>
    <n v="0"/>
    <n v="0"/>
    <n v="0"/>
    <n v="0"/>
    <n v="0"/>
    <n v="0"/>
    <n v="4.1250000000000002E-2"/>
    <n v="90"/>
    <n v="0.25"/>
    <n v="40"/>
    <n v="76"/>
    <n v="96"/>
    <n v="24"/>
    <n v="106.66666666666667"/>
    <n v="100"/>
    <n v="4.1250000000000002E-2"/>
    <n v="100"/>
    <n v="4.4000000000000004E-2"/>
    <n v="4.1250000000000002E-2"/>
    <n v="90"/>
    <n v="0.25"/>
    <n v="106"/>
    <n v="-16"/>
    <n v="26.5"/>
    <n v="117.77777777777777"/>
    <n v="100"/>
    <n v="4.1250000000000002E-2"/>
    <n v="4.8583333333333333E-2"/>
    <n v="3030000000"/>
    <n v="630000000"/>
    <n v="0"/>
    <n v="0"/>
    <n v="0"/>
    <n v="0"/>
    <n v="0"/>
    <n v="2400000000"/>
    <n v="0"/>
    <n v="0"/>
    <n v="0"/>
    <n v="0"/>
    <n v="0"/>
    <n v="0"/>
    <n v="0"/>
    <n v="0"/>
    <n v="0"/>
    <n v="0"/>
    <n v="0"/>
    <n v="109.75"/>
    <n v="0.16500000000000001"/>
    <n v="121.94444444444444"/>
    <n v="100"/>
    <n v="0.16500000000000001"/>
    <n v="0.16500000000000001"/>
    <n v="0.16500000000000001"/>
    <n v="1"/>
    <n v="0"/>
    <n v="201"/>
    <s v="45.000 FAMILIAS MEJORAN SU CONVIVENCIA POR MEDIO DE LA INTERVENCIÓN DEL PROGRAMA &quot;DEPORTE, CONVIVENCIA Y PAZ&quot;"/>
    <m/>
    <s v=""/>
    <m/>
    <m/>
    <m/>
    <m/>
    <s v="DURANTE EL PERIODO DE GOBIERNO Y A LA FECHA EL IDECUT HA BRINDADO APOYO PARA LA REALIZACIÓN DE EVENTOS DE TRAYECTORIA ARTÍSTICA Y CULTURAL DE ORDEN MUNICIPAL, REGIONAL, DEPARTAMENTAL, NACIONAL E INTERNACIONAL, UN PROMEDIO ANUAL DE 102 EVENTOS, PROPENDIENDO POR LA INTEGRACIÓN CULTURAL Y LA SOCIALIZACIÓN DE LOS MUNICIPIOS DEL DEPARTAMENTO DE CUNDINAMARCA. "/>
    <n v="1468000000"/>
    <m/>
    <n v="14171"/>
  </r>
  <r>
    <n v="242"/>
    <x v="0"/>
    <x v="4"/>
    <x v="6"/>
    <s v="DINAMICA FAMILIAR"/>
    <s v="REALIZAR ACCIONES DE PREVENCIÓN PARA MEJORAR LA CONVIVENCIA EN LOS 116 MUNICIPIOS MEDIANTE LA IMPLEMENTACIÓN DE LA ESTRATEGIA &quot;DEPORTE, CONVIVENCIA Y PAZ&quot; "/>
    <s v="NO. DE MUNICIPIOS CON IMPLEMENTACIÓN DE LA ESTRATEGIA &quot;DEPORTE, CONVIVENCIA Y PAZ&quot;"/>
    <s v="MUNICIPIOS"/>
    <s v="I"/>
    <n v="0"/>
    <n v="116"/>
    <n v="116"/>
    <n v="0.16500000000000001"/>
    <n v="4.1250000000000002E-2"/>
    <n v="29"/>
    <n v="0.25"/>
    <n v="29"/>
    <n v="29"/>
    <n v="100"/>
    <n v="100"/>
    <n v="4.1250000000000002E-2"/>
    <n v="100"/>
    <n v="74000000"/>
    <n v="74000000"/>
    <n v="0"/>
    <n v="0"/>
    <n v="0"/>
    <n v="0"/>
    <n v="0"/>
    <n v="0"/>
    <n v="74000000"/>
    <n v="74000000"/>
    <n v="0"/>
    <n v="0"/>
    <n v="0"/>
    <n v="0"/>
    <n v="0"/>
    <n v="0"/>
    <n v="0"/>
    <n v="0"/>
    <n v="0"/>
    <n v="4.1250000000000002E-2"/>
    <n v="29"/>
    <n v="0.25"/>
    <n v="48"/>
    <n v="48"/>
    <n v="165.51724137931035"/>
    <n v="100"/>
    <n v="4.1250000000000002E-2"/>
    <n v="100"/>
    <n v="58000000"/>
    <n v="0"/>
    <n v="58000000"/>
    <n v="0"/>
    <n v="0"/>
    <n v="0"/>
    <n v="0"/>
    <n v="0"/>
    <n v="3687784152"/>
    <n v="3687784152"/>
    <n v="0"/>
    <n v="0"/>
    <n v="0"/>
    <n v="0"/>
    <n v="0"/>
    <n v="0"/>
    <n v="0"/>
    <n v="0"/>
    <n v="0"/>
    <n v="4.1250000000000002E-2"/>
    <n v="29"/>
    <n v="0.25"/>
    <n v="17"/>
    <n v="18"/>
    <n v="48"/>
    <n v="48"/>
    <n v="165.51724137931035"/>
    <n v="100"/>
    <n v="4.1250000000000002E-2"/>
    <n v="100"/>
    <n v="6.827586206896552E-2"/>
    <n v="4.1250000000000002E-2"/>
    <n v="29"/>
    <n v="0.25"/>
    <n v="14"/>
    <n v="15"/>
    <n v="14"/>
    <n v="48.275862068965516"/>
    <n v="48.275862068965516"/>
    <n v="1.9913793103448277E-2"/>
    <n v="1.9913793103448277E-2"/>
    <n v="58000000"/>
    <n v="58000000"/>
    <n v="0"/>
    <n v="0"/>
    <n v="0"/>
    <n v="0"/>
    <n v="0"/>
    <n v="0"/>
    <n v="0"/>
    <n v="0"/>
    <n v="0"/>
    <n v="0"/>
    <n v="0"/>
    <n v="0"/>
    <n v="0"/>
    <n v="0"/>
    <n v="0"/>
    <n v="0"/>
    <n v="0"/>
    <n v="139"/>
    <n v="0.16500000000000001"/>
    <n v="119.82758620689656"/>
    <n v="100"/>
    <n v="0.16500000000000001"/>
    <n v="0.16500000000000001"/>
    <n v="0.16500000000000001"/>
    <n v="1"/>
    <n v="0"/>
    <n v="201"/>
    <s v="45.000 FAMILIAS MEJORAN SU CONVIVENCIA POR MEDIO DE LA INTERVENCIÓN DEL PROGRAMA &quot;DEPORTE, CONVIVENCIA Y PAZ&quot;"/>
    <m/>
    <s v=""/>
    <m/>
    <m/>
    <m/>
    <m/>
    <s v="COMO PROGRAMA INNOVADOR, SE PROMOVIÓ EL DEPORTE POR MEDIO DE LA ESTRATEGIA &quot;DEPORTE: SALUD, CONVIVENCIA Y PAZ&quot;, COMO COMPETENCIA FORMATIVA PARA LOGRAR EL RESPETO POR LA VIDA, LA PROMOCIÓN DE UNA SANA CONVIVENCIA, EL CUIDADO DE LA SALUD, EL APROVECHAMIENTO DEL TIEMPO LIBRE Y EL RECONOCIMIENTO DE LO PÚBLICO COMO DERECHO Y RESPONSABILIDAD CIUDADANA, A MÁS 16.500 FAMILIAS DEL DEPARTAMENTO CADA AÑO, SOPORTADOS EN UN NÚCLEO FAMILIAR ARMÓNICO, COMO FORMADOR PRIMARIO DEL SER HUMANO. BAJO ESTA ESTRATEGIA SE APOYÓ LA ADECUACIÓN DE 152 ESCENARIOS RECREO-DEPORTIVOS EN 62 MUNICIPIOS DEL DEPARTAMENTO. EN EL MARCO DE ESTE PROGRAMA SE REALIZARON LOS I JUEGOS PENITENCIARIOS DE CUNDINAMARCA 2014, EN LOS ESTABLECIMIENTOS CARCELARIOS DE GUADUAS, CÁQUEZA, CHOCONTÁ, FACATATIVÁ, FUSAGASUGÁ, GACHETA, GIRARDOT, LA MESA, UBATÉ, VILLETA Y ZIPAQUIRÁ, CON EL OBJETIVO DE BENEFICIAR A LA COMUNIDAD CARCELARIA Y SU ENTORNO FAMILIAR. LOS DEPORTES INCLUIDOS EN EL PROGRAMA SON VOLEIBOL, BALONCESTO, BANQUITAS, FÚTBOL, FUTSAL, FÚTBOL 5, AJEDREZ, MINITEJO Y TENIS DE MESA. TAMBIÉN SE INCLUYERON ACTIVIDADES RECREATIVAS COMO EL JUEGO DE LA RANA, TROMPO, PARQUÉS, DOMINÓ, CUCUNUBÁ, SALTO AL LAZO Y SHOW BOLL, MODALIDAD DEPORTIVA QUE CONSISTE EN JUGAR BALOMPIÉ EN UN ÁREA DETERMINADA (PASILLO-ZAGUÁN O CORREDOR) DEL CENTRO PENITENCIARIO, UTILIZANDO LAS PAREDES COMO ESPACIO DE JUEGO. SE DESTACA LA PARTICIPACIÓN DE LOS INTERNOS DE GUADUAS , SEDE QUE CONTARÁ CON LA VINCULACIÓN DE 930 INTERNOS, SEGUIDA DE GIRARDOT CON 364, FUSAGASUGÁ 275, FACATATIVÁ 223, VILLETA 194, UBATÉ 192, ZIPAQUIRÁ 188, CÁQUEZA 147,CHOCONTÁ 98, GACHETA 66 Y LA MESA 49."/>
    <n v="12000000"/>
    <m/>
    <n v="20"/>
  </r>
  <r>
    <n v="243"/>
    <x v="0"/>
    <x v="4"/>
    <x v="6"/>
    <s v="DINAMICA FAMILIAR"/>
    <s v="FOMENTAR LA ACTIVIDAD FÍSICA Y LA INTEGRACIÓN SOCIAL MEDIANTE LA ADECUACIÓN EN EL CUATRIENIO DE 40 PARQUES BIOSALUDABLES"/>
    <s v="NO. DE PARQUES BIOSALUDABLES INSTALADOS"/>
    <s v="PARQUES"/>
    <s v="I"/>
    <n v="6"/>
    <n v="46"/>
    <n v="40"/>
    <n v="0.16500000000000001"/>
    <n v="0"/>
    <n v="0"/>
    <n v="0"/>
    <n v="0"/>
    <n v="0"/>
    <n v="0"/>
    <n v="0"/>
    <n v="0"/>
    <n v="0"/>
    <n v="0"/>
    <n v="0"/>
    <n v="0"/>
    <n v="0"/>
    <n v="0"/>
    <n v="0"/>
    <n v="0"/>
    <n v="0"/>
    <n v="0"/>
    <n v="0"/>
    <n v="0"/>
    <n v="0"/>
    <n v="0"/>
    <n v="0"/>
    <n v="0"/>
    <n v="0"/>
    <n v="0"/>
    <n v="0"/>
    <n v="0"/>
    <n v="5.3625000000000006E-2"/>
    <n v="13"/>
    <n v="0.32500000000000001"/>
    <n v="49"/>
    <n v="49"/>
    <n v="376.92307692307691"/>
    <n v="100"/>
    <n v="5.3625000000000006E-2"/>
    <n v="100"/>
    <n v="533000000"/>
    <n v="0"/>
    <n v="533000000"/>
    <n v="0"/>
    <n v="0"/>
    <n v="0"/>
    <n v="0"/>
    <n v="0"/>
    <n v="1771200000"/>
    <n v="548000000"/>
    <n v="0"/>
    <n v="0"/>
    <n v="0"/>
    <n v="0"/>
    <n v="1223200000"/>
    <n v="0"/>
    <n v="0"/>
    <n v="0"/>
    <n v="0"/>
    <n v="5.3625000000000006E-2"/>
    <n v="13"/>
    <n v="0.32500000000000001"/>
    <n v="0"/>
    <n v="0"/>
    <n v="31"/>
    <n v="31"/>
    <n v="238.46153846153845"/>
    <n v="100"/>
    <n v="5.3625000000000006E-2"/>
    <n v="100"/>
    <n v="0.12787500000000002"/>
    <n v="5.7749999999999996E-2"/>
    <n v="14"/>
    <n v="0.35"/>
    <n v="25"/>
    <n v="-11"/>
    <n v="25"/>
    <n v="178.57142857142858"/>
    <n v="100"/>
    <n v="5.7749999999999996E-2"/>
    <n v="0.10312499999999999"/>
    <n v="533000000"/>
    <n v="533000000"/>
    <n v="0"/>
    <n v="0"/>
    <n v="0"/>
    <n v="0"/>
    <n v="0"/>
    <n v="0"/>
    <n v="0"/>
    <n v="0"/>
    <n v="0"/>
    <n v="0"/>
    <n v="0"/>
    <n v="0"/>
    <n v="0"/>
    <n v="0"/>
    <n v="0"/>
    <n v="0"/>
    <n v="0"/>
    <n v="105"/>
    <n v="0.16500000000000001"/>
    <n v="262.5"/>
    <n v="100"/>
    <n v="0.16500000000000001"/>
    <n v="0.16500000000000001"/>
    <n v="0.16500000000000001"/>
    <n v="1"/>
    <n v="0"/>
    <n v="201"/>
    <s v="45.000 FAMILIAS MEJORAN SU CONVIVENCIA POR MEDIO DE LA INTERVENCIÓN DEL PROGRAMA &quot;DEPORTE, CONVIVENCIA Y PAZ&quot;"/>
    <n v="202"/>
    <s v="30.000 FAMILIAS MAS SANAS Y FUERTES CON ACOMPAÑAMIENTO INSTITUCIONAL, FAMILIAR Y COMUNITARIO "/>
    <m/>
    <m/>
    <m/>
    <m/>
    <s v="CON GRAN ACOGIDA Y EL APOYO DEL NIVEL CENTRAL DE LA GOBERNACIÓN, SE DOTARON 129 PARQUES BIOSALUDABLES EN 74 MUNICIPIOS DEL DEPARTAMENTO, COMO ESTRATEGIA PARA PROMOVER EL APROVECHAMIENTO DEL TIEMPO LIBRE A LA COMUNIDAD DE LOS MUNICIPIOS. "/>
    <n v="15000000"/>
    <m/>
    <n v="29"/>
  </r>
  <r>
    <n v="244"/>
    <x v="0"/>
    <x v="4"/>
    <x v="6"/>
    <s v="DINAMICA FAMILIAR"/>
    <s v="FORTALECER LA ACTIVIDAD FÍSICA EN 400.000 PERSONAS CADA AÑO MEDIANTE LA PARTICIPACIÓN EN LAS MARATONES DE AEROBICOS Y EN EL DÍA DEL DESAFIO"/>
    <s v="NO. DE PERSONAS QUE PARTICIPAN EN EVENTOS MASIVOS DE ACTIVIDAD FÍSICA"/>
    <s v="PERSONAS"/>
    <s v="M"/>
    <n v="341821"/>
    <n v="400000"/>
    <n v="400000"/>
    <n v="8.8999999999999996E-2"/>
    <n v="2.2249999999999999E-2"/>
    <n v="400000"/>
    <n v="0.25"/>
    <n v="466223"/>
    <n v="116555.75"/>
    <n v="116.55575"/>
    <n v="100"/>
    <n v="2.2250000000000002E-2"/>
    <n v="100"/>
    <n v="27000000"/>
    <n v="27000000"/>
    <n v="0"/>
    <n v="0"/>
    <n v="0"/>
    <n v="0"/>
    <n v="0"/>
    <n v="0"/>
    <n v="30000000"/>
    <n v="30000000"/>
    <n v="0"/>
    <n v="0"/>
    <n v="0"/>
    <n v="0"/>
    <n v="0"/>
    <n v="0"/>
    <n v="0"/>
    <n v="0"/>
    <n v="0"/>
    <n v="2.2249999999999999E-2"/>
    <n v="400000"/>
    <n v="0.25"/>
    <n v="382831"/>
    <n v="95707.75"/>
    <n v="95.707750000000004"/>
    <n v="95.707750000000004"/>
    <n v="2.1294974375000001E-2"/>
    <n v="95.707750000000004"/>
    <n v="25000000"/>
    <n v="0"/>
    <n v="25000000"/>
    <n v="0"/>
    <n v="0"/>
    <n v="0"/>
    <n v="0"/>
    <n v="0"/>
    <n v="16500000"/>
    <n v="16500000"/>
    <n v="0"/>
    <n v="0"/>
    <n v="0"/>
    <n v="0"/>
    <n v="0"/>
    <n v="0"/>
    <n v="0"/>
    <n v="0"/>
    <n v="0"/>
    <n v="2.2249999999999999E-2"/>
    <n v="400000"/>
    <n v="0.25"/>
    <n v="331785"/>
    <n v="339122"/>
    <n v="435370"/>
    <n v="108842.5"/>
    <n v="108.8425"/>
    <n v="100"/>
    <n v="2.2250000000000002E-2"/>
    <n v="100"/>
    <n v="2.4217456249999998E-2"/>
    <n v="2.2249999999999999E-2"/>
    <n v="400000"/>
    <n v="0.25"/>
    <n v="361047"/>
    <n v="38953"/>
    <n v="90261.75"/>
    <n v="90.261750000000006"/>
    <n v="90.261750000000006"/>
    <n v="2.0083239375000003E-2"/>
    <n v="2.0083239375000003E-2"/>
    <n v="25000000"/>
    <n v="25000000"/>
    <n v="0"/>
    <n v="0"/>
    <n v="0"/>
    <n v="0"/>
    <n v="0"/>
    <n v="0"/>
    <n v="0"/>
    <n v="0"/>
    <n v="0"/>
    <n v="0"/>
    <n v="0"/>
    <n v="0"/>
    <n v="0"/>
    <n v="0"/>
    <n v="0"/>
    <n v="0"/>
    <n v="0"/>
    <n v="411367.75"/>
    <n v="8.8999999999999996E-2"/>
    <n v="102.8419375"/>
    <n v="100"/>
    <n v="8.900000000000001E-2"/>
    <n v="8.900000000000001E-2"/>
    <n v="8.900000000000001E-2"/>
    <n v="1"/>
    <n v="0"/>
    <n v="201"/>
    <s v="45.000 FAMILIAS MEJORAN SU CONVIVENCIA POR MEDIO DE LA INTERVENCIÓN DEL PROGRAMA &quot;DEPORTE, CONVIVENCIA Y PAZ&quot;"/>
    <m/>
    <s v=""/>
    <m/>
    <m/>
    <m/>
    <m/>
    <s v="FORTALECIMIENTO DEL PROGRAMA DE ACTIVIDAD FÍSICA, MEDIANTE EL DESARROLLO DE ENVENTOS MASIVOS, LA PARTICIPACIÓN DEL DEPARTAMENTO TODOS LOS AÑOS EN EL DÍA DEL DESAFÍO Y LA ORGANIZACIÓN Y APOYO A EVENTOS EN LOS ENTES MUNICIPALES, CUMPLIENDO CON EL INDICADOR ESTABLECIDO EN EL CUATRIENIO."/>
    <n v="0"/>
    <m/>
    <n v="14"/>
  </r>
  <r>
    <n v="245"/>
    <x v="0"/>
    <x v="0"/>
    <x v="6"/>
    <s v="DINAMICA FAMILIAR"/>
    <s v="PROMOVER LA AFILIACIÓN AL 100% DE LA POBLACIÓN OBJETO DE ASEGURAMIENTO AL RÉGIMEN SUBSIDIADO EN EL DEPARTAMENTO"/>
    <s v="% DE POBLACION OBJETO DE ASEGURAMIENTO AFILIADA"/>
    <s v="PUNTOS PORCENTUALES"/>
    <s v="I"/>
    <n v="86"/>
    <n v="100"/>
    <n v="14"/>
    <n v="0.16500000000000001"/>
    <n v="2.357142857142857E-2"/>
    <n v="2"/>
    <n v="0.14285714285714285"/>
    <n v="2"/>
    <n v="2"/>
    <n v="100"/>
    <n v="100"/>
    <n v="2.3571428571428566E-2"/>
    <n v="100"/>
    <n v="4200000"/>
    <n v="4200000"/>
    <n v="0"/>
    <n v="0"/>
    <n v="0"/>
    <n v="0"/>
    <n v="0"/>
    <n v="0"/>
    <n v="0"/>
    <n v="0"/>
    <n v="0"/>
    <n v="0"/>
    <n v="0"/>
    <n v="0"/>
    <n v="0"/>
    <n v="0"/>
    <n v="0"/>
    <n v="0"/>
    <n v="0"/>
    <n v="4.7142857142857139E-2"/>
    <n v="4"/>
    <n v="0.2857142857142857"/>
    <n v="4"/>
    <n v="4"/>
    <n v="100"/>
    <n v="100"/>
    <n v="4.7142857142857132E-2"/>
    <n v="100"/>
    <n v="0"/>
    <n v="0"/>
    <n v="0"/>
    <n v="0"/>
    <n v="0"/>
    <n v="0"/>
    <n v="0"/>
    <n v="0"/>
    <n v="113045990"/>
    <n v="113045990"/>
    <n v="0"/>
    <n v="0"/>
    <n v="0"/>
    <n v="0"/>
    <n v="0"/>
    <n v="0"/>
    <n v="0"/>
    <n v="0"/>
    <n v="0"/>
    <n v="5.8928571428571434E-2"/>
    <n v="5"/>
    <n v="0.35714285714285715"/>
    <n v="5"/>
    <n v="5"/>
    <n v="5"/>
    <n v="5"/>
    <n v="100"/>
    <n v="100"/>
    <n v="5.8928571428571434E-2"/>
    <n v="100"/>
    <n v="5.8928571428571434E-2"/>
    <n v="3.5357142857142858E-2"/>
    <n v="3"/>
    <n v="0.21428571428571427"/>
    <n v="3"/>
    <n v="0"/>
    <n v="3"/>
    <n v="100"/>
    <n v="100"/>
    <n v="3.5357142857142858E-2"/>
    <n v="3.5357142857142858E-2"/>
    <n v="0"/>
    <n v="0"/>
    <n v="0"/>
    <n v="0"/>
    <n v="0"/>
    <n v="0"/>
    <n v="0"/>
    <n v="0"/>
    <n v="0"/>
    <n v="0"/>
    <n v="0"/>
    <n v="0"/>
    <n v="0"/>
    <n v="0"/>
    <n v="0"/>
    <n v="0"/>
    <n v="0"/>
    <n v="0"/>
    <n v="0"/>
    <n v="14"/>
    <n v="0.16500000000000001"/>
    <n v="100"/>
    <n v="100"/>
    <n v="0.16500000000000001"/>
    <n v="0.16500000000000001"/>
    <n v="0.16500000000000001"/>
    <n v="1"/>
    <n v="0"/>
    <n v="203"/>
    <s v="LOGAR QUE EL 80% DE LOS ENTES TERRITORIALES MUNICIPALES, LAS ENTIDADES RESPONSABLES DE PAGO Y LA RED CONTRATADA POR EL DEPARTAMENTO MEJOREN LOS RESULTADOS EN EL ASEGURAMIENTO Y LA PRESTACIÓN DE SERVICIOS DE SALUD"/>
    <m/>
    <s v=""/>
    <m/>
    <m/>
    <m/>
    <m/>
    <s v="AUMENTAR EN 7.07 PUNTOS PORCENTUALES LA COBERTURA DE LA AFILIACIÓN AL RÉGIMEN SUBSIDIADO CON RESPECTO A LA LÍNEA BASE DE 36.89%."/>
    <n v="0"/>
    <m/>
    <n v="50"/>
  </r>
  <r>
    <n v="246"/>
    <x v="0"/>
    <x v="0"/>
    <x v="6"/>
    <s v="DINAMICA FAMILIAR"/>
    <s v="INCREMENTAR EN EL DEPARTAMENTO EN 0.8 PUNTOS PORCENTUALES EL ASEGURAMIENTO AL RÉGIMEN CONTRIBUTIVO"/>
    <s v="PUNTOS PORCENTUALES DE INCREMENTO DEL ASEGURAMIENTO AL RÉGIMEN CONTRIBUTIVO"/>
    <s v="PUNTOS PORCENTUALES"/>
    <s v="I"/>
    <n v="41.46"/>
    <n v="42.26"/>
    <n v="0.8"/>
    <n v="0.16500000000000001"/>
    <n v="2.0625000000000001E-2"/>
    <n v="0.1"/>
    <n v="0.125"/>
    <n v="0.1"/>
    <n v="0.1"/>
    <n v="100"/>
    <n v="100"/>
    <n v="2.0625000000000001E-2"/>
    <n v="100"/>
    <n v="0"/>
    <n v="0"/>
    <n v="0"/>
    <n v="0"/>
    <n v="0"/>
    <n v="0"/>
    <n v="0"/>
    <n v="0"/>
    <n v="0"/>
    <n v="0"/>
    <n v="0"/>
    <n v="0"/>
    <n v="0"/>
    <n v="0"/>
    <n v="0"/>
    <n v="0"/>
    <n v="0"/>
    <n v="0"/>
    <n v="0"/>
    <n v="4.1250000000000002E-2"/>
    <n v="0.2"/>
    <n v="0.25"/>
    <n v="0.3"/>
    <n v="0.3"/>
    <n v="150"/>
    <n v="100"/>
    <n v="4.1250000000000002E-2"/>
    <n v="100"/>
    <n v="0"/>
    <n v="0"/>
    <n v="0"/>
    <n v="0"/>
    <n v="0"/>
    <n v="0"/>
    <n v="0"/>
    <n v="0"/>
    <n v="23485000"/>
    <n v="23485000"/>
    <n v="0"/>
    <n v="0"/>
    <n v="0"/>
    <n v="0"/>
    <n v="0"/>
    <n v="0"/>
    <n v="0"/>
    <n v="0"/>
    <n v="0"/>
    <n v="6.1874999999999993E-2"/>
    <n v="0.3"/>
    <n v="0.37499999999999994"/>
    <n v="0.74000000953674316"/>
    <n v="1"/>
    <n v="4.690000057220459"/>
    <n v="4.690000057220459"/>
    <n v="1563.3333524068198"/>
    <n v="100"/>
    <n v="6.1874999999999993E-2"/>
    <n v="100"/>
    <n v="0.96731251180171962"/>
    <n v="4.1250000000000002E-2"/>
    <n v="0.2"/>
    <n v="0.25"/>
    <n v="0.2"/>
    <n v="0"/>
    <n v="0.2"/>
    <n v="100"/>
    <n v="100"/>
    <n v="4.1250000000000002E-2"/>
    <n v="4.1250000000000002E-2"/>
    <n v="0"/>
    <n v="0"/>
    <n v="0"/>
    <n v="0"/>
    <n v="0"/>
    <n v="0"/>
    <n v="0"/>
    <n v="0"/>
    <n v="0"/>
    <n v="0"/>
    <n v="0"/>
    <n v="0"/>
    <n v="0"/>
    <n v="0"/>
    <n v="0"/>
    <n v="0"/>
    <n v="0"/>
    <n v="0"/>
    <n v="0"/>
    <n v="5.2900000572204595"/>
    <n v="0.16500000000000001"/>
    <n v="661.25000715255737"/>
    <n v="100"/>
    <n v="0.16500000000000001"/>
    <n v="0.16500000000000001"/>
    <n v="0.16500000000000001"/>
    <n v="1"/>
    <n v="0"/>
    <n v="203"/>
    <s v="LOGAR QUE EL 80% DE LOS ENTES TERRITORIALES MUNICIPALES, LAS ENTIDADES RESPONSABLES DE PAGO Y LA RED CONTRATADA POR EL DEPARTAMENTO MEJOREN LOS RESULTADOS EN EL ASEGURAMIENTO Y LA PRESTACIÓN DE SERVICIOS DE SALUD"/>
    <m/>
    <s v=""/>
    <m/>
    <m/>
    <m/>
    <m/>
    <s v="INCREMENTAR 11.57 PUNTOS PORCENTUALES EN LA AFILIACIÓN DE LA POBLACIÓN AL RÉGIMEN CONTRIBUTIVO, CON RESPECTO A LA LÍNEA BASE DEL 41.76 DEL AÑO 2011"/>
    <n v="0"/>
    <m/>
    <n v="47"/>
  </r>
  <r>
    <n v="248"/>
    <x v="0"/>
    <x v="1"/>
    <x v="7"/>
    <s v="DESARROLLO INTEGRAL DE LA MUJER"/>
    <s v="GENERAR EN LAS MUJERES MAYOR AUTONOMÍA ECONÓMICA, APOYANDO A 500 PROYECTOS PRODUCTIVOS, ENTRE OTROS CON EL FONDO EMPRESARIAL PARA LA MUJER CUNDINAMARQUESA Y LA RED DE EMPRESARIAS DEL DEPARTAMENTO"/>
    <s v="NO. DE PROYECTOS PRODUCTIVOS LIDERADOS POR MUJERES APOYADOS"/>
    <s v="PROYECTOS"/>
    <s v="I"/>
    <n v="0"/>
    <n v="500"/>
    <n v="500"/>
    <n v="0.25"/>
    <n v="0.15"/>
    <n v="300"/>
    <n v="0.6"/>
    <n v="301"/>
    <n v="301"/>
    <n v="100.33333333333333"/>
    <n v="100"/>
    <n v="0.15"/>
    <n v="100"/>
    <n v="516000000"/>
    <n v="506000000"/>
    <n v="0"/>
    <n v="0"/>
    <n v="0"/>
    <n v="0"/>
    <n v="0"/>
    <n v="10000000"/>
    <n v="591321000"/>
    <n v="591321000"/>
    <n v="0"/>
    <n v="0"/>
    <n v="0"/>
    <n v="0"/>
    <n v="0"/>
    <n v="0"/>
    <n v="0"/>
    <n v="20000000"/>
    <s v="FUNDASET Y MUNICIPIO DE GUASCA"/>
    <n v="7.0000000000000007E-2"/>
    <n v="140"/>
    <n v="0.28000000000000003"/>
    <n v="220"/>
    <n v="220"/>
    <n v="157.14285714285714"/>
    <n v="100"/>
    <n v="7.0000000000000007E-2"/>
    <n v="100"/>
    <n v="320000000"/>
    <n v="0"/>
    <n v="195000000"/>
    <n v="0"/>
    <n v="0"/>
    <n v="0"/>
    <n v="0"/>
    <n v="125000000"/>
    <n v="316418000"/>
    <n v="316418000"/>
    <n v="0"/>
    <n v="0"/>
    <n v="0"/>
    <n v="0"/>
    <n v="0"/>
    <n v="0"/>
    <n v="0"/>
    <n v="0"/>
    <n v="0"/>
    <n v="0.02"/>
    <n v="40"/>
    <n v="0.08"/>
    <n v="59"/>
    <n v="59"/>
    <n v="59"/>
    <n v="59"/>
    <n v="147.5"/>
    <n v="100"/>
    <n v="0.02"/>
    <n v="100"/>
    <n v="2.9500000000000002E-2"/>
    <n v="0.01"/>
    <n v="20"/>
    <n v="0.04"/>
    <n v="50"/>
    <n v="-30"/>
    <n v="50"/>
    <n v="250"/>
    <n v="100"/>
    <n v="0.01"/>
    <n v="2.5000000000000001E-2"/>
    <n v="575000000"/>
    <n v="450000000"/>
    <n v="0"/>
    <n v="0"/>
    <n v="0"/>
    <n v="0"/>
    <n v="0"/>
    <n v="125000000"/>
    <n v="0"/>
    <n v="0"/>
    <n v="0"/>
    <n v="0"/>
    <n v="0"/>
    <n v="0"/>
    <n v="0"/>
    <n v="0"/>
    <n v="0"/>
    <n v="0"/>
    <n v="0"/>
    <n v="630"/>
    <n v="0.25"/>
    <n v="126"/>
    <n v="100"/>
    <n v="0.25"/>
    <n v="0.25"/>
    <n v="0.25"/>
    <n v="1"/>
    <n v="0"/>
    <n v="247"/>
    <s v="10% DE MUJERES CON LIDERAZGO Y EMPODERAMIENTO, POTENCIALIZAN HABILIDADES Y CAPACIDADES"/>
    <m/>
    <s v=""/>
    <m/>
    <m/>
    <m/>
    <m/>
    <s v="SE BRINDO APOYO A APROXIMADAMENTE 800 A INICIATIVAS PRODUCTIVAS DE MUJERES, CON ENTREGAS DE INSUMOS, EQUIPOS Y/O CAPACITACIÓN TÉCNICA."/>
    <n v="7198000000"/>
    <m/>
    <n v="0"/>
  </r>
  <r>
    <n v="249"/>
    <x v="0"/>
    <x v="1"/>
    <x v="7"/>
    <s v="DESARROLLO INTEGRAL DE LA MUJER"/>
    <s v="TRANSFERIR CAPACIDADES Y HABILIDADES A 2.000 MUJERES EN EMPRENDIMIENTO, DESARROLLO EMPRESARIAL Y GESTIÓN DE PROYECTOS DURANTE EL CUATRIENIO"/>
    <s v="NO DE MUJERES VINCULADAS AL MÓDULO DE CAPACITACIÓN EN EMPRESARISMO Y GESTIÓN DE PROYECTOS"/>
    <s v="MUJERES"/>
    <s v="I"/>
    <n v="0"/>
    <n v="2000"/>
    <n v="2000"/>
    <n v="0.16500000000000001"/>
    <n v="2.4750000000000001E-2"/>
    <n v="300"/>
    <n v="0.15"/>
    <n v="321"/>
    <n v="321"/>
    <n v="107"/>
    <n v="100"/>
    <n v="2.4750000000000001E-2"/>
    <n v="100"/>
    <n v="65000000"/>
    <n v="60000000"/>
    <n v="0"/>
    <n v="0"/>
    <n v="0"/>
    <n v="0"/>
    <n v="0"/>
    <n v="5000000"/>
    <n v="30000000"/>
    <n v="30000000"/>
    <n v="0"/>
    <n v="0"/>
    <n v="0"/>
    <n v="0"/>
    <n v="0"/>
    <n v="0"/>
    <n v="0"/>
    <n v="0"/>
    <n v="0"/>
    <n v="4.9500000000000002E-2"/>
    <n v="600"/>
    <n v="0.3"/>
    <n v="967"/>
    <n v="967"/>
    <n v="161.16666666666666"/>
    <n v="100"/>
    <n v="4.9500000000000002E-2"/>
    <n v="100"/>
    <n v="20000000"/>
    <n v="0"/>
    <n v="20000000"/>
    <n v="0"/>
    <n v="0"/>
    <n v="0"/>
    <n v="0"/>
    <n v="0"/>
    <n v="150000000"/>
    <n v="150000000"/>
    <n v="0"/>
    <n v="0"/>
    <n v="0"/>
    <n v="0"/>
    <n v="0"/>
    <n v="0"/>
    <n v="0"/>
    <n v="0"/>
    <n v="0"/>
    <n v="5.3625000000000006E-2"/>
    <n v="650"/>
    <n v="0.32500000000000001"/>
    <n v="191"/>
    <n v="491"/>
    <n v="1066"/>
    <n v="1066"/>
    <n v="164"/>
    <n v="100"/>
    <n v="5.3625000000000006E-2"/>
    <n v="100"/>
    <n v="8.7945000000000009E-2"/>
    <n v="3.7125000000000005E-2"/>
    <n v="450"/>
    <n v="0.22500000000000001"/>
    <n v="200"/>
    <n v="250"/>
    <n v="200"/>
    <n v="44.444444444444443"/>
    <n v="44.444444444444443"/>
    <n v="1.6500000000000001E-2"/>
    <n v="1.6500000000000001E-2"/>
    <n v="45000000"/>
    <n v="45000000"/>
    <n v="0"/>
    <n v="0"/>
    <n v="0"/>
    <n v="0"/>
    <n v="0"/>
    <n v="0"/>
    <n v="0"/>
    <n v="0"/>
    <n v="0"/>
    <n v="0"/>
    <n v="0"/>
    <n v="0"/>
    <n v="0"/>
    <n v="0"/>
    <n v="0"/>
    <n v="0"/>
    <n v="0"/>
    <n v="2554"/>
    <n v="0.16500000000000004"/>
    <n v="127.7"/>
    <n v="100"/>
    <n v="0.16500000000000001"/>
    <n v="0.16500000000000001"/>
    <n v="0.16500000000000001"/>
    <n v="0.99999999999999989"/>
    <n v="0"/>
    <n v="247"/>
    <s v="10% DE MUJERES CON LIDERAZGO Y EMPODERAMIENTO, POTENCIALIZAN HABILIDADES Y CAPACIDADES"/>
    <m/>
    <s v=""/>
    <m/>
    <m/>
    <m/>
    <m/>
    <s v="SE VINCULARON 2.554 MUJERES EN PROCESOS DE FORMACIÓN PARA EL TRABAJO Y OPORTUNIDADES DE GENERAR SUS PROPIOS INGRESOS."/>
    <n v="17196000000"/>
    <m/>
    <n v="0"/>
  </r>
  <r>
    <n v="250"/>
    <x v="0"/>
    <x v="1"/>
    <x v="7"/>
    <s v="DESARROLLO INTEGRAL DE LA MUJER"/>
    <s v="INSTITUCIONALIZAR E IMPLEMENTAR EN EL CUATRENIO UNA ESCUELA DE FORMACIÓN Y CAPACITACIÓN DE MUJERES EN LIDERAZGO, POLÍTICA Y GÉNERO EN EL DEPARTAMENTO, DE ACUERDO A LA ORDENANZA 99 DE 2011"/>
    <s v="ESCUELA DE FORMACIÓN Y CAPACITACIÓN DE MUJERES OPERANDO"/>
    <s v="ESCUELA"/>
    <s v="I"/>
    <n v="0"/>
    <n v="1"/>
    <n v="1"/>
    <n v="0.16500000000000001"/>
    <n v="4.9500000000000002E-2"/>
    <n v="0.3"/>
    <n v="0.3"/>
    <n v="0"/>
    <n v="0"/>
    <n v="0"/>
    <n v="0"/>
    <n v="0"/>
    <n v="0"/>
    <n v="10000000"/>
    <n v="10000000"/>
    <n v="0"/>
    <n v="0"/>
    <n v="0"/>
    <n v="0"/>
    <n v="0"/>
    <n v="0"/>
    <n v="39900000"/>
    <n v="39900000"/>
    <n v="0"/>
    <n v="0"/>
    <n v="0"/>
    <n v="0"/>
    <n v="0"/>
    <n v="0"/>
    <n v="0"/>
    <n v="5000000"/>
    <s v="FUNDACION RED DE MUJERES DE CUNDINAMARCA"/>
    <n v="0"/>
    <n v="0"/>
    <n v="0"/>
    <n v="0"/>
    <n v="0"/>
    <n v="0"/>
    <n v="0"/>
    <n v="0"/>
    <n v="0"/>
    <n v="100000000"/>
    <n v="0"/>
    <n v="100000000"/>
    <n v="0"/>
    <n v="0"/>
    <n v="0"/>
    <n v="0"/>
    <n v="0"/>
    <n v="100000000"/>
    <n v="100000000"/>
    <n v="0"/>
    <n v="0"/>
    <n v="0"/>
    <n v="0"/>
    <n v="0"/>
    <n v="0"/>
    <n v="0"/>
    <n v="0"/>
    <n v="0"/>
    <n v="9.9000000000000005E-2"/>
    <n v="0.6"/>
    <n v="0.6"/>
    <n v="0"/>
    <n v="0"/>
    <n v="0"/>
    <n v="0"/>
    <n v="0"/>
    <n v="0"/>
    <n v="0"/>
    <n v="0"/>
    <n v="0"/>
    <n v="1.6500000000000001E-2"/>
    <n v="0.1"/>
    <n v="0.1"/>
    <n v="1"/>
    <n v="-0.9"/>
    <n v="1"/>
    <n v="1000"/>
    <n v="100"/>
    <n v="1.6500000000000001E-2"/>
    <n v="0.16500000000000001"/>
    <n v="0"/>
    <n v="0"/>
    <n v="0"/>
    <n v="0"/>
    <n v="0"/>
    <n v="0"/>
    <n v="0"/>
    <n v="0"/>
    <n v="0"/>
    <n v="0"/>
    <n v="0"/>
    <n v="0"/>
    <n v="0"/>
    <n v="0"/>
    <n v="0"/>
    <n v="0"/>
    <n v="0"/>
    <n v="0"/>
    <n v="0"/>
    <n v="1"/>
    <n v="0.16500000000000004"/>
    <n v="100"/>
    <n v="100"/>
    <n v="0.16500000000000001"/>
    <n v="0.16500000000000001"/>
    <n v="0.16500000000000001"/>
    <n v="0.99999999999999989"/>
    <n v="0"/>
    <n v="247"/>
    <s v="10% DE MUJERES CON LIDERAZGO Y EMPODERAMIENTO, POTENCIALIZAN HABILIDADES Y CAPACIDADES"/>
    <m/>
    <s v=""/>
    <m/>
    <m/>
    <m/>
    <m/>
    <s v="• SE ESTRUCTURÓ LA ESCUELA DE LIDERAZGO DE MUJERES, MEDIANTE LA EXPEDICIÓN DE DECRETO ORDENANZAL, DISEÑO PARTICIPATIVO DEL CONTENIDO PEDAGÓGICO Y PRIMERO PROCESO DE CAPACITACIÓN A 39 MUJERES PARTICIPANTES EN EL DIPLOMADO &quot;LIDERAZGO EN GESTIÓN DE LA INNOVACIÓN SOCIAL PARA CUNDINAMARCA&quot;, 105 MUJERES EN LA ESCUELA DE LIDERAZGO JUVENIL Y 73 CAPACITADAS POR LA ALTA CONSEJERÍA PRESIDENCIAL DE EQUIDAD DE GÉNERO EN PARTICIPACIÓN POLÍTICA Y AGENDAS DE IGUALDAD DE GÉNERO."/>
    <n v="6996000000"/>
    <m/>
    <n v="0"/>
  </r>
  <r>
    <n v="251"/>
    <x v="0"/>
    <x v="7"/>
    <x v="7"/>
    <s v="DESARROLLO INTEGRAL DE LA MUJER"/>
    <s v="PROMOVER EN EL CUATRIENIO LA PARTICIPACIÓN DE LAS MUJERES EN EL 100% DE LOS ORGANISMOS COMUNALES"/>
    <s v="% DE ORGANIZACIONES DE MUJERES FORTALECIDAS"/>
    <s v="PORCENTAJE DE ORGANISMOS"/>
    <s v="I"/>
    <n v="0"/>
    <n v="100"/>
    <n v="100"/>
    <n v="0.16500000000000001"/>
    <n v="0"/>
    <n v="0"/>
    <n v="0"/>
    <n v="43"/>
    <n v="43"/>
    <n v="0"/>
    <n v="0"/>
    <n v="0"/>
    <n v="100"/>
    <n v="20000000"/>
    <n v="20000000"/>
    <n v="0"/>
    <n v="0"/>
    <n v="0"/>
    <n v="0"/>
    <n v="0"/>
    <n v="0"/>
    <n v="9975000"/>
    <n v="9975000"/>
    <n v="0"/>
    <n v="0"/>
    <n v="0"/>
    <n v="0"/>
    <n v="0"/>
    <n v="0"/>
    <n v="0"/>
    <n v="0"/>
    <n v="0"/>
    <n v="6.6000000000000003E-2"/>
    <n v="40"/>
    <n v="0.4"/>
    <n v="26.6"/>
    <n v="26.6"/>
    <n v="66.5"/>
    <n v="66.5"/>
    <n v="4.3890000000000005E-2"/>
    <n v="66.5"/>
    <n v="0"/>
    <n v="0"/>
    <n v="0"/>
    <n v="0"/>
    <n v="0"/>
    <n v="0"/>
    <n v="0"/>
    <n v="0"/>
    <n v="0"/>
    <n v="0"/>
    <n v="0"/>
    <n v="0"/>
    <n v="0"/>
    <n v="0"/>
    <n v="0"/>
    <n v="0"/>
    <n v="0"/>
    <n v="0"/>
    <n v="0"/>
    <n v="6.6000000000000003E-2"/>
    <n v="40"/>
    <n v="0.4"/>
    <n v="37.540000915527344"/>
    <n v="30.4"/>
    <n v="30.4"/>
    <n v="30.4"/>
    <n v="76"/>
    <n v="76"/>
    <n v="5.0160000000000003E-2"/>
    <n v="76"/>
    <n v="5.0160000000000003E-2"/>
    <n v="3.3000000000000002E-2"/>
    <n v="20"/>
    <n v="0.2"/>
    <n v="39.5"/>
    <n v="-19.5"/>
    <n v="39.5"/>
    <n v="197.5"/>
    <n v="100"/>
    <n v="3.3000000000000002E-2"/>
    <n v="6.5174999999999997E-2"/>
    <n v="0"/>
    <n v="0"/>
    <n v="0"/>
    <n v="0"/>
    <n v="0"/>
    <n v="0"/>
    <n v="0"/>
    <n v="0"/>
    <n v="0"/>
    <n v="0"/>
    <n v="0"/>
    <n v="0"/>
    <n v="0"/>
    <n v="0"/>
    <n v="0"/>
    <n v="0"/>
    <n v="0"/>
    <n v="0"/>
    <n v="0"/>
    <n v="139.5"/>
    <n v="0.16500000000000001"/>
    <n v="139.5"/>
    <n v="100"/>
    <n v="0.16500000000000001"/>
    <n v="0.16500000000000001"/>
    <n v="0.16500000000000001"/>
    <n v="1"/>
    <n v="0"/>
    <n v="619"/>
    <s v="LA INSTITUCIÓN DEPARTAMENTAL, LOS GOBIERNOS TERRITORIALES Y LA COMUNIDAD INVOLUCRAN AL 100% DE LAS DIFERENTES INSTANCIAS DE PARTICIPACIÓN EN EL DESARROLLO DE SUS PROGRAMAS Y PROYECTOS GENERANDO CORRESPONSABILIDAD CON PARTICIPACIÓN REAL Y ACTIVA."/>
    <m/>
    <s v=""/>
    <m/>
    <m/>
    <m/>
    <m/>
    <s v="SE DESARROLLARON TALLERES DINÁMICOS, RECREATIVOS Y PEDAGÓGICOS DIRIGIDOS A LAS MUJERES CUNDINAMARQUESAS EN TEMAS COMO: DERECHOS HUMANOS, LIDERAZGO, VALORES INTRAFAMILIARES, PREVENCIÓN DE LA VIOLENCIA DOMESTICA, ASÍ COMO DESTACAR LA IMPORTANCIA DE LA PARTICIPACIÓN DE LA MUJER EN LAS ORGANIZACIONES COMUNALES TANTO EN LOS CUADROS DIRECTIVOS COMO EN LAS DIFERENTES COMISIONES DE TRABAJO. SE REALIZARON EVENTOS, ENCUENTROS Y JORNADAS DE CAPACITACIÓN A AFILIADAS Y AFILIADOS DE LOS ORGANISMOS COMUNALES Y A COMUNIDAD EN GENERAL DE LOS MUNICIPIOS DEL DEPARTAMENTO, EN LOS QUE SE PROMOCIONÓ LA PARTICIPACIÓN DE LAS MUJERES EN LOS CUADROS DIRECTIVOS DE LAS ORGANIZACIONES COMUNITARIAS."/>
    <n v="30000000"/>
    <m/>
    <n v="58"/>
  </r>
  <r>
    <n v="252"/>
    <x v="0"/>
    <x v="1"/>
    <x v="7"/>
    <s v="DESARROLLO INTEGRAL DE LA MUJER"/>
    <s v="FORTALECER EL 100% DE LAS ORGANIZACIONES DE MUJERES EXISTENTES EN EL DEPARTAMENTO"/>
    <s v="% DE ORGANIZACIONES DE MUJERES FORTALECIDAS"/>
    <s v="PORCENTAJE DE ORGANISMOS"/>
    <s v="I"/>
    <n v="0"/>
    <n v="100"/>
    <n v="100"/>
    <n v="0.16500000000000001"/>
    <n v="4.1250000000000002E-2"/>
    <n v="25"/>
    <n v="0.25"/>
    <n v="25"/>
    <n v="25"/>
    <n v="100"/>
    <n v="100"/>
    <n v="4.1250000000000002E-2"/>
    <n v="100"/>
    <n v="0"/>
    <n v="0"/>
    <n v="0"/>
    <n v="0"/>
    <n v="0"/>
    <n v="0"/>
    <n v="0"/>
    <n v="0"/>
    <n v="0"/>
    <n v="0"/>
    <n v="0"/>
    <n v="0"/>
    <n v="0"/>
    <n v="0"/>
    <n v="0"/>
    <n v="0"/>
    <n v="0"/>
    <n v="0"/>
    <n v="0"/>
    <n v="4.1250000000000002E-2"/>
    <n v="25"/>
    <n v="0.25"/>
    <n v="25"/>
    <n v="25"/>
    <n v="100"/>
    <n v="100"/>
    <n v="4.1250000000000002E-2"/>
    <n v="100"/>
    <n v="13000000"/>
    <n v="0"/>
    <n v="13000000"/>
    <n v="0"/>
    <n v="0"/>
    <n v="0"/>
    <n v="0"/>
    <n v="0"/>
    <n v="30000000"/>
    <n v="30000000"/>
    <n v="0"/>
    <n v="0"/>
    <n v="0"/>
    <n v="0"/>
    <n v="0"/>
    <n v="0"/>
    <n v="0"/>
    <n v="0"/>
    <n v="0"/>
    <n v="4.1250000000000002E-2"/>
    <n v="25"/>
    <n v="0.25"/>
    <n v="25"/>
    <n v="25"/>
    <n v="25"/>
    <n v="25"/>
    <n v="100"/>
    <n v="100"/>
    <n v="4.1250000000000002E-2"/>
    <n v="100"/>
    <n v="4.1250000000000002E-2"/>
    <n v="4.1250000000000002E-2"/>
    <n v="25"/>
    <n v="0.25"/>
    <n v="25"/>
    <n v="0"/>
    <n v="25"/>
    <n v="100"/>
    <n v="100"/>
    <n v="4.1250000000000002E-2"/>
    <n v="4.1250000000000002E-2"/>
    <n v="30000000"/>
    <n v="30000000"/>
    <n v="0"/>
    <n v="0"/>
    <n v="0"/>
    <n v="0"/>
    <n v="0"/>
    <n v="0"/>
    <n v="0"/>
    <n v="0"/>
    <n v="0"/>
    <n v="0"/>
    <n v="0"/>
    <n v="0"/>
    <n v="0"/>
    <n v="0"/>
    <n v="0"/>
    <n v="0"/>
    <n v="0"/>
    <n v="100"/>
    <n v="0.16500000000000001"/>
    <n v="100"/>
    <n v="100"/>
    <n v="0.16500000000000001"/>
    <n v="0.16500000000000001"/>
    <n v="0.16500000000000001"/>
    <n v="1"/>
    <n v="0"/>
    <n v="247"/>
    <s v="10% DE MUJERES CON LIDERAZGO Y EMPODERAMIENTO, POTENCIALIZAN HABILIDADES Y CAPACIDADES"/>
    <m/>
    <s v=""/>
    <m/>
    <m/>
    <m/>
    <m/>
    <s v="SE CREARON 89 CONSEJOS CONSULTIVOS EN LOS MUNICIPIOS MEDIANTE ASISTENCIA TÉCNICA DE LA SECRETARIA DE DESARROLLO SOCIAL Y APOYOS EXTERNOS PARA PARA LA CREACIÓN DE LOS MISMOS EN MUNICIPIOS SELECCIONADOS Y LA IMPLEMENTACIÓN DE LA POLÍTICA PUBLICA DE MUJER. SE COORDINO LA ALIANZA CON LA CONSEJERIA PRESIDENCIAL PARA LA EQUIDAD DE LA MUJER, ASISTENCIA TÉCNICA A LA CONFORMACIÓN Y PUESTA EN MARCHA DE LOS CONSEJOS CONSULTIVOS DE MUJERES DE LOS MUNICIPIOS DEL DEPARTAMENTO."/>
    <n v="17196000000"/>
    <m/>
    <n v="0"/>
  </r>
  <r>
    <n v="253"/>
    <x v="0"/>
    <x v="1"/>
    <x v="7"/>
    <s v="DESARROLLO INTEGRAL DE LA MUJER"/>
    <s v="CREAR EL 100% DE LAS INSTANCIAS DEPARTAMENTALES DE MUJER Y GÉNERO ESTABLECIDAS EN LA ORDENANZA 099 DE 2011"/>
    <s v="% DE CREACIÓN DE INSTANCIAS DE MUJER Y GÉNERO ESTABLECIDAS EN LA ORDENANZA 099 DE 2011"/>
    <s v="PORCENTAJE DE INSTANCIAS"/>
    <s v="I"/>
    <n v="0"/>
    <n v="100"/>
    <n v="100"/>
    <n v="0.16500000000000001"/>
    <n v="0"/>
    <n v="0"/>
    <n v="0"/>
    <n v="0"/>
    <n v="0"/>
    <n v="0"/>
    <n v="0"/>
    <n v="0"/>
    <n v="0"/>
    <n v="0"/>
    <n v="0"/>
    <n v="0"/>
    <n v="0"/>
    <n v="0"/>
    <n v="0"/>
    <n v="0"/>
    <n v="0"/>
    <n v="0"/>
    <n v="0"/>
    <n v="0"/>
    <n v="0"/>
    <n v="0"/>
    <n v="0"/>
    <n v="0"/>
    <n v="0"/>
    <n v="0"/>
    <n v="0"/>
    <n v="0"/>
    <n v="3.3000000000000002E-2"/>
    <n v="20"/>
    <n v="0.2"/>
    <n v="20"/>
    <n v="20"/>
    <n v="100"/>
    <n v="100"/>
    <n v="3.3000000000000002E-2"/>
    <n v="100"/>
    <n v="0"/>
    <n v="0"/>
    <n v="0"/>
    <n v="0"/>
    <n v="0"/>
    <n v="0"/>
    <n v="0"/>
    <n v="0"/>
    <n v="0"/>
    <n v="0"/>
    <n v="0"/>
    <n v="0"/>
    <n v="0"/>
    <n v="0"/>
    <n v="0"/>
    <n v="0"/>
    <n v="0"/>
    <n v="0"/>
    <n v="0"/>
    <n v="0"/>
    <n v="0"/>
    <n v="0"/>
    <n v="0"/>
    <n v="0"/>
    <n v="0"/>
    <n v="0"/>
    <n v="0"/>
    <n v="0"/>
    <n v="0"/>
    <n v="0"/>
    <n v="0"/>
    <n v="0.13200000000000001"/>
    <n v="80"/>
    <n v="0.8"/>
    <n v="80"/>
    <n v="0"/>
    <n v="80"/>
    <n v="100"/>
    <n v="100"/>
    <n v="0.13200000000000001"/>
    <n v="0.13200000000000001"/>
    <n v="0"/>
    <n v="0"/>
    <n v="0"/>
    <n v="0"/>
    <n v="0"/>
    <n v="0"/>
    <n v="0"/>
    <n v="0"/>
    <n v="0"/>
    <n v="0"/>
    <n v="0"/>
    <n v="0"/>
    <n v="0"/>
    <n v="0"/>
    <n v="0"/>
    <n v="0"/>
    <n v="0"/>
    <n v="0"/>
    <n v="0"/>
    <n v="100"/>
    <n v="0.16500000000000001"/>
    <n v="100"/>
    <n v="100"/>
    <n v="0.16500000000000001"/>
    <n v="0.16500000000000001"/>
    <n v="0.16500000000000001"/>
    <n v="1"/>
    <n v="0"/>
    <n v="247"/>
    <s v="10% DE MUJERES CON LIDERAZGO Y EMPODERAMIENTO, POTENCIALIZAN HABILIDADES Y CAPACIDADES"/>
    <m/>
    <s v=""/>
    <m/>
    <m/>
    <m/>
    <m/>
    <s v="CREADAS INSTANCIAS DEPARTAMENTALES DE MUJER Y GÉNERO ESTABLECIDAS EN LA ORDENANZA 099 DE 2011, CON LA EXPEDICIÓN DE CINCO (5) DECRETOS ORDENANZALES."/>
    <n v="6696000000"/>
    <m/>
    <n v="0"/>
  </r>
  <r>
    <n v="254"/>
    <x v="0"/>
    <x v="1"/>
    <x v="7"/>
    <s v="MUJER LIBRE DE VIOLENCIA"/>
    <s v="IMPLEMENTAR EN EL CUATRIENIO LA RUTA DE ATENCIÓN Y PROTECCIÓN A LA MUJER"/>
    <s v="RUTA DE ATENCIÓN Y PROTECCION A LA MUJER IMPLEMENTADA"/>
    <s v="RUTA"/>
    <s v="M"/>
    <n v="0"/>
    <n v="1"/>
    <n v="1"/>
    <n v="0.16500000000000001"/>
    <n v="4.1250000000000002E-2"/>
    <n v="1"/>
    <n v="0.25"/>
    <n v="1"/>
    <n v="0.25"/>
    <n v="100"/>
    <n v="100"/>
    <n v="4.1250000000000002E-2"/>
    <n v="100"/>
    <n v="10000000"/>
    <n v="10000000"/>
    <n v="0"/>
    <n v="0"/>
    <n v="0"/>
    <n v="0"/>
    <n v="0"/>
    <n v="0"/>
    <n v="57800000"/>
    <n v="57800000"/>
    <n v="0"/>
    <n v="0"/>
    <n v="0"/>
    <n v="0"/>
    <n v="0"/>
    <n v="0"/>
    <n v="0"/>
    <n v="6000000"/>
    <s v="FUNDACION COLECTIVO DE MUJERES"/>
    <n v="4.1250000000000002E-2"/>
    <n v="1"/>
    <n v="0.25"/>
    <n v="1"/>
    <n v="0.25"/>
    <n v="100"/>
    <n v="100"/>
    <n v="4.1250000000000002E-2"/>
    <n v="100"/>
    <n v="0"/>
    <n v="0"/>
    <n v="0"/>
    <n v="0"/>
    <n v="0"/>
    <n v="0"/>
    <n v="0"/>
    <n v="0"/>
    <n v="0"/>
    <n v="0"/>
    <n v="0"/>
    <n v="0"/>
    <n v="0"/>
    <n v="0"/>
    <n v="0"/>
    <n v="0"/>
    <n v="0"/>
    <n v="0"/>
    <n v="0"/>
    <n v="4.1250000000000002E-2"/>
    <n v="1"/>
    <n v="0.25"/>
    <n v="1"/>
    <n v="1"/>
    <n v="1"/>
    <n v="0.25"/>
    <n v="100"/>
    <n v="100"/>
    <n v="4.1250000000000002E-2"/>
    <n v="100"/>
    <n v="4.1250000000000002E-2"/>
    <n v="4.1250000000000002E-2"/>
    <n v="1"/>
    <n v="0.25"/>
    <n v="1"/>
    <n v="0"/>
    <n v="0.25"/>
    <n v="100"/>
    <n v="100"/>
    <n v="4.1250000000000002E-2"/>
    <n v="4.1250000000000002E-2"/>
    <n v="0"/>
    <n v="0"/>
    <n v="0"/>
    <n v="0"/>
    <n v="0"/>
    <n v="0"/>
    <n v="0"/>
    <n v="0"/>
    <n v="0"/>
    <n v="0"/>
    <n v="0"/>
    <n v="0"/>
    <n v="0"/>
    <n v="0"/>
    <n v="0"/>
    <n v="0"/>
    <n v="0"/>
    <n v="0"/>
    <n v="0"/>
    <n v="1"/>
    <n v="0.16500000000000001"/>
    <n v="100"/>
    <n v="100"/>
    <n v="0.16500000000000001"/>
    <n v="0.16500000000000001"/>
    <n v="0.16500000000000001"/>
    <n v="1"/>
    <n v="0"/>
    <n v="247"/>
    <s v="10% DE MUJERES CON LIDERAZGO Y EMPODERAMIENTO, POTENCIALIZAN HABILIDADES Y CAPACIDADES"/>
    <m/>
    <s v=""/>
    <m/>
    <m/>
    <m/>
    <m/>
    <s v="FORTALECIMIENTO DE LA CAMPAÑA “RUTA DE ATENCIÓN A NIÑAS Y MUJERES VÍCTIMAS DE VIOLENCIA” MEDIANTE ACUERDO DE COMPROMISO INTERINSTITUCIONAL, ESTRATEGIA INFORMACIÓN Y DIVULGACIÓN CON EL SUMINISTRO DE PENDONES, FOLLETOS PEDAGÓGICOS. IGUALME-NTE CON ALIANZA DE LA SECRETARÍA SE APOYARON FERIAS DE SERVICIOS PARA ATENCIÓN DE MUJERES Y VCA EN LOS MUNICIPIOS DE PARATEBUENO Y FUSAGASUGÁ."/>
    <n v="12803000000"/>
    <m/>
    <n v="0"/>
  </r>
  <r>
    <n v="255"/>
    <x v="0"/>
    <x v="1"/>
    <x v="7"/>
    <s v="MUJER LIBRE DE VIOLENCIA"/>
    <s v="116 MUNICIPIOS APOYADOS PARA LA IMPLEMENTACIÓN DE ESTRATEGIAS DE PREVENCIÓN DE LA VIOLENCIA DE LA MUJER CON ENFOQUE MULTISECTORIAL Y TRANSVERSAL"/>
    <s v="NO. DE MUNICIPIOS APOYADO CON ESTRATEGIAS PARA PREVENCIÓN DE LA VIOENCIA CONTRA LA MUJER"/>
    <s v="MUNICIPIOS"/>
    <s v="I"/>
    <n v="0"/>
    <n v="116"/>
    <n v="116"/>
    <n v="0.16500000000000001"/>
    <n v="9.2456896551724135E-2"/>
    <n v="65"/>
    <n v="0.56034482758620685"/>
    <n v="25"/>
    <n v="25"/>
    <n v="38.46153846153846"/>
    <n v="38.46153846153846"/>
    <n v="3.5560344827586209E-2"/>
    <n v="38.46153846153846"/>
    <n v="54000000"/>
    <n v="48000000"/>
    <n v="0"/>
    <n v="0"/>
    <n v="0"/>
    <n v="0"/>
    <n v="0"/>
    <n v="6000000"/>
    <n v="0"/>
    <n v="0"/>
    <n v="0"/>
    <n v="0"/>
    <n v="0"/>
    <n v="0"/>
    <n v="0"/>
    <n v="0"/>
    <n v="0"/>
    <n v="0"/>
    <n v="0"/>
    <n v="4.267241379310345E-2"/>
    <n v="30"/>
    <n v="0.25862068965517243"/>
    <n v="30"/>
    <n v="30"/>
    <n v="100"/>
    <n v="100"/>
    <n v="4.267241379310345E-2"/>
    <n v="100"/>
    <n v="15000000"/>
    <n v="0"/>
    <n v="15000000"/>
    <n v="0"/>
    <n v="0"/>
    <n v="0"/>
    <n v="0"/>
    <n v="0"/>
    <n v="30000000"/>
    <n v="30000000"/>
    <n v="0"/>
    <n v="0"/>
    <n v="0"/>
    <n v="0"/>
    <n v="0"/>
    <n v="0"/>
    <n v="0"/>
    <n v="0"/>
    <n v="0"/>
    <n v="1.4224137931034485E-2"/>
    <n v="10"/>
    <n v="8.6206896551724144E-2"/>
    <n v="86"/>
    <n v="30"/>
    <n v="41"/>
    <n v="41"/>
    <n v="410"/>
    <n v="100"/>
    <n v="1.4224137931034487E-2"/>
    <n v="100"/>
    <n v="5.8318965517241389E-2"/>
    <n v="1.5646551724137932E-2"/>
    <n v="11"/>
    <n v="9.4827586206896547E-2"/>
    <n v="20"/>
    <n v="-9"/>
    <n v="20"/>
    <n v="181.81818181818181"/>
    <n v="100"/>
    <n v="1.5646551724137932E-2"/>
    <n v="2.8448275862068967E-2"/>
    <n v="34000000"/>
    <n v="34000000"/>
    <n v="0"/>
    <n v="0"/>
    <n v="0"/>
    <n v="0"/>
    <n v="0"/>
    <n v="0"/>
    <n v="0"/>
    <n v="0"/>
    <n v="0"/>
    <n v="0"/>
    <n v="0"/>
    <n v="0"/>
    <n v="0"/>
    <n v="0"/>
    <n v="0"/>
    <n v="0"/>
    <n v="0"/>
    <n v="116"/>
    <n v="0.16500000000000001"/>
    <n v="100"/>
    <n v="100"/>
    <n v="0.16500000000000001"/>
    <n v="0.16500000000000001"/>
    <n v="0.16500000000000001"/>
    <n v="1"/>
    <n v="0"/>
    <n v="247"/>
    <s v="10% DE MUJERES CON LIDERAZGO Y EMPODERAMIENTO, POTENCIALIZAN HABILIDADES Y CAPACIDADES"/>
    <m/>
    <s v=""/>
    <m/>
    <m/>
    <m/>
    <m/>
    <s v="SE APOYARON LOS 116 MUNICIPIOS DEL DEPARTAMENTO CON LA IMPLEMENTACIÓN DE UNA ESTRATEGIA DE PREVENCIÓN DE VIOLENCIA CONTRA LA MUJER, EN VIRTUD DE LA CUAL SE REALIZÓ EL ENCUENTRO DEPARTAMENTAL DE PERSONEROS MUNICIPALES Y SECRETARIOS DE DESARROLLO SOCIAL, POR UNA VIDA LIBRE DE VIOLENCIA DE GÉNERO., ASÍ COMO EVENTOS DE CAPACITACIÓN EN ARTICULACIÓN CON LA CONTRALORIA GENERAL DE LA REPÚBLICA, ICBF, DEPARTAMENTO PARA LA PROSPERIDAD SOCIAL, CONSEJERIA PRESIDENCIAL PARA LA EQUIDAD DE LA MUJER Y GÉNERO. ENVIO INSTRUMENTOS TÉCNICOS PARA LA CONSTRUCCIÓN DE LA POLÍTICA PÚBLICA DE MUJER Y GÉNERO Y CONPES 161 / SE FIRMARON 116 ACUERDOS DE VOLUNTADES ENTRE LOS ALCALDES MUNICIPALES Y LA SECRETARÍA DE DESARROLLO SOCIAL "/>
    <n v="0"/>
    <m/>
    <n v="0"/>
  </r>
  <r>
    <n v="256"/>
    <x v="0"/>
    <x v="1"/>
    <x v="7"/>
    <s v="MUJER LIBRE DE VIOLENCIA"/>
    <s v="CREAR EL COMITÉ DE SEGUIMIENTO A LA IMPLEMENTACIÓN Y SEGUIMIENTO DE LA LEY 1257 DE 2008, ARTÍCULO 35"/>
    <s v="COMITÉ DE SEGUIMIENTO A LA LEY 1257 ACTIVO"/>
    <s v="COMITE"/>
    <s v="I"/>
    <n v="0"/>
    <n v="1"/>
    <n v="1"/>
    <n v="8.8999999999999996E-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1"/>
    <n v="1"/>
    <n v="0.5"/>
    <n v="0.5"/>
    <n v="0"/>
    <n v="0"/>
    <n v="0"/>
    <n v="100"/>
    <n v="0"/>
    <n v="8.8999999999999996E-2"/>
    <n v="1"/>
    <n v="1"/>
    <n v="1"/>
    <n v="0"/>
    <n v="1"/>
    <n v="100"/>
    <n v="100"/>
    <n v="8.900000000000001E-2"/>
    <n v="8.900000000000001E-2"/>
    <n v="0"/>
    <n v="0"/>
    <n v="0"/>
    <n v="0"/>
    <n v="0"/>
    <n v="0"/>
    <n v="0"/>
    <n v="0"/>
    <n v="0"/>
    <n v="0"/>
    <n v="0"/>
    <n v="0"/>
    <n v="0"/>
    <n v="0"/>
    <n v="0"/>
    <n v="0"/>
    <n v="0"/>
    <n v="0"/>
    <n v="0"/>
    <n v="1.5"/>
    <n v="8.8999999999999996E-2"/>
    <n v="150"/>
    <n v="100"/>
    <n v="8.900000000000001E-2"/>
    <n v="8.8999999999999996E-2"/>
    <n v="8.8999999999999996E-2"/>
    <n v="1"/>
    <n v="0"/>
    <n v="247"/>
    <s v="10% DE MUJERES CON LIDERAZGO Y EMPODERAMIENTO, POTENCIALIZAN HABILIDADES Y CAPACIDADES"/>
    <m/>
    <s v=""/>
    <m/>
    <m/>
    <m/>
    <m/>
    <s v="SE CONFORMÓ Y SE POSESIONARON LAS CONSEJERAS EL COMITÉ DE SEGUIMIENTO LEY 1257 NO VIOLENCIA CONTRA LA MUJER, CON LA PARTICIPACIÓN DE LAS ORGANIZACIONES DE MUJERES, EN COORDINACIÓN Y APOYO DELEGADAS DE LA ALTA CONSEJERÍA, PROCURADURÍA REGIONAL, DEFENSORÍA DEL PUEBLO REGIONAL CUNDINAMARCA. / SE REALIZARON 600 ENCUESTAS EN 20 MUNICIPIOS CON EL FIN DE VISIBILIZAR LOS HECHOS DE VIOLENCIA CONTRA LA MUJER/"/>
    <n v="0"/>
    <m/>
    <n v="0"/>
  </r>
  <r>
    <n v="258"/>
    <x v="0"/>
    <x v="10"/>
    <x v="8"/>
    <s v="INFRAESTRUCTURA SOCIAL"/>
    <s v="CONSTRUIR, ADECUAR Y/O MANTENER EN EL CUATRIENIO 500 SEDES EDUCATIVAS EN LOS MUNICIPIOS NO CERTIFICADOS DEL DEPARTAMENTO"/>
    <s v="NO. DE SEDES EDUCATIVAS INTERVENIDAS EN EL CUATRIENIO"/>
    <s v="SEDES"/>
    <s v="I"/>
    <n v="284"/>
    <n v="784"/>
    <n v="500"/>
    <n v="0.25"/>
    <n v="1.7999999999999999E-2"/>
    <n v="36"/>
    <n v="7.1999999999999995E-2"/>
    <n v="61"/>
    <n v="61"/>
    <n v="169.44444444444446"/>
    <n v="100"/>
    <n v="1.7999999999999999E-2"/>
    <n v="100"/>
    <n v="7609000000"/>
    <n v="2409000000"/>
    <n v="0"/>
    <n v="5200000000"/>
    <n v="0"/>
    <n v="0"/>
    <n v="0"/>
    <n v="0"/>
    <n v="15697714000"/>
    <n v="15579977000"/>
    <n v="0"/>
    <n v="0"/>
    <n v="0"/>
    <n v="0"/>
    <n v="117737000"/>
    <n v="0"/>
    <n v="0"/>
    <n v="0"/>
    <n v="0"/>
    <n v="6.2E-2"/>
    <n v="124"/>
    <n v="0.248"/>
    <n v="256"/>
    <n v="256"/>
    <n v="206.45161290322579"/>
    <n v="100"/>
    <n v="6.2E-2"/>
    <n v="100"/>
    <n v="16855000000"/>
    <n v="0"/>
    <n v="11630000"/>
    <n v="0"/>
    <n v="0"/>
    <n v="0"/>
    <n v="0"/>
    <n v="5225000000"/>
    <n v="4131433410"/>
    <n v="1249504208"/>
    <n v="0"/>
    <n v="0"/>
    <n v="0"/>
    <n v="0"/>
    <n v="0"/>
    <n v="2881929202"/>
    <n v="0"/>
    <n v="5498653201"/>
    <n v="0"/>
    <n v="9.35E-2"/>
    <n v="187"/>
    <n v="0.374"/>
    <n v="188"/>
    <n v="188"/>
    <n v="270"/>
    <n v="270"/>
    <n v="144.38502673796791"/>
    <n v="100"/>
    <n v="9.35E-2"/>
    <n v="100"/>
    <n v="0.13500000000000001"/>
    <n v="7.6499999999999999E-2"/>
    <n v="153"/>
    <n v="0.30599999999999999"/>
    <n v="615"/>
    <n v="-462"/>
    <n v="615"/>
    <n v="401.96078431372547"/>
    <n v="100"/>
    <n v="7.6499999999999999E-2"/>
    <n v="0.30749999999999994"/>
    <n v="20633000000"/>
    <n v="15408000"/>
    <n v="0"/>
    <n v="0"/>
    <n v="0"/>
    <n v="0"/>
    <n v="0"/>
    <n v="5225000000"/>
    <n v="0"/>
    <n v="0"/>
    <n v="0"/>
    <n v="0"/>
    <n v="0"/>
    <n v="0"/>
    <n v="0"/>
    <n v="0"/>
    <n v="0"/>
    <n v="0"/>
    <n v="0"/>
    <n v="1202"/>
    <n v="0.25"/>
    <n v="240.4"/>
    <n v="100"/>
    <n v="0.25"/>
    <n v="0.25"/>
    <n v="0.25"/>
    <n v="1"/>
    <n v="0"/>
    <n v="257"/>
    <s v="MEJORAR AMBIENTES FÍSICOS PARA LA PRESTACIÓN DE SERVICIOS SOCIALES EN LOS 116 MUNICIPIOS"/>
    <m/>
    <s v=""/>
    <m/>
    <m/>
    <m/>
    <m/>
    <s v="SE HAN SUSCRITO CONVENIOS INTERADMINISTRATIVOS CON LOS MUNICIPIOS Y SE HAN ELABORADO ACUERDOS CON EL MINISTERIO DE EDUCACIÓN NACIONAL, DONDE SE REALIZARON OBRAS PARA LA INFRAESTRUCTURA EDUCATIVA, EN LAS CUALES SE IDENTIFICAN OBRAS PARA LA CONSTRUCCIÓN, ADECUACIÓN Y MANTENIMIENTO DE AULAS, CONSTRUCCIÓN DE BATERÍAS SANITARIAS, PINTURA Y EMBELLECIMIENTO DE SALONES DE CLASE Y DE AREAS SOCIALES ENTRE OTRAS, LLEGANDO A UN GRAN ACUMULADO DE 588 SEDES INTERVENIDAS DURANTE EL CUATRIENIO."/>
    <n v="45000000"/>
    <m/>
    <n v="1"/>
  </r>
  <r>
    <n v="259"/>
    <x v="0"/>
    <x v="10"/>
    <x v="8"/>
    <s v="INFRAESTRUCTURA SOCIAL"/>
    <s v="CONSTRUIR, AMPLIAR, ADECUAR Y MANTENER LA INFRAESTRUCTURA FÍSICA DEL CENTRO REGULADOR DE URGENCIAS, EMERGENCIAS Y DESASTRES, QUE INCLUYA LA ADECUACIÓN DE LA SALA DE CRISIS DE EMERGENCIAS Y DESASTRES DEL DEPARTAMENTO."/>
    <s v="INTERVENCIÓN DEL CENTRO REGULADOR DE URGENCIAS, EMERGENCIAS Y DESASTRES."/>
    <s v="CENTROS"/>
    <s v="I"/>
    <n v="0"/>
    <n v="1"/>
    <n v="1"/>
    <n v="8.8999999999999996E-2"/>
    <n v="0"/>
    <n v="0"/>
    <n v="0"/>
    <n v="1"/>
    <n v="1"/>
    <n v="0"/>
    <n v="0"/>
    <n v="0"/>
    <n v="100"/>
    <n v="0"/>
    <n v="0"/>
    <n v="0"/>
    <n v="0"/>
    <n v="0"/>
    <n v="0"/>
    <n v="0"/>
    <n v="0"/>
    <n v="399930000"/>
    <n v="399930000"/>
    <n v="0"/>
    <n v="0"/>
    <n v="0"/>
    <n v="0"/>
    <n v="0"/>
    <n v="0"/>
    <n v="0"/>
    <n v="0"/>
    <n v="0"/>
    <n v="8.8999999999999996E-2"/>
    <n v="1"/>
    <n v="1"/>
    <n v="0"/>
    <n v="0"/>
    <n v="0"/>
    <n v="0"/>
    <n v="0"/>
    <n v="0"/>
    <n v="0"/>
    <n v="0"/>
    <n v="0"/>
    <n v="0"/>
    <n v="0"/>
    <n v="0"/>
    <n v="0"/>
    <n v="0"/>
    <n v="0"/>
    <n v="0"/>
    <n v="0"/>
    <n v="0"/>
    <n v="0"/>
    <n v="0"/>
    <n v="0"/>
    <n v="0"/>
    <n v="0"/>
    <n v="0"/>
    <n v="0"/>
    <n v="0"/>
    <n v="0"/>
    <n v="0"/>
    <n v="0"/>
    <n v="0"/>
    <n v="0"/>
    <n v="0"/>
    <n v="0"/>
    <n v="0"/>
    <n v="0"/>
    <n v="0"/>
    <n v="0"/>
    <n v="0"/>
    <n v="0"/>
    <n v="0"/>
    <n v="1"/>
    <n v="-1"/>
    <n v="1"/>
    <n v="0"/>
    <n v="0"/>
    <n v="0"/>
    <n v="0"/>
    <n v="0"/>
    <n v="0"/>
    <n v="0"/>
    <n v="0"/>
    <n v="0"/>
    <n v="0"/>
    <n v="0"/>
    <n v="0"/>
    <n v="0"/>
    <n v="0"/>
    <n v="0"/>
    <n v="0"/>
    <n v="0"/>
    <n v="0"/>
    <n v="0"/>
    <n v="0"/>
    <n v="0"/>
    <n v="0"/>
    <n v="0"/>
    <n v="2"/>
    <n v="8.8999999999999996E-2"/>
    <n v="200"/>
    <n v="100"/>
    <n v="8.900000000000001E-2"/>
    <n v="8.8999999999999996E-2"/>
    <n v="8.8999999999999996E-2"/>
    <n v="1"/>
    <n v="0"/>
    <n v="257"/>
    <s v="MEJORAR AMBIENTES FÍSICOS PARA LA PRESTACIÓN DE SERVICIOS SOCIALES EN LOS 116 MUNICIPIOS"/>
    <m/>
    <s v=""/>
    <m/>
    <m/>
    <m/>
    <m/>
    <s v="EL CENTRO REGULADOR DE URGENCIAS, YA SE ENCUENTRA A DISPOSICIÓN DE LOS ENTES ENCARGADOS DE SU MANEJO, LUEGO DE HABER SIDO TERMINADO Y ENTREGADO, DENTRO DEL CRONOGRAMA PROPUESTO EN EL PROYECTO INICIAL, LOGRANDO CUMPLIR CON LO PROYECTADO PARA ÉSTA META."/>
    <n v="0"/>
    <m/>
    <n v="100"/>
  </r>
  <r>
    <n v="261"/>
    <x v="0"/>
    <x v="10"/>
    <x v="8"/>
    <s v="INFRAESTRUCTURA SOCIAL"/>
    <s v="CONSTRUIR Y/O TERMINAR EN EL CUATRIENIO LA INFRAESTRUCTURA FÍSICA DE 6 IPS QUE CONFORMAN LA RED PÚBLICA DEL DEPARTAMENTO (HOSPITALES, CENTROS Y/O PUESTOS DE SALUD) PARA MEJORAR LA PRESTACIÓN DE SERVICIOS DE SALUD CON CALIDAD, ACCESO EFECTIVO Y OPORTUNIDA"/>
    <s v="NO. DE IPS CONSTRUIDAS EN EL CUATRIENIO"/>
    <s v="IPS"/>
    <s v="I"/>
    <n v="2"/>
    <n v="8"/>
    <n v="6"/>
    <n v="0.25"/>
    <n v="8.3333333333333329E-2"/>
    <n v="2"/>
    <n v="0.33333333333333331"/>
    <n v="2"/>
    <n v="2"/>
    <n v="100"/>
    <n v="100"/>
    <n v="8.3333333333333315E-2"/>
    <n v="100"/>
    <n v="540000000"/>
    <n v="540000000"/>
    <n v="0"/>
    <n v="0"/>
    <n v="0"/>
    <n v="0"/>
    <n v="0"/>
    <n v="0"/>
    <n v="15494689000"/>
    <n v="15494689000"/>
    <n v="0"/>
    <n v="0"/>
    <n v="0"/>
    <n v="0"/>
    <n v="0"/>
    <n v="0"/>
    <n v="0"/>
    <n v="0"/>
    <n v="0"/>
    <n v="8.3333333333333329E-2"/>
    <n v="2"/>
    <n v="0.33333333333333331"/>
    <n v="3"/>
    <n v="3"/>
    <n v="150"/>
    <n v="100"/>
    <n v="8.3333333333333315E-2"/>
    <n v="100"/>
    <n v="170000000"/>
    <n v="0"/>
    <n v="170000000"/>
    <n v="0"/>
    <n v="0"/>
    <n v="0"/>
    <n v="0"/>
    <n v="0"/>
    <n v="5952593664"/>
    <n v="5754022234"/>
    <n v="0"/>
    <n v="0"/>
    <n v="0"/>
    <n v="0"/>
    <n v="0"/>
    <n v="198571430"/>
    <n v="0"/>
    <n v="0"/>
    <n v="0"/>
    <n v="4.1666666666666664E-2"/>
    <n v="1"/>
    <n v="0.16666666666666666"/>
    <n v="0"/>
    <n v="0"/>
    <n v="4"/>
    <n v="4"/>
    <n v="400"/>
    <n v="100"/>
    <n v="4.1666666666666657E-2"/>
    <n v="100"/>
    <n v="0.16666666666666663"/>
    <n v="4.1666666666666664E-2"/>
    <n v="1"/>
    <n v="0.16666666666666666"/>
    <n v="5"/>
    <n v="-4"/>
    <n v="5"/>
    <n v="500"/>
    <n v="100"/>
    <n v="4.1666666666666657E-2"/>
    <n v="0.20833333333333331"/>
    <n v="1500000000"/>
    <n v="1500000000"/>
    <n v="0"/>
    <n v="0"/>
    <n v="0"/>
    <n v="0"/>
    <n v="0"/>
    <n v="0"/>
    <n v="0"/>
    <n v="0"/>
    <n v="0"/>
    <n v="0"/>
    <n v="0"/>
    <n v="0"/>
    <n v="0"/>
    <n v="0"/>
    <n v="0"/>
    <n v="0"/>
    <n v="0"/>
    <n v="14"/>
    <n v="0.24999999999999997"/>
    <n v="233.33333333333334"/>
    <n v="100"/>
    <n v="0.25"/>
    <n v="0.25"/>
    <n v="0.25"/>
    <n v="0.99999999999999989"/>
    <n v="0"/>
    <n v="257"/>
    <s v="MEJORAR AMBIENTES FÍSICOS PARA LA PRESTACIÓN DE SERVICIOS SOCIALES EN LOS 116 MUNICIPIOS"/>
    <m/>
    <s v=""/>
    <m/>
    <m/>
    <m/>
    <m/>
    <s v="GRACIAS A LA GESTIÓN DEL ICCU, SE HA LOGRADO SUSCRIBIR CONVENIOS INTERADMINISTRATIVOS CON MUNICIPIOS Y CON CONTRATISTAS PRIVADOS, PARA LA CONSTRUCCIÓN, ENTREGA Y PUESTA EN SERVICIO DE CENTROS DE SALUD Y HOSPITALES PARA LOS HABITANTES DE CUNDINAMARCA. LO ANTERIOR SE HA LOGRADO GRACIAS A LA CORRECTA PLANIFICACIÓN Y ENTREGA DE LOS ESCASOS RECURSOS DISPONIBLES PARA LO CONCERNIENTE DE ÉSTA META, SOBREPASANDO LO PLANEADO INICIALMENTE EN LA META DE 6 A NUEVE CENTROS DE SALUD PARA CUNDINAMARCA "/>
    <n v="1030000000"/>
    <m/>
    <n v="19"/>
  </r>
  <r>
    <n v="262"/>
    <x v="0"/>
    <x v="10"/>
    <x v="8"/>
    <s v="INFRAESTRUCTURA SOCIAL"/>
    <s v=" MEJORAR DURANTE EL CUATRIENIO LAS CONDICIONES DE CAPACIDAD TECNOLÓGICA Y CIENTÍFICA DEL SISTEMA ÚNICO DE HABILITACIÓN EN EL COMPONENTE DE INFRAESTRUCTURA EN EL 25% DE LAS EMPRESAS SOCIALES DEL ESTADO CON ÉNFASIS EN LA BAJA COMPLEJIDAD."/>
    <s v="% DE EMPRESAS SOCIALES DEL ESTADO CON EL COMPONENTE DE INFRAESTRUCTURA MEJORADO."/>
    <s v="PUNTOS PORCENTUALES"/>
    <s v="I"/>
    <n v="11"/>
    <n v="36"/>
    <n v="25"/>
    <n v="0.16500000000000001"/>
    <n v="7.9200000000000007E-2"/>
    <n v="12"/>
    <n v="0.48"/>
    <n v="0"/>
    <n v="0"/>
    <n v="0"/>
    <n v="0"/>
    <n v="0"/>
    <n v="0"/>
    <n v="540000000"/>
    <n v="540000000"/>
    <n v="0"/>
    <n v="0"/>
    <n v="0"/>
    <n v="0"/>
    <n v="0"/>
    <n v="0"/>
    <n v="0"/>
    <n v="0"/>
    <n v="0"/>
    <n v="0"/>
    <n v="0"/>
    <n v="0"/>
    <n v="0"/>
    <n v="0"/>
    <n v="0"/>
    <n v="0"/>
    <n v="0"/>
    <n v="1.3200000000000002E-2"/>
    <n v="2"/>
    <n v="0.08"/>
    <n v="12"/>
    <n v="12"/>
    <n v="600"/>
    <n v="100"/>
    <n v="1.32E-2"/>
    <n v="100"/>
    <n v="200000000"/>
    <n v="0"/>
    <n v="200000000"/>
    <n v="0"/>
    <n v="0"/>
    <n v="0"/>
    <n v="0"/>
    <n v="0"/>
    <n v="29806494"/>
    <n v="29806494"/>
    <n v="0"/>
    <n v="0"/>
    <n v="0"/>
    <n v="0"/>
    <n v="0"/>
    <n v="0"/>
    <n v="0"/>
    <n v="0"/>
    <n v="0"/>
    <n v="3.9600000000000003E-2"/>
    <n v="6"/>
    <n v="0.24"/>
    <n v="0"/>
    <n v="0"/>
    <n v="12"/>
    <n v="12"/>
    <n v="200"/>
    <n v="100"/>
    <n v="3.9600000000000003E-2"/>
    <n v="100"/>
    <n v="7.9200000000000007E-2"/>
    <n v="3.3000000000000002E-2"/>
    <n v="5"/>
    <n v="0.2"/>
    <n v="1"/>
    <n v="4"/>
    <n v="1"/>
    <n v="20"/>
    <n v="20"/>
    <n v="6.6E-3"/>
    <n v="6.6E-3"/>
    <n v="410000000"/>
    <n v="410000000"/>
    <n v="0"/>
    <n v="0"/>
    <n v="0"/>
    <n v="0"/>
    <n v="0"/>
    <n v="0"/>
    <n v="0"/>
    <n v="0"/>
    <n v="0"/>
    <n v="0"/>
    <n v="0"/>
    <n v="0"/>
    <n v="0"/>
    <n v="0"/>
    <n v="0"/>
    <n v="0"/>
    <n v="0"/>
    <n v="25"/>
    <n v="0.16500000000000001"/>
    <n v="100"/>
    <n v="100"/>
    <n v="0.16500000000000001"/>
    <n v="0.16500000000000001"/>
    <n v="0.16500000000000001"/>
    <n v="1"/>
    <n v="0"/>
    <n v="257"/>
    <s v="MEJORAR AMBIENTES FÍSICOS PARA LA PRESTACIÓN DE SERVICIOS SOCIALES EN LOS 116 MUNICIPIOS"/>
    <m/>
    <s v=""/>
    <m/>
    <m/>
    <m/>
    <m/>
    <s v="LUEGO DE CONCERTAR CON LA SECRETARÍA DE SALUD DEL DEPARTAMENTO Y CON LAS IPS, SE PROCEDIÓ A INTERVENIR LOS PUESTOS Y CENTROS DE SALUD A INTERVENIR EN EL DEPARTAMENTO, LOGRANDO INCREMENTAR HASTA EL MOMENTO EN UN 24% LA CAPACIDAD TECNOLÓGICA Y CIENTÍFICA EN CUANTO AL COMPONENTE DE INFRAESTRUCTURA, EN LAS EMPRESAS SOCIALES SELECCIONADAS PARA SU POSTERIOR INTERVENCIÓN."/>
    <n v="1149000000"/>
    <m/>
    <n v="81"/>
  </r>
  <r>
    <n v="263"/>
    <x v="0"/>
    <x v="10"/>
    <x v="8"/>
    <s v="INFRAESTRUCTURA SOCIAL"/>
    <s v="CONSTRUIR, ADECUAR Y MANTENER EN EL CUATRIENIO 50 ESPACIOS SOCIALES DE RECREACIÓN Y DEPORTE"/>
    <s v="NO. DE ESPACIOS DE RECREACIÓN Y DEPORTE INTERVENIDOS EN EL CUATRIENIO "/>
    <s v="ESPACIOS"/>
    <s v="I"/>
    <n v="205"/>
    <n v="255"/>
    <n v="50"/>
    <n v="0.16500000000000001"/>
    <n v="3.9600000000000003E-2"/>
    <n v="12"/>
    <n v="0.24"/>
    <n v="37"/>
    <n v="37"/>
    <n v="308.33333333333331"/>
    <n v="100"/>
    <n v="3.9600000000000003E-2"/>
    <n v="100"/>
    <n v="4687000000"/>
    <n v="4687000000"/>
    <n v="0"/>
    <n v="0"/>
    <n v="0"/>
    <n v="0"/>
    <n v="0"/>
    <n v="0"/>
    <n v="13222670000"/>
    <n v="10154355000"/>
    <n v="0"/>
    <n v="0"/>
    <n v="0"/>
    <n v="0"/>
    <n v="3068315000"/>
    <n v="0"/>
    <n v="0"/>
    <n v="0"/>
    <n v="0"/>
    <n v="2.6400000000000003E-2"/>
    <n v="8"/>
    <n v="0.16"/>
    <n v="10"/>
    <n v="10"/>
    <n v="125"/>
    <n v="100"/>
    <n v="2.64E-2"/>
    <n v="100"/>
    <n v="3100000000"/>
    <n v="0"/>
    <n v="1600000000"/>
    <n v="0"/>
    <n v="0"/>
    <n v="0"/>
    <n v="0"/>
    <n v="1500000000"/>
    <n v="10093086536"/>
    <n v="3354712683"/>
    <n v="0"/>
    <n v="0"/>
    <n v="0"/>
    <n v="0"/>
    <n v="0"/>
    <n v="6738373853"/>
    <n v="0"/>
    <n v="183949840"/>
    <n v="0"/>
    <n v="4.9500000000000002E-2"/>
    <n v="15"/>
    <n v="0.3"/>
    <n v="1"/>
    <n v="2"/>
    <n v="22"/>
    <n v="22"/>
    <n v="146.66666666666666"/>
    <n v="100"/>
    <n v="4.9500000000000002E-2"/>
    <n v="100"/>
    <n v="7.2599999999999998E-2"/>
    <n v="4.9500000000000002E-2"/>
    <n v="15"/>
    <n v="0.3"/>
    <n v="47"/>
    <n v="-32"/>
    <n v="47"/>
    <n v="313.33333333333331"/>
    <n v="100"/>
    <n v="4.9500000000000002E-2"/>
    <n v="0.15509999999999999"/>
    <n v="4500000000"/>
    <n v="3000000000"/>
    <n v="0"/>
    <n v="0"/>
    <n v="0"/>
    <n v="0"/>
    <n v="0"/>
    <n v="1500000000"/>
    <n v="0"/>
    <n v="0"/>
    <n v="0"/>
    <n v="0"/>
    <n v="0"/>
    <n v="0"/>
    <n v="0"/>
    <n v="0"/>
    <n v="0"/>
    <n v="0"/>
    <n v="0"/>
    <n v="116"/>
    <n v="0.16500000000000001"/>
    <n v="232"/>
    <n v="100"/>
    <n v="0.16500000000000001"/>
    <n v="0.16500000000000001"/>
    <n v="0.16500000000000001"/>
    <n v="1"/>
    <n v="0"/>
    <n v="257"/>
    <s v="MEJORAR AMBIENTES FÍSICOS PARA LA PRESTACIÓN DE SERVICIOS SOCIALES EN LOS 116 MUNICIPIOS"/>
    <m/>
    <s v=""/>
    <m/>
    <m/>
    <m/>
    <m/>
    <s v="CON LOS RECURSOS ASIGNADOS EN EL PRESUPUESTO POR CADA UNA DE LAS VIGENCIAS, SE HAN LOGRADO INTERVENIR 70 SEDES DESTINADAS PARA LA RECREACIÓN Y EL DEPORTE, CON OBRAS COMO LA DE TECHOS PARA POLIDEPORTIVOS, LA CONSTRUCCIÓN DE CANCHAS MÚLTIPLES, ADECUACIÓN DE TERRENOS PARA LA PRACTICA DEL DEPORTE, SOBREPASANDO LA META PLANEADA PARA EL CUATRIENIO."/>
    <n v="1047000000"/>
    <m/>
    <n v="6396"/>
  </r>
  <r>
    <n v="264"/>
    <x v="0"/>
    <x v="5"/>
    <x v="8"/>
    <s v="INFRAESTRUCTURA SOCIAL"/>
    <s v="ADECUAR, MANTENER Y CONSERVAR 8 BIENES INMUEBLES DE INTERÉS CULTURAL EN EL CUATRIENIO"/>
    <s v="NO. DE BIENES DE INTERÉS CULTURAL APOYADOS PARA SU CONSERVACIÓN EN EL CUATRIENIO"/>
    <s v="BIENES"/>
    <s v="I"/>
    <n v="3"/>
    <n v="11"/>
    <n v="8"/>
    <n v="0.16500000000000001"/>
    <n v="4.1250000000000002E-2"/>
    <n v="2"/>
    <n v="0.25"/>
    <n v="5"/>
    <n v="5"/>
    <n v="250"/>
    <n v="100"/>
    <n v="4.1250000000000002E-2"/>
    <n v="100"/>
    <n v="715329000"/>
    <n v="715329000"/>
    <n v="0"/>
    <n v="0"/>
    <n v="0"/>
    <n v="0"/>
    <n v="0"/>
    <n v="0"/>
    <n v="0"/>
    <n v="0"/>
    <n v="0"/>
    <n v="0"/>
    <n v="0"/>
    <n v="0"/>
    <n v="0"/>
    <n v="0"/>
    <n v="0"/>
    <n v="0"/>
    <n v="0"/>
    <n v="4.1250000000000002E-2"/>
    <n v="2"/>
    <n v="0.25"/>
    <n v="4"/>
    <n v="4"/>
    <n v="200"/>
    <n v="100"/>
    <n v="4.1250000000000002E-2"/>
    <n v="100"/>
    <n v="1184000000"/>
    <n v="0"/>
    <n v="1184000000"/>
    <n v="0"/>
    <n v="0"/>
    <n v="0"/>
    <n v="0"/>
    <n v="0"/>
    <n v="646016056"/>
    <n v="646016056"/>
    <n v="0"/>
    <n v="0"/>
    <n v="0"/>
    <n v="0"/>
    <n v="0"/>
    <n v="0"/>
    <n v="0"/>
    <n v="0"/>
    <n v="0"/>
    <n v="4.1250000000000002E-2"/>
    <n v="2"/>
    <n v="0.25"/>
    <n v="2"/>
    <n v="6"/>
    <n v="2"/>
    <n v="2"/>
    <n v="100"/>
    <n v="100"/>
    <n v="4.1250000000000002E-2"/>
    <n v="100"/>
    <n v="4.1250000000000002E-2"/>
    <n v="4.1250000000000002E-2"/>
    <n v="2"/>
    <n v="0.25"/>
    <n v="7"/>
    <n v="-5"/>
    <n v="7"/>
    <n v="350"/>
    <n v="100"/>
    <n v="4.1250000000000002E-2"/>
    <n v="0.144375"/>
    <n v="1314000000"/>
    <n v="1314000000"/>
    <n v="0"/>
    <n v="0"/>
    <n v="0"/>
    <n v="0"/>
    <n v="0"/>
    <n v="0"/>
    <n v="0"/>
    <n v="0"/>
    <n v="0"/>
    <n v="0"/>
    <n v="0"/>
    <n v="0"/>
    <n v="0"/>
    <n v="0"/>
    <n v="0"/>
    <n v="0"/>
    <n v="0"/>
    <n v="18"/>
    <n v="0.16500000000000001"/>
    <n v="225"/>
    <n v="100"/>
    <n v="0.16500000000000001"/>
    <n v="0.16500000000000001"/>
    <n v="0.16500000000000001"/>
    <n v="1"/>
    <n v="0"/>
    <n v="257"/>
    <s v="MEJORAR AMBIENTES FÍSICOS PARA LA PRESTACIÓN DE SERVICIOS SOCIALES EN LOS 116 MUNICIPIOS"/>
    <m/>
    <s v=""/>
    <m/>
    <m/>
    <m/>
    <m/>
    <s v="PARA LA CONSERVACIÓN Y RESCATE DEL PATRIMONIO SE SUSCRIBIERON LOS SIGUIENTES CONVENIOS: MUNICIPIO DE BELTRAN OBRAS DE PRIMEROS AUXILIOS PARA LA IGLESIA DE NUESTRA SEÑORA DE LA CANOA, MUNICIPIO DE LA CALERA ESTUDIOS Y DISEÑOS PARA LA RESTAURACIÓN DE LA CAPILLA MUNICIPAL PRIMERA FASE, CON EL MUNICIPIO DE PACHO LA ELABORACIÓN DE ESTUDIOS TÉCNICOS PARA EL HORNO DE LA FERRERÍA , LA TERMINACIÓN DE PEMP DEL CENTRO HISTÓRICO DEL MUNICIPIO DE GUADUAS Y CON EL MUNICIPIO DE GIRARDOT ELABORACIÓN DEL PEMP DE LA PLAZA DE MERCADO, ESTUDIOS Y DISEÑOS PARA LA RESTAURACIÓN DEL TEMPLO DE TAUSA Y DE LA IGLESIA DEL MUNICIPIO DE EL PEÑÓN, ASÍ MISMO, ESTUDIOS Y DISEÑOS PARA LA RESTAURACIÓN DEL MUSEO ARQUEOLÓGICO DE ZIPAQUIRÁ."/>
    <n v="32580000000"/>
    <m/>
    <n v="53339"/>
  </r>
  <r>
    <n v="265"/>
    <x v="0"/>
    <x v="10"/>
    <x v="8"/>
    <s v="INFRAESTRUCTURA SOCIAL"/>
    <s v="ADECUAR Y MANTENER 6 ESPACIOS CULTURALES EN EL CUATRIENIO"/>
    <s v="NO. DE ESPACIOS DE INTERÉS CULTURAL APOYADOS PARA SU CONSERVACIÓN EN EL CUATRIENIO"/>
    <s v="ESPACIOS"/>
    <s v="I"/>
    <n v="1"/>
    <n v="7"/>
    <n v="6"/>
    <n v="8.8999999999999996E-2"/>
    <n v="1.4833333333333332E-2"/>
    <n v="1"/>
    <n v="0.16666666666666666"/>
    <n v="1"/>
    <n v="1"/>
    <n v="100"/>
    <n v="100"/>
    <n v="1.4833333333333332E-2"/>
    <n v="100"/>
    <n v="70000000"/>
    <n v="70000000"/>
    <n v="0"/>
    <n v="0"/>
    <n v="0"/>
    <n v="0"/>
    <n v="0"/>
    <n v="0"/>
    <n v="587836000"/>
    <n v="544978000"/>
    <n v="0"/>
    <n v="0"/>
    <n v="0"/>
    <n v="0"/>
    <n v="42858000"/>
    <n v="0"/>
    <n v="0"/>
    <n v="0"/>
    <n v="0"/>
    <n v="2.9666666666666664E-2"/>
    <n v="2"/>
    <n v="0.33333333333333331"/>
    <n v="3"/>
    <n v="3"/>
    <n v="150"/>
    <n v="100"/>
    <n v="2.9666666666666664E-2"/>
    <n v="100"/>
    <n v="500000000"/>
    <n v="0"/>
    <n v="500000000"/>
    <n v="0"/>
    <n v="0"/>
    <n v="0"/>
    <n v="0"/>
    <n v="0"/>
    <n v="1623558965"/>
    <n v="1536070540"/>
    <n v="0"/>
    <n v="0"/>
    <n v="0"/>
    <n v="0"/>
    <n v="0"/>
    <n v="87488425"/>
    <n v="0"/>
    <n v="545307663"/>
    <n v="0"/>
    <n v="2.9666666666666664E-2"/>
    <n v="2"/>
    <n v="0.33333333333333331"/>
    <n v="0.25"/>
    <n v="0"/>
    <n v="2"/>
    <n v="2"/>
    <n v="100"/>
    <n v="100"/>
    <n v="2.9666666666666664E-2"/>
    <n v="100"/>
    <n v="2.9666666666666664E-2"/>
    <n v="1.4833333333333332E-2"/>
    <n v="1"/>
    <n v="0.16666666666666666"/>
    <n v="0"/>
    <n v="1"/>
    <n v="0"/>
    <n v="0"/>
    <n v="0"/>
    <n v="0"/>
    <n v="0"/>
    <n v="1500000000"/>
    <n v="1500000000"/>
    <n v="0"/>
    <n v="0"/>
    <n v="0"/>
    <n v="0"/>
    <n v="0"/>
    <n v="0"/>
    <n v="0"/>
    <n v="0"/>
    <n v="0"/>
    <n v="0"/>
    <n v="0"/>
    <n v="0"/>
    <n v="0"/>
    <n v="0"/>
    <n v="0"/>
    <n v="0"/>
    <n v="0"/>
    <n v="6"/>
    <n v="8.8999999999999996E-2"/>
    <n v="100"/>
    <n v="100"/>
    <n v="8.900000000000001E-2"/>
    <n v="8.8999999999999996E-2"/>
    <n v="8.8999999999999996E-2"/>
    <n v="0.99999999999999989"/>
    <n v="0"/>
    <n v="257"/>
    <s v="MEJORAR AMBIENTES FÍSICOS PARA LA PRESTACIÓN DE SERVICIOS SOCIALES EN LOS 116 MUNICIPIOS"/>
    <m/>
    <s v=""/>
    <m/>
    <m/>
    <m/>
    <m/>
    <s v="DURANTE LA PRESENTE GESTIÓN, SE LOGRARON INTERVENIR SEIS ESPACIOS SOCIALES QUE APORTAN AL INTERÉS CULTURAL Y QUE FOMENTAN LA CONSERVACIÓN HISTÓRICA DE LOS BIENESINMUEBLES QUE PERTENECEN AL DEPARTAMENTO."/>
    <n v="0"/>
    <m/>
    <n v="116"/>
  </r>
  <r>
    <n v="266"/>
    <x v="0"/>
    <x v="10"/>
    <x v="8"/>
    <s v="INFRAESTRUCTURA SOCIAL"/>
    <s v="AUNAR ESFUERZOS PARA LA CONSTRUCCIÓN DE UNA UNIDAD BÁSICA DE REHABILITACIÓN INTEGRAL EN EL CUATRIENIO"/>
    <s v="UNIDAD BÁSICA DE REHABILITACIÓN CONSTRUIDA"/>
    <s v="UNIDAD"/>
    <s v="I"/>
    <n v="0"/>
    <n v="1"/>
    <n v="1"/>
    <n v="8.8999999999999996E-2"/>
    <n v="0"/>
    <n v="0"/>
    <n v="0"/>
    <n v="0"/>
    <n v="0"/>
    <n v="0"/>
    <n v="0"/>
    <n v="0"/>
    <n v="0"/>
    <n v="0"/>
    <n v="0"/>
    <n v="0"/>
    <n v="0"/>
    <n v="0"/>
    <n v="0"/>
    <n v="0"/>
    <n v="0"/>
    <n v="150000000"/>
    <n v="0"/>
    <n v="0"/>
    <n v="0"/>
    <n v="0"/>
    <n v="0"/>
    <n v="150000000"/>
    <n v="0"/>
    <n v="0"/>
    <n v="0"/>
    <n v="0"/>
    <n v="0"/>
    <n v="0"/>
    <n v="0"/>
    <n v="0"/>
    <n v="0"/>
    <n v="0"/>
    <n v="0"/>
    <n v="0"/>
    <n v="0"/>
    <n v="600000000"/>
    <n v="0"/>
    <n v="200000000"/>
    <n v="0"/>
    <n v="0"/>
    <n v="0"/>
    <n v="0"/>
    <n v="400000000"/>
    <n v="0"/>
    <n v="0"/>
    <n v="0"/>
    <n v="0"/>
    <n v="0"/>
    <n v="0"/>
    <n v="0"/>
    <n v="0"/>
    <n v="0"/>
    <n v="2011815729"/>
    <n v="0"/>
    <n v="0"/>
    <n v="0"/>
    <n v="0"/>
    <n v="0"/>
    <n v="0"/>
    <n v="0"/>
    <n v="0"/>
    <n v="0"/>
    <n v="0"/>
    <n v="0"/>
    <n v="0"/>
    <n v="0"/>
    <n v="8.8999999999999996E-2"/>
    <n v="1"/>
    <n v="1"/>
    <n v="1"/>
    <n v="0"/>
    <n v="1"/>
    <n v="100"/>
    <n v="100"/>
    <n v="8.900000000000001E-2"/>
    <n v="8.900000000000001E-2"/>
    <n v="800000000"/>
    <n v="400000000"/>
    <n v="0"/>
    <n v="0"/>
    <n v="0"/>
    <n v="0"/>
    <n v="0"/>
    <n v="400000000"/>
    <n v="0"/>
    <n v="0"/>
    <n v="0"/>
    <n v="0"/>
    <n v="0"/>
    <n v="0"/>
    <n v="0"/>
    <n v="0"/>
    <n v="0"/>
    <n v="0"/>
    <n v="0"/>
    <n v="1"/>
    <n v="8.8999999999999996E-2"/>
    <n v="100"/>
    <n v="100"/>
    <n v="8.900000000000001E-2"/>
    <n v="8.8999999999999996E-2"/>
    <n v="8.8999999999999996E-2"/>
    <n v="1"/>
    <n v="0"/>
    <n v="200"/>
    <s v="ATENDER EN EL CUATRIENIO A 21,000 FAMILIAS DE LA RED UNIDOS CON SINERGIA DE SECTORES"/>
    <n v="202"/>
    <s v="30.000 FAMILIAS MAS SANAS Y FUERTES CON ACOMPAÑAMIENTO INSTITUCIONAL, FAMILIAR Y COMUNITARIO "/>
    <n v="257"/>
    <m/>
    <m/>
    <m/>
    <s v="LA CONSTRUCCIÓN DE LA UNIDAD BASICA DE REHABILITACIÓN INTEGRAL, SE ENCUENTRA EN ÉSTE MOMENTO EN UN 85% DE AVANCE, SEGÚN LO REPORTADO POR EL EJECUTOR DEL PROYECTO. PARA EL FINAL DE LA VIGENCIA DEL 2015, SE INAGURARÁ Y SE PONDRÁ AL SERVICIO ESTE PROYECTO ANTE LA COMUNIDAD CUNDINAMARQUESA"/>
    <n v="68000000"/>
    <m/>
    <n v="8"/>
  </r>
  <r>
    <n v="267"/>
    <x v="0"/>
    <x v="10"/>
    <x v="8"/>
    <s v="INFRAESTRUCTURA SOCIAL"/>
    <s v="CONSTRUIR EN EL CUATRIENIO UN CENTRO REGIONAL DE ATENCIÓN A VICTIMAS DEL CONFLICTO ARMADO - VCA EN EL MUNICIPIO DE SOACHA"/>
    <s v="NO. CENTROS REGIONALES DE ATENCIÓN A VICTIMAS CONSTRUIDOS"/>
    <s v="CENTROS"/>
    <s v="I"/>
    <n v="0"/>
    <n v="1"/>
    <n v="1"/>
    <n v="8.8999999999999996E-2"/>
    <n v="8.8999999999999999E-3"/>
    <n v="0.1"/>
    <n v="0.1"/>
    <n v="0"/>
    <n v="0"/>
    <n v="0"/>
    <n v="0"/>
    <n v="0"/>
    <n v="0"/>
    <n v="248000000"/>
    <n v="248000000"/>
    <n v="0"/>
    <n v="0"/>
    <n v="0"/>
    <n v="0"/>
    <n v="0"/>
    <n v="0"/>
    <n v="0"/>
    <n v="0"/>
    <n v="0"/>
    <n v="0"/>
    <n v="0"/>
    <n v="0"/>
    <n v="0"/>
    <n v="0"/>
    <n v="0"/>
    <n v="0"/>
    <n v="0"/>
    <n v="2.6699999999999998E-2"/>
    <n v="0.3"/>
    <n v="0.3"/>
    <n v="0.66"/>
    <n v="0.66"/>
    <n v="220"/>
    <n v="100"/>
    <n v="2.6699999999999998E-2"/>
    <n v="100"/>
    <n v="2400000000"/>
    <n v="0"/>
    <n v="400000000"/>
    <n v="0"/>
    <n v="0"/>
    <n v="0"/>
    <n v="0"/>
    <n v="2000000000"/>
    <n v="0"/>
    <n v="0"/>
    <n v="0"/>
    <n v="0"/>
    <n v="0"/>
    <n v="0"/>
    <n v="0"/>
    <n v="0"/>
    <n v="0"/>
    <n v="0"/>
    <n v="0"/>
    <n v="5.3399999999999996E-2"/>
    <n v="0.6"/>
    <n v="0.6"/>
    <n v="0.66"/>
    <n v="0"/>
    <n v="0.1"/>
    <n v="0.1"/>
    <n v="16.666666666666668"/>
    <n v="16.666666666666668"/>
    <n v="8.8999999999999999E-3"/>
    <n v="16.666666666666668"/>
    <n v="8.8999999999999999E-3"/>
    <n v="0"/>
    <n v="0"/>
    <n v="0"/>
    <n v="1"/>
    <n v="-1"/>
    <n v="1"/>
    <n v="0"/>
    <n v="0"/>
    <n v="0"/>
    <n v="0"/>
    <n v="0"/>
    <n v="0"/>
    <n v="0"/>
    <n v="0"/>
    <n v="0"/>
    <n v="0"/>
    <n v="0"/>
    <n v="0"/>
    <n v="0"/>
    <n v="0"/>
    <n v="0"/>
    <n v="0"/>
    <n v="0"/>
    <n v="0"/>
    <n v="0"/>
    <n v="0"/>
    <n v="0"/>
    <n v="0"/>
    <n v="0"/>
    <n v="1.76"/>
    <n v="8.8999999999999996E-2"/>
    <n v="176"/>
    <n v="100"/>
    <n v="8.900000000000001E-2"/>
    <n v="8.8999999999999996E-2"/>
    <n v="8.8999999999999996E-2"/>
    <n v="1"/>
    <n v="-6.9388939039072284E-18"/>
    <n v="257"/>
    <s v="MEJORAR AMBIENTES FÍSICOS PARA LA PRESTACIÓN DE SERVICIOS SOCIALES EN LOS 116 MUNICIPIOS"/>
    <m/>
    <s v=""/>
    <m/>
    <m/>
    <m/>
    <m/>
    <s v="EL CENTRO DE VICTIMAS DEL CONFLICTO ARMADO, SE ENCUENTRA EN PROCESO DE CONSTRUCCIÓN Y REPORTA UN AVANCE DE OBRAS EN UN ESTIMADO DEL 90%, ASEGURANDO SU INAUGURACIÓN Y ENTREGA PARA ANTES DEL FINAL DE LA PRESENTE VIGENCIA. DICHA OBRA BENEFICIARÁ A LAS FAMILIAS QUE EN SU CONDICIÓN DE DESPLAZAMIENTO, BUSCAN AYUDA DEL GOBIERNO DEPARTAMENTAL, PARA ATENCIÓN INTEGRAL DE LAS FAMILIAS QUE HAN SUFRIDO DE ÉSTE FLAGELO."/>
    <n v="5831000000"/>
    <m/>
    <n v="10820"/>
  </r>
  <r>
    <n v="268"/>
    <x v="0"/>
    <x v="10"/>
    <x v="8"/>
    <s v="INFRAESTRUCTURA SOCIAL"/>
    <s v="COFINANCIAR LA ELABORACIÓN DE 21 ESTUDIOS DE VULNERABILIDAD SÍSMICA Y REFORZAMIENTO ESTRUCTURAL ACTUALIZADOS A LA NORMA NSR 10 PARA HOSPITALES DE LA RED PÚBLICA, QUE PERMITIRÁN ESTABLECER LAS NECESIDADES DE INTERVENCIÓN A LAS EDIFICACIONES HOSPITALARIAS."/>
    <s v="NO. DE HOSPITALES QUE CUENTEN CON ESTUDIOS DE VULNERABILIDAD SÍSMICA Y DE REFORZAMIENTO ESTRUCTURAL."/>
    <s v="ESTUDIOS"/>
    <s v="I"/>
    <n v="14"/>
    <n v="35"/>
    <n v="21"/>
    <n v="2.92E-2"/>
    <n v="2.7809523809523809E-3"/>
    <n v="2"/>
    <n v="9.5238095238095233E-2"/>
    <n v="1"/>
    <n v="1"/>
    <n v="50"/>
    <n v="50"/>
    <n v="1.3904761904761907E-3"/>
    <n v="50"/>
    <n v="240000000"/>
    <n v="240000000"/>
    <n v="0"/>
    <n v="0"/>
    <n v="0"/>
    <n v="0"/>
    <n v="0"/>
    <n v="0"/>
    <n v="137000000"/>
    <n v="137000000"/>
    <n v="0"/>
    <n v="0"/>
    <n v="0"/>
    <n v="0"/>
    <n v="0"/>
    <n v="0"/>
    <n v="0"/>
    <n v="0"/>
    <n v="0"/>
    <n v="9.7333333333333334E-3"/>
    <n v="7"/>
    <n v="0.33333333333333331"/>
    <n v="5"/>
    <n v="5"/>
    <n v="71.428571428571431"/>
    <n v="71.428571428571431"/>
    <n v="6.9523809523809521E-3"/>
    <n v="71.428571428571431"/>
    <n v="60000000"/>
    <n v="0"/>
    <n v="60000000"/>
    <n v="0"/>
    <n v="0"/>
    <n v="0"/>
    <n v="0"/>
    <n v="0"/>
    <n v="0"/>
    <n v="0"/>
    <n v="0"/>
    <n v="0"/>
    <n v="0"/>
    <n v="0"/>
    <n v="0"/>
    <n v="0"/>
    <n v="0"/>
    <n v="0"/>
    <n v="0"/>
    <n v="8.3428571428571432E-3"/>
    <n v="6"/>
    <n v="0.2857142857142857"/>
    <n v="0"/>
    <n v="0"/>
    <n v="0"/>
    <n v="0"/>
    <n v="0"/>
    <n v="0"/>
    <n v="0"/>
    <n v="0"/>
    <n v="0"/>
    <n v="8.3428571428571432E-3"/>
    <n v="6"/>
    <n v="0.2857142857142857"/>
    <n v="11"/>
    <n v="-5"/>
    <n v="11"/>
    <n v="183.33333333333334"/>
    <n v="100"/>
    <n v="8.3428571428571432E-3"/>
    <n v="1.5295238095238098E-2"/>
    <n v="137000000"/>
    <n v="137000000"/>
    <n v="0"/>
    <n v="0"/>
    <n v="0"/>
    <n v="0"/>
    <n v="0"/>
    <n v="0"/>
    <n v="0"/>
    <n v="0"/>
    <n v="0"/>
    <n v="0"/>
    <n v="0"/>
    <n v="0"/>
    <n v="0"/>
    <n v="0"/>
    <n v="0"/>
    <n v="0"/>
    <n v="0"/>
    <n v="17"/>
    <n v="2.9200000000000004E-2"/>
    <n v="80.952380952380949"/>
    <n v="80.952380952380949"/>
    <n v="2.3638095238095236E-2"/>
    <n v="2.3638095238095236E-2"/>
    <n v="2.3638095238095236E-2"/>
    <n v="0.99999999999999989"/>
    <n v="0"/>
    <n v="257"/>
    <s v="MEJORAR AMBIENTES FÍSICOS PARA LA PRESTACIÓN DE SERVICIOS SOCIALES EN LOS 116 MUNICIPIOS"/>
    <m/>
    <s v=""/>
    <m/>
    <m/>
    <m/>
    <m/>
    <s v="AUNQUE SE TIENEN REPORTADOS 10 ESTUDIOS DE VULNERAVILIDAD SISMICA, PARA 10 CENTROS DE SALUD DEL DEPARTAMENTO, YA SE TIENEN CONTRATADOS 12 ESTUDIOS ADICIONALES, LOS CUALES SERÁN ENTREGADOS PARA EL FINAL DE LA PRESENTE VIGENCIA, LOGRANDO CUMPLIR CON LO CONTENIDO EN LO QUE CORRESPONDE A LA PRESENTE META."/>
    <n v="1039000000"/>
    <m/>
    <n v="0.08"/>
  </r>
  <r>
    <n v="270"/>
    <x v="0"/>
    <x v="2"/>
    <x v="9"/>
    <s v="VIDA, INTEGRIDAD, LIBERTAD Y SEGURIDAD"/>
    <s v="IMPLEMENTAR DURANTE EL CUATRIENIO 116 PLANES DE PREVENCIÓN MUNICIPAL Y UNO DEPARTAMENTAL"/>
    <s v="NO. DE PLANES MUNICIPALES Y DEPATAMENTAL ACTIVAS"/>
    <s v="PLANES"/>
    <s v="I"/>
    <n v="19"/>
    <n v="116"/>
    <n v="97"/>
    <n v="0.16500000000000001"/>
    <n v="1.7010309278350514E-2"/>
    <n v="10"/>
    <n v="0.10309278350515463"/>
    <n v="18"/>
    <n v="18"/>
    <n v="180"/>
    <n v="100"/>
    <n v="1.7010309278350514E-2"/>
    <n v="100"/>
    <n v="60000000"/>
    <n v="60000000"/>
    <n v="0"/>
    <n v="0"/>
    <n v="0"/>
    <n v="0"/>
    <n v="0"/>
    <n v="0"/>
    <n v="0"/>
    <n v="0"/>
    <n v="0"/>
    <n v="0"/>
    <n v="0"/>
    <n v="0"/>
    <n v="0"/>
    <n v="0"/>
    <n v="0"/>
    <n v="0"/>
    <n v="0"/>
    <n v="5.1030927835051552E-2"/>
    <n v="30"/>
    <n v="0.30927835051546393"/>
    <n v="20"/>
    <n v="20"/>
    <n v="66.666666666666671"/>
    <n v="66.666666666666671"/>
    <n v="3.4020618556701042E-2"/>
    <n v="66.666666666666671"/>
    <n v="17000000"/>
    <n v="0"/>
    <n v="7000000"/>
    <n v="0"/>
    <n v="0"/>
    <n v="0"/>
    <n v="0"/>
    <n v="10000000"/>
    <n v="56800000"/>
    <n v="56800000"/>
    <n v="0"/>
    <n v="0"/>
    <n v="0"/>
    <n v="0"/>
    <n v="0"/>
    <n v="0"/>
    <n v="0"/>
    <n v="0"/>
    <n v="0"/>
    <n v="5.1030927835051552E-2"/>
    <n v="30"/>
    <n v="0.30927835051546393"/>
    <n v="66"/>
    <n v="56"/>
    <n v="79"/>
    <n v="79"/>
    <n v="263.33333333333331"/>
    <n v="100"/>
    <n v="5.1030927835051552E-2"/>
    <n v="100"/>
    <n v="0.13438144329896906"/>
    <n v="4.5927835051546392E-2"/>
    <n v="27"/>
    <n v="0.27835051546391754"/>
    <n v="1"/>
    <n v="26"/>
    <n v="1"/>
    <n v="3.7037037037037037"/>
    <n v="3.7037037037037037"/>
    <n v="1.7010309278350517E-3"/>
    <n v="1.7010309278350517E-3"/>
    <n v="20000000"/>
    <n v="10000000"/>
    <n v="0"/>
    <n v="0"/>
    <n v="0"/>
    <n v="0"/>
    <n v="0"/>
    <n v="10000000"/>
    <n v="0"/>
    <n v="0"/>
    <n v="0"/>
    <n v="0"/>
    <n v="0"/>
    <n v="0"/>
    <n v="0"/>
    <n v="0"/>
    <n v="0"/>
    <n v="0"/>
    <n v="0"/>
    <n v="118"/>
    <n v="0.16500000000000004"/>
    <n v="121.64948453608247"/>
    <n v="100"/>
    <n v="0.16500000000000001"/>
    <n v="0.16500000000000001"/>
    <n v="0.16500000000000001"/>
    <n v="1"/>
    <n v="0"/>
    <n v="269"/>
    <s v="116 MUNICIPIOS RESTITUYEN DERECHOS Y MEJORAN CALIDAD DE VIDA DE LAS VÍCTIMAS DEL CONFLICTO ARMADO"/>
    <m/>
    <s v=""/>
    <m/>
    <m/>
    <m/>
    <m/>
    <s v="1 TALLER EN LA PALMA LOS DIAS 17 Y 18 DE JUNIO PARA FORMULAR EL COMIT+E EL CUAL FUE AVALADO POSTERIORMENTE CONSITUYENDOSE ASI EL PRIMER PLAN DE PREVENCIÓN MUNICIPAL, IDENTICA SITUACIÓN SE LLEVO A CABO EN EL MUNICIPIO DE VIOTA DONDE SE LLEVO A CABO LAS REUNIONES PREPARATORIAS Y POSTERIOR AVAL DE LAS MISMAS Y COMO CONSECUENCIA SE LOGRÓ ESTLABLECER EL SEGUNDO PLAN DE PREVENCIÓN POR EL CUAL SE REALIZARON 15 PLANES DE PREVENCION MUNICIPAL PARA LAS VCA"/>
    <n v="0"/>
    <m/>
    <n v="0"/>
  </r>
  <r>
    <n v="271"/>
    <x v="0"/>
    <x v="2"/>
    <x v="9"/>
    <s v="VIDA, INTEGRIDAD, LIBERTAD Y SEGURIDAD"/>
    <s v="ACTIVAR DURANTE EL CUATRIENIO 116 RUTAS DE PROTECCIÓN"/>
    <s v="NO. DE RUTAS DE PROTECCIÓN MUNICIPALES ACTIVAS"/>
    <s v="MUNICIPIOS"/>
    <s v="I"/>
    <n v="19"/>
    <n v="116"/>
    <n v="97"/>
    <n v="0.16500000000000001"/>
    <n v="1.7010309278350514E-2"/>
    <n v="10"/>
    <n v="0.10309278350515463"/>
    <n v="18"/>
    <n v="18"/>
    <n v="180"/>
    <n v="100"/>
    <n v="1.7010309278350514E-2"/>
    <n v="100"/>
    <n v="25000000"/>
    <n v="25000000"/>
    <n v="0"/>
    <n v="0"/>
    <n v="0"/>
    <n v="0"/>
    <n v="0"/>
    <n v="0"/>
    <n v="0"/>
    <n v="0"/>
    <n v="0"/>
    <n v="0"/>
    <n v="0"/>
    <n v="0"/>
    <n v="0"/>
    <n v="0"/>
    <n v="0"/>
    <n v="0"/>
    <n v="0"/>
    <n v="5.1030927835051552E-2"/>
    <n v="30"/>
    <n v="0.30927835051546393"/>
    <n v="20"/>
    <n v="20"/>
    <n v="66.666666666666671"/>
    <n v="66.666666666666671"/>
    <n v="3.4020618556701042E-2"/>
    <n v="66.666666666666671"/>
    <n v="7000000"/>
    <n v="0"/>
    <n v="7000000"/>
    <n v="0"/>
    <n v="0"/>
    <n v="0"/>
    <n v="0"/>
    <n v="0"/>
    <n v="62000000"/>
    <n v="62000000"/>
    <n v="0"/>
    <n v="0"/>
    <n v="0"/>
    <n v="0"/>
    <n v="0"/>
    <n v="0"/>
    <n v="0"/>
    <n v="0"/>
    <n v="0"/>
    <n v="5.1030927835051552E-2"/>
    <n v="30"/>
    <n v="0.30927835051546393"/>
    <n v="66"/>
    <n v="56"/>
    <n v="79"/>
    <n v="79"/>
    <n v="263.33333333333331"/>
    <n v="100"/>
    <n v="5.1030927835051552E-2"/>
    <n v="100"/>
    <n v="0.13438144329896906"/>
    <n v="4.5927835051546392E-2"/>
    <n v="27"/>
    <n v="0.27835051546391754"/>
    <n v="1"/>
    <n v="26"/>
    <n v="1"/>
    <n v="3.7037037037037037"/>
    <n v="3.7037037037037037"/>
    <n v="1.7010309278350517E-3"/>
    <n v="1.7010309278350517E-3"/>
    <n v="10000000"/>
    <n v="10000000"/>
    <n v="0"/>
    <n v="0"/>
    <n v="0"/>
    <n v="0"/>
    <n v="0"/>
    <n v="0"/>
    <n v="0"/>
    <n v="0"/>
    <n v="0"/>
    <n v="0"/>
    <n v="0"/>
    <n v="0"/>
    <n v="0"/>
    <n v="0"/>
    <n v="0"/>
    <n v="0"/>
    <n v="0"/>
    <n v="118"/>
    <n v="0.16500000000000004"/>
    <n v="121.64948453608247"/>
    <n v="100"/>
    <n v="0.16500000000000001"/>
    <n v="0.16500000000000001"/>
    <n v="0.16500000000000001"/>
    <n v="1"/>
    <n v="0"/>
    <n v="269"/>
    <s v="116 MUNICIPIOS RESTITUYEN DERECHOS Y MEJORAN CALIDAD DE VIDA DE LAS VÍCTIMAS DEL CONFLICTO ARMADO"/>
    <m/>
    <s v=""/>
    <m/>
    <m/>
    <m/>
    <m/>
    <s v="REUNION CON SOACHA Y DEL DISTRITO EL 15 DE MAYO, DONDE SE RECAUDAN LOS INSUNMOS Y CON POSTERIORIDAD SE ELABORA LA RUTA DE PROTECCIÓN POR PARTE DE LA OFICINA DE VÍCITMAS DE LA SECRETARÍA DE GOBIERNO, SE ARTICULARON 20 RUTAS DE PROTECCION Y UNA DEPARTAMENTAL PARA LA VIGENCIA 2013"/>
    <n v="0"/>
    <m/>
    <n v="0"/>
  </r>
  <r>
    <n v="272"/>
    <x v="0"/>
    <x v="2"/>
    <x v="9"/>
    <s v="VIDA, INTEGRIDAD, LIBERTAD Y SEGURIDAD"/>
    <s v="BRINDAR DURANTE EL CUATRIENIO ATENCIÓN HUMANITARIA DE EMERGENCIA AL 100% DE LAS VICTIMAS DEL CONFLICTO ARMADO QUE LO SOLICITEN A TRAVÉS DE LOS CTJT MUNICIPALES (GASTOS FUNERARIOS, ALOJAMIETO DE EMERGENCIA, TRANSPORTE DE VCA) "/>
    <s v="% VÍCTIMAS DEL CONFLICTO ARMADO CON ATENCIÓN HUMANITARIA"/>
    <s v="PORCENTAJE DE PERSONAS"/>
    <s v="M"/>
    <n v="0"/>
    <n v="100"/>
    <n v="100"/>
    <n v="0.16500000000000001"/>
    <n v="4.1250000000000002E-2"/>
    <n v="100"/>
    <n v="0.25"/>
    <n v="100"/>
    <n v="25"/>
    <n v="100"/>
    <n v="100"/>
    <n v="4.1250000000000002E-2"/>
    <n v="100"/>
    <n v="50000000"/>
    <n v="50000000"/>
    <n v="0"/>
    <n v="0"/>
    <n v="0"/>
    <n v="0"/>
    <n v="0"/>
    <n v="0"/>
    <n v="100000000"/>
    <n v="100000000"/>
    <n v="0"/>
    <n v="0"/>
    <n v="0"/>
    <n v="0"/>
    <n v="0"/>
    <n v="0"/>
    <n v="0"/>
    <n v="0"/>
    <n v="0"/>
    <n v="4.1250000000000002E-2"/>
    <n v="100"/>
    <n v="0.25"/>
    <n v="100"/>
    <n v="25"/>
    <n v="100"/>
    <n v="100"/>
    <n v="4.1250000000000002E-2"/>
    <n v="100"/>
    <n v="243000000"/>
    <n v="0"/>
    <n v="163000000"/>
    <n v="0"/>
    <n v="0"/>
    <n v="0"/>
    <n v="0"/>
    <n v="80000000"/>
    <n v="0"/>
    <n v="0"/>
    <n v="0"/>
    <n v="0"/>
    <n v="0"/>
    <n v="0"/>
    <n v="0"/>
    <n v="0"/>
    <n v="0"/>
    <n v="0"/>
    <n v="0"/>
    <n v="4.1250000000000002E-2"/>
    <n v="100"/>
    <n v="0.25"/>
    <n v="50"/>
    <n v="100"/>
    <n v="100"/>
    <n v="25"/>
    <n v="100"/>
    <n v="100"/>
    <n v="4.1250000000000002E-2"/>
    <n v="100"/>
    <n v="4.1250000000000002E-2"/>
    <n v="4.1250000000000002E-2"/>
    <n v="100"/>
    <n v="0.25"/>
    <n v="100"/>
    <n v="0"/>
    <n v="25"/>
    <n v="100"/>
    <n v="100"/>
    <n v="4.1250000000000002E-2"/>
    <n v="4.1250000000000002E-2"/>
    <n v="243000000"/>
    <n v="163000000"/>
    <n v="0"/>
    <n v="0"/>
    <n v="0"/>
    <n v="0"/>
    <n v="0"/>
    <n v="80000000"/>
    <n v="0"/>
    <n v="0"/>
    <n v="0"/>
    <n v="0"/>
    <n v="0"/>
    <n v="0"/>
    <n v="0"/>
    <n v="0"/>
    <n v="0"/>
    <n v="0"/>
    <n v="0"/>
    <n v="100"/>
    <n v="0.16500000000000001"/>
    <n v="100"/>
    <n v="100"/>
    <n v="0.16500000000000001"/>
    <n v="0.16500000000000001"/>
    <n v="0.16500000000000001"/>
    <n v="1"/>
    <n v="0"/>
    <n v="269"/>
    <s v="116 MUNICIPIOS RESTITUYEN DERECHOS Y MEJORAN CALIDAD DE VIDA DE LAS VÍCTIMAS DEL CONFLICTO ARMADO"/>
    <m/>
    <s v=""/>
    <m/>
    <m/>
    <m/>
    <m/>
    <s v="SE SUSCRIBIO EL CONTRATO INTERADMINISTRATIVO 076 CON LA CRUZ ROJA COMO ALTERNATIVA DE ATENCIÓN A LA POBLACION VICTIMA DEL CONFLICTO TENIIENDO EN CUENTA LA TRAYACTORIA POR PARTE DE ESTA ENTIDAD SIN ANIMO DE LUCRO EN SITUACIONES SIMILARES"/>
    <n v="0"/>
    <m/>
    <n v="0"/>
  </r>
  <r>
    <n v="273"/>
    <x v="0"/>
    <x v="2"/>
    <x v="9"/>
    <s v="VIDA, INTEGRIDAD, LIBERTAD Y SEGURIDAD"/>
    <s v="FORTALECER DURANTE EL CUATRIENIO 116 CTJT DE LOS 116 MUNICIPIOS Y LA COMUNIDAD CON ASISTENCIA TÉCNICA"/>
    <s v="NO. DE CTJT FORTALECIDAS"/>
    <s v="CTJT"/>
    <s v="M"/>
    <n v="0"/>
    <n v="116"/>
    <n v="116"/>
    <n v="0.16500000000000001"/>
    <n v="4.1250000000000002E-2"/>
    <n v="116"/>
    <n v="0.25"/>
    <n v="116"/>
    <n v="29"/>
    <n v="100"/>
    <n v="100"/>
    <n v="4.1250000000000002E-2"/>
    <n v="100"/>
    <n v="0"/>
    <n v="0"/>
    <n v="0"/>
    <n v="0"/>
    <n v="0"/>
    <n v="0"/>
    <n v="0"/>
    <n v="0"/>
    <n v="0"/>
    <n v="0"/>
    <n v="0"/>
    <n v="0"/>
    <n v="0"/>
    <n v="0"/>
    <n v="0"/>
    <n v="0"/>
    <n v="0"/>
    <n v="0"/>
    <n v="0"/>
    <n v="4.1250000000000002E-2"/>
    <n v="116"/>
    <n v="0.25"/>
    <n v="116"/>
    <n v="29"/>
    <n v="100"/>
    <n v="100"/>
    <n v="4.1250000000000002E-2"/>
    <n v="100"/>
    <n v="130000000"/>
    <n v="0"/>
    <n v="10000000"/>
    <n v="0"/>
    <n v="0"/>
    <n v="0"/>
    <n v="0"/>
    <n v="120000000"/>
    <n v="94867000"/>
    <n v="94867000"/>
    <n v="0"/>
    <n v="0"/>
    <n v="0"/>
    <n v="0"/>
    <n v="0"/>
    <n v="0"/>
    <n v="0"/>
    <n v="0"/>
    <n v="0"/>
    <n v="4.1250000000000002E-2"/>
    <n v="116"/>
    <n v="0.25"/>
    <n v="116"/>
    <n v="116"/>
    <n v="116"/>
    <n v="29"/>
    <n v="100"/>
    <n v="100"/>
    <n v="4.1250000000000002E-2"/>
    <n v="100"/>
    <n v="4.1250000000000002E-2"/>
    <n v="4.1250000000000002E-2"/>
    <n v="36"/>
    <n v="0.25"/>
    <n v="116"/>
    <n v="-80"/>
    <n v="29"/>
    <n v="322.22222222222223"/>
    <n v="100"/>
    <n v="4.1250000000000002E-2"/>
    <n v="0.13291666666666668"/>
    <n v="155000000"/>
    <n v="35000000"/>
    <n v="0"/>
    <n v="0"/>
    <n v="0"/>
    <n v="0"/>
    <n v="0"/>
    <n v="120000000"/>
    <n v="0"/>
    <n v="0"/>
    <n v="0"/>
    <n v="0"/>
    <n v="0"/>
    <n v="0"/>
    <n v="0"/>
    <n v="0"/>
    <n v="0"/>
    <n v="0"/>
    <n v="0"/>
    <n v="116"/>
    <n v="0.16500000000000001"/>
    <n v="100"/>
    <n v="100"/>
    <n v="0.16500000000000001"/>
    <n v="0.16500000000000001"/>
    <n v="0.16500000000000001"/>
    <n v="1"/>
    <n v="0"/>
    <n v="269"/>
    <s v="116 MUNICIPIOS RESTITUYEN DERECHOS Y MEJORAN CALIDAD DE VIDA DE LAS VÍCTIMAS DEL CONFLICTO ARMADO"/>
    <m/>
    <s v=""/>
    <m/>
    <m/>
    <m/>
    <m/>
    <s v="TALLER REALIZADO EN EL MUNICIPIO DE LA PALMA, CON EL FIN DE ACTUALIZAR Y FORTALECER EL COMITÉ CREADO"/>
    <n v="0"/>
    <m/>
    <n v="0"/>
  </r>
  <r>
    <n v="274"/>
    <x v="0"/>
    <x v="2"/>
    <x v="9"/>
    <s v="VIDA, INTEGRIDAD, LIBERTAD Y SEGURIDAD"/>
    <s v="AVANZAR DURANTE EL CUATRIENIO EN LA RESTITUCIÓN, LEGALIZACIÓN Y TITULACIÓN DE PREDIOS DEL 100% DE LA POBLACIÓN VÍCTIMA DE CONFLICTO ARMADO QUE LO REQUIERA."/>
    <s v="% PREDIOS RESTITUIDOS, LEGALIZADOS Y TITULADOS."/>
    <s v="PORCENTAJE DE PREDIOS"/>
    <s v="M"/>
    <n v="0"/>
    <n v="100"/>
    <n v="100"/>
    <n v="0.16500000000000001"/>
    <n v="4.1250000000000002E-2"/>
    <n v="100"/>
    <n v="0.25"/>
    <n v="100"/>
    <n v="25"/>
    <n v="100"/>
    <n v="100"/>
    <n v="4.1250000000000002E-2"/>
    <n v="100"/>
    <n v="20000000"/>
    <n v="20000000"/>
    <n v="0"/>
    <n v="0"/>
    <n v="0"/>
    <n v="0"/>
    <n v="0"/>
    <n v="0"/>
    <n v="0"/>
    <n v="0"/>
    <n v="0"/>
    <n v="0"/>
    <n v="0"/>
    <n v="0"/>
    <n v="0"/>
    <n v="0"/>
    <n v="0"/>
    <n v="0"/>
    <n v="0"/>
    <n v="4.1250000000000002E-2"/>
    <n v="100"/>
    <n v="0.25"/>
    <n v="100"/>
    <n v="25"/>
    <n v="100"/>
    <n v="100"/>
    <n v="4.1250000000000002E-2"/>
    <n v="100"/>
    <n v="55000000"/>
    <n v="0"/>
    <n v="25000000"/>
    <n v="0"/>
    <n v="0"/>
    <n v="0"/>
    <n v="0"/>
    <n v="30000000"/>
    <n v="0"/>
    <n v="0"/>
    <n v="0"/>
    <n v="0"/>
    <n v="0"/>
    <n v="0"/>
    <n v="0"/>
    <n v="0"/>
    <n v="0"/>
    <n v="0"/>
    <n v="0"/>
    <n v="4.1250000000000002E-2"/>
    <n v="100"/>
    <n v="0.25"/>
    <n v="50"/>
    <n v="50"/>
    <n v="100"/>
    <n v="25"/>
    <n v="100"/>
    <n v="100"/>
    <n v="4.1250000000000002E-2"/>
    <n v="100"/>
    <n v="4.1250000000000002E-2"/>
    <n v="4.1250000000000002E-2"/>
    <n v="100"/>
    <n v="0.25"/>
    <n v="100"/>
    <n v="0"/>
    <n v="25"/>
    <n v="100"/>
    <n v="100"/>
    <n v="4.1250000000000002E-2"/>
    <n v="4.1250000000000002E-2"/>
    <n v="55000000"/>
    <n v="15000000"/>
    <n v="0"/>
    <n v="0"/>
    <n v="0"/>
    <n v="0"/>
    <n v="0"/>
    <n v="40000000"/>
    <n v="0"/>
    <n v="0"/>
    <n v="0"/>
    <n v="0"/>
    <n v="0"/>
    <n v="0"/>
    <n v="0"/>
    <n v="0"/>
    <n v="0"/>
    <n v="0"/>
    <n v="0"/>
    <n v="100"/>
    <n v="0.16500000000000001"/>
    <n v="100"/>
    <n v="100"/>
    <n v="0.16500000000000001"/>
    <n v="0.16500000000000001"/>
    <n v="0.16500000000000001"/>
    <n v="1"/>
    <n v="0"/>
    <n v="269"/>
    <s v="116 MUNICIPIOS RESTITUYEN DERECHOS Y MEJORAN CALIDAD DE VIDA DE LAS VÍCTIMAS DEL CONFLICTO ARMADO"/>
    <m/>
    <s v=""/>
    <m/>
    <m/>
    <m/>
    <m/>
    <s v="SE REALIZARON JORNADAS DE SOCIALIZACION EN COMPAÑIA DE LA SUPERINTENDENCIA DE NOTARIADO Y REGISTRO A FIN DE DIVULGAR LOS PROCESOS HACIENDO HINCAPIE EN QUIENES PUEDEN ACCEDER A ÉSTE"/>
    <n v="10000000000"/>
    <m/>
    <n v="0"/>
  </r>
  <r>
    <n v="275"/>
    <x v="0"/>
    <x v="2"/>
    <x v="9"/>
    <s v="VIDA, INTEGRIDAD, LIBERTAD Y SEGURIDAD"/>
    <s v="EJECUTAR DURANTE EL CUATRIENIO EN EL 100% DE LOS MUNICIPIOS DEFINIDOS POR EL PROGRAMA DE LA VICEPRESIDENCIA DE LA REPÚBLICA, PLAN ESTRATÉGICO, EN CONTRA DE MINAS ANTIPERSONAL Y MUNICIONES DE GUERRA ABANDONADAS SIN EXPLOTAR."/>
    <s v="% DE MUNICIPIOS IDENTIFICADOS CON EL PLAN ESTRATÉGICO EJECUTADO"/>
    <s v="PORCENTAJE DE MUNICIPIOS"/>
    <s v="I"/>
    <n v="0"/>
    <n v="6"/>
    <n v="6"/>
    <n v="0.16500000000000001"/>
    <n v="0"/>
    <n v="0"/>
    <n v="0"/>
    <n v="0"/>
    <n v="0"/>
    <n v="0"/>
    <n v="0"/>
    <n v="0"/>
    <n v="0"/>
    <n v="30000000"/>
    <n v="30000000"/>
    <n v="0"/>
    <n v="0"/>
    <n v="0"/>
    <n v="0"/>
    <n v="0"/>
    <n v="0"/>
    <n v="0"/>
    <n v="0"/>
    <n v="0"/>
    <n v="0"/>
    <n v="0"/>
    <n v="0"/>
    <n v="0"/>
    <n v="0"/>
    <n v="0"/>
    <n v="0"/>
    <n v="0"/>
    <n v="0"/>
    <n v="0"/>
    <n v="0"/>
    <n v="0"/>
    <n v="0"/>
    <n v="0"/>
    <n v="0"/>
    <n v="0"/>
    <n v="0"/>
    <n v="40000000"/>
    <n v="0"/>
    <n v="10000000"/>
    <n v="0"/>
    <n v="0"/>
    <n v="0"/>
    <n v="0"/>
    <n v="30000000"/>
    <n v="0"/>
    <n v="0"/>
    <n v="0"/>
    <n v="0"/>
    <n v="0"/>
    <n v="0"/>
    <n v="0"/>
    <n v="0"/>
    <n v="0"/>
    <n v="0"/>
    <n v="0"/>
    <n v="0.16500000000000001"/>
    <n v="6"/>
    <n v="1"/>
    <n v="75"/>
    <n v="75"/>
    <n v="6"/>
    <n v="6"/>
    <n v="100"/>
    <n v="100"/>
    <n v="0.16500000000000001"/>
    <n v="100"/>
    <n v="0.16500000000000001"/>
    <n v="0"/>
    <n v="0"/>
    <n v="0"/>
    <n v="100"/>
    <n v="-100"/>
    <n v="100"/>
    <n v="0"/>
    <n v="0"/>
    <n v="0"/>
    <n v="0"/>
    <n v="50000000"/>
    <n v="10000000"/>
    <n v="0"/>
    <n v="0"/>
    <n v="0"/>
    <n v="0"/>
    <n v="0"/>
    <n v="40000000"/>
    <n v="0"/>
    <n v="0"/>
    <n v="0"/>
    <n v="0"/>
    <n v="0"/>
    <n v="0"/>
    <n v="0"/>
    <n v="0"/>
    <n v="0"/>
    <n v="0"/>
    <n v="0"/>
    <n v="106"/>
    <n v="0.16500000000000001"/>
    <n v="1766.6666666666667"/>
    <n v="100"/>
    <n v="0.16500000000000001"/>
    <n v="0.16500000000000001"/>
    <n v="0.16500000000000001"/>
    <n v="1"/>
    <n v="0"/>
    <n v="269"/>
    <s v="116 MUNICIPIOS RESTITUYEN DERECHOS Y MEJORAN CALIDAD DE VIDA DE LAS VÍCTIMAS DEL CONFLICTO ARMADO"/>
    <m/>
    <s v=""/>
    <m/>
    <m/>
    <m/>
    <m/>
    <s v="SE AJUSTÓ EL PLAN ESTRATEGICO CON LA ASESORIA TECNICA DE LA VICEPRESIDENCIA DE LA REPUBLICA"/>
    <n v="0"/>
    <m/>
    <n v="0"/>
  </r>
  <r>
    <n v="276"/>
    <x v="0"/>
    <x v="5"/>
    <x v="9"/>
    <s v="VIDA, INTEGRIDAD, LIBERTAD Y SEGURIDAD"/>
    <s v="ADELANTAR UNA CAMPAÑA ANUAL PREVENTIVA DE ESCNNA EXPLOTACIÓN SEXUAL COMERCIAL DE NIÑOS, NIÑAS Y ADOLESCENTES, ASOCIADA CON EL TURISMO, PERTENECIENTES A LA POBLACIÓN VICTIMA DEL CONFLICTO ARMADO."/>
    <s v="NO. DE CAMPAÑAS PREVENTIVAS DE ESCNNA REALIZADAS"/>
    <s v="CAMPAÑA"/>
    <s v="I"/>
    <n v="0"/>
    <n v="4"/>
    <n v="4"/>
    <n v="0.16500000000000001"/>
    <n v="4.1250000000000002E-2"/>
    <n v="1"/>
    <n v="0.25"/>
    <n v="1"/>
    <n v="1"/>
    <n v="100"/>
    <n v="100"/>
    <n v="4.1250000000000002E-2"/>
    <n v="100"/>
    <n v="0"/>
    <n v="0"/>
    <n v="0"/>
    <n v="0"/>
    <n v="0"/>
    <n v="0"/>
    <n v="0"/>
    <n v="0"/>
    <n v="0"/>
    <n v="0"/>
    <n v="0"/>
    <n v="0"/>
    <n v="0"/>
    <n v="0"/>
    <n v="0"/>
    <n v="0"/>
    <n v="0"/>
    <n v="0"/>
    <n v="0"/>
    <n v="4.1250000000000002E-2"/>
    <n v="1"/>
    <n v="0.25"/>
    <n v="1"/>
    <n v="1"/>
    <n v="100"/>
    <n v="100"/>
    <n v="4.1250000000000002E-2"/>
    <n v="100"/>
    <n v="60000000"/>
    <n v="0"/>
    <n v="0"/>
    <n v="0"/>
    <n v="0"/>
    <n v="0"/>
    <n v="0"/>
    <n v="60000000"/>
    <n v="25000000"/>
    <n v="25000000"/>
    <n v="0"/>
    <n v="0"/>
    <n v="0"/>
    <n v="0"/>
    <n v="0"/>
    <n v="0"/>
    <n v="0"/>
    <n v="0"/>
    <n v="0"/>
    <n v="4.1250000000000002E-2"/>
    <n v="1"/>
    <n v="0.25"/>
    <n v="0"/>
    <n v="0"/>
    <n v="1"/>
    <n v="1"/>
    <n v="100"/>
    <n v="100"/>
    <n v="4.1250000000000002E-2"/>
    <n v="100"/>
    <n v="4.1250000000000002E-2"/>
    <n v="4.1250000000000002E-2"/>
    <n v="1"/>
    <n v="0.25"/>
    <n v="1"/>
    <n v="0"/>
    <n v="1"/>
    <n v="100"/>
    <n v="100"/>
    <n v="4.1250000000000002E-2"/>
    <n v="4.1250000000000002E-2"/>
    <n v="60000000"/>
    <n v="0"/>
    <n v="0"/>
    <n v="0"/>
    <n v="0"/>
    <n v="0"/>
    <n v="0"/>
    <n v="60000000"/>
    <n v="0"/>
    <n v="0"/>
    <n v="0"/>
    <n v="0"/>
    <n v="0"/>
    <n v="0"/>
    <n v="0"/>
    <n v="0"/>
    <n v="0"/>
    <n v="0"/>
    <n v="0"/>
    <n v="4"/>
    <n v="0.16500000000000001"/>
    <n v="100"/>
    <n v="100"/>
    <n v="0.16500000000000001"/>
    <n v="0.16500000000000001"/>
    <n v="0.16500000000000001"/>
    <n v="1"/>
    <n v="0"/>
    <n v="269"/>
    <s v="116 MUNICIPIOS RESTITUYEN DERECHOS Y MEJORAN CALIDAD DE VIDA DE LAS VÍCTIMAS DEL CONFLICTO ARMADO"/>
    <m/>
    <s v=""/>
    <m/>
    <m/>
    <m/>
    <m/>
    <s v="SE BENEFICIARON A 10.932 PERSONAS ENTRE RECTORES, GERENTES DE HOSPITAL, PRESTADORES DE SERVICIOS TURÍSTICOS (HOTELES, RESTAURANTES, TRANSPORTADORES) REPRESENTANTE DEL COMERCIO, ALCALDE, ICBF, NIÑOS, NIÑAS Y ADOLESCENTES SENSIBILIZADOS EN DERECHOS HUMANOS Y PROTECCIÓN EN ESCNNA,IDENTIFICADOS EN TRABAJADORES EN ESCNNA, ADULTOS Y FAMILIAS EN GIRARDOT, FUSA Y VILLETA EN DOS CORREDORES TURISTICOS (BOGOTÁ- FUSAGASUGÁ-GIRARDOT Y LA MESA) Y (BOGOTÁ- PUERTO SALGAR). "/>
    <n v="4008000000"/>
    <m/>
    <n v="500"/>
  </r>
  <r>
    <n v="277"/>
    <x v="0"/>
    <x v="2"/>
    <x v="9"/>
    <s v="ATENCION HUMANITARIA"/>
    <s v="ATENDER DURANTE EL CUATRIENIO AL 100% (2.841) DE LAS VCA QUE SOLICITEN A TRAVÉS DEL CTJT MERCADOS Y KIT DE ASEO."/>
    <s v="% DE PVCA QUE SOLICITEN EL SUMINISTRO DE MERCADOS Y KIT DE ASEO"/>
    <s v="PORCENTAJE DE PERSONAS"/>
    <s v="M"/>
    <n v="100"/>
    <n v="100"/>
    <n v="100"/>
    <n v="0.16500000000000001"/>
    <n v="4.1250000000000002E-2"/>
    <n v="100"/>
    <n v="0.25"/>
    <n v="100"/>
    <n v="25"/>
    <n v="100"/>
    <n v="100"/>
    <n v="4.1250000000000002E-2"/>
    <n v="100"/>
    <n v="0"/>
    <n v="0"/>
    <n v="0"/>
    <n v="0"/>
    <n v="0"/>
    <n v="0"/>
    <n v="0"/>
    <n v="0"/>
    <n v="0"/>
    <n v="0"/>
    <n v="0"/>
    <n v="0"/>
    <n v="0"/>
    <n v="0"/>
    <n v="0"/>
    <n v="0"/>
    <n v="0"/>
    <n v="0"/>
    <n v="0"/>
    <n v="4.1250000000000002E-2"/>
    <n v="100"/>
    <n v="0.25"/>
    <n v="100"/>
    <n v="25"/>
    <n v="100"/>
    <n v="100"/>
    <n v="4.1250000000000002E-2"/>
    <n v="100"/>
    <n v="250000000"/>
    <n v="0"/>
    <n v="250000000"/>
    <n v="0"/>
    <n v="0"/>
    <n v="0"/>
    <n v="0"/>
    <n v="0"/>
    <n v="247222713"/>
    <n v="247222713"/>
    <n v="0"/>
    <n v="0"/>
    <n v="0"/>
    <n v="0"/>
    <n v="0"/>
    <n v="0"/>
    <n v="0"/>
    <n v="0"/>
    <n v="0"/>
    <n v="4.1250000000000002E-2"/>
    <n v="100"/>
    <n v="0.25"/>
    <n v="50"/>
    <n v="100"/>
    <n v="100"/>
    <n v="25"/>
    <n v="100"/>
    <n v="100"/>
    <n v="4.1250000000000002E-2"/>
    <n v="100"/>
    <n v="4.1250000000000002E-2"/>
    <n v="4.1250000000000002E-2"/>
    <n v="100"/>
    <n v="0.25"/>
    <n v="116"/>
    <n v="-16"/>
    <n v="29"/>
    <n v="116"/>
    <n v="100"/>
    <n v="4.1250000000000002E-2"/>
    <n v="4.7850000000000004E-2"/>
    <n v="300000000"/>
    <n v="300000000"/>
    <n v="0"/>
    <n v="0"/>
    <n v="0"/>
    <n v="0"/>
    <n v="0"/>
    <n v="0"/>
    <n v="0"/>
    <n v="0"/>
    <n v="0"/>
    <n v="0"/>
    <n v="0"/>
    <n v="0"/>
    <n v="0"/>
    <n v="0"/>
    <n v="0"/>
    <n v="0"/>
    <n v="0"/>
    <n v="104"/>
    <n v="0.16500000000000001"/>
    <n v="104"/>
    <n v="100"/>
    <n v="0.16500000000000001"/>
    <n v="0.16500000000000001"/>
    <n v="0.16500000000000001"/>
    <n v="1"/>
    <n v="0"/>
    <n v="269"/>
    <s v="116 MUNICIPIOS RESTITUYEN DERECHOS Y MEJORAN CALIDAD DE VIDA DE LAS VÍCTIMAS DEL CONFLICTO ARMADO"/>
    <m/>
    <s v=""/>
    <m/>
    <m/>
    <m/>
    <m/>
    <s v="SE SELECCIONARON 10 MUNICIPIOS QUE TIENEN MAYORES INDICES DE PRESION CADA ALCALDE DENTRO DE LOS SUBCOMITES DE ASISTENCIA Y ATENCION 10 FAMILIAS QUE SEGUN LOS CRITERIOS DE LA LEY SEGUN REQUISITOS"/>
    <n v="267000000"/>
    <m/>
    <n v="0"/>
  </r>
  <r>
    <n v="278"/>
    <x v="0"/>
    <x v="6"/>
    <x v="9"/>
    <s v="ATENCION HUMANITARIA"/>
    <s v="ATENDER DURANTE EL CUATRIENIO AL 100% DE LOS NIÑOS, NIÑAS Y ADOLESCENTES, ADULTO MAYOR Y PERSONAS CON DISCAPACIDAD MENTAL VÍCTIMAS DEL CONFLICTO ARMADO QUE LO REQUIERAN, EN LOS CENTROS DE PROTECCIÓN DE LA BENEFICENCIA DE CUNDINAMARCA."/>
    <s v="% DE PERSONAS ATENDIDAS"/>
    <s v="PORCENTAJE DE PERSONAS"/>
    <s v="M"/>
    <n v="100"/>
    <n v="100"/>
    <n v="100"/>
    <n v="0.16500000000000001"/>
    <n v="4.1250000000000002E-2"/>
    <n v="100"/>
    <n v="0.25"/>
    <n v="100"/>
    <n v="25"/>
    <n v="100"/>
    <n v="100"/>
    <n v="4.1250000000000002E-2"/>
    <n v="100"/>
    <n v="0"/>
    <n v="0"/>
    <n v="0"/>
    <n v="0"/>
    <n v="0"/>
    <n v="0"/>
    <n v="0"/>
    <n v="0"/>
    <n v="0"/>
    <n v="0"/>
    <n v="0"/>
    <n v="0"/>
    <n v="0"/>
    <n v="0"/>
    <n v="0"/>
    <n v="0"/>
    <n v="0"/>
    <n v="0"/>
    <n v="0"/>
    <n v="4.1250000000000002E-2"/>
    <n v="100"/>
    <n v="0.25"/>
    <n v="100"/>
    <n v="25"/>
    <n v="100"/>
    <n v="100"/>
    <n v="4.1250000000000002E-2"/>
    <n v="100"/>
    <n v="1118000000"/>
    <n v="0"/>
    <n v="1118000000"/>
    <n v="0"/>
    <n v="0"/>
    <n v="0"/>
    <n v="0"/>
    <n v="0"/>
    <n v="0"/>
    <n v="0"/>
    <n v="0"/>
    <n v="0"/>
    <n v="0"/>
    <n v="0"/>
    <n v="0"/>
    <n v="0"/>
    <n v="0"/>
    <n v="0"/>
    <n v="0"/>
    <n v="4.1250000000000002E-2"/>
    <n v="100"/>
    <n v="0.25"/>
    <n v="136"/>
    <n v="100"/>
    <n v="100"/>
    <n v="25"/>
    <n v="100"/>
    <n v="100"/>
    <n v="4.1250000000000002E-2"/>
    <n v="100"/>
    <n v="4.1250000000000002E-2"/>
    <n v="4.1250000000000002E-2"/>
    <n v="100"/>
    <n v="0.25"/>
    <n v="100"/>
    <n v="0"/>
    <n v="25"/>
    <n v="100"/>
    <n v="100"/>
    <n v="4.1250000000000002E-2"/>
    <n v="4.1250000000000002E-2"/>
    <n v="1200000000"/>
    <n v="1200000000"/>
    <n v="0"/>
    <n v="0"/>
    <n v="0"/>
    <n v="0"/>
    <n v="0"/>
    <n v="0"/>
    <n v="0"/>
    <n v="0"/>
    <n v="0"/>
    <n v="0"/>
    <n v="0"/>
    <n v="0"/>
    <n v="0"/>
    <n v="0"/>
    <n v="0"/>
    <n v="0"/>
    <n v="0"/>
    <n v="100"/>
    <n v="0.16500000000000001"/>
    <n v="100"/>
    <n v="100"/>
    <n v="0.16500000000000001"/>
    <n v="0.16500000000000001"/>
    <n v="0.16500000000000001"/>
    <n v="1"/>
    <n v="0"/>
    <n v="269"/>
    <s v="116 MUNICIPIOS RESTITUYEN DERECHOS Y MEJORAN CALIDAD DE VIDA DE LAS VÍCTIMAS DEL CONFLICTO ARMADO"/>
    <m/>
    <s v=""/>
    <m/>
    <m/>
    <m/>
    <m/>
    <s v="PROTEGIDOS 84 NIÑOS Y NIÑAS, 77 ADOLESCENTES, 1 ADULTA MAYOR Y 2 HOMBRES CON DISCAPACIDAD MENTAL."/>
    <n v="2379000000"/>
    <m/>
    <n v="4000"/>
  </r>
  <r>
    <n v="279"/>
    <x v="0"/>
    <x v="2"/>
    <x v="9"/>
    <s v="ATENCION INTEGRAL BASICA"/>
    <s v="FORTALECER DURANTE EL CUATRIENIO CINCO (5) PROYECTOS DE RETORNO EN EL DEPARTAMENTO DE CUNDINAMARCA EN EL PROCESO DE ARTICULACIÓN INTERINSTITUCIONAL, NACIÓN, DEPARTAMENTO Y MUNICIPIOS."/>
    <s v="NO. DE PROYECTOS DE RETORNO FORTALECIDOS"/>
    <s v="PROYECTOS"/>
    <s v="I"/>
    <n v="0"/>
    <n v="5"/>
    <n v="5"/>
    <n v="0.16500000000000001"/>
    <n v="0"/>
    <n v="0"/>
    <n v="0"/>
    <n v="0"/>
    <n v="0"/>
    <n v="0"/>
    <n v="0"/>
    <n v="0"/>
    <n v="0"/>
    <n v="0"/>
    <n v="0"/>
    <n v="0"/>
    <n v="0"/>
    <n v="0"/>
    <n v="0"/>
    <n v="0"/>
    <n v="0"/>
    <n v="0"/>
    <n v="0"/>
    <n v="0"/>
    <n v="0"/>
    <n v="0"/>
    <n v="0"/>
    <n v="0"/>
    <n v="0"/>
    <n v="0"/>
    <n v="0"/>
    <n v="0"/>
    <n v="3.3000000000000002E-2"/>
    <n v="1"/>
    <n v="0.2"/>
    <n v="1"/>
    <n v="1"/>
    <n v="100"/>
    <n v="100"/>
    <n v="3.3000000000000002E-2"/>
    <n v="100"/>
    <n v="0"/>
    <n v="0"/>
    <n v="0"/>
    <n v="0"/>
    <n v="0"/>
    <n v="0"/>
    <n v="0"/>
    <n v="0"/>
    <n v="0"/>
    <n v="0"/>
    <n v="0"/>
    <n v="0"/>
    <n v="0"/>
    <n v="0"/>
    <n v="0"/>
    <n v="0"/>
    <n v="0"/>
    <n v="0"/>
    <n v="0"/>
    <n v="6.6000000000000003E-2"/>
    <n v="2"/>
    <n v="0.4"/>
    <n v="6"/>
    <n v="6"/>
    <n v="6"/>
    <n v="6"/>
    <n v="300"/>
    <n v="100"/>
    <n v="6.6000000000000003E-2"/>
    <n v="100"/>
    <n v="0.19800000000000001"/>
    <n v="6.6000000000000003E-2"/>
    <n v="2"/>
    <n v="0.4"/>
    <n v="2"/>
    <n v="0"/>
    <n v="2"/>
    <n v="100"/>
    <n v="100"/>
    <n v="6.6000000000000003E-2"/>
    <n v="6.6000000000000003E-2"/>
    <n v="0"/>
    <n v="0"/>
    <n v="0"/>
    <n v="0"/>
    <n v="0"/>
    <n v="0"/>
    <n v="0"/>
    <n v="0"/>
    <n v="0"/>
    <n v="0"/>
    <n v="0"/>
    <n v="0"/>
    <n v="0"/>
    <n v="0"/>
    <n v="0"/>
    <n v="0"/>
    <n v="0"/>
    <n v="0"/>
    <n v="0"/>
    <n v="9"/>
    <n v="0.16500000000000001"/>
    <n v="180"/>
    <n v="100"/>
    <n v="0.16500000000000001"/>
    <n v="0.16500000000000001"/>
    <n v="0.16500000000000001"/>
    <n v="1"/>
    <n v="0"/>
    <n v="269"/>
    <s v="116 MUNICIPIOS RESTITUYEN DERECHOS Y MEJORAN CALIDAD DE VIDA DE LAS VÍCTIMAS DEL CONFLICTO ARMADO"/>
    <m/>
    <s v=""/>
    <m/>
    <m/>
    <m/>
    <m/>
    <s v="LOS DIAS 17 Y 18 DE JUNIO SE EFECTUO EL ACOMPAÑAMIENTO Y FORTALECIMEINTO REALIZADO EN EL MUNICIPIO DE LA PALMA. 100%"/>
    <n v="1372000000"/>
    <m/>
    <n v="50"/>
  </r>
  <r>
    <n v="280"/>
    <x v="0"/>
    <x v="1"/>
    <x v="9"/>
    <s v="ATENCION INTEGRAL BASICA"/>
    <s v="CONTRIBUIR A LA IDENTIFICACIÓN, REGISTRO CIVIL, TARJETA DE IDENTIDAD, CEDULAS DE CIUDADANÍA Y (LIBRETA MILITAR MAYORES DE 25 AÑOS) AL 100% DE LA PVCA, FOCALIZADOS Y PRIORIZADOS A TRAVÉS DE LA RED UNIDOS."/>
    <s v="% DE PERSONAS VCA CON DOCUMENTO DE IDENTIDAD Y LIBRETA MILITAR"/>
    <s v="PORCENTAJE DE PERSONAS"/>
    <s v="M"/>
    <n v="31969"/>
    <n v="100"/>
    <n v="100"/>
    <n v="8.8999999999999996E-2"/>
    <n v="2.2249999999999999E-2"/>
    <n v="100"/>
    <n v="0.25"/>
    <n v="0"/>
    <n v="0"/>
    <n v="0"/>
    <n v="0"/>
    <n v="0"/>
    <n v="0"/>
    <n v="0"/>
    <n v="0"/>
    <n v="0"/>
    <n v="0"/>
    <n v="0"/>
    <n v="0"/>
    <n v="0"/>
    <n v="0"/>
    <n v="0"/>
    <n v="0"/>
    <n v="0"/>
    <n v="0"/>
    <n v="0"/>
    <n v="0"/>
    <n v="0"/>
    <n v="0"/>
    <n v="0"/>
    <n v="0"/>
    <n v="0"/>
    <n v="2.2249999999999999E-2"/>
    <n v="100"/>
    <n v="0.25"/>
    <n v="100"/>
    <n v="25"/>
    <n v="100"/>
    <n v="100"/>
    <n v="2.2250000000000002E-2"/>
    <n v="100"/>
    <n v="11000000"/>
    <n v="0"/>
    <n v="3000000"/>
    <n v="0"/>
    <n v="0"/>
    <n v="0"/>
    <n v="0"/>
    <n v="8000000"/>
    <n v="0"/>
    <n v="0"/>
    <n v="0"/>
    <n v="0"/>
    <n v="0"/>
    <n v="0"/>
    <n v="0"/>
    <n v="0"/>
    <n v="0"/>
    <n v="0"/>
    <n v="0"/>
    <n v="2.2249999999999999E-2"/>
    <n v="100"/>
    <n v="0.25"/>
    <n v="40"/>
    <n v="40"/>
    <n v="100"/>
    <n v="25"/>
    <n v="100"/>
    <n v="100"/>
    <n v="2.2250000000000002E-2"/>
    <n v="100"/>
    <n v="2.2250000000000002E-2"/>
    <n v="2.2249999999999999E-2"/>
    <n v="100"/>
    <n v="0.25"/>
    <n v="100"/>
    <n v="0"/>
    <n v="25"/>
    <n v="100"/>
    <n v="100"/>
    <n v="2.2250000000000002E-2"/>
    <n v="2.2250000000000002E-2"/>
    <n v="14000000"/>
    <n v="6000000"/>
    <n v="0"/>
    <n v="0"/>
    <n v="0"/>
    <n v="0"/>
    <n v="0"/>
    <n v="8000000"/>
    <n v="0"/>
    <n v="0"/>
    <n v="0"/>
    <n v="0"/>
    <n v="0"/>
    <n v="0"/>
    <n v="0"/>
    <n v="0"/>
    <n v="0"/>
    <n v="0"/>
    <n v="0"/>
    <n v="75"/>
    <n v="8.8999999999999996E-2"/>
    <n v="75"/>
    <n v="75"/>
    <n v="6.6750000000000004E-2"/>
    <n v="6.6750000000000004E-2"/>
    <n v="6.6750000000000004E-2"/>
    <n v="1"/>
    <n v="0"/>
    <n v="200"/>
    <s v="ATENDER EN EL CUATRIENIO A 21,000 FAMILIAS DE LA RED UNIDOS CON SINERGIA DE SECTORES"/>
    <n v="202"/>
    <s v="30.000 FAMILIAS MAS SANAS Y FUERTES CON ACOMPAÑAMIENTO INSTITUCIONAL, FAMILIAR Y COMUNITARIO "/>
    <m/>
    <m/>
    <m/>
    <m/>
    <s v="EN ALIANZA CON LA REGISTRADURÍA Y LA RED UNIDOS, SE DESARROLLARON CAMPAÑAS DE IDENTIFICACIÓN A POBLACIÓN VULNERABLE EN LOS MUNICIPIOS DE FUSAGASUGÁ Y SOACHA, ATENDIENDO AL 100% DE LA POBLACIÓN QUE DEMANDÓ LOS SERVICIOS."/>
    <n v="6381000000"/>
    <m/>
    <n v="0"/>
  </r>
  <r>
    <n v="281"/>
    <x v="0"/>
    <x v="1"/>
    <x v="9"/>
    <s v="ATENCION INTEGRAL BASICA"/>
    <s v="FORTALECER DURANTE EL CUATRIENIO CON DINÁMICAS FAMILIARES AL 50% DE LAS FAMILIAS FOCALIZADAS E IDENTIFICADAS POR LA UNIDAD NACIONAL DE VÍCTIMAS, CON LA PROBLEMÁTICA DE VIOLENCIA INTRAFAMILIAR. (DERECHO DE ABORDAJE PSICOSOCIAL Y SALUD MENTAL)."/>
    <s v="% DE FAMILIAS VCA ATENDIDAS EN LA PROBLEMÁTICA DE VIOLENCIA INTRAFAMILIAR"/>
    <s v="PORCENTAJE DE FAMILIAS"/>
    <s v="M"/>
    <n v="0"/>
    <n v="50"/>
    <n v="50"/>
    <n v="0.16500000000000001"/>
    <n v="4.1250000000000002E-2"/>
    <n v="100"/>
    <n v="0.25"/>
    <n v="0"/>
    <n v="0"/>
    <n v="0"/>
    <n v="0"/>
    <n v="0"/>
    <n v="0"/>
    <n v="0"/>
    <n v="0"/>
    <n v="0"/>
    <n v="0"/>
    <n v="0"/>
    <n v="0"/>
    <n v="0"/>
    <n v="0"/>
    <n v="0"/>
    <n v="0"/>
    <n v="0"/>
    <n v="0"/>
    <n v="0"/>
    <n v="0"/>
    <n v="0"/>
    <n v="0"/>
    <n v="0"/>
    <n v="0"/>
    <n v="0"/>
    <n v="4.1250000000000002E-2"/>
    <n v="100"/>
    <n v="0.25"/>
    <n v="0"/>
    <n v="0"/>
    <n v="0"/>
    <n v="0"/>
    <n v="0"/>
    <n v="0"/>
    <n v="5000000"/>
    <n v="0"/>
    <n v="5000000"/>
    <n v="0"/>
    <n v="0"/>
    <n v="0"/>
    <n v="0"/>
    <n v="0"/>
    <n v="0"/>
    <n v="0"/>
    <n v="0"/>
    <n v="0"/>
    <n v="0"/>
    <n v="0"/>
    <n v="0"/>
    <n v="0"/>
    <n v="0"/>
    <n v="0"/>
    <n v="0"/>
    <n v="4.1250000000000002E-2"/>
    <n v="100"/>
    <n v="0.25"/>
    <n v="80"/>
    <n v="80"/>
    <n v="100"/>
    <n v="25"/>
    <n v="100"/>
    <n v="100"/>
    <n v="4.1250000000000002E-2"/>
    <n v="100"/>
    <n v="4.1250000000000002E-2"/>
    <n v="4.1250000000000002E-2"/>
    <n v="100"/>
    <n v="0.25"/>
    <n v="100"/>
    <n v="0"/>
    <n v="25"/>
    <n v="100"/>
    <n v="100"/>
    <n v="4.1250000000000002E-2"/>
    <n v="4.1250000000000002E-2"/>
    <n v="12000000"/>
    <n v="12000000"/>
    <n v="0"/>
    <n v="0"/>
    <n v="0"/>
    <n v="0"/>
    <n v="0"/>
    <n v="0"/>
    <n v="0"/>
    <n v="0"/>
    <n v="0"/>
    <n v="0"/>
    <n v="0"/>
    <n v="0"/>
    <n v="0"/>
    <n v="0"/>
    <n v="0"/>
    <n v="0"/>
    <n v="0"/>
    <n v="50"/>
    <n v="0.16500000000000001"/>
    <n v="100"/>
    <n v="100"/>
    <n v="0.16500000000000001"/>
    <n v="0.16500000000000001"/>
    <n v="0.16500000000000001"/>
    <n v="1"/>
    <n v="0"/>
    <n v="200"/>
    <s v="ATENDER EN EL CUATRIENIO A 21,000 FAMILIAS DE LA RED UNIDOS CON SINERGIA DE SECTORES"/>
    <n v="202"/>
    <s v="30.000 FAMILIAS MAS SANAS Y FUERTES CON ACOMPAÑAMIENTO INSTITUCIONAL, FAMILIAR Y COMUNITARIO "/>
    <n v="269"/>
    <m/>
    <m/>
    <m/>
    <s v="APROXIMADAMENTE 2 MIL PERSONAS FOCALIZADAS Y PRIORIZADAS EN ATENCIÓN PSICOSOCIAL Y ATENCIÓN JURÍDICAL DURANTE EL CUATRIENIO."/>
    <n v="929000000"/>
    <m/>
    <n v="1200"/>
  </r>
  <r>
    <n v="282"/>
    <x v="0"/>
    <x v="0"/>
    <x v="9"/>
    <s v="ATENCION INTEGRAL BASICA"/>
    <s v="MANTENER EN EL CUATRIENIO LAS ACCIONES DE PROMOCIÓN Y PREVENCIÓN EN SALUD MENTAL AL 100% DE LAS PERSONAS VÍCTIMAS DEL CONFLICTO ARMADO IDENTIFICADAS."/>
    <s v="% DE POBLACIÓN ATENDIDA CON SALUD MENTAL"/>
    <s v="PORCENTAJE DE PERSONAS"/>
    <s v="M"/>
    <n v="1"/>
    <n v="100"/>
    <n v="100"/>
    <n v="0.16500000000000001"/>
    <n v="4.1250000000000002E-2"/>
    <n v="100"/>
    <n v="0.25"/>
    <n v="100"/>
    <n v="25"/>
    <n v="100"/>
    <n v="100"/>
    <n v="4.1250000000000002E-2"/>
    <n v="100"/>
    <n v="41000000"/>
    <n v="41000000"/>
    <n v="0"/>
    <n v="0"/>
    <n v="0"/>
    <n v="0"/>
    <n v="0"/>
    <n v="0"/>
    <n v="43000000"/>
    <n v="0"/>
    <n v="0"/>
    <n v="0"/>
    <n v="0"/>
    <n v="0"/>
    <n v="0"/>
    <n v="43000000"/>
    <n v="0"/>
    <n v="0"/>
    <n v="0"/>
    <n v="4.1250000000000002E-2"/>
    <n v="100"/>
    <n v="0.25"/>
    <n v="100"/>
    <n v="25"/>
    <n v="100"/>
    <n v="100"/>
    <n v="4.1250000000000002E-2"/>
    <n v="100"/>
    <n v="0"/>
    <n v="0"/>
    <n v="0"/>
    <n v="0"/>
    <n v="0"/>
    <n v="0"/>
    <n v="0"/>
    <n v="0"/>
    <n v="1000000"/>
    <n v="0"/>
    <n v="1000000"/>
    <n v="0"/>
    <n v="0"/>
    <n v="0"/>
    <n v="0"/>
    <n v="0"/>
    <n v="0"/>
    <n v="0"/>
    <n v="0"/>
    <n v="4.1250000000000002E-2"/>
    <n v="100"/>
    <n v="0.25"/>
    <n v="100"/>
    <n v="100"/>
    <n v="100"/>
    <n v="25"/>
    <n v="100"/>
    <n v="100"/>
    <n v="4.1250000000000002E-2"/>
    <n v="100"/>
    <n v="4.1250000000000002E-2"/>
    <n v="4.1250000000000002E-2"/>
    <n v="100"/>
    <n v="0.25"/>
    <n v="100"/>
    <n v="0"/>
    <n v="25"/>
    <n v="100"/>
    <n v="100"/>
    <n v="4.1250000000000002E-2"/>
    <n v="4.1250000000000002E-2"/>
    <n v="0"/>
    <n v="0"/>
    <n v="0"/>
    <n v="0"/>
    <n v="0"/>
    <n v="0"/>
    <n v="0"/>
    <n v="0"/>
    <n v="0"/>
    <n v="0"/>
    <n v="0"/>
    <n v="0"/>
    <n v="0"/>
    <n v="0"/>
    <n v="0"/>
    <n v="0"/>
    <n v="0"/>
    <n v="0"/>
    <n v="0"/>
    <n v="100"/>
    <n v="0.16500000000000001"/>
    <n v="100"/>
    <n v="100"/>
    <n v="0.16500000000000001"/>
    <n v="0.16500000000000001"/>
    <n v="0.16500000000000001"/>
    <n v="1"/>
    <n v="0"/>
    <n v="269"/>
    <s v="116 MUNICIPIOS RESTITUYEN DERECHOS Y MEJORAN CALIDAD DE VIDA DE LAS VÍCTIMAS DEL CONFLICTO ARMADO"/>
    <m/>
    <s v=""/>
    <m/>
    <m/>
    <m/>
    <m/>
    <s v="AMPLIACION DEL PROGRAMA DE ATENCION PSICOSOCIAL Y SALUD INTEGRAL A VICTIMAS DEL CONFLICTO ARMADO PAVSIVI EN 14 MUNICIPIOS, LOGRANDO COBERTURA DE 2,800 PERSONAS VICTIMAS."/>
    <n v="4712000000"/>
    <m/>
    <n v="10"/>
  </r>
  <r>
    <n v="283"/>
    <x v="0"/>
    <x v="1"/>
    <x v="9"/>
    <s v="ATENCION INTEGRAL BASICA"/>
    <s v="ATENDER DURANTE EL CUATRIENIO AL 100% (73) DE LAS MUJERES GESTANTES, LACTANTES Y ADULTOS MAYORES EN RIESGO DE DESNUTRICIÓN VÍCTIMAS DEL CONFLICTO ARMADO, FOCALIZADAS Y PRIORIZADAS A TRAVÉS DE LA RED UNIDOS"/>
    <s v="% DE MUJERES ATENDIDAS"/>
    <s v="PORCENTAJE DE PERSONAS"/>
    <s v="M"/>
    <n v="100"/>
    <n v="100"/>
    <n v="100"/>
    <n v="0.16500000000000001"/>
    <n v="4.1250000000000002E-2"/>
    <n v="100"/>
    <n v="0.25"/>
    <n v="100"/>
    <n v="25"/>
    <n v="100"/>
    <n v="100"/>
    <n v="4.1250000000000002E-2"/>
    <n v="100"/>
    <n v="50000000"/>
    <n v="0"/>
    <n v="50000000"/>
    <n v="0"/>
    <n v="0"/>
    <n v="0"/>
    <n v="0"/>
    <n v="0"/>
    <n v="0"/>
    <n v="0"/>
    <n v="0"/>
    <n v="0"/>
    <n v="0"/>
    <n v="0"/>
    <n v="0"/>
    <n v="0"/>
    <n v="0"/>
    <n v="0"/>
    <n v="0"/>
    <n v="4.1250000000000002E-2"/>
    <n v="100"/>
    <n v="0.25"/>
    <n v="100"/>
    <n v="25"/>
    <n v="100"/>
    <n v="100"/>
    <n v="4.1250000000000002E-2"/>
    <n v="100"/>
    <n v="26000000"/>
    <n v="0"/>
    <n v="26000000"/>
    <n v="0"/>
    <n v="0"/>
    <n v="0"/>
    <n v="0"/>
    <n v="0"/>
    <n v="0"/>
    <n v="0"/>
    <n v="0"/>
    <n v="0"/>
    <n v="0"/>
    <n v="0"/>
    <n v="0"/>
    <n v="0"/>
    <n v="0"/>
    <n v="0"/>
    <n v="0"/>
    <n v="4.1250000000000002E-2"/>
    <n v="100"/>
    <n v="0.25"/>
    <n v="99"/>
    <n v="99"/>
    <n v="100"/>
    <n v="25"/>
    <n v="100"/>
    <n v="100"/>
    <n v="4.1250000000000002E-2"/>
    <n v="100"/>
    <n v="4.1250000000000002E-2"/>
    <n v="4.1250000000000002E-2"/>
    <n v="100"/>
    <n v="0.25"/>
    <n v="100"/>
    <n v="0"/>
    <n v="25"/>
    <n v="100"/>
    <n v="100"/>
    <n v="4.1250000000000002E-2"/>
    <n v="4.1250000000000002E-2"/>
    <n v="60000000"/>
    <n v="60000000"/>
    <n v="0"/>
    <n v="0"/>
    <n v="0"/>
    <n v="0"/>
    <n v="0"/>
    <n v="0"/>
    <n v="0"/>
    <n v="0"/>
    <n v="0"/>
    <n v="0"/>
    <n v="0"/>
    <n v="0"/>
    <n v="0"/>
    <n v="0"/>
    <n v="0"/>
    <n v="0"/>
    <n v="0"/>
    <n v="100"/>
    <n v="0.16500000000000001"/>
    <n v="100"/>
    <n v="100"/>
    <n v="0.16500000000000001"/>
    <n v="0.16500000000000001"/>
    <n v="0.16500000000000001"/>
    <n v="1"/>
    <n v="0"/>
    <n v="7"/>
    <s v="REDUCIR LA PREVALENCIA DE DESNUTRICIÓN GLOBAL EN NIÑOS Y NIÑAS MENORES DE 6 AÑOS A 3.5% EN EL CUATRIENIO"/>
    <n v="8"/>
    <s v="REDUCIR LA PREVALENCIA DE DESNUTRICIÓN CRÓNICA EN NIÑOS Y NIÑAS MENORES DE 6 AÑOS A 9,5% EN EL CUATRIENIO"/>
    <n v="179"/>
    <n v="269"/>
    <m/>
    <m/>
    <s v="EN EL MARCO DEL PROGRAMA NUTRIR, SE HAN BENEFICIADO 2.198 NIÑOS Y NIÑAS VICTIMAS DEL CONFLICTO ARMADO CON LA ENTREGA DE SUPLEMENTOS ALIMENTARIOS, FOCALIZADAS Y PRIORIZADAS POR EL MUNICIPIO. ASIMISMO, SE HAN BENEFICIADO 76 ADULTOS MAYORES EN PROGRAMAS DE SEGURIDAD ALIMENTARIA."/>
    <n v="247000000"/>
    <m/>
    <n v="0"/>
  </r>
  <r>
    <n v="284"/>
    <x v="0"/>
    <x v="1"/>
    <x v="9"/>
    <s v="ATENCION INTEGRAL BASICA"/>
    <s v="ATENDER DURANTE EL CUATRIENIO AL 100% (32) DE LOS NIÑOS Y NIÑAS MENORES DE CINCO AÑOS EN RIESGO DE DESNUTRICIÓN VÍCTIMAS DEL CONFLICTO ARMADO, FOCALIZADOS Y PRIORIZADOS A TRAVÉS DE LA RED UNIDOS."/>
    <s v="% DE NN ATENDIDOS"/>
    <s v="PORCENTAJE DE PERSONAS"/>
    <s v="M"/>
    <n v="100"/>
    <n v="100"/>
    <n v="100"/>
    <n v="0.16500000000000001"/>
    <n v="4.1250000000000002E-2"/>
    <n v="100"/>
    <n v="0.25"/>
    <n v="100"/>
    <n v="25"/>
    <n v="100"/>
    <n v="100"/>
    <n v="4.1250000000000002E-2"/>
    <n v="100"/>
    <n v="0"/>
    <n v="0"/>
    <n v="0"/>
    <n v="0"/>
    <n v="0"/>
    <n v="0"/>
    <n v="0"/>
    <n v="0"/>
    <n v="0"/>
    <n v="0"/>
    <n v="0"/>
    <n v="0"/>
    <n v="0"/>
    <n v="0"/>
    <n v="0"/>
    <n v="0"/>
    <n v="0"/>
    <n v="0"/>
    <n v="0"/>
    <n v="4.1250000000000002E-2"/>
    <n v="100"/>
    <n v="0.25"/>
    <n v="100"/>
    <n v="25"/>
    <n v="100"/>
    <n v="100"/>
    <n v="4.1250000000000002E-2"/>
    <n v="100"/>
    <n v="26000000"/>
    <n v="0"/>
    <n v="26000000"/>
    <n v="0"/>
    <n v="0"/>
    <n v="0"/>
    <n v="0"/>
    <n v="0"/>
    <n v="0"/>
    <n v="0"/>
    <n v="0"/>
    <n v="0"/>
    <n v="0"/>
    <n v="0"/>
    <n v="0"/>
    <n v="0"/>
    <n v="0"/>
    <n v="0"/>
    <n v="0"/>
    <n v="4.1250000000000002E-2"/>
    <n v="100"/>
    <n v="0.25"/>
    <n v="100"/>
    <n v="100"/>
    <n v="100"/>
    <n v="25"/>
    <n v="100"/>
    <n v="100"/>
    <n v="4.1250000000000002E-2"/>
    <n v="100"/>
    <n v="4.1250000000000002E-2"/>
    <n v="4.1250000000000002E-2"/>
    <n v="100"/>
    <n v="0.25"/>
    <n v="100"/>
    <n v="0"/>
    <n v="25"/>
    <n v="100"/>
    <n v="100"/>
    <n v="4.1250000000000002E-2"/>
    <n v="4.1250000000000002E-2"/>
    <n v="60000000"/>
    <n v="60000000"/>
    <n v="0"/>
    <n v="0"/>
    <n v="0"/>
    <n v="0"/>
    <n v="0"/>
    <n v="0"/>
    <n v="0"/>
    <n v="0"/>
    <n v="0"/>
    <n v="0"/>
    <n v="0"/>
    <n v="0"/>
    <n v="0"/>
    <n v="0"/>
    <n v="0"/>
    <n v="0"/>
    <n v="0"/>
    <n v="100"/>
    <n v="0.16500000000000001"/>
    <n v="100"/>
    <n v="100"/>
    <n v="0.16500000000000001"/>
    <n v="0.16500000000000001"/>
    <n v="0.16500000000000001"/>
    <n v="1"/>
    <n v="0"/>
    <n v="7"/>
    <s v="REDUCIR LA PREVALENCIA DE DESNUTRICIÓN GLOBAL EN NIÑOS Y NIÑAS MENORES DE 6 AÑOS A 3.5% EN EL CUATRIENIO"/>
    <n v="8"/>
    <s v="REDUCIR LA PREVALENCIA DE DESNUTRICIÓN CRÓNICA EN NIÑOS Y NIÑAS MENORES DE 6 AÑOS A 9,5% EN EL CUATRIENIO"/>
    <n v="269"/>
    <m/>
    <m/>
    <m/>
    <s v="EN EL MARCO DEL PROGRAMA NUTRIR, SE HAN BENEFICIADO 860 MADRES GESTANTES Y LACTANTES VICTIMAS DEL CONFLICTO ARMADO, FOCALIZADAS Y PRIORIZADAS POR EL MUNICIPIO, CON ENTREGA DE SUPLEMENTOS ALIMENTARIOS."/>
    <n v="210000000"/>
    <m/>
    <n v="3"/>
  </r>
  <r>
    <n v="285"/>
    <x v="0"/>
    <x v="1"/>
    <x v="9"/>
    <s v="ATENCION INTEGRAL BASICA"/>
    <s v="ATENDER DURANTE EL CUATRENIO CON ESTRATEGIA INTEGRAL DE ACOMPAÑAMIENTO AL 50% LAS FAMILIAS FOCALIZADAS DE LAS PERSONAS VCA CON CONDICIÓN DE DISCAPACIDAD QUE LO REQUIERAN. (DERECHO A LA ATENCIÓN DIFERENCIA)."/>
    <s v="% DE FAMILIAS VCA CON INTEGRANTES CON DISCAPACIDAD ATENDIDAS"/>
    <s v="PORCENTAJE DE FAMILIAS"/>
    <s v="M"/>
    <n v="0"/>
    <n v="50"/>
    <n v="50"/>
    <n v="0.16500000000000001"/>
    <n v="4.1250000000000002E-2"/>
    <n v="100"/>
    <n v="0.25"/>
    <n v="100"/>
    <n v="25"/>
    <n v="100"/>
    <n v="100"/>
    <n v="4.1250000000000002E-2"/>
    <n v="100"/>
    <n v="0"/>
    <n v="0"/>
    <n v="0"/>
    <n v="0"/>
    <n v="0"/>
    <n v="0"/>
    <n v="0"/>
    <n v="0"/>
    <n v="0"/>
    <n v="0"/>
    <n v="0"/>
    <n v="0"/>
    <n v="0"/>
    <n v="0"/>
    <n v="0"/>
    <n v="0"/>
    <n v="0"/>
    <n v="0"/>
    <n v="0"/>
    <n v="4.1250000000000002E-2"/>
    <n v="100"/>
    <n v="0.25"/>
    <n v="100"/>
    <n v="25"/>
    <n v="100"/>
    <n v="100"/>
    <n v="4.1250000000000002E-2"/>
    <n v="100"/>
    <n v="15500000"/>
    <n v="0"/>
    <n v="13000000"/>
    <n v="0"/>
    <n v="0"/>
    <n v="0"/>
    <n v="0"/>
    <n v="2500000"/>
    <n v="0"/>
    <n v="0"/>
    <n v="0"/>
    <n v="0"/>
    <n v="0"/>
    <n v="0"/>
    <n v="0"/>
    <n v="0"/>
    <n v="0"/>
    <n v="0"/>
    <n v="0"/>
    <n v="4.1250000000000002E-2"/>
    <n v="100"/>
    <n v="0.25"/>
    <n v="50"/>
    <n v="60"/>
    <n v="100"/>
    <n v="25"/>
    <n v="100"/>
    <n v="100"/>
    <n v="4.1250000000000002E-2"/>
    <n v="100"/>
    <n v="4.1250000000000002E-2"/>
    <n v="4.1250000000000002E-2"/>
    <n v="100"/>
    <n v="0.25"/>
    <n v="100"/>
    <n v="0"/>
    <n v="25"/>
    <n v="100"/>
    <n v="100"/>
    <n v="4.1250000000000002E-2"/>
    <n v="4.1250000000000002E-2"/>
    <n v="32500000"/>
    <n v="30000000"/>
    <n v="0"/>
    <n v="0"/>
    <n v="0"/>
    <n v="0"/>
    <n v="0"/>
    <n v="2500000"/>
    <n v="0"/>
    <n v="0"/>
    <n v="0"/>
    <n v="0"/>
    <n v="0"/>
    <n v="0"/>
    <n v="0"/>
    <n v="0"/>
    <n v="0"/>
    <n v="0"/>
    <n v="0"/>
    <n v="100"/>
    <n v="0.16500000000000001"/>
    <n v="200"/>
    <n v="100"/>
    <n v="0.16500000000000001"/>
    <n v="0.16500000000000001"/>
    <n v="0.16500000000000001"/>
    <n v="1"/>
    <n v="0"/>
    <n v="269"/>
    <s v="116 MUNICIPIOS RESTITUYEN DERECHOS Y MEJORAN CALIDAD DE VIDA DE LAS VÍCTIMAS DEL CONFLICTO ARMADO"/>
    <m/>
    <s v=""/>
    <m/>
    <m/>
    <m/>
    <m/>
    <s v="SE BRINDÓ ATENCIÓN DIFERENCIADA A LA POBLACIÓN VÍCTIMA DEL CONFLICTO ARMADO EN LOS MUNICIPIOS PRIORIZADOS POR LA SECRETARIA DE DESARROLLO SOCIAL (VIOTÁ, SESQUILÉ, LA PALMA Y TOPAIPI) EN ATENCIÓN PSICOSOCIAL, ATENCIÓN JURÍDICA, Y ASISTENCIA TÉCNICA PARA PROYECTOS PRODUCTIVOS. SE ADELANTÓ EN 5 MUNICIPIOS DEL DEPARTAMENTO EL DISEÑO, IMPLEMENTACIÓN Y LA SOCIALIZACIÓN DE LA CAMPAÑA PARA PROMOVER LOS DERECHOS DE LA POBLACIÓN EN CONDICIÓN DE DISCPACACIDAD VCA. "/>
    <n v="799000000"/>
    <m/>
    <n v="4"/>
  </r>
  <r>
    <n v="286"/>
    <x v="0"/>
    <x v="0"/>
    <x v="9"/>
    <s v="ATENCION INTEGRAL BASICA"/>
    <s v="GESTIONAR EL ACCESO A LA PRESTACIÓN DE SERVICIOS DE SALUD AL 100% DE LA POBLACIÓN VÍCTIMA DEL CONFLICTO ARMADO QUE DEMANDE SERVICIOS DE URGENCIAS COMO NO ASEGURADOS Y LOS AFILIADOS AL RS EN LO NO CUBIERTO POR SUBSIDIOS A LA DEMANDA DEL DEPARTAMENTO"/>
    <s v="% DE POBLACIÓN VINCULADA"/>
    <s v="PORCENTAJE DE PERSONAS"/>
    <s v="M"/>
    <n v="100"/>
    <n v="100"/>
    <n v="100"/>
    <n v="0.16500000000000001"/>
    <n v="4.1250000000000002E-2"/>
    <n v="100"/>
    <n v="0.25"/>
    <n v="100"/>
    <n v="25"/>
    <n v="100"/>
    <n v="100"/>
    <n v="4.1250000000000002E-2"/>
    <n v="100"/>
    <n v="6000000"/>
    <n v="6000000"/>
    <n v="0"/>
    <n v="0"/>
    <n v="0"/>
    <n v="0"/>
    <n v="0"/>
    <n v="0"/>
    <n v="0"/>
    <n v="0"/>
    <n v="0"/>
    <n v="0"/>
    <n v="0"/>
    <n v="0"/>
    <n v="0"/>
    <n v="0"/>
    <n v="0"/>
    <n v="0"/>
    <n v="0"/>
    <n v="4.1250000000000002E-2"/>
    <n v="100"/>
    <n v="0.25"/>
    <n v="100"/>
    <n v="25"/>
    <n v="100"/>
    <n v="100"/>
    <n v="4.1250000000000002E-2"/>
    <n v="100"/>
    <n v="2021000000"/>
    <n v="1921000000"/>
    <n v="100000000"/>
    <n v="0"/>
    <n v="0"/>
    <n v="0"/>
    <n v="0"/>
    <n v="0"/>
    <n v="150000000"/>
    <n v="0"/>
    <n v="150000000"/>
    <n v="0"/>
    <n v="0"/>
    <n v="0"/>
    <n v="0"/>
    <n v="0"/>
    <n v="0"/>
    <n v="0"/>
    <n v="0"/>
    <n v="4.1250000000000002E-2"/>
    <n v="100"/>
    <n v="0.25"/>
    <n v="100"/>
    <n v="100"/>
    <n v="100"/>
    <n v="25"/>
    <n v="100"/>
    <n v="100"/>
    <n v="4.1250000000000002E-2"/>
    <n v="100"/>
    <n v="4.1250000000000002E-2"/>
    <n v="4.1250000000000002E-2"/>
    <n v="100"/>
    <n v="0.25"/>
    <n v="100"/>
    <n v="0"/>
    <n v="25"/>
    <n v="100"/>
    <n v="100"/>
    <n v="4.1250000000000002E-2"/>
    <n v="4.1250000000000002E-2"/>
    <n v="2021000000"/>
    <n v="100000000"/>
    <n v="1921000000"/>
    <n v="0"/>
    <n v="0"/>
    <n v="0"/>
    <n v="0"/>
    <n v="0"/>
    <n v="0"/>
    <n v="0"/>
    <n v="0"/>
    <n v="0"/>
    <n v="0"/>
    <n v="0"/>
    <n v="0"/>
    <n v="0"/>
    <n v="0"/>
    <n v="0"/>
    <n v="0"/>
    <n v="100"/>
    <n v="0.16500000000000001"/>
    <n v="100"/>
    <n v="100"/>
    <n v="0.16500000000000001"/>
    <n v="0.16500000000000001"/>
    <n v="0.16500000000000001"/>
    <n v="1"/>
    <n v="0"/>
    <n v="203"/>
    <s v="LOGAR QUE EL 80% DE LOS ENTES TERRITORIALES MUNICIPALES, LAS ENTIDADES RESPONSABLES DE PAGO Y LA RED CONTRATADA POR EL DEPARTAMENTO MEJOREN LOS RESULTADOS EN EL ASEGURAMIENTO Y LA PRESTACIÓN DE SERVICIOS DE SALUD"/>
    <m/>
    <s v=""/>
    <m/>
    <m/>
    <m/>
    <m/>
    <s v="A TRAVÉS DE LA CONTRATACIÓN DE SERVICIOS DE SALUD CON LAS ESE DE LA RED ADSCRITA AL DEPARTAMENTO Y LAS ESE/IPS PÚBLICAS Y PRIVADAS NO ADSCRITAS, SE LOGRÓ LA PRESTACIÓN DE LOS SERVICIOS DE LA POBLACIÓN VÍCTIMA DEL CONFLICTO ARMADO QUE DEMANDÓ EVENTOS EN SALUD NO CUBIERTOS POR SUBSIDIOS A LA DEMANDA Y LAS URGENCIAS DE LOS NO AFILIADOS EN EL DEPARTAMENTO."/>
    <n v="5000000000"/>
    <m/>
    <n v="6"/>
  </r>
  <r>
    <n v="287"/>
    <x v="0"/>
    <x v="0"/>
    <x v="9"/>
    <s v="ATENCION INTEGRAL BASICA"/>
    <s v="PROMOVER LA AFILIACIÓN AL SGSSS AL 100% DE LA POBLACIÓN VÍCTIMA DEL CONFLICTO ARMADO QUE RESIDE EN EL DEPARTAMENTO MEDIANTE LA ESTRATEGIA CUNDINAMARCA ASEGURADA Y SALUDABLE."/>
    <s v="% DE POBLACIÓN VCA AFILIADA AL SGSSS"/>
    <s v="PUNTOS PORCENTUALES"/>
    <s v="I"/>
    <n v="56"/>
    <n v="100"/>
    <n v="44"/>
    <n v="0.16500000000000001"/>
    <n v="1.5000000000000001E-2"/>
    <n v="4"/>
    <n v="9.0909090909090912E-2"/>
    <n v="15"/>
    <n v="15"/>
    <n v="375"/>
    <n v="100"/>
    <n v="1.5000000000000003E-2"/>
    <n v="100"/>
    <n v="6500000"/>
    <n v="6500000"/>
    <n v="0"/>
    <n v="0"/>
    <n v="0"/>
    <n v="0"/>
    <n v="0"/>
    <n v="0"/>
    <n v="0"/>
    <n v="0"/>
    <n v="0"/>
    <n v="0"/>
    <n v="0"/>
    <n v="0"/>
    <n v="0"/>
    <n v="0"/>
    <n v="0"/>
    <n v="0"/>
    <n v="0"/>
    <n v="5.6250000000000001E-2"/>
    <n v="15"/>
    <n v="0.34090909090909088"/>
    <n v="15"/>
    <n v="15"/>
    <n v="100"/>
    <n v="100"/>
    <n v="5.6250000000000001E-2"/>
    <n v="100"/>
    <n v="65000000"/>
    <n v="0"/>
    <n v="65000000"/>
    <n v="0"/>
    <n v="0"/>
    <n v="0"/>
    <n v="0"/>
    <n v="0"/>
    <n v="0"/>
    <n v="0"/>
    <n v="0"/>
    <n v="0"/>
    <n v="0"/>
    <n v="0"/>
    <n v="0"/>
    <n v="0"/>
    <n v="0"/>
    <n v="0"/>
    <n v="0"/>
    <n v="7.4999999999999997E-2"/>
    <n v="20"/>
    <n v="0.45454545454545453"/>
    <n v="10"/>
    <n v="7"/>
    <n v="20"/>
    <n v="20"/>
    <n v="100"/>
    <n v="100"/>
    <n v="7.4999999999999997E-2"/>
    <n v="100"/>
    <n v="7.4999999999999997E-2"/>
    <n v="1.8749999999999999E-2"/>
    <n v="5"/>
    <n v="0.11363636363636363"/>
    <n v="100"/>
    <n v="-95"/>
    <n v="100"/>
    <n v="2000"/>
    <n v="100"/>
    <n v="1.8749999999999999E-2"/>
    <n v="0.375"/>
    <n v="150000000"/>
    <n v="150000000"/>
    <n v="0"/>
    <n v="0"/>
    <n v="0"/>
    <n v="0"/>
    <n v="0"/>
    <n v="0"/>
    <n v="0"/>
    <n v="0"/>
    <n v="0"/>
    <n v="0"/>
    <n v="0"/>
    <n v="0"/>
    <n v="0"/>
    <n v="0"/>
    <n v="0"/>
    <n v="0"/>
    <n v="0"/>
    <n v="150"/>
    <n v="0.16499999999999998"/>
    <n v="340.90909090909093"/>
    <n v="100"/>
    <n v="0.16500000000000001"/>
    <n v="0.16500000000000001"/>
    <n v="0.16500000000000001"/>
    <n v="0.99999999999999989"/>
    <n v="0"/>
    <n v="203"/>
    <s v="LOGAR QUE EL 80% DE LOS ENTES TERRITORIALES MUNICIPALES, LAS ENTIDADES RESPONSABLES DE PAGO Y LA RED CONTRATADA POR EL DEPARTAMENTO MEJOREN LOS RESULTADOS EN EL ASEGURAMIENTO Y LA PRESTACIÓN DE SERVICIOS DE SALUD"/>
    <m/>
    <s v=""/>
    <m/>
    <m/>
    <m/>
    <m/>
    <s v="LA LÍNEA BASE DE LA POBLACIÓN IDENTIFICADA EN EL DEPARTAMENTO COMO VÍCTIMAS DEL CONFLICTO ARMADO A 31 DE DICIEMBRE DEL 2011 FUE DE 56.786, DE LOS CUALES EL 56% ESTABAN AFILIADOS AL SGSSS, LA META PARA EL PRESENTE CUATRIENIO FUE LA DE ALCANZAR EL 100% DE LA COBERTURA CON RESPECTO A LA LÍNEA BASE. EN LA ACTUALIDAD, EL NÚMERO DE AFILIADOS ES DE 58.278, ES DECIR QUE CON RELACIÓN A LOS USUARIOS IDENTIFICADOS EN LA LÍNEA BASE YA SE CUMPLIÓ CON LA META DE AFILIACIÓN, Y HAY UN AVANCE EN LA AFILIACIÓN CON RELACIÓN A OTRAS VÍCTIMAS QUE HAN LLEGADO A CUNDINAMARCA. _x000a__x000a_O AFILIACIÓN AL RÉGIMEN SUBSIDIADO (RS): 39.520 PERSONAS AFILIADAS AL RS. _x000a_O AFILIACIÓN AL RÉGIMEN CONTRIBUTIVO (RC): 18.758 PERSONAS AFILIADAS AL RC."/>
    <n v="14415000000"/>
    <m/>
    <n v="2000"/>
  </r>
  <r>
    <n v="288"/>
    <x v="0"/>
    <x v="0"/>
    <x v="9"/>
    <s v="ATENCION INTEGRAL BASICA"/>
    <s v="IMPLEMENTAR LA ASISTENCIA TÉCNICA EN EL MARCO DE LA ATENCIÓN DEL SISTEMA GENERAL DE SEGURIDAD SOCIAL EN SALUD EN EL 50% DE LOS MUNICIPIOS Y LAS EMPRESAS ADMINISTRADORAS DE PLANES DE BENEFICIOS."/>
    <s v="% ENTES TERRITORIALES Y APB CON ASISTENCIA TÉCNICA IMPLEMENTADA"/>
    <s v="PORCENTAJE DE MUNICIPIOS"/>
    <s v="I"/>
    <n v="10"/>
    <n v="60"/>
    <n v="50"/>
    <n v="0.16500000000000001"/>
    <n v="1.6500000000000001E-2"/>
    <n v="5"/>
    <n v="0.1"/>
    <n v="5"/>
    <n v="5"/>
    <n v="100"/>
    <n v="100"/>
    <n v="1.6500000000000001E-2"/>
    <n v="100"/>
    <n v="0"/>
    <n v="0"/>
    <n v="0"/>
    <n v="0"/>
    <n v="0"/>
    <n v="0"/>
    <n v="0"/>
    <n v="0"/>
    <n v="0"/>
    <n v="0"/>
    <n v="0"/>
    <n v="0"/>
    <n v="0"/>
    <n v="0"/>
    <n v="0"/>
    <n v="0"/>
    <n v="0"/>
    <n v="0"/>
    <n v="0"/>
    <n v="6.6000000000000003E-2"/>
    <n v="20"/>
    <n v="0.4"/>
    <n v="20"/>
    <n v="20"/>
    <n v="100"/>
    <n v="100"/>
    <n v="6.6000000000000003E-2"/>
    <n v="100"/>
    <n v="65000000"/>
    <n v="0"/>
    <n v="65000000"/>
    <n v="0"/>
    <n v="0"/>
    <n v="0"/>
    <n v="0"/>
    <n v="0"/>
    <n v="0"/>
    <n v="0"/>
    <n v="0"/>
    <n v="0"/>
    <n v="0"/>
    <n v="0"/>
    <n v="0"/>
    <n v="0"/>
    <n v="0"/>
    <n v="0"/>
    <n v="0"/>
    <n v="6.6000000000000003E-2"/>
    <n v="20"/>
    <n v="0.4"/>
    <n v="10"/>
    <n v="15"/>
    <n v="20"/>
    <n v="20"/>
    <n v="100"/>
    <n v="100"/>
    <n v="6.6000000000000003E-2"/>
    <n v="100"/>
    <n v="6.6000000000000003E-2"/>
    <n v="1.6500000000000001E-2"/>
    <n v="5"/>
    <n v="0.1"/>
    <n v="5"/>
    <n v="0"/>
    <n v="5"/>
    <n v="100"/>
    <n v="100"/>
    <n v="1.6500000000000001E-2"/>
    <n v="1.6500000000000001E-2"/>
    <n v="150000000"/>
    <n v="150000000"/>
    <n v="0"/>
    <n v="0"/>
    <n v="0"/>
    <n v="0"/>
    <n v="0"/>
    <n v="0"/>
    <n v="0"/>
    <n v="0"/>
    <n v="0"/>
    <n v="0"/>
    <n v="0"/>
    <n v="0"/>
    <n v="0"/>
    <n v="0"/>
    <n v="0"/>
    <n v="0"/>
    <n v="0"/>
    <n v="50"/>
    <n v="0.16500000000000004"/>
    <n v="100"/>
    <n v="100"/>
    <n v="0.16500000000000001"/>
    <n v="0.16500000000000001"/>
    <n v="0.16500000000000001"/>
    <n v="1"/>
    <n v="0"/>
    <n v="203"/>
    <s v="LOGAR QUE EL 80% DE LOS ENTES TERRITORIALES MUNICIPALES, LAS ENTIDADES RESPONSABLES DE PAGO Y LA RED CONTRATADA POR EL DEPARTAMENTO MEJOREN LOS RESULTADOS EN EL ASEGURAMIENTO Y LA PRESTACIÓN DE SERVICIOS DE SALUD"/>
    <m/>
    <s v=""/>
    <m/>
    <m/>
    <m/>
    <m/>
    <s v="SE HA LOGRADO ESTABLECER UN CONTACTO PERSONALIZADO EN EL MARCO DE LA ASISTENCIA TÉCNICA, LA CUAL VA ORIENTADA A RESOLVER LAS CONSULTAS, INQUIETUDES, DUDAS Y SEGUIMIENTOS, A TRAVÉS DE CONSULTAS PRESENCIALES Y CONVOCATORIA GENERAL, EN DONDE SE TRATAN TEMAS SOBRE LOS DISTINTOS ASPECTOS LEGALES Y DE OPERACIÓN CON RESPECTO A LA AFILIACIÓN EN SALUD DE LA POBLACIÓN EN GENERAL Y POBLACIÓN ESPECIAL, INCLUYENDO LA POBLACIÓN VÍCTIMA, ESTO CON EL FIN DE FORTALECER Y CONSOLIDAR LOS PROCESOS DE GESTIÓN MUNICIPAL Y EL AVANCE DE LOS PROCESOS DEL ASEGURAMIENTO DE LA POBLACIÓN VÍCTIMA, DESARROLLO Y LA EVALUACIÓN DE LOS PLANES DE MEJORAMIENTO DE LA GESTIÓN INSTITUCIONAL. "/>
    <n v="2410000000"/>
    <m/>
    <n v="4"/>
  </r>
  <r>
    <n v="289"/>
    <x v="0"/>
    <x v="0"/>
    <x v="9"/>
    <s v="ATENCION INTEGRAL BASICA"/>
    <s v="MANTENER EN EL CUATRIENIO LAS ACCIONES DE PROMOCIÓN Y PREVENCIÓN EN VACUNACIÓN AL 100% DE LAS PERSONAS VÍCTIMAS DEL CONFLICTO ARMADO IDENTIFICADAS."/>
    <s v="% DE POBLACIÓN VCA ATENDIDA CON VACUNACIÓN"/>
    <s v="PORCENTAJE DE PERSONAS"/>
    <s v="M"/>
    <n v="100"/>
    <n v="100"/>
    <n v="100"/>
    <n v="0.16500000000000001"/>
    <n v="4.1250000000000002E-2"/>
    <n v="100"/>
    <n v="0.25"/>
    <n v="100"/>
    <n v="25"/>
    <n v="100"/>
    <n v="100"/>
    <n v="4.1250000000000002E-2"/>
    <n v="100"/>
    <n v="30000000"/>
    <n v="30000000"/>
    <n v="0"/>
    <n v="0"/>
    <n v="0"/>
    <n v="0"/>
    <n v="0"/>
    <n v="0"/>
    <n v="0"/>
    <n v="0"/>
    <n v="0"/>
    <n v="0"/>
    <n v="0"/>
    <n v="0"/>
    <n v="0"/>
    <n v="0"/>
    <n v="0"/>
    <n v="0"/>
    <n v="0"/>
    <n v="4.1250000000000002E-2"/>
    <n v="100"/>
    <n v="0.25"/>
    <n v="100"/>
    <n v="25"/>
    <n v="100"/>
    <n v="100"/>
    <n v="4.1250000000000002E-2"/>
    <n v="100"/>
    <n v="48000000"/>
    <n v="0"/>
    <n v="48000000"/>
    <n v="0"/>
    <n v="0"/>
    <n v="0"/>
    <n v="0"/>
    <n v="0"/>
    <n v="33551666"/>
    <n v="33225000"/>
    <n v="326666"/>
    <n v="0"/>
    <n v="0"/>
    <n v="0"/>
    <n v="0"/>
    <n v="0"/>
    <n v="0"/>
    <n v="0"/>
    <n v="0"/>
    <n v="4.1250000000000002E-2"/>
    <n v="100"/>
    <n v="0.25"/>
    <n v="100"/>
    <n v="100"/>
    <n v="100"/>
    <n v="25"/>
    <n v="100"/>
    <n v="100"/>
    <n v="4.1250000000000002E-2"/>
    <n v="100"/>
    <n v="4.1250000000000002E-2"/>
    <n v="4.1250000000000002E-2"/>
    <n v="100"/>
    <n v="0.25"/>
    <n v="100"/>
    <n v="0"/>
    <n v="25"/>
    <n v="100"/>
    <n v="100"/>
    <n v="4.1250000000000002E-2"/>
    <n v="4.1250000000000002E-2"/>
    <n v="110000000"/>
    <n v="110000000"/>
    <n v="0"/>
    <n v="0"/>
    <n v="0"/>
    <n v="0"/>
    <n v="0"/>
    <n v="0"/>
    <n v="0"/>
    <n v="0"/>
    <n v="0"/>
    <n v="0"/>
    <n v="0"/>
    <n v="0"/>
    <n v="0"/>
    <n v="0"/>
    <n v="0"/>
    <n v="0"/>
    <n v="0"/>
    <n v="100"/>
    <n v="0.16500000000000001"/>
    <n v="100"/>
    <n v="100"/>
    <n v="0.16500000000000001"/>
    <n v="0.16500000000000001"/>
    <n v="0.16500000000000001"/>
    <n v="1"/>
    <n v="0"/>
    <n v="269"/>
    <s v="116 MUNICIPIOS RESTITUYEN DERECHOS Y MEJORAN CALIDAD DE VIDA DE LAS VÍCTIMAS DEL CONFLICTO ARMADO"/>
    <m/>
    <s v=""/>
    <m/>
    <m/>
    <m/>
    <m/>
    <s v="FORTALECIMIENTO DE UN PROCESO OPORTUNO DE SEGUIMIENTO A LAS ACCIONES DIRIGIDAS A LA POBLACION VICTIMA EN LO QUE RESPECTA A LAS MEDIDAS DE ASISTENCIA Y ATENCION, PERMITIENDO LA AMPLIACION DE COBERTURA EN LOS PROGRAMAS DE VACUNACION CON UN TOTAL DE 7,678 PERSONAS VICTIMAS ATENDIDAS."/>
    <n v="1324000000"/>
    <m/>
    <n v="0"/>
  </r>
  <r>
    <n v="290"/>
    <x v="0"/>
    <x v="0"/>
    <x v="9"/>
    <s v="ATENCION INTEGRAL BASICA"/>
    <s v="MANTENER EN EL CUATRIENIO LAS ACCIONES DE PROMOCIÓN Y PREVENCIÓN EN SALUD SEXUAL Y REPRODUCTIVA AL 100% DE LAS PERSONAS VÍCTIMAS DEL CONFLICTO ARMADO IDENTIFICADAS."/>
    <s v="% DE POBLACIÓN VCA ATENDIDA EN SALUD SEXUAL Y REPRODUCTIVA"/>
    <s v="PORCENTAJE DE PERSONAS"/>
    <s v="M"/>
    <n v="100"/>
    <n v="100"/>
    <n v="100"/>
    <n v="0.16500000000000001"/>
    <n v="4.1250000000000002E-2"/>
    <n v="100"/>
    <n v="0.25"/>
    <n v="100"/>
    <n v="25"/>
    <n v="100"/>
    <n v="100"/>
    <n v="4.1250000000000002E-2"/>
    <n v="100"/>
    <n v="107436000"/>
    <n v="62199000"/>
    <n v="0"/>
    <n v="45237000"/>
    <n v="0"/>
    <n v="0"/>
    <n v="0"/>
    <n v="0"/>
    <n v="133020000"/>
    <n v="133020000"/>
    <n v="0"/>
    <n v="0"/>
    <n v="0"/>
    <n v="0"/>
    <n v="0"/>
    <n v="0"/>
    <n v="0"/>
    <n v="0"/>
    <n v="0"/>
    <n v="4.1250000000000002E-2"/>
    <n v="100"/>
    <n v="0.25"/>
    <n v="100"/>
    <n v="25"/>
    <n v="100"/>
    <n v="100"/>
    <n v="4.1250000000000002E-2"/>
    <n v="100"/>
    <n v="35000000"/>
    <n v="0"/>
    <n v="35000000"/>
    <n v="0"/>
    <n v="0"/>
    <n v="0"/>
    <n v="0"/>
    <n v="0"/>
    <n v="0"/>
    <n v="0"/>
    <n v="0"/>
    <n v="0"/>
    <n v="0"/>
    <n v="0"/>
    <n v="0"/>
    <n v="0"/>
    <n v="0"/>
    <n v="0"/>
    <n v="0"/>
    <n v="4.1250000000000002E-2"/>
    <n v="100"/>
    <n v="0.25"/>
    <n v="100"/>
    <n v="100"/>
    <n v="100"/>
    <n v="25"/>
    <n v="100"/>
    <n v="100"/>
    <n v="4.1250000000000002E-2"/>
    <n v="100"/>
    <n v="4.1250000000000002E-2"/>
    <n v="4.1250000000000002E-2"/>
    <n v="100"/>
    <n v="0.25"/>
    <n v="100"/>
    <n v="0"/>
    <n v="25"/>
    <n v="100"/>
    <n v="100"/>
    <n v="4.1250000000000002E-2"/>
    <n v="4.1250000000000002E-2"/>
    <n v="80000000"/>
    <n v="80000000"/>
    <n v="0"/>
    <n v="0"/>
    <n v="0"/>
    <n v="0"/>
    <n v="0"/>
    <n v="0"/>
    <n v="0"/>
    <n v="0"/>
    <n v="0"/>
    <n v="0"/>
    <n v="0"/>
    <n v="0"/>
    <n v="0"/>
    <n v="0"/>
    <n v="0"/>
    <n v="0"/>
    <n v="0"/>
    <n v="100"/>
    <n v="0.16500000000000001"/>
    <n v="100"/>
    <n v="100"/>
    <n v="0.16500000000000001"/>
    <n v="0.16500000000000001"/>
    <n v="0.16500000000000001"/>
    <n v="1"/>
    <n v="0"/>
    <n v="269"/>
    <s v="116 MUNICIPIOS RESTITUYEN DERECHOS Y MEJORAN CALIDAD DE VIDA DE LAS VÍCTIMAS DEL CONFLICTO ARMADO"/>
    <m/>
    <s v=""/>
    <m/>
    <m/>
    <m/>
    <m/>
    <s v="IMPLEMENTACION DE UN PROCESO DE IDENTIFICACION DE NECESIDADES SENTIDAS DE LA POBLACION EN MATERIA DE PROMOCION Y PREVENCION A TRAVES DE LAS DIRECCIONES LOCALES DE SALUID EN LOS PROGRAMAS DE SALUD SEXUAL Y REPRODUCTIVA, BENE4CIANDO A 4,503 PERSONAS VICTIMAS."/>
    <n v="0"/>
    <m/>
    <n v="4000"/>
  </r>
  <r>
    <n v="291"/>
    <x v="0"/>
    <x v="0"/>
    <x v="9"/>
    <s v="ATENCION INTEGRAL BASICA"/>
    <s v="CONFERIR DURANTE EL CUATRIENIO 600 AYUDAS TÉCNICAS PARA PROMOVER LA INCLUSIÓN SOCIAL A LA POBLACIÓN VÍCTIMA DEL CONFLICTO ARMADO EN CONDICIÓN DE DISCAPACIDAD."/>
    <s v="NO. DE PERSONAS VCA DISCAPACITADAS CON AYUDAS TÉCNICAS"/>
    <s v="PERSONAS"/>
    <s v="I"/>
    <n v="100"/>
    <n v="700"/>
    <n v="600"/>
    <n v="0.16500000000000001"/>
    <n v="0"/>
    <n v="0"/>
    <n v="0"/>
    <n v="0"/>
    <n v="0"/>
    <n v="0"/>
    <n v="0"/>
    <n v="0"/>
    <n v="0"/>
    <n v="0"/>
    <n v="0"/>
    <n v="0"/>
    <n v="0"/>
    <n v="0"/>
    <n v="0"/>
    <n v="0"/>
    <n v="0"/>
    <n v="0"/>
    <n v="0"/>
    <n v="0"/>
    <n v="0"/>
    <n v="0"/>
    <n v="0"/>
    <n v="0"/>
    <n v="0"/>
    <n v="0"/>
    <n v="0"/>
    <n v="0"/>
    <n v="5.5E-2"/>
    <n v="200"/>
    <n v="0.33333333333333331"/>
    <n v="256"/>
    <n v="256"/>
    <n v="128"/>
    <n v="100"/>
    <n v="5.5E-2"/>
    <n v="100"/>
    <n v="26000000"/>
    <n v="0"/>
    <n v="26000000"/>
    <n v="0"/>
    <n v="0"/>
    <n v="0"/>
    <n v="0"/>
    <n v="0"/>
    <n v="24155000"/>
    <n v="24155000"/>
    <n v="0"/>
    <n v="0"/>
    <n v="0"/>
    <n v="0"/>
    <n v="0"/>
    <n v="0"/>
    <n v="0"/>
    <n v="0"/>
    <n v="0"/>
    <n v="5.5E-2"/>
    <n v="200"/>
    <n v="0.33333333333333331"/>
    <n v="0"/>
    <n v="17"/>
    <n v="18"/>
    <n v="18"/>
    <n v="9"/>
    <n v="9"/>
    <n v="4.9499999999999995E-3"/>
    <n v="9"/>
    <n v="4.9499999999999995E-3"/>
    <n v="5.5E-2"/>
    <n v="200"/>
    <n v="0.33333333333333331"/>
    <n v="541"/>
    <n v="-341"/>
    <n v="541"/>
    <n v="270.5"/>
    <n v="100"/>
    <n v="5.5E-2"/>
    <n v="0.14877499999999999"/>
    <n v="60000000"/>
    <n v="60000000"/>
    <n v="0"/>
    <n v="0"/>
    <n v="0"/>
    <n v="0"/>
    <n v="0"/>
    <n v="0"/>
    <n v="0"/>
    <n v="0"/>
    <n v="0"/>
    <n v="0"/>
    <n v="0"/>
    <n v="0"/>
    <n v="0"/>
    <n v="0"/>
    <n v="0"/>
    <n v="0"/>
    <n v="0"/>
    <n v="815"/>
    <n v="0.16500000000000001"/>
    <n v="135.83333333333334"/>
    <n v="100"/>
    <n v="0.16500000000000001"/>
    <n v="0.16500000000000001"/>
    <n v="0.16500000000000001"/>
    <n v="1"/>
    <n v="0"/>
    <n v="269"/>
    <s v="116 MUNICIPIOS RESTITUYEN DERECHOS Y MEJORAN CALIDAD DE VIDA DE LAS VÍCTIMAS DEL CONFLICTO ARMADO"/>
    <m/>
    <s v=""/>
    <m/>
    <m/>
    <m/>
    <m/>
    <s v="SE CUMPLIRA CON LA META PLANTEADA EN EL CUATROIENIO MEDIANTE LA EJECUCION DE CONVENIO PARA ADQUIRIR Y ENTREGAR A LA POBLACION VICTIMA DEL CONFLICTO AYUDAS TECNICAS VISUALES Y PARA LA DEAMBULACION. "/>
    <n v="0"/>
    <m/>
    <n v="12"/>
  </r>
  <r>
    <n v="292"/>
    <x v="0"/>
    <x v="1"/>
    <x v="9"/>
    <s v="ATENCION INTEGRAL BASICA"/>
    <s v="LOGRAR DURANTE EL CUATRIENIO MEJORES HABILIDADES OCUPACIONALES EN EL 100% DE LOS JÓVENES CON Y SIN DISCAPACIDAD VCA QUE SOLICITEN PROGRAMA DE CAPACITACIÓN."/>
    <s v="% DE JÓVENES EN CON MEJORES HABILIDADES OCUPACIONALES"/>
    <s v="PORCENTAJE DE PERSONAS"/>
    <s v="M"/>
    <n v="0"/>
    <n v="100"/>
    <n v="100"/>
    <n v="0.25"/>
    <n v="6.25E-2"/>
    <n v="100"/>
    <n v="0.25"/>
    <n v="0"/>
    <n v="0"/>
    <n v="0"/>
    <n v="0"/>
    <n v="0"/>
    <n v="0"/>
    <n v="0"/>
    <n v="0"/>
    <n v="0"/>
    <n v="0"/>
    <n v="0"/>
    <n v="0"/>
    <n v="0"/>
    <n v="0"/>
    <n v="0"/>
    <n v="0"/>
    <n v="0"/>
    <n v="0"/>
    <n v="0"/>
    <n v="0"/>
    <n v="0"/>
    <n v="0"/>
    <n v="0"/>
    <n v="0"/>
    <n v="0"/>
    <n v="6.25E-2"/>
    <n v="100"/>
    <n v="0.25"/>
    <n v="0"/>
    <n v="0"/>
    <n v="0"/>
    <n v="0"/>
    <n v="0"/>
    <n v="0"/>
    <n v="16000000"/>
    <n v="0"/>
    <n v="7000000"/>
    <n v="0"/>
    <n v="0"/>
    <n v="0"/>
    <n v="0"/>
    <n v="9000000"/>
    <n v="7000000"/>
    <n v="7000000"/>
    <n v="0"/>
    <n v="0"/>
    <n v="0"/>
    <n v="0"/>
    <n v="0"/>
    <n v="0"/>
    <n v="0"/>
    <n v="0"/>
    <n v="0"/>
    <n v="6.25E-2"/>
    <n v="100"/>
    <n v="0.25"/>
    <n v="66.8"/>
    <n v="76.8"/>
    <n v="100"/>
    <n v="25"/>
    <n v="100"/>
    <n v="100"/>
    <n v="6.25E-2"/>
    <n v="100"/>
    <n v="6.25E-2"/>
    <n v="6.25E-2"/>
    <n v="100"/>
    <n v="0.25"/>
    <n v="100"/>
    <n v="0"/>
    <n v="25"/>
    <n v="100"/>
    <n v="100"/>
    <n v="6.25E-2"/>
    <n v="6.25E-2"/>
    <n v="24000000"/>
    <n v="15000000"/>
    <n v="0"/>
    <n v="0"/>
    <n v="0"/>
    <n v="0"/>
    <n v="0"/>
    <n v="9000000"/>
    <n v="0"/>
    <n v="0"/>
    <n v="0"/>
    <n v="0"/>
    <n v="0"/>
    <n v="0"/>
    <n v="0"/>
    <n v="0"/>
    <n v="0"/>
    <n v="0"/>
    <n v="0"/>
    <n v="50"/>
    <n v="0.25"/>
    <n v="50"/>
    <n v="50"/>
    <n v="0.125"/>
    <n v="0.125"/>
    <n v="0.125"/>
    <n v="1"/>
    <n v="0"/>
    <n v="269"/>
    <s v="116 MUNICIPIOS RESTITUYEN DERECHOS Y MEJORAN CALIDAD DE VIDA DE LAS VÍCTIMAS DEL CONFLICTO ARMADO"/>
    <m/>
    <s v=""/>
    <m/>
    <m/>
    <m/>
    <m/>
    <s v="SE BRINDÓ CAPACITACIÓN A JÓVENES DEL DEPARTAMENTO, INCLUYENDO POBLACIÓN VICTIMA DEL CONFLICTO ARMADO, EN EL MARCO DEL FORO YO CREO EN CUNDINAMARCA YO SOY CONSTRUCTOR DE PAZ (REALIZADO EL 18 DE JULIO DE 2014). SE ADELANTÓ EN 3 MUNICIPIOS DE CUNDINAMARCA ESTRATEGÍAS DE FORTALECIMIENTO DE LAS HÁBILIDADES DE LOS ADOLESCENTES VCA. "/>
    <n v="1998000000"/>
    <m/>
    <n v="1000"/>
  </r>
  <r>
    <n v="293"/>
    <x v="0"/>
    <x v="1"/>
    <x v="9"/>
    <s v="ATENCION INTEGRAL BASICA"/>
    <s v="GENERAR DURANTE EL CUATRIENIO OPORTUNIDADES DE DESARROLLO AL 100% DE LAS MUJERES CABEZA DE HOGAR VCA CON Y SIN DISCAPACIDAD, QUE SOLICITEN."/>
    <s v="% DE MUJERES VCA CON OPORTUNIDADES DE DESARROLLO INTEGRAL"/>
    <s v="PORCENTAJE DE PERSONAS"/>
    <s v="M"/>
    <n v="0"/>
    <n v="100"/>
    <n v="100"/>
    <n v="0.25"/>
    <n v="6.25E-2"/>
    <n v="100"/>
    <n v="0.25"/>
    <n v="100"/>
    <n v="25"/>
    <n v="100"/>
    <n v="100"/>
    <n v="6.25E-2"/>
    <n v="100"/>
    <n v="0"/>
    <n v="0"/>
    <n v="0"/>
    <n v="0"/>
    <n v="0"/>
    <n v="0"/>
    <n v="0"/>
    <n v="0"/>
    <n v="0"/>
    <n v="0"/>
    <n v="0"/>
    <n v="0"/>
    <n v="0"/>
    <n v="0"/>
    <n v="0"/>
    <n v="0"/>
    <n v="0"/>
    <n v="0"/>
    <n v="0"/>
    <n v="6.25E-2"/>
    <n v="100"/>
    <n v="0.25"/>
    <n v="100"/>
    <n v="25"/>
    <n v="100"/>
    <n v="100"/>
    <n v="6.25E-2"/>
    <n v="100"/>
    <n v="32250000"/>
    <n v="0"/>
    <n v="26000000"/>
    <n v="0"/>
    <n v="0"/>
    <n v="0"/>
    <n v="0"/>
    <n v="6250000"/>
    <n v="26000000"/>
    <n v="26000000"/>
    <n v="0"/>
    <n v="0"/>
    <n v="0"/>
    <n v="0"/>
    <n v="0"/>
    <n v="0"/>
    <n v="0"/>
    <n v="0"/>
    <n v="0"/>
    <n v="6.25E-2"/>
    <n v="100"/>
    <n v="0.25"/>
    <n v="20"/>
    <n v="20"/>
    <n v="100"/>
    <n v="25"/>
    <n v="100"/>
    <n v="100"/>
    <n v="6.25E-2"/>
    <n v="100"/>
    <n v="6.25E-2"/>
    <n v="6.25E-2"/>
    <n v="100"/>
    <n v="0.25"/>
    <n v="100"/>
    <n v="0"/>
    <n v="25"/>
    <n v="100"/>
    <n v="100"/>
    <n v="6.25E-2"/>
    <n v="6.25E-2"/>
    <n v="66250000"/>
    <n v="60000000"/>
    <n v="0"/>
    <n v="0"/>
    <n v="0"/>
    <n v="0"/>
    <n v="0"/>
    <n v="6250000"/>
    <n v="0"/>
    <n v="0"/>
    <n v="0"/>
    <n v="0"/>
    <n v="0"/>
    <n v="0"/>
    <n v="0"/>
    <n v="0"/>
    <n v="0"/>
    <n v="0"/>
    <n v="0"/>
    <n v="100"/>
    <n v="0.25"/>
    <n v="100"/>
    <n v="100"/>
    <n v="0.25"/>
    <n v="0.25"/>
    <n v="0.25"/>
    <n v="1"/>
    <n v="0"/>
    <n v="269"/>
    <s v="116 MUNICIPIOS RESTITUYEN DERECHOS Y MEJORAN CALIDAD DE VIDA DE LAS VÍCTIMAS DEL CONFLICTO ARMADO"/>
    <m/>
    <s v=""/>
    <m/>
    <m/>
    <m/>
    <m/>
    <s v="SE GENERARON HABILIDADES EN EL 100% DE LAS MUJERES QUE LO DEMANDARON. FUERON CAPACITADAS 22 MUJERES EN FORMACIÓN PARA EL TRABAJO Y OPORTUNIDADES DE GENERAR SUS PROPIOS INGRESOS, MEDIANTE ACCIONES Y ACTIVIDADES EN EL CURSO DE MANUALIDADES, ARREGLOS NAVIDEÑOS, IMPLEMENTACIÓN DE LA POLÍTICA PÚBLICA DE MUJER Y UNA VIDA LIBRE DE VIOLENCIA. OTRAS 191 MUJERES FUERON ORIENTADAS EN EMPRENDIMIENTO DENTRO DE SUS ORGANIZACIONES PARA ELABORACIÓN DE SUS PROYECTOS PRODUCTIVOS. EN 2015, SE HAN APOYADO 51 MUJERES A TRAVÉS DEL FORTALECIMIENTO A ORGANIZACIONES DE MUJERES Y UNIDADES PRODUCTIVAS DEL BANCO DE ALIMENTOS."/>
    <n v="499000000"/>
    <m/>
    <n v="2"/>
  </r>
  <r>
    <n v="294"/>
    <x v="0"/>
    <x v="3"/>
    <x v="9"/>
    <s v="ATENCION INTEGRAL BASICA"/>
    <s v="ATENDER DURANTE EL CUATRIENIO 3.000 ESTUDIANTES EN SITUACIÓN DE DESPLAZAMIENTO DEL SECTOR OFICIAL CON SUBSIDIO DE TRANSPORTE ESCOLAR."/>
    <s v="NO. DE ESTUDIANTES VCA ATENDIDOS CON SUBSIDIO DE TRANSPORTE ESCOLAR"/>
    <s v="PERSONAS"/>
    <s v="I"/>
    <n v="742"/>
    <n v="3742"/>
    <n v="3000"/>
    <n v="0.25"/>
    <n v="4.1416666666666664E-2"/>
    <n v="497"/>
    <n v="0.16566666666666666"/>
    <n v="497"/>
    <n v="497"/>
    <n v="100"/>
    <n v="100"/>
    <n v="4.1416666666666664E-2"/>
    <n v="100"/>
    <n v="0"/>
    <n v="0"/>
    <n v="0"/>
    <n v="0"/>
    <n v="0"/>
    <n v="0"/>
    <n v="0"/>
    <n v="0"/>
    <n v="0"/>
    <n v="0"/>
    <n v="0"/>
    <n v="0"/>
    <n v="0"/>
    <n v="0"/>
    <n v="0"/>
    <n v="0"/>
    <n v="0"/>
    <n v="0"/>
    <n v="0"/>
    <n v="6.25E-2"/>
    <n v="750"/>
    <n v="0.25"/>
    <n v="750"/>
    <n v="750"/>
    <n v="100"/>
    <n v="100"/>
    <n v="6.25E-2"/>
    <n v="100"/>
    <n v="91000000"/>
    <n v="0"/>
    <n v="91000000"/>
    <n v="0"/>
    <n v="0"/>
    <n v="0"/>
    <n v="0"/>
    <n v="0"/>
    <n v="37632000"/>
    <n v="37632000"/>
    <n v="0"/>
    <n v="0"/>
    <n v="0"/>
    <n v="0"/>
    <n v="0"/>
    <n v="0"/>
    <n v="0"/>
    <n v="0"/>
    <n v="0"/>
    <n v="7.2999999999999995E-2"/>
    <n v="876"/>
    <n v="0.29199999999999998"/>
    <n v="1"/>
    <n v="0"/>
    <n v="758"/>
    <n v="758"/>
    <n v="86.529680365296798"/>
    <n v="86.529680365296798"/>
    <n v="6.3166666666666649E-2"/>
    <n v="86.529680365296798"/>
    <n v="6.3166666666666649E-2"/>
    <n v="7.3083333333333333E-2"/>
    <n v="877"/>
    <n v="0.29233333333333333"/>
    <n v="1070"/>
    <n v="-193"/>
    <n v="1070"/>
    <n v="122.00684150513113"/>
    <n v="100"/>
    <n v="7.3083333333333333E-2"/>
    <n v="8.9166666666666672E-2"/>
    <n v="210000000"/>
    <n v="210000000"/>
    <n v="0"/>
    <n v="0"/>
    <n v="0"/>
    <n v="0"/>
    <n v="0"/>
    <n v="0"/>
    <n v="0"/>
    <n v="0"/>
    <n v="0"/>
    <n v="0"/>
    <n v="0"/>
    <n v="0"/>
    <n v="0"/>
    <n v="0"/>
    <n v="0"/>
    <n v="0"/>
    <n v="0"/>
    <n v="3075"/>
    <n v="0.25"/>
    <n v="102.5"/>
    <n v="100"/>
    <n v="0.25"/>
    <n v="0.25"/>
    <n v="0.25"/>
    <n v="1"/>
    <n v="0"/>
    <n v="35"/>
    <s v="ALCANZAR EN EL CUATRIENIO UNA COBERTURA BRUTA EN TRANSICIÓN DE 86.95%, PRIORIZANDO LA POBLACIÓN EN POBREZA EXTREMA QUE LO DEMANDE"/>
    <n v="36"/>
    <s v="MANTENER CADA AÑO EN 100% LA COBERTURA BRUTA EN BÁSICA PRIMARIA, PRIORIZANDO LA POBLACIÓN EN POBREZA EXTREMA QUE DEMANDE EL SERVICIO"/>
    <n v="37"/>
    <n v="38"/>
    <m/>
    <m/>
    <s v="LA SECRETARÍA DE EDUCACIÓN, MEDIANTE LOS CONVENIOS DE TRANSPORTE ESCOLAR CON LOS MUNICIPIOS, ATENDIÓ A 2005 ESTUDIANTES VICTIMAS DEL CONFLICTO ARMADO Y REALIZÓ ACCIONES PARA OBTENER EL REPORTE COMO CIRCULARES A LAS IED, EXPOCISIONES A LOS RECTORES SOBRE LA NORMATIVIDAD VIGENTE, VERIFICACIONES CON EL SISTEMA INTEGRADO DE MATRICULA Y REPORTE DE LOS ESTUDIANTES BENEFICIADOS EN EL MISMO. ES NECESARIO HACER CLARIDAD QUE NO TODOS LOS ESTUDIANTES VÍCTIMAS REQUIEREN DE ESTA ESTRATEGIA."/>
    <n v="60000000"/>
    <m/>
    <n v="30"/>
  </r>
  <r>
    <n v="295"/>
    <x v="0"/>
    <x v="3"/>
    <x v="9"/>
    <s v="ATENCION INTEGRAL BASICA"/>
    <s v="VINCULAR AL 100% (2.329) DE LA POBLACIÓN EN SITUACIÓN DE DESPLAZAMIENTO EN EDAD ESCOLAR DE CUNDINAMARCA QUE DEMANDE EL SERVICIO EDUCATIVO."/>
    <s v="% DE ESTUDIANTES VCA MATRICULADOS"/>
    <s v="PORCENTAJE DE PERSONAS"/>
    <s v="M"/>
    <n v="100"/>
    <n v="100"/>
    <n v="100"/>
    <n v="0.16500000000000001"/>
    <n v="4.1250000000000002E-2"/>
    <n v="100"/>
    <n v="0.25"/>
    <n v="100"/>
    <n v="25"/>
    <n v="100"/>
    <n v="100"/>
    <n v="4.1250000000000002E-2"/>
    <n v="100"/>
    <n v="0"/>
    <n v="0"/>
    <n v="0"/>
    <n v="0"/>
    <n v="0"/>
    <n v="0"/>
    <n v="0"/>
    <n v="0"/>
    <n v="0"/>
    <n v="0"/>
    <n v="0"/>
    <n v="0"/>
    <n v="0"/>
    <n v="0"/>
    <n v="0"/>
    <n v="0"/>
    <n v="0"/>
    <n v="0"/>
    <n v="0"/>
    <n v="4.1250000000000002E-2"/>
    <n v="100"/>
    <n v="0.25"/>
    <n v="100"/>
    <n v="25"/>
    <n v="100"/>
    <n v="100"/>
    <n v="4.1250000000000002E-2"/>
    <n v="100"/>
    <n v="0"/>
    <n v="0"/>
    <n v="0"/>
    <n v="0"/>
    <n v="0"/>
    <n v="0"/>
    <n v="0"/>
    <n v="0"/>
    <n v="0"/>
    <n v="0"/>
    <n v="0"/>
    <n v="0"/>
    <n v="0"/>
    <n v="0"/>
    <n v="0"/>
    <n v="0"/>
    <n v="0"/>
    <n v="0"/>
    <n v="0"/>
    <n v="4.1250000000000002E-2"/>
    <n v="100"/>
    <n v="0.25"/>
    <n v="100"/>
    <n v="100"/>
    <n v="100"/>
    <n v="25"/>
    <n v="100"/>
    <n v="100"/>
    <n v="4.1250000000000002E-2"/>
    <n v="100"/>
    <n v="4.1250000000000002E-2"/>
    <n v="4.1250000000000002E-2"/>
    <n v="100"/>
    <n v="0.25"/>
    <n v="100"/>
    <n v="0"/>
    <n v="25"/>
    <n v="100"/>
    <n v="100"/>
    <n v="4.1250000000000002E-2"/>
    <n v="4.1250000000000002E-2"/>
    <n v="0"/>
    <n v="0"/>
    <n v="0"/>
    <n v="0"/>
    <n v="0"/>
    <n v="0"/>
    <n v="0"/>
    <n v="0"/>
    <n v="0"/>
    <n v="0"/>
    <n v="0"/>
    <n v="0"/>
    <n v="0"/>
    <n v="0"/>
    <n v="0"/>
    <n v="0"/>
    <n v="0"/>
    <n v="0"/>
    <n v="0"/>
    <n v="100"/>
    <n v="0.16500000000000001"/>
    <n v="100"/>
    <n v="100"/>
    <n v="0.16500000000000001"/>
    <n v="0.16500000000000001"/>
    <n v="0.16500000000000001"/>
    <n v="1"/>
    <n v="0"/>
    <n v="35"/>
    <s v="ALCANZAR EN EL CUATRIENIO UNA COBERTURA BRUTA EN TRANSICIÓN DE 86.95%, PRIORIZANDO LA POBLACIÓN EN POBREZA EXTREMA QUE LO DEMANDE"/>
    <n v="36"/>
    <s v="MANTENER CADA AÑO EN 100% LA COBERTURA BRUTA EN BÁSICA PRIMARIA, PRIORIZANDO LA POBLACIÓN EN POBREZA EXTREMA QUE DEMANDE EL SERVICIO"/>
    <n v="78"/>
    <m/>
    <m/>
    <m/>
    <s v="CON RESPECTO A ESTA META, LA SECRETARÍA DE EDUCACIÓN DISPUSO COMO PRIORIDAD GARANTIZAR EL DERECHO A LA EDUCACIÓN DE LAS VCA QUE LO DEMANDARAN Y DENTRO DEL SUBCOMITE DE ASISTENCIA HUMANITARIA SE CONSTRUYO UNA RUTA DE ATENCIÓN PARTIENDO DE LAS INSTITUCIONES EDUCATIVAS DEPARTAMENTALES EN LOS 109 MUNICIPIOS NO CERTIFICADOS DEL DEPARTAMENTO. CABE DESTACAR EL AUMENTO DE LA MATRICULA DE ESTUDIANTES VÍCTIMAS EN LOS ÚLTIMOS 4 AÑOS."/>
    <n v="7000000"/>
    <m/>
    <n v="0"/>
  </r>
  <r>
    <n v="296"/>
    <x v="0"/>
    <x v="3"/>
    <x v="9"/>
    <s v="ATENCION INTEGRAL BASICA"/>
    <s v="REALIZAR DURANTE EL CUATRIENIO SEGUIMIENTO DEL SUMINISTRO DEL COMPLEMENTO NUTRICIONAL AL 100% (1.392) DE LOS ESTUDIANTES VINCULADOS AL SISTEMA EDUCATIVO VCA A TRAVÉS DE LA ENTIDAD COMPETENTE."/>
    <s v="% DE ESTUDIANTES VCA CON SEGUIMIENTO AL SUMINISTRO DEL COMPLEMENTO NUTRICIONAL"/>
    <s v="PORCENTAJE DE PERSONAS"/>
    <s v="M"/>
    <n v="100"/>
    <n v="100"/>
    <n v="100"/>
    <n v="0.16500000000000001"/>
    <n v="4.1250000000000002E-2"/>
    <n v="100"/>
    <n v="0.25"/>
    <n v="95"/>
    <n v="23.75"/>
    <n v="95"/>
    <n v="95"/>
    <n v="3.91875E-2"/>
    <n v="95"/>
    <n v="0"/>
    <n v="0"/>
    <n v="0"/>
    <n v="0"/>
    <n v="0"/>
    <n v="0"/>
    <n v="0"/>
    <n v="0"/>
    <n v="0"/>
    <n v="0"/>
    <n v="0"/>
    <n v="0"/>
    <n v="0"/>
    <n v="0"/>
    <n v="0"/>
    <n v="0"/>
    <n v="0"/>
    <n v="0"/>
    <n v="0"/>
    <n v="4.1250000000000002E-2"/>
    <n v="100"/>
    <n v="0.25"/>
    <n v="100"/>
    <n v="25"/>
    <n v="100"/>
    <n v="100"/>
    <n v="4.1250000000000002E-2"/>
    <n v="100"/>
    <n v="0"/>
    <n v="0"/>
    <n v="0"/>
    <n v="0"/>
    <n v="0"/>
    <n v="0"/>
    <n v="0"/>
    <n v="0"/>
    <n v="0"/>
    <n v="0"/>
    <n v="0"/>
    <n v="0"/>
    <n v="0"/>
    <n v="0"/>
    <n v="0"/>
    <n v="0"/>
    <n v="0"/>
    <n v="0"/>
    <n v="0"/>
    <n v="4.1250000000000002E-2"/>
    <n v="100"/>
    <n v="0.25"/>
    <n v="0"/>
    <n v="0"/>
    <n v="100"/>
    <n v="25"/>
    <n v="100"/>
    <n v="100"/>
    <n v="4.1250000000000002E-2"/>
    <n v="100"/>
    <n v="4.1250000000000002E-2"/>
    <n v="4.1250000000000002E-2"/>
    <n v="100"/>
    <n v="0.25"/>
    <n v="100"/>
    <n v="0"/>
    <n v="25"/>
    <n v="100"/>
    <n v="100"/>
    <n v="4.1250000000000002E-2"/>
    <n v="4.1250000000000002E-2"/>
    <n v="0"/>
    <n v="0"/>
    <n v="0"/>
    <n v="0"/>
    <n v="0"/>
    <n v="0"/>
    <n v="0"/>
    <n v="0"/>
    <n v="0"/>
    <n v="0"/>
    <n v="0"/>
    <n v="0"/>
    <n v="0"/>
    <n v="0"/>
    <n v="0"/>
    <n v="0"/>
    <n v="0"/>
    <n v="0"/>
    <n v="0"/>
    <n v="98.75"/>
    <n v="0.16500000000000001"/>
    <n v="98.75"/>
    <n v="98.75"/>
    <n v="0.16293749999999999"/>
    <n v="0.16293749999999999"/>
    <n v="0.16293749999999999"/>
    <n v="1"/>
    <n v="0"/>
    <n v="35"/>
    <s v="ALCANZAR EN EL CUATRIENIO UNA COBERTURA BRUTA EN TRANSICIÓN DE 86.95%, PRIORIZANDO LA POBLACIÓN EN POBREZA EXTREMA QUE LO DEMANDE"/>
    <n v="36"/>
    <s v="MANTENER CADA AÑO EN 100% LA COBERTURA BRUTA EN BÁSICA PRIMARIA, PRIORIZANDO LA POBLACIÓN EN POBREZA EXTREMA QUE DEMANDE EL SERVICIO"/>
    <n v="37"/>
    <n v="78"/>
    <m/>
    <m/>
    <s v="PARA ESTA META LA SECRETARÍA DE EDUCACIÓN ORIGINÓ DOS CIRCULARES, REALIZÓ CRUCES CON LA INFORMACIÓN DEL SIMAT, SE IMPLEMENTO LA FORMA DE REPORTAR LA ESTRATEGIA POR PARTE DE LAS IE EN EL SIMAT. ESTÁ EN EJECUCIÓN UN NUEVO REPORTE PARA CRUZAR CON EL OPERADOR QUE REALIZA LA ENTREGA DE LOS COMPLEMENTOS NUTRICIONALES."/>
    <n v="0"/>
    <m/>
    <n v="0"/>
  </r>
  <r>
    <n v="297"/>
    <x v="0"/>
    <x v="4"/>
    <x v="9"/>
    <s v="ATENCION INTEGRAL BASICA"/>
    <s v="PROMOVER DURANTE EL CUATRIENIO, ACTIVIDAD FÍSICA, JUEGOS DIDÁCTICOS, LÚDICAS, PRE DEPORTIVA PEDAGÓGICA A 3.776 Y Y LAS NIÑAS Y LOS NIÑOS DE 0 A 6 AÑOS VÍCTIMAS DEL CONFLICTO ARMADO."/>
    <s v="NO. DE NIÑOS Y NIÑAS VCA INCORPORADAS EN ACTIVIDADES LÚDICAS Y PRE DEPORTIVAS"/>
    <s v="PERSONAS"/>
    <s v="I"/>
    <n v="0"/>
    <n v="3776"/>
    <n v="3776"/>
    <n v="0.16500000000000001"/>
    <n v="0"/>
    <n v="0"/>
    <n v="0"/>
    <n v="0"/>
    <n v="0"/>
    <n v="0"/>
    <n v="0"/>
    <n v="0"/>
    <n v="0"/>
    <n v="0"/>
    <n v="0"/>
    <n v="0"/>
    <n v="0"/>
    <n v="0"/>
    <n v="0"/>
    <n v="0"/>
    <n v="0"/>
    <n v="0"/>
    <n v="0"/>
    <n v="0"/>
    <n v="0"/>
    <n v="0"/>
    <n v="0"/>
    <n v="0"/>
    <n v="0"/>
    <n v="0"/>
    <n v="0"/>
    <n v="0"/>
    <n v="5.4970868644067791E-2"/>
    <n v="1258"/>
    <n v="0.33315677966101692"/>
    <n v="1277"/>
    <n v="1277"/>
    <n v="101.51033386327504"/>
    <n v="100"/>
    <n v="5.4970868644067791E-2"/>
    <n v="100"/>
    <n v="26000000"/>
    <n v="0"/>
    <n v="26000000"/>
    <n v="0"/>
    <n v="0"/>
    <n v="0"/>
    <n v="0"/>
    <n v="0"/>
    <n v="12160743"/>
    <n v="12160743"/>
    <n v="0"/>
    <n v="0"/>
    <n v="0"/>
    <n v="0"/>
    <n v="0"/>
    <n v="0"/>
    <n v="0"/>
    <n v="0"/>
    <n v="0"/>
    <n v="5.5014565677966101E-2"/>
    <n v="1259"/>
    <n v="0.33342161016949151"/>
    <n v="1420"/>
    <n v="1420"/>
    <n v="1420"/>
    <n v="1420"/>
    <n v="112.78792692613185"/>
    <n v="100"/>
    <n v="5.5014565677966101E-2"/>
    <n v="100"/>
    <n v="6.2049788135593219E-2"/>
    <n v="5.5014565677966101E-2"/>
    <n v="1259"/>
    <n v="0.33342161016949151"/>
    <n v="1247"/>
    <n v="12"/>
    <n v="1247"/>
    <n v="99.046862589356635"/>
    <n v="99.046862589356635"/>
    <n v="5.4490201271186443E-2"/>
    <n v="5.4490201271186443E-2"/>
    <n v="28000000"/>
    <n v="28000000"/>
    <n v="0"/>
    <n v="0"/>
    <n v="0"/>
    <n v="0"/>
    <n v="0"/>
    <n v="0"/>
    <n v="0"/>
    <n v="0"/>
    <n v="0"/>
    <n v="0"/>
    <n v="0"/>
    <n v="0"/>
    <n v="0"/>
    <n v="0"/>
    <n v="0"/>
    <n v="0"/>
    <n v="0"/>
    <n v="3944"/>
    <n v="0.16499999999999998"/>
    <n v="104.44915254237289"/>
    <n v="100"/>
    <n v="0.16500000000000001"/>
    <n v="0.16500000000000001"/>
    <n v="0.16500000000000001"/>
    <n v="1"/>
    <n v="0"/>
    <n v="269"/>
    <s v="116 MUNICIPIOS RESTITUYEN DERECHOS Y MEJORAN CALIDAD DE VIDA DE LAS VÍCTIMAS DEL CONFLICTO ARMADO"/>
    <m/>
    <s v=""/>
    <m/>
    <m/>
    <m/>
    <m/>
    <s v="INDEPORTES CONFORMÓ UN EQUIPO DE TRABAJO ADMINISTRATIVO Y TÉCNICO IDÓNEO PARA GARANTIZAR Y PROMOVER LA INCLUSIÓN DE LOS NIÑOS Y NIÑAS VCA DEL DEPARTAMENTO EN EL PROGRAMA DE MATROGIMNASIA, CON EL OBJETIVO DE ESTIMULAR EL CRECIMIENTO ARMÓNICO Y EQUILIBRADO DEL NIÑO EN SU PRIMERA INFANCIA, A TRAVÉS DEL JUEGO DIRIGIDO. SE CUMPLIÓ CON EL INDICADOR DEFINIDO PARA EL CUATRIENIO. "/>
    <n v="8000000"/>
    <m/>
    <n v="0"/>
  </r>
  <r>
    <n v="298"/>
    <x v="0"/>
    <x v="4"/>
    <x v="9"/>
    <s v="ATENCION INTEGRAL BASICA"/>
    <s v="FOMENTAR DURANTE EL CUATRIENIO EN 400 MADRES COMUNITARIAS, HABILIDADES PARA EL ADECUADO MANEJO DEL DESARROLLO MOTRIZ DE LAS Y LOS MENORES DE 0 A 6 AÑOS, VCA."/>
    <s v="NO. MADRES COMUNITARIAS QUE APLICAN HABILIDADES DESARROLLO MOTRIZ DE LOS MENORES DE 6 AÑOS VCA"/>
    <s v="PERSONAS"/>
    <s v="I"/>
    <n v="0"/>
    <n v="400"/>
    <n v="400"/>
    <n v="0.16500000000000001"/>
    <n v="0"/>
    <n v="0"/>
    <n v="0"/>
    <n v="0"/>
    <n v="0"/>
    <n v="0"/>
    <n v="0"/>
    <n v="0"/>
    <n v="0"/>
    <n v="0"/>
    <n v="0"/>
    <n v="0"/>
    <n v="0"/>
    <n v="0"/>
    <n v="0"/>
    <n v="0"/>
    <n v="0"/>
    <n v="0"/>
    <n v="0"/>
    <n v="0"/>
    <n v="0"/>
    <n v="0"/>
    <n v="0"/>
    <n v="0"/>
    <n v="0"/>
    <n v="0"/>
    <n v="0"/>
    <n v="0"/>
    <n v="5.4862500000000008E-2"/>
    <n v="133"/>
    <n v="0.33250000000000002"/>
    <n v="140"/>
    <n v="140"/>
    <n v="105.26315789473684"/>
    <n v="100"/>
    <n v="5.4862500000000008E-2"/>
    <n v="100"/>
    <n v="26000000"/>
    <n v="0"/>
    <n v="26000000"/>
    <n v="0"/>
    <n v="0"/>
    <n v="0"/>
    <n v="0"/>
    <n v="0"/>
    <n v="12160743"/>
    <n v="12160743"/>
    <n v="0"/>
    <n v="0"/>
    <n v="0"/>
    <n v="0"/>
    <n v="0"/>
    <n v="0"/>
    <n v="0"/>
    <n v="0"/>
    <n v="0"/>
    <n v="5.4862500000000008E-2"/>
    <n v="133"/>
    <n v="0.33250000000000002"/>
    <n v="138"/>
    <n v="138"/>
    <n v="138"/>
    <n v="138"/>
    <n v="103.75939849624061"/>
    <n v="100"/>
    <n v="5.4862500000000008E-2"/>
    <n v="100"/>
    <n v="5.692500000000001E-2"/>
    <n v="5.5275000000000005E-2"/>
    <n v="134"/>
    <n v="0.33500000000000002"/>
    <n v="157"/>
    <n v="-23"/>
    <n v="157"/>
    <n v="117.16417910447761"/>
    <n v="100"/>
    <n v="5.5275000000000005E-2"/>
    <n v="6.4762500000000001E-2"/>
    <n v="28000000"/>
    <n v="28000000"/>
    <n v="0"/>
    <n v="0"/>
    <n v="0"/>
    <n v="0"/>
    <n v="0"/>
    <n v="0"/>
    <n v="0"/>
    <n v="0"/>
    <n v="0"/>
    <n v="0"/>
    <n v="0"/>
    <n v="0"/>
    <n v="0"/>
    <n v="0"/>
    <n v="0"/>
    <n v="0"/>
    <n v="0"/>
    <n v="435"/>
    <n v="0.16500000000000004"/>
    <n v="108.75"/>
    <n v="100"/>
    <n v="0.16500000000000001"/>
    <n v="0.16500000000000001"/>
    <n v="0.16500000000000001"/>
    <n v="1"/>
    <n v="0"/>
    <n v="269"/>
    <s v="116 MUNICIPIOS RESTITUYEN DERECHOS Y MEJORAN CALIDAD DE VIDA DE LAS VÍCTIMAS DEL CONFLICTO ARMADO"/>
    <m/>
    <s v=""/>
    <m/>
    <m/>
    <m/>
    <m/>
    <s v="INDEPORTES CONFORMÓ UN EQUIPO DE TRABAJO ADMINISTRATIVO Y TÉCNICO IDÓNEO PARA FOMENTAR EN LAS MADRES COMUNITARIAS RESPONSABLES DE LA ATENCIÓN A LA INFANCIA CARACTERIZADA COMO VCA, LA ADQUISICIÓN DE FORMAS DE EXPRESIÓN, COMUNICACIÓN Y ESTABLECIMIENTO DE VÍNCULOS Y VALORES, ACORDE A NORMAS DE RESPETO, SOLIDARIDAD Y CONVIVENCIA., SIENDO LOS PADRES Y LOS CUIDADORES LOS FACILITADORES. SE CUMPLIÓ CON EL INDICADOR DEFINIDO PARA EL CUATRIENIO."/>
    <n v="0"/>
    <m/>
    <n v="0"/>
  </r>
  <r>
    <n v="299"/>
    <x v="0"/>
    <x v="4"/>
    <x v="9"/>
    <s v="ATENCION INTEGRAL BASICA"/>
    <s v="PROMOVER CON ESCUELA DE FORMACIÓN DURANTE EL CUATRIENIO HABILIDAD DEPORTIVA A 1.363 NIÑAS Y NIÑOS DE 6 A 11 AÑOS VCA."/>
    <s v="NO. DE NIÑOS Y NIÑAS DE 6 A 11 AÑOS VCA CON HABILIDAD DEPORTIVA ESCUELAS DE FORMACIÓN"/>
    <s v="PERSONAS"/>
    <s v="I"/>
    <n v="0"/>
    <n v="1363"/>
    <n v="1363"/>
    <n v="0.16500000000000001"/>
    <n v="4.1159207630227443E-2"/>
    <n v="340"/>
    <n v="0.24944974321349964"/>
    <n v="346"/>
    <n v="346"/>
    <n v="101.76470588235294"/>
    <n v="100"/>
    <n v="4.1159207630227443E-2"/>
    <n v="100"/>
    <n v="10000000"/>
    <n v="10000000"/>
    <n v="0"/>
    <n v="0"/>
    <n v="0"/>
    <n v="0"/>
    <n v="0"/>
    <n v="0"/>
    <n v="10000000"/>
    <n v="10000000"/>
    <n v="0"/>
    <n v="0"/>
    <n v="0"/>
    <n v="0"/>
    <n v="0"/>
    <n v="0"/>
    <n v="0"/>
    <n v="0"/>
    <n v="0"/>
    <n v="4.1280264123257519E-2"/>
    <n v="341"/>
    <n v="0.25018341892883345"/>
    <n v="346"/>
    <n v="346"/>
    <n v="101.46627565982405"/>
    <n v="100"/>
    <n v="4.1280264123257512E-2"/>
    <n v="100"/>
    <n v="20000000"/>
    <n v="0"/>
    <n v="20000000"/>
    <n v="0"/>
    <n v="0"/>
    <n v="0"/>
    <n v="0"/>
    <n v="0"/>
    <n v="14202286"/>
    <n v="14202286"/>
    <n v="0"/>
    <n v="0"/>
    <n v="0"/>
    <n v="0"/>
    <n v="0"/>
    <n v="0"/>
    <n v="0"/>
    <n v="0"/>
    <n v="0"/>
    <n v="4.1280264123257519E-2"/>
    <n v="341"/>
    <n v="0.25018341892883345"/>
    <n v="224"/>
    <n v="224"/>
    <n v="390"/>
    <n v="390"/>
    <n v="114.36950146627566"/>
    <n v="100"/>
    <n v="4.1280264123257512E-2"/>
    <n v="100"/>
    <n v="4.7212032281731479E-2"/>
    <n v="4.1280264123257519E-2"/>
    <n v="341"/>
    <n v="0.25018341892883345"/>
    <n v="595"/>
    <n v="-254"/>
    <n v="595"/>
    <n v="174.4868035190616"/>
    <n v="100"/>
    <n v="4.1280264123257512E-2"/>
    <n v="7.2028613352898022E-2"/>
    <n v="20000000"/>
    <n v="20000000"/>
    <n v="0"/>
    <n v="0"/>
    <n v="0"/>
    <n v="0"/>
    <n v="0"/>
    <n v="0"/>
    <n v="0"/>
    <n v="0"/>
    <n v="0"/>
    <n v="0"/>
    <n v="0"/>
    <n v="0"/>
    <n v="0"/>
    <n v="0"/>
    <n v="0"/>
    <n v="0"/>
    <n v="0"/>
    <n v="1677"/>
    <n v="0.16500000000000001"/>
    <n v="123.03741746148202"/>
    <n v="100"/>
    <n v="0.16500000000000001"/>
    <n v="0.16500000000000001"/>
    <n v="0.16500000000000001"/>
    <n v="1"/>
    <n v="0"/>
    <n v="39"/>
    <s v="FOMENTAR HABILIDADES Y DESTREZAS CON ACTIVIDADES LÚDICAS, CULTURALES Y DEPORTIVAS EN EL 35% DE LOS NIÑOS Y NIÑAS DE 6 A 11 AÑOS"/>
    <m/>
    <s v=""/>
    <m/>
    <m/>
    <m/>
    <m/>
    <s v="INDEPORTES CONFORMÓ UN EQUIPO DE TRABAJO ADMINISTRATIVO Y TÉCNICO IDÓNEO PARA PROMOVER Y GARANTIZAR LA INCLUSIÓN DE LOS NIÑOS Y NIÑAS VCA DEL DEPARTAMENTO EN EL PROGRAMA DE ESCUELAS DE FORMACIÓN DEPORTIVA, CONTRIBUYENDO A SU FORMACIÓN INTEGRAL, UNA MEJOR CALIDAD DE VIDA Y UN MEJOR PERFIL HACIA EL DEPORTE. SE CUMPLIÓ CON EL INDICADOR DEFINIDO PARA EL CUATRIENIO."/>
    <n v="20000000"/>
    <m/>
    <n v="5"/>
  </r>
  <r>
    <n v="300"/>
    <x v="0"/>
    <x v="4"/>
    <x v="9"/>
    <s v="ATENCION INTEGRAL BASICA"/>
    <s v="PROMOVER LA PARTICIPACIÓN DE 2.000 NIÑAS Y NIÑOS VÍCTIMAS DEL CONFLICTO ARMADO EN LOS FESTIVALES DEPORTIVOS ESCOLARES POR AÑO."/>
    <s v="NO. DE NIÑOS Y NIÑAS QUE PARTICIPAN EN FESTIVALES DEPORTIVOS ESCOLARES"/>
    <s v="PERSONAS"/>
    <s v="M"/>
    <n v="0"/>
    <n v="2000"/>
    <n v="2000"/>
    <n v="0.16500000000000001"/>
    <n v="4.1250000000000002E-2"/>
    <n v="2000"/>
    <n v="0.25"/>
    <n v="2040"/>
    <n v="510"/>
    <n v="102"/>
    <n v="100"/>
    <n v="4.1250000000000002E-2"/>
    <n v="100"/>
    <n v="5000000"/>
    <n v="5000000"/>
    <n v="0"/>
    <n v="0"/>
    <n v="0"/>
    <n v="0"/>
    <n v="0"/>
    <n v="0"/>
    <n v="5000000"/>
    <n v="5000000"/>
    <n v="0"/>
    <n v="0"/>
    <n v="0"/>
    <n v="0"/>
    <n v="0"/>
    <n v="0"/>
    <n v="0"/>
    <n v="0"/>
    <n v="0"/>
    <n v="4.1250000000000002E-2"/>
    <n v="2000"/>
    <n v="0.25"/>
    <n v="2043"/>
    <n v="510.75"/>
    <n v="102.15"/>
    <n v="100"/>
    <n v="4.1250000000000002E-2"/>
    <n v="100"/>
    <n v="3000000"/>
    <n v="0"/>
    <n v="3000000"/>
    <n v="0"/>
    <n v="0"/>
    <n v="0"/>
    <n v="0"/>
    <n v="0"/>
    <n v="12160743"/>
    <n v="12160743"/>
    <n v="0"/>
    <n v="0"/>
    <n v="0"/>
    <n v="0"/>
    <n v="0"/>
    <n v="0"/>
    <n v="0"/>
    <n v="0"/>
    <n v="0"/>
    <n v="4.1250000000000002E-2"/>
    <n v="2000"/>
    <n v="0.25"/>
    <n v="0"/>
    <n v="0"/>
    <n v="2000"/>
    <n v="500"/>
    <n v="100"/>
    <n v="100"/>
    <n v="4.1250000000000002E-2"/>
    <n v="100"/>
    <n v="4.1250000000000002E-2"/>
    <n v="4.1250000000000002E-2"/>
    <n v="2000"/>
    <n v="0.25"/>
    <n v="2046"/>
    <n v="-46"/>
    <n v="511.5"/>
    <n v="102.3"/>
    <n v="100"/>
    <n v="4.1250000000000002E-2"/>
    <n v="4.219875E-2"/>
    <n v="5000000"/>
    <n v="5000000"/>
    <n v="0"/>
    <n v="0"/>
    <n v="0"/>
    <n v="0"/>
    <n v="0"/>
    <n v="0"/>
    <n v="0"/>
    <n v="0"/>
    <n v="0"/>
    <n v="0"/>
    <n v="0"/>
    <n v="0"/>
    <n v="0"/>
    <n v="0"/>
    <n v="0"/>
    <n v="0"/>
    <n v="0"/>
    <n v="2032.25"/>
    <n v="0.16500000000000001"/>
    <n v="101.6125"/>
    <n v="100"/>
    <n v="0.16500000000000001"/>
    <n v="0.16500000000000001"/>
    <n v="0.16500000000000001"/>
    <n v="1"/>
    <n v="0"/>
    <n v="39"/>
    <s v="FOMENTAR HABILIDADES Y DESTREZAS CON ACTIVIDADES LÚDICAS, CULTURALES Y DEPORTIVAS EN EL 35% DE LOS NIÑOS Y NIÑAS DE 6 A 11 AÑOS"/>
    <m/>
    <s v=""/>
    <m/>
    <m/>
    <m/>
    <m/>
    <s v="INDEPORTES CONFORMÓ UN EQUIPO DE TRABAJO ADMINISTRATIVO Y TÉCNICO IDÓNEO PARA PROMOVER Y GARANTIZAR LA INCLUSIÓN DE LOS NIÑOS Y NIÑAS VCA DEL DEPARTAMENTO EN EL PROGRAMA DE DEPORTE EDUCATIVO MEDIANTE LA REALIZACIÓN DE LOS FESTIVALES ESCOLARES. SE CUMPLIÓ CON EL INDICADOR DEFINIDO PARA EL CUATRIENIO."/>
    <n v="6000000"/>
    <m/>
    <n v="0"/>
  </r>
  <r>
    <n v="301"/>
    <x v="0"/>
    <x v="4"/>
    <x v="9"/>
    <s v="ATENCION INTEGRAL BASICA"/>
    <s v="IDENTIFICAR EL 100 % DE TALENTOS PARA SEMILLEROS DE DEPORTISTAS E INCLUIRLOS EN ENTRENAMIENTO DE ALTO RENDIMIENTO DE LAS VÍCTIMAS DEL CONFLICTO ARMADO."/>
    <s v="% DE TALENTOS DEPORTIVOS IDENTIFICADOS E INCLUIDOS EN ENTRENAMIENTO DE ALTO RENDIMIENTO"/>
    <s v="PORCENTAJE DE PERSONAS"/>
    <s v="M"/>
    <n v="0"/>
    <n v="100"/>
    <n v="100"/>
    <n v="0.16500000000000001"/>
    <n v="4.1250000000000002E-2"/>
    <n v="100"/>
    <n v="0.25"/>
    <n v="100"/>
    <n v="25"/>
    <n v="100"/>
    <n v="100"/>
    <n v="4.1250000000000002E-2"/>
    <n v="100"/>
    <n v="10000000"/>
    <n v="10000000"/>
    <n v="0"/>
    <n v="0"/>
    <n v="0"/>
    <n v="0"/>
    <n v="0"/>
    <n v="0"/>
    <n v="10000000"/>
    <n v="10000000"/>
    <n v="0"/>
    <n v="0"/>
    <n v="0"/>
    <n v="0"/>
    <n v="0"/>
    <n v="0"/>
    <n v="0"/>
    <n v="0"/>
    <n v="0"/>
    <n v="4.1250000000000002E-2"/>
    <n v="100"/>
    <n v="0.25"/>
    <n v="100"/>
    <n v="25"/>
    <n v="100"/>
    <n v="100"/>
    <n v="4.1250000000000002E-2"/>
    <n v="100"/>
    <n v="20000000"/>
    <n v="0"/>
    <n v="20000000"/>
    <n v="0"/>
    <n v="0"/>
    <n v="0"/>
    <n v="0"/>
    <n v="0"/>
    <n v="12160743"/>
    <n v="12160743"/>
    <n v="0"/>
    <n v="0"/>
    <n v="0"/>
    <n v="0"/>
    <n v="0"/>
    <n v="0"/>
    <n v="0"/>
    <n v="0"/>
    <n v="0"/>
    <n v="4.1250000000000002E-2"/>
    <n v="100"/>
    <n v="0.25"/>
    <n v="0"/>
    <n v="100"/>
    <n v="100"/>
    <n v="25"/>
    <n v="100"/>
    <n v="100"/>
    <n v="4.1250000000000002E-2"/>
    <n v="100"/>
    <n v="4.1250000000000002E-2"/>
    <n v="4.1250000000000002E-2"/>
    <n v="100"/>
    <n v="0.25"/>
    <n v="100"/>
    <n v="0"/>
    <n v="25"/>
    <n v="100"/>
    <n v="100"/>
    <n v="4.1250000000000002E-2"/>
    <n v="4.1250000000000002E-2"/>
    <n v="20000000"/>
    <n v="20000000"/>
    <n v="0"/>
    <n v="0"/>
    <n v="0"/>
    <n v="0"/>
    <n v="0"/>
    <n v="0"/>
    <n v="0"/>
    <n v="0"/>
    <n v="0"/>
    <n v="0"/>
    <n v="0"/>
    <n v="0"/>
    <n v="0"/>
    <n v="0"/>
    <n v="0"/>
    <n v="0"/>
    <n v="0"/>
    <n v="100"/>
    <n v="0.16500000000000001"/>
    <n v="100"/>
    <n v="100"/>
    <n v="0.16500000000000001"/>
    <n v="0.16500000000000001"/>
    <n v="0.16500000000000001"/>
    <n v="1"/>
    <n v="0"/>
    <n v="39"/>
    <s v="FOMENTAR HABILIDADES Y DESTREZAS CON ACTIVIDADES LÚDICAS, CULTURALES Y DEPORTIVAS EN EL 35% DE LOS NIÑOS Y NIÑAS DE 6 A 11 AÑOS"/>
    <n v="74"/>
    <s v="FOMENTAR HABILIDADES Y DESTREZAS CON ACTIVIDADES LÚDICAS, CULTURALES Y DEPORTIVAS ANUALMENTE EN EL 60% DE LAS Y LOS ADOLESCENTES"/>
    <n v="118"/>
    <m/>
    <m/>
    <m/>
    <s v="INDEPORTES CONFORMÓ UN EQUIPO DE TRABAJO ADMINISTRATIVO Y TÉCNICO IDÓNEO PARA PROMOVER Y GARANTIZAR LA INCLUSIÓN DE LOS NIÑOS Y NIÑAS VCA DEL DEPARTAMENTO EN EL PROGRAMA DE TALENTOS DEPORTIVOS, COMO AQUELLOS DEPORTISTAS QUE DEMUESTREN UNA APTITUD FÍSICA ESPECIAL. SE CUMPLIÓ CON EL INDICADOR DEFINIDO PARA EL CUATRIENIO. CUMPLIÓ CON LA META CUATRIENIO."/>
    <n v="6000000"/>
    <m/>
    <n v="0"/>
  </r>
  <r>
    <n v="302"/>
    <x v="0"/>
    <x v="4"/>
    <x v="9"/>
    <s v="ATENCION INTEGRAL BASICA"/>
    <s v="PROMOVER DURANTE EL CUATRIENIO HABILIDAD DEPORTIVA DE 1.500 ADOLESCENTES VÍCTIMAS DEL CONFLICTO ARMADO CON ESCUELAS DE FORMACIÓN"/>
    <s v="NO. ADOLESCENTES VCA CON HABILIDAD DEPORTIVA EN ESCUELAS DE FORMACIÓN"/>
    <s v="PERSONAS"/>
    <s v="I"/>
    <n v="0"/>
    <n v="1500"/>
    <n v="1500"/>
    <n v="0.16500000000000001"/>
    <n v="4.1250000000000002E-2"/>
    <n v="375"/>
    <n v="0.25"/>
    <n v="752"/>
    <n v="752"/>
    <n v="200.53333333333333"/>
    <n v="100"/>
    <n v="4.1250000000000002E-2"/>
    <n v="100"/>
    <n v="10000000"/>
    <n v="10000000"/>
    <n v="0"/>
    <n v="0"/>
    <n v="0"/>
    <n v="0"/>
    <n v="0"/>
    <n v="0"/>
    <n v="10000000"/>
    <n v="10000000"/>
    <n v="0"/>
    <n v="0"/>
    <n v="0"/>
    <n v="0"/>
    <n v="0"/>
    <n v="0"/>
    <n v="0"/>
    <n v="0"/>
    <n v="0"/>
    <n v="4.1250000000000002E-2"/>
    <n v="375"/>
    <n v="0.25"/>
    <n v="418"/>
    <n v="418"/>
    <n v="111.46666666666667"/>
    <n v="100"/>
    <n v="4.1250000000000002E-2"/>
    <n v="100"/>
    <n v="20000000"/>
    <n v="0"/>
    <n v="20000000"/>
    <n v="0"/>
    <n v="0"/>
    <n v="0"/>
    <n v="0"/>
    <n v="0"/>
    <n v="14202286"/>
    <n v="14202286"/>
    <n v="0"/>
    <n v="0"/>
    <n v="0"/>
    <n v="0"/>
    <n v="0"/>
    <n v="0"/>
    <n v="0"/>
    <n v="0"/>
    <n v="0"/>
    <n v="4.1250000000000002E-2"/>
    <n v="375"/>
    <n v="0.25"/>
    <n v="527"/>
    <n v="527"/>
    <n v="527"/>
    <n v="527"/>
    <n v="140.53333333333333"/>
    <n v="100"/>
    <n v="4.1250000000000002E-2"/>
    <n v="100"/>
    <n v="5.7970000000000008E-2"/>
    <n v="4.1250000000000002E-2"/>
    <n v="375"/>
    <n v="0.25"/>
    <n v="695"/>
    <n v="-320"/>
    <n v="695"/>
    <n v="185.33333333333334"/>
    <n v="100"/>
    <n v="4.1250000000000002E-2"/>
    <n v="7.6450000000000004E-2"/>
    <n v="20000000"/>
    <n v="20000000"/>
    <n v="0"/>
    <n v="0"/>
    <n v="0"/>
    <n v="0"/>
    <n v="0"/>
    <n v="0"/>
    <n v="0"/>
    <n v="0"/>
    <n v="0"/>
    <n v="0"/>
    <n v="0"/>
    <n v="0"/>
    <n v="0"/>
    <n v="0"/>
    <n v="0"/>
    <n v="0"/>
    <n v="0"/>
    <n v="2392"/>
    <n v="0.16500000000000001"/>
    <n v="159.46666666666667"/>
    <n v="100"/>
    <n v="0.16500000000000001"/>
    <n v="0.16500000000000001"/>
    <n v="0.16500000000000001"/>
    <n v="1"/>
    <n v="0"/>
    <n v="74"/>
    <s v="FOMENTAR HABILIDADES Y DESTREZAS CON ACTIVIDADES LÚDICAS, CULTURALES Y DEPORTIVAS ANUALMENTE EN EL 60% DE LAS Y LOS ADOLESCENTES"/>
    <m/>
    <s v=""/>
    <m/>
    <m/>
    <m/>
    <m/>
    <s v="INDEPORTES CONFORMÓ UN EQUIPO DE TRABAJO ADMINISTRATIVO Y TÉCNICO IDÓNEO PARA PROMOVER Y GARANTIZAR LA INCLUSIÓN DE LOS ADOLESCENTES VCA DEL DEPARTAMENTO EN EL PROGRAMA DE ESCUELAS DE FORMACIÓN DEPORTIVA, CONTRIBUYENDO A SU FORMACIÓN INTEGRAL, UNA MEJOR CALIDAD DE VIDA Y UN MEJOR PERFIL HACIA EL DEPORTE. SE CUMPLIÓ CON EL INDICADOR DEFINIDO PARA EL CUATRIENIO."/>
    <n v="10000000"/>
    <m/>
    <n v="10"/>
  </r>
  <r>
    <n v="303"/>
    <x v="0"/>
    <x v="4"/>
    <x v="9"/>
    <s v="ATENCION INTEGRAL BASICA"/>
    <s v="LOGRAR ANUALMENTE QUE 2.329 ESCOLARES VÍCTIMAS DEL CONFLICTO ARMADO PARTICIPEN EN LOS JUEGOS INTERCOLEGIADOS DEPARTAMENTALES."/>
    <s v="NO. DE NIÑOS Y NIÑAS VCA QUE PARTICIPAN ANUALMENTE EN LOS JUEGOS INTERCOLEGIADOS"/>
    <s v="PERSONAS"/>
    <s v="M"/>
    <n v="0"/>
    <n v="2329"/>
    <n v="2329"/>
    <n v="0.16500000000000001"/>
    <n v="4.1250000000000002E-2"/>
    <n v="2329"/>
    <n v="0.25"/>
    <n v="2362"/>
    <n v="590.5"/>
    <n v="101.41691713181623"/>
    <n v="100"/>
    <n v="4.1250000000000002E-2"/>
    <n v="100"/>
    <n v="5000000"/>
    <n v="5000000"/>
    <n v="0"/>
    <n v="0"/>
    <n v="0"/>
    <n v="0"/>
    <n v="0"/>
    <n v="0"/>
    <n v="5000000"/>
    <n v="5000000"/>
    <n v="0"/>
    <n v="0"/>
    <n v="0"/>
    <n v="0"/>
    <n v="0"/>
    <n v="0"/>
    <n v="0"/>
    <n v="0"/>
    <n v="0"/>
    <n v="4.1250000000000002E-2"/>
    <n v="2329"/>
    <n v="0.25"/>
    <n v="2465"/>
    <n v="616.25"/>
    <n v="105.83941605839416"/>
    <n v="100"/>
    <n v="4.1250000000000002E-2"/>
    <n v="100"/>
    <n v="3000000"/>
    <n v="0"/>
    <n v="3000000"/>
    <n v="0"/>
    <n v="0"/>
    <n v="0"/>
    <n v="0"/>
    <n v="0"/>
    <n v="12160743"/>
    <n v="12160743"/>
    <n v="0"/>
    <n v="0"/>
    <n v="0"/>
    <n v="0"/>
    <n v="0"/>
    <n v="0"/>
    <n v="0"/>
    <n v="0"/>
    <n v="0"/>
    <n v="4.1250000000000002E-2"/>
    <n v="2329"/>
    <n v="0.25"/>
    <n v="2331"/>
    <n v="2331"/>
    <n v="2331"/>
    <n v="582.75"/>
    <n v="100.08587376556461"/>
    <n v="100"/>
    <n v="4.1250000000000002E-2"/>
    <n v="100"/>
    <n v="4.1285422928295408E-2"/>
    <n v="4.1250000000000002E-2"/>
    <n v="2329"/>
    <n v="0.25"/>
    <n v="2498"/>
    <n v="-169"/>
    <n v="624.5"/>
    <n v="107.25633319021038"/>
    <n v="100"/>
    <n v="4.1250000000000002E-2"/>
    <n v="4.4243237440961786E-2"/>
    <n v="3000000"/>
    <n v="3000000"/>
    <n v="0"/>
    <n v="0"/>
    <n v="0"/>
    <n v="0"/>
    <n v="0"/>
    <n v="0"/>
    <n v="0"/>
    <n v="0"/>
    <n v="0"/>
    <n v="0"/>
    <n v="0"/>
    <n v="0"/>
    <n v="0"/>
    <n v="0"/>
    <n v="0"/>
    <n v="0"/>
    <n v="0"/>
    <n v="2414"/>
    <n v="0.16500000000000001"/>
    <n v="103.64963503649635"/>
    <n v="100"/>
    <n v="0.16500000000000001"/>
    <n v="0.16500000000000001"/>
    <n v="0.16500000000000001"/>
    <n v="1"/>
    <n v="0"/>
    <n v="74"/>
    <s v="FOMENTAR HABILIDADES Y DESTREZAS CON ACTIVIDADES LÚDICAS, CULTURALES Y DEPORTIVAS ANUALMENTE EN EL 60% DE LAS Y LOS ADOLESCENTES"/>
    <m/>
    <s v=""/>
    <m/>
    <m/>
    <m/>
    <m/>
    <s v="INDEPORTES CONFORMÓ UN EQUIPO DE TRABAJO ADMINISTRATIVO Y TÉCNICO IDÓNEO PARA PROMOVER Y GARANTIZAR LA INCLUSIÓN DE LOS ADOLESCENTES VCA DEL DEPARTAMENTO EN EL PROGRAMA DE DEPORTE EDUCATIVO MEDIANTE LA REALIZACIÓN DE LOS JUEGOS INTERCOLEGIADOS, GARANTIZANDO EL DESARROLLO Y AFIANZAMIENTO DE HABILIDADES EN LAS DISTINTAS DISCIPLINAS DEPORTIVAS DE LOS ESTUDIANTES. SE CUMPLIÓ CON EL INDICADOR DEFINIDO PARA EL CUATRIENIO."/>
    <n v="100000000"/>
    <m/>
    <n v="1"/>
  </r>
  <r>
    <n v="304"/>
    <x v="0"/>
    <x v="4"/>
    <x v="9"/>
    <s v="ATENCION INTEGRAL BASICA"/>
    <s v="FOMENTAR DURANTE EL CUATRIENIO ACTIVIDAD FÍSICA EN 3.600 ADULTAS Y ADULTOS VÍCTIMAS DEL CONFLICTO ARMADO."/>
    <s v="NO. DE ADULTOS VCA QUE PARTICIPAN EN ACTIVIDAD FÍSICA"/>
    <s v="PERSONAS"/>
    <s v="I"/>
    <n v="0"/>
    <n v="3600"/>
    <n v="3600"/>
    <n v="0.16500000000000001"/>
    <n v="4.1250000000000002E-2"/>
    <n v="900"/>
    <n v="0.25"/>
    <n v="910"/>
    <n v="910"/>
    <n v="101.11111111111111"/>
    <n v="100"/>
    <n v="4.1250000000000002E-2"/>
    <n v="100"/>
    <n v="18000000"/>
    <n v="18000000"/>
    <n v="0"/>
    <n v="0"/>
    <n v="0"/>
    <n v="0"/>
    <n v="0"/>
    <n v="0"/>
    <n v="18000000"/>
    <n v="18000000"/>
    <n v="0"/>
    <n v="0"/>
    <n v="0"/>
    <n v="0"/>
    <n v="0"/>
    <n v="0"/>
    <n v="0"/>
    <n v="0"/>
    <n v="0"/>
    <n v="4.1250000000000002E-2"/>
    <n v="900"/>
    <n v="0.25"/>
    <n v="912"/>
    <n v="912"/>
    <n v="101.33333333333333"/>
    <n v="100"/>
    <n v="4.1250000000000002E-2"/>
    <n v="100"/>
    <n v="18000000"/>
    <n v="0"/>
    <n v="18000000"/>
    <n v="0"/>
    <n v="0"/>
    <n v="0"/>
    <n v="0"/>
    <n v="0"/>
    <n v="12160743"/>
    <n v="12160743"/>
    <n v="0"/>
    <n v="0"/>
    <n v="0"/>
    <n v="0"/>
    <n v="0"/>
    <n v="0"/>
    <n v="0"/>
    <n v="0"/>
    <n v="0"/>
    <n v="4.1250000000000002E-2"/>
    <n v="900"/>
    <n v="0.25"/>
    <n v="951"/>
    <n v="951"/>
    <n v="951"/>
    <n v="951"/>
    <n v="105.66666666666667"/>
    <n v="100"/>
    <n v="4.1250000000000002E-2"/>
    <n v="100"/>
    <n v="4.3587500000000008E-2"/>
    <n v="4.1250000000000002E-2"/>
    <n v="900"/>
    <n v="0.25"/>
    <n v="366"/>
    <n v="534"/>
    <n v="366"/>
    <n v="40.666666666666664"/>
    <n v="40.666666666666664"/>
    <n v="1.6774999999999998E-2"/>
    <n v="1.6774999999999998E-2"/>
    <n v="19000000"/>
    <n v="19000000"/>
    <n v="0"/>
    <n v="0"/>
    <n v="0"/>
    <n v="0"/>
    <n v="0"/>
    <n v="0"/>
    <n v="0"/>
    <n v="0"/>
    <n v="0"/>
    <n v="0"/>
    <n v="0"/>
    <n v="0"/>
    <n v="0"/>
    <n v="0"/>
    <n v="0"/>
    <n v="0"/>
    <n v="0"/>
    <n v="3139"/>
    <n v="0.16500000000000001"/>
    <n v="87.194444444444443"/>
    <n v="87.194444444444443"/>
    <n v="0.14387083333333334"/>
    <n v="0.14387083333333334"/>
    <n v="0.14387083333333334"/>
    <n v="1"/>
    <n v="0"/>
    <n v="160"/>
    <s v="BENEFICIAR ANUALMENTE AL 30% DE LAS Y LOS ADULTOS CON ACTIVIDADES CULTURALES, LÚDICAS Y DEPORTIVAS"/>
    <m/>
    <s v=""/>
    <m/>
    <m/>
    <m/>
    <m/>
    <s v="INDEPORTES CONFORMÓ UN EQUIPO DE TRABAJO ADMINISTRATIVO Y TÉCNICO IDÓNEO, QUE PROMOVIÓ EL DESARROLLO DEL PROGRAMA DE ACTIVIDAD FÍSICA Y APROVECHAMIENTO DEL TIEMPO LIBRE CON INCLUSIÓN DE LA POBLACIÓN VCA DEL DEPARTAMENTO, GARANTIZANDO COBERTURAS EN LOS MUNICIPIOS CARACTERIZADOS COMO POST-CONFLICTO."/>
    <n v="40000000"/>
    <m/>
    <n v="1"/>
  </r>
  <r>
    <n v="305"/>
    <x v="0"/>
    <x v="4"/>
    <x v="9"/>
    <s v="ATENCION INTEGRAL BASICA"/>
    <s v="PROMOVER ANUALMENTE INTEGRACIÓN FAMILIAR CON DE 2.000 PERSONAS VCA EN EVENTOS RECREATIVOS."/>
    <s v="NO. INTEGRANTES FAMILIAS VCA CON EVENTOS RECREATIVOS"/>
    <s v="PERSONAS"/>
    <s v="M"/>
    <n v="0"/>
    <n v="2000"/>
    <n v="2000"/>
    <n v="0.16500000000000001"/>
    <n v="4.1250000000000002E-2"/>
    <n v="2000"/>
    <n v="0.25"/>
    <n v="2050"/>
    <n v="512.5"/>
    <n v="102.5"/>
    <n v="100"/>
    <n v="4.1250000000000002E-2"/>
    <n v="100"/>
    <n v="6000000"/>
    <n v="6000000"/>
    <n v="0"/>
    <n v="0"/>
    <n v="0"/>
    <n v="0"/>
    <n v="0"/>
    <n v="0"/>
    <n v="6000000"/>
    <n v="6000000"/>
    <n v="0"/>
    <n v="0"/>
    <n v="0"/>
    <n v="0"/>
    <n v="0"/>
    <n v="0"/>
    <n v="0"/>
    <n v="0"/>
    <n v="0"/>
    <n v="4.1250000000000002E-2"/>
    <n v="2000"/>
    <n v="0.25"/>
    <n v="2131"/>
    <n v="532.75"/>
    <n v="106.55"/>
    <n v="100"/>
    <n v="4.1250000000000002E-2"/>
    <n v="100"/>
    <n v="5000000"/>
    <n v="0"/>
    <n v="5000000"/>
    <n v="0"/>
    <n v="0"/>
    <n v="0"/>
    <n v="0"/>
    <n v="0"/>
    <n v="12160743"/>
    <n v="12160743"/>
    <n v="0"/>
    <n v="0"/>
    <n v="0"/>
    <n v="0"/>
    <n v="0"/>
    <n v="0"/>
    <n v="0"/>
    <n v="0"/>
    <n v="0"/>
    <n v="4.1250000000000002E-2"/>
    <n v="2000"/>
    <n v="0.25"/>
    <n v="853"/>
    <n v="853"/>
    <n v="1919"/>
    <n v="479.75"/>
    <n v="95.95"/>
    <n v="95.95"/>
    <n v="3.9579375E-2"/>
    <n v="95.95"/>
    <n v="3.9579375E-2"/>
    <n v="4.1250000000000002E-2"/>
    <n v="2000"/>
    <n v="0.25"/>
    <n v="672"/>
    <n v="1328"/>
    <n v="168"/>
    <n v="33.6"/>
    <n v="33.6"/>
    <n v="1.3860000000000001E-2"/>
    <n v="1.3860000000000001E-2"/>
    <n v="5000000"/>
    <n v="5000000"/>
    <n v="0"/>
    <n v="0"/>
    <n v="0"/>
    <n v="0"/>
    <n v="0"/>
    <n v="0"/>
    <n v="0"/>
    <n v="0"/>
    <n v="0"/>
    <n v="0"/>
    <n v="0"/>
    <n v="0"/>
    <n v="0"/>
    <n v="0"/>
    <n v="0"/>
    <n v="0"/>
    <n v="0"/>
    <n v="1693"/>
    <n v="0.16500000000000001"/>
    <n v="84.65"/>
    <n v="84.65"/>
    <n v="0.1396725"/>
    <n v="0.1396725"/>
    <n v="0.1396725"/>
    <n v="1"/>
    <n v="0"/>
    <n v="201"/>
    <s v="45.000 FAMILIAS MEJORAN SU CONVIVENCIA POR MEDIO DE LA INTERVENCIÓN DEL PROGRAMA &quot;DEPORTE, CONVIVENCIA Y PAZ&quot;"/>
    <m/>
    <s v=""/>
    <m/>
    <m/>
    <m/>
    <m/>
    <s v="INDEPORTES CONFORMÓ UN EQUIPO DE TRABAJO ADMINISTRATIVO Y TÉCNICO IDÓNEO, QUE PROMOVIÓ EL DESARROLLO DEL PROGRAMA DE RECREACIÓN CON INCLUSIÓN DE LA POBLACIÓN VCA DEL DEPARTAMENTO, GARANTIZANDO COBERTURAS EN LOS MUNICIPIOS CARACTERIZADOS COMO POST-CONFLICTO."/>
    <n v="0"/>
    <m/>
    <n v="0"/>
  </r>
  <r>
    <n v="306"/>
    <x v="0"/>
    <x v="4"/>
    <x v="9"/>
    <s v="ATENCION INTEGRAL BASICA"/>
    <s v="LOGRAR LA PARTICIPACIÓN DE 2.500 PERSONAS VCA EN LOS JUEGOS DEPORTIVOS COMUNALES DEPARTAMENTALES."/>
    <s v="NO. DE PVCA QUE PARTICIPAN EN LOS JUEGOS COMUNALES"/>
    <s v="PERSONAS"/>
    <s v="I"/>
    <n v="0"/>
    <n v="2500"/>
    <n v="2500"/>
    <n v="0.16500000000000001"/>
    <n v="4.1250000000000002E-2"/>
    <n v="625"/>
    <n v="0.25"/>
    <n v="750"/>
    <n v="750"/>
    <n v="120"/>
    <n v="100"/>
    <n v="4.1250000000000002E-2"/>
    <n v="100"/>
    <n v="10000000"/>
    <n v="10000000"/>
    <n v="0"/>
    <n v="0"/>
    <n v="0"/>
    <n v="0"/>
    <n v="0"/>
    <n v="0"/>
    <n v="10000000"/>
    <n v="10000000"/>
    <n v="0"/>
    <n v="0"/>
    <n v="0"/>
    <n v="0"/>
    <n v="0"/>
    <n v="0"/>
    <n v="0"/>
    <n v="0"/>
    <n v="0"/>
    <n v="4.1250000000000002E-2"/>
    <n v="625"/>
    <n v="0.25"/>
    <n v="639"/>
    <n v="639"/>
    <n v="102.24"/>
    <n v="100"/>
    <n v="4.1250000000000002E-2"/>
    <n v="100"/>
    <n v="10000000"/>
    <n v="0"/>
    <n v="10000000"/>
    <n v="0"/>
    <n v="0"/>
    <n v="0"/>
    <n v="0"/>
    <n v="0"/>
    <n v="12160743"/>
    <n v="12160743"/>
    <n v="0"/>
    <n v="0"/>
    <n v="0"/>
    <n v="0"/>
    <n v="0"/>
    <n v="0"/>
    <n v="0"/>
    <n v="0"/>
    <n v="0"/>
    <n v="4.1250000000000002E-2"/>
    <n v="625"/>
    <n v="0.25"/>
    <n v="0"/>
    <n v="0"/>
    <n v="670"/>
    <n v="670"/>
    <n v="107.2"/>
    <n v="100"/>
    <n v="4.1250000000000002E-2"/>
    <n v="100"/>
    <n v="4.4220000000000009E-2"/>
    <n v="4.1250000000000002E-2"/>
    <n v="625"/>
    <n v="0.25"/>
    <n v="0"/>
    <n v="625"/>
    <n v="0"/>
    <n v="0"/>
    <n v="0"/>
    <n v="0"/>
    <n v="0"/>
    <n v="10000000"/>
    <n v="10000000"/>
    <n v="0"/>
    <n v="0"/>
    <n v="0"/>
    <n v="0"/>
    <n v="0"/>
    <n v="0"/>
    <n v="0"/>
    <n v="0"/>
    <n v="0"/>
    <n v="0"/>
    <n v="0"/>
    <n v="0"/>
    <n v="0"/>
    <n v="0"/>
    <n v="0"/>
    <n v="0"/>
    <n v="0"/>
    <n v="2059"/>
    <n v="0.16500000000000001"/>
    <n v="82.36"/>
    <n v="82.36"/>
    <n v="0.13589400000000001"/>
    <n v="0.13589400000000001"/>
    <n v="0.13589400000000001"/>
    <n v="1"/>
    <n v="0"/>
    <n v="160"/>
    <s v="BENEFICIAR ANUALMENTE AL 30% DE LAS Y LOS ADULTOS CON ACTIVIDADES CULTURALES, LÚDICAS Y DEPORTIVAS"/>
    <m/>
    <s v=""/>
    <m/>
    <m/>
    <m/>
    <m/>
    <s v="INDEPORTES CONFORMÓ UN EQUIPO DE TRABAJO ADMINISTRATIVO Y TÉCNICO IDÓNEO, QUE PROMOVIÓ LA INCLUSIÓN DE LA POBLACIÓN EN EL DESARROLLO DE PROGRAMAS DEL DEPORTE SOCIAL COMUNITARIO, DESARROLLANDO Y EJECUTANDO PROGRAMAS EN LOS MUNICIPIOS CARACTERIZADOS COMO POST-CONFLICTO."/>
    <n v="373000000"/>
    <m/>
    <n v="29"/>
  </r>
  <r>
    <n v="307"/>
    <x v="0"/>
    <x v="4"/>
    <x v="9"/>
    <s v="ATENCION INTEGRAL BASICA"/>
    <s v="FOMENTAR DURANTE EL CUATRIENIO ACTIVIDAD FÍSICA ADECUADA A LA EDAD DE 2.800 ADULTAS Y ADULTOS MAYORES VÍCTIMAS DEL CONFLICTO ARMADO (GIMNASIA - AERÓBICOS)."/>
    <s v="NO. DE ADULTOS MAYORES VCA CON ACTIVIDAD FÍSICA ESPECÍFICA"/>
    <s v="PERSONAS"/>
    <s v="I"/>
    <n v="0"/>
    <n v="2800"/>
    <n v="2800"/>
    <n v="0.16500000000000001"/>
    <n v="4.1250000000000002E-2"/>
    <n v="700"/>
    <n v="0.25"/>
    <n v="721"/>
    <n v="721"/>
    <n v="103"/>
    <n v="100"/>
    <n v="4.1250000000000002E-2"/>
    <n v="100"/>
    <n v="10000000"/>
    <n v="10000000"/>
    <n v="0"/>
    <n v="0"/>
    <n v="0"/>
    <n v="0"/>
    <n v="0"/>
    <n v="0"/>
    <n v="10000000"/>
    <n v="10000000"/>
    <n v="0"/>
    <n v="0"/>
    <n v="0"/>
    <n v="0"/>
    <n v="0"/>
    <n v="0"/>
    <n v="0"/>
    <n v="0"/>
    <n v="0"/>
    <n v="4.1250000000000002E-2"/>
    <n v="700"/>
    <n v="0.25"/>
    <n v="740"/>
    <n v="740"/>
    <n v="105.71428571428571"/>
    <n v="100"/>
    <n v="4.1250000000000002E-2"/>
    <n v="100"/>
    <n v="20000000"/>
    <n v="0"/>
    <n v="20000000"/>
    <n v="0"/>
    <n v="0"/>
    <n v="0"/>
    <n v="0"/>
    <n v="0"/>
    <n v="12160743"/>
    <n v="12160743"/>
    <n v="0"/>
    <n v="0"/>
    <n v="0"/>
    <n v="0"/>
    <n v="0"/>
    <n v="0"/>
    <n v="0"/>
    <n v="0"/>
    <n v="0"/>
    <n v="4.1250000000000002E-2"/>
    <n v="700"/>
    <n v="0.25"/>
    <n v="731"/>
    <n v="731"/>
    <n v="731"/>
    <n v="731"/>
    <n v="104.42857142857143"/>
    <n v="100"/>
    <n v="4.1250000000000002E-2"/>
    <n v="100"/>
    <n v="4.307678571428572E-2"/>
    <n v="4.1250000000000002E-2"/>
    <n v="700"/>
    <n v="0.25"/>
    <n v="765"/>
    <n v="-65"/>
    <n v="765"/>
    <n v="109.28571428571429"/>
    <n v="100"/>
    <n v="4.1250000000000002E-2"/>
    <n v="4.5080357142857144E-2"/>
    <n v="20000000"/>
    <n v="20000000"/>
    <n v="0"/>
    <n v="0"/>
    <n v="0"/>
    <n v="0"/>
    <n v="0"/>
    <n v="0"/>
    <n v="0"/>
    <n v="0"/>
    <n v="0"/>
    <n v="0"/>
    <n v="0"/>
    <n v="0"/>
    <n v="0"/>
    <n v="0"/>
    <n v="0"/>
    <n v="0"/>
    <n v="0"/>
    <n v="2957"/>
    <n v="0.16500000000000001"/>
    <n v="105.60714285714286"/>
    <n v="100"/>
    <n v="0.16500000000000001"/>
    <n v="0.16500000000000001"/>
    <n v="0.16500000000000001"/>
    <n v="1"/>
    <n v="0"/>
    <n v="179"/>
    <s v="POTENCIALIZAR HABILIDADES Y DESTREZAS EN EL 5% DE LAS PERSONAS ADULTAS MAYORES CON Y SIN DISCAPACIDAD COMO USUARIOS DE PROGRAMAS CULTURALES, RECREATIVOS Y LÚDICOS CADA AÑO"/>
    <m/>
    <s v=""/>
    <m/>
    <m/>
    <m/>
    <m/>
    <s v="INDEPORTES CONFORMÓ UN EQUIPO DE TRABAJO ADMINISTRATIVO Y TÉCNICO IDÓNEO, QUE PROMOVIÓ EL DESARROLLO DEL PROGRAMA DE ACTIVIDAD FÍSICA Y APROVECHAMIENTO DEL TIEMPO LIBRE CON INCLUSIÓN DE LA POBLACIÓN VCA DEL DEPARTAMENTO, GARANTIZANDO COBERTURAS EN LOS MUNICIPIOS CARACTERIZADOS COMO POST-CONFLICTO."/>
    <n v="35000000"/>
    <m/>
    <n v="10"/>
  </r>
  <r>
    <n v="308"/>
    <x v="0"/>
    <x v="4"/>
    <x v="9"/>
    <s v="ATENCION INTEGRAL BASICA"/>
    <s v="PROMOVER LA PARTICIPACIÓN CADA AÑO DE 2500 PERSONAS, VÍCTIMAS DEL CONFLICTO ARMADO EN EVENTOS RECREATIVOS PARA ADULTAS Y ADULTOS MAYORES"/>
    <s v="NO. DE ADULTOS MAYORES VCA QUE PARTICIPAN EN EVENTOS RECREATIVOS"/>
    <s v="PERSONAS"/>
    <s v="M"/>
    <n v="0"/>
    <n v="2500"/>
    <n v="2500"/>
    <n v="0.16500000000000001"/>
    <n v="4.1250000000000002E-2"/>
    <n v="2500"/>
    <n v="0.25"/>
    <n v="2500"/>
    <n v="625"/>
    <n v="100"/>
    <n v="100"/>
    <n v="4.1250000000000002E-2"/>
    <n v="100"/>
    <n v="5000000"/>
    <n v="5000000"/>
    <n v="0"/>
    <n v="0"/>
    <n v="0"/>
    <n v="0"/>
    <n v="0"/>
    <n v="0"/>
    <n v="5000000"/>
    <n v="5000000"/>
    <n v="0"/>
    <n v="0"/>
    <n v="0"/>
    <n v="0"/>
    <n v="0"/>
    <n v="0"/>
    <n v="0"/>
    <n v="0"/>
    <n v="0"/>
    <n v="4.1250000000000002E-2"/>
    <n v="2500"/>
    <n v="0.25"/>
    <n v="2686"/>
    <n v="671.5"/>
    <n v="107.44"/>
    <n v="100"/>
    <n v="4.1250000000000002E-2"/>
    <n v="100"/>
    <n v="3000000"/>
    <n v="0"/>
    <n v="3000000"/>
    <n v="0"/>
    <n v="0"/>
    <n v="0"/>
    <n v="0"/>
    <n v="0"/>
    <n v="12160743"/>
    <n v="12160743"/>
    <n v="0"/>
    <n v="0"/>
    <n v="0"/>
    <n v="0"/>
    <n v="0"/>
    <n v="0"/>
    <n v="0"/>
    <n v="0"/>
    <n v="0"/>
    <n v="4.1250000000000002E-2"/>
    <n v="2500"/>
    <n v="0.25"/>
    <n v="482"/>
    <n v="482"/>
    <n v="2411"/>
    <n v="602.75"/>
    <n v="96.44"/>
    <n v="96.44"/>
    <n v="3.9781500000000004E-2"/>
    <n v="96.44"/>
    <n v="3.9781500000000004E-2"/>
    <n v="4.1250000000000002E-2"/>
    <n v="2500"/>
    <n v="0.25"/>
    <n v="2576"/>
    <n v="-76"/>
    <n v="644"/>
    <n v="103.04"/>
    <n v="100"/>
    <n v="4.1250000000000002E-2"/>
    <n v="4.2504000000000007E-2"/>
    <n v="5000000"/>
    <n v="5000000"/>
    <n v="0"/>
    <n v="0"/>
    <n v="0"/>
    <n v="0"/>
    <n v="0"/>
    <n v="0"/>
    <n v="0"/>
    <n v="0"/>
    <n v="0"/>
    <n v="0"/>
    <n v="0"/>
    <n v="0"/>
    <n v="0"/>
    <n v="0"/>
    <n v="0"/>
    <n v="0"/>
    <n v="0"/>
    <n v="2543.25"/>
    <n v="0.16500000000000001"/>
    <n v="101.73"/>
    <n v="100"/>
    <n v="0.16500000000000001"/>
    <n v="0.16500000000000001"/>
    <n v="0.16500000000000001"/>
    <n v="1"/>
    <n v="0"/>
    <n v="179"/>
    <s v="POTENCIALIZAR HABILIDADES Y DESTREZAS EN EL 5% DE LAS PERSONAS ADULTAS MAYORES CON Y SIN DISCAPACIDAD COMO USUARIOS DE PROGRAMAS CULTURALES, RECREATIVOS Y LÚDICOS CADA AÑO"/>
    <m/>
    <s v=""/>
    <m/>
    <m/>
    <m/>
    <m/>
    <s v="INDEPORTES CONFORMÓ UN EQUIPO DE TRABAJO ADMINISTRATIVO Y TÉCNICO IDÓNEO, QUE PROMOVIÓ EL DESARROLLO DEL PROGRAMA DE RECREACIÓN CON INCLUSIÓN DE LA POBLACIÓN VCA DEL DEPARTAMENTO, GARANTIZANDO COBERTURAS EN LOS MUNICIPIOS CARACTERIZADOS COMO POST-CONFLICTO."/>
    <n v="0"/>
    <m/>
    <n v="100"/>
  </r>
  <r>
    <n v="309"/>
    <x v="0"/>
    <x v="11"/>
    <x v="9"/>
    <s v="ATENCION INTEGRAL BASICA"/>
    <s v="FOMENTAR EL EMPLEO Y EMPRENDIMIENTO EN 100% DE LA POBLACIÓN ECONÓMICAMENTE ACTIVA, VÍCTIMA DEL CONFLICTO ARMADO CON PROCESOS DE CONVOCATORIA COMPETENCIAS LABORALES, CAPACITACIÓN, CREACIÓN DE EMPRESA."/>
    <s v="% DE PVCA EN PROCESOS DE COMPETENCIA LABORAL Y DE EMPRENDIMIENTO"/>
    <s v="PORCENTAJE DE PERSONAS"/>
    <s v="I"/>
    <n v="0"/>
    <n v="100"/>
    <n v="100"/>
    <n v="0.16500000000000001"/>
    <n v="8.2500000000000004E-3"/>
    <n v="5"/>
    <n v="0.05"/>
    <n v="0"/>
    <n v="0"/>
    <n v="0"/>
    <n v="0"/>
    <n v="0"/>
    <n v="0"/>
    <n v="11000000"/>
    <n v="11000000"/>
    <n v="0"/>
    <n v="0"/>
    <n v="0"/>
    <n v="0"/>
    <n v="0"/>
    <n v="0"/>
    <n v="0"/>
    <n v="0"/>
    <n v="0"/>
    <n v="0"/>
    <n v="0"/>
    <n v="0"/>
    <n v="0"/>
    <n v="0"/>
    <n v="0"/>
    <n v="0"/>
    <n v="0"/>
    <n v="4.9500000000000002E-2"/>
    <n v="30"/>
    <n v="0.3"/>
    <n v="53.2"/>
    <n v="53.2"/>
    <n v="177.33333333333334"/>
    <n v="100"/>
    <n v="4.9500000000000002E-2"/>
    <n v="100"/>
    <n v="0"/>
    <n v="0"/>
    <n v="0"/>
    <n v="0"/>
    <n v="0"/>
    <n v="0"/>
    <n v="0"/>
    <n v="0"/>
    <n v="94400000"/>
    <n v="94400000"/>
    <n v="0"/>
    <n v="0"/>
    <n v="0"/>
    <n v="0"/>
    <n v="0"/>
    <n v="0"/>
    <n v="0"/>
    <n v="0"/>
    <n v="0"/>
    <n v="4.9500000000000002E-2"/>
    <n v="30"/>
    <n v="0.3"/>
    <n v="0.18000000715255737"/>
    <n v="0"/>
    <n v="20.72"/>
    <n v="20.72"/>
    <n v="69.066666666666663"/>
    <n v="69.066666666666663"/>
    <n v="3.4188000000000003E-2"/>
    <n v="69.066666666666663"/>
    <n v="3.4188000000000003E-2"/>
    <n v="5.7749999999999996E-2"/>
    <n v="35"/>
    <n v="0.35"/>
    <n v="10"/>
    <n v="25"/>
    <n v="10"/>
    <n v="28.571428571428573"/>
    <n v="28.571428571428573"/>
    <n v="1.6500000000000001E-2"/>
    <n v="1.6500000000000001E-2"/>
    <n v="0"/>
    <n v="0"/>
    <n v="0"/>
    <n v="0"/>
    <n v="0"/>
    <n v="0"/>
    <n v="0"/>
    <n v="0"/>
    <n v="0"/>
    <n v="0"/>
    <n v="0"/>
    <n v="0"/>
    <n v="0"/>
    <n v="0"/>
    <n v="0"/>
    <n v="0"/>
    <n v="0"/>
    <n v="0"/>
    <n v="0"/>
    <n v="83.92"/>
    <n v="0.16500000000000001"/>
    <n v="83.92"/>
    <n v="83.92"/>
    <n v="0.13846800000000001"/>
    <n v="0.13846800000000001"/>
    <n v="0.13846800000000001"/>
    <n v="0.99999999999999989"/>
    <n v="0"/>
    <n v="269"/>
    <s v="116 MUNICIPIOS RESTITUYEN DERECHOS Y MEJORAN CALIDAD DE VIDA DE LAS VÍCTIMAS DEL CONFLICTO ARMADO"/>
    <m/>
    <s v=""/>
    <m/>
    <m/>
    <m/>
    <m/>
    <s v="SE OBTUVO LA PARTICIPACIÓN DE LA POBLACIÓN VICTIMA DEL CONFLICTO ARMADO EN MÁS DE 40 MUNICIPIOS, LOS CUALES FORTALECIERON SUS COMPETENCIAS EMPRESARIALES A TRAVÉS DE CAPACITACIONES CON EL SENA, ACOMPAÑAMIENTO EN EL DESARROLLO DE LOS PROYECTOS PRODUCTIVOS, ASESORÍA EN LOS PLANES DE NEGOCIOS Y SE INCENTIVÓ EL TRABAJO ASOCIATIVO."/>
    <n v="137000000"/>
    <m/>
    <n v="4"/>
  </r>
  <r>
    <n v="310"/>
    <x v="0"/>
    <x v="11"/>
    <x v="9"/>
    <s v="ATENCION INTEGRAL BASICA"/>
    <s v="APOYAR, VINCULAR AL 100% DE LA POBLACIÓN ECONÓMICAMENTE ACTIVA, VÍCTIMA DEL CONFLICTO ARMADO QUE PARTICIPE EN LA CONVOCATORIA EN PROCESOS DE COMPETENCIAS LABORALES, CAPACITACIÓN, CREACIÓN DE EMPRESA Y EMPLEABILIDAD. CON ENFOQUE DIFERENCIAL, AFRO DESCENDIE"/>
    <s v="% DE PERSONAS FORMADAS Y FORTALECIDAS"/>
    <s v="PORCENTAJE DE PERSONAS"/>
    <s v="I"/>
    <n v="0"/>
    <n v="100"/>
    <n v="100"/>
    <n v="0.16500000000000001"/>
    <n v="1.6500000000000001E-2"/>
    <n v="10"/>
    <n v="0.1"/>
    <n v="0.57999999999999996"/>
    <n v="0.57999999999999996"/>
    <n v="5.7999999999999989"/>
    <n v="5.7999999999999989"/>
    <n v="9.5699999999999995E-4"/>
    <n v="5.7999999999999989"/>
    <n v="128958000"/>
    <n v="128958000"/>
    <n v="0"/>
    <n v="0"/>
    <n v="0"/>
    <n v="0"/>
    <n v="0"/>
    <n v="0"/>
    <n v="7978000"/>
    <n v="7978000"/>
    <n v="0"/>
    <n v="0"/>
    <n v="0"/>
    <n v="0"/>
    <n v="0"/>
    <n v="0"/>
    <n v="0"/>
    <n v="0"/>
    <n v="0"/>
    <n v="4.9500000000000002E-2"/>
    <n v="30"/>
    <n v="0.3"/>
    <n v="29.2"/>
    <n v="29.2"/>
    <n v="97.333333333333329"/>
    <n v="97.333333333333329"/>
    <n v="4.8179999999999994E-2"/>
    <n v="97.333333333333329"/>
    <n v="0"/>
    <n v="0"/>
    <n v="0"/>
    <n v="0"/>
    <n v="0"/>
    <n v="0"/>
    <n v="0"/>
    <n v="0"/>
    <n v="639000000"/>
    <n v="639000000"/>
    <n v="0"/>
    <n v="0"/>
    <n v="0"/>
    <n v="0"/>
    <n v="0"/>
    <n v="0"/>
    <n v="0"/>
    <n v="0"/>
    <n v="0"/>
    <n v="4.9500000000000002E-2"/>
    <n v="30"/>
    <n v="0.3"/>
    <n v="0"/>
    <n v="0"/>
    <n v="17.82"/>
    <n v="17.82"/>
    <n v="59.4"/>
    <n v="59.4"/>
    <n v="2.9403000000000002E-2"/>
    <n v="59.4"/>
    <n v="2.9403000000000002E-2"/>
    <n v="4.9500000000000002E-2"/>
    <n v="30"/>
    <n v="0.3"/>
    <n v="8"/>
    <n v="22"/>
    <n v="8"/>
    <n v="26.666666666666668"/>
    <n v="26.666666666666668"/>
    <n v="1.32E-2"/>
    <n v="1.32E-2"/>
    <n v="0"/>
    <n v="0"/>
    <n v="0"/>
    <n v="0"/>
    <n v="0"/>
    <n v="0"/>
    <n v="0"/>
    <n v="0"/>
    <n v="0"/>
    <n v="0"/>
    <n v="0"/>
    <n v="0"/>
    <n v="0"/>
    <n v="0"/>
    <n v="0"/>
    <n v="0"/>
    <n v="0"/>
    <n v="0"/>
    <n v="0"/>
    <n v="55.599999999999994"/>
    <n v="0.16500000000000001"/>
    <n v="55.599999999999994"/>
    <n v="55.599999999999994"/>
    <n v="9.1739999999999988E-2"/>
    <n v="9.1739999999999988E-2"/>
    <n v="9.1739999999999988E-2"/>
    <n v="1"/>
    <n v="0"/>
    <n v="269"/>
    <s v="116 MUNICIPIOS RESTITUYEN DERECHOS Y MEJORAN CALIDAD DE VIDA DE LAS VÍCTIMAS DEL CONFLICTO ARMADO"/>
    <m/>
    <s v=""/>
    <m/>
    <m/>
    <m/>
    <m/>
    <s v="SE MEJORÓ LA PRODUCTIVIDAD Y LOS INGRESOS DE LAS FAMILIAS VÍCTIMAS DEL CONFLICTO ARMADO DE CUNDINAMARCA, CON LA FORMALIZACIÓN Y DOTACIÓN (51) CINCUENTA Y UNA UNIDADES PRODUCTIVAS DE MAQUINARIA Y EQUIPO PARA LA PUESTA EN MARCHA DE SUS ACTIVIDADES ECONÓMICAS, POSIBILITANDO LA GENERACIÓN DE TRABAJO Y EMPLEABILIDAD EN LAS ZONAS DEL DEPARTAMENTO CON MAYORES ÍNDICES DE DESPLAZAMIENTO."/>
    <n v="20000000"/>
    <m/>
    <n v="1"/>
  </r>
  <r>
    <n v="311"/>
    <x v="0"/>
    <x v="12"/>
    <x v="9"/>
    <s v="ATENCION INTEGRAL BASICA"/>
    <s v="INCORPORAR DURANTE EL CUATRIENIO A 500 FAMILIAS VÍCTIMAS DEL CONFLICTO Y EN CONDICIÓN DE DESPLAZAMIENTO A PROYECTOS Y SISTEMA PRODUCTIVO."/>
    <s v="NO. DE FAMILIAS VCA REINCORPORADAS AL SISTEMA PRODUCTIVO"/>
    <s v="FAMILIAS"/>
    <s v="I"/>
    <n v="200"/>
    <n v="700"/>
    <n v="500"/>
    <n v="0.16500000000000001"/>
    <n v="3.3000000000000002E-2"/>
    <n v="100"/>
    <n v="0.2"/>
    <n v="154"/>
    <n v="154"/>
    <n v="154"/>
    <n v="100"/>
    <n v="3.3000000000000002E-2"/>
    <n v="100"/>
    <n v="200000000"/>
    <n v="200000000"/>
    <n v="0"/>
    <n v="0"/>
    <n v="0"/>
    <n v="0"/>
    <n v="0"/>
    <n v="0"/>
    <n v="200000000"/>
    <n v="200000000"/>
    <n v="0"/>
    <n v="0"/>
    <n v="0"/>
    <n v="0"/>
    <n v="0"/>
    <n v="0"/>
    <n v="0"/>
    <n v="25000000"/>
    <s v="MUNICIPIOS"/>
    <n v="3.3000000000000002E-2"/>
    <n v="100"/>
    <n v="0.2"/>
    <n v="110"/>
    <n v="110"/>
    <n v="110"/>
    <n v="100"/>
    <n v="3.3000000000000002E-2"/>
    <n v="100"/>
    <n v="130000000"/>
    <n v="0"/>
    <n v="130000000"/>
    <n v="0"/>
    <n v="0"/>
    <n v="0"/>
    <n v="0"/>
    <n v="0"/>
    <n v="97500000"/>
    <n v="97500000"/>
    <n v="0"/>
    <n v="0"/>
    <n v="0"/>
    <n v="0"/>
    <n v="0"/>
    <n v="0"/>
    <n v="0"/>
    <n v="10000000"/>
    <s v="MUNICIPIOS "/>
    <n v="3.3000000000000002E-2"/>
    <n v="100"/>
    <n v="0.2"/>
    <n v="159"/>
    <n v="247"/>
    <n v="304"/>
    <n v="304"/>
    <n v="304"/>
    <n v="100"/>
    <n v="3.3000000000000002E-2"/>
    <n v="100"/>
    <n v="0.10032000000000001"/>
    <n v="6.6000000000000003E-2"/>
    <n v="200"/>
    <n v="0.4"/>
    <n v="74"/>
    <n v="126"/>
    <n v="74"/>
    <n v="37"/>
    <n v="37"/>
    <n v="2.4420000000000001E-2"/>
    <n v="2.4420000000000001E-2"/>
    <n v="300000000"/>
    <n v="300000000"/>
    <n v="0"/>
    <n v="0"/>
    <n v="0"/>
    <n v="0"/>
    <n v="0"/>
    <n v="0"/>
    <n v="0"/>
    <n v="0"/>
    <n v="0"/>
    <n v="0"/>
    <n v="0"/>
    <n v="0"/>
    <n v="0"/>
    <n v="0"/>
    <n v="0"/>
    <n v="0"/>
    <n v="0"/>
    <n v="642"/>
    <n v="0.16500000000000001"/>
    <n v="128.4"/>
    <n v="100"/>
    <n v="0.16500000000000001"/>
    <n v="0.16500000000000001"/>
    <n v="0.16500000000000001"/>
    <n v="1"/>
    <n v="0"/>
    <n v="269"/>
    <s v="116 MUNICIPIOS RESTITUYEN DERECHOS Y MEJORAN CALIDAD DE VIDA DE LAS VÍCTIMAS DEL CONFLICTO ARMADO"/>
    <m/>
    <s v=""/>
    <m/>
    <m/>
    <m/>
    <m/>
    <s v="GENERACIÓN DE INGRESOS A 642 FAMILIAS EN CONDICIÓN DE DESPLAZAMIENTO A TRAVÉS DE IMPLEMENTACIÓN DE PROYECTOS PRODUCTIVOS ."/>
    <n v="0"/>
    <m/>
    <n v="5"/>
  </r>
  <r>
    <n v="312"/>
    <x v="0"/>
    <x v="12"/>
    <x v="9"/>
    <s v="ATENCION INTEGRAL BASICA"/>
    <s v="INCORPORAR DURANTE EL CUATRIENIO A 150 MUJERES VÍCTIMAS DEL CONFLICTO Y EN CONDICIÓN DE DESPLAZAMIENTO A FINANCIACIÓN PROYECTOS Y SECTOR PRODUCTIVO."/>
    <s v="NO. DE MUJERES VCA REINCORPORADAS AL SISTEMA PRODUCTIVO"/>
    <s v="PERSONAS"/>
    <s v="I"/>
    <n v="0"/>
    <n v="150"/>
    <n v="150"/>
    <n v="0.16500000000000001"/>
    <n v="2.2000000000000002E-2"/>
    <n v="20"/>
    <n v="0.13333333333333333"/>
    <n v="102"/>
    <n v="102"/>
    <n v="510"/>
    <n v="100"/>
    <n v="2.2000000000000002E-2"/>
    <n v="100"/>
    <n v="0"/>
    <n v="0"/>
    <n v="0"/>
    <n v="0"/>
    <n v="0"/>
    <n v="0"/>
    <n v="0"/>
    <n v="0"/>
    <n v="0"/>
    <n v="0"/>
    <n v="0"/>
    <n v="0"/>
    <n v="0"/>
    <n v="0"/>
    <n v="0"/>
    <n v="0"/>
    <n v="0"/>
    <n v="0"/>
    <n v="0"/>
    <n v="5.5E-2"/>
    <n v="50"/>
    <n v="0.33333333333333331"/>
    <n v="0"/>
    <n v="0"/>
    <n v="0"/>
    <n v="0"/>
    <n v="0"/>
    <n v="0"/>
    <n v="46000000"/>
    <n v="0"/>
    <n v="46000000"/>
    <n v="0"/>
    <n v="0"/>
    <n v="0"/>
    <n v="0"/>
    <n v="0"/>
    <n v="0"/>
    <n v="0"/>
    <n v="0"/>
    <n v="0"/>
    <n v="0"/>
    <n v="0"/>
    <n v="0"/>
    <n v="0"/>
    <n v="0"/>
    <n v="0"/>
    <n v="0"/>
    <n v="5.5E-2"/>
    <n v="50"/>
    <n v="0.33333333333333331"/>
    <n v="49"/>
    <n v="79"/>
    <n v="79"/>
    <n v="79"/>
    <n v="158"/>
    <n v="100"/>
    <n v="5.5E-2"/>
    <n v="100"/>
    <n v="8.6899999999999991E-2"/>
    <n v="3.3000000000000002E-2"/>
    <n v="30"/>
    <n v="0.2"/>
    <n v="0"/>
    <n v="30"/>
    <n v="0"/>
    <n v="0"/>
    <n v="0"/>
    <n v="0"/>
    <n v="0"/>
    <n v="105000000"/>
    <n v="105000000"/>
    <n v="0"/>
    <n v="0"/>
    <n v="0"/>
    <n v="0"/>
    <n v="0"/>
    <n v="0"/>
    <n v="0"/>
    <n v="0"/>
    <n v="0"/>
    <n v="0"/>
    <n v="0"/>
    <n v="0"/>
    <n v="0"/>
    <n v="0"/>
    <n v="0"/>
    <n v="0"/>
    <n v="0"/>
    <n v="181"/>
    <n v="0.16500000000000001"/>
    <n v="120.66666666666667"/>
    <n v="100"/>
    <n v="0.16500000000000001"/>
    <n v="0.16500000000000001"/>
    <n v="0.16500000000000001"/>
    <n v="1"/>
    <n v="0"/>
    <n v="269"/>
    <s v="116 MUNICIPIOS RESTITUYEN DERECHOS Y MEJORAN CALIDAD DE VIDA DE LAS VÍCTIMAS DEL CONFLICTO ARMADO"/>
    <m/>
    <s v=""/>
    <m/>
    <m/>
    <m/>
    <m/>
    <s v="GENERACIÓN DE INGRESOS A 181 MUJERES EN CONDICIÓN DE DESPLAZAMIENTO A TRAVES DE IMPLEMENTACION DE PROYECTOS PRODUCTIVOS ."/>
    <n v="0"/>
    <m/>
    <n v="0"/>
  </r>
  <r>
    <n v="313"/>
    <x v="0"/>
    <x v="12"/>
    <x v="9"/>
    <s v="ATENCION INTEGRAL BASICA"/>
    <s v="INCORPORAR DURANTE EL CUATRIENIO A 50 FAMILIAS INDÍGENAS VÍCTIMAS DEL CONFLICTO Y EN CONDICIÓN DE DESPLAZAMIENTO A FINANCIACIÓN PROYECTOS Y SECTOR PRODUCTIVO."/>
    <s v="NO. DE FAMILIAS INDÍGENAS VCA REINCORPORADAS AL SISTEMA PRODUCTIVO"/>
    <s v="FAMILIAS"/>
    <s v="I"/>
    <n v="0"/>
    <n v="50"/>
    <n v="50"/>
    <n v="0.16500000000000001"/>
    <n v="3.3000000000000002E-2"/>
    <n v="10"/>
    <n v="0.2"/>
    <n v="0"/>
    <n v="0"/>
    <n v="0"/>
    <n v="0"/>
    <n v="0"/>
    <n v="0"/>
    <n v="0"/>
    <n v="0"/>
    <n v="0"/>
    <n v="0"/>
    <n v="0"/>
    <n v="0"/>
    <n v="0"/>
    <n v="0"/>
    <n v="0"/>
    <n v="0"/>
    <n v="0"/>
    <n v="0"/>
    <n v="0"/>
    <n v="0"/>
    <n v="0"/>
    <n v="0"/>
    <n v="0"/>
    <n v="0"/>
    <n v="0"/>
    <n v="3.3000000000000002E-2"/>
    <n v="10"/>
    <n v="0.2"/>
    <n v="0"/>
    <n v="0"/>
    <n v="0"/>
    <n v="0"/>
    <n v="0"/>
    <n v="0"/>
    <n v="20000000"/>
    <n v="0"/>
    <n v="20000000"/>
    <n v="0"/>
    <n v="0"/>
    <n v="0"/>
    <n v="0"/>
    <n v="0"/>
    <n v="0"/>
    <n v="0"/>
    <n v="0"/>
    <n v="0"/>
    <n v="0"/>
    <n v="0"/>
    <n v="0"/>
    <n v="0"/>
    <n v="0"/>
    <n v="0"/>
    <n v="0"/>
    <n v="3.3000000000000002E-2"/>
    <n v="10"/>
    <n v="0.2"/>
    <n v="0"/>
    <n v="0"/>
    <n v="12"/>
    <n v="12"/>
    <n v="120"/>
    <n v="100"/>
    <n v="3.3000000000000002E-2"/>
    <n v="100"/>
    <n v="3.9599999999999996E-2"/>
    <n v="6.6000000000000003E-2"/>
    <n v="20"/>
    <n v="0.4"/>
    <n v="34"/>
    <n v="-14"/>
    <n v="34"/>
    <n v="170"/>
    <n v="100"/>
    <n v="6.6000000000000003E-2"/>
    <n v="0.11220000000000001"/>
    <n v="45000000"/>
    <n v="45000000"/>
    <n v="0"/>
    <n v="0"/>
    <n v="0"/>
    <n v="0"/>
    <n v="0"/>
    <n v="0"/>
    <n v="0"/>
    <n v="0"/>
    <n v="0"/>
    <n v="0"/>
    <n v="0"/>
    <n v="0"/>
    <n v="0"/>
    <n v="0"/>
    <n v="0"/>
    <n v="0"/>
    <n v="0"/>
    <n v="46"/>
    <n v="0.16500000000000001"/>
    <n v="92"/>
    <n v="92"/>
    <n v="0.15180000000000002"/>
    <n v="0.15180000000000002"/>
    <n v="0.15180000000000002"/>
    <n v="1"/>
    <n v="0"/>
    <n v="269"/>
    <s v="116 MUNICIPIOS RESTITUYEN DERECHOS Y MEJORAN CALIDAD DE VIDA DE LAS VÍCTIMAS DEL CONFLICTO ARMADO"/>
    <m/>
    <s v=""/>
    <m/>
    <m/>
    <m/>
    <m/>
    <s v="GENERACIÓN DE INGRESOS A 32 FAMILIAS INDIGENAS EN CONDICIÓN DE DESPLAZAMIENTO A TRAVÉS DE IMPLEMENTACIÓN DE PROYECTOS PRODUCTIVOS ."/>
    <n v="0"/>
    <m/>
    <n v="1"/>
  </r>
  <r>
    <n v="314"/>
    <x v="0"/>
    <x v="1"/>
    <x v="9"/>
    <s v="ATENCION INTEGRAL BASICA"/>
    <s v="PROMOVER HABILIDADES DE ASOCIATIVIDAD PARA EL TRABAJO Y GENERACIÓN DE FUENTES DE INGRESOS CON 3 CONVENIOS INTERINSTITUCIONALES PARA LAS VCA."/>
    <s v="NO. DE CONVENIOS QUE FOMENTAN HABILIDADES EN FUENTES DE INGRESO PARA LAS PVCA"/>
    <s v="CONVENIOS"/>
    <s v="I"/>
    <n v="0"/>
    <n v="3"/>
    <n v="3"/>
    <n v="0.16500000000000001"/>
    <n v="0"/>
    <n v="0"/>
    <n v="0"/>
    <n v="0"/>
    <n v="0"/>
    <n v="0"/>
    <n v="0"/>
    <n v="0"/>
    <n v="0"/>
    <n v="0"/>
    <n v="0"/>
    <n v="0"/>
    <n v="0"/>
    <n v="0"/>
    <n v="0"/>
    <n v="0"/>
    <n v="0"/>
    <n v="0"/>
    <n v="0"/>
    <n v="0"/>
    <n v="0"/>
    <n v="0"/>
    <n v="0"/>
    <n v="0"/>
    <n v="0"/>
    <n v="0"/>
    <n v="0"/>
    <n v="0"/>
    <n v="5.5E-2"/>
    <n v="1"/>
    <n v="0.33333333333333331"/>
    <n v="0"/>
    <n v="0"/>
    <n v="0"/>
    <n v="0"/>
    <n v="0"/>
    <n v="0"/>
    <n v="12500000"/>
    <n v="0"/>
    <n v="5000000"/>
    <n v="0"/>
    <n v="0"/>
    <n v="0"/>
    <n v="0"/>
    <n v="7500000"/>
    <n v="26000000"/>
    <n v="26000000"/>
    <n v="0"/>
    <n v="0"/>
    <n v="0"/>
    <n v="0"/>
    <n v="0"/>
    <n v="0"/>
    <n v="0"/>
    <n v="0"/>
    <n v="0"/>
    <n v="5.5E-2"/>
    <n v="1"/>
    <n v="0.33333333333333331"/>
    <n v="0"/>
    <n v="0"/>
    <n v="1"/>
    <n v="1"/>
    <n v="100"/>
    <n v="100"/>
    <n v="5.5E-2"/>
    <n v="100"/>
    <n v="5.5E-2"/>
    <n v="5.5E-2"/>
    <n v="1"/>
    <n v="0.33333333333333331"/>
    <n v="3"/>
    <n v="-2"/>
    <n v="3"/>
    <n v="300"/>
    <n v="100"/>
    <n v="5.5E-2"/>
    <n v="0.16500000000000001"/>
    <n v="19500000"/>
    <n v="12000000"/>
    <n v="0"/>
    <n v="0"/>
    <n v="0"/>
    <n v="0"/>
    <n v="0"/>
    <n v="7500000"/>
    <n v="0"/>
    <n v="0"/>
    <n v="0"/>
    <n v="0"/>
    <n v="0"/>
    <n v="0"/>
    <n v="0"/>
    <n v="0"/>
    <n v="0"/>
    <n v="0"/>
    <n v="0"/>
    <n v="4"/>
    <n v="0.16500000000000001"/>
    <n v="133.33333333333334"/>
    <n v="100"/>
    <n v="0.16500000000000001"/>
    <n v="0.16500000000000001"/>
    <n v="0.16500000000000001"/>
    <n v="1"/>
    <n v="0"/>
    <n v="269"/>
    <s v="116 MUNICIPIOS RESTITUYEN DERECHOS Y MEJORAN CALIDAD DE VIDA DE LAS VÍCTIMAS DEL CONFLICTO ARMADO"/>
    <m/>
    <s v=""/>
    <m/>
    <m/>
    <m/>
    <m/>
    <s v="PROMOCIÓN DE HABILIDADES DE ASOCIATIVIDAD EN MÁS DE 100 FAMILIAS BENEFICIARIAS DE PROYECTOS PRODUCTIVOS EN LOS MUNICIPIOS DE SAN JUAN DE RIOSECO, BELTRÁN, GUAYABAL DE SIQUIMA, CAPARRAPÍ, SIBATE, TIBACUY, PROCESOS QUE FUERON ADELANTADOS CON LAS UMATAS, EN PROYECTOS DE GANADERÍA, PISCICULTURA, AVICULTURA, PORCICULTURA. PROYECTOS DE GANADERÍA, PISCICULTURA, AVICULTURA, PORCICULTURA. ADICIONALMENTE, SE SUSCRIBIERON 3 CONVENIOS QUE INCLUYEN ATENCIÓN A POBLACIÓN VCA: FUNDACIÓN AMARME, CLUB ROTARIO Y FUNDACIÓN RESTREPO BARCO."/>
    <n v="150000000"/>
    <m/>
    <n v="2"/>
  </r>
  <r>
    <n v="315"/>
    <x v="0"/>
    <x v="5"/>
    <x v="9"/>
    <s v="ATENCION INTEGRAL BASICA"/>
    <s v="LOGRAR DURANTE EL CUATRIENIO QUE 20 EMPRENDIMIENTOS TURÍSTICOS BENEFICIEN A POBLACIÓN VCA."/>
    <s v="NO. DE EMPRENDIMIENTOS TURÍSTICOS QUE BENEFICIAN PVCA"/>
    <s v="EMPRESAS"/>
    <s v="I"/>
    <n v="0"/>
    <n v="20"/>
    <n v="20"/>
    <n v="0.16500000000000001"/>
    <n v="0"/>
    <n v="0"/>
    <n v="0"/>
    <n v="0"/>
    <n v="0"/>
    <n v="0"/>
    <n v="0"/>
    <n v="0"/>
    <n v="0"/>
    <n v="0"/>
    <n v="0"/>
    <n v="0"/>
    <n v="0"/>
    <n v="0"/>
    <n v="0"/>
    <n v="0"/>
    <n v="0"/>
    <n v="0"/>
    <n v="0"/>
    <n v="0"/>
    <n v="0"/>
    <n v="0"/>
    <n v="0"/>
    <n v="0"/>
    <n v="0"/>
    <n v="0"/>
    <n v="0"/>
    <n v="0"/>
    <n v="0"/>
    <n v="0"/>
    <n v="0"/>
    <n v="0"/>
    <n v="0"/>
    <n v="0"/>
    <n v="0"/>
    <n v="0"/>
    <n v="0"/>
    <n v="25000000"/>
    <n v="0"/>
    <n v="25000000"/>
    <n v="0"/>
    <n v="0"/>
    <n v="0"/>
    <n v="0"/>
    <n v="0"/>
    <n v="50000000"/>
    <n v="50000000"/>
    <n v="0"/>
    <n v="0"/>
    <n v="0"/>
    <n v="0"/>
    <n v="0"/>
    <n v="0"/>
    <n v="0"/>
    <n v="0"/>
    <n v="0"/>
    <n v="0"/>
    <n v="0"/>
    <n v="0"/>
    <n v="0"/>
    <n v="0"/>
    <n v="0"/>
    <n v="0"/>
    <n v="0"/>
    <n v="0"/>
    <n v="0"/>
    <n v="0"/>
    <n v="0"/>
    <n v="0.16500000000000001"/>
    <n v="20"/>
    <n v="1"/>
    <n v="0"/>
    <n v="20"/>
    <n v="0"/>
    <n v="0"/>
    <n v="0"/>
    <n v="0"/>
    <n v="0"/>
    <n v="0"/>
    <n v="0"/>
    <n v="0"/>
    <n v="0"/>
    <n v="0"/>
    <n v="0"/>
    <n v="0"/>
    <n v="0"/>
    <n v="0"/>
    <n v="0"/>
    <n v="0"/>
    <n v="0"/>
    <n v="0"/>
    <n v="0"/>
    <n v="0"/>
    <n v="0"/>
    <n v="0"/>
    <n v="0"/>
    <n v="0"/>
    <n v="0"/>
    <n v="0.16500000000000001"/>
    <n v="0"/>
    <n v="0"/>
    <n v="0"/>
    <n v="0"/>
    <n v="0"/>
    <n v="1"/>
    <n v="0"/>
    <n v="269"/>
    <s v="116 MUNICIPIOS RESTITUYEN DERECHOS Y MEJORAN CALIDAD DE VIDA DE LAS VÍCTIMAS DEL CONFLICTO ARMADO"/>
    <m/>
    <s v=""/>
    <m/>
    <m/>
    <m/>
    <m/>
    <s v="SE HAN REALZIADO GESTIONES CON EL ESTUDIO DE PROPUESTAS Y OFERTAS INSTITUCIONALES PARA LA IMPLEMENTACIÓN DE LOS EMPRENDIMIENTOS EN EL 2015."/>
    <n v="365000000"/>
    <m/>
    <n v="58"/>
  </r>
  <r>
    <n v="316"/>
    <x v="0"/>
    <x v="5"/>
    <x v="9"/>
    <s v="ATENCION INTEGRAL BASICA"/>
    <s v="SENSIBILIZAR Y FORTALECER DURANTE EL CUATRIENIO EL ARRAIGO CULTURAL E INCLUSIÓN DE LA POBLACIÓN VÍCTIMA DEL CONFLICTO ARMADO, MEDIANTE SU PARTICIPACIÓN EN 8 ENCUENTROS Y/O TALLERES CULTURALES."/>
    <s v="NO. DE ENCUENTROS Y/O TALLERES REALIZADOS CON PVCA QUE FORTALECEN Y ARRAIGAN CULTURA"/>
    <s v="ENCUENTROS"/>
    <s v="I"/>
    <n v="0"/>
    <n v="8"/>
    <n v="8"/>
    <n v="0.16500000000000001"/>
    <n v="2.0625000000000001E-2"/>
    <n v="1"/>
    <n v="0.125"/>
    <n v="4"/>
    <n v="4"/>
    <n v="400"/>
    <n v="100"/>
    <n v="2.0625000000000001E-2"/>
    <n v="100"/>
    <n v="17000000"/>
    <n v="17000000"/>
    <n v="0"/>
    <n v="0"/>
    <n v="0"/>
    <n v="0"/>
    <n v="0"/>
    <n v="0"/>
    <n v="16500000"/>
    <n v="16500000"/>
    <n v="0"/>
    <n v="0"/>
    <n v="0"/>
    <n v="0"/>
    <n v="0"/>
    <n v="0"/>
    <n v="0"/>
    <n v="15500000"/>
    <s v="CORPORACION COLOMBIANA DE DOCUMENTALISTAS -ALADOS COLOMBIA"/>
    <n v="4.1250000000000002E-2"/>
    <n v="2"/>
    <n v="0.25"/>
    <n v="1"/>
    <n v="1"/>
    <n v="50"/>
    <n v="50"/>
    <n v="2.0625000000000001E-2"/>
    <n v="50"/>
    <n v="22000000"/>
    <n v="0"/>
    <n v="22000000"/>
    <n v="0"/>
    <n v="0"/>
    <n v="0"/>
    <n v="0"/>
    <n v="0"/>
    <n v="25000000"/>
    <n v="25000000"/>
    <n v="0"/>
    <n v="0"/>
    <n v="0"/>
    <n v="0"/>
    <n v="0"/>
    <n v="0"/>
    <n v="0"/>
    <n v="0"/>
    <n v="0"/>
    <n v="6.1874999999999999E-2"/>
    <n v="3"/>
    <n v="0.375"/>
    <n v="0"/>
    <n v="11"/>
    <n v="10"/>
    <n v="10"/>
    <n v="333.33333333333331"/>
    <n v="100"/>
    <n v="6.1874999999999999E-2"/>
    <n v="100"/>
    <n v="0.20624999999999999"/>
    <n v="4.1250000000000002E-2"/>
    <n v="2"/>
    <n v="0.25"/>
    <n v="5"/>
    <n v="-3"/>
    <n v="5"/>
    <n v="250"/>
    <n v="100"/>
    <n v="4.1250000000000002E-2"/>
    <n v="0.10312499999999999"/>
    <n v="25000000"/>
    <n v="25000000"/>
    <n v="0"/>
    <n v="0"/>
    <n v="0"/>
    <n v="0"/>
    <n v="0"/>
    <n v="0"/>
    <n v="0"/>
    <n v="0"/>
    <n v="0"/>
    <n v="0"/>
    <n v="0"/>
    <n v="0"/>
    <n v="0"/>
    <n v="0"/>
    <n v="0"/>
    <n v="0"/>
    <n v="0"/>
    <n v="20"/>
    <n v="0.16500000000000001"/>
    <n v="250"/>
    <n v="100"/>
    <n v="0.16500000000000001"/>
    <n v="0.16500000000000001"/>
    <n v="0.16500000000000001"/>
    <n v="1"/>
    <n v="0"/>
    <n v="269"/>
    <s v="116 MUNICIPIOS RESTITUYEN DERECHOS Y MEJORAN CALIDAD DE VIDA DE LAS VÍCTIMAS DEL CONFLICTO ARMADO"/>
    <m/>
    <s v=""/>
    <m/>
    <m/>
    <m/>
    <m/>
    <s v="INCLUSIÓN DE LA POBLACIÓN VÍCTIMA DEL CONFLICTO ARMADO, MEDIANTE SU PARTICIPACIÓN EN 15 EVENTOS DIRIGIDOS AL FORTALECIMIENTO DE LA IDENTIDAD Y EL ARRAIGO CULTURAL. DURANTE EL DESARROLLO DE ESTAS ACTIVIDADES LA POBLACIÓN PARTICIPANTE TUVO LA OPORTUNIDAD DE ACERCARSE AL ARTE A TRAVÉS DE DIFERENTES TÉCNICAS QUE CONLLEVAN A PROCESOS DE SANACIÓN, LOS CUALES APORTAN ELEMENTOS ESENCIALES EN LA BÚSQUEDA DE SER CUNDINAMARCA EL PRIMER DEPARTAMENTO POS CONFLICTO DEL PAÍS."/>
    <n v="783000000"/>
    <m/>
    <n v="5000"/>
  </r>
  <r>
    <n v="317"/>
    <x v="0"/>
    <x v="5"/>
    <x v="9"/>
    <s v="ATENCION INTEGRAL BASICA"/>
    <s v="REALIZAR 4 RECORRIDOS TURÍSTICOS DIRIGIDOS A LA PVCA CON EL OBJETO DE APROVECHAR EL USO DEL TIEMPO LIBRE DE LA PVCA DE LOS MUNICIPIOS DE SOACHA, LA PALMA Y VIOTÁ."/>
    <s v="NO. DE RECORRIDOS TURÍSTICOS REALIZADOS CON PVCA"/>
    <s v="RECORRIDOS"/>
    <s v="I"/>
    <n v="0"/>
    <n v="4"/>
    <n v="4"/>
    <n v="0.16500000000000001"/>
    <n v="0"/>
    <n v="0"/>
    <n v="0"/>
    <n v="0"/>
    <n v="0"/>
    <n v="0"/>
    <n v="0"/>
    <n v="0"/>
    <n v="0"/>
    <n v="0"/>
    <n v="0"/>
    <n v="0"/>
    <n v="0"/>
    <n v="0"/>
    <n v="0"/>
    <n v="0"/>
    <n v="0"/>
    <n v="0"/>
    <n v="0"/>
    <n v="0"/>
    <n v="0"/>
    <n v="0"/>
    <n v="0"/>
    <n v="0"/>
    <n v="0"/>
    <n v="0"/>
    <n v="0"/>
    <n v="0"/>
    <n v="8.2500000000000004E-2"/>
    <n v="2"/>
    <n v="0.5"/>
    <n v="2"/>
    <n v="2"/>
    <n v="100"/>
    <n v="100"/>
    <n v="8.2500000000000004E-2"/>
    <n v="100"/>
    <n v="30000000"/>
    <n v="0"/>
    <n v="30000000"/>
    <n v="0"/>
    <n v="0"/>
    <n v="0"/>
    <n v="0"/>
    <n v="0"/>
    <n v="28000000"/>
    <n v="28000000"/>
    <n v="0"/>
    <n v="0"/>
    <n v="0"/>
    <n v="0"/>
    <n v="0"/>
    <n v="0"/>
    <n v="0"/>
    <n v="0"/>
    <n v="0"/>
    <n v="4.1250000000000002E-2"/>
    <n v="1"/>
    <n v="0.25"/>
    <n v="0"/>
    <n v="0"/>
    <n v="2"/>
    <n v="2"/>
    <n v="200"/>
    <n v="100"/>
    <n v="4.1250000000000002E-2"/>
    <n v="100"/>
    <n v="8.2500000000000004E-2"/>
    <n v="4.1250000000000002E-2"/>
    <n v="1"/>
    <n v="0.25"/>
    <n v="1"/>
    <n v="0"/>
    <n v="1"/>
    <n v="100"/>
    <n v="100"/>
    <n v="4.1250000000000002E-2"/>
    <n v="4.1250000000000002E-2"/>
    <n v="0"/>
    <n v="0"/>
    <n v="0"/>
    <n v="0"/>
    <n v="0"/>
    <n v="0"/>
    <n v="0"/>
    <n v="0"/>
    <n v="0"/>
    <n v="0"/>
    <n v="0"/>
    <n v="0"/>
    <n v="0"/>
    <n v="0"/>
    <n v="0"/>
    <n v="0"/>
    <n v="0"/>
    <n v="0"/>
    <n v="0"/>
    <n v="5"/>
    <n v="0.16500000000000001"/>
    <n v="125"/>
    <n v="100"/>
    <n v="0.16500000000000001"/>
    <n v="0.16500000000000001"/>
    <n v="0.16500000000000001"/>
    <n v="1"/>
    <n v="0"/>
    <n v="269"/>
    <s v="116 MUNICIPIOS RESTITUYEN DERECHOS Y MEJORAN CALIDAD DE VIDA DE LAS VÍCTIMAS DEL CONFLICTO ARMADO"/>
    <m/>
    <s v=""/>
    <m/>
    <m/>
    <m/>
    <m/>
    <s v=""/>
    <n v="651000000"/>
    <m/>
    <n v="1"/>
  </r>
  <r>
    <n v="318"/>
    <x v="0"/>
    <x v="9"/>
    <x v="9"/>
    <s v="ATENCION INTEGRAL BASICA"/>
    <s v="APOYAR DURANTE EL CUATRIENIO A 200 HOGARES VÍCTIMAS DEL CONFLICTO ARMADO EN LA ADQUISICIÓN DE VIVIENDA NUEVA O USADA, CONSTRUCCIÓN EN SITIO PROPIO O MEJORAMIENTO DE SU VIVIENDA."/>
    <s v="NO. DE HOGARES VCA CON UNA VIVIENDA DIGNA."/>
    <s v="HOGARES"/>
    <s v="I"/>
    <n v="170"/>
    <n v="370"/>
    <n v="200"/>
    <n v="0.25"/>
    <n v="2.5000000000000001E-2"/>
    <n v="20"/>
    <n v="0.1"/>
    <n v="59"/>
    <n v="59"/>
    <n v="295"/>
    <n v="100"/>
    <n v="2.5000000000000001E-2"/>
    <n v="100"/>
    <n v="400000000"/>
    <n v="400000000"/>
    <n v="0"/>
    <n v="0"/>
    <n v="0"/>
    <n v="0"/>
    <n v="0"/>
    <n v="0"/>
    <n v="423947000"/>
    <n v="400000000"/>
    <n v="0"/>
    <n v="23947000"/>
    <n v="0"/>
    <n v="0"/>
    <n v="0"/>
    <n v="0"/>
    <n v="0"/>
    <n v="0"/>
    <n v="0"/>
    <n v="3.7499999999999999E-2"/>
    <n v="30"/>
    <n v="0.15"/>
    <n v="7"/>
    <n v="7"/>
    <n v="23.333333333333332"/>
    <n v="23.333333333333332"/>
    <n v="8.7499999999999991E-3"/>
    <n v="23.333333333333332"/>
    <n v="260000000"/>
    <n v="0"/>
    <n v="260000000"/>
    <n v="0"/>
    <n v="0"/>
    <n v="0"/>
    <n v="0"/>
    <n v="0"/>
    <n v="217210000"/>
    <n v="217210000"/>
    <n v="0"/>
    <n v="0"/>
    <n v="0"/>
    <n v="0"/>
    <n v="0"/>
    <n v="0"/>
    <n v="0"/>
    <n v="0"/>
    <n v="0"/>
    <n v="9.375E-2"/>
    <n v="75"/>
    <n v="0.375"/>
    <n v="0"/>
    <n v="0"/>
    <n v="100"/>
    <n v="100"/>
    <n v="133.33333333333334"/>
    <n v="100"/>
    <n v="9.375E-2"/>
    <n v="100"/>
    <n v="0.125"/>
    <n v="9.375E-2"/>
    <n v="75"/>
    <n v="0.375"/>
    <n v="24"/>
    <n v="51"/>
    <n v="24"/>
    <n v="32"/>
    <n v="32"/>
    <n v="0.03"/>
    <n v="0.03"/>
    <n v="600000000"/>
    <n v="600000000"/>
    <n v="0"/>
    <n v="0"/>
    <n v="0"/>
    <n v="0"/>
    <n v="0"/>
    <n v="0"/>
    <n v="0"/>
    <n v="0"/>
    <n v="0"/>
    <n v="0"/>
    <n v="0"/>
    <n v="0"/>
    <n v="0"/>
    <n v="0"/>
    <n v="0"/>
    <n v="0"/>
    <n v="0"/>
    <n v="190"/>
    <n v="0.25"/>
    <n v="95"/>
    <n v="95"/>
    <n v="0.23749999999999999"/>
    <n v="0.23749999999999999"/>
    <n v="0.23749999999999999"/>
    <n v="1"/>
    <n v="0"/>
    <n v="269"/>
    <s v="116 MUNICIPIOS RESTITUYEN DERECHOS Y MEJORAN CALIDAD DE VIDA DE LAS VÍCTIMAS DEL CONFLICTO ARMADO"/>
    <m/>
    <s v=""/>
    <m/>
    <m/>
    <m/>
    <m/>
    <s v="SE DIO CUMPLIMIENTO A LA META PLANTEADA PARA EL CUATRIENIO CON UN AVANCE DEL 95%."/>
    <n v="240000"/>
    <m/>
    <n v="1048"/>
  </r>
  <r>
    <n v="319"/>
    <x v="0"/>
    <x v="1"/>
    <x v="9"/>
    <s v="ATENCION INTEGRAL BASICA"/>
    <s v="ATENDER AL 100% DE LA POBLACIÓN EN CONDICIÓN DE DESPLAZAMIENTO DE GRUPOS ÉTNICOS EN TEMAS DE PREVENCIÓN, PROTECCIÓN, ATENCIÓN INTEGRAL, ACOMPAÑAMIENTO INTEGRAL A PROCESOS DE RETORNO Y VERDAD, QUE LO SOLICITEN."/>
    <s v="% DE PERSONAS VCA EN CONDICIÓN DE GRUPOS ÉTNICOS ATENDIDAS"/>
    <s v="PORCENTAJE DE PERSONAS"/>
    <s v="M"/>
    <n v="0"/>
    <n v="100"/>
    <n v="100"/>
    <n v="0.16500000000000001"/>
    <n v="4.1250000000000002E-2"/>
    <n v="100"/>
    <n v="0.25"/>
    <n v="100"/>
    <n v="25"/>
    <n v="100"/>
    <n v="100"/>
    <n v="4.1250000000000002E-2"/>
    <n v="100"/>
    <n v="15000000"/>
    <n v="15000000"/>
    <n v="0"/>
    <n v="0"/>
    <n v="0"/>
    <n v="0"/>
    <n v="0"/>
    <n v="0"/>
    <n v="0"/>
    <n v="0"/>
    <n v="0"/>
    <n v="0"/>
    <n v="0"/>
    <n v="0"/>
    <n v="0"/>
    <n v="0"/>
    <n v="0"/>
    <n v="0"/>
    <n v="0"/>
    <n v="4.1250000000000002E-2"/>
    <n v="100"/>
    <n v="0.25"/>
    <n v="0"/>
    <n v="0"/>
    <n v="0"/>
    <n v="0"/>
    <n v="0"/>
    <n v="0"/>
    <n v="5000000"/>
    <n v="0"/>
    <n v="2500000"/>
    <n v="0"/>
    <n v="0"/>
    <n v="0"/>
    <n v="0"/>
    <n v="2500000"/>
    <n v="0"/>
    <n v="0"/>
    <n v="0"/>
    <n v="0"/>
    <n v="0"/>
    <n v="0"/>
    <n v="0"/>
    <n v="0"/>
    <n v="0"/>
    <n v="0"/>
    <n v="0"/>
    <n v="4.1250000000000002E-2"/>
    <n v="100"/>
    <n v="0.25"/>
    <n v="30"/>
    <n v="30"/>
    <n v="100"/>
    <n v="25"/>
    <n v="100"/>
    <n v="100"/>
    <n v="4.1250000000000002E-2"/>
    <n v="100"/>
    <n v="4.1250000000000002E-2"/>
    <n v="4.1250000000000002E-2"/>
    <n v="100"/>
    <n v="0.25"/>
    <n v="0"/>
    <n v="100"/>
    <n v="0"/>
    <n v="0"/>
    <n v="0"/>
    <n v="0"/>
    <n v="0"/>
    <n v="8500000"/>
    <n v="6000000"/>
    <n v="0"/>
    <n v="0"/>
    <n v="0"/>
    <n v="0"/>
    <n v="0"/>
    <n v="2500000"/>
    <n v="0"/>
    <n v="0"/>
    <n v="0"/>
    <n v="0"/>
    <n v="0"/>
    <n v="0"/>
    <n v="0"/>
    <n v="0"/>
    <n v="0"/>
    <n v="0"/>
    <n v="0"/>
    <n v="50"/>
    <n v="0.16500000000000001"/>
    <n v="50"/>
    <n v="50"/>
    <n v="8.2500000000000004E-2"/>
    <n v="8.2500000000000004E-2"/>
    <n v="8.2500000000000004E-2"/>
    <n v="1"/>
    <n v="0"/>
    <n v="269"/>
    <s v="116 MUNICIPIOS RESTITUYEN DERECHOS Y MEJORAN CALIDAD DE VIDA DE LAS VÍCTIMAS DEL CONFLICTO ARMADO"/>
    <m/>
    <s v=""/>
    <m/>
    <m/>
    <m/>
    <m/>
    <s v="SE LOGRARON PROCESOS DE GESTIÓN Y ARTICULACIÓN TECNICA Y FINANCIERA CON CON EL ICBF REGIONAL CUNDINAMARCA PARA EL ACOMPAÑAMIENTO Y ATENCION DE LAS VICTIMAS CON ENFOQUE DIFERENCIAL ETNICO IDENTIFICADOS COMO COMUNIDAD INDIGENA WOUMAN, PROCEDENTES DEL DEPARTAMENTO DEL CHOCO, QUIENES SE ENCUENTRAN UBICADOS EN EL MUNICIPIO DE LA MESA, VEREDA DOIMA, CON EL FIN DE DESARROLLAR UN PROYECTO PRODUCTIVO QUE GARANTICE MEJORAR LAS CONDICIONES DE VIDA GENERANDO INGRESOS ECONOMICOS EN LAS FAMILIAS INDIGENAS, SIN AFECTAR RECURSOS PROPIOS ASIGNADOS A ESTA META."/>
    <n v="125000000"/>
    <m/>
    <n v="1"/>
  </r>
  <r>
    <n v="320"/>
    <x v="0"/>
    <x v="2"/>
    <x v="9"/>
    <s v="ATENCION INTEGRAL BASICA"/>
    <s v="REALIZAR EL 100% DEL PROCESO DE IDENTIFICACIÓN Y CARACTERIZACIÓN DE LAS VÍCTIMAS DEL CONFLICTO ARMADO SEGÚN MODALIDAD Y EXCEPTUANDO EL DESPLAZAMIENTO FORZADO."/>
    <s v="% CARACTERIZACIÓN DE VÍCTIMAS DEL CONFLICTO"/>
    <s v="PORCENTAJE DEL PROCESO"/>
    <s v="I"/>
    <n v="0"/>
    <n v="100"/>
    <n v="100"/>
    <n v="8.8999999999999996E-2"/>
    <n v="0"/>
    <n v="0"/>
    <n v="0"/>
    <n v="0"/>
    <n v="0"/>
    <n v="0"/>
    <n v="0"/>
    <n v="0"/>
    <n v="0"/>
    <n v="0"/>
    <n v="0"/>
    <n v="0"/>
    <n v="0"/>
    <n v="0"/>
    <n v="0"/>
    <n v="0"/>
    <n v="0"/>
    <n v="0"/>
    <n v="0"/>
    <n v="0"/>
    <n v="0"/>
    <n v="0"/>
    <n v="0"/>
    <n v="0"/>
    <n v="0"/>
    <n v="0"/>
    <n v="0"/>
    <n v="0"/>
    <n v="1.3349999999999999E-2"/>
    <n v="15"/>
    <n v="0.15"/>
    <n v="1"/>
    <n v="1"/>
    <n v="6.666666666666667"/>
    <n v="6.666666666666667"/>
    <n v="8.8999999999999995E-4"/>
    <n v="6.666666666666667"/>
    <n v="0"/>
    <n v="0"/>
    <n v="0"/>
    <n v="0"/>
    <n v="0"/>
    <n v="0"/>
    <n v="0"/>
    <n v="0"/>
    <n v="50000000"/>
    <n v="50000000"/>
    <n v="0"/>
    <n v="0"/>
    <n v="0"/>
    <n v="0"/>
    <n v="0"/>
    <n v="0"/>
    <n v="0"/>
    <n v="0"/>
    <n v="0"/>
    <n v="6.2299999999999994E-2"/>
    <n v="70"/>
    <n v="0.7"/>
    <n v="0"/>
    <n v="0"/>
    <n v="100"/>
    <n v="100"/>
    <n v="142.85714285714286"/>
    <n v="100"/>
    <n v="6.2299999999999994E-2"/>
    <n v="100"/>
    <n v="8.8999999999999982E-2"/>
    <n v="1.3349999999999999E-2"/>
    <n v="15"/>
    <n v="0.15"/>
    <n v="16"/>
    <n v="-1"/>
    <n v="16"/>
    <n v="106.66666666666667"/>
    <n v="100"/>
    <n v="1.3349999999999999E-2"/>
    <n v="1.4239999999999999E-2"/>
    <n v="0"/>
    <n v="0"/>
    <n v="0"/>
    <n v="0"/>
    <n v="0"/>
    <n v="0"/>
    <n v="0"/>
    <n v="0"/>
    <n v="0"/>
    <n v="0"/>
    <n v="0"/>
    <n v="0"/>
    <n v="0"/>
    <n v="0"/>
    <n v="0"/>
    <n v="0"/>
    <n v="0"/>
    <n v="0"/>
    <n v="0"/>
    <n v="117"/>
    <n v="8.8999999999999996E-2"/>
    <n v="117"/>
    <n v="100"/>
    <n v="8.900000000000001E-2"/>
    <n v="8.8999999999999996E-2"/>
    <n v="8.8999999999999996E-2"/>
    <n v="1"/>
    <n v="0"/>
    <n v="269"/>
    <s v="116 MUNICIPIOS RESTITUYEN DERECHOS Y MEJORAN CALIDAD DE VIDA DE LAS VÍCTIMAS DEL CONFLICTO ARMADO"/>
    <m/>
    <s v=""/>
    <m/>
    <m/>
    <m/>
    <m/>
    <s v="CONVENIO CON LA REGISTRADURIA NACIONAL A PARA CONJUNTAMENTE CON LA OFICINA DE VICITMAS DEL CONFLICTO ARMADO DE LA SECRETARIA DE GOBIERNO SE IDENTIFIQUE CLARAMENTE LAS VCA DEL DEPARTAMENTO"/>
    <n v="0"/>
    <m/>
    <n v="5"/>
  </r>
  <r>
    <n v="321"/>
    <x v="0"/>
    <x v="2"/>
    <x v="9"/>
    <s v="ATENCION INTEGRAL BASICA"/>
    <s v="REALIZAR EL 100% DEL PROCESO DE IDENTIFICACIÓN Y CARACTERIZACIÓN DE LAS VCA SEGÚN DE ACUERDO AL CASO DE TIPIFICACIÓN EXCEPTUANDO EL DESPLAZAMIENTO FORZADO"/>
    <s v="% CARACTERIZACIÓN VÍCTIMAS DEL CONFLICTO"/>
    <s v="PORCENTAJE DEL PROCESO"/>
    <s v="I"/>
    <n v="0"/>
    <n v="100"/>
    <n v="100"/>
    <n v="8.8999999999999996E-2"/>
    <n v="0"/>
    <n v="0"/>
    <n v="0"/>
    <n v="0"/>
    <n v="0"/>
    <n v="0"/>
    <n v="0"/>
    <n v="0"/>
    <n v="0"/>
    <n v="0"/>
    <n v="0"/>
    <n v="0"/>
    <n v="0"/>
    <n v="0"/>
    <n v="0"/>
    <n v="0"/>
    <n v="0"/>
    <n v="0"/>
    <n v="0"/>
    <n v="0"/>
    <n v="0"/>
    <n v="0"/>
    <n v="0"/>
    <n v="0"/>
    <n v="0"/>
    <n v="0"/>
    <n v="0"/>
    <n v="0"/>
    <n v="0"/>
    <n v="0"/>
    <n v="0"/>
    <n v="0"/>
    <n v="0"/>
    <n v="0"/>
    <n v="0"/>
    <n v="0"/>
    <n v="0"/>
    <n v="20000000"/>
    <n v="0"/>
    <n v="10000000"/>
    <n v="0"/>
    <n v="0"/>
    <n v="0"/>
    <n v="0"/>
    <n v="10000000"/>
    <n v="0"/>
    <n v="0"/>
    <n v="0"/>
    <n v="0"/>
    <n v="0"/>
    <n v="0"/>
    <n v="0"/>
    <n v="0"/>
    <n v="0"/>
    <n v="0"/>
    <n v="0"/>
    <n v="8.8999999999999996E-2"/>
    <n v="100"/>
    <n v="1"/>
    <n v="70"/>
    <n v="75"/>
    <n v="100"/>
    <n v="100"/>
    <n v="100"/>
    <n v="100"/>
    <n v="8.900000000000001E-2"/>
    <n v="100"/>
    <n v="8.900000000000001E-2"/>
    <n v="0"/>
    <n v="0"/>
    <n v="0"/>
    <n v="16"/>
    <n v="-16"/>
    <n v="16"/>
    <n v="0"/>
    <n v="0"/>
    <n v="0"/>
    <n v="0"/>
    <n v="0"/>
    <n v="0"/>
    <n v="0"/>
    <n v="0"/>
    <n v="0"/>
    <n v="0"/>
    <n v="0"/>
    <n v="0"/>
    <n v="0"/>
    <n v="0"/>
    <n v="0"/>
    <n v="0"/>
    <n v="0"/>
    <n v="0"/>
    <n v="0"/>
    <n v="0"/>
    <n v="0"/>
    <n v="0"/>
    <n v="0"/>
    <n v="116"/>
    <n v="8.8999999999999996E-2"/>
    <n v="116"/>
    <n v="100"/>
    <n v="8.900000000000001E-2"/>
    <n v="8.8999999999999996E-2"/>
    <n v="8.8999999999999996E-2"/>
    <n v="1"/>
    <n v="0"/>
    <n v="269"/>
    <s v="116 MUNICIPIOS RESTITUYEN DERECHOS Y MEJORAN CALIDAD DE VIDA DE LAS VÍCTIMAS DEL CONFLICTO ARMADO"/>
    <m/>
    <s v=""/>
    <m/>
    <m/>
    <m/>
    <m/>
    <s v="CARACTERIZAR LA POBLACION VCA POR CAUSA DEL HECHO VICTIMIZANTE MAP Y MUSE A TRAVES DEL IMSMA &quot;SOFTWARE Y CAPACITACION&quot;, PARA REALIZAR UN LEVATAMIENTO DEL CENSO CON APOYO DE ALCALDES, PERSONEROS Y LA CRUE, EN LOS MUNICIPIOS DONDE EXISTAN CASOS DE HECHO VICTIMIZANTE MENCIONADO."/>
    <n v="408000000"/>
    <m/>
    <n v="1"/>
  </r>
  <r>
    <n v="322"/>
    <x v="0"/>
    <x v="13"/>
    <x v="9"/>
    <s v="ATENCION INTEGRAL BASICA"/>
    <s v="BENEFICIAR DURANTE EL CUATRIENIO 5.000 PERSONAS EN SITUACIÓN DE CONFLICTO ARMADO CON EL SERVICIO DE ACUEDUCTO, EN EL PERIODO DE GOBIERNO."/>
    <s v="NO. DE PERSONAS VCA CON SERVICIO DE ACUEDUCTO"/>
    <s v="PERSONAS"/>
    <s v="I"/>
    <n v="0"/>
    <n v="5000"/>
    <n v="5000"/>
    <n v="0.25"/>
    <n v="0"/>
    <n v="0"/>
    <n v="0"/>
    <n v="0"/>
    <n v="0"/>
    <n v="0"/>
    <n v="0"/>
    <n v="0"/>
    <n v="0"/>
    <n v="0"/>
    <n v="0"/>
    <n v="0"/>
    <n v="0"/>
    <n v="0"/>
    <n v="0"/>
    <n v="0"/>
    <n v="0"/>
    <n v="0"/>
    <n v="0"/>
    <n v="0"/>
    <n v="0"/>
    <n v="0"/>
    <n v="0"/>
    <n v="0"/>
    <n v="0"/>
    <n v="0"/>
    <n v="0"/>
    <n v="0"/>
    <n v="0.05"/>
    <n v="1000"/>
    <n v="0.2"/>
    <n v="6"/>
    <n v="6"/>
    <n v="0.6"/>
    <n v="0.6"/>
    <n v="2.9999999999999997E-4"/>
    <n v="0.6"/>
    <n v="0"/>
    <n v="0"/>
    <n v="0"/>
    <n v="0"/>
    <n v="0"/>
    <n v="0"/>
    <n v="0"/>
    <n v="0"/>
    <n v="3000000000"/>
    <n v="3000000000"/>
    <n v="0"/>
    <n v="0"/>
    <n v="0"/>
    <n v="0"/>
    <n v="0"/>
    <n v="0"/>
    <n v="0"/>
    <n v="0"/>
    <n v="0"/>
    <n v="0.1"/>
    <n v="2000"/>
    <n v="0.4"/>
    <n v="3576"/>
    <n v="3720"/>
    <n v="3720"/>
    <n v="3720"/>
    <n v="186"/>
    <n v="100"/>
    <n v="0.1"/>
    <n v="100"/>
    <n v="0.18600000000000003"/>
    <n v="0.1"/>
    <n v="2000"/>
    <n v="0.4"/>
    <n v="2418"/>
    <n v="-418"/>
    <n v="2418"/>
    <n v="120.9"/>
    <n v="100"/>
    <n v="0.1"/>
    <n v="0.12090000000000002"/>
    <n v="0"/>
    <n v="0"/>
    <n v="0"/>
    <n v="0"/>
    <n v="0"/>
    <n v="0"/>
    <n v="0"/>
    <n v="0"/>
    <n v="0"/>
    <n v="0"/>
    <n v="0"/>
    <n v="0"/>
    <n v="0"/>
    <n v="0"/>
    <n v="0"/>
    <n v="0"/>
    <n v="0"/>
    <n v="0"/>
    <n v="0"/>
    <n v="6144"/>
    <n v="0.25"/>
    <n v="122.88"/>
    <n v="100"/>
    <n v="0.25"/>
    <n v="0.25"/>
    <n v="0.25"/>
    <n v="1"/>
    <n v="0"/>
    <n v="269"/>
    <s v="116 MUNICIPIOS RESTITUYEN DERECHOS Y MEJORAN CALIDAD DE VIDA DE LAS VÍCTIMAS DEL CONFLICTO ARMADO"/>
    <m/>
    <s v=""/>
    <m/>
    <m/>
    <m/>
    <m/>
    <s v="ENTRE EL 2012 Y EL 2015 SE HAN ENTREGADO 10 PROYECTOS DE CONSTRUCCIÓN, OPTIMIZACIÓN Y/O AMPLIACIÓN DE ACUEDUCTOS Y/O PLANTAS DE TRATAMIENTO DE AGUA POTABLE QUE HAN BENEFICIADO A LOS MUNICIPIOS DE CAPARRAPÍ, FACATATIVÁ, MADRID, PUERTO SALGAR Y SILVANIA. DE IGUAL FORMA SE INSTALARON 9 PLANTAS DE TRATAMIENTO DE AGUA POTABLE EN ESCUELAS RURALES APARTADAS EN EL MARCO DEL PROGRAMA AGUA, VIDA Y SABER EN LOS MUNICIPIOS DE CAPARRAPÍ, LA PALMA, MEDINA, PUERTO SALGAR, TOPAIPÍ, VIOTÁ Y YACOPÍ BENEFICIANDO A UN TOTAL DE 5.717 HABITANTES DEL DEPARTAMENTO, SUPERANDO LA META ESPERADA DE 5.000 HABITANTES."/>
    <n v="3242000000"/>
    <m/>
    <n v="2000"/>
  </r>
  <r>
    <n v="323"/>
    <x v="0"/>
    <x v="7"/>
    <x v="9"/>
    <s v="ATENCION INTEGRAL BASICA"/>
    <s v="BRINDAR HERRAMIENTAS PARA EL EMPODERAMIENTO Y LIDERAZGO COMUNITARIO EN CAPACITACIÓN, ACOMPAÑAMIENTO Y COMUNICACIONES AL 100% DE LAS PERSONAS VÍCTIMAS DEL CONFLICTO ARMADO QUE LO DEMANDEN."/>
    <s v="% DE PERSONAS QUE DEMANDEN EL SERVICIO QUE SON CAPACITADAS"/>
    <s v="PORCENTAJE DE PERSONAS"/>
    <s v="M"/>
    <n v="0"/>
    <n v="100"/>
    <n v="100"/>
    <n v="0.16500000000000001"/>
    <n v="4.1250000000000002E-2"/>
    <n v="100"/>
    <n v="0.25"/>
    <n v="100"/>
    <n v="25"/>
    <n v="100"/>
    <n v="100"/>
    <n v="4.1250000000000002E-2"/>
    <n v="100"/>
    <n v="10000000"/>
    <n v="10000000"/>
    <n v="0"/>
    <n v="0"/>
    <n v="0"/>
    <n v="0"/>
    <n v="0"/>
    <n v="0"/>
    <n v="0"/>
    <n v="0"/>
    <n v="0"/>
    <n v="0"/>
    <n v="0"/>
    <n v="0"/>
    <n v="0"/>
    <n v="0"/>
    <n v="0"/>
    <n v="0"/>
    <n v="0"/>
    <n v="4.1250000000000002E-2"/>
    <n v="100"/>
    <n v="0.25"/>
    <n v="100"/>
    <n v="25"/>
    <n v="100"/>
    <n v="100"/>
    <n v="4.1250000000000002E-2"/>
    <n v="100"/>
    <n v="0"/>
    <n v="0"/>
    <n v="0"/>
    <n v="0"/>
    <n v="0"/>
    <n v="0"/>
    <n v="0"/>
    <n v="0"/>
    <n v="0"/>
    <n v="0"/>
    <n v="0"/>
    <n v="0"/>
    <n v="0"/>
    <n v="0"/>
    <n v="0"/>
    <n v="0"/>
    <n v="0"/>
    <n v="0"/>
    <n v="0"/>
    <n v="4.1250000000000002E-2"/>
    <n v="100"/>
    <n v="0.25"/>
    <n v="100"/>
    <n v="100"/>
    <n v="100"/>
    <n v="25"/>
    <n v="100"/>
    <n v="100"/>
    <n v="4.1250000000000002E-2"/>
    <n v="100"/>
    <n v="4.1250000000000002E-2"/>
    <n v="4.1250000000000002E-2"/>
    <n v="100"/>
    <n v="0.25"/>
    <n v="100"/>
    <n v="0"/>
    <n v="25"/>
    <n v="100"/>
    <n v="100"/>
    <n v="4.1250000000000002E-2"/>
    <n v="4.1250000000000002E-2"/>
    <n v="0"/>
    <n v="0"/>
    <n v="0"/>
    <n v="0"/>
    <n v="0"/>
    <n v="0"/>
    <n v="0"/>
    <n v="0"/>
    <n v="0"/>
    <n v="0"/>
    <n v="0"/>
    <n v="0"/>
    <n v="0"/>
    <n v="0"/>
    <n v="0"/>
    <n v="0"/>
    <n v="0"/>
    <n v="0"/>
    <n v="0"/>
    <n v="100"/>
    <n v="0.16500000000000001"/>
    <n v="100"/>
    <n v="100"/>
    <n v="0.16500000000000001"/>
    <n v="0.16500000000000001"/>
    <n v="0.16500000000000001"/>
    <n v="1"/>
    <n v="0"/>
    <n v="619"/>
    <s v="LA INSTITUCIÓN DEPARTAMENTAL, LOS GOBIERNOS TERRITORIALES Y LA COMUNIDAD INVOLUCRAN AL 100% DE LAS DIFERENTES INSTANCIAS DE PARTICIPACIÓN EN EL DESARROLLO DE SUS PROGRAMAS Y PROYECTOS GENERANDO CORRESPONSABILIDAD CON PARTICIPACIÓN REAL Y ACTIVA."/>
    <m/>
    <s v=""/>
    <m/>
    <m/>
    <m/>
    <m/>
    <s v="SE REALIZARON TALLERES DE FORMACIÓN EN BIOSEGURIDAD, EMPRENDIMIENTO Y TECNICA LABORAL, DIRIGIDO A PERSONAS EN CONDICIÓN DE VÍCTIMAS DEL CONFLICTO ARMADO QUE SOLICITARON AL INSTITUTO ESTA CAPACITACIÓN. SE EFECTUÓ LA SOCIALIZACIÓN DE LA OFERTA INSTITUCIONAL Y CONVOCATORIA PARA DESARROLLO DEL TALLER DE CAPACITACIÓN EN ACCIÓN COMUNAL, PRESENTADA A ALCALDES MUNICIPALES Y A FUNCIONARIOS RELACIONADOS CON EL TEMA DE VÍCTIMAS DEL CONFLICTO EN 19 MUNICIPIOS DEL DEPARTAMENTO. "/>
    <n v="125000000"/>
    <m/>
    <n v="15000"/>
  </r>
  <r>
    <n v="324"/>
    <x v="0"/>
    <x v="10"/>
    <x v="9"/>
    <s v="ATENCION INTEGRAL BASICA"/>
    <s v="CONSTRUIR E IMPLEMENTAR DURANTE EL CUATRIENIO UN CENTRO REGIONAL DE ATENCIÓN A VÍCTIMAS DEL CONFLICTO ARMADO EN EL MUNICIPIO DE SOACHA."/>
    <s v="N° DE CENTROS REGIONALES IMPLEMENTADOS"/>
    <s v="CENTROS"/>
    <s v="I"/>
    <n v="0"/>
    <n v="1"/>
    <n v="1"/>
    <n v="0.16500000000000001"/>
    <n v="1.6500000000000001E-2"/>
    <n v="0.1"/>
    <n v="0.1"/>
    <n v="0"/>
    <n v="0"/>
    <n v="0"/>
    <n v="0"/>
    <n v="0"/>
    <n v="0"/>
    <n v="0"/>
    <n v="0"/>
    <n v="0"/>
    <n v="0"/>
    <n v="0"/>
    <n v="0"/>
    <n v="0"/>
    <n v="0"/>
    <n v="421000000"/>
    <n v="421000000"/>
    <n v="0"/>
    <n v="0"/>
    <n v="0"/>
    <n v="0"/>
    <n v="0"/>
    <n v="0"/>
    <n v="0"/>
    <n v="0"/>
    <n v="0"/>
    <n v="4.9500000000000002E-2"/>
    <n v="0.3"/>
    <n v="0.3"/>
    <n v="0.66"/>
    <n v="0.66"/>
    <n v="220"/>
    <n v="100"/>
    <n v="4.9500000000000002E-2"/>
    <n v="100"/>
    <n v="815000000"/>
    <n v="0"/>
    <n v="65000000"/>
    <n v="0"/>
    <n v="0"/>
    <n v="0"/>
    <n v="0"/>
    <n v="750000000"/>
    <n v="1397842063"/>
    <n v="398758342"/>
    <n v="0"/>
    <n v="0"/>
    <n v="0"/>
    <n v="0"/>
    <n v="0"/>
    <n v="999083721"/>
    <n v="0"/>
    <n v="0"/>
    <n v="0"/>
    <n v="0"/>
    <n v="0"/>
    <n v="0"/>
    <n v="0"/>
    <n v="0"/>
    <n v="0.1"/>
    <n v="0.1"/>
    <n v="0"/>
    <n v="0"/>
    <n v="0"/>
    <n v="0"/>
    <n v="0"/>
    <n v="9.9000000000000005E-2"/>
    <n v="0.6"/>
    <n v="0.6"/>
    <n v="0.2"/>
    <n v="0.39999999999999997"/>
    <n v="0.2"/>
    <n v="33.333333333333336"/>
    <n v="33.333333333333336"/>
    <n v="3.3000000000000002E-2"/>
    <n v="3.3000000000000002E-2"/>
    <n v="900000000"/>
    <n v="150000000"/>
    <n v="0"/>
    <n v="0"/>
    <n v="0"/>
    <n v="0"/>
    <n v="0"/>
    <n v="750000000"/>
    <n v="0"/>
    <n v="0"/>
    <n v="0"/>
    <n v="0"/>
    <n v="0"/>
    <n v="0"/>
    <n v="0"/>
    <n v="0"/>
    <n v="0"/>
    <n v="0"/>
    <n v="0"/>
    <n v="0.96"/>
    <n v="0.16500000000000001"/>
    <n v="96"/>
    <n v="96"/>
    <n v="0.15839999999999999"/>
    <n v="0.15839999999999999"/>
    <n v="0.15839999999999999"/>
    <n v="1"/>
    <n v="0"/>
    <n v="257"/>
    <s v="MEJORAR AMBIENTES FÍSICOS PARA LA PRESTACIÓN DE SERVICIOS SOCIALES EN LOS 116 MUNICIPIOS"/>
    <m/>
    <s v=""/>
    <m/>
    <m/>
    <m/>
    <m/>
    <s v="EL CENTRO DE VICTIMAS DEL CONFLICTO ARMADO, SE ENCUENTRA EN PROCESO DE CONSTRUCCIÓN Y REPORTA UN AVANCE DE OBRAS EN UN ESTIMADO DEL 90%, ASEGURANDO SU INAUGURACIÓN Y ENTREGA PARA ANTES DEL FINAL DE LA PRESENTE VIGENCIA. DICHA OBRA BENEFICIARÁ A LAS FAMILIAS QUE EN SU CONDICIÓN DE DESPLAZAMIENTO, BUSCAN AYUDA DEL GOBIERNO DEPARTAMENTAL, PARA ATENCIÓN INTEGRAL DE LAS FAMILIAS QUE HAN SUFRIDO DE ÉSTE FLAGELO."/>
    <n v="350000000"/>
    <m/>
    <n v="50"/>
  </r>
  <r>
    <n v="325"/>
    <x v="0"/>
    <x v="2"/>
    <x v="9"/>
    <s v="ATENCION INTEGRAL BASICA"/>
    <s v="IMPLEMENTAR 2 CENTROS REGIONALES Y 1 CENTRO DE ATENCIÓN CON LA ADECUACIÓN DE 5 BIENES INMUEBLES DEL DEPARTAMENTO. Y 1 CENTRO DE ATENCIÓN. (DERECHO A LA ATENCIÓN INTEGRAL BÁSICA)."/>
    <s v="N° DE CENTROS IMPLEMENTADOS"/>
    <s v="CENTROS"/>
    <s v="I"/>
    <n v="0"/>
    <n v="3"/>
    <n v="3"/>
    <n v="0.16500000000000001"/>
    <n v="0"/>
    <n v="0"/>
    <n v="0"/>
    <n v="0"/>
    <n v="0"/>
    <n v="0"/>
    <n v="0"/>
    <n v="0"/>
    <n v="0"/>
    <n v="0"/>
    <n v="0"/>
    <n v="0"/>
    <n v="0"/>
    <n v="0"/>
    <n v="0"/>
    <n v="0"/>
    <n v="0"/>
    <n v="0"/>
    <n v="0"/>
    <n v="0"/>
    <n v="0"/>
    <n v="0"/>
    <n v="0"/>
    <n v="0"/>
    <n v="0"/>
    <n v="0"/>
    <n v="0"/>
    <n v="0"/>
    <n v="5.5E-2"/>
    <n v="1"/>
    <n v="0.33333333333333331"/>
    <n v="1"/>
    <n v="1"/>
    <n v="100"/>
    <n v="100"/>
    <n v="5.5E-2"/>
    <n v="100"/>
    <n v="0"/>
    <n v="0"/>
    <n v="0"/>
    <n v="0"/>
    <n v="0"/>
    <n v="0"/>
    <n v="0"/>
    <n v="0"/>
    <n v="0"/>
    <n v="0"/>
    <n v="0"/>
    <n v="0"/>
    <n v="0"/>
    <n v="0"/>
    <n v="0"/>
    <n v="0"/>
    <n v="0"/>
    <n v="0"/>
    <n v="0"/>
    <n v="5.5E-2"/>
    <n v="1"/>
    <n v="0.33333333333333331"/>
    <n v="3"/>
    <n v="1"/>
    <n v="2"/>
    <n v="2"/>
    <n v="200"/>
    <n v="100"/>
    <n v="5.5E-2"/>
    <n v="100"/>
    <n v="0.11"/>
    <n v="5.5E-2"/>
    <n v="1"/>
    <n v="0.33333333333333331"/>
    <n v="1"/>
    <n v="0"/>
    <n v="1"/>
    <n v="100"/>
    <n v="100"/>
    <n v="5.5E-2"/>
    <n v="5.5E-2"/>
    <n v="0"/>
    <n v="0"/>
    <n v="0"/>
    <n v="0"/>
    <n v="0"/>
    <n v="0"/>
    <n v="0"/>
    <n v="0"/>
    <n v="0"/>
    <n v="0"/>
    <n v="0"/>
    <n v="0"/>
    <n v="0"/>
    <n v="0"/>
    <n v="0"/>
    <n v="0"/>
    <n v="0"/>
    <n v="0"/>
    <n v="0"/>
    <n v="4"/>
    <n v="0.16500000000000001"/>
    <n v="133.33333333333334"/>
    <n v="100"/>
    <n v="0.16500000000000001"/>
    <n v="0.16500000000000001"/>
    <n v="0.16500000000000001"/>
    <n v="1"/>
    <n v="0"/>
    <n v="269"/>
    <s v="116 MUNICIPIOS RESTITUYEN DERECHOS Y MEJORAN CALIDAD DE VIDA DE LAS VÍCTIMAS DEL CONFLICTO ARMADO"/>
    <m/>
    <s v=""/>
    <m/>
    <m/>
    <m/>
    <m/>
    <s v="SE CONCERTÓ CON LA DRA. ADRIANA RAMIREZ SECRETARIA DE GOBIERNO RECIBIR LA META PARA SU EJECUCIÓN DEBIDO A QUE EN EL DECRETO ORDENANZAL 08 DEL 01 DE ENERO DE 2012, Y EN PARTICULAR LOS ARTÍCULOS 138, 142 Y 143 LA DIRECCIÓN, COORDINACIÓN Y ARTICULACIÓN DE LA POLÍTICA PÚBLICA PARA LA ATENCIÓN, ASISTENCIA Y REPARACIÓN INTEGRAL DE LAS VICTIMAS DEL CONFLICTO ARMADO EN EL DEPARTAMENTO DE CUNDINAMARCA CORRESPONDE A LA SECRETARÍA DE GOBIERNO, POR LO CUAL FUE CREADA LA OFICINA DE ATENCIÓN INTEGRAL A LAS VICTIMAS DEL CONFLICTO INTERNO."/>
    <n v="853000000"/>
    <m/>
    <n v="1"/>
  </r>
  <r>
    <n v="326"/>
    <x v="0"/>
    <x v="2"/>
    <x v="9"/>
    <s v="ATENCION INTEGRAL BASICA"/>
    <s v="REALIZAR ANUALMENTE 1 RENDICIÓN DE CUENTAS DE VCA."/>
    <s v="N° RENDICIONES DE CUENTAS REALIZADAS"/>
    <s v="RENDICION DE CUENTAS DE VCA"/>
    <s v="I"/>
    <n v="0"/>
    <n v="4"/>
    <n v="4"/>
    <n v="8.8999999999999996E-2"/>
    <n v="2.2249999999999999E-2"/>
    <n v="1"/>
    <n v="0.25"/>
    <n v="0"/>
    <n v="0"/>
    <n v="0"/>
    <n v="0"/>
    <n v="0"/>
    <n v="0"/>
    <n v="0"/>
    <n v="0"/>
    <n v="0"/>
    <n v="0"/>
    <n v="0"/>
    <n v="0"/>
    <n v="0"/>
    <n v="0"/>
    <n v="0"/>
    <n v="0"/>
    <n v="0"/>
    <n v="0"/>
    <n v="0"/>
    <n v="0"/>
    <n v="0"/>
    <n v="0"/>
    <n v="0"/>
    <n v="0"/>
    <n v="0"/>
    <n v="2.2249999999999999E-2"/>
    <n v="1"/>
    <n v="0.25"/>
    <n v="1"/>
    <n v="1"/>
    <n v="100"/>
    <n v="100"/>
    <n v="2.2250000000000002E-2"/>
    <n v="100"/>
    <n v="0"/>
    <n v="0"/>
    <n v="0"/>
    <n v="0"/>
    <n v="0"/>
    <n v="0"/>
    <n v="0"/>
    <n v="0"/>
    <n v="0"/>
    <n v="0"/>
    <n v="0"/>
    <n v="0"/>
    <n v="0"/>
    <n v="0"/>
    <n v="0"/>
    <n v="0"/>
    <n v="0"/>
    <n v="0"/>
    <n v="0"/>
    <n v="2.2249999999999999E-2"/>
    <n v="1"/>
    <n v="0.25"/>
    <n v="1"/>
    <n v="1"/>
    <n v="1"/>
    <n v="1"/>
    <n v="100"/>
    <n v="100"/>
    <n v="2.2250000000000002E-2"/>
    <n v="100"/>
    <n v="2.2250000000000002E-2"/>
    <n v="2.2249999999999999E-2"/>
    <n v="1"/>
    <n v="0.25"/>
    <n v="2"/>
    <n v="-1"/>
    <n v="2"/>
    <n v="200"/>
    <n v="100"/>
    <n v="2.2250000000000002E-2"/>
    <n v="4.4500000000000005E-2"/>
    <n v="0"/>
    <n v="0"/>
    <n v="0"/>
    <n v="0"/>
    <n v="0"/>
    <n v="0"/>
    <n v="0"/>
    <n v="0"/>
    <n v="0"/>
    <n v="0"/>
    <n v="0"/>
    <n v="0"/>
    <n v="0"/>
    <n v="0"/>
    <n v="0"/>
    <n v="0"/>
    <n v="0"/>
    <n v="0"/>
    <n v="0"/>
    <n v="4"/>
    <n v="8.8999999999999996E-2"/>
    <n v="100"/>
    <n v="100"/>
    <n v="8.900000000000001E-2"/>
    <n v="8.8999999999999996E-2"/>
    <n v="8.8999999999999996E-2"/>
    <n v="1"/>
    <n v="0"/>
    <n v="269"/>
    <s v="116 MUNICIPIOS RESTITUYEN DERECHOS Y MEJORAN CALIDAD DE VIDA DE LAS VÍCTIMAS DEL CONFLICTO ARMADO"/>
    <m/>
    <s v=""/>
    <m/>
    <m/>
    <m/>
    <m/>
    <s v="SOLO SE PROGRAMO ACTIVIDAD PARA EL MES DE DICIEMBRE, NO OBSTANTE SE HA VENIDO SOCIALIZANDO EL TEMA SOBRE QUE COMUNIDAD QUIERE QUE SE APOYE EN LA RENDICION QUE POR LEY DEBE EFECTUAR"/>
    <n v="0"/>
    <m/>
    <n v="0"/>
  </r>
  <r>
    <n v="328"/>
    <x v="1"/>
    <x v="14"/>
    <x v="10"/>
    <s v="DESARROLLO LOCAL TERRITORIAL"/>
    <s v="APOYAR TÉCNICA Y FINANCIERAMENTE LA REVISIÓN DE 25 PLANES DE ORDENAMIENTO TERRITORIAL DURANTE EL CUATRIENIO."/>
    <s v="NO DE PLANES DE ORDENAMIENTO TERRITORIAL DURANTE EL CUATRIENIO"/>
    <s v="POT"/>
    <s v="I"/>
    <n v="16"/>
    <n v="41"/>
    <n v="25"/>
    <n v="0.25"/>
    <n v="0"/>
    <n v="0"/>
    <n v="0"/>
    <n v="0"/>
    <n v="0"/>
    <n v="0"/>
    <n v="0"/>
    <n v="0"/>
    <n v="0"/>
    <n v="0"/>
    <n v="0"/>
    <n v="0"/>
    <n v="0"/>
    <n v="0"/>
    <n v="0"/>
    <n v="0"/>
    <n v="0"/>
    <n v="0"/>
    <n v="0"/>
    <n v="0"/>
    <n v="0"/>
    <n v="0"/>
    <n v="0"/>
    <n v="0"/>
    <n v="0"/>
    <n v="0"/>
    <n v="0"/>
    <n v="0"/>
    <n v="0.05"/>
    <n v="5"/>
    <n v="0.2"/>
    <n v="7"/>
    <n v="7"/>
    <n v="140"/>
    <n v="100"/>
    <n v="0.05"/>
    <n v="100"/>
    <n v="749000000"/>
    <n v="0"/>
    <n v="618000000"/>
    <n v="0"/>
    <n v="0"/>
    <n v="0"/>
    <n v="0"/>
    <n v="131000000"/>
    <n v="2869940500"/>
    <n v="2869940500"/>
    <n v="0"/>
    <n v="0"/>
    <n v="0"/>
    <n v="0"/>
    <n v="0"/>
    <n v="0"/>
    <n v="0"/>
    <n v="8468844586"/>
    <s v="CAR-CORPOGUAVIO- MUNICIPIOS Y NACION"/>
    <n v="0.08"/>
    <n v="8"/>
    <n v="0.32"/>
    <n v="11"/>
    <n v="0"/>
    <n v="8"/>
    <n v="8"/>
    <n v="100"/>
    <n v="100"/>
    <n v="0.08"/>
    <n v="100"/>
    <n v="0.08"/>
    <n v="0.12"/>
    <n v="12"/>
    <n v="0.48"/>
    <n v="40"/>
    <n v="-28"/>
    <n v="40"/>
    <n v="333.33333333333331"/>
    <n v="100"/>
    <n v="0.12"/>
    <n v="0.39999999999999991"/>
    <n v="1559000000"/>
    <n v="1426000000"/>
    <n v="0"/>
    <n v="0"/>
    <n v="0"/>
    <n v="0"/>
    <n v="0"/>
    <n v="133000000"/>
    <n v="0"/>
    <n v="0"/>
    <n v="0"/>
    <n v="0"/>
    <n v="0"/>
    <n v="0"/>
    <n v="0"/>
    <n v="0"/>
    <n v="0"/>
    <n v="0"/>
    <n v="0"/>
    <n v="55"/>
    <n v="0.25"/>
    <n v="220"/>
    <n v="100"/>
    <n v="0.25"/>
    <n v="0.25"/>
    <n v="0.25"/>
    <n v="1"/>
    <n v="0"/>
    <n v="327"/>
    <s v="CONSOLIDAR 4 INICIATIVAS DE INTEGRACIÓN REGIONAL QUE PERMITAN EL APROVECHAMIENTO DEL POTENCIAL DE LAS ECO REGIONES, PARA AVANZAR EN LA CONSTRUCCIÓN DE UN DEPARTAMENTO SOSTENIBLE, EQUITATIVO Y FUNCIONAL, DURANTE EL PRESENTE PERÍODO DE GOBIERNO."/>
    <m/>
    <s v=""/>
    <m/>
    <m/>
    <m/>
    <m/>
    <s v="48 MUNICIPIOS CUENTAN CON ESTUDIOS DE RIESGO Y AMENAZA COMO INSUMO PARA ADELANTAR LA REVISIÓN Y AJUSTE DE SUS PLANES DE ORDENAMIENTO TERRITORIAL, DE LOS CUALES 19 MUNICIPIOS ADELANTARON EL PROCESO DE REVISIÓN Y AJUSTE DE SUS EOT"/>
    <n v="90000000"/>
    <m/>
    <n v="10"/>
  </r>
  <r>
    <n v="329"/>
    <x v="1"/>
    <x v="14"/>
    <x v="10"/>
    <s v="DESARROLLO LOCAL TERRITORIAL"/>
    <s v="APOYAR AL 50% DE LAS ENTIDADES TERRITORIALES DEL DEPARTAMENTO , CON HERRAMIENTAS QUE PERMITAN LA ADECUADA TOMA DE DECISIONES EN EL ORDENAMIENTO DE SU TERRITORIO, TALES COMO CARTOGRAFÍA, FOTOGRAFÍAS ESPACIALES, CLASIFICACIÓN DEL SUELO, INDICADORES BÁSICOS "/>
    <s v="% DE ENTIDADES CON HERRAMIENTAS UTILIZADAS EN EL ORDENAMIENTO"/>
    <s v="PORCENTAJE DE MUNICIPIOS"/>
    <s v="I"/>
    <n v="0"/>
    <n v="50"/>
    <n v="50"/>
    <n v="0.16500000000000001"/>
    <n v="0.1353"/>
    <n v="41"/>
    <n v="0.82"/>
    <n v="41"/>
    <n v="41"/>
    <n v="100"/>
    <n v="100"/>
    <n v="0.1353"/>
    <n v="100"/>
    <n v="0"/>
    <n v="0"/>
    <n v="0"/>
    <n v="0"/>
    <n v="0"/>
    <n v="0"/>
    <n v="0"/>
    <n v="0"/>
    <n v="0"/>
    <n v="0"/>
    <n v="0"/>
    <n v="0"/>
    <n v="0"/>
    <n v="0"/>
    <n v="0"/>
    <n v="0"/>
    <n v="0"/>
    <n v="0"/>
    <n v="0"/>
    <n v="2.9700000000000001E-2"/>
    <n v="9"/>
    <n v="0.18"/>
    <n v="9"/>
    <n v="9"/>
    <n v="100"/>
    <n v="100"/>
    <n v="2.9700000000000001E-2"/>
    <n v="10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50"/>
    <n v="0.16500000000000001"/>
    <n v="100"/>
    <n v="100"/>
    <n v="0.16500000000000001"/>
    <n v="0.16500000000000001"/>
    <n v="0.16500000000000001"/>
    <n v="1"/>
    <n v="3.4694469519536142E-18"/>
    <n v="622"/>
    <s v="INFORMACIÓN PARA LA TOMA DE DECISIONES DISPONIBLE Y CONFIABLE EN CUALQUIER MOMENTO A TRAVÉS DE UNA PLATAFORMA TECNOLÓGICA"/>
    <m/>
    <s v=""/>
    <m/>
    <m/>
    <m/>
    <m/>
    <s v="SE CUMPLIO EL 100% DE LA META YA QUE A LA FECHA ESTA ENTREGADA LA CARTOGRAFIA BASICA ESCALA 1:10.000 A 59 MUNICIPIOS DEL DEPARTAMENTO LO CUAL SUPERA EL 50% PROGRAMADO"/>
    <n v="363000000"/>
    <m/>
    <n v="100"/>
  </r>
  <r>
    <n v="330"/>
    <x v="1"/>
    <x v="15"/>
    <x v="10"/>
    <s v="DESARROLLO LOCAL TERRITORIAL"/>
    <s v="DESARROLLAR 1 PROYECTO PILOTO DE CAMBIO CLIMÁTICO Y ORDENAMIENTO TERRITORIAL COMO ACCIÓN DEMOSTRATIVA DE MANEJO ADAPTATIVO DEL TERRITORIO, EN EL PERIODO DE GOBIERNO."/>
    <s v="NO DE PROYECTOS DESARROLLADOS"/>
    <s v="PROYECTO"/>
    <s v="I"/>
    <n v="0"/>
    <n v="1"/>
    <n v="1"/>
    <n v="0.25"/>
    <n v="0"/>
    <n v="0"/>
    <n v="0"/>
    <n v="0"/>
    <n v="0"/>
    <n v="0"/>
    <n v="0"/>
    <n v="0"/>
    <n v="0"/>
    <n v="0"/>
    <n v="0"/>
    <n v="0"/>
    <n v="0"/>
    <n v="0"/>
    <n v="0"/>
    <n v="0"/>
    <n v="0"/>
    <n v="0"/>
    <n v="0"/>
    <n v="0"/>
    <n v="0"/>
    <n v="0"/>
    <n v="0"/>
    <n v="0"/>
    <n v="0"/>
    <n v="0"/>
    <n v="0"/>
    <n v="0"/>
    <n v="7.4999999999999997E-2"/>
    <n v="0.3"/>
    <n v="0.3"/>
    <n v="0.3"/>
    <n v="0.3"/>
    <n v="100"/>
    <n v="100"/>
    <n v="7.4999999999999997E-2"/>
    <n v="100"/>
    <n v="397000000"/>
    <n v="0"/>
    <n v="327000000"/>
    <n v="0"/>
    <n v="0"/>
    <n v="0"/>
    <n v="0"/>
    <n v="70000000"/>
    <n v="62000000"/>
    <n v="62000000"/>
    <n v="0"/>
    <n v="0"/>
    <n v="0"/>
    <n v="0"/>
    <n v="0"/>
    <n v="0"/>
    <n v="0"/>
    <n v="150000000"/>
    <s v="PROGRAMA DE NACIONES UNIDADS PARA EL DESARROLLO -PNUD "/>
    <n v="0.15"/>
    <n v="0.6"/>
    <n v="0.6"/>
    <n v="0"/>
    <n v="0.30000001192092896"/>
    <n v="0.3"/>
    <n v="0.3"/>
    <n v="50"/>
    <n v="50"/>
    <n v="7.4999999999999997E-2"/>
    <n v="50"/>
    <n v="7.4999999999999997E-2"/>
    <n v="2.5000000000000001E-2"/>
    <n v="0.1"/>
    <n v="0.1"/>
    <n v="0.3"/>
    <n v="-0.19999999999999998"/>
    <n v="0.3"/>
    <n v="300"/>
    <n v="100"/>
    <n v="2.5000000000000001E-2"/>
    <n v="7.4999999999999997E-2"/>
    <n v="824000000"/>
    <n v="754000000"/>
    <n v="0"/>
    <n v="0"/>
    <n v="0"/>
    <n v="0"/>
    <n v="0"/>
    <n v="70000000"/>
    <n v="0"/>
    <n v="0"/>
    <n v="0"/>
    <n v="0"/>
    <n v="0"/>
    <n v="0"/>
    <n v="0"/>
    <n v="0"/>
    <n v="0"/>
    <n v="0"/>
    <n v="0"/>
    <n v="0.89999999999999991"/>
    <n v="0.24999999999999997"/>
    <n v="89.999999999999986"/>
    <n v="89.999999999999986"/>
    <n v="0.22499999999999998"/>
    <n v="0.22499999999999998"/>
    <n v="0.22499999999999998"/>
    <n v="0.99999999999999989"/>
    <n v="0"/>
    <n v="327"/>
    <s v="CONSOLIDAR 4 INICIATIVAS DE INTEGRACIÓN REGIONAL QUE PERMITAN EL APROVECHAMIENTO DEL POTENCIAL DE LAS ECO REGIONES, PARA AVANZAR EN LA CONSTRUCCIÓN DE UN DEPARTAMENTO SOSTENIBLE, EQUITATIVO Y FUNCIONAL, DURANTE EL PRESENTE PERÍODO DE GOBIERNO."/>
    <m/>
    <s v=""/>
    <m/>
    <m/>
    <m/>
    <m/>
    <s v="SE REALIZO ACCIONES  CONJUNTAS CON N LA CORPORACIÓN AUTÓNOMA REGIONAL DEL GUAVIO – CORPOGUAVIO, PARA DESARROLLORAR EL PROYECTO ESTRATÉGICO “LA RUTA DEL AGUA”, A TRAVÉS DEL CUAL SE HA BUSCADO APOYAR, PROMOVER E INTEGRAR LAS INICIATIVAS LOCALES, DESARROLLANDO UN CORREDOR ECO Y AGRO TURÍSTICO DE LA REGIÓN PARA POSICIONARLA A  NIVEL DEL DEPARTAMENTO, DEL PAÍS Y  DEL MUNDO. A PARTIR DE ESTE GRAN PROYECTO SE  DESARROLLA EL TURISMO COMO ACTIVIDAD INTEGRADORA Y PLANIFICADA, QUE AYUDE AL USO Y APROVECHAMIENTO SOSTENIBLE DEL PATRIMONIO AMBIENTAL DE LA PROVINCIA DEL GUAVIO Y QUE GENERE ALTERNATIVAS DE INGRESOS Y EMPLEO A LOS DIVERSOS GRUPOS HUMANOS. ADEMÁS DE CONSTITUIRSE EN UNA DE LAS HERRAMIENTAS MÁS ADECUADAS PARA QUE LOS POBLADORES Y VISITANTES, SE SENSIBILICEN EN EL RESPETO Y EN EL USO RACIONAL DE LA NATURALEZA. PENDIENTE  POR  TERMINAR  LA  IMPLEMENTACION  DE  LA INFRAESTRUCTURADE APOYO A LA OPERACION TURISTICA. "/>
    <n v="252000000"/>
    <m/>
    <n v="6"/>
  </r>
  <r>
    <n v="331"/>
    <x v="1"/>
    <x v="14"/>
    <x v="10"/>
    <s v="DESARROLLO LOCAL TERRITORIAL"/>
    <s v="FORTALECER LA GESTIÓN PARA EL DESARROLLO TERRITORIAL CON 4 INSTRUMENTOS DE GESTIÓN DEL SUELO. DURANTE EL PERIODO DE GOBIERNO"/>
    <s v="NO. DE INSTRUMENTOS DE GESTIÓN IMPLEMENTADOS"/>
    <s v="INSTRUMENTOS"/>
    <s v="I"/>
    <n v="3"/>
    <n v="7"/>
    <n v="4"/>
    <n v="0.16500000000000001"/>
    <n v="0"/>
    <n v="0"/>
    <n v="0"/>
    <n v="0"/>
    <n v="0"/>
    <n v="0"/>
    <n v="0"/>
    <n v="0"/>
    <n v="0"/>
    <n v="0"/>
    <n v="0"/>
    <n v="0"/>
    <n v="0"/>
    <n v="0"/>
    <n v="0"/>
    <n v="0"/>
    <n v="0"/>
    <n v="0"/>
    <n v="0"/>
    <n v="0"/>
    <n v="0"/>
    <n v="0"/>
    <n v="0"/>
    <n v="0"/>
    <n v="0"/>
    <n v="0"/>
    <n v="0"/>
    <n v="0"/>
    <n v="0"/>
    <n v="0"/>
    <n v="0"/>
    <n v="0"/>
    <n v="0"/>
    <n v="0"/>
    <n v="0"/>
    <n v="0"/>
    <n v="0"/>
    <n v="190000000"/>
    <n v="0"/>
    <n v="65000000"/>
    <n v="0"/>
    <n v="0"/>
    <n v="0"/>
    <n v="0"/>
    <n v="125000000"/>
    <n v="0"/>
    <n v="0"/>
    <n v="0"/>
    <n v="0"/>
    <n v="0"/>
    <n v="0"/>
    <n v="0"/>
    <n v="0"/>
    <n v="0"/>
    <n v="0"/>
    <n v="0"/>
    <n v="0"/>
    <n v="0"/>
    <n v="0"/>
    <n v="0"/>
    <n v="0"/>
    <n v="0"/>
    <n v="0"/>
    <n v="0"/>
    <n v="0"/>
    <n v="0"/>
    <n v="0"/>
    <n v="0"/>
    <n v="0.16500000000000001"/>
    <n v="4"/>
    <n v="1"/>
    <n v="0"/>
    <n v="4"/>
    <n v="0"/>
    <n v="0"/>
    <n v="0"/>
    <n v="0"/>
    <n v="0"/>
    <n v="275000000"/>
    <n v="150000000"/>
    <n v="0"/>
    <n v="0"/>
    <n v="0"/>
    <n v="0"/>
    <n v="0"/>
    <n v="125000000"/>
    <n v="0"/>
    <n v="0"/>
    <n v="0"/>
    <n v="0"/>
    <n v="0"/>
    <n v="0"/>
    <n v="0"/>
    <n v="0"/>
    <n v="0"/>
    <n v="0"/>
    <n v="0"/>
    <n v="0"/>
    <n v="0.16500000000000001"/>
    <n v="0"/>
    <n v="0"/>
    <n v="0"/>
    <n v="0"/>
    <n v="0"/>
    <n v="1"/>
    <n v="0"/>
    <n v="327"/>
    <s v="CONSOLIDAR 4 INICIATIVAS DE INTEGRACIÓN REGIONAL QUE PERMITAN EL APROVECHAMIENTO DEL POTENCIAL DE LAS ECO REGIONES, PARA AVANZAR EN LA CONSTRUCCIÓN DE UN DEPARTAMENTO SOSTENIBLE, EQUITATIVO Y FUNCIONAL, DURANTE EL PRESENTE PERÍODO DE GOBIERNO."/>
    <m/>
    <s v=""/>
    <m/>
    <m/>
    <m/>
    <m/>
    <s v="NO SE LOGRÓ CUMPLIR ESTA META POR CUANTO LAS ADMINISTRACIONES MUNICIPALES NO ESTABAN INTERESADAS EN FORMULAR PLANES PARCIALES POR CUANTO ESTABAN ADELANTANDO LOS ESTUDIOS DE RIESGO Y LA REVISIÓN Y AJUSTE DE LOS POT"/>
    <n v="126778000000"/>
    <m/>
    <n v="45852"/>
  </r>
  <r>
    <n v="332"/>
    <x v="1"/>
    <x v="14"/>
    <x v="10"/>
    <s v="CUNDINAMARCA HACIA LA CONSOLIDACIÓN E INTEGRACIÓN REGIONAL"/>
    <s v="FORMULAR LOS LINEAMIENTOS Y ORIENTACIONES PARA EL ORDENAMIENTO DEL TERRITORIO DEL DEPARTAMENTO DE CUNDINAMARCA Y SU INCORPORACIÓN EN LOS POT, EN EL CUATRIENIO."/>
    <s v="UN (1) DOCUMENTO"/>
    <s v="MODELO"/>
    <s v="I"/>
    <n v="0"/>
    <n v="1"/>
    <n v="1"/>
    <n v="0.33"/>
    <n v="0"/>
    <n v="0"/>
    <n v="0"/>
    <n v="0"/>
    <n v="0"/>
    <n v="0"/>
    <n v="0"/>
    <n v="0"/>
    <n v="0"/>
    <n v="0"/>
    <n v="0"/>
    <n v="0"/>
    <n v="0"/>
    <n v="0"/>
    <n v="0"/>
    <n v="0"/>
    <n v="0"/>
    <n v="0"/>
    <n v="0"/>
    <n v="0"/>
    <n v="0"/>
    <n v="0"/>
    <n v="0"/>
    <n v="0"/>
    <n v="0"/>
    <n v="0"/>
    <n v="0"/>
    <n v="0"/>
    <n v="0"/>
    <n v="0"/>
    <n v="0"/>
    <n v="0"/>
    <n v="0"/>
    <n v="0"/>
    <n v="0"/>
    <n v="0"/>
    <n v="0"/>
    <n v="0"/>
    <n v="0"/>
    <n v="0"/>
    <n v="0"/>
    <n v="0"/>
    <n v="0"/>
    <n v="0"/>
    <n v="0"/>
    <n v="16000000"/>
    <n v="16000000"/>
    <n v="0"/>
    <n v="0"/>
    <n v="0"/>
    <n v="0"/>
    <n v="0"/>
    <n v="0"/>
    <n v="0"/>
    <n v="0"/>
    <n v="0"/>
    <n v="3.3000000000000002E-2"/>
    <n v="0.1"/>
    <n v="0.1"/>
    <n v="0"/>
    <n v="0"/>
    <n v="0"/>
    <n v="0"/>
    <n v="0"/>
    <n v="0"/>
    <n v="0"/>
    <n v="0"/>
    <n v="0"/>
    <n v="0.29700000000000004"/>
    <n v="0.9"/>
    <n v="0.9"/>
    <n v="0.6"/>
    <n v="0.30000000000000004"/>
    <n v="0.6"/>
    <n v="66.666666666666671"/>
    <n v="66.666666666666671"/>
    <n v="0.19800000000000004"/>
    <n v="0.19800000000000004"/>
    <n v="0"/>
    <n v="0"/>
    <n v="0"/>
    <n v="0"/>
    <n v="0"/>
    <n v="0"/>
    <n v="0"/>
    <n v="0"/>
    <n v="0"/>
    <n v="0"/>
    <n v="0"/>
    <n v="0"/>
    <n v="0"/>
    <n v="0"/>
    <n v="0"/>
    <n v="0"/>
    <n v="0"/>
    <n v="0"/>
    <n v="0"/>
    <n v="0.6"/>
    <n v="0.33000000000000007"/>
    <n v="60"/>
    <n v="60"/>
    <n v="0.19800000000000001"/>
    <n v="0.19800000000000001"/>
    <n v="0.19800000000000001"/>
    <n v="1"/>
    <n v="0"/>
    <n v="327"/>
    <s v="CONSOLIDAR 4 INICIATIVAS DE INTEGRACIÓN REGIONAL QUE PERMITAN EL APROVECHAMIENTO DEL POTENCIAL DE LAS ECO REGIONES, PARA AVANZAR EN LA CONSTRUCCIÓN DE UN DEPARTAMENTO SOSTENIBLE, EQUITATIVO Y FUNCIONAL, DURANTE EL PRESENTE PERÍODO DE GOBIERNO."/>
    <m/>
    <s v=""/>
    <m/>
    <m/>
    <m/>
    <m/>
    <s v="SE FORMULARON LAS DIRECTRICES DE ORDENAMIENTO TERRITORIAL CONTENIDAS EN EL PROYECTO DE ORDENANZA, EN EJERCICIO DE LAS COMPETENCIAS, DE CONFORMIDAD CON EL LITERAL A.) DEL NUMERAL 2º DEL ARTÍCULO 29 DE LA LEY 1454 DE 2011"/>
    <n v="3741000000"/>
    <m/>
    <n v="50"/>
  </r>
  <r>
    <n v="336"/>
    <x v="1"/>
    <x v="8"/>
    <x v="11"/>
    <s v="PROTECCIÓN Y ASEGURAMIENTO DEL RECURSO HÍDRICO"/>
    <s v="INCREMENTAR A 31.000 LAS HECTÁREAS DE CONSERVACIÓN DEL RECURSO HÍDRICO DEL DEPARTAMENTO UBICADAS EN ZONAS DE IMPORTANCIA ESTRATÉGICA EN EL PERIODO DE GOBIERNO, MEDIANTE LA CONSOLIDACIÓN DE CORREDORES AMBIENTALES."/>
    <s v="NO. DE HECTÁREAS ADQUIRIDAS PARA GARANTIZAR LA CONSERVACIÓN DEL RECURSO HÍDRICO"/>
    <s v="HECTAREAS"/>
    <s v="I"/>
    <n v="27000"/>
    <n v="31000"/>
    <n v="4000"/>
    <n v="0.25"/>
    <n v="4.6875E-2"/>
    <n v="750"/>
    <n v="0.1875"/>
    <n v="555"/>
    <n v="555"/>
    <n v="74"/>
    <n v="74"/>
    <n v="3.4687500000000003E-2"/>
    <n v="74"/>
    <n v="6000000000"/>
    <n v="6000000000"/>
    <n v="0"/>
    <n v="0"/>
    <n v="0"/>
    <n v="0"/>
    <n v="0"/>
    <n v="0"/>
    <n v="6600000000"/>
    <n v="6600000000"/>
    <n v="0"/>
    <n v="0"/>
    <n v="0"/>
    <n v="0"/>
    <n v="0"/>
    <n v="0"/>
    <n v="0"/>
    <n v="0"/>
    <n v="0"/>
    <n v="7.8125E-2"/>
    <n v="1250"/>
    <n v="0.3125"/>
    <n v="3905.37"/>
    <n v="3905.37"/>
    <n v="312.42959999999999"/>
    <n v="100"/>
    <n v="7.8125E-2"/>
    <n v="100"/>
    <n v="1487000000"/>
    <n v="0"/>
    <n v="1487000000"/>
    <n v="0"/>
    <n v="0"/>
    <n v="0"/>
    <n v="0"/>
    <n v="0"/>
    <n v="12085204077"/>
    <n v="12085204077"/>
    <n v="0"/>
    <n v="0"/>
    <n v="0"/>
    <n v="0"/>
    <n v="0"/>
    <n v="0"/>
    <n v="0"/>
    <n v="201600000"/>
    <s v="MUNICIPIOS DE CHAGUANI, SILVANIA, YACOPI,CAPARRAPI"/>
    <n v="6.25E-2"/>
    <n v="1000"/>
    <n v="0.25"/>
    <n v="1574"/>
    <n v="1592.4200439453125"/>
    <n v="2092.52001953125"/>
    <n v="2092.52001953125"/>
    <n v="209.25200195312499"/>
    <n v="100"/>
    <n v="6.25E-2"/>
    <n v="100"/>
    <n v="0.13078250122070312"/>
    <n v="6.25E-2"/>
    <n v="1000"/>
    <n v="0.25"/>
    <n v="5144.5"/>
    <n v="-4144.5"/>
    <n v="5144.5"/>
    <n v="514.45000000000005"/>
    <n v="100"/>
    <n v="6.25E-2"/>
    <n v="0.32153125000000005"/>
    <n v="6309000000"/>
    <n v="6309000000"/>
    <n v="0"/>
    <n v="0"/>
    <n v="0"/>
    <n v="0"/>
    <n v="0"/>
    <n v="0"/>
    <n v="0"/>
    <n v="0"/>
    <n v="0"/>
    <n v="0"/>
    <n v="0"/>
    <n v="0"/>
    <n v="0"/>
    <n v="0"/>
    <n v="0"/>
    <n v="0"/>
    <n v="0"/>
    <n v="11697.390019531249"/>
    <n v="0.25"/>
    <n v="292.43475048828122"/>
    <n v="100"/>
    <n v="0.25"/>
    <n v="0.25"/>
    <n v="0.25"/>
    <n v="1"/>
    <n v="0"/>
    <n v="334"/>
    <s v="GARANTIZAR DISPONIBILIDAD DEL RECURSO HÍDRICO, CON LA CONSERVACIÓN DE 31.000 HECTÁREAS UBICADAS EN ZONAS DE IMPORTANCIA ESTRATÉGICA EN LAS ECO – REGIONES. "/>
    <m/>
    <s v=""/>
    <m/>
    <m/>
    <m/>
    <m/>
    <s v="INCREMENTO DE 11.697,425 HECTAREAS PARA LA CONSERVACION DEL RECURSO HIDRICO , MEDIANTE PROCESOS DE ADQUISICION DE PREDIOS DE CONSERVACION EN 34 MUNICIPIOS DEL DEPARTAMENTO , PROMOVIENDO LA CONSERVACION DE LA OFERTA HIDIRCA. "/>
    <n v="677000000"/>
    <m/>
    <n v="0.5"/>
  </r>
  <r>
    <n v="337"/>
    <x v="1"/>
    <x v="8"/>
    <x v="11"/>
    <s v="PROTECCIÓN Y ASEGURAMIENTO DEL RECURSO HÍDRICO"/>
    <s v="INCREMENTAR EN 500 LAS HECTÁREAS CONSERVADAS EN ECOSISTEMAS REGULADORES DEL RECURSO HÍDRICO EN EL PERIODO DE GOBIERNO, MEDIANTE LA ESTRATEGIA DE MANTENIMIENTO DE PREDIOS ADQUIRIDOS. "/>
    <s v="NO. DE HECTÁREAS EN USO DE CONSERVACIÓN CON MANTENIMIENTO. "/>
    <s v="HECTAREAS"/>
    <s v="I"/>
    <n v="92"/>
    <n v="592"/>
    <n v="500"/>
    <n v="0.33"/>
    <n v="1.9800000000000002E-2"/>
    <n v="30"/>
    <n v="0.06"/>
    <n v="48"/>
    <n v="48"/>
    <n v="160"/>
    <n v="100"/>
    <n v="1.9800000000000002E-2"/>
    <n v="100"/>
    <n v="1125000000"/>
    <n v="1125000000"/>
    <n v="0"/>
    <n v="0"/>
    <n v="0"/>
    <n v="0"/>
    <n v="0"/>
    <n v="0"/>
    <n v="0"/>
    <n v="0"/>
    <n v="0"/>
    <n v="0"/>
    <n v="0"/>
    <n v="0"/>
    <n v="0"/>
    <n v="0"/>
    <n v="0"/>
    <n v="0"/>
    <n v="0"/>
    <n v="0.11220000000000001"/>
    <n v="170"/>
    <n v="0.34"/>
    <n v="138"/>
    <n v="138"/>
    <n v="81.17647058823529"/>
    <n v="81.17647058823529"/>
    <n v="9.1080000000000008E-2"/>
    <n v="81.17647058823529"/>
    <n v="5947000000"/>
    <n v="0"/>
    <n v="5947000000"/>
    <n v="0"/>
    <n v="0"/>
    <n v="0"/>
    <n v="0"/>
    <n v="0"/>
    <n v="0"/>
    <n v="0"/>
    <n v="0"/>
    <n v="0"/>
    <n v="0"/>
    <n v="0"/>
    <n v="0"/>
    <n v="0"/>
    <n v="0"/>
    <n v="0"/>
    <n v="0"/>
    <n v="0.13200000000000001"/>
    <n v="200"/>
    <n v="0.4"/>
    <n v="20"/>
    <n v="20"/>
    <n v="20"/>
    <n v="20"/>
    <n v="10"/>
    <n v="10"/>
    <n v="1.32E-2"/>
    <n v="10"/>
    <n v="1.32E-2"/>
    <n v="6.6000000000000003E-2"/>
    <n v="100"/>
    <n v="0.2"/>
    <n v="494"/>
    <n v="-394"/>
    <n v="494"/>
    <n v="494"/>
    <n v="100"/>
    <n v="6.6000000000000003E-2"/>
    <n v="0.32604"/>
    <n v="1577000000"/>
    <n v="1577000000"/>
    <n v="0"/>
    <n v="0"/>
    <n v="0"/>
    <n v="0"/>
    <n v="0"/>
    <n v="0"/>
    <n v="0"/>
    <n v="0"/>
    <n v="0"/>
    <n v="0"/>
    <n v="0"/>
    <n v="0"/>
    <n v="0"/>
    <n v="0"/>
    <n v="0"/>
    <n v="0"/>
    <n v="0"/>
    <n v="700"/>
    <n v="0.33"/>
    <n v="140"/>
    <n v="100"/>
    <n v="0.33"/>
    <n v="0.33"/>
    <n v="0.33"/>
    <n v="1"/>
    <n v="0"/>
    <n v="335"/>
    <s v="REDUCIR Y COMPENSAR 10.000 TONELADAS DE CO2 DE LA HUELLA DE CARBONO DEL DEPARTAMENTO EN EL CUATRIENIO, MEDIANTE LA IMPLEMENTACIÓN DE LA ESTRATEGIA CUNDINAMARCA NEUTRA."/>
    <m/>
    <s v=""/>
    <m/>
    <m/>
    <m/>
    <m/>
    <s v="700 HECTAREAS EN USO DE CONSERVACION CON MANTENIMIENTO. DESARROLLO DE ACTIVIDADES DE COORDINACION CON SOCIOS ESTRATEGICOS ( CONTREEBUTE, COVIANDES Y CONSORCIO RELLENO NUEVO MONDOÑEDO) PARA INCREMENTAR LAS HECTAREAS CONSERVADAS, CON EL FIN DE GARANTIZAR LA CONSERVACIÓN DEL RECURSO HIDRICO.  SE REALIZAN PROCESOS DE REFORESTACION Y CERCADO DE PROTECCION , CON LAS JUNTAS DE ACCION COMUNAL Y CON LA FUNDACION NATURA. "/>
    <n v="100000000"/>
    <m/>
    <n v="0"/>
  </r>
  <r>
    <n v="338"/>
    <x v="1"/>
    <x v="8"/>
    <x v="11"/>
    <s v="PROTECCIÓN Y ASEGURAMIENTO DEL RECURSO HÍDRICO"/>
    <s v="FORTALECER INSTITUCIONALMENTE EL 100% DE LOS MUNICIPIOS DESCERTIFICADOS MEDIANTE LA ADMINISTRACIÓN DE LOS RECURSOS DEL SISTEMA GENERAL DE PARTICIPACIONES-AGUA POTABLE Y SANEAMIENTO BÁSICO ASIGNADOS AL MUNICIPIO, CON EL FIN DE ASEGURAR LA PRESTACIÓN DE LOS SERVICIOS DE AGUA POTABLE Y SANEAMIENTO BÁSICO A LOS HABITANTES DEL RESPECTIVO MUNICIPIO"/>
    <s v="PORCENTAJE DE MUNICIPIOS ASESORADOS"/>
    <s v="MPIOS"/>
    <s v="M"/>
    <n v="0"/>
    <n v="100"/>
    <n v="100"/>
    <n v="0.16500000000000001"/>
    <n v="4.1250000000000002E-2"/>
    <n v="100"/>
    <n v="0.25"/>
    <n v="100"/>
    <n v="25"/>
    <n v="100"/>
    <n v="100"/>
    <n v="4.1250000000000002E-2"/>
    <n v="100"/>
    <n v="0"/>
    <n v="0"/>
    <n v="0"/>
    <n v="0"/>
    <n v="0"/>
    <n v="0"/>
    <n v="0"/>
    <n v="0"/>
    <n v="0"/>
    <n v="0"/>
    <n v="0"/>
    <n v="0"/>
    <n v="0"/>
    <n v="0"/>
    <n v="0"/>
    <n v="0"/>
    <n v="0"/>
    <n v="0"/>
    <n v="0"/>
    <n v="4.1250000000000002E-2"/>
    <n v="100"/>
    <n v="0.25"/>
    <n v="100"/>
    <n v="25"/>
    <n v="100"/>
    <n v="100"/>
    <n v="4.1250000000000002E-2"/>
    <n v="100"/>
    <n v="0"/>
    <n v="0"/>
    <n v="0"/>
    <n v="0"/>
    <n v="0"/>
    <n v="0"/>
    <n v="0"/>
    <n v="0"/>
    <n v="372011025"/>
    <n v="0"/>
    <n v="0"/>
    <n v="0"/>
    <n v="0"/>
    <n v="0"/>
    <n v="0"/>
    <n v="372011025"/>
    <n v="0"/>
    <n v="0"/>
    <n v="0"/>
    <n v="4.1250000000000002E-2"/>
    <n v="100"/>
    <n v="0.25"/>
    <n v="100"/>
    <n v="116"/>
    <n v="116"/>
    <n v="29"/>
    <n v="116"/>
    <n v="100"/>
    <n v="4.1250000000000002E-2"/>
    <n v="100"/>
    <n v="4.7850000000000004E-2"/>
    <n v="4.1250000000000002E-2"/>
    <n v="100"/>
    <n v="0.25"/>
    <n v="100"/>
    <n v="0"/>
    <n v="25"/>
    <n v="100"/>
    <n v="100"/>
    <n v="4.1250000000000002E-2"/>
    <n v="4.1250000000000002E-2"/>
    <n v="0"/>
    <n v="0"/>
    <n v="0"/>
    <n v="0"/>
    <n v="0"/>
    <n v="0"/>
    <n v="0"/>
    <n v="0"/>
    <n v="0"/>
    <n v="0"/>
    <n v="0"/>
    <n v="0"/>
    <n v="0"/>
    <n v="0"/>
    <n v="0"/>
    <n v="0"/>
    <n v="0"/>
    <n v="0"/>
    <n v="0"/>
    <n v="104"/>
    <n v="0.16500000000000001"/>
    <n v="104"/>
    <n v="100"/>
    <n v="0.16500000000000001"/>
    <n v="0.16500000000000001"/>
    <n v="0.16500000000000001"/>
    <n v="1"/>
    <n v="0"/>
    <n v="334"/>
    <s v="GARANTIZAR DISPONIBILIDAD DEL RECURSO HÍDRICO, CON LA CONSERVACIÓN DE 31.000 HECTÁREAS UBICADAS EN ZONAS DE IMPORTANCIA ESTRATÉGICA EN LAS ECO – REGIONES. "/>
    <m/>
    <s v=""/>
    <m/>
    <m/>
    <m/>
    <m/>
    <s v="SE REALIZARON CAPACITACIONES Y ASISTENCIA A 116 MUNICIPIOS PARA EL CARGUE DE LA INFORMACIÓN EN EL SUI . .SE REALIZO COORDINACIÓN Y SEGUIMIENTO ( OFICIOS, COMUNICACIONES Y OBSERVACIONES) A LOS MUNICIPIOS SUSCEPTIBLES DE DESCERTIFICACIÓN EN EL PERIODO DE GOBIERNO, SE ADMINISTRAN LOS RECURSOS DEL SISTEMA GENERAL DE PARTICIPACION DE LOS MUNICIPIOS DESCERTIFICADOS "/>
    <n v="810000000"/>
    <m/>
    <n v="50"/>
  </r>
  <r>
    <n v="339"/>
    <x v="1"/>
    <x v="8"/>
    <x v="11"/>
    <s v="CONSERVACIÓN Y MANEJO DE ECOSISTEMAS ESTRATÉGICOS"/>
    <s v="RESTAURAR LA OFERTA AMBIENTAL DE 400 HECTÁREAS DE ECOSISTEMAS SENSIBLES, EN EL PERIODO DE GOBIERNO."/>
    <s v="NO DE HECTAREAS DE ECOSISTEMAS SENSIBLES RESTAURADOS"/>
    <s v="HECTAREAS"/>
    <s v="I"/>
    <n v="0"/>
    <n v="400"/>
    <n v="400"/>
    <n v="0.25"/>
    <n v="1.8749999999999999E-2"/>
    <n v="30"/>
    <n v="7.4999999999999997E-2"/>
    <n v="48"/>
    <n v="48"/>
    <n v="160"/>
    <n v="100"/>
    <n v="1.8749999999999999E-2"/>
    <n v="100"/>
    <n v="0"/>
    <n v="0"/>
    <n v="0"/>
    <n v="0"/>
    <n v="0"/>
    <n v="0"/>
    <n v="0"/>
    <n v="0"/>
    <n v="0"/>
    <n v="0"/>
    <n v="0"/>
    <n v="0"/>
    <n v="0"/>
    <n v="0"/>
    <n v="0"/>
    <n v="0"/>
    <n v="0"/>
    <n v="0"/>
    <n v="0"/>
    <n v="9.375E-2"/>
    <n v="150"/>
    <n v="0.375"/>
    <n v="80"/>
    <n v="80"/>
    <n v="53.333333333333336"/>
    <n v="53.333333333333336"/>
    <n v="0.05"/>
    <n v="53.333333333333336"/>
    <n v="0"/>
    <n v="0"/>
    <n v="0"/>
    <n v="0"/>
    <n v="0"/>
    <n v="0"/>
    <n v="0"/>
    <n v="0"/>
    <n v="0"/>
    <n v="0"/>
    <n v="0"/>
    <n v="0"/>
    <n v="0"/>
    <n v="0"/>
    <n v="0"/>
    <n v="0"/>
    <n v="0"/>
    <n v="0"/>
    <n v="0"/>
    <n v="6.25E-2"/>
    <n v="100"/>
    <n v="0.25"/>
    <n v="21"/>
    <n v="21"/>
    <n v="21"/>
    <n v="21"/>
    <n v="21"/>
    <n v="21"/>
    <n v="1.3125E-2"/>
    <n v="21"/>
    <n v="1.3125E-2"/>
    <n v="7.4999999999999997E-2"/>
    <n v="120"/>
    <n v="0.3"/>
    <n v="606.20000000000005"/>
    <n v="-486.20000000000005"/>
    <n v="606.20000000000005"/>
    <n v="505.16666666666674"/>
    <n v="100"/>
    <n v="7.4999999999999997E-2"/>
    <n v="0.37887500000000002"/>
    <n v="0"/>
    <n v="0"/>
    <n v="0"/>
    <n v="0"/>
    <n v="0"/>
    <n v="0"/>
    <n v="0"/>
    <n v="0"/>
    <n v="0"/>
    <n v="0"/>
    <n v="0"/>
    <n v="0"/>
    <n v="0"/>
    <n v="0"/>
    <n v="0"/>
    <n v="0"/>
    <n v="0"/>
    <n v="0"/>
    <n v="0"/>
    <n v="755.2"/>
    <n v="0.25"/>
    <n v="188.8"/>
    <n v="100"/>
    <n v="0.25"/>
    <n v="0.25"/>
    <n v="0.25"/>
    <n v="1"/>
    <n v="0"/>
    <n v="335"/>
    <s v="REDUCIR Y COMPENSAR 10.000 TONELADAS DE CO2 DE LA HUELLA DE CARBONO DEL DEPARTAMENTO EN EL CUATRIENIO, MEDIANTE LA IMPLEMENTACIÓN DE LA ESTRATEGIA CUNDINAMARCA NEUTRA."/>
    <m/>
    <s v=""/>
    <m/>
    <m/>
    <m/>
    <m/>
    <s v="755,20 HECTAREAS DE ECOSISTEMAS SENSIBLES RESTAURADOS. LA META FUE ATENDICA CON ESTRATEGIAS CONJUNTAS QUE INCLUYERON EL RETIRO DE LA MALEZA ACUATICA PARA LA RESTAURACION DE LOS ECOSISTEMAS DE FUQUENE Y CUCUNUBA. HECTAREAS RESTAURADAS A TRAVES DE LA SIEMBRA DE ABROLES EN LOS MUNICIPIOS DE SUBACHOQUE, ZIPAQUIRA Y LOS 8 MUNICIPIOS DE LA PROVINCIA DE RIONEGRO.ASI MISMO SE APLICO LA ESTRATEGIA DE PAGO POR SERVICIOS AMBIENTALES EN LOS MUNICIPIOS DE COGUA ZIPAQUIRA. VILLAPINZON, SIBATE, BOJACA, CHOCONTA, ALBAN, CHIPAQUE Y GRANADA "/>
    <n v="98729000000"/>
    <m/>
    <n v="100"/>
  </r>
  <r>
    <n v="340"/>
    <x v="1"/>
    <x v="8"/>
    <x v="11"/>
    <s v="CONSERVACIÓN Y MANEJO DE ECOSISTEMAS ESTRATÉGICOS"/>
    <s v="CONSERVAR Y/O RECUPERAR ECOSISTEMAS LENTICOS EN EL PERIODO DE GOBIERNO MEDIANTE LA EJECUCIÓN DE 4 ACCIONES DE MEJORAMIENTO AMBIENTAL. "/>
    <s v="NO. ACCIONES EJECUTADAS "/>
    <s v="ACCIONES"/>
    <s v="I"/>
    <n v="6"/>
    <n v="10"/>
    <n v="4"/>
    <n v="0.16500000000000001"/>
    <n v="4.1250000000000002E-2"/>
    <n v="1"/>
    <n v="0.25"/>
    <n v="1"/>
    <n v="1"/>
    <n v="100"/>
    <n v="100"/>
    <n v="4.1250000000000002E-2"/>
    <n v="100"/>
    <n v="256000000"/>
    <n v="256000000"/>
    <n v="0"/>
    <n v="0"/>
    <n v="0"/>
    <n v="0"/>
    <n v="0"/>
    <n v="0"/>
    <n v="256844000"/>
    <n v="256844000"/>
    <n v="0"/>
    <n v="0"/>
    <n v="0"/>
    <n v="0"/>
    <n v="0"/>
    <n v="0"/>
    <n v="0"/>
    <n v="0"/>
    <n v="0"/>
    <n v="4.1250000000000002E-2"/>
    <n v="1"/>
    <n v="0.25"/>
    <n v="1"/>
    <n v="1"/>
    <n v="100"/>
    <n v="100"/>
    <n v="4.1250000000000002E-2"/>
    <n v="100"/>
    <n v="130000000"/>
    <n v="0"/>
    <n v="130000000"/>
    <n v="0"/>
    <n v="0"/>
    <n v="0"/>
    <n v="0"/>
    <n v="0"/>
    <n v="130000000"/>
    <n v="130000000"/>
    <n v="0"/>
    <n v="0"/>
    <n v="0"/>
    <n v="0"/>
    <n v="0"/>
    <n v="0"/>
    <n v="0"/>
    <n v="762900000"/>
    <s v="CAR, MUNICIPIO DE MOSQUERA, MUNICIPIO DE CUCUNUBA "/>
    <n v="4.1250000000000002E-2"/>
    <n v="1"/>
    <n v="0.25"/>
    <n v="1"/>
    <n v="1"/>
    <n v="1"/>
    <n v="1"/>
    <n v="100"/>
    <n v="100"/>
    <n v="4.1250000000000002E-2"/>
    <n v="100"/>
    <n v="4.1250000000000002E-2"/>
    <n v="4.1250000000000002E-2"/>
    <n v="1"/>
    <n v="0.25"/>
    <n v="2"/>
    <n v="-1"/>
    <n v="2"/>
    <n v="200"/>
    <n v="100"/>
    <n v="4.1250000000000002E-2"/>
    <n v="8.2500000000000004E-2"/>
    <n v="290000000"/>
    <n v="290000000"/>
    <n v="0"/>
    <n v="0"/>
    <n v="0"/>
    <n v="0"/>
    <n v="0"/>
    <n v="0"/>
    <n v="0"/>
    <n v="0"/>
    <n v="0"/>
    <n v="0"/>
    <n v="0"/>
    <n v="0"/>
    <n v="0"/>
    <n v="0"/>
    <n v="0"/>
    <n v="0"/>
    <n v="0"/>
    <n v="5"/>
    <n v="0.16500000000000001"/>
    <n v="125"/>
    <n v="100"/>
    <n v="0.16500000000000001"/>
    <n v="0.16500000000000001"/>
    <n v="0.16500000000000001"/>
    <n v="1"/>
    <n v="0"/>
    <n v="334"/>
    <s v="GARANTIZAR DISPONIBILIDAD DEL RECURSO HÍDRICO, CON LA CONSERVACIÓN DE 31.000 HECTÁREAS UBICADAS EN ZONAS DE IMPORTANCIA ESTRATÉGICA EN LAS ECO – REGIONES. "/>
    <m/>
    <s v=""/>
    <m/>
    <m/>
    <m/>
    <m/>
    <s v="SE AVANZO EN LA RECUPERACIÓN DE 5 ECOSISTEMAS LENTICOS: LAGUNA DE FUQUENE, CON ACTIVIDADES QUE PERMITIERON LA REMOCIÓN DEL MATERIAL VEGETAL Y SEDIMENTOS PARA LA RECUPERACIÓN DEL ESPEJO DE AGUA . ADICIONALMENTE SE APOYARON LOS ECOSISTEMAS LENTICOS DE LA HERRERA, CUCUNUBA,CON ACTIVIDADES DE REMOSION DE VEGETACION ACUATICA Y SE ADELANTARON ACTIVIDADES DE PROTECCION DEL HUMEDAL TIERRA BLANCA EN SOACHA Y REMOSION DE VEGETACION ACUATICA EN LA LAGUNA DE UBAQUE, "/>
    <n v="240000000"/>
    <m/>
    <n v="80"/>
  </r>
  <r>
    <n v="341"/>
    <x v="1"/>
    <x v="8"/>
    <x v="11"/>
    <s v="CONSERVACIÓN Y MANEJO DE ECOSISTEMAS ESTRATÉGICOS"/>
    <s v="IMPULSAR 2 PROYECTOS DE DESCONTAMINACIÓN ALREDEDOR DEL RIO BOGOTÁ CON PARTICIPACIÓN COMUNITARIA E INSTITUCIONAL, EN EL PERIODO DE GOBIERNO."/>
    <s v="NO. DE PROYECTOS APOYADOS PARA LA DESCONTAMINACIÓN DEL RÍO BOGOTÁ."/>
    <s v="PROYECTOS"/>
    <s v="I"/>
    <n v="0"/>
    <n v="2"/>
    <n v="2"/>
    <n v="0.16500000000000001"/>
    <n v="0"/>
    <n v="0"/>
    <n v="0"/>
    <n v="0"/>
    <n v="0"/>
    <n v="0"/>
    <n v="0"/>
    <n v="0"/>
    <n v="0"/>
    <n v="0"/>
    <n v="0"/>
    <n v="0"/>
    <n v="0"/>
    <n v="0"/>
    <n v="0"/>
    <n v="0"/>
    <n v="0"/>
    <n v="0"/>
    <n v="0"/>
    <n v="0"/>
    <n v="0"/>
    <n v="0"/>
    <n v="0"/>
    <n v="0"/>
    <n v="0"/>
    <n v="0"/>
    <n v="0"/>
    <n v="0"/>
    <n v="0"/>
    <n v="0"/>
    <n v="0"/>
    <n v="0.4"/>
    <n v="0.4"/>
    <n v="0"/>
    <n v="0"/>
    <n v="0"/>
    <n v="100"/>
    <n v="0"/>
    <n v="0"/>
    <n v="0"/>
    <n v="0"/>
    <n v="0"/>
    <n v="0"/>
    <n v="0"/>
    <n v="0"/>
    <n v="400000000"/>
    <n v="400000000"/>
    <n v="0"/>
    <n v="0"/>
    <n v="0"/>
    <n v="0"/>
    <n v="0"/>
    <n v="0"/>
    <n v="0"/>
    <n v="56000000"/>
    <s v="UNIVERSIDAD NACIONAL DE COLOMBIA "/>
    <n v="8.2500000000000004E-2"/>
    <n v="1"/>
    <n v="0.5"/>
    <n v="1"/>
    <n v="1"/>
    <n v="1"/>
    <n v="1"/>
    <n v="100"/>
    <n v="100"/>
    <n v="8.2500000000000004E-2"/>
    <n v="100"/>
    <n v="8.2500000000000004E-2"/>
    <n v="8.2500000000000004E-2"/>
    <n v="1"/>
    <n v="0.5"/>
    <n v="1"/>
    <n v="0"/>
    <n v="1"/>
    <n v="100"/>
    <n v="100"/>
    <n v="8.2500000000000004E-2"/>
    <n v="8.2500000000000004E-2"/>
    <n v="0"/>
    <n v="0"/>
    <n v="0"/>
    <n v="0"/>
    <n v="0"/>
    <n v="0"/>
    <n v="0"/>
    <n v="0"/>
    <n v="0"/>
    <n v="0"/>
    <n v="0"/>
    <n v="0"/>
    <n v="0"/>
    <n v="0"/>
    <n v="0"/>
    <n v="0"/>
    <n v="0"/>
    <n v="0"/>
    <n v="0"/>
    <n v="2.4"/>
    <n v="0.16500000000000001"/>
    <n v="120"/>
    <n v="100"/>
    <n v="0.16500000000000001"/>
    <n v="0.16500000000000001"/>
    <n v="0.16500000000000001"/>
    <n v="1"/>
    <n v="0"/>
    <n v="335"/>
    <s v="REDUCIR Y COMPENSAR 10.000 TONELADAS DE CO2 DE LA HUELLA DE CARBONO DEL DEPARTAMENTO EN EL CUATRIENIO, MEDIANTE LA IMPLEMENTACIÓN DE LA ESTRATEGIA CUNDINAMARCA NEUTRA."/>
    <m/>
    <s v=""/>
    <m/>
    <m/>
    <m/>
    <m/>
    <s v="2 PROYECTOS APOYADOS. SE ADELANTO LA CONSOLIDACION DE LA INFORMACION RELACIONADA CON PLANES DE MEJORAMIENTO RIO BOGOTÁ. SE DESARROLLAN ACTIVIDADES CON EL SECTOR CURTIDOR DEL DEPARTAMENTO, LA UNIVERSIDAD NACIONAL Y LOS MUNICIPIOS DE VILLAPINZON Y CHOCONTA, SE APOYO LA GESTION DE DESCONTAMINACIÓN DEL RIO BOGOTA , MEDIANTE EL FORTALECIMIENTO DE LA CAPACIDAD INSTALADA Y LA TRAZABILIDAD DEL PROCESO PRODUCTIVO DEL SECTOR CURTIDOR INTERNALIZANDO LOS COSTOS AMBIENTALES E IMPULSANDO LA PRODUCCION MAS LIMPIA, Y SE APOYO LA CONSTRUCCION DEL CENTRO TECNOLOGICO DEL CUERO. "/>
    <n v="20000000"/>
    <m/>
    <n v="1"/>
  </r>
  <r>
    <n v="342"/>
    <x v="1"/>
    <x v="8"/>
    <x v="11"/>
    <s v="CUNDINAMARCA NEUTRA"/>
    <s v="COMPENSAR 10.000 TONELADAS DE CO2 DE LA HUELLA DEL DEPARTAMENTO, MEDIANTE LA IMPLEMENTACIÓN DE 4 ESTRATEGIAS PARA LA REDUCCIÓN Y COMPENSACIÓN DE EMISIONES DE GASES EFECTO INVERNADERO EN CUNDINAMARCA EN EL PERIODO DE GOBIERNO. "/>
    <s v="NO DE TONELADAS COMPENSADAS"/>
    <s v="TONELADAS"/>
    <s v="I"/>
    <n v="0"/>
    <n v="10000"/>
    <n v="10000"/>
    <n v="0.33"/>
    <n v="4.9500000000000002E-2"/>
    <n v="1500"/>
    <n v="0.15"/>
    <n v="1500"/>
    <n v="1500"/>
    <n v="100"/>
    <n v="100"/>
    <n v="4.9500000000000002E-2"/>
    <n v="100"/>
    <n v="361000000"/>
    <n v="361000000"/>
    <n v="0"/>
    <n v="0"/>
    <n v="0"/>
    <n v="0"/>
    <n v="0"/>
    <n v="0"/>
    <n v="290092000"/>
    <n v="290092000"/>
    <n v="0"/>
    <n v="0"/>
    <n v="0"/>
    <n v="0"/>
    <n v="0"/>
    <n v="0"/>
    <n v="0"/>
    <n v="0"/>
    <n v="0"/>
    <n v="9.9000000000000005E-2"/>
    <n v="3000"/>
    <n v="0.3"/>
    <n v="4190"/>
    <n v="4190"/>
    <n v="139.66666666666666"/>
    <n v="100"/>
    <n v="9.9000000000000005E-2"/>
    <n v="100"/>
    <n v="120000000"/>
    <n v="0"/>
    <n v="120000000"/>
    <n v="0"/>
    <n v="0"/>
    <n v="0"/>
    <n v="0"/>
    <n v="0"/>
    <n v="119141400"/>
    <n v="119141400"/>
    <n v="0"/>
    <n v="0"/>
    <n v="0"/>
    <n v="0"/>
    <n v="0"/>
    <n v="0"/>
    <n v="0"/>
    <n v="105599015"/>
    <s v="CORPOGUAVIO,MUNICIPIO DE TAUSA, MUNICIPIO DE NEMOCON, SECRETARIA DE INTEGRACION REGIONAL "/>
    <n v="9.9000000000000005E-2"/>
    <n v="3000"/>
    <n v="0.3"/>
    <n v="1000"/>
    <n v="3000"/>
    <n v="3000"/>
    <n v="3000"/>
    <n v="100"/>
    <n v="100"/>
    <n v="9.9000000000000005E-2"/>
    <n v="100"/>
    <n v="9.9000000000000005E-2"/>
    <n v="8.2500000000000004E-2"/>
    <n v="2500"/>
    <n v="0.25"/>
    <n v="38237"/>
    <n v="-35737"/>
    <n v="38237"/>
    <n v="1529.48"/>
    <n v="100"/>
    <n v="8.2500000000000004E-2"/>
    <n v="1.2618210000000001"/>
    <n v="390000000"/>
    <n v="390000000"/>
    <n v="0"/>
    <n v="0"/>
    <n v="0"/>
    <n v="0"/>
    <n v="0"/>
    <n v="0"/>
    <n v="0"/>
    <n v="0"/>
    <n v="0"/>
    <n v="0"/>
    <n v="0"/>
    <n v="0"/>
    <n v="0"/>
    <n v="0"/>
    <n v="0"/>
    <n v="0"/>
    <n v="0"/>
    <n v="46927"/>
    <n v="0.33"/>
    <n v="469.27"/>
    <n v="100"/>
    <n v="0.33"/>
    <n v="0.33"/>
    <n v="0.33"/>
    <n v="1"/>
    <n v="0"/>
    <n v="335"/>
    <s v="REDUCIR Y COMPENSAR 10.000 TONELADAS DE CO2 DE LA HUELLA DE CARBONO DEL DEPARTAMENTO EN EL CUATRIENIO, MEDIANTE LA IMPLEMENTACIÓN DE LA ESTRATEGIA CUNDINAMARCA NEUTRA."/>
    <m/>
    <s v=""/>
    <m/>
    <m/>
    <m/>
    <m/>
    <s v="46,925 TONELADAS DE CO2 COMPENSADAS. LA SECRETARIA REALIZO LOS PROCESOS DE SIEMBRA DE ARBOLES PARA DAR CUMPLIMIENTO A LA ESTRATEGIA DE COMPENSACION CON LOS DATOS REGISTRADOS DE LOS MUNICIPIOS QUE HICIERON PARTE DE LA ESTRATEGIA CUNDINAMARCA NEUTRA . ADEMAS REALIZO ESTRATEGIAS SENSIBILIZACION DE COMUNIDADES , DESARROLLO DE ACTIVIDADES DE RECOLECCION D EPOSCONSUMOS CON LA ANDI EN TEMAS COMO LUMINARIAS, PILAS, MEDICAMENTOS VENCIDOS, LLANTAS, RESIDUOS ELECTRONICOS Y EVNVASES DE AGROQUIMOCOS ASI MISMO APROPIARON LOS PROCESOS DE SISTEMA MERCURIO COMO APORTE A LA CULTURA DE CERO PAPEL. "/>
    <n v="36000000"/>
    <m/>
    <n v="1"/>
  </r>
  <r>
    <n v="343"/>
    <x v="1"/>
    <x v="8"/>
    <x v="11"/>
    <s v="CUNDINAMARCA NEUTRA"/>
    <s v="MEJORAR ENTORNOS AMBIENTALES COMUNITARIOS CON LA IMPLEMENTACIÓN DE 8 PROYECTOS DE INCIATIVA LOCAL"/>
    <s v="NO DE PROYECTOS AMBIENTALES QUE INCIDEN EN ENTORNOS COMUNITARIOS"/>
    <s v="PROYECTOS"/>
    <s v="I"/>
    <n v="0"/>
    <n v="8"/>
    <n v="8"/>
    <n v="0.16500000000000001"/>
    <n v="4.1250000000000002E-2"/>
    <n v="2"/>
    <n v="0.25"/>
    <n v="2"/>
    <n v="2"/>
    <n v="100"/>
    <n v="100"/>
    <n v="4.1250000000000002E-2"/>
    <n v="100"/>
    <n v="115000000"/>
    <n v="115000000"/>
    <n v="0"/>
    <n v="0"/>
    <n v="0"/>
    <n v="0"/>
    <n v="0"/>
    <n v="0"/>
    <n v="186000000"/>
    <n v="186000000"/>
    <n v="0"/>
    <n v="0"/>
    <n v="0"/>
    <n v="0"/>
    <n v="0"/>
    <n v="0"/>
    <n v="0"/>
    <n v="0"/>
    <n v="0"/>
    <n v="4.1250000000000002E-2"/>
    <n v="2"/>
    <n v="0.25"/>
    <n v="10"/>
    <n v="10"/>
    <n v="500"/>
    <n v="100"/>
    <n v="4.1250000000000002E-2"/>
    <n v="100"/>
    <n v="100000000"/>
    <n v="0"/>
    <n v="100000000"/>
    <n v="0"/>
    <n v="0"/>
    <n v="0"/>
    <n v="0"/>
    <n v="0"/>
    <n v="100000000"/>
    <n v="100000000"/>
    <n v="0"/>
    <n v="0"/>
    <n v="0"/>
    <n v="0"/>
    <n v="0"/>
    <n v="0"/>
    <n v="0"/>
    <n v="0"/>
    <n v="0"/>
    <n v="0"/>
    <n v="0"/>
    <n v="0"/>
    <n v="0"/>
    <n v="0"/>
    <n v="0"/>
    <n v="0"/>
    <n v="0"/>
    <n v="0"/>
    <n v="0"/>
    <n v="0"/>
    <n v="0"/>
    <n v="8.2500000000000004E-2"/>
    <n v="4"/>
    <n v="0.5"/>
    <n v="0"/>
    <n v="4"/>
    <n v="0"/>
    <n v="0"/>
    <n v="0"/>
    <n v="0"/>
    <n v="0"/>
    <n v="100000000"/>
    <n v="100000000"/>
    <n v="0"/>
    <n v="0"/>
    <n v="0"/>
    <n v="0"/>
    <n v="0"/>
    <n v="0"/>
    <n v="0"/>
    <n v="0"/>
    <n v="0"/>
    <n v="0"/>
    <n v="0"/>
    <n v="0"/>
    <n v="0"/>
    <n v="0"/>
    <n v="0"/>
    <n v="0"/>
    <n v="0"/>
    <n v="12"/>
    <n v="0.16500000000000001"/>
    <n v="150"/>
    <n v="100"/>
    <n v="0.16500000000000001"/>
    <n v="0.16500000000000001"/>
    <n v="0.16500000000000001"/>
    <n v="1"/>
    <n v="0"/>
    <n v="335"/>
    <s v="REDUCIR Y COMPENSAR 10.000 TONELADAS DE CO2 DE LA HUELLA DE CARBONO DEL DEPARTAMENTO EN EL CUATRIENIO, MEDIANTE LA IMPLEMENTACIÓN DE LA ESTRATEGIA CUNDINAMARCA NEUTRA."/>
    <m/>
    <s v=""/>
    <m/>
    <m/>
    <m/>
    <m/>
    <s v="12 PROYECTOS AMBIENTALES APOYADOS. DESARROLLO DE PROCESOS DE SENSIBILIZACION DE COMUNIDADES MEDIANTE LA EJECUCION DE ACTIVIDADES CONTEMPLADAS EN LOS EVENTOS YINCANA AMBIENTAL Y EL DIA DEL DESAFIO AMBIENTAL CON LA PARTICIPACION DE COMUNIDADES EDUCATIVAS, JUVENTUDES Y COMUNIDAD EN GENERAL, CON MAS DE 1483 JOVENES APROPIANDOSE DE LOS PROGRAMAS DE CONCIENTIZACION AMBIENTAL. PREMIACION DE 10 PROYECTOS DE INICIATIVA LOCAL QUE MEJORAN ENTORNOS AMBIENTALES, EN LOS MUNICIPIOS DE TENJO, APULO, NIMAIMA, SASAIMA, GUAYABAL DE SIQUIMA, MEDINA, PARATEBUENO,CAHGUANI, NEMOCON Y TIBACUY. Y PREMIACION DE CONCURSOS DE PESEBRES AMBIENTALES "/>
    <n v="50000000"/>
    <m/>
    <n v="1"/>
  </r>
  <r>
    <n v="344"/>
    <x v="1"/>
    <x v="8"/>
    <x v="11"/>
    <s v="CUNDINAMARCA NEUTRA"/>
    <s v="PROMOVER 2 PROYECTOS AMBIENTALES BAJO ALIANZAS PÚBLICO-PRIVADAS EN EL MARCO DE LA RESPONSABILIDAD AMBIENTAL EMPRESARIAL EN EL PERIODO DE GOBIERNO. "/>
    <s v="NO. DE PROYECTOS AMBIENTALES IMPLEMENTADOS MEDIANTE ALIANZAS PÚBLICO PRIVADAS "/>
    <s v="PROYECTOS"/>
    <s v="I"/>
    <n v="0"/>
    <n v="2"/>
    <n v="2"/>
    <n v="0.16500000000000001"/>
    <n v="0"/>
    <n v="0"/>
    <n v="0"/>
    <n v="0"/>
    <n v="0"/>
    <n v="0"/>
    <n v="0"/>
    <n v="0"/>
    <n v="0"/>
    <n v="0"/>
    <n v="0"/>
    <n v="0"/>
    <n v="0"/>
    <n v="0"/>
    <n v="0"/>
    <n v="0"/>
    <n v="0"/>
    <n v="0"/>
    <n v="0"/>
    <n v="0"/>
    <n v="0"/>
    <n v="0"/>
    <n v="0"/>
    <n v="0"/>
    <n v="0"/>
    <n v="0"/>
    <n v="0"/>
    <n v="0"/>
    <n v="8.2500000000000004E-2"/>
    <n v="1"/>
    <n v="0.5"/>
    <n v="1"/>
    <n v="1"/>
    <n v="100"/>
    <n v="100"/>
    <n v="8.2500000000000004E-2"/>
    <n v="100"/>
    <n v="168000000"/>
    <n v="0"/>
    <n v="0"/>
    <n v="0"/>
    <n v="0"/>
    <n v="0"/>
    <n v="0"/>
    <n v="168000000"/>
    <n v="0"/>
    <n v="0"/>
    <n v="0"/>
    <n v="0"/>
    <n v="0"/>
    <n v="0"/>
    <n v="0"/>
    <n v="0"/>
    <n v="0"/>
    <n v="3500000"/>
    <s v="CONTREEBUTE "/>
    <n v="8.2500000000000004E-2"/>
    <n v="1"/>
    <n v="0.5"/>
    <n v="2"/>
    <n v="1"/>
    <n v="2"/>
    <n v="2"/>
    <n v="200"/>
    <n v="100"/>
    <n v="8.2500000000000004E-2"/>
    <n v="100"/>
    <n v="0.16500000000000001"/>
    <n v="0"/>
    <n v="0"/>
    <n v="0"/>
    <n v="0"/>
    <n v="0"/>
    <n v="0"/>
    <n v="0"/>
    <n v="0"/>
    <n v="0"/>
    <n v="0"/>
    <n v="169000000"/>
    <n v="0"/>
    <n v="0"/>
    <n v="0"/>
    <n v="0"/>
    <n v="0"/>
    <n v="0"/>
    <n v="169000000"/>
    <n v="0"/>
    <n v="0"/>
    <n v="0"/>
    <n v="0"/>
    <n v="0"/>
    <n v="0"/>
    <n v="0"/>
    <n v="0"/>
    <n v="0"/>
    <n v="0"/>
    <n v="0"/>
    <n v="3"/>
    <n v="0.16500000000000001"/>
    <n v="150"/>
    <n v="100"/>
    <n v="0.16500000000000001"/>
    <n v="0.16500000000000001"/>
    <n v="0.16500000000000001"/>
    <n v="1"/>
    <n v="0"/>
    <n v="335"/>
    <s v="REDUCIR Y COMPENSAR 10.000 TONELADAS DE CO2 DE LA HUELLA DE CARBONO DEL DEPARTAMENTO EN EL CUATRIENIO, MEDIANTE LA IMPLEMENTACIÓN DE LA ESTRATEGIA CUNDINAMARCA NEUTRA."/>
    <m/>
    <s v=""/>
    <m/>
    <m/>
    <m/>
    <m/>
    <s v=" 3 ALIANZAS PUBLICO PRIVADAS IMPLEMENTADAS. ACERCAMIENTO CON EMPRESAS PRIVADAS COMO CONTREEBUTE Y COVIANDES Y RELLENO SANITARIO NUEVO MONDOÑEDO PARA LA IMPLEMENTACION Y CONSOLIDACION DE ACCIONES INCLUIDAS EN LAS LICENCIAS AMBIENTALES A FIN DE IMPLEMENTAR ACTIVIDADESN DE BENEFICIO MUTUO, EN EL MEJORAMIENTO DE LOS ECOSISTEMAS AMBIENTALES, OFRECIENDO COMO POTENCIALIDAD LOS PREDIOS DE PROPIEDAD DEL DEPARTAMENTO GENERANDO GRAN IMPACTO. EL PROYECTO QUE HA DESARROLLADO ACTIVIDADES DE IMPLEMENTACIÓN HA SIDO CONTREEBUTE CON LA SIEMBRA DE 2.200 ARBOLES EN EL MUNICIPIO DE SILVANIA Y ZIPACON."/>
    <n v="27000000"/>
    <m/>
    <n v="1"/>
  </r>
  <r>
    <n v="345"/>
    <x v="1"/>
    <x v="8"/>
    <x v="11"/>
    <s v="VALORACIÓN DE BIENES Y SERVICIOS AMBIENTALES"/>
    <s v="PROMOVER 1 PROYECTO DE INVESTIGACIÓN CIENTÍFICA APLICADA A LA CONSERVACIÓN DE LOS ECOSISTEMAS Y SU BIODIVERSIDAD Y A LA GENERACIÓN DE VALORES AGREGADOS PARA LA ECONOMÍA AMBIENTAL EN EL PERIODO DE GOBIERNO, MEDIANTE LA IMPLEMENTACIÓN DE UN PROYECTO PILOT"/>
    <s v="NO DE PROYECTOS DE INVESTIGACIÓN IMPLEMENTADOS PARA LA CONSERVACIÓN. "/>
    <s v="UNIDAD"/>
    <s v="I"/>
    <n v="0"/>
    <n v="1"/>
    <n v="1"/>
    <n v="0.16500000000000001"/>
    <n v="0"/>
    <n v="0"/>
    <n v="0"/>
    <n v="0.2"/>
    <n v="0.2"/>
    <n v="0"/>
    <n v="0"/>
    <n v="0"/>
    <n v="100"/>
    <n v="0"/>
    <n v="0"/>
    <n v="0"/>
    <n v="0"/>
    <n v="0"/>
    <n v="0"/>
    <n v="0"/>
    <n v="0"/>
    <n v="0"/>
    <n v="0"/>
    <n v="0"/>
    <n v="0"/>
    <n v="0"/>
    <n v="0"/>
    <n v="0"/>
    <n v="0"/>
    <n v="0"/>
    <n v="0"/>
    <n v="0"/>
    <n v="5.7749999999999996E-2"/>
    <n v="0.35"/>
    <n v="0.35"/>
    <n v="0.3"/>
    <n v="0.3"/>
    <n v="85.714285714285722"/>
    <n v="85.714285714285722"/>
    <n v="4.9500000000000002E-2"/>
    <n v="85.714285714285722"/>
    <n v="0"/>
    <n v="0"/>
    <n v="0"/>
    <n v="0"/>
    <n v="0"/>
    <n v="0"/>
    <n v="0"/>
    <n v="0"/>
    <n v="0"/>
    <n v="0"/>
    <n v="0"/>
    <n v="0"/>
    <n v="0"/>
    <n v="0"/>
    <n v="0"/>
    <n v="0"/>
    <n v="0"/>
    <n v="0"/>
    <n v="0"/>
    <n v="8.2500000000000004E-2"/>
    <n v="0.5"/>
    <n v="0.5"/>
    <n v="1"/>
    <n v="0.45"/>
    <n v="0.5"/>
    <n v="0.5"/>
    <n v="100"/>
    <n v="100"/>
    <n v="8.2500000000000004E-2"/>
    <n v="100"/>
    <n v="8.2500000000000004E-2"/>
    <n v="2.4750000000000001E-2"/>
    <n v="0.15"/>
    <n v="0.15"/>
    <n v="0"/>
    <n v="0.15"/>
    <n v="0"/>
    <n v="0"/>
    <n v="0"/>
    <n v="0"/>
    <n v="0"/>
    <n v="0"/>
    <n v="0"/>
    <n v="0"/>
    <n v="0"/>
    <n v="0"/>
    <n v="0"/>
    <n v="0"/>
    <n v="0"/>
    <n v="0"/>
    <n v="0"/>
    <n v="0"/>
    <n v="0"/>
    <n v="0"/>
    <n v="0"/>
    <n v="0"/>
    <n v="0"/>
    <n v="0"/>
    <n v="0"/>
    <n v="0"/>
    <n v="1"/>
    <n v="0.16499999999999998"/>
    <n v="100"/>
    <n v="100"/>
    <n v="0.16500000000000001"/>
    <n v="0.16500000000000001"/>
    <n v="0.16500000000000001"/>
    <n v="1"/>
    <n v="0"/>
    <n v="334"/>
    <s v="GARANTIZAR DISPONIBILIDAD DEL RECURSO HÍDRICO, CON LA CONSERVACIÓN DE 31.000 HECTÁREAS UBICADAS EN ZONAS DE IMPORTANCIA ESTRATÉGICA EN LAS ECO – REGIONES. "/>
    <m/>
    <s v=""/>
    <m/>
    <m/>
    <m/>
    <m/>
    <s v="SE ADELANTO LA CONSTRUCCION DE UN PROYECTO DE INVESTIGACION CON EL IDEA DE LA UNIVERSIDAD NACIONAL EN EL TEMA DE OBSERVATORIO PARA LA PROVINCIA DE SABANA OCCIDENTE, PROYECTO QUE SE HA SOCIALIZADO CON LA SECRETARIA DE CIENCIA Y TECNOLOGIA, ADICIONALMENTE SE HAN VERIFICADO LAS CONDICIONES INICIALES Y PROMOCIÓN DEL PROYECTO DE INVESTIGACION DE ECOSISTEMAS EN LA PROVINCIA DE BAJO MAGDALENA Y GUALIVA."/>
    <n v="36000000"/>
    <m/>
    <n v="3"/>
  </r>
  <r>
    <n v="346"/>
    <x v="1"/>
    <x v="8"/>
    <x v="11"/>
    <s v="VALORACIÓN DE BIENES Y SERVICIOS AMBIENTALES"/>
    <s v="CONSOLIDAR EN 116 MUNICIPIOS LA INFORMACIÓN TEMÁTICA AMBIENTAL COMO INSUMO PARA LA CONSTRUCCIÓN DE UN SISTEMA DE INFORMACIÓN DEPARTAMENTAL, EN EL PERIODO DE GOBIERNO. "/>
    <s v="NO DE MUNICIPIOS CON INFORMACIÓN TEMÁTICA AMBIENTAL CONSOLIDADA."/>
    <s v="MPIOS"/>
    <s v="I"/>
    <n v="0"/>
    <n v="116"/>
    <n v="116"/>
    <n v="0.16500000000000001"/>
    <n v="0"/>
    <n v="0"/>
    <n v="0"/>
    <n v="1"/>
    <n v="1"/>
    <n v="0"/>
    <n v="0"/>
    <n v="0"/>
    <n v="100"/>
    <n v="0"/>
    <n v="0"/>
    <n v="0"/>
    <n v="0"/>
    <n v="0"/>
    <n v="0"/>
    <n v="0"/>
    <n v="0"/>
    <n v="0"/>
    <n v="0"/>
    <n v="0"/>
    <n v="0"/>
    <n v="0"/>
    <n v="0"/>
    <n v="0"/>
    <n v="0"/>
    <n v="0"/>
    <n v="0"/>
    <n v="0"/>
    <n v="7.1120689655172417E-2"/>
    <n v="50"/>
    <n v="0.43103448275862066"/>
    <n v="58"/>
    <n v="58"/>
    <n v="116"/>
    <n v="100"/>
    <n v="7.1120689655172417E-2"/>
    <n v="100"/>
    <n v="20000000"/>
    <n v="0"/>
    <n v="20000000"/>
    <n v="0"/>
    <n v="0"/>
    <n v="0"/>
    <n v="0"/>
    <n v="0"/>
    <n v="20000000"/>
    <n v="20000000"/>
    <n v="0"/>
    <n v="0"/>
    <n v="0"/>
    <n v="0"/>
    <n v="0"/>
    <n v="0"/>
    <n v="0"/>
    <n v="30000000"/>
    <s v="SECRETARIA DE LAS TICS "/>
    <n v="7.1120689655172417E-2"/>
    <n v="50"/>
    <n v="0.43103448275862066"/>
    <n v="58"/>
    <n v="57"/>
    <n v="57"/>
    <n v="57"/>
    <n v="114"/>
    <n v="100"/>
    <n v="7.1120689655172417E-2"/>
    <n v="100"/>
    <n v="8.1077586206896549E-2"/>
    <n v="2.2758620689655173E-2"/>
    <n v="16"/>
    <n v="0.13793103448275862"/>
    <n v="116"/>
    <n v="-100"/>
    <n v="116"/>
    <n v="725"/>
    <n v="100"/>
    <n v="2.2758620689655173E-2"/>
    <n v="0.16500000000000001"/>
    <n v="0"/>
    <n v="0"/>
    <n v="0"/>
    <n v="0"/>
    <n v="0"/>
    <n v="0"/>
    <n v="0"/>
    <n v="0"/>
    <n v="0"/>
    <n v="0"/>
    <n v="0"/>
    <n v="0"/>
    <n v="0"/>
    <n v="0"/>
    <n v="0"/>
    <n v="0"/>
    <n v="0"/>
    <n v="0"/>
    <n v="0"/>
    <n v="232"/>
    <n v="0.16500000000000001"/>
    <n v="200"/>
    <n v="100"/>
    <n v="0.16500000000000001"/>
    <n v="0.16500000000000001"/>
    <n v="0.16500000000000001"/>
    <n v="1"/>
    <n v="0"/>
    <n v="335"/>
    <s v="REDUCIR Y COMPENSAR 10.000 TONELADAS DE CO2 DE LA HUELLA DE CARBONO DEL DEPARTAMENTO EN EL CUATRIENIO, MEDIANTE LA IMPLEMENTACIÓN DE LA ESTRATEGIA CUNDINAMARCA NEUTRA."/>
    <m/>
    <s v=""/>
    <m/>
    <m/>
    <m/>
    <m/>
    <s v="116 MUNICIPIOS CON INFORMACION TEMATICA CONSOLIDADA. NCORPORACION DE LOS DATOS DE LAS VARAIBLES ADQUISICION DE PREDIOS Y RESIDUOS SOLIDOS DENTRO DEL COMPONENTE DE INFORMACION AMBIENTAL DESARROLLADO MEDIANTE CONTRATO 001 DE 2013 , EN COORDINACION CON LA SECRETARIA DE LAS TICS, CUYO OBJETIVO ES LA CONSTRATACION DEL SOPORTE Y DESARROLLO DE NUEVAS FUNCIONALIDADES AL SISTEMA DE MEDICION DE LA HUELLA DE CARBONO Y LA CONSOLIDACION DE LA IMFORMACION AMBIENTAL EXISTENTE EN EL DEPARTAMENTO. "/>
    <n v="75000000"/>
    <m/>
    <n v="30"/>
  </r>
  <r>
    <n v="349"/>
    <x v="1"/>
    <x v="13"/>
    <x v="12"/>
    <s v="INFRAESTRUCTURA DE AGUA POTABLE Y SANEAMIENTO BÁSICO"/>
    <s v="BENEFICIAR A 202.000 HABITANTES NUEVOS CON SERVICIO DE ACUEDUCTO, PARA INCREMENTAR COBERTURA CON ESTE SERVICIO EN EL PERIODO DE GOBIERNO."/>
    <s v="NO.DE HABITANTES NUEVOS CON SERVICIOS DE ACUEDUCTO"/>
    <s v="PERSONAS"/>
    <s v="I"/>
    <n v="1625582"/>
    <n v="1827582"/>
    <n v="202000"/>
    <n v="0.33"/>
    <n v="0"/>
    <n v="0"/>
    <n v="0"/>
    <n v="0"/>
    <n v="0"/>
    <n v="0"/>
    <n v="0"/>
    <n v="0"/>
    <n v="0"/>
    <n v="3943000000"/>
    <n v="853000000"/>
    <n v="667000000"/>
    <n v="0"/>
    <n v="0"/>
    <n v="2423000000"/>
    <n v="0"/>
    <n v="0"/>
    <n v="61757879000"/>
    <n v="4233765000"/>
    <n v="2975585000"/>
    <n v="53756301000"/>
    <n v="0"/>
    <n v="792228000"/>
    <n v="0"/>
    <n v="0"/>
    <n v="0"/>
    <n v="0"/>
    <n v="0"/>
    <n v="0.16336633663366337"/>
    <n v="100000"/>
    <n v="0.49504950495049505"/>
    <n v="100896"/>
    <n v="100896"/>
    <n v="100.896"/>
    <n v="100"/>
    <n v="0.1633663366336634"/>
    <n v="100"/>
    <n v="12584000000"/>
    <n v="3880000000"/>
    <n v="5494000000"/>
    <n v="0"/>
    <n v="0"/>
    <n v="0"/>
    <n v="0"/>
    <n v="3210000000"/>
    <n v="21588030855"/>
    <n v="17000000000"/>
    <n v="3460668100"/>
    <n v="0"/>
    <n v="0"/>
    <n v="1127362755"/>
    <n v="0"/>
    <n v="0"/>
    <n v="0"/>
    <n v="5143248566"/>
    <n v="0"/>
    <n v="8.9503514851485153E-2"/>
    <n v="54787"/>
    <n v="0.27122277227722774"/>
    <n v="32054"/>
    <n v="50653"/>
    <n v="54443"/>
    <n v="54443"/>
    <n v="99.372113822622154"/>
    <n v="99.372113822622154"/>
    <n v="8.8941534653465354E-2"/>
    <n v="99.372113822622154"/>
    <n v="8.8941534653465354E-2"/>
    <n v="7.713014851485149E-2"/>
    <n v="47213"/>
    <n v="0.23372772277227724"/>
    <n v="74283"/>
    <n v="-27070"/>
    <n v="74283"/>
    <n v="157.33590324698707"/>
    <n v="100"/>
    <n v="7.713014851485149E-2"/>
    <n v="0.12135341584158418"/>
    <n v="20004000000"/>
    <n v="12678000"/>
    <n v="4116000000"/>
    <n v="0"/>
    <n v="0"/>
    <n v="0"/>
    <n v="0"/>
    <n v="3210000000"/>
    <n v="0"/>
    <n v="0"/>
    <n v="0"/>
    <n v="0"/>
    <n v="0"/>
    <n v="0"/>
    <n v="0"/>
    <n v="0"/>
    <n v="0"/>
    <n v="0"/>
    <n v="0"/>
    <n v="229622"/>
    <n v="0.33"/>
    <n v="113.67425742574257"/>
    <n v="100"/>
    <n v="0.33"/>
    <n v="0.33"/>
    <n v="0.33"/>
    <n v="1"/>
    <n v="0"/>
    <n v="347"/>
    <s v="INCREMENTAR COBERTURA AGUA POTABLE A 202.000 HABITANTES NUEVOS CON CALIDAD Y CONTINUIDAD EN ZONAS URBANAS, RURALES Y CENTROS POBLADOS DURANTE EL PERIODO DE GOBIERNO."/>
    <m/>
    <s v=""/>
    <m/>
    <m/>
    <m/>
    <m/>
    <s v="88 PROYECTOS DE AGUA POTABLE TERMINADOS ENTRE EL 2012-2015 POR VALOR DE $166.618 MILLONES EN 52 MUNICIPIOS QUE HAN BENEFICIADO A 183.716 HABITANTES DE CUNDINAMARCA. SE DESTACA LA CONSTRUCCIÓN DE 10 PLANTAS DE TRATAMIENTO DE AGUA POTABLE EN LOS MUNICIPIOS DE VILLAPINZÓN, SUBACHOQUE, FOSCA, SASAIMA, LA PEÑA, ZIPAQUIRÁ, MADRID, PUERTO SALGAR Y ANOLAIMA"/>
    <n v="180000000"/>
    <m/>
    <n v="50"/>
  </r>
  <r>
    <n v="350"/>
    <x v="1"/>
    <x v="13"/>
    <x v="12"/>
    <s v="INFRAESTRUCTURA DE AGUA POTABLE Y SANEAMIENTO BÁSICO"/>
    <s v="BENEFICIAR A 150.000 HABITANTES NUEVOS CON SERVICIO DE ALCANTARILLADO, EN EL PERIODO DE GOBIERNO, PARA INCREMENTAR COBERTURA CON ESTE SERVICIO."/>
    <s v="NO. DE HABITANTES NUEVOS CON SERVICIO DE ALCANTARILLADO"/>
    <s v="PERSONAS"/>
    <s v="I"/>
    <n v="1139202"/>
    <n v="1289202"/>
    <n v="150000"/>
    <n v="0.25"/>
    <n v="3.3333333333333335E-3"/>
    <n v="2000"/>
    <n v="1.3333333333333334E-2"/>
    <n v="9787"/>
    <n v="9787"/>
    <n v="489.35"/>
    <n v="100"/>
    <n v="3.3333333333333335E-3"/>
    <n v="100"/>
    <n v="0"/>
    <n v="0"/>
    <n v="0"/>
    <n v="0"/>
    <n v="0"/>
    <n v="0"/>
    <n v="0"/>
    <n v="0"/>
    <n v="16284686000"/>
    <n v="12323304000"/>
    <n v="737814000"/>
    <n v="3223568000"/>
    <n v="0"/>
    <n v="0"/>
    <n v="0"/>
    <n v="0"/>
    <n v="0"/>
    <n v="0"/>
    <n v="0"/>
    <n v="1.3333333333333334E-2"/>
    <n v="8000"/>
    <n v="5.3333333333333337E-2"/>
    <n v="23180"/>
    <n v="23180"/>
    <n v="289.75"/>
    <n v="100"/>
    <n v="1.3333333333333334E-2"/>
    <n v="100"/>
    <n v="3812000000"/>
    <n v="0"/>
    <n v="2590000000"/>
    <n v="0"/>
    <n v="0"/>
    <n v="0"/>
    <n v="0"/>
    <n v="1222000000"/>
    <n v="12748298587"/>
    <n v="9000000000"/>
    <n v="1445431077"/>
    <n v="0"/>
    <n v="0"/>
    <n v="2302867510"/>
    <n v="0"/>
    <n v="0"/>
    <n v="0"/>
    <n v="6414533527"/>
    <n v="0"/>
    <n v="0.1"/>
    <n v="60000"/>
    <n v="0.4"/>
    <n v="15200"/>
    <n v="1"/>
    <n v="29679"/>
    <n v="29679"/>
    <n v="49.465000000000003"/>
    <n v="49.465000000000003"/>
    <n v="4.9465000000000002E-2"/>
    <n v="49.465000000000003"/>
    <n v="4.9465000000000002E-2"/>
    <n v="0.13333333333333333"/>
    <n v="80000"/>
    <n v="0.53333333333333333"/>
    <n v="26270"/>
    <n v="53730"/>
    <n v="26270"/>
    <n v="32.837499999999999"/>
    <n v="32.837499999999999"/>
    <n v="4.3783333333333327E-2"/>
    <n v="4.3783333333333327E-2"/>
    <n v="7200000000"/>
    <n v="5976000000"/>
    <n v="0"/>
    <n v="0"/>
    <n v="0"/>
    <n v="0"/>
    <n v="0"/>
    <n v="1224000000"/>
    <n v="0"/>
    <n v="0"/>
    <n v="0"/>
    <n v="0"/>
    <n v="0"/>
    <n v="0"/>
    <n v="0"/>
    <n v="0"/>
    <n v="0"/>
    <n v="0"/>
    <n v="0"/>
    <n v="88916"/>
    <n v="0.25"/>
    <n v="59.277333333333331"/>
    <n v="59.277333333333331"/>
    <n v="0.14819333333333332"/>
    <n v="0.14819333333333332"/>
    <n v="0.14819333333333332"/>
    <n v="1"/>
    <n v="0"/>
    <n v="348"/>
    <s v="INCREMENTAR COBERTURA ALCANTARILLADO A 150.000 HABITANTES NUEVOS CON CALIDAD Y CONTINUIDAD EN ZONAS URBANAS Y CENTROS POBLADOS"/>
    <m/>
    <s v=""/>
    <m/>
    <m/>
    <m/>
    <m/>
    <s v="53 PROYECTOS DE ALCANTARILLADO TERMINADOS ENTREL EL 2012-2015 POR VALOR DE $234.337 MILLONES EN 35 MUNICIPIOS QUE HAN BENEFICIADO A 80.026 HABITANTES DEL DEPARTAMENTO. "/>
    <n v="600000000"/>
    <m/>
    <n v="58"/>
  </r>
  <r>
    <n v="351"/>
    <x v="1"/>
    <x v="13"/>
    <x v="12"/>
    <s v="INFRAESTRUCTURA DE AGUA POTABLE Y SANEAMIENTO BÁSICO"/>
    <s v="CONSTRUIR 5.000 UNIDADES SANITARIAS EN EL SECTOR RURAL, EN EL PERIODO DE GOBIERNO, PARA CONTRIBUIR A MEJORAR LAS CONDICIONES DE HABITABILIDAD Y SANEAMIENTO BÁSICO EN ESTAS ZONAS."/>
    <s v="NO. VIVIENDAS RURALES CON UNIDADES SANITARIAS CONSTRUIDAS"/>
    <s v="VIVIENDAS"/>
    <s v="I"/>
    <n v="0"/>
    <n v="5000"/>
    <n v="5000"/>
    <n v="0.25"/>
    <n v="0"/>
    <n v="0"/>
    <n v="0"/>
    <n v="1179"/>
    <n v="1179"/>
    <n v="0"/>
    <n v="0"/>
    <n v="0"/>
    <n v="100"/>
    <n v="0"/>
    <n v="0"/>
    <n v="0"/>
    <n v="0"/>
    <n v="0"/>
    <n v="0"/>
    <n v="0"/>
    <n v="0"/>
    <n v="1863073000"/>
    <n v="114460000"/>
    <n v="0"/>
    <n v="1748613000"/>
    <n v="0"/>
    <n v="0"/>
    <n v="0"/>
    <n v="0"/>
    <n v="0"/>
    <n v="0"/>
    <n v="0"/>
    <n v="2.5000000000000001E-2"/>
    <n v="500"/>
    <n v="0.1"/>
    <n v="982"/>
    <n v="982"/>
    <n v="196.4"/>
    <n v="100"/>
    <n v="2.5000000000000001E-2"/>
    <n v="100"/>
    <n v="8871000000"/>
    <n v="0"/>
    <n v="6366000000"/>
    <n v="0"/>
    <n v="0"/>
    <n v="0"/>
    <n v="0"/>
    <n v="2505000000"/>
    <n v="11700000000"/>
    <n v="7500000000"/>
    <n v="4200000000"/>
    <n v="0"/>
    <n v="0"/>
    <n v="0"/>
    <n v="0"/>
    <n v="0"/>
    <n v="0"/>
    <n v="8468740459"/>
    <n v="0"/>
    <n v="7.4999999999999997E-2"/>
    <n v="1500"/>
    <n v="0.3"/>
    <n v="919"/>
    <n v="1234"/>
    <n v="1908"/>
    <n v="1908"/>
    <n v="127.2"/>
    <n v="100"/>
    <n v="7.4999999999999997E-2"/>
    <n v="100"/>
    <n v="9.5399999999999985E-2"/>
    <n v="0.15"/>
    <n v="3000"/>
    <n v="0.6"/>
    <n v="1492"/>
    <n v="1508"/>
    <n v="1492"/>
    <n v="49.733333333333334"/>
    <n v="49.733333333333334"/>
    <n v="7.46E-2"/>
    <n v="7.46E-2"/>
    <n v="17196000000"/>
    <n v="14691000"/>
    <n v="0"/>
    <n v="0"/>
    <n v="0"/>
    <n v="0"/>
    <n v="0"/>
    <n v="2505000000"/>
    <n v="0"/>
    <n v="0"/>
    <n v="0"/>
    <n v="0"/>
    <n v="0"/>
    <n v="0"/>
    <n v="0"/>
    <n v="0"/>
    <n v="0"/>
    <n v="0"/>
    <n v="0"/>
    <n v="5561"/>
    <n v="0.25"/>
    <n v="111.22"/>
    <n v="100"/>
    <n v="0.25"/>
    <n v="0.25"/>
    <n v="0.25"/>
    <n v="1"/>
    <n v="0"/>
    <n v="348"/>
    <s v="INCREMENTAR COBERTURA ALCANTARILLADO A 150.000 HABITANTES NUEVOS CON CALIDAD Y CONTINUIDAD EN ZONAS URBANAS Y CENTROS POBLADOS"/>
    <m/>
    <s v=""/>
    <m/>
    <m/>
    <m/>
    <m/>
    <s v="SE BRINDÓ BIENESTAR Y SE MEJORÓ LA CALIDAD DE VIDA A MÁS DE 25.135 HABITANTES DEL ÁREA RURAL DEL DEPARTAMENTO A TRAVÉS DE LA CONSTRUCCIÓN DE 5.027 UNIDADES SANITARIAS ENTRE EL 2012-2015, APORTANDO ASÍ MISMO MEJORAS A LAS CONDICIONES AMBIENTALES EN MATERIA DE AGUAS RESIDUALES DE LAS CUENCAS HIDROGRÁFICAS EN DONDE SE ENCUENTRAN ASENTADOS LOS POBLADORES BENEFICIADOS. "/>
    <n v="152000000"/>
    <m/>
    <n v="4280"/>
  </r>
  <r>
    <n v="352"/>
    <x v="1"/>
    <x v="13"/>
    <x v="12"/>
    <s v="INFRAESTRUCTURA DE AGUA POTABLE Y SANEAMIENTO BÁSICO"/>
    <s v="_x000a_CONSTRUIR 3.000 CONEXIONES INTRADOMICILIARIAS EN ACUEDUCTO, EN EL PERÍODO DE GOBIERNO, PARA LA POBLACIÓN MÁS POBRE Y VULNERABLE._x000a_"/>
    <s v="NO. DE CONEXIONES INTRA DOMICILIARIAS CONSTRUIDAS PARA POBLACIÓN POBRE Y VULNERABLE"/>
    <s v="CONEXIONES"/>
    <s v="I"/>
    <n v="0"/>
    <n v="3000"/>
    <n v="3000"/>
    <n v="0.25"/>
    <n v="0"/>
    <n v="0"/>
    <n v="0"/>
    <n v="0"/>
    <n v="0"/>
    <n v="0"/>
    <n v="0"/>
    <n v="0"/>
    <n v="0"/>
    <n v="0"/>
    <n v="0"/>
    <n v="0"/>
    <n v="0"/>
    <n v="0"/>
    <n v="0"/>
    <n v="0"/>
    <n v="0"/>
    <n v="0"/>
    <n v="0"/>
    <n v="0"/>
    <n v="0"/>
    <n v="0"/>
    <n v="0"/>
    <n v="0"/>
    <n v="0"/>
    <n v="0"/>
    <n v="0"/>
    <n v="0"/>
    <n v="0"/>
    <n v="0"/>
    <n v="0"/>
    <n v="0"/>
    <n v="0"/>
    <n v="0"/>
    <n v="0"/>
    <n v="0"/>
    <n v="0"/>
    <n v="3610000000"/>
    <n v="0"/>
    <n v="2590000000"/>
    <n v="0"/>
    <n v="0"/>
    <n v="0"/>
    <n v="0"/>
    <n v="1020000000"/>
    <n v="3103639000"/>
    <n v="3103639000"/>
    <n v="0"/>
    <n v="0"/>
    <n v="0"/>
    <n v="0"/>
    <n v="0"/>
    <n v="0"/>
    <n v="0"/>
    <n v="0"/>
    <n v="0"/>
    <n v="0"/>
    <n v="0"/>
    <n v="0"/>
    <n v="0"/>
    <n v="0"/>
    <n v="0"/>
    <n v="0"/>
    <n v="0"/>
    <n v="0"/>
    <n v="0"/>
    <n v="0"/>
    <n v="0"/>
    <n v="0.25"/>
    <n v="3000"/>
    <n v="1"/>
    <n v="70"/>
    <n v="2930"/>
    <n v="70"/>
    <n v="2.3333333333333335"/>
    <n v="2.3333333333333335"/>
    <n v="5.8333333333333336E-3"/>
    <n v="5.8333333333333336E-3"/>
    <n v="6996000000"/>
    <n v="5976000000"/>
    <n v="0"/>
    <n v="0"/>
    <n v="0"/>
    <n v="0"/>
    <n v="0"/>
    <n v="1020000000"/>
    <n v="0"/>
    <n v="0"/>
    <n v="0"/>
    <n v="0"/>
    <n v="0"/>
    <n v="0"/>
    <n v="0"/>
    <n v="0"/>
    <n v="0"/>
    <n v="0"/>
    <n v="0"/>
    <n v="70"/>
    <n v="0.25"/>
    <n v="2.3333333333333335"/>
    <n v="2.3333333333333335"/>
    <n v="5.8333333333333336E-3"/>
    <n v="5.8333333333333336E-3"/>
    <n v="5.8333333333333336E-3"/>
    <n v="1"/>
    <n v="0"/>
    <n v="347"/>
    <s v="INCREMENTAR COBERTURA AGUA POTABLE A 202.000 HABITANTES NUEVOS CON CALIDAD Y CONTINUIDAD EN ZONAS URBANAS, RURALES Y CENTROS POBLADOS DURANTE EL PERIODO DE GOBIERNO."/>
    <m/>
    <s v=""/>
    <m/>
    <m/>
    <m/>
    <m/>
    <s v="SE IDENTIFICARON 2.300 BENEFICIAROS EN 11 MUNICIPIOS (FACATATIVÁ, NOCAIMA, PULÍ, QUEBRADANEGRA, VIOTÁ, SOACHA, GIRARDOT, APULO, SILVANIA, SUPATÁ Y SAN JUAN DE RIOSECO). SE BUSCAN 700 BENEFICIARIOS FALTANTES EN 3 MUNICIPIOS (BELTRÁN, GUATAQUÍ Y JERUSALÉN) Y EN PROCESO DE CONTRATACIÓN 877 INTRADOMICILIARIAS PARA GIRARDOT._x000a_"/>
    <n v="229000000"/>
    <m/>
    <n v="30"/>
  </r>
  <r>
    <n v="353"/>
    <x v="1"/>
    <x v="13"/>
    <x v="12"/>
    <s v="INFRAESTRUCTURA DE AGUA POTABLE Y SANEAMIENTO BÁSICO"/>
    <s v="CONSTRUIR OCHO (8) PTAR EN EL CUATRIENIO, PARA MEJORAR EL SANEAMIENTO AMBIENTAL Y LA CALIDAD DE AGUA DE LAS FUENTES RECEPTORAS"/>
    <s v="NO. DE PTAR Y CONSTRUIDAS"/>
    <s v="UNIDADES"/>
    <s v="I"/>
    <n v="0"/>
    <n v="8"/>
    <n v="8"/>
    <n v="0.33"/>
    <n v="0"/>
    <n v="0"/>
    <n v="0"/>
    <n v="0"/>
    <n v="0"/>
    <n v="0"/>
    <n v="0"/>
    <n v="0"/>
    <n v="0"/>
    <n v="0"/>
    <n v="0"/>
    <n v="0"/>
    <n v="0"/>
    <n v="0"/>
    <n v="0"/>
    <n v="0"/>
    <n v="0"/>
    <n v="1863073000"/>
    <n v="114460000"/>
    <n v="0"/>
    <n v="1748613000"/>
    <n v="0"/>
    <n v="0"/>
    <n v="0"/>
    <n v="0"/>
    <n v="0"/>
    <n v="0"/>
    <n v="0"/>
    <n v="8.2500000000000004E-2"/>
    <n v="2"/>
    <n v="0.25"/>
    <n v="1"/>
    <n v="1"/>
    <n v="50"/>
    <n v="50"/>
    <n v="4.1250000000000002E-2"/>
    <n v="50"/>
    <n v="8871000000"/>
    <n v="0"/>
    <n v="6366000000"/>
    <n v="0"/>
    <n v="0"/>
    <n v="0"/>
    <n v="0"/>
    <n v="2505000000"/>
    <n v="3500000000"/>
    <n v="0"/>
    <n v="3500000000"/>
    <n v="0"/>
    <n v="0"/>
    <n v="0"/>
    <n v="0"/>
    <n v="0"/>
    <n v="0"/>
    <n v="1794655414"/>
    <n v="0"/>
    <n v="0.12375"/>
    <n v="3"/>
    <n v="0.375"/>
    <n v="0"/>
    <n v="0"/>
    <n v="0"/>
    <n v="0"/>
    <n v="0"/>
    <n v="0"/>
    <n v="0"/>
    <n v="0"/>
    <n v="0"/>
    <n v="0.12375"/>
    <n v="3"/>
    <n v="0.375"/>
    <n v="7"/>
    <n v="-4"/>
    <n v="7"/>
    <n v="233.33333333333334"/>
    <n v="100"/>
    <n v="0.12375"/>
    <n v="0.28875000000000001"/>
    <n v="17196000000"/>
    <n v="14691000"/>
    <n v="0"/>
    <n v="0"/>
    <n v="0"/>
    <n v="0"/>
    <n v="0"/>
    <n v="2505000000"/>
    <n v="0"/>
    <n v="0"/>
    <n v="0"/>
    <n v="0"/>
    <n v="0"/>
    <n v="0"/>
    <n v="0"/>
    <n v="0"/>
    <n v="0"/>
    <n v="0"/>
    <n v="0"/>
    <n v="8"/>
    <n v="0.32999999999999996"/>
    <n v="100"/>
    <n v="100"/>
    <n v="0.33"/>
    <n v="0.33"/>
    <n v="0.33"/>
    <n v="1"/>
    <n v="0"/>
    <n v="348"/>
    <s v="INCREMENTAR COBERTURA ALCANTARILLADO A 150.000 HABITANTES NUEVOS CON CALIDAD Y CONTINUIDAD EN ZONAS URBANAS Y CENTROS POBLADOS"/>
    <m/>
    <s v=""/>
    <m/>
    <m/>
    <m/>
    <m/>
    <s v="SE ENTREGARON LAS PLANTAS DE TRATAMIENTO DE AGUAS RESIDUALES DE LOS MUNICIPIOS DE NOCAIMA, LA VEGA Y LA PEÑA . DOS PLANTAS DE TRATAMIENTO DE AGUAS RESIDUALES CON DISEÑOS APROBADOS POR EL MINISTERIO DE VIVIENDA CIUDAD Y TERRITORIO Y POR LA CAR. CUATRO PLANTAS DE TRATAMIENTO DE AGUAS RESIDUALES EN CONSTRUCCIÓN (GACHANCIPÁ, FUNZA, NEMOCÓN, COGUA Y LA MESA)"/>
    <n v="122000000"/>
    <m/>
    <n v="15000"/>
  </r>
  <r>
    <n v="354"/>
    <x v="1"/>
    <x v="13"/>
    <x v="12"/>
    <s v="CALIDAD DE AGUA"/>
    <s v="FOCALIZAR RECURSOS ECONÓMICOS Y/O TÉCNICOS PARA QUE EN LOS MUNICIPIOS DEL DEPARTAMENTO SE INCREMENTE UN 11% EN PROMEDIO EL SUMINISTRO CON AGUA POTABLE EN ZONAS URBANAS, PARA MEJORAR LAS CONDICIONES DE SALUBRIDAD DE LA POBLACIÓN, ESPECIALMENTE LA INFANT"/>
    <s v="PUNTOS PORCENTUALES DE INCREMENTADO DE SUMINISTRO DE AGUA POTABLE EN ZONAS URBANAS"/>
    <s v="PUNTOS PORCENTUALES"/>
    <s v="I"/>
    <n v="59"/>
    <n v="70"/>
    <n v="11"/>
    <n v="0.25"/>
    <n v="2.2727272727272728E-2"/>
    <n v="1"/>
    <n v="9.0909090909090912E-2"/>
    <n v="0"/>
    <n v="0"/>
    <n v="0"/>
    <n v="0"/>
    <n v="0"/>
    <n v="0"/>
    <n v="0"/>
    <n v="0"/>
    <n v="0"/>
    <n v="0"/>
    <n v="0"/>
    <n v="0"/>
    <n v="0"/>
    <n v="0"/>
    <n v="0"/>
    <n v="0"/>
    <n v="0"/>
    <n v="0"/>
    <n v="0"/>
    <n v="0"/>
    <n v="0"/>
    <n v="0"/>
    <n v="0"/>
    <n v="0"/>
    <n v="0"/>
    <n v="6.8181818181818177E-2"/>
    <n v="3"/>
    <n v="0.27272727272727271"/>
    <n v="7"/>
    <n v="7"/>
    <n v="233.33333333333334"/>
    <n v="100"/>
    <n v="6.8181818181818177E-2"/>
    <n v="100"/>
    <n v="3573000000"/>
    <n v="0"/>
    <n v="2388000000"/>
    <n v="0"/>
    <n v="0"/>
    <n v="0"/>
    <n v="0"/>
    <n v="1185000000"/>
    <n v="2400000000"/>
    <n v="2400000000"/>
    <n v="0"/>
    <n v="0"/>
    <n v="0"/>
    <n v="0"/>
    <n v="0"/>
    <n v="0"/>
    <n v="0"/>
    <n v="1472097142.6656001"/>
    <n v="0"/>
    <n v="6.8181818181818177E-2"/>
    <n v="3"/>
    <n v="0.27272727272727271"/>
    <n v="1"/>
    <n v="1"/>
    <n v="3.1"/>
    <n v="3.1"/>
    <n v="103.33333333333333"/>
    <n v="100"/>
    <n v="6.8181818181818177E-2"/>
    <n v="100"/>
    <n v="7.045454545454545E-2"/>
    <n v="9.0909090909090912E-2"/>
    <n v="4"/>
    <n v="0.36363636363636365"/>
    <n v="1"/>
    <n v="3"/>
    <n v="1"/>
    <n v="25"/>
    <n v="25"/>
    <n v="2.2727272727272728E-2"/>
    <n v="2.2727272727272728E-2"/>
    <n v="6696000000"/>
    <n v="5511000000"/>
    <n v="0"/>
    <n v="0"/>
    <n v="0"/>
    <n v="0"/>
    <n v="0"/>
    <n v="1185000000"/>
    <n v="0"/>
    <n v="0"/>
    <n v="0"/>
    <n v="0"/>
    <n v="0"/>
    <n v="0"/>
    <n v="0"/>
    <n v="0"/>
    <n v="0"/>
    <n v="0"/>
    <n v="0"/>
    <n v="11.1"/>
    <n v="0.25"/>
    <n v="100.90909090909091"/>
    <n v="100"/>
    <n v="0.25"/>
    <n v="0.25"/>
    <n v="0.25"/>
    <n v="1"/>
    <n v="0"/>
    <n v="347"/>
    <s v="INCREMENTAR COBERTURA AGUA POTABLE A 202.000 HABITANTES NUEVOS CON CALIDAD Y CONTINUIDAD EN ZONAS URBANAS, RURALES Y CENTROS POBLADOS DURANTE EL PERIODO DE GOBIERNO."/>
    <m/>
    <s v=""/>
    <m/>
    <m/>
    <m/>
    <m/>
    <s v="GRACIAS A LAS OBRAS DE ACUEDUCTO Y CAPACITACIONES REALIZADAS EN LOS MUNICIPIOS DEL DEPARTAMENTO, SE LOGRÓ UN AUMENTO DE LA COBERTURA DE AGUA POTABLE EN UN 11%, LO QUE EQUIVALE A QUE 81 MUNICIPIOS DEL DEPARTAMENTO ESTÉN ENTREGANDO AGUA POTABLE DE ACUERDO AL INDICE DE RIESGO DE CALIDAD DEL AGUA - IRCA REPORTADO POR EL INSTITUTO NACIONAL DE SALUD. "/>
    <n v="372000000"/>
    <m/>
    <n v="3"/>
  </r>
  <r>
    <n v="355"/>
    <x v="1"/>
    <x v="13"/>
    <x v="12"/>
    <s v="CALIDAD DE AGUA"/>
    <s v="BENEFICIAR A 70.000 PERSONAS DE LA ZONA RURAL, EN EL PERIODO DE GOBIERNO, CON AGUA POTABLE PARA MEJORAR LAS CONDICIONES DE SALUBRIDAD DE LA POBLACIÓN, ESPECIALMENTE LA INFANTIL."/>
    <s v="No. DE PERSONAS CON AGUA POTABLE EN ZONAS RURALES "/>
    <s v="PERSONAS"/>
    <s v="I"/>
    <n v="0"/>
    <n v="70000"/>
    <n v="70000"/>
    <n v="0.33"/>
    <n v="0"/>
    <n v="0"/>
    <n v="0"/>
    <n v="0"/>
    <n v="0"/>
    <n v="0"/>
    <n v="0"/>
    <n v="0"/>
    <n v="0"/>
    <n v="0"/>
    <n v="0"/>
    <n v="0"/>
    <n v="0"/>
    <n v="0"/>
    <n v="0"/>
    <n v="0"/>
    <n v="0"/>
    <n v="10871342000"/>
    <n v="6485154000"/>
    <n v="1468635000"/>
    <n v="1368095000"/>
    <n v="0"/>
    <n v="1549458000"/>
    <n v="0"/>
    <n v="0"/>
    <n v="0"/>
    <n v="0"/>
    <n v="0"/>
    <n v="2.357142857142857E-2"/>
    <n v="5000"/>
    <n v="7.1428571428571425E-2"/>
    <n v="8246"/>
    <n v="8246"/>
    <n v="164.92"/>
    <n v="100"/>
    <n v="2.3571428571428566E-2"/>
    <n v="100"/>
    <n v="8380000000"/>
    <n v="2977000000"/>
    <n v="3313000000"/>
    <n v="0"/>
    <n v="0"/>
    <n v="0"/>
    <n v="0"/>
    <n v="2090000000"/>
    <n v="2330000000"/>
    <n v="2330000000"/>
    <n v="0"/>
    <n v="0"/>
    <n v="0"/>
    <n v="0"/>
    <n v="0"/>
    <n v="0"/>
    <n v="0"/>
    <n v="3252933749.3363552"/>
    <n v="0"/>
    <n v="0.14142857142857143"/>
    <n v="30000"/>
    <n v="0.42857142857142855"/>
    <n v="32884"/>
    <n v="32884"/>
    <n v="40593"/>
    <n v="40593"/>
    <n v="135.31"/>
    <n v="100"/>
    <n v="0.14142857142857143"/>
    <n v="100"/>
    <n v="0.19136700000000001"/>
    <n v="0.16500000000000001"/>
    <n v="35000"/>
    <n v="0.5"/>
    <n v="14790"/>
    <n v="20210"/>
    <n v="14790"/>
    <n v="42.25714285714286"/>
    <n v="42.25714285714286"/>
    <n v="6.9724285714285725E-2"/>
    <n v="6.9724285714285725E-2"/>
    <n v="12894000000"/>
    <n v="7646000000"/>
    <n v="3158000000"/>
    <n v="0"/>
    <n v="0"/>
    <n v="0"/>
    <n v="0"/>
    <n v="2090000000"/>
    <n v="0"/>
    <n v="0"/>
    <n v="0"/>
    <n v="0"/>
    <n v="0"/>
    <n v="0"/>
    <n v="0"/>
    <n v="0"/>
    <n v="0"/>
    <n v="0"/>
    <n v="0"/>
    <n v="63629"/>
    <n v="0.33"/>
    <n v="90.898571428571429"/>
    <n v="90.898571428571429"/>
    <n v="0.29996528571428571"/>
    <n v="0.29996528571428571"/>
    <n v="0.29996528571428571"/>
    <n v="1"/>
    <n v="0"/>
    <n v="347"/>
    <s v="INCREMENTAR COBERTURA AGUA POTABLE A 202.000 HABITANTES NUEVOS CON CALIDAD Y CONTINUIDAD EN ZONAS URBANAS, RURALES Y CENTROS POBLADOS DURANTE EL PERIODO DE GOBIERNO."/>
    <m/>
    <s v=""/>
    <m/>
    <m/>
    <m/>
    <m/>
    <s v="66 PROYECTOS DE AGUA POTABLE TERMINADOS ENTRE EL 2012-2015 EN LAS ZONAS RURALES DEL DEPARTAMENTO QUE HAN BENEFICIADO A 51.702 HABITANTES. "/>
    <n v="280000000"/>
    <m/>
    <n v="100"/>
  </r>
  <r>
    <n v="356"/>
    <x v="1"/>
    <x v="13"/>
    <x v="12"/>
    <s v="FORTALECIMIENTO EMPRESARIAL"/>
    <s v="APOYAR LA INICIATIVA DE ELABORAR UN ESTUDIO DE PREFACTIBILIDAD Y FACTIBILIDAD PARA RESOLVER A NIVEL EMPRESARIAL Y DE OPERACIÓN EL SUMINISTRO DE AGUA POTABLE A LOS MUNICIPIOS DE LA SABANA DE BOGOTÁ EN EL PERÍODO DE GOBIERNO"/>
    <s v="NO. DE ESTUDIOS DE FACTIBILIDAD Y PREFACTIBILIDAD A NIVEL EMPRESARIAL Y DE OPERACIÓN"/>
    <s v="ESTUDIOS"/>
    <s v="I"/>
    <n v="1"/>
    <n v="2"/>
    <n v="1"/>
    <n v="0.25"/>
    <n v="0.05"/>
    <n v="0.2"/>
    <n v="0.2"/>
    <n v="0.2"/>
    <n v="0.2"/>
    <n v="100"/>
    <n v="100"/>
    <n v="0.05"/>
    <n v="100"/>
    <n v="35000000"/>
    <n v="35000000"/>
    <n v="0"/>
    <n v="0"/>
    <n v="0"/>
    <n v="0"/>
    <n v="0"/>
    <n v="0"/>
    <n v="0"/>
    <n v="0"/>
    <n v="0"/>
    <n v="0"/>
    <n v="0"/>
    <n v="0"/>
    <n v="0"/>
    <n v="0"/>
    <n v="0"/>
    <n v="0"/>
    <n v="0"/>
    <n v="0.17499999999999999"/>
    <n v="0.7"/>
    <n v="0.7"/>
    <n v="0.7"/>
    <n v="0.7"/>
    <n v="100"/>
    <n v="100"/>
    <n v="0.17499999999999999"/>
    <n v="100"/>
    <n v="0"/>
    <n v="0"/>
    <n v="0"/>
    <n v="0"/>
    <n v="0"/>
    <n v="0"/>
    <n v="0"/>
    <n v="0"/>
    <n v="224000000"/>
    <n v="224000000"/>
    <n v="0"/>
    <n v="0"/>
    <n v="0"/>
    <n v="0"/>
    <n v="0"/>
    <n v="0"/>
    <n v="0"/>
    <n v="0"/>
    <n v="0"/>
    <n v="0"/>
    <n v="0"/>
    <n v="0"/>
    <n v="1"/>
    <n v="0"/>
    <n v="0"/>
    <n v="0"/>
    <n v="0"/>
    <n v="0"/>
    <n v="0"/>
    <n v="0"/>
    <n v="0"/>
    <n v="2.5000000000000001E-2"/>
    <n v="0.1"/>
    <n v="0.1"/>
    <n v="0"/>
    <n v="0.1"/>
    <n v="0"/>
    <n v="0"/>
    <n v="0"/>
    <n v="0"/>
    <n v="0"/>
    <n v="0"/>
    <n v="0"/>
    <n v="0"/>
    <n v="0"/>
    <n v="0"/>
    <n v="0"/>
    <n v="0"/>
    <n v="0"/>
    <n v="0"/>
    <n v="0"/>
    <n v="0"/>
    <n v="0"/>
    <n v="0"/>
    <n v="0"/>
    <n v="0"/>
    <n v="0"/>
    <n v="0"/>
    <n v="0"/>
    <n v="0"/>
    <n v="0.89999999999999991"/>
    <n v="0.24999999999999997"/>
    <n v="89.999999999999986"/>
    <n v="89.999999999999986"/>
    <n v="0.22499999999999998"/>
    <n v="0.22499999999999998"/>
    <n v="0.22499999999999998"/>
    <n v="0.99999999999999989"/>
    <n v="0"/>
    <n v="347"/>
    <s v="INCREMENTAR COBERTURA AGUA POTABLE A 202.000 HABITANTES NUEVOS CON CALIDAD Y CONTINUIDAD EN ZONAS URBANAS, RURALES Y CENTROS POBLADOS DURANTE EL PERIODO DE GOBIERNO."/>
    <m/>
    <s v=""/>
    <m/>
    <m/>
    <m/>
    <m/>
    <s v="EL AVANCE DEL PROYECTO SE ENCUENTRA EN UN 90%. SE REALIZÓ EL ESTUDIO DE PREFACTIBILIDAD, SE LOGRÓ LA CONCESIÓN DE CAPTACIÓN DE AGUA DEL EMBALSE DEL SISGA Y SE ENCUENTRA EN EJECUCIÓN UN CONTRATO PARA DISEÑAR UN SISTEMA DE ACUEDUCTO MATRIZ, QUE TENGA CAPACIDAD DE PROVEER ABASTECIMIENTO DE AGUA A LOS MUNICIPIOS DE LA SABANA Y CENTRO. SE ESPERA RECIBIR EL ESTUDIO EN EL MES DE NOVIEMBRE"/>
    <n v="400000000"/>
    <m/>
    <n v="3"/>
  </r>
  <r>
    <n v="357"/>
    <x v="1"/>
    <x v="13"/>
    <x v="12"/>
    <s v="ABASTECIMIENTO Y PREVENCIÓN"/>
    <s v="ELABORAR UN (1) ESTUDIO DE IDENTIFICACIÓN DE EMBALSES A NIVEL DEPARTAMENTAL, EN EL PERÍODO DE GOBIERNO, PARA DETERMINAR LA PRIORIZACIÓN DE INVERSIONES EN CUANTO A ABASTECIMIENTO Y REGULACIÓN DE CAUDALES. "/>
    <s v="NO. DE ESTUDIOS DE IDENTIFICACIÓN DE EMBALSES"/>
    <s v="ESTUDIOS"/>
    <s v="I"/>
    <n v="0"/>
    <n v="1"/>
    <n v="1"/>
    <n v="0.25"/>
    <n v="0"/>
    <n v="0"/>
    <n v="0"/>
    <n v="0"/>
    <n v="0"/>
    <n v="0"/>
    <n v="0"/>
    <n v="0"/>
    <n v="0"/>
    <n v="0"/>
    <n v="0"/>
    <n v="0"/>
    <n v="0"/>
    <n v="0"/>
    <n v="0"/>
    <n v="0"/>
    <n v="0"/>
    <n v="0"/>
    <n v="0"/>
    <n v="0"/>
    <n v="0"/>
    <n v="0"/>
    <n v="0"/>
    <n v="0"/>
    <n v="0"/>
    <n v="0"/>
    <n v="0"/>
    <n v="0"/>
    <n v="0"/>
    <n v="0"/>
    <n v="0"/>
    <n v="0.2"/>
    <n v="0.2"/>
    <n v="0"/>
    <n v="0"/>
    <n v="0"/>
    <n v="100"/>
    <n v="2425000000"/>
    <n v="0"/>
    <n v="2000000000"/>
    <n v="0"/>
    <n v="0"/>
    <n v="0"/>
    <n v="0"/>
    <n v="425000000"/>
    <n v="781170980"/>
    <n v="781170980"/>
    <n v="0"/>
    <n v="0"/>
    <n v="0"/>
    <n v="0"/>
    <n v="0"/>
    <n v="0"/>
    <n v="0"/>
    <n v="0"/>
    <n v="0"/>
    <n v="0.1"/>
    <n v="0.4"/>
    <n v="0.4"/>
    <n v="80"/>
    <n v="0.20000000298023224"/>
    <n v="0.20000000298023224"/>
    <n v="0.20000000298023224"/>
    <n v="50.00000074505806"/>
    <n v="50.00000074505806"/>
    <n v="5.000000074505806E-2"/>
    <n v="50.00000074505806"/>
    <n v="5.000000074505806E-2"/>
    <n v="0.15"/>
    <n v="0.6"/>
    <n v="0.6"/>
    <n v="0.6"/>
    <n v="0"/>
    <n v="0.6"/>
    <n v="100"/>
    <n v="100"/>
    <n v="0.15"/>
    <n v="0.15"/>
    <n v="0"/>
    <n v="0"/>
    <n v="0"/>
    <n v="0"/>
    <n v="0"/>
    <n v="0"/>
    <n v="0"/>
    <n v="0"/>
    <n v="0"/>
    <n v="0"/>
    <n v="0"/>
    <n v="0"/>
    <n v="0"/>
    <n v="0"/>
    <n v="0"/>
    <n v="0"/>
    <n v="0"/>
    <n v="0"/>
    <n v="0"/>
    <n v="1.0000000029802323"/>
    <n v="0.25"/>
    <n v="100.00000029802322"/>
    <n v="100"/>
    <n v="0.25"/>
    <n v="0.25"/>
    <n v="0.25"/>
    <n v="1"/>
    <n v="0"/>
    <n v="347"/>
    <s v="INCREMENTAR COBERTURA AGUA POTABLE A 202.000 HABITANTES NUEVOS CON CALIDAD Y CONTINUIDAD EN ZONAS URBANAS, RURALES Y CENTROS POBLADOS DURANTE EL PERIODO DE GOBIERNO."/>
    <m/>
    <s v=""/>
    <m/>
    <m/>
    <m/>
    <m/>
    <s v="A LA FECHA, LA EJECUCIÓN DEL PROYECTO DE LA IDENTIFICACIÓN DE SITIOS DE EMBALSE CUYO PROPÓSITO ES FORTALECER LA GESTIÓN INTEGRAL EN EL SISTEMA HÍDRICO DEL DEPARTAMENTO DE CUNDINAMARCA, SE ENCUENTRA EN UN ESTADO DE AVANCE DEL 40%. EL INFORME FINAL DE RESULTADOS DEL PROYECTO SE TIENE PREVISTO PARA FINALES DEL MES DE NOVIEMBRE DE 2015"/>
    <n v="0"/>
    <m/>
    <n v="0.25"/>
  </r>
  <r>
    <n v="358"/>
    <x v="1"/>
    <x v="13"/>
    <x v="12"/>
    <s v="ABASTECIMIENTO Y PREVENCIÓN"/>
    <s v="REALIZACIÓN PRIMERA FASE EMBALSE CALANDAIMA DURANTE EL PERÍODO DE GOBIERNO. "/>
    <s v="NO. FASES REALIZADAS DURANTE EL CUATRIENIO"/>
    <s v="FASES"/>
    <s v="I"/>
    <n v="0"/>
    <n v="1"/>
    <n v="1"/>
    <n v="0.25"/>
    <n v="0"/>
    <n v="0"/>
    <n v="0"/>
    <n v="0"/>
    <n v="0"/>
    <n v="0"/>
    <n v="0"/>
    <n v="0"/>
    <n v="0"/>
    <n v="0"/>
    <n v="0"/>
    <n v="0"/>
    <n v="0"/>
    <n v="0"/>
    <n v="0"/>
    <n v="0"/>
    <n v="0"/>
    <n v="0"/>
    <n v="0"/>
    <n v="0"/>
    <n v="0"/>
    <n v="0"/>
    <n v="0"/>
    <n v="0"/>
    <n v="0"/>
    <n v="0"/>
    <n v="0"/>
    <n v="0"/>
    <n v="0.05"/>
    <n v="0.2"/>
    <n v="0.2"/>
    <n v="0.2"/>
    <n v="0.2"/>
    <n v="100"/>
    <n v="100"/>
    <n v="0.05"/>
    <n v="100"/>
    <n v="3380000000"/>
    <n v="0"/>
    <n v="2295000000"/>
    <n v="0"/>
    <n v="0"/>
    <n v="0"/>
    <n v="0"/>
    <n v="1085000000"/>
    <n v="1000000000"/>
    <n v="0"/>
    <n v="0"/>
    <n v="0"/>
    <n v="0"/>
    <n v="1000000000"/>
    <n v="0"/>
    <n v="0"/>
    <n v="0"/>
    <n v="0"/>
    <n v="0"/>
    <n v="7.4999999999999997E-2"/>
    <n v="0.3"/>
    <n v="0.3"/>
    <n v="0"/>
    <n v="0.10000000149011612"/>
    <n v="0.10000000149011612"/>
    <n v="0.10000000149011612"/>
    <n v="33.333333830038711"/>
    <n v="33.333333830038711"/>
    <n v="2.5000000372529033E-2"/>
    <n v="33.333333830038711"/>
    <n v="2.5000000372529033E-2"/>
    <n v="0.125"/>
    <n v="0.5"/>
    <n v="0.5"/>
    <n v="0.6"/>
    <n v="-9.9999999999999978E-2"/>
    <n v="0.6"/>
    <n v="120"/>
    <n v="100"/>
    <n v="0.125"/>
    <n v="0.15"/>
    <n v="6381000000"/>
    <n v="5296000000"/>
    <n v="0"/>
    <n v="0"/>
    <n v="0"/>
    <n v="0"/>
    <n v="0"/>
    <n v="1085000000"/>
    <n v="0"/>
    <n v="0"/>
    <n v="0"/>
    <n v="0"/>
    <n v="0"/>
    <n v="0"/>
    <n v="0"/>
    <n v="0"/>
    <n v="0"/>
    <n v="0"/>
    <n v="0"/>
    <n v="0.90000000149011616"/>
    <n v="0.25"/>
    <n v="90.000000149011612"/>
    <n v="90.000000149011612"/>
    <n v="0.22500000037252904"/>
    <n v="0.22500000037252904"/>
    <n v="0.22500000037252904"/>
    <n v="1"/>
    <n v="0"/>
    <n v="347"/>
    <s v="INCREMENTAR COBERTURA AGUA POTABLE A 202.000 HABITANTES NUEVOS CON CALIDAD Y CONTINUIDAD EN ZONAS URBANAS, RURALES Y CENTROS POBLADOS DURANTE EL PERIODO DE GOBIERNO."/>
    <m/>
    <s v=""/>
    <m/>
    <m/>
    <m/>
    <m/>
    <s v="SE SUSCRIBIÓ CONVENIO ENTRE LA CAR, LA GOBERNACIÓN DE CUNDINAMARCA Y EMPRESAS PÚBLICAS DE CUNDINAMARCA S.A ESP PARA LA ELABORACIÓN DE LOS ESTUDIOS Y DISEÑOS DEL EMBALSE DE CALANDAIMA. LA CAR REALIZÓ LA CONTRATACIÓN A COMIENZOS DEL 2015 Y A AGOSTO 31 DE 2015 PRESENTA UN AVANCE DEL 90%. SE ESPERA LA ENTREGA DE LOS ESTUDIOS Y DISEÑOS POR PARTE DEL CONTRATISTA PARA EL MES DE OCTUBRE"/>
    <n v="18000000"/>
    <m/>
    <n v="116"/>
  </r>
  <r>
    <n v="361"/>
    <x v="1"/>
    <x v="12"/>
    <x v="13"/>
    <s v="PRODUCTIVIDAD AGROPECUARIA"/>
    <s v="INCREMENTAR Y/O RENOVAR EN 10.000 HECTÁREAS EL ÁREA SEMBRADA DE 7 CADENAS PRODUCTIVAS PRIORIZADAS. (HORTALIZAS, FRUTAS, CAFÉ, CACAO, CAÑA PANELERA, PAPA Y CAUCHO) EN EL PERIODO DE GOBIERNO, ESPECIALIZÁNDOLAS DE ACUERDO A LAS POTENCIALIDADES DE LAS ECO – "/>
    <s v="NO DE HECTÁREAS INCREMENTADAS Y/O RENOVADAS."/>
    <s v="HECTAREAS"/>
    <s v="I"/>
    <n v="116956"/>
    <n v="126956"/>
    <n v="10000"/>
    <n v="0.33"/>
    <n v="6.6000000000000003E-2"/>
    <n v="2000"/>
    <n v="0.2"/>
    <n v="3400"/>
    <n v="3400"/>
    <n v="170"/>
    <n v="100"/>
    <n v="6.6000000000000003E-2"/>
    <n v="100"/>
    <n v="2046000000"/>
    <n v="1453000000"/>
    <n v="0"/>
    <n v="0"/>
    <n v="0"/>
    <n v="0"/>
    <n v="0"/>
    <n v="593000000"/>
    <n v="1463520000"/>
    <n v="1463520000"/>
    <n v="0"/>
    <n v="0"/>
    <n v="0"/>
    <n v="0"/>
    <n v="0"/>
    <n v="0"/>
    <n v="0"/>
    <n v="607244000"/>
    <s v="FEDEPAPA,CONFEDERACION CAUCHERA COLOMBIANA , ASOHOFRUCOL, FEDERACION NACIONAL DE CAFETEROS-COMITÉ DEPARTAMENTAL DE CAFETEROS DE CUNDINAMARCA, FUNDACION YARUMO"/>
    <n v="9.9000000000000005E-2"/>
    <n v="3000"/>
    <n v="0.3"/>
    <n v="5348"/>
    <n v="5348"/>
    <n v="178.26666666666668"/>
    <n v="100"/>
    <n v="9.9000000000000005E-2"/>
    <n v="100"/>
    <n v="909000000"/>
    <n v="0"/>
    <n v="659000000"/>
    <n v="0"/>
    <n v="0"/>
    <n v="0"/>
    <n v="0"/>
    <n v="250000000"/>
    <n v="11711268998"/>
    <n v="1011704520"/>
    <n v="0"/>
    <n v="0"/>
    <n v="0"/>
    <n v="10699564478"/>
    <n v="0"/>
    <n v="0"/>
    <n v="0"/>
    <n v="4299544799"/>
    <s v="FEDECAFE-FEDECACAO-ASOHOFRUCOL-FEDEPANELA-CONFEDERACION CAUCHERA--UNIVERSIDAD CENTRAL"/>
    <n v="9.9000000000000005E-2"/>
    <n v="3000"/>
    <n v="0.3"/>
    <n v="40"/>
    <n v="40"/>
    <n v="783.5999755859375"/>
    <n v="783.5999755859375"/>
    <n v="26.119999186197916"/>
    <n v="26.119999186197916"/>
    <n v="2.5858799194335938E-2"/>
    <n v="26.119999186197916"/>
    <n v="2.5858799194335938E-2"/>
    <n v="6.6000000000000003E-2"/>
    <n v="2000"/>
    <n v="0.2"/>
    <n v="725.2"/>
    <n v="1274.8"/>
    <n v="725.2"/>
    <n v="36.26"/>
    <n v="36.26"/>
    <n v="2.3931600000000001E-2"/>
    <n v="2.3931600000000001E-2"/>
    <n v="949000000"/>
    <n v="699000000"/>
    <n v="0"/>
    <n v="0"/>
    <n v="0"/>
    <n v="0"/>
    <n v="0"/>
    <n v="250000000"/>
    <n v="0"/>
    <n v="0"/>
    <n v="0"/>
    <n v="0"/>
    <n v="0"/>
    <n v="0"/>
    <n v="0"/>
    <n v="0"/>
    <n v="0"/>
    <n v="0"/>
    <n v="0"/>
    <n v="10256.799975585938"/>
    <n v="0.33"/>
    <n v="102.56799975585939"/>
    <n v="100"/>
    <n v="0.33"/>
    <n v="0.33"/>
    <n v="0.33"/>
    <n v="1"/>
    <n v="0"/>
    <n v="359"/>
    <s v="ESPECIALIZAR Y/O RENOVAR EN CULTIVOS RELACIONADOS CON LAS CADENAS PRODUCTIVAS AGROPECUARIAS COMO MÍNIMO UN 5% (13.200 HAS) DEL TOTAL DE HECTÁREAS CULTIVADAS (264.098HAS). "/>
    <n v="360"/>
    <s v="INCREMENTAR EN 10% LAS TONELADAS ANUALES DE LA PRODUCCIÓN DE ALIMENTOS LLEGANDO A 4.400.000 TONELADAS PRODUCIDAS."/>
    <m/>
    <m/>
    <m/>
    <m/>
    <s v="ESTABLECIMIENTO DE 4107,6 HECTAREAS EN LOS SISTEMAS DE FRUTALES, CACAO, CAUCHO, ARMOATICAS, CAÑA PANELERA. RENOVACIÓN DE 5455 HECTAREAS Y FERTILIZACIÓN DE 4000 HECTAREAS DE CAFE, EN EL SECTOR PANELERO 700 HÁS RENOVADAS ."/>
    <n v="0"/>
    <m/>
    <n v="58"/>
  </r>
  <r>
    <n v="362"/>
    <x v="1"/>
    <x v="12"/>
    <x v="13"/>
    <s v="PRODUCTIVIDAD AGROPECUARIA"/>
    <s v="FORTALECER 4 GRUPOS DE MINI CADENAS: BALANCEADOS (MAÍZ, YUCA Y SORGO), GRAMÍNEAS Y LEGUMINOSAS (FRIJOL, ARVEJA, HABICHUELA), CEREALES Y ESPECIES MENORES (CUNÍCOLA, OVINOS - CAPRINOS, PISCICULTURA Y APICULTURA, ENTRE OTROS) DE IMPORTANCIA SOCIOECONÓMICA Y"/>
    <s v="NO DE GRUPOS DE MINI CADENAS FORTALECIDAS"/>
    <s v="GRUPOS"/>
    <s v="I"/>
    <n v="4"/>
    <n v="8"/>
    <n v="4"/>
    <n v="0.25"/>
    <n v="6.25E-2"/>
    <n v="1"/>
    <n v="0.25"/>
    <n v="1"/>
    <n v="1"/>
    <n v="100"/>
    <n v="100"/>
    <n v="6.25E-2"/>
    <n v="100"/>
    <n v="108000000"/>
    <n v="106000000"/>
    <n v="0"/>
    <n v="0"/>
    <n v="0"/>
    <n v="0"/>
    <n v="0"/>
    <n v="2000000"/>
    <n v="181342000"/>
    <n v="181342000"/>
    <n v="0"/>
    <n v="0"/>
    <n v="0"/>
    <n v="0"/>
    <n v="0"/>
    <n v="0"/>
    <n v="0"/>
    <n v="6180000"/>
    <s v="MUNICIPIOS, UNIVERSIDAD NACIONAL"/>
    <n v="6.25E-2"/>
    <n v="1"/>
    <n v="0.25"/>
    <n v="1"/>
    <n v="1"/>
    <n v="100"/>
    <n v="100"/>
    <n v="6.25E-2"/>
    <n v="100"/>
    <n v="204000000"/>
    <n v="0"/>
    <n v="204000000"/>
    <n v="0"/>
    <n v="0"/>
    <n v="0"/>
    <n v="0"/>
    <n v="0"/>
    <n v="137417921"/>
    <n v="137417921"/>
    <n v="0"/>
    <n v="0"/>
    <n v="0"/>
    <n v="0"/>
    <n v="0"/>
    <n v="0"/>
    <n v="0"/>
    <n v="12000000"/>
    <s v="MUNICIPIOS "/>
    <n v="6.25E-2"/>
    <n v="1"/>
    <n v="0.25"/>
    <n v="1"/>
    <n v="0"/>
    <n v="2"/>
    <n v="2"/>
    <n v="200"/>
    <n v="100"/>
    <n v="6.25E-2"/>
    <n v="100"/>
    <n v="0.125"/>
    <n v="6.25E-2"/>
    <n v="1"/>
    <n v="0.25"/>
    <n v="1"/>
    <n v="0"/>
    <n v="1"/>
    <n v="100"/>
    <n v="100"/>
    <n v="6.25E-2"/>
    <n v="6.25E-2"/>
    <n v="255000000"/>
    <n v="255000000"/>
    <n v="0"/>
    <n v="0"/>
    <n v="0"/>
    <n v="0"/>
    <n v="0"/>
    <n v="0"/>
    <n v="0"/>
    <n v="0"/>
    <n v="0"/>
    <n v="0"/>
    <n v="0"/>
    <n v="0"/>
    <n v="0"/>
    <n v="0"/>
    <n v="0"/>
    <n v="0"/>
    <n v="0"/>
    <n v="5"/>
    <n v="0.25"/>
    <n v="125"/>
    <n v="100"/>
    <n v="0.25"/>
    <n v="0.25"/>
    <n v="0.25"/>
    <n v="1"/>
    <n v="0"/>
    <n v="359"/>
    <s v="ESPECIALIZAR Y/O RENOVAR EN CULTIVOS RELACIONADOS CON LAS CADENAS PRODUCTIVAS AGROPECUARIAS COMO MÍNIMO UN 5% (13.200 HAS) DEL TOTAL DE HECTÁREAS CULTIVADAS (264.098HAS). "/>
    <n v="360"/>
    <s v="INCREMENTAR EN 10% LAS TONELADAS ANUALES DE LA PRODUCCIÓN DE ALIMENTOS LLEGANDO A 4.400.000 TONELADAS PRODUCIDAS."/>
    <m/>
    <m/>
    <m/>
    <m/>
    <s v="FORTALECIMIENTO DE MINICADENAS: APICOLA :(MANEJO DE APIARIOS, PROCESAMIENTOS DE PRODUCTOS APÍCOLAS (MIEL, POLEN) MONTAJE DE COLMENAS. OVINO –CAPRINO (MEJORAMIENTO GENÉTICO CON ENTREGA DE PIE DE CRÍA). PISCICULTURA (ADQUISICIÓN DE MAQUINARIA ,EQUIPOS E INSUMOS) LEGUMINOSAS ( DOTACIÓN DE MAQUINARIA Y ESTABLECIMIENTO DE ÁREAS (150 HECTÁREAS) CEREALES ( ESTABLECIMIENTO DE 14 HECTÁREAS DE QUINUA) "/>
    <n v="0"/>
    <m/>
    <n v="4000"/>
  </r>
  <r>
    <n v="363"/>
    <x v="1"/>
    <x v="12"/>
    <x v="13"/>
    <s v="PRODUCTIVIDAD AGROPECUARIA"/>
    <s v="FORTALECER LAS 3 PRINCIPALES CADENAS PRODUCTIVAS PECUARIAS (BOVINA CARNE, LÁCTEA, PORCÍCOLA) EN EL PERIODO DE GOBIERNO"/>
    <s v="NO DE CADENAS PRODUCTIVAS PECUARIAS FORTALECIDAS"/>
    <s v="CADENAS"/>
    <s v="M"/>
    <n v="3"/>
    <n v="3"/>
    <n v="3"/>
    <n v="0.33"/>
    <n v="8.2500000000000004E-2"/>
    <n v="3"/>
    <n v="0.25"/>
    <n v="3"/>
    <n v="0.75"/>
    <n v="100"/>
    <n v="100"/>
    <n v="8.2500000000000004E-2"/>
    <n v="100"/>
    <n v="1034000000"/>
    <n v="857000000"/>
    <n v="0"/>
    <n v="0"/>
    <n v="0"/>
    <n v="0"/>
    <n v="0"/>
    <n v="177000000"/>
    <n v="1677817000"/>
    <n v="1677817000"/>
    <n v="0"/>
    <n v="0"/>
    <n v="0"/>
    <n v="0"/>
    <n v="0"/>
    <n v="0"/>
    <n v="0"/>
    <n v="182905000"/>
    <s v="MUNICIPIOS, FEDEPANELA, FUNDESOT"/>
    <n v="8.2500000000000004E-2"/>
    <n v="3"/>
    <n v="0.25"/>
    <n v="3"/>
    <n v="0.75"/>
    <n v="100"/>
    <n v="100"/>
    <n v="8.2500000000000004E-2"/>
    <n v="100"/>
    <n v="240000000"/>
    <n v="0"/>
    <n v="240000000"/>
    <n v="0"/>
    <n v="0"/>
    <n v="0"/>
    <n v="0"/>
    <n v="0"/>
    <n v="2219745207"/>
    <n v="1319745207"/>
    <n v="0"/>
    <n v="0"/>
    <n v="0"/>
    <n v="900000000"/>
    <n v="0"/>
    <n v="0"/>
    <n v="0"/>
    <n v="2347582687"/>
    <s v="ASOCIACION COLOMBIANA DE PORCICULTORES-FUNDESOT-MINISTERIO DE AGRICULTURA-UNIVERSIDAD DE CUNDINAMARCA-UNAL "/>
    <n v="8.2500000000000004E-2"/>
    <n v="3"/>
    <n v="0.25"/>
    <n v="0"/>
    <n v="2"/>
    <n v="3"/>
    <n v="0.75"/>
    <n v="100"/>
    <n v="100"/>
    <n v="8.2500000000000004E-2"/>
    <n v="100"/>
    <n v="8.2500000000000004E-2"/>
    <n v="8.2500000000000004E-2"/>
    <n v="3"/>
    <n v="0.25"/>
    <n v="3"/>
    <n v="0"/>
    <n v="0.75"/>
    <n v="100"/>
    <n v="100"/>
    <n v="8.2500000000000004E-2"/>
    <n v="8.2500000000000004E-2"/>
    <n v="216000000"/>
    <n v="216000000"/>
    <n v="0"/>
    <n v="0"/>
    <n v="0"/>
    <n v="0"/>
    <n v="0"/>
    <n v="0"/>
    <n v="0"/>
    <n v="0"/>
    <n v="0"/>
    <n v="0"/>
    <n v="0"/>
    <n v="0"/>
    <n v="0"/>
    <n v="0"/>
    <n v="0"/>
    <n v="0"/>
    <n v="0"/>
    <n v="3"/>
    <n v="0.33"/>
    <n v="100"/>
    <n v="100"/>
    <n v="0.33"/>
    <n v="0.33"/>
    <n v="0.33"/>
    <n v="1"/>
    <n v="0"/>
    <n v="359"/>
    <s v="ESPECIALIZAR Y/O RENOVAR EN CULTIVOS RELACIONADOS CON LAS CADENAS PRODUCTIVAS AGROPECUARIAS COMO MÍNIMO UN 5% (13.200 HAS) DEL TOTAL DE HECTÁREAS CULTIVADAS (264.098HAS). "/>
    <n v="360"/>
    <s v="INCREMENTAR EN 10% LAS TONELADAS ANUALES DE LA PRODUCCIÓN DE ALIMENTOS LLEGANDO A 4.400.000 TONELADAS PRODUCIDAS."/>
    <m/>
    <m/>
    <m/>
    <m/>
    <s v="CADENA CÁRNICA – LÁCTEA: MEJORAMIENTO DE PRADERAS (1618 HÁS ).APOYO A 60 CENTROS DE ACOPIO (DOTACIÓN DE MAQUINARIA, EQUIPOS E INSUMOS PARA CENTROS DE ACOPIO DE LECHE, TANQUES PARA ENFRIAMIENTO Y PLANTAS ELÉCTRICAS ,EQUIPOS ANALIZADORES DE LECHE, BÁSCULAS PARA PESAJE DE GANADO ,PICA PASTOS , TERMOS DE INSEMINACIÓN Y KITS PARA INSEMINACIÓN ARTIFICIAL ,TANQUES DE ALMACENAMIENTO DE AGUA , COMEDEROS PARA BOVINOS, PLANTAS DE TRANSFORMACIÓN DE LÁCTEOS, ECÓGRAFOS Y EQUIPOS PARA PLANTAS DE BENEFICIO ANIMAL ENTRE OTROS, TRANSFERENCIA DE TECNOLOGÍA). FINANCIAMIENTO AGROPECUARIO. CERTIFICACIÓN DE PREDIOS LIBRES DE BRÚCELLA Y TUBERCULOSIS EN EL DEPARTAMENTO. SE APOYÓ LA ADOPCIÓN DE NORMAS Y PROCEDIMIENTOS QUE INVOLUCRAN LA PROTECCIÓN DEL MEDIO AMBIENTE Y LAS BUENAS PRACTICAS GANADERAS (BPG´S9, BUENAS PRÁCTICAS DE MANUFACTURA (BPM´S)BUENAS PRÁCTICAS AMBIENTALES (BPA¨S), HACCP, BUENAS PRÁCTICAS DE LABORATORIO, TRANSPORTE Y OTROS SISTEMAS DE GESTIÓN DE CALIDAD. CADENA PORCINA: MONTAJE DE 93 BIODIGESTORES , DOTACIÓN DE EQUIPOS E IMPLEMENTOS ( 84 NEVERAS PARA ALMACENAMIENTO DE SEMEN ) TALLERES DE CAPACITACIÓN BENEFICIANDO A 5.310 PORCICULTORES)"/>
    <n v="0"/>
    <m/>
    <n v="15000"/>
  </r>
  <r>
    <n v="364"/>
    <x v="1"/>
    <x v="12"/>
    <x v="13"/>
    <s v="PRODUCTIVIDAD AGROPECUARIA"/>
    <s v="IMPLEMENTAR 20 BANCOS DE MAQUINARIA Y EQUIPOS AGRÍCOLAS EN EL DEPARTAMENTO EN EL PERIODO DE GOBIERNO."/>
    <s v="NO DE BANCOS DE MAQUINARIA Y EQUIPOS AGRÍCOLAS IMPLEMENTADOS"/>
    <s v="BANCOS"/>
    <s v="I"/>
    <n v="60"/>
    <n v="80"/>
    <n v="20"/>
    <n v="0.16500000000000001"/>
    <n v="6.6000000000000003E-2"/>
    <n v="8"/>
    <n v="0.4"/>
    <n v="8"/>
    <n v="8"/>
    <n v="100"/>
    <n v="100"/>
    <n v="6.6000000000000003E-2"/>
    <n v="100"/>
    <n v="2930000000"/>
    <n v="2911000000"/>
    <n v="0"/>
    <n v="0"/>
    <n v="0"/>
    <n v="0"/>
    <n v="0"/>
    <n v="19000000"/>
    <n v="2805227000"/>
    <n v="2805227000"/>
    <n v="0"/>
    <n v="0"/>
    <n v="0"/>
    <n v="0"/>
    <n v="0"/>
    <n v="0"/>
    <n v="0"/>
    <n v="1822349000"/>
    <s v="FEDEPANELA , MINAGRICULTURA"/>
    <n v="4.1250000000000002E-2"/>
    <n v="5"/>
    <n v="0.25"/>
    <n v="5"/>
    <n v="5"/>
    <n v="100"/>
    <n v="100"/>
    <n v="4.1250000000000002E-2"/>
    <n v="100"/>
    <n v="776000000"/>
    <n v="0"/>
    <n v="776000000"/>
    <n v="0"/>
    <n v="0"/>
    <n v="0"/>
    <n v="0"/>
    <n v="0"/>
    <n v="1537807880"/>
    <n v="1537807880"/>
    <n v="0"/>
    <n v="0"/>
    <n v="0"/>
    <n v="0"/>
    <n v="0"/>
    <n v="0"/>
    <n v="0"/>
    <n v="73957313"/>
    <s v="FEDEPANELA-ASOCIACION COLOMBIANA DE PORCICULTORES"/>
    <n v="3.3000000000000002E-2"/>
    <n v="4"/>
    <n v="0.2"/>
    <n v="0"/>
    <n v="1"/>
    <n v="19"/>
    <n v="19"/>
    <n v="475"/>
    <n v="100"/>
    <n v="3.3000000000000002E-2"/>
    <n v="100"/>
    <n v="0.15675"/>
    <n v="2.4750000000000001E-2"/>
    <n v="3"/>
    <n v="0.15"/>
    <n v="3"/>
    <n v="0"/>
    <n v="3"/>
    <n v="100"/>
    <n v="100"/>
    <n v="2.4750000000000001E-2"/>
    <n v="2.4750000000000001E-2"/>
    <n v="823000000"/>
    <n v="823000000"/>
    <n v="0"/>
    <n v="0"/>
    <n v="0"/>
    <n v="0"/>
    <n v="0"/>
    <n v="0"/>
    <n v="0"/>
    <n v="0"/>
    <n v="0"/>
    <n v="0"/>
    <n v="0"/>
    <n v="0"/>
    <n v="0"/>
    <n v="0"/>
    <n v="0"/>
    <n v="0"/>
    <n v="0"/>
    <n v="35"/>
    <n v="0.16500000000000001"/>
    <n v="175"/>
    <n v="100"/>
    <n v="0.16500000000000001"/>
    <n v="0.16500000000000001"/>
    <n v="0.16500000000000001"/>
    <n v="1"/>
    <n v="0"/>
    <n v="359"/>
    <s v="ESPECIALIZAR Y/O RENOVAR EN CULTIVOS RELACIONADOS CON LAS CADENAS PRODUCTIVAS AGROPECUARIAS COMO MÍNIMO UN 5% (13.200 HAS) DEL TOTAL DE HECTÁREAS CULTIVADAS (264.098HAS). "/>
    <n v="360"/>
    <s v="INCREMENTAR EN 10% LAS TONELADAS ANUALES DE LA PRODUCCIÓN DE ALIMENTOS LLEGANDO A 4.400.000 TONELADAS PRODUCIDAS."/>
    <m/>
    <m/>
    <m/>
    <m/>
    <s v="ADQUISICIÓN DE MAQUINARIA Y EQUIPOS AGROPECUARIOS Y DE USO AGROINDUSTRIAL ( TRACTORES TERMOKINES, SILOS DE SECADO DE CAFÉ, ELEMENTOS Y EQUIPOS PARA EL PROCESAMIENTO DE CAÑA , PICADORAS DE FORRAJE ENTRE OTROS ) "/>
    <n v="0"/>
    <m/>
    <n v="100"/>
  </r>
  <r>
    <n v="365"/>
    <x v="1"/>
    <x v="12"/>
    <x v="13"/>
    <s v="FINANCIAMIENTO PARA EL SECTOR AGROPECUARIO"/>
    <s v="VINCULAR 6000 PRODUCTORES AL SISTEMA FINANCIERO AGROPECUARIO CON GARANTÍAS, E INCENTIVOS COMPLEMENTARIOS EN EL PERIODO DE GOBIERNO."/>
    <s v="NO DE PRODUCTORES VINCULADOS AL SISTEMA FINANCIERO AGROPECUARIO CON GARANTÍAS E INCENTIVOS."/>
    <s v="CREDITOS"/>
    <s v="I"/>
    <n v="11000"/>
    <n v="17000"/>
    <n v="6000"/>
    <n v="0.16500000000000001"/>
    <n v="4.1250000000000002E-2"/>
    <n v="1500"/>
    <n v="0.25"/>
    <n v="4960"/>
    <n v="4960"/>
    <n v="330.66666666666669"/>
    <n v="100"/>
    <n v="4.1250000000000002E-2"/>
    <n v="100"/>
    <n v="2036000000"/>
    <n v="2020000000"/>
    <n v="0"/>
    <n v="0"/>
    <n v="0"/>
    <n v="0"/>
    <n v="0"/>
    <n v="16000000"/>
    <n v="19990000"/>
    <n v="19990000"/>
    <n v="0"/>
    <n v="0"/>
    <n v="0"/>
    <n v="0"/>
    <n v="0"/>
    <n v="0"/>
    <n v="0"/>
    <n v="16180000"/>
    <s v="FINAGRO"/>
    <n v="4.1250000000000002E-2"/>
    <n v="1500"/>
    <n v="0.25"/>
    <n v="179"/>
    <n v="179"/>
    <n v="11.933333333333334"/>
    <n v="11.933333333333334"/>
    <n v="4.9224999999999998E-3"/>
    <n v="11.933333333333334"/>
    <n v="1940000000"/>
    <n v="0"/>
    <n v="1940000000"/>
    <n v="0"/>
    <n v="0"/>
    <n v="0"/>
    <n v="0"/>
    <n v="0"/>
    <n v="700000000"/>
    <n v="700000000"/>
    <n v="0"/>
    <n v="0"/>
    <n v="0"/>
    <n v="0"/>
    <n v="0"/>
    <n v="0"/>
    <n v="0"/>
    <n v="0"/>
    <n v="0"/>
    <n v="4.1250000000000002E-2"/>
    <n v="1500"/>
    <n v="0.25"/>
    <n v="0"/>
    <n v="0"/>
    <n v="838"/>
    <n v="838"/>
    <n v="55.866666666666667"/>
    <n v="55.866666666666667"/>
    <n v="2.3045E-2"/>
    <n v="55.866666666666667"/>
    <n v="2.3045E-2"/>
    <n v="4.1250000000000002E-2"/>
    <n v="1500"/>
    <n v="0.25"/>
    <n v="2628"/>
    <n v="-1128"/>
    <n v="2628"/>
    <n v="175.2"/>
    <n v="100"/>
    <n v="4.1250000000000002E-2"/>
    <n v="7.2270000000000001E-2"/>
    <n v="2058000000"/>
    <n v="2058000000"/>
    <n v="0"/>
    <n v="0"/>
    <n v="0"/>
    <n v="0"/>
    <n v="0"/>
    <n v="0"/>
    <n v="0"/>
    <n v="0"/>
    <n v="0"/>
    <n v="0"/>
    <n v="0"/>
    <n v="0"/>
    <n v="0"/>
    <n v="0"/>
    <n v="0"/>
    <n v="0"/>
    <n v="0"/>
    <n v="8605"/>
    <n v="0.16500000000000001"/>
    <n v="143.41666666666666"/>
    <n v="100"/>
    <n v="0.16500000000000001"/>
    <n v="0.16500000000000001"/>
    <n v="0.16500000000000001"/>
    <n v="1"/>
    <n v="0"/>
    <n v="359"/>
    <s v="ESPECIALIZAR Y/O RENOVAR EN CULTIVOS RELACIONADOS CON LAS CADENAS PRODUCTIVAS AGROPECUARIAS COMO MÍNIMO UN 5% (13.200 HAS) DEL TOTAL DE HECTÁREAS CULTIVADAS (264.098HAS). "/>
    <n v="360"/>
    <s v="INCREMENTAR EN 10% LAS TONELADAS ANUALES DE LA PRODUCCIÓN DE ALIMENTOS LLEGANDO A 4.400.000 TONELADAS PRODUCIDAS."/>
    <n v="375"/>
    <m/>
    <m/>
    <m/>
    <s v="7557 CRÉDITOS AGROPECUARIOS A PEQUEÑOS PRODUCTORES APOYADOS CON AVAL, ICRCUND Y SUBSIDIO A LA TASA ESTIMULANDO EL DESARROLLO ECONÓMICO."/>
    <n v="0"/>
    <m/>
    <n v="5"/>
  </r>
  <r>
    <n v="366"/>
    <x v="1"/>
    <x v="12"/>
    <x v="13"/>
    <s v="COMPETITIVIDAD AGROPECUARIA"/>
    <s v="POSICIONAR EN LOS MERCADOS REGIONALES Y NACIONALES 10 PRODUCTOS DE LAS CADENAS PRODUCTIVAS (LÁCTEOS, PORCÍCOLA CÁRNICOS, FRUTAS, PANELA, CAFÉ, PAPA, CACAO, CAUCHO Y HORTALIZAS) EN EL PERIODO DE GOBIERNO."/>
    <s v="NO DE PRODUCTOS POSICIONADOS EN MERCADOS REGIONALES Y NACIONALES DE LAS CADENAS PRODUCTIVAS."/>
    <s v="PRODUCTOS"/>
    <s v="I"/>
    <n v="5"/>
    <n v="15"/>
    <n v="10"/>
    <n v="0.25"/>
    <n v="0.05"/>
    <n v="2"/>
    <n v="0.2"/>
    <n v="4"/>
    <n v="4"/>
    <n v="200"/>
    <n v="100"/>
    <n v="0.05"/>
    <n v="100"/>
    <n v="402822000"/>
    <n v="322991000"/>
    <n v="0"/>
    <n v="0"/>
    <n v="0"/>
    <n v="0"/>
    <n v="0"/>
    <n v="79831000"/>
    <n v="941648000"/>
    <n v="941648000"/>
    <n v="0"/>
    <n v="0"/>
    <n v="0"/>
    <n v="0"/>
    <n v="0"/>
    <n v="0"/>
    <n v="0"/>
    <n v="300143000"/>
    <s v="FUNDACION EDUCATIVA PARA LA EQUIDAD Y EL DESARROLLO RURAL, FEDEPANELA, COOMUTSOA"/>
    <n v="7.4999999999999997E-2"/>
    <n v="3"/>
    <n v="0.3"/>
    <n v="3"/>
    <n v="3"/>
    <n v="100"/>
    <n v="100"/>
    <n v="7.4999999999999997E-2"/>
    <n v="100"/>
    <n v="485000000"/>
    <n v="0"/>
    <n v="485000000"/>
    <n v="0"/>
    <n v="0"/>
    <n v="0"/>
    <n v="0"/>
    <n v="0"/>
    <n v="1392194826"/>
    <n v="1392194826"/>
    <n v="0"/>
    <n v="0"/>
    <n v="0"/>
    <n v="0"/>
    <n v="0"/>
    <n v="0"/>
    <n v="0"/>
    <n v="371241972"/>
    <s v="SECRETARIA DE COMPETITIVIDAD - INTEGRACION REGIONAL-, SECRETARIA DE CIENCIA Y TECNOLOGIA- LICORERA DE CUNDINAMARCA - OTRAS EMPRESAS Y ENTES TERRITORIALES-MUNICIPIOS"/>
    <n v="7.4999999999999997E-2"/>
    <n v="3"/>
    <n v="0.3"/>
    <n v="2"/>
    <n v="16"/>
    <n v="3"/>
    <n v="3"/>
    <n v="100"/>
    <n v="100"/>
    <n v="7.4999999999999997E-2"/>
    <n v="100"/>
    <n v="7.4999999999999997E-2"/>
    <n v="0.05"/>
    <n v="2"/>
    <n v="0.2"/>
    <n v="2"/>
    <n v="0"/>
    <n v="2"/>
    <n v="100"/>
    <n v="100"/>
    <n v="0.05"/>
    <n v="0.05"/>
    <n v="514000000"/>
    <n v="514000000"/>
    <n v="0"/>
    <n v="0"/>
    <n v="0"/>
    <n v="0"/>
    <n v="0"/>
    <n v="0"/>
    <n v="0"/>
    <n v="0"/>
    <n v="0"/>
    <n v="0"/>
    <n v="0"/>
    <n v="0"/>
    <n v="0"/>
    <n v="0"/>
    <n v="0"/>
    <n v="0"/>
    <n v="0"/>
    <n v="12"/>
    <n v="0.25"/>
    <n v="120"/>
    <n v="100"/>
    <n v="0.25"/>
    <n v="0.25"/>
    <n v="0.25"/>
    <n v="1"/>
    <n v="0"/>
    <n v="359"/>
    <s v="ESPECIALIZAR Y/O RENOVAR EN CULTIVOS RELACIONADOS CON LAS CADENAS PRODUCTIVAS AGROPECUARIAS COMO MÍNIMO UN 5% (13.200 HAS) DEL TOTAL DE HECTÁREAS CULTIVADAS (264.098HAS). "/>
    <n v="360"/>
    <s v="INCREMENTAR EN 10% LAS TONELADAS ANUALES DE LA PRODUCCIÓN DE ALIMENTOS LLEGANDO A 4.400.000 TONELADAS PRODUCIDAS."/>
    <m/>
    <m/>
    <m/>
    <m/>
    <s v="APOYO A LOS PROGRAMAS DE COMERCIALIZACIÓN Y MERCADEO DE PRODUCTOS EN LOS 116 MUNICIPIOS DEL DEPARTAMENTO (APOYO A EVENTOS AGROPECUARIOS , PARTICIPACIÓN EN FERIAS NACIONALES, DOTACIÓN DE CANASTILLAS, CARPAS, EMPAQUES, EXPEDICIÓN DE REGISTROS INVIMA ENTRE OTROS) "/>
    <n v="0"/>
    <m/>
    <n v="1"/>
  </r>
  <r>
    <n v="367"/>
    <x v="1"/>
    <x v="12"/>
    <x v="13"/>
    <s v="COMPETITIVIDAD AGROPECUARIA"/>
    <s v="DESARROLLAR Y FORTALECER LAS CAPACIDADES EMPRESARIALES A 500 EMPRESAS DEL SECTOR AGROPECUARIO EN EL PERIODO DE GOBIERNO"/>
    <s v="NO DE EMPRESAS AGROPECUARIAS CON CAPACIDADES EMPRESARIALES DESARROLLADAS Y FORTALECIDAS."/>
    <s v="EMPRESAS"/>
    <s v="I"/>
    <n v="510"/>
    <n v="1010"/>
    <n v="500"/>
    <n v="0.16500000000000001"/>
    <n v="3.3000000000000002E-2"/>
    <n v="100"/>
    <n v="0.2"/>
    <n v="100"/>
    <n v="100"/>
    <n v="100"/>
    <n v="100"/>
    <n v="3.3000000000000002E-2"/>
    <n v="100"/>
    <n v="136000000"/>
    <n v="136000000"/>
    <n v="0"/>
    <n v="0"/>
    <n v="0"/>
    <n v="0"/>
    <n v="0"/>
    <n v="0"/>
    <n v="0"/>
    <n v="0"/>
    <n v="0"/>
    <n v="0"/>
    <n v="0"/>
    <n v="0"/>
    <n v="0"/>
    <n v="0"/>
    <n v="0"/>
    <n v="0"/>
    <n v="0"/>
    <n v="4.9500000000000002E-2"/>
    <n v="150"/>
    <n v="0.3"/>
    <n v="124"/>
    <n v="124"/>
    <n v="82.666666666666671"/>
    <n v="82.666666666666671"/>
    <n v="4.0920000000000005E-2"/>
    <n v="82.666666666666671"/>
    <n v="146000000"/>
    <n v="0"/>
    <n v="146000000"/>
    <n v="0"/>
    <n v="0"/>
    <n v="0"/>
    <n v="0"/>
    <n v="0"/>
    <n v="79298000"/>
    <n v="79298000"/>
    <n v="0"/>
    <n v="0"/>
    <n v="0"/>
    <n v="0"/>
    <n v="0"/>
    <n v="0"/>
    <n v="0"/>
    <n v="7450000"/>
    <s v="FEDEPANELA"/>
    <n v="3.3000000000000002E-2"/>
    <n v="100"/>
    <n v="0.2"/>
    <n v="1"/>
    <n v="0"/>
    <n v="82"/>
    <n v="82"/>
    <n v="82"/>
    <n v="82"/>
    <n v="2.7060000000000001E-2"/>
    <n v="82"/>
    <n v="2.7060000000000001E-2"/>
    <n v="4.9500000000000002E-2"/>
    <n v="150"/>
    <n v="0.3"/>
    <n v="194"/>
    <n v="-44"/>
    <n v="194"/>
    <n v="129.33333333333334"/>
    <n v="100"/>
    <n v="4.9500000000000002E-2"/>
    <n v="6.4020000000000007E-2"/>
    <n v="155000000"/>
    <n v="155000000"/>
    <n v="0"/>
    <n v="0"/>
    <n v="0"/>
    <n v="0"/>
    <n v="0"/>
    <n v="0"/>
    <n v="0"/>
    <n v="0"/>
    <n v="0"/>
    <n v="0"/>
    <n v="0"/>
    <n v="0"/>
    <n v="0"/>
    <n v="0"/>
    <n v="0"/>
    <n v="0"/>
    <n v="0"/>
    <n v="500"/>
    <n v="0.16500000000000001"/>
    <n v="100"/>
    <n v="100"/>
    <n v="0.16500000000000001"/>
    <n v="0.16500000000000001"/>
    <n v="0.16500000000000001"/>
    <n v="1"/>
    <n v="0"/>
    <n v="359"/>
    <s v="ESPECIALIZAR Y/O RENOVAR EN CULTIVOS RELACIONADOS CON LAS CADENAS PRODUCTIVAS AGROPECUARIAS COMO MÍNIMO UN 5% (13.200 HAS) DEL TOTAL DE HECTÁREAS CULTIVADAS (264.098HAS). "/>
    <n v="360"/>
    <s v="INCREMENTAR EN 10% LAS TONELADAS ANUALES DE LA PRODUCCIÓN DE ALIMENTOS LLEGANDO A 4.400.000 TONELADAS PRODUCIDAS."/>
    <m/>
    <m/>
    <m/>
    <m/>
    <s v="346 EMPRESAS AGROPECUARIAS APOYADAS CON DOTACIÓN DE MAQUINARIA Y EQUIPOS , CAPACITACIÓN , LEGALIZACIÓN TRIBUTARIA , EXPEDICIÓN DE REGISTROS INVIMA "/>
    <n v="0"/>
    <m/>
    <n v="0"/>
  </r>
  <r>
    <n v="368"/>
    <x v="1"/>
    <x v="12"/>
    <x v="13"/>
    <s v="DESARROLLO TECNOLÓGICO, TRANSFERENCIA DE TECNOLOGÍA, ASISTENCIA TÉCNICA Y PLANIFICACIÓN AGROPECUARIA"/>
    <s v="CONSOLIDAR UNA EVALUACIÓN AGROPECUARIA ANUAL DE LOS 116 MUNICIPIOS EN COORDINACIÓN CON LAS EPSAGRO, MINISTERIO DE AGRICULTURA Y DESARROLLO RURAL Y CON PUBLICACIÓN ANUAL"/>
    <s v="NO DE EVALUACIONES AGROPECUARIAS CONSOLIDADAS Y PUBLICADAS EN EL AÑO"/>
    <s v="EVALUACIONES"/>
    <s v="I"/>
    <n v="21"/>
    <n v="25"/>
    <n v="4"/>
    <n v="8.8999999999999996E-2"/>
    <n v="2.2249999999999999E-2"/>
    <n v="1"/>
    <n v="0.25"/>
    <n v="1"/>
    <n v="1"/>
    <n v="100"/>
    <n v="100"/>
    <n v="2.2250000000000002E-2"/>
    <n v="100"/>
    <n v="0"/>
    <n v="0"/>
    <n v="0"/>
    <n v="0"/>
    <n v="0"/>
    <n v="0"/>
    <n v="0"/>
    <n v="0"/>
    <n v="0"/>
    <n v="0"/>
    <n v="0"/>
    <n v="0"/>
    <n v="0"/>
    <n v="0"/>
    <n v="0"/>
    <n v="0"/>
    <n v="0"/>
    <n v="0"/>
    <n v="0"/>
    <n v="2.2249999999999999E-2"/>
    <n v="1"/>
    <n v="0.25"/>
    <n v="0"/>
    <n v="0"/>
    <n v="0"/>
    <n v="0"/>
    <n v="0"/>
    <n v="0"/>
    <n v="122000000"/>
    <n v="0"/>
    <n v="97000000"/>
    <n v="0"/>
    <n v="0"/>
    <n v="0"/>
    <n v="0"/>
    <n v="25000000"/>
    <n v="0"/>
    <n v="0"/>
    <n v="0"/>
    <n v="0"/>
    <n v="0"/>
    <n v="0"/>
    <n v="0"/>
    <n v="0"/>
    <n v="0"/>
    <n v="0"/>
    <n v="0"/>
    <n v="2.2249999999999999E-2"/>
    <n v="1"/>
    <n v="0.25"/>
    <n v="0"/>
    <n v="0"/>
    <n v="1"/>
    <n v="1"/>
    <n v="100"/>
    <n v="100"/>
    <n v="2.2250000000000002E-2"/>
    <n v="100"/>
    <n v="2.2250000000000002E-2"/>
    <n v="2.2249999999999999E-2"/>
    <n v="1"/>
    <n v="0.25"/>
    <n v="2"/>
    <n v="-1"/>
    <n v="2"/>
    <n v="200"/>
    <n v="100"/>
    <n v="2.2250000000000002E-2"/>
    <n v="4.4500000000000005E-2"/>
    <n v="128000000"/>
    <n v="103000000"/>
    <n v="0"/>
    <n v="0"/>
    <n v="0"/>
    <n v="0"/>
    <n v="0"/>
    <n v="25000000"/>
    <n v="0"/>
    <n v="0"/>
    <n v="0"/>
    <n v="0"/>
    <n v="0"/>
    <n v="0"/>
    <n v="0"/>
    <n v="0"/>
    <n v="0"/>
    <n v="0"/>
    <n v="0"/>
    <n v="4"/>
    <n v="8.8999999999999996E-2"/>
    <n v="100"/>
    <n v="100"/>
    <n v="8.900000000000001E-2"/>
    <n v="8.8999999999999996E-2"/>
    <n v="8.8999999999999996E-2"/>
    <n v="1"/>
    <n v="0"/>
    <n v="360"/>
    <s v="INCREMENTAR EN 10% LAS TONELADAS ANUALES DE LA PRODUCCIÓN DE ALIMENTOS LLEGANDO A 4.400.000 TONELADAS PRODUCIDAS."/>
    <m/>
    <s v=""/>
    <m/>
    <m/>
    <m/>
    <m/>
    <s v="ESTADÍSTICAS AGROPECUARIAS IMPRESAS DE LAS VIGENCIAS 2011-2012-2013-2014 COMO HERRAMIENTA DE PLANIFICACIÓN PARA LOS 116 MUNICIPIOS DE DEPARTAMENTO."/>
    <n v="0"/>
    <m/>
    <n v="0"/>
  </r>
  <r>
    <n v="369"/>
    <x v="1"/>
    <x v="12"/>
    <x v="13"/>
    <s v="DESARROLLO TECNOLÓGICO, TRANSFERENCIA DE TECNOLOGÍA, ASISTENCIA TÉCNICA Y PLANIFICACIÓN AGROPECUARIA"/>
    <s v="DESARROLLAR TRES (3) INSTRUMENTOS DE PLANIFICACIÓN AGROPECUARIA IMPLEMENTADOS Y SOCIALIZADOS (USO ACTUAL DEL SUELO - CONFLICTO POR USO DEL SUELO Y ZONIFICACIÓN DE CADENAS PRODUCTIVAS) EN EL PERIODO DE GOBIERNO"/>
    <s v="NO DE INSTRUMENTOS DE PLANIFICACIÓN AGROPECUARIA DESARROLLADOS E IMPLEMENTADOS"/>
    <s v="INSTRUMENTOS"/>
    <s v="I"/>
    <n v="0"/>
    <n v="3"/>
    <n v="3"/>
    <n v="0.16500000000000001"/>
    <n v="0"/>
    <n v="0"/>
    <n v="0"/>
    <n v="0"/>
    <n v="0"/>
    <n v="0"/>
    <n v="0"/>
    <n v="0"/>
    <n v="0"/>
    <n v="0"/>
    <n v="0"/>
    <n v="0"/>
    <n v="0"/>
    <n v="0"/>
    <n v="0"/>
    <n v="0"/>
    <n v="0"/>
    <n v="0"/>
    <n v="0"/>
    <n v="0"/>
    <n v="0"/>
    <n v="0"/>
    <n v="0"/>
    <n v="0"/>
    <n v="0"/>
    <n v="0"/>
    <n v="0"/>
    <n v="0"/>
    <n v="5.5E-2"/>
    <n v="1"/>
    <n v="0.33333333333333331"/>
    <n v="0"/>
    <n v="0"/>
    <n v="0"/>
    <n v="0"/>
    <n v="0"/>
    <n v="0"/>
    <n v="291000000"/>
    <n v="0"/>
    <n v="291000000"/>
    <n v="0"/>
    <n v="0"/>
    <n v="0"/>
    <n v="0"/>
    <n v="0"/>
    <n v="0"/>
    <n v="0"/>
    <n v="0"/>
    <n v="0"/>
    <n v="0"/>
    <n v="0"/>
    <n v="0"/>
    <n v="0"/>
    <n v="0"/>
    <n v="0"/>
    <n v="0"/>
    <n v="5.5E-2"/>
    <n v="1"/>
    <n v="0.33333333333333331"/>
    <n v="0"/>
    <n v="0"/>
    <n v="1"/>
    <n v="1"/>
    <n v="100"/>
    <n v="100"/>
    <n v="5.5E-2"/>
    <n v="100"/>
    <n v="5.5E-2"/>
    <n v="5.5E-2"/>
    <n v="1"/>
    <n v="0.33333333333333331"/>
    <n v="2"/>
    <n v="-1"/>
    <n v="2"/>
    <n v="200"/>
    <n v="100"/>
    <n v="5.5E-2"/>
    <n v="0.11"/>
    <n v="308000000"/>
    <n v="308000000"/>
    <n v="0"/>
    <n v="0"/>
    <n v="0"/>
    <n v="0"/>
    <n v="0"/>
    <n v="0"/>
    <n v="0"/>
    <n v="0"/>
    <n v="0"/>
    <n v="0"/>
    <n v="0"/>
    <n v="0"/>
    <n v="0"/>
    <n v="0"/>
    <n v="0"/>
    <n v="0"/>
    <n v="0"/>
    <n v="3"/>
    <n v="0.16500000000000001"/>
    <n v="100"/>
    <n v="100"/>
    <n v="0.16500000000000001"/>
    <n v="0.16500000000000001"/>
    <n v="0.16500000000000001"/>
    <n v="1"/>
    <n v="0"/>
    <n v="359"/>
    <s v="ESPECIALIZAR Y/O RENOVAR EN CULTIVOS RELACIONADOS CON LAS CADENAS PRODUCTIVAS AGROPECUARIAS COMO MÍNIMO UN 5% (13.200 HAS) DEL TOTAL DE HECTÁREAS CULTIVADAS (264.098HAS). "/>
    <m/>
    <s v=""/>
    <m/>
    <m/>
    <m/>
    <m/>
    <s v="IMPLEMENTACIÓN DE 3 INSTRUMENTOS DE PLANIFICACIÓN QUE PERMITE UN MEJOR Y ADECUADO MANEJO DE PROGRAMAS DE FERTILIZACIÓN , PLANIFICACIÓN QUE PERMITEN MEJORAR LOS ÍNDICES DE PRODUCCIÓN. "/>
    <n v="0"/>
    <m/>
    <n v="630"/>
  </r>
  <r>
    <n v="370"/>
    <x v="1"/>
    <x v="12"/>
    <x v="13"/>
    <s v="DESARROLLO TECNOLÓGICO, TRANSFERENCIA DE TECNOLOGÍA, ASISTENCIA TÉCNICA Y PLANIFICACIÓN AGROPECUARIA"/>
    <s v="IMPLEMENTAR, OPERATIVIZAR, FORTALECER, SEGUIR Y EVALUAR EL SERVICIO PÚBLICO DE ASISTENCIA TÉCNICA DIRECTA RURAL AGROPECUARIA EN LOS 116 MUNICIPIOS"/>
    <s v="NO DE MUNICIPIOS IMPLEMENTADOS, OPERATIVIZADOS, FORTALECIDOS Y CON SEGUIMIENTO Y EVALUACIÓN CON ASISTENCIA TÉCNICA"/>
    <s v="MUNICIPIOS"/>
    <s v="M"/>
    <n v="116"/>
    <n v="116"/>
    <n v="116"/>
    <n v="0.16500000000000001"/>
    <n v="4.1250000000000002E-2"/>
    <n v="116"/>
    <n v="0.25"/>
    <n v="116"/>
    <n v="29"/>
    <n v="100"/>
    <n v="100"/>
    <n v="4.1250000000000002E-2"/>
    <n v="100"/>
    <n v="750000000"/>
    <n v="750000000"/>
    <n v="0"/>
    <n v="0"/>
    <n v="0"/>
    <n v="0"/>
    <n v="0"/>
    <n v="0"/>
    <n v="380175000"/>
    <n v="380175000"/>
    <n v="0"/>
    <n v="0"/>
    <n v="0"/>
    <n v="0"/>
    <n v="0"/>
    <n v="0"/>
    <n v="0"/>
    <n v="2400903000"/>
    <s v="MINAGRICULTURA, MUNICIPIOS"/>
    <n v="4.1250000000000002E-2"/>
    <n v="116"/>
    <n v="0.25"/>
    <n v="116"/>
    <n v="29"/>
    <n v="100"/>
    <n v="100"/>
    <n v="4.1250000000000002E-2"/>
    <n v="100"/>
    <n v="679000000"/>
    <n v="0"/>
    <n v="679000000"/>
    <n v="0"/>
    <n v="0"/>
    <n v="0"/>
    <n v="0"/>
    <n v="0"/>
    <n v="635264080"/>
    <n v="635264080"/>
    <n v="0"/>
    <n v="0"/>
    <n v="0"/>
    <n v="0"/>
    <n v="0"/>
    <n v="0"/>
    <n v="0"/>
    <n v="5277391318"/>
    <s v="MINISTERIO DE AGRICULTURA Y MUNICIPIOS "/>
    <n v="4.1250000000000002E-2"/>
    <n v="116"/>
    <n v="0.25"/>
    <n v="35"/>
    <n v="58"/>
    <n v="116"/>
    <n v="29"/>
    <n v="100"/>
    <n v="100"/>
    <n v="4.1250000000000002E-2"/>
    <n v="100"/>
    <n v="4.1250000000000002E-2"/>
    <n v="4.1250000000000002E-2"/>
    <n v="116"/>
    <n v="0.25"/>
    <n v="116"/>
    <n v="0"/>
    <n v="29"/>
    <n v="100"/>
    <n v="100"/>
    <n v="4.1250000000000002E-2"/>
    <n v="4.1250000000000002E-2"/>
    <n v="720000000"/>
    <n v="720000000"/>
    <n v="0"/>
    <n v="0"/>
    <n v="0"/>
    <n v="0"/>
    <n v="0"/>
    <n v="0"/>
    <n v="0"/>
    <n v="0"/>
    <n v="0"/>
    <n v="0"/>
    <n v="0"/>
    <n v="0"/>
    <n v="0"/>
    <n v="0"/>
    <n v="0"/>
    <n v="0"/>
    <n v="0"/>
    <n v="116"/>
    <n v="0.16500000000000001"/>
    <n v="100"/>
    <n v="100"/>
    <n v="0.16500000000000001"/>
    <n v="0.16500000000000001"/>
    <n v="0.16500000000000001"/>
    <n v="1"/>
    <n v="0"/>
    <n v="359"/>
    <s v="ESPECIALIZAR Y/O RENOVAR EN CULTIVOS RELACIONADOS CON LAS CADENAS PRODUCTIVAS AGROPECUARIAS COMO MÍNIMO UN 5% (13.200 HAS) DEL TOTAL DE HECTÁREAS CULTIVADAS (264.098HAS). "/>
    <n v="360"/>
    <s v="INCREMENTAR EN 10% LAS TONELADAS ANUALES DE LA PRODUCCIÓN DE ALIMENTOS LLEGANDO A 4.400.000 TONELADAS PRODUCIDAS."/>
    <m/>
    <m/>
    <m/>
    <m/>
    <s v="COBERTURA A LAS 116 UMATAS CON LA DOTACIÓN DE MOTOCICLETAS COMO APOYO A MEJORAR LA PRESTACIÓN DEL SERVICIO DE ASISTENCIA TÉCNICA LOCAL IGUALMENTE SE DOTARON DE EQUIPOS AGROPECUARIOS"/>
    <n v="0"/>
    <m/>
    <n v="100"/>
  </r>
  <r>
    <n v="371"/>
    <x v="1"/>
    <x v="12"/>
    <x v="13"/>
    <s v="DESARROLLO TECNOLÓGICO, TRANSFERENCIA DE TECNOLOGÍA, ASISTENCIA TÉCNICA Y PLANIFICACIÓN AGROPECUARIA"/>
    <s v="IMPLEMENTAR 200 MODELOS INTEGRALES PARA EL FORTALECIMIENTO DEL SERVICIO DE ASISTENCIA TÉCNICA DIRECTA RURAL AGROPECUARIA"/>
    <s v="NO DE MODELOS INTEGRALES IMPLEMENTADOS"/>
    <s v="MODELOS"/>
    <s v="I"/>
    <n v="800"/>
    <n v="1000"/>
    <n v="200"/>
    <n v="0.16500000000000001"/>
    <n v="4.1250000000000002E-2"/>
    <n v="50"/>
    <n v="0.25"/>
    <n v="99"/>
    <n v="99"/>
    <n v="198"/>
    <n v="100"/>
    <n v="4.1250000000000002E-2"/>
    <n v="100"/>
    <n v="125000000"/>
    <n v="110000000"/>
    <n v="0"/>
    <n v="0"/>
    <n v="0"/>
    <n v="0"/>
    <n v="0"/>
    <n v="15000000"/>
    <n v="110000000"/>
    <n v="110000000"/>
    <n v="0"/>
    <n v="0"/>
    <n v="0"/>
    <n v="0"/>
    <n v="0"/>
    <n v="0"/>
    <n v="0"/>
    <n v="15000000"/>
    <s v="FUNDACION ESPELETIA"/>
    <n v="4.1250000000000002E-2"/>
    <n v="50"/>
    <n v="0.25"/>
    <n v="66"/>
    <n v="66"/>
    <n v="132"/>
    <n v="100"/>
    <n v="4.1250000000000002E-2"/>
    <n v="100"/>
    <n v="242000000"/>
    <n v="0"/>
    <n v="242000000"/>
    <n v="0"/>
    <n v="0"/>
    <n v="0"/>
    <n v="0"/>
    <n v="0"/>
    <n v="0"/>
    <n v="0"/>
    <n v="0"/>
    <n v="0"/>
    <n v="0"/>
    <n v="0"/>
    <n v="0"/>
    <n v="0"/>
    <n v="0"/>
    <n v="0"/>
    <n v="0"/>
    <n v="4.1250000000000002E-2"/>
    <n v="50"/>
    <n v="0.25"/>
    <n v="45"/>
    <n v="0"/>
    <n v="66"/>
    <n v="66"/>
    <n v="132"/>
    <n v="100"/>
    <n v="4.1250000000000002E-2"/>
    <n v="100"/>
    <n v="5.4450000000000005E-2"/>
    <n v="4.1250000000000002E-2"/>
    <n v="50"/>
    <n v="0.25"/>
    <n v="0"/>
    <n v="50"/>
    <n v="0"/>
    <n v="0"/>
    <n v="0"/>
    <n v="0"/>
    <n v="0"/>
    <n v="257000000"/>
    <n v="257000000"/>
    <n v="0"/>
    <n v="0"/>
    <n v="0"/>
    <n v="0"/>
    <n v="0"/>
    <n v="0"/>
    <n v="0"/>
    <n v="0"/>
    <n v="0"/>
    <n v="0"/>
    <n v="0"/>
    <n v="0"/>
    <n v="0"/>
    <n v="0"/>
    <n v="0"/>
    <n v="0"/>
    <n v="0"/>
    <n v="231"/>
    <n v="0.16500000000000001"/>
    <n v="115.5"/>
    <n v="100"/>
    <n v="0.16500000000000001"/>
    <n v="0.16500000000000001"/>
    <n v="0.16500000000000001"/>
    <n v="1"/>
    <n v="0"/>
    <n v="359"/>
    <s v="ESPECIALIZAR Y/O RENOVAR EN CULTIVOS RELACIONADOS CON LAS CADENAS PRODUCTIVAS AGROPECUARIAS COMO MÍNIMO UN 5% (13.200 HAS) DEL TOTAL DE HECTÁREAS CULTIVADAS (264.098HAS). "/>
    <n v="360"/>
    <s v="INCREMENTAR EN 10% LAS TONELADAS ANUALES DE LA PRODUCCIÓN DE ALIMENTOS LLEGANDO A 4.400.000 TONELADAS PRODUCIDAS."/>
    <m/>
    <m/>
    <m/>
    <m/>
    <s v="ESTABLECIMIENTO DE 231 MODELOS PRODUCTIVOS EN LAS CADENAS DE CAÑA PANELERA Y FRUTALES A TRAVÉS DE LA METODOLOGÍA DE ESCUELAS DE CAMPO (ECAS)"/>
    <n v="0"/>
    <m/>
    <n v="5"/>
  </r>
  <r>
    <n v="372"/>
    <x v="1"/>
    <x v="12"/>
    <x v="13"/>
    <s v="DESARROLLO TECNOLÓGICO, TRANSFERENCIA DE TECNOLOGÍA, ASISTENCIA TÉCNICA Y PLANIFICACIÓN AGROPECUARIA"/>
    <s v="INCORPORAR EL SERVICIO PÚBLICO DE ASISTENCIA TÉCNICA AGROPECUARIA A LOS PROGRAMAS DE INNOVACIÓN, CIENCIA Y TECNOLOGÍA"/>
    <s v="NO DE EPSA ACREDITADAS"/>
    <s v="MUNICIPIOS"/>
    <s v="M"/>
    <n v="116"/>
    <n v="116"/>
    <n v="116"/>
    <n v="0.16500000000000001"/>
    <n v="4.1250000000000002E-2"/>
    <n v="116"/>
    <n v="0.25"/>
    <n v="116"/>
    <n v="29"/>
    <n v="100"/>
    <n v="100"/>
    <n v="4.1250000000000002E-2"/>
    <n v="100"/>
    <n v="0"/>
    <n v="0"/>
    <n v="0"/>
    <n v="0"/>
    <n v="0"/>
    <n v="0"/>
    <n v="0"/>
    <n v="0"/>
    <n v="0"/>
    <n v="0"/>
    <n v="0"/>
    <n v="0"/>
    <n v="0"/>
    <n v="0"/>
    <n v="0"/>
    <n v="0"/>
    <n v="0"/>
    <n v="0"/>
    <n v="0"/>
    <n v="4.1250000000000002E-2"/>
    <n v="116"/>
    <n v="0.25"/>
    <n v="116"/>
    <n v="29"/>
    <n v="100"/>
    <n v="100"/>
    <n v="4.1250000000000002E-2"/>
    <n v="100"/>
    <n v="97000000"/>
    <n v="0"/>
    <n v="97000000"/>
    <n v="0"/>
    <n v="0"/>
    <n v="0"/>
    <n v="0"/>
    <n v="0"/>
    <n v="0"/>
    <n v="0"/>
    <n v="0"/>
    <n v="0"/>
    <n v="0"/>
    <n v="0"/>
    <n v="0"/>
    <n v="0"/>
    <n v="0"/>
    <n v="0"/>
    <n v="0"/>
    <n v="4.1250000000000002E-2"/>
    <n v="116"/>
    <n v="0.25"/>
    <n v="0"/>
    <n v="0"/>
    <n v="116"/>
    <n v="29"/>
    <n v="100"/>
    <n v="100"/>
    <n v="4.1250000000000002E-2"/>
    <n v="100"/>
    <n v="4.1250000000000002E-2"/>
    <n v="4.1250000000000002E-2"/>
    <n v="116"/>
    <n v="0.25"/>
    <n v="116"/>
    <n v="0"/>
    <n v="29"/>
    <n v="100"/>
    <n v="100"/>
    <n v="4.1250000000000002E-2"/>
    <n v="4.1250000000000002E-2"/>
    <n v="103000000"/>
    <n v="103000000"/>
    <n v="0"/>
    <n v="0"/>
    <n v="0"/>
    <n v="0"/>
    <n v="0"/>
    <n v="0"/>
    <n v="0"/>
    <n v="0"/>
    <n v="0"/>
    <n v="0"/>
    <n v="0"/>
    <n v="0"/>
    <n v="0"/>
    <n v="0"/>
    <n v="0"/>
    <n v="0"/>
    <n v="0"/>
    <n v="116"/>
    <n v="0.16500000000000001"/>
    <n v="100"/>
    <n v="100"/>
    <n v="0.16500000000000001"/>
    <n v="0.16500000000000001"/>
    <n v="0.16500000000000001"/>
    <n v="1"/>
    <n v="0"/>
    <n v="359"/>
    <s v="ESPECIALIZAR Y/O RENOVAR EN CULTIVOS RELACIONADOS CON LAS CADENAS PRODUCTIVAS AGROPECUARIAS COMO MÍNIMO UN 5% (13.200 HAS) DEL TOTAL DE HECTÁREAS CULTIVADAS (264.098HAS). "/>
    <m/>
    <s v=""/>
    <m/>
    <m/>
    <m/>
    <m/>
    <s v="LA SECRETARIA HA INCORPORADO A LAS 116 UMATAS/EPSAGROS A PROGRAMAS DE INNOVACIÓN ,CIENCIA Y TECNOLOGÍA( A TRAVÉS DE LAS CONVOCATORIAS)"/>
    <n v="0"/>
    <m/>
    <n v="0"/>
  </r>
  <r>
    <n v="373"/>
    <x v="1"/>
    <x v="12"/>
    <x v="13"/>
    <s v="DESARROLLO TECNOLÓGICO, TRANSFERENCIA DE TECNOLOGÍA, ASISTENCIA TÉCNICA Y PLANIFICACIÓN AGROPECUARIA"/>
    <s v="1 SISTEMA DE INFORMACIÓN AGROPECUARIO AL SERVICIO DEL SECTOR"/>
    <s v="NO SISTEMAS DE INFORMACIÓN AGROPECUARIA EN SERVICIO."/>
    <s v="SISTEMAS"/>
    <s v="M"/>
    <n v="1"/>
    <n v="1"/>
    <n v="1"/>
    <n v="0.16500000000000001"/>
    <n v="4.1250000000000002E-2"/>
    <n v="1"/>
    <n v="0.25"/>
    <n v="1"/>
    <n v="0.25"/>
    <n v="100"/>
    <n v="100"/>
    <n v="4.1250000000000002E-2"/>
    <n v="100"/>
    <n v="0"/>
    <n v="0"/>
    <n v="0"/>
    <n v="0"/>
    <n v="0"/>
    <n v="0"/>
    <n v="0"/>
    <n v="0"/>
    <n v="0"/>
    <n v="0"/>
    <n v="0"/>
    <n v="0"/>
    <n v="0"/>
    <n v="0"/>
    <n v="0"/>
    <n v="0"/>
    <n v="0"/>
    <n v="0"/>
    <n v="0"/>
    <n v="4.1250000000000002E-2"/>
    <n v="1"/>
    <n v="0.25"/>
    <n v="1"/>
    <n v="0.25"/>
    <n v="100"/>
    <n v="100"/>
    <n v="4.1250000000000002E-2"/>
    <n v="100"/>
    <n v="0"/>
    <n v="0"/>
    <n v="0"/>
    <n v="0"/>
    <n v="0"/>
    <n v="0"/>
    <n v="0"/>
    <n v="0"/>
    <n v="0"/>
    <n v="0"/>
    <n v="0"/>
    <n v="0"/>
    <n v="0"/>
    <n v="0"/>
    <n v="0"/>
    <n v="0"/>
    <n v="0"/>
    <n v="0"/>
    <n v="0"/>
    <n v="4.1250000000000002E-2"/>
    <n v="1"/>
    <n v="0.25"/>
    <n v="0"/>
    <n v="0"/>
    <n v="1"/>
    <n v="0.25"/>
    <n v="100"/>
    <n v="100"/>
    <n v="4.1250000000000002E-2"/>
    <n v="100"/>
    <n v="4.1250000000000002E-2"/>
    <n v="4.1250000000000002E-2"/>
    <n v="1"/>
    <n v="0.25"/>
    <n v="1"/>
    <n v="0"/>
    <n v="0.25"/>
    <n v="100"/>
    <n v="100"/>
    <n v="4.1250000000000002E-2"/>
    <n v="4.1250000000000002E-2"/>
    <n v="0"/>
    <n v="0"/>
    <n v="0"/>
    <n v="0"/>
    <n v="0"/>
    <n v="0"/>
    <n v="0"/>
    <n v="0"/>
    <n v="0"/>
    <n v="0"/>
    <n v="0"/>
    <n v="0"/>
    <n v="0"/>
    <n v="0"/>
    <n v="0"/>
    <n v="0"/>
    <n v="0"/>
    <n v="0"/>
    <n v="0"/>
    <n v="1"/>
    <n v="0.16500000000000001"/>
    <n v="100"/>
    <n v="100"/>
    <n v="0.16500000000000001"/>
    <n v="0.16500000000000001"/>
    <n v="0.16500000000000001"/>
    <n v="1"/>
    <n v="0"/>
    <n v="359"/>
    <s v="ESPECIALIZAR Y/O RENOVAR EN CULTIVOS RELACIONADOS CON LAS CADENAS PRODUCTIVAS AGROPECUARIAS COMO MÍNIMO UN 5% (13.200 HAS) DEL TOTAL DE HECTÁREAS CULTIVADAS (264.098HAS). "/>
    <m/>
    <s v=""/>
    <m/>
    <m/>
    <m/>
    <m/>
    <s v="UN SISTEMA DE INFORMACIÓN AL SERVICIO DE LAS 116 UMATAS, ASOCIACIONES DEL SECTOR AGROPECUARIO Y7O ENTIDAD QUE LO REQUIERA 373"/>
    <n v="300000000"/>
    <m/>
    <n v="684"/>
  </r>
  <r>
    <n v="374"/>
    <x v="1"/>
    <x v="12"/>
    <x v="13"/>
    <s v="DESARROLLO TECNOLÓGICO, TRANSFERENCIA DE TECNOLOGÍA, ASISTENCIA TÉCNICA Y PLANIFICACIÓN AGROPECUARIA"/>
    <s v="116 MUNICIPIOS ARTICULADOS AL SERVICIO PÚBLICO DE ASISTENCIA TÉCNICA AGROPECUARIA A LOS PROGRAMAS DE SOSTENIBILIDAD EN EL DEPARTAMENTO"/>
    <s v="NO DE MUNICIPIOS ARTICULADOS"/>
    <s v="MUNICIPIOS"/>
    <s v="M"/>
    <n v="50"/>
    <n v="116"/>
    <n v="116"/>
    <n v="0.16500000000000001"/>
    <n v="4.1250000000000002E-2"/>
    <n v="116"/>
    <n v="0.25"/>
    <n v="116"/>
    <n v="29"/>
    <n v="100"/>
    <n v="100"/>
    <n v="4.1250000000000002E-2"/>
    <n v="100"/>
    <n v="0"/>
    <n v="0"/>
    <n v="0"/>
    <n v="0"/>
    <n v="0"/>
    <n v="0"/>
    <n v="0"/>
    <n v="0"/>
    <n v="0"/>
    <n v="0"/>
    <n v="0"/>
    <n v="0"/>
    <n v="0"/>
    <n v="0"/>
    <n v="0"/>
    <n v="0"/>
    <n v="0"/>
    <n v="0"/>
    <n v="0"/>
    <n v="4.1250000000000002E-2"/>
    <n v="116"/>
    <n v="0.25"/>
    <n v="116"/>
    <n v="29"/>
    <n v="100"/>
    <n v="100"/>
    <n v="4.1250000000000002E-2"/>
    <n v="100"/>
    <n v="0"/>
    <n v="0"/>
    <n v="0"/>
    <n v="0"/>
    <n v="0"/>
    <n v="0"/>
    <n v="0"/>
    <n v="0"/>
    <n v="0"/>
    <n v="0"/>
    <n v="0"/>
    <n v="0"/>
    <n v="0"/>
    <n v="0"/>
    <n v="0"/>
    <n v="0"/>
    <n v="0"/>
    <n v="0"/>
    <n v="0"/>
    <n v="4.1250000000000002E-2"/>
    <n v="116"/>
    <n v="0.25"/>
    <n v="0"/>
    <n v="0"/>
    <n v="116"/>
    <n v="29"/>
    <n v="100"/>
    <n v="100"/>
    <n v="4.1250000000000002E-2"/>
    <n v="100"/>
    <n v="4.1250000000000002E-2"/>
    <n v="4.1250000000000002E-2"/>
    <n v="116"/>
    <n v="0.25"/>
    <n v="116"/>
    <n v="0"/>
    <n v="29"/>
    <n v="100"/>
    <n v="100"/>
    <n v="4.1250000000000002E-2"/>
    <n v="4.1250000000000002E-2"/>
    <n v="0"/>
    <n v="0"/>
    <n v="0"/>
    <n v="0"/>
    <n v="0"/>
    <n v="0"/>
    <n v="0"/>
    <n v="0"/>
    <n v="0"/>
    <n v="0"/>
    <n v="0"/>
    <n v="0"/>
    <n v="0"/>
    <n v="0"/>
    <n v="0"/>
    <n v="0"/>
    <n v="0"/>
    <n v="0"/>
    <n v="0"/>
    <n v="116"/>
    <n v="0.16500000000000001"/>
    <n v="100"/>
    <n v="100"/>
    <n v="0.16500000000000001"/>
    <n v="0.16500000000000001"/>
    <n v="0.16500000000000001"/>
    <n v="1"/>
    <n v="0"/>
    <n v="359"/>
    <s v="ESPECIALIZAR Y/O RENOVAR EN CULTIVOS RELACIONADOS CON LAS CADENAS PRODUCTIVAS AGROPECUARIAS COMO MÍNIMO UN 5% (13.200 HAS) DEL TOTAL DE HECTÁREAS CULTIVADAS (264.098HAS). "/>
    <m/>
    <s v=""/>
    <m/>
    <m/>
    <m/>
    <m/>
    <s v="ARTICULACIÓN DE LOS PROGRAMAS MUNICIPALES CON LOS DEPARTAMENTALES A TRAVÉS DE LOS PLANES OPERATIVOS ANUALES "/>
    <n v="1710000000"/>
    <m/>
    <n v="80"/>
  </r>
  <r>
    <n v="376"/>
    <x v="1"/>
    <x v="12"/>
    <x v="14"/>
    <s v="ACCESO A LA TIERRA RURAL"/>
    <s v="APOYAR 90 PROYECTOS PRODUCTIVOS DE FAMILIAS BENEFICIADAS POR LAS CONVOCATORIAS DE ACCESO A TIERRA EN EL PERIODO DE GOBIERNO. "/>
    <s v="NO DE PROYECTOS PRODUCTIVOS DE FAMILIAS BENEFICIADAS EN CONVOCATORIAS DE ACCESO A TIERRA."/>
    <s v="PROYECTOS"/>
    <s v="I"/>
    <n v="795"/>
    <n v="885"/>
    <n v="90"/>
    <n v="0.16500000000000001"/>
    <n v="0"/>
    <n v="0"/>
    <n v="0"/>
    <n v="0"/>
    <n v="0"/>
    <n v="0"/>
    <n v="0"/>
    <n v="0"/>
    <n v="0"/>
    <n v="0"/>
    <n v="0"/>
    <n v="0"/>
    <n v="0"/>
    <n v="0"/>
    <n v="0"/>
    <n v="0"/>
    <n v="0"/>
    <n v="0"/>
    <n v="0"/>
    <n v="0"/>
    <n v="0"/>
    <n v="0"/>
    <n v="0"/>
    <n v="0"/>
    <n v="0"/>
    <n v="0"/>
    <n v="0"/>
    <n v="0"/>
    <n v="5.5E-2"/>
    <n v="30"/>
    <n v="0.33333333333333331"/>
    <n v="0"/>
    <n v="0"/>
    <n v="0"/>
    <n v="0"/>
    <n v="0"/>
    <n v="0"/>
    <n v="254000000"/>
    <n v="0"/>
    <n v="97000000"/>
    <n v="0"/>
    <n v="0"/>
    <n v="0"/>
    <n v="0"/>
    <n v="157000000"/>
    <n v="0"/>
    <n v="0"/>
    <n v="0"/>
    <n v="0"/>
    <n v="0"/>
    <n v="0"/>
    <n v="0"/>
    <n v="0"/>
    <n v="0"/>
    <n v="0"/>
    <n v="0"/>
    <n v="5.5E-2"/>
    <n v="30"/>
    <n v="0.33333333333333331"/>
    <n v="0"/>
    <n v="0"/>
    <n v="90"/>
    <n v="90"/>
    <n v="300"/>
    <n v="100"/>
    <n v="5.5E-2"/>
    <n v="100"/>
    <n v="0.16500000000000001"/>
    <n v="5.5E-2"/>
    <n v="30"/>
    <n v="0.33333333333333331"/>
    <n v="0"/>
    <n v="30"/>
    <n v="0"/>
    <n v="0"/>
    <n v="0"/>
    <n v="0"/>
    <n v="0"/>
    <n v="260000000"/>
    <n v="103000000"/>
    <n v="0"/>
    <n v="0"/>
    <n v="0"/>
    <n v="0"/>
    <n v="0"/>
    <n v="157000000"/>
    <n v="0"/>
    <n v="0"/>
    <n v="0"/>
    <n v="0"/>
    <n v="0"/>
    <n v="0"/>
    <n v="0"/>
    <n v="0"/>
    <n v="0"/>
    <n v="0"/>
    <n v="0"/>
    <n v="90"/>
    <n v="0.16500000000000001"/>
    <n v="100"/>
    <n v="100"/>
    <n v="0.16500000000000001"/>
    <n v="0.16500000000000001"/>
    <n v="0.16500000000000001"/>
    <n v="1"/>
    <n v="0"/>
    <n v="375"/>
    <s v="PASAR DE 13.926 FAMILIAS CON ACCESO A BIENES Y SERVICIOS PRODUCTIVOS, A BENEFICIAR 19.041 FAMILIAS EN EL PERIODO DE GOBIERNO"/>
    <m/>
    <s v=""/>
    <m/>
    <m/>
    <m/>
    <m/>
    <s v="APOYO A 90 PROYECTOS PRODUCTIVOS DE FAMILIAS BENEFICIADAS EN LA CONVOCATORIA DE TIERRAS "/>
    <n v="2700000000"/>
    <m/>
    <n v="232"/>
  </r>
  <r>
    <n v="377"/>
    <x v="1"/>
    <x v="12"/>
    <x v="14"/>
    <s v="ACCESO A LA TIERRA RURAL"/>
    <s v="APOYAR LA LEGALIZACIÓN Y/O LA ADJUDICACIÓN DE 600 PREDIOS RURALES BALDÍOS Y/O FALSA TRADICIÓN, DE ACUERDO A LA NORMATIVIDAD VIGENTE EN EL PERIODO DE GOBIERNO."/>
    <s v="NO DE PREDIOS RURALES BALDÍOS Y/O DE FALSA TRADICIÓN APOYADOS EN LEGALIZACIÓN Y/O ADJUDICACIÓN."/>
    <s v="PREDIOS"/>
    <s v="I"/>
    <n v="800"/>
    <n v="1400"/>
    <n v="600"/>
    <n v="0.16500000000000001"/>
    <n v="0"/>
    <n v="0"/>
    <n v="0"/>
    <n v="0"/>
    <n v="0"/>
    <n v="0"/>
    <n v="0"/>
    <n v="0"/>
    <n v="0"/>
    <n v="0"/>
    <n v="0"/>
    <n v="0"/>
    <n v="0"/>
    <n v="0"/>
    <n v="0"/>
    <n v="0"/>
    <n v="0"/>
    <n v="0"/>
    <n v="0"/>
    <n v="0"/>
    <n v="0"/>
    <n v="0"/>
    <n v="0"/>
    <n v="0"/>
    <n v="0"/>
    <n v="0"/>
    <n v="0"/>
    <n v="0"/>
    <n v="5.5E-2"/>
    <n v="200"/>
    <n v="0.33333333333333331"/>
    <n v="743"/>
    <n v="743"/>
    <n v="371.5"/>
    <n v="100"/>
    <n v="5.5E-2"/>
    <n v="100"/>
    <n v="247000000"/>
    <n v="0"/>
    <n v="97000000"/>
    <n v="0"/>
    <n v="0"/>
    <n v="0"/>
    <n v="0"/>
    <n v="150000000"/>
    <n v="147072942"/>
    <n v="147072942"/>
    <n v="0"/>
    <n v="0"/>
    <n v="0"/>
    <n v="0"/>
    <n v="0"/>
    <n v="0"/>
    <n v="0"/>
    <n v="508570000"/>
    <s v="MINISTERIO DE AGRICULTURA-FEDERACION NACIONAL DE CAFETEROS- MUNICIPIO-ASIAC "/>
    <n v="5.5E-2"/>
    <n v="200"/>
    <n v="0.33333333333333331"/>
    <n v="0"/>
    <n v="0"/>
    <n v="0"/>
    <n v="0"/>
    <n v="0"/>
    <n v="0"/>
    <n v="0"/>
    <n v="0"/>
    <n v="0"/>
    <n v="5.5E-2"/>
    <n v="200"/>
    <n v="0.33333333333333331"/>
    <n v="0"/>
    <n v="200"/>
    <n v="0"/>
    <n v="0"/>
    <n v="0"/>
    <n v="0"/>
    <n v="0"/>
    <n v="253000000"/>
    <n v="103000000"/>
    <n v="0"/>
    <n v="0"/>
    <n v="0"/>
    <n v="0"/>
    <n v="0"/>
    <n v="150000000"/>
    <n v="0"/>
    <n v="0"/>
    <n v="0"/>
    <n v="0"/>
    <n v="0"/>
    <n v="0"/>
    <n v="0"/>
    <n v="0"/>
    <n v="0"/>
    <n v="0"/>
    <n v="0"/>
    <n v="743"/>
    <n v="0.16500000000000001"/>
    <n v="123.83333333333333"/>
    <n v="100"/>
    <n v="0.16500000000000001"/>
    <n v="0.16500000000000001"/>
    <n v="0.16500000000000001"/>
    <n v="1"/>
    <n v="0"/>
    <n v="375"/>
    <s v="PASAR DE 13.926 FAMILIAS CON ACCESO A BIENES Y SERVICIOS PRODUCTIVOS, A BENEFICIAR 19.041 FAMILIAS EN EL PERIODO DE GOBIERNO"/>
    <m/>
    <s v=""/>
    <m/>
    <m/>
    <m/>
    <m/>
    <s v="APOYO EN LA FORMALIZACIÓN DE 743 PREDIOS RURALES (LEVANTAMIENTOS TOPOGRÁFICOS, ESTUDIOS DE TÍTULOS ETC.) "/>
    <n v="9420000000"/>
    <m/>
    <n v="1123"/>
  </r>
  <r>
    <n v="378"/>
    <x v="1"/>
    <x v="12"/>
    <x v="14"/>
    <s v="ADECUACIÓN DE TIERRAS"/>
    <s v="ADECUAR Y/O REHABILITAR 2025 HECTÁREAS MEDIANTE LA CONSTRUCCIÓN DE DISTRITOS DE RIEGO Y DRENAJE EN EL PERIODO DE GOBIERNO."/>
    <s v="NO DE HECTÁREAS ADECUADAS Y/O REHABILITADAS CON DISTRITOS DE RIEGO Y DRENAJE."/>
    <s v="HECTAREAS"/>
    <s v="I"/>
    <n v="11805"/>
    <n v="13830"/>
    <n v="2025"/>
    <n v="0.25"/>
    <n v="1.2345679012345678E-2"/>
    <n v="100"/>
    <n v="4.9382716049382713E-2"/>
    <n v="265.5"/>
    <n v="265.5"/>
    <n v="265.5"/>
    <n v="100"/>
    <n v="1.2345679012345678E-2"/>
    <n v="100"/>
    <n v="282000000"/>
    <n v="274000000"/>
    <n v="0"/>
    <n v="0"/>
    <n v="0"/>
    <n v="0"/>
    <n v="0"/>
    <n v="8000000"/>
    <n v="273080000"/>
    <n v="273080000"/>
    <n v="0"/>
    <n v="0"/>
    <n v="0"/>
    <n v="0"/>
    <n v="0"/>
    <n v="0"/>
    <n v="0"/>
    <n v="50295000"/>
    <s v="ASIAC, MUNICIPIOS"/>
    <n v="7.407407407407407E-2"/>
    <n v="600"/>
    <n v="0.29629629629629628"/>
    <n v="1000"/>
    <n v="1000"/>
    <n v="166.66666666666666"/>
    <n v="100"/>
    <n v="7.407407407407407E-2"/>
    <n v="100"/>
    <n v="4485000000"/>
    <n v="0"/>
    <n v="485000000"/>
    <n v="0"/>
    <n v="0"/>
    <n v="0"/>
    <n v="0"/>
    <n v="4000000000"/>
    <n v="1406918408"/>
    <n v="1406918408"/>
    <n v="0"/>
    <n v="0"/>
    <n v="0"/>
    <n v="0"/>
    <n v="0"/>
    <n v="0"/>
    <n v="0"/>
    <n v="348939917"/>
    <s v="ASIAC- ASOCICION DE USUARIOS DE ACUEDUCTOS "/>
    <n v="7.407407407407407E-2"/>
    <n v="600"/>
    <n v="0.29629629629629628"/>
    <n v="86.32"/>
    <n v="0"/>
    <n v="1049.5"/>
    <n v="1049.5"/>
    <n v="174.91666666666666"/>
    <n v="100"/>
    <n v="7.407407407407407E-2"/>
    <n v="100"/>
    <n v="0.12956790123456791"/>
    <n v="8.9506172839506168E-2"/>
    <n v="725"/>
    <n v="0.35802469135802467"/>
    <n v="128"/>
    <n v="597"/>
    <n v="128"/>
    <n v="17.655172413793103"/>
    <n v="17.655172413793103"/>
    <n v="1.580246913580247E-2"/>
    <n v="1.580246913580247E-2"/>
    <n v="4514000000"/>
    <n v="514000000"/>
    <n v="0"/>
    <n v="0"/>
    <n v="0"/>
    <n v="0"/>
    <n v="0"/>
    <n v="4000000000"/>
    <n v="0"/>
    <n v="0"/>
    <n v="0"/>
    <n v="0"/>
    <n v="0"/>
    <n v="0"/>
    <n v="0"/>
    <n v="0"/>
    <n v="0"/>
    <n v="0"/>
    <n v="0"/>
    <n v="2443"/>
    <n v="0.25"/>
    <n v="120.64197530864197"/>
    <n v="100"/>
    <n v="0.25"/>
    <n v="0.25"/>
    <n v="0.25"/>
    <n v="1"/>
    <n v="0"/>
    <n v="375"/>
    <s v="PASAR DE 13.926 FAMILIAS CON ACCESO A BIENES Y SERVICIOS PRODUCTIVOS, A BENEFICIAR 19.041 FAMILIAS EN EL PERIODO DE GOBIERNO"/>
    <m/>
    <s v=""/>
    <m/>
    <m/>
    <m/>
    <m/>
    <s v="4.569 HECTÁREAS ADECUADAS, CON EL APOYO DE ESTUDIOS Y DISEÑOS, REHABILITACIÓN Y CONSTRUCCIÓN DE DISTRITOS DE RIEGO."/>
    <n v="900000000"/>
    <m/>
    <n v="400"/>
  </r>
  <r>
    <n v="379"/>
    <x v="1"/>
    <x v="12"/>
    <x v="14"/>
    <s v="EQUIDAD Y GENERO"/>
    <s v="FORTALECER LAS CAPACIDADES DE LIDERAZGO Y ASOCIATIVISMO Y PROPENDER POR EL MEJORAMIENTO PRODUCTIVO Y COMPETITIVO DE 400 MUJERES Y/O JÓVENES Y/O GRUPOS ÉTNICOS RURALES DEL DEPARTAMENTO, MEDIANTE LA IMPLEMENTACIÓN DE PROYECTOS AGROPECUARIOS Y/O AGROINDUSTRI"/>
    <s v="NO DE MUJERES Y/O JÓVENES Y/O GRUPOS ÉTNICOS RURALES FORTALECIDOS EN CAPACIDADES DE LIDERAZGO Y ASOCIATIVISMO IMPLEMENTANDO PROYECTOS AGROPECUARIOS Y/O AGROINDUSTRIALES. "/>
    <s v="PROYECTOS"/>
    <s v="I"/>
    <n v="526"/>
    <n v="926"/>
    <n v="400"/>
    <n v="0.16500000000000001"/>
    <n v="0"/>
    <n v="0"/>
    <n v="0"/>
    <n v="0"/>
    <n v="0"/>
    <n v="0"/>
    <n v="0"/>
    <n v="0"/>
    <n v="0"/>
    <n v="0"/>
    <n v="0"/>
    <n v="0"/>
    <n v="0"/>
    <n v="0"/>
    <n v="0"/>
    <n v="0"/>
    <n v="0"/>
    <n v="0"/>
    <n v="0"/>
    <n v="0"/>
    <n v="0"/>
    <n v="0"/>
    <n v="0"/>
    <n v="0"/>
    <n v="0"/>
    <n v="0"/>
    <n v="0"/>
    <n v="0"/>
    <n v="4.1250000000000002E-2"/>
    <n v="100"/>
    <n v="0.25"/>
    <n v="283"/>
    <n v="283"/>
    <n v="283"/>
    <n v="100"/>
    <n v="4.1250000000000002E-2"/>
    <n v="100"/>
    <n v="126000000"/>
    <n v="0"/>
    <n v="39000000"/>
    <n v="0"/>
    <n v="0"/>
    <n v="0"/>
    <n v="0"/>
    <n v="87000000"/>
    <n v="39000000"/>
    <n v="39000000"/>
    <n v="0"/>
    <n v="0"/>
    <n v="0"/>
    <n v="0"/>
    <n v="0"/>
    <n v="0"/>
    <n v="0"/>
    <n v="7700000"/>
    <s v="ASOCIACION MUNDIAL HOLDME "/>
    <n v="6.1874999999999999E-2"/>
    <n v="150"/>
    <n v="0.375"/>
    <n v="150"/>
    <n v="150"/>
    <n v="150"/>
    <n v="150"/>
    <n v="100"/>
    <n v="100"/>
    <n v="6.1874999999999999E-2"/>
    <n v="100"/>
    <n v="6.1874999999999999E-2"/>
    <n v="6.1874999999999999E-2"/>
    <n v="150"/>
    <n v="0.375"/>
    <n v="0"/>
    <n v="150"/>
    <n v="0"/>
    <n v="0"/>
    <n v="0"/>
    <n v="0"/>
    <n v="0"/>
    <n v="128000000"/>
    <n v="41000000"/>
    <n v="0"/>
    <n v="0"/>
    <n v="0"/>
    <n v="0"/>
    <n v="0"/>
    <n v="87000000"/>
    <n v="0"/>
    <n v="0"/>
    <n v="0"/>
    <n v="0"/>
    <n v="0"/>
    <n v="0"/>
    <n v="0"/>
    <n v="0"/>
    <n v="0"/>
    <n v="0"/>
    <n v="0"/>
    <n v="433"/>
    <n v="0.16499999999999998"/>
    <n v="108.25"/>
    <n v="100"/>
    <n v="0.16500000000000001"/>
    <n v="0.16500000000000001"/>
    <n v="0.16500000000000001"/>
    <n v="1"/>
    <n v="0"/>
    <n v="360"/>
    <s v="INCREMENTAR EN 10% LAS TONELADAS ANUALES DE LA PRODUCCIÓN DE ALIMENTOS LLEGANDO A 4.400.000 TONELADAS PRODUCIDAS."/>
    <m/>
    <s v=""/>
    <m/>
    <m/>
    <m/>
    <m/>
    <s v="FORTALECIMIENTO EMPRESARIAL DE 20 ASOCIACIONES AGROPRODUCTIVAS DE MUJERES RURALES CON CAPACITACIÓN , TALLERES , ENTREGA DE INSUMOS PARA UN TOTAL DE 433 MUJERES "/>
    <n v="2970000000"/>
    <m/>
    <n v="634"/>
  </r>
  <r>
    <n v="380"/>
    <x v="1"/>
    <x v="12"/>
    <x v="14"/>
    <s v="SEGURIDAD ALIMENTARIA Y NUTRICIONAL"/>
    <s v="BENEFICIAR 5.000 FAMILIAS CON EL PROGRAMA DE SEGURIDAD ALIMENTARIA Y NUTRICIONAL EN EL PERIODO DE GOBIERNO, DE LAS CUALES 50 FAMILIAS DE GRUPOS ÉTNICOS."/>
    <s v="NO DE FAMILIAS BENEFICIADAS CON EL PROGRAMA DE SEGURIDAD ALIMENTARIA Y NUTRICIONAL."/>
    <s v="FAMILIAS"/>
    <s v="I"/>
    <n v="33746"/>
    <n v="38746"/>
    <n v="5000"/>
    <n v="0.25"/>
    <n v="1.4999999999999999E-2"/>
    <n v="300"/>
    <n v="0.06"/>
    <n v="1332"/>
    <n v="1332"/>
    <n v="444"/>
    <n v="100"/>
    <n v="1.4999999999999999E-2"/>
    <n v="100"/>
    <n v="654000000"/>
    <n v="425000000"/>
    <n v="0"/>
    <n v="0"/>
    <n v="0"/>
    <n v="0"/>
    <n v="0"/>
    <n v="229000000"/>
    <n v="425360000"/>
    <n v="425360000"/>
    <n v="0"/>
    <n v="0"/>
    <n v="0"/>
    <n v="0"/>
    <n v="0"/>
    <n v="0"/>
    <n v="0"/>
    <n v="87349000"/>
    <s v="FEDEPANELA "/>
    <n v="0.1"/>
    <n v="2000"/>
    <n v="0.4"/>
    <n v="1104"/>
    <n v="1104"/>
    <n v="55.2"/>
    <n v="55.2"/>
    <n v="5.5200000000000006E-2"/>
    <n v="55.2"/>
    <n v="4311000000"/>
    <n v="0"/>
    <n v="311000000"/>
    <n v="0"/>
    <n v="0"/>
    <n v="0"/>
    <n v="0"/>
    <n v="4000000000"/>
    <n v="332089434"/>
    <n v="332089434"/>
    <n v="0"/>
    <n v="0"/>
    <n v="0"/>
    <n v="0"/>
    <n v="0"/>
    <n v="0"/>
    <n v="0"/>
    <n v="210746298"/>
    <s v="CORPOGUAVIO,FEDEPANELA-ASOHOFRUCOL-FEDERACION NACIONAL DE CAFETEROS"/>
    <n v="0.1"/>
    <n v="2000"/>
    <n v="0.4"/>
    <n v="520"/>
    <n v="520"/>
    <n v="1965"/>
    <n v="1965"/>
    <n v="98.25"/>
    <n v="98.25"/>
    <n v="9.8250000000000004E-2"/>
    <n v="98.25"/>
    <n v="9.8250000000000004E-2"/>
    <n v="3.5000000000000003E-2"/>
    <n v="700"/>
    <n v="0.14000000000000001"/>
    <n v="606"/>
    <n v="94"/>
    <n v="606"/>
    <n v="86.571428571428569"/>
    <n v="86.571428571428569"/>
    <n v="3.0300000000000004E-2"/>
    <n v="3.0300000000000004E-2"/>
    <n v="4330000000"/>
    <n v="330000000"/>
    <n v="0"/>
    <n v="0"/>
    <n v="0"/>
    <n v="0"/>
    <n v="0"/>
    <n v="4000000000"/>
    <n v="0"/>
    <n v="0"/>
    <n v="0"/>
    <n v="0"/>
    <n v="0"/>
    <n v="0"/>
    <n v="0"/>
    <n v="0"/>
    <n v="0"/>
    <n v="0"/>
    <n v="0"/>
    <n v="5007"/>
    <n v="0.25"/>
    <n v="100.14"/>
    <n v="100"/>
    <n v="0.25"/>
    <n v="0.25"/>
    <n v="0.25"/>
    <n v="1"/>
    <n v="0"/>
    <n v="375"/>
    <s v="PASAR DE 13.926 FAMILIAS CON ACCESO A BIENES Y SERVICIOS PRODUCTIVOS, A BENEFICIAR 19.041 FAMILIAS EN EL PERIODO DE GOBIERNO"/>
    <m/>
    <s v=""/>
    <m/>
    <m/>
    <m/>
    <m/>
    <s v="4291 FAMILIAS CON PROYECTO DE SEGURIDAD ALIMENTARIA PARA LA GENERACIÓN DE ALIMENTOS DE AUTOCONSUMO "/>
    <n v="375000000"/>
    <m/>
    <n v="634"/>
  </r>
  <r>
    <n v="381"/>
    <x v="1"/>
    <x v="12"/>
    <x v="14"/>
    <s v="SEGURIDAD ALIMENTARIA Y NUTRICIONAL"/>
    <s v="IMPLEMENTAR 15 GRANJAS INTEGRALES DE AUTO ABASTECIMIENTO DURANTE EL PERÍODO DE GOBIERNO."/>
    <s v="NO DE GRANJAS INTEGRALES DE AUTO ABASTECIMIENTO IMPLEMENTADAS."/>
    <s v="GRANJAS"/>
    <s v="I"/>
    <n v="0"/>
    <n v="15"/>
    <n v="15"/>
    <n v="0.16500000000000001"/>
    <n v="3.3000000000000002E-2"/>
    <n v="3"/>
    <n v="0.2"/>
    <n v="6"/>
    <n v="6"/>
    <n v="200"/>
    <n v="100"/>
    <n v="3.3000000000000002E-2"/>
    <n v="100"/>
    <n v="1278000000"/>
    <n v="1050000000"/>
    <n v="0"/>
    <n v="0"/>
    <n v="0"/>
    <n v="0"/>
    <n v="0"/>
    <n v="228000000"/>
    <n v="910000000"/>
    <n v="910000000"/>
    <n v="0"/>
    <n v="0"/>
    <n v="0"/>
    <n v="0"/>
    <n v="0"/>
    <n v="0"/>
    <n v="0"/>
    <n v="205500000"/>
    <s v="CORPORACION COLOMBIA ORGANICA"/>
    <n v="3.3000000000000002E-2"/>
    <n v="3"/>
    <n v="0.2"/>
    <n v="4"/>
    <n v="4"/>
    <n v="133.33333333333334"/>
    <n v="100"/>
    <n v="3.3000000000000002E-2"/>
    <n v="100"/>
    <n v="388000000"/>
    <n v="0"/>
    <n v="388000000"/>
    <n v="0"/>
    <n v="0"/>
    <n v="0"/>
    <n v="0"/>
    <n v="0"/>
    <n v="538000000"/>
    <n v="538000000"/>
    <n v="0"/>
    <n v="0"/>
    <n v="0"/>
    <n v="0"/>
    <n v="0"/>
    <n v="0"/>
    <n v="0"/>
    <n v="122250000"/>
    <s v="CORPORACION COLOMBIANA ORGANICA "/>
    <n v="4.4000000000000004E-2"/>
    <n v="4"/>
    <n v="0.26666666666666666"/>
    <n v="0"/>
    <n v="0"/>
    <n v="0"/>
    <n v="0"/>
    <n v="0"/>
    <n v="0"/>
    <n v="0"/>
    <n v="0"/>
    <n v="0"/>
    <n v="5.5E-2"/>
    <n v="5"/>
    <n v="0.33333333333333331"/>
    <n v="6"/>
    <n v="-1"/>
    <n v="6"/>
    <n v="120"/>
    <n v="100"/>
    <n v="5.5E-2"/>
    <n v="6.6000000000000003E-2"/>
    <n v="412000000"/>
    <n v="412000000"/>
    <n v="0"/>
    <n v="0"/>
    <n v="0"/>
    <n v="0"/>
    <n v="0"/>
    <n v="0"/>
    <n v="0"/>
    <n v="0"/>
    <n v="0"/>
    <n v="0"/>
    <n v="0"/>
    <n v="0"/>
    <n v="0"/>
    <n v="0"/>
    <n v="0"/>
    <n v="0"/>
    <n v="0"/>
    <n v="16"/>
    <n v="0.16500000000000001"/>
    <n v="106.66666666666667"/>
    <n v="100"/>
    <n v="0.16500000000000001"/>
    <n v="0.16500000000000001"/>
    <n v="0.16500000000000001"/>
    <n v="1"/>
    <n v="0"/>
    <n v="375"/>
    <s v="PASAR DE 13.926 FAMILIAS CON ACCESO A BIENES Y SERVICIOS PRODUCTIVOS, A BENEFICIAR 19.041 FAMILIAS EN EL PERIODO DE GOBIERNO"/>
    <m/>
    <s v=""/>
    <m/>
    <m/>
    <m/>
    <m/>
    <s v="IMPLEMENTACIÓN DE 12 GRANJAS COMO ESTRATEGIA PARA LA PRODUCCIÓN DE ALIMENTOS Y UTILIZACIÓN DE LOS MISMOS EN LA CANASTA FAMILIAR "/>
    <n v="400000000"/>
    <m/>
    <n v="50"/>
  </r>
  <r>
    <n v="382"/>
    <x v="1"/>
    <x v="12"/>
    <x v="14"/>
    <s v="SERVICIO PÚBLICO DE ASISTENCIA TÉCNICA DIRECTA RURAL Y RIESGOS AGROPECUARIOS"/>
    <s v="APOYAR EL DESARROLLO DE 35 PROYECTOS PRODUCTIVOS, PRESENTADOS Y APROBADOS MEDIANTE CONVOCATORIAS PÚBLICAS, DE LOS CUALES 2 DE ELLOS DIRIGIDOS A GRUPOS ÉTNICOS, EN EL PERIODO DE GOBIERNO. "/>
    <s v="NO DE PROYECTOS PRODUCTIVOS APROBADOS E IMPLEMENTADOS."/>
    <s v="PROYECTOS"/>
    <s v="I"/>
    <n v="12"/>
    <n v="47"/>
    <n v="35"/>
    <n v="0.16500000000000001"/>
    <n v="3.7714285714285714E-2"/>
    <n v="8"/>
    <n v="0.22857142857142856"/>
    <n v="17"/>
    <n v="17"/>
    <n v="212.5"/>
    <n v="100"/>
    <n v="3.7714285714285714E-2"/>
    <n v="100"/>
    <n v="240000000"/>
    <n v="240000000"/>
    <n v="0"/>
    <n v="0"/>
    <n v="0"/>
    <n v="0"/>
    <n v="0"/>
    <n v="0"/>
    <n v="0"/>
    <n v="0"/>
    <n v="0"/>
    <n v="0"/>
    <n v="0"/>
    <n v="0"/>
    <n v="0"/>
    <n v="0"/>
    <n v="0"/>
    <n v="0"/>
    <n v="0"/>
    <n v="4.7142857142857139E-2"/>
    <n v="10"/>
    <n v="0.2857142857142857"/>
    <n v="10"/>
    <n v="10"/>
    <n v="100"/>
    <n v="100"/>
    <n v="4.7142857142857132E-2"/>
    <n v="100"/>
    <n v="1791000000"/>
    <n v="0"/>
    <n v="291000000"/>
    <n v="0"/>
    <n v="0"/>
    <n v="0"/>
    <n v="0"/>
    <n v="1500000000"/>
    <n v="242932396"/>
    <n v="242932396"/>
    <n v="0"/>
    <n v="0"/>
    <n v="0"/>
    <n v="0"/>
    <n v="0"/>
    <n v="0"/>
    <n v="0"/>
    <n v="4725000"/>
    <s v="FUNDESOT"/>
    <n v="4.7142857142857139E-2"/>
    <n v="10"/>
    <n v="0.2857142857142857"/>
    <n v="1"/>
    <n v="1"/>
    <n v="6"/>
    <n v="6"/>
    <n v="60"/>
    <n v="60"/>
    <n v="2.8285714285714282E-2"/>
    <n v="60"/>
    <n v="2.8285714285714282E-2"/>
    <n v="3.3000000000000002E-2"/>
    <n v="7"/>
    <n v="0.2"/>
    <n v="2"/>
    <n v="5"/>
    <n v="2"/>
    <n v="28.571428571428573"/>
    <n v="28.571428571428573"/>
    <n v="9.4285714285714303E-3"/>
    <n v="9.4285714285714303E-3"/>
    <n v="1808000000"/>
    <n v="308000000"/>
    <n v="0"/>
    <n v="0"/>
    <n v="0"/>
    <n v="0"/>
    <n v="0"/>
    <n v="1500000000"/>
    <n v="0"/>
    <n v="0"/>
    <n v="0"/>
    <n v="0"/>
    <n v="0"/>
    <n v="0"/>
    <n v="0"/>
    <n v="0"/>
    <n v="0"/>
    <n v="0"/>
    <n v="0"/>
    <n v="35"/>
    <n v="0.16500000000000001"/>
    <n v="100"/>
    <n v="100"/>
    <n v="0.16500000000000001"/>
    <n v="0.16500000000000001"/>
    <n v="0.16500000000000001"/>
    <n v="1"/>
    <n v="0"/>
    <n v="359"/>
    <s v="ESPECIALIZAR Y/O RENOVAR EN CULTIVOS RELACIONADOS CON LAS CADENAS PRODUCTIVAS AGROPECUARIAS COMO MÍNIMO UN 5% (13.200 HAS) DEL TOTAL DE HECTÁREAS CULTIVADAS (264.098HAS). "/>
    <n v="360"/>
    <s v="INCREMENTAR EN 10% LAS TONELADAS ANUALES DE LA PRODUCCIÓN DE ALIMENTOS LLEGANDO A 4.400.000 TONELADAS PRODUCIDAS."/>
    <m/>
    <m/>
    <m/>
    <m/>
    <s v="APOYO A 35 ALIANZAS APROBADAS MEDIANTE CONVOCATORIAS PUBLICAS "/>
    <n v="51000000"/>
    <m/>
    <n v="0"/>
  </r>
  <r>
    <n v="383"/>
    <x v="1"/>
    <x v="12"/>
    <x v="14"/>
    <s v="SERVICIO PÚBLICO DE ASISTENCIA TÉCNICA DIRECTA RURAL Y RIESGOS AGROPECUARIOS"/>
    <s v="FORTALECER PROGRAMAS DE EXTENSIÓN RURAL Y ESTRATEGIAS QUE PROPENDAN POR DESARROLLO RURAL DE LAS COMUNIDADES CAMPESINAS CON LAS 116 ENTIDADES PRESTADORAS DEL SERVICIO DE ASISTENCIA TÉCNICA AGROPECUARIA, DURANTE EL PERIODO DE GOBIERNO."/>
    <s v="NO DE ENTIDADES PRESTADORAS DE ASISTENCIA TÉCNICA AGROPECUARIA FORTALECIDAS EN PROGRAMAS DE EXTENSIÓN RURAL."/>
    <s v="EPSAS"/>
    <s v="M"/>
    <n v="116"/>
    <n v="116"/>
    <n v="116"/>
    <n v="0.16500000000000001"/>
    <n v="4.1250000000000002E-2"/>
    <n v="116"/>
    <n v="0.25"/>
    <n v="116"/>
    <n v="29"/>
    <n v="100"/>
    <n v="100"/>
    <n v="4.1250000000000002E-2"/>
    <n v="100"/>
    <n v="200000000"/>
    <n v="200000000"/>
    <n v="0"/>
    <n v="0"/>
    <n v="0"/>
    <n v="0"/>
    <n v="0"/>
    <n v="0"/>
    <n v="200000000"/>
    <n v="200000000"/>
    <n v="0"/>
    <n v="0"/>
    <n v="0"/>
    <n v="0"/>
    <n v="0"/>
    <n v="0"/>
    <n v="0"/>
    <n v="0"/>
    <n v="0"/>
    <n v="4.1250000000000002E-2"/>
    <n v="116"/>
    <n v="0.25"/>
    <n v="116"/>
    <n v="29"/>
    <n v="100"/>
    <n v="100"/>
    <n v="4.1250000000000002E-2"/>
    <n v="100"/>
    <n v="20000000"/>
    <n v="0"/>
    <n v="20000000"/>
    <n v="0"/>
    <n v="0"/>
    <n v="0"/>
    <n v="0"/>
    <n v="0"/>
    <n v="0"/>
    <n v="0"/>
    <n v="0"/>
    <n v="0"/>
    <n v="0"/>
    <n v="0"/>
    <n v="0"/>
    <n v="0"/>
    <n v="0"/>
    <n v="0"/>
    <n v="0"/>
    <n v="4.1250000000000002E-2"/>
    <n v="116"/>
    <n v="0.25"/>
    <n v="0"/>
    <n v="0"/>
    <n v="116"/>
    <n v="29"/>
    <n v="100"/>
    <n v="100"/>
    <n v="4.1250000000000002E-2"/>
    <n v="100"/>
    <n v="4.1250000000000002E-2"/>
    <n v="4.1250000000000002E-2"/>
    <n v="116"/>
    <n v="0.25"/>
    <n v="116"/>
    <n v="0"/>
    <n v="29"/>
    <n v="100"/>
    <n v="100"/>
    <n v="4.1250000000000002E-2"/>
    <n v="4.1250000000000002E-2"/>
    <n v="21000000"/>
    <n v="21000000"/>
    <n v="0"/>
    <n v="0"/>
    <n v="0"/>
    <n v="0"/>
    <n v="0"/>
    <n v="0"/>
    <n v="0"/>
    <n v="0"/>
    <n v="0"/>
    <n v="0"/>
    <n v="0"/>
    <n v="0"/>
    <n v="0"/>
    <n v="0"/>
    <n v="0"/>
    <n v="0"/>
    <n v="0"/>
    <n v="116"/>
    <n v="0.16500000000000001"/>
    <n v="100"/>
    <n v="100"/>
    <n v="0.16500000000000001"/>
    <n v="0.16500000000000001"/>
    <n v="0.16500000000000001"/>
    <n v="1"/>
    <n v="0"/>
    <n v="359"/>
    <s v="ESPECIALIZAR Y/O RENOVAR EN CULTIVOS RELACIONADOS CON LAS CADENAS PRODUCTIVAS AGROPECUARIAS COMO MÍNIMO UN 5% (13.200 HAS) DEL TOTAL DE HECTÁREAS CULTIVADAS (264.098HAS). "/>
    <n v="375"/>
    <s v="PASAR DE 13.926 FAMILIAS CON ACCESO A BIENES Y SERVICIOS PRODUCTIVOS, A BENEFICIAR 19.041 FAMILIAS EN EL PERIODO DE GOBIERNO"/>
    <m/>
    <m/>
    <m/>
    <m/>
    <s v="SE FORTALECIÓ LOS PROGRAMAS DE EXTENSIÓN RURAL, CON LA GESTIÓN DE RECURSOS ANTE EL MADR LO QUE PERMITIÓ AMPLIAR COBERTURA, MEJORAR EL SERVICIO DE ASISTENCIA TÉCNICA EN 116 MUNICIPIOS DEL DEPARTAMENTO , DOTACIÓN DE MAQUINARIA Y EQUIPOS , ESTABLECIMIENTO DE LA RED DE ASISTENTES TÉCNICOS DE CUNDINAMARCA CON CORPOICA , DESDE LA PLATAFORMA LINKATA "/>
    <n v="275000000"/>
    <m/>
    <n v="0"/>
  </r>
  <r>
    <n v="384"/>
    <x v="1"/>
    <x v="12"/>
    <x v="14"/>
    <s v="SERVICIO PÚBLICO DE ASISTENCIA TÉCNICA DIRECTA RURAL Y RIESGOS AGROPECUARIOS"/>
    <s v="ARTICULAR Y APOYAR TÉCNICAMENTE CONVOCATORIAS PARA EL ACCESO A FACTORES PRODUCTIVOS"/>
    <s v="NO DE CONVOCATORIAS APOYADAS Y ARTICULADAS"/>
    <s v="CONVOCATORIAS"/>
    <s v="M"/>
    <n v="3"/>
    <n v="3"/>
    <n v="3"/>
    <n v="0.16500000000000001"/>
    <n v="4.1250000000000002E-2"/>
    <n v="3"/>
    <n v="0.25"/>
    <n v="3"/>
    <n v="0.75"/>
    <n v="100"/>
    <n v="100"/>
    <n v="4.1250000000000002E-2"/>
    <n v="100"/>
    <n v="0"/>
    <n v="0"/>
    <n v="0"/>
    <n v="0"/>
    <n v="0"/>
    <n v="0"/>
    <n v="0"/>
    <n v="0"/>
    <n v="0"/>
    <n v="0"/>
    <n v="0"/>
    <n v="0"/>
    <n v="0"/>
    <n v="0"/>
    <n v="0"/>
    <n v="0"/>
    <n v="0"/>
    <n v="0"/>
    <n v="0"/>
    <n v="4.1250000000000002E-2"/>
    <n v="3"/>
    <n v="0.25"/>
    <n v="3"/>
    <n v="0.75"/>
    <n v="100"/>
    <n v="100"/>
    <n v="4.1250000000000002E-2"/>
    <n v="100"/>
    <n v="0"/>
    <n v="0"/>
    <n v="0"/>
    <n v="0"/>
    <n v="0"/>
    <n v="0"/>
    <n v="0"/>
    <n v="0"/>
    <n v="0"/>
    <n v="0"/>
    <n v="0"/>
    <n v="0"/>
    <n v="0"/>
    <n v="0"/>
    <n v="0"/>
    <n v="0"/>
    <n v="0"/>
    <n v="0"/>
    <n v="0"/>
    <n v="4.1250000000000002E-2"/>
    <n v="3"/>
    <n v="0.25"/>
    <n v="3"/>
    <n v="3"/>
    <n v="3"/>
    <n v="0.75"/>
    <n v="100"/>
    <n v="100"/>
    <n v="4.1250000000000002E-2"/>
    <n v="100"/>
    <n v="4.1250000000000002E-2"/>
    <n v="4.1250000000000002E-2"/>
    <n v="1"/>
    <n v="0.25"/>
    <n v="3"/>
    <n v="-2"/>
    <n v="0.75"/>
    <n v="300"/>
    <n v="100"/>
    <n v="4.1250000000000002E-2"/>
    <n v="0.12375"/>
    <n v="0"/>
    <n v="0"/>
    <n v="0"/>
    <n v="0"/>
    <n v="0"/>
    <n v="0"/>
    <n v="0"/>
    <n v="0"/>
    <n v="0"/>
    <n v="0"/>
    <n v="0"/>
    <n v="0"/>
    <n v="0"/>
    <n v="0"/>
    <n v="0"/>
    <n v="0"/>
    <n v="0"/>
    <n v="0"/>
    <n v="0"/>
    <n v="3"/>
    <n v="0.16500000000000001"/>
    <n v="100"/>
    <n v="100"/>
    <n v="0.16500000000000001"/>
    <n v="0.16500000000000001"/>
    <n v="0.16500000000000001"/>
    <n v="1"/>
    <n v="0"/>
    <n v="359"/>
    <s v="ESPECIALIZAR Y/O RENOVAR EN CULTIVOS RELACIONADOS CON LAS CADENAS PRODUCTIVAS AGROPECUARIAS COMO MÍNIMO UN 5% (13.200 HAS) DEL TOTAL DE HECTÁREAS CULTIVADAS (264.098HAS). "/>
    <n v="360"/>
    <s v="INCREMENTAR EN 10% LAS TONELADAS ANUALES DE LA PRODUCCIÓN DE ALIMENTOS LLEGANDO A 4.400.000 TONELADAS PRODUCIDAS."/>
    <m/>
    <m/>
    <m/>
    <m/>
    <s v="ANUALMENTE EL DEPARTAMENTO Y LOS MUNICIPIOS ACCEDEN A LAS CONVOCATORIAS PÚBLICAS. SE REALIZA LA PROMOCIÓN , SOCIALIZACIÓN Y DILIGENCIAMIENTO DE DOCUMENTACIÓN PARA LA PRESENTACIÓN A CONVOCATORIAS PUBLICAS "/>
    <n v="150000000"/>
    <m/>
    <n v="200"/>
  </r>
  <r>
    <n v="385"/>
    <x v="1"/>
    <x v="12"/>
    <x v="14"/>
    <s v="SERVICIO PÚBLICO DE ASISTENCIA TÉCNICA DIRECTA RURAL Y RIESGOS AGROPECUARIOS"/>
    <s v="ARTICULAR Y PROPENDER POR LA OPERATIVIZACIÓN DEL COMITÉ DEPARTAMENTAL DE DESARROLLO RURAL Y REFORMA AGRARIA EN EL DEPARTAMENTO"/>
    <s v="NO DE COMITÉS ARTICULADOS Y OPERANDO"/>
    <s v="COMITÉ"/>
    <s v="M"/>
    <n v="0"/>
    <n v="1"/>
    <n v="1"/>
    <n v="0.16500000000000001"/>
    <n v="4.1250000000000002E-2"/>
    <n v="1"/>
    <n v="0.25"/>
    <n v="1"/>
    <n v="0.25"/>
    <n v="100"/>
    <n v="100"/>
    <n v="4.1250000000000002E-2"/>
    <n v="100"/>
    <n v="0"/>
    <n v="0"/>
    <n v="0"/>
    <n v="0"/>
    <n v="0"/>
    <n v="0"/>
    <n v="0"/>
    <n v="0"/>
    <n v="0"/>
    <n v="0"/>
    <n v="0"/>
    <n v="0"/>
    <n v="0"/>
    <n v="0"/>
    <n v="0"/>
    <n v="0"/>
    <n v="0"/>
    <n v="0"/>
    <n v="0"/>
    <n v="4.1250000000000002E-2"/>
    <n v="1"/>
    <n v="0.25"/>
    <n v="1"/>
    <n v="0.25"/>
    <n v="100"/>
    <n v="100"/>
    <n v="4.1250000000000002E-2"/>
    <n v="100"/>
    <n v="0"/>
    <n v="0"/>
    <n v="0"/>
    <n v="0"/>
    <n v="0"/>
    <n v="0"/>
    <n v="0"/>
    <n v="0"/>
    <n v="0"/>
    <n v="0"/>
    <n v="0"/>
    <n v="0"/>
    <n v="0"/>
    <n v="0"/>
    <n v="0"/>
    <n v="0"/>
    <n v="0"/>
    <n v="0"/>
    <n v="0"/>
    <n v="4.1250000000000002E-2"/>
    <n v="1"/>
    <n v="0.25"/>
    <n v="1"/>
    <n v="1"/>
    <n v="1"/>
    <n v="0.25"/>
    <n v="100"/>
    <n v="100"/>
    <n v="4.1250000000000002E-2"/>
    <n v="100"/>
    <n v="4.1250000000000002E-2"/>
    <n v="4.1250000000000002E-2"/>
    <n v="1"/>
    <n v="0.25"/>
    <n v="1"/>
    <n v="0"/>
    <n v="0.25"/>
    <n v="100"/>
    <n v="100"/>
    <n v="4.1250000000000002E-2"/>
    <n v="4.1250000000000002E-2"/>
    <n v="0"/>
    <n v="0"/>
    <n v="0"/>
    <n v="0"/>
    <n v="0"/>
    <n v="0"/>
    <n v="0"/>
    <n v="0"/>
    <n v="0"/>
    <n v="0"/>
    <n v="0"/>
    <n v="0"/>
    <n v="0"/>
    <n v="0"/>
    <n v="0"/>
    <n v="0"/>
    <n v="0"/>
    <n v="0"/>
    <n v="0"/>
    <n v="1"/>
    <n v="0.16500000000000001"/>
    <n v="100"/>
    <n v="100"/>
    <n v="0.16500000000000001"/>
    <n v="0.16500000000000001"/>
    <n v="0.16500000000000001"/>
    <n v="1"/>
    <n v="0"/>
    <n v="375"/>
    <s v="PASAR DE 13.926 FAMILIAS CON ACCESO A BIENES Y SERVICIOS PRODUCTIVOS, A BENEFICIAR 19.041 FAMILIAS EN EL PERIODO DE GOBIERNO"/>
    <m/>
    <s v=""/>
    <m/>
    <m/>
    <m/>
    <m/>
    <s v="LA SECRETARIA HACE PARTE ACTIVA DEL CONSEA Y ANUALMENTE RINDE INFORMES DE AVANCES DE LOS PROGRAMAS , PROYECTOS LIDERADOS POR LA MISMA "/>
    <n v="132000000"/>
    <m/>
    <n v="1000"/>
  </r>
  <r>
    <n v="386"/>
    <x v="1"/>
    <x v="12"/>
    <x v="14"/>
    <s v="SERVICIO PÚBLICO DE ASISTENCIA TÉCNICA DIRECTA RURAL Y RIESGOS AGROPECUARIOS"/>
    <s v="ARTICULAR LOS 116 EPSA (SERVICIO PÚBLICO DE ASISTENCIA TÉCNICA AGROPECUARIA) A LOS PROGRAMAS DE GESTIÓN DEL RIESGO Y CAMBIO CLIMÁTICO"/>
    <s v="NO DE EPSA ARTICULADOS"/>
    <s v="EPSAS"/>
    <s v="M"/>
    <n v="0"/>
    <n v="116"/>
    <n v="116"/>
    <n v="0.16500000000000001"/>
    <n v="4.1250000000000002E-2"/>
    <n v="116"/>
    <n v="0.25"/>
    <n v="116"/>
    <n v="29"/>
    <n v="100"/>
    <n v="100"/>
    <n v="4.1250000000000002E-2"/>
    <n v="100"/>
    <n v="0"/>
    <n v="0"/>
    <n v="0"/>
    <n v="0"/>
    <n v="0"/>
    <n v="0"/>
    <n v="0"/>
    <n v="0"/>
    <n v="0"/>
    <n v="0"/>
    <n v="0"/>
    <n v="0"/>
    <n v="0"/>
    <n v="0"/>
    <n v="0"/>
    <n v="0"/>
    <n v="0"/>
    <n v="0"/>
    <n v="0"/>
    <n v="4.1250000000000002E-2"/>
    <n v="116"/>
    <n v="0.25"/>
    <n v="116"/>
    <n v="29"/>
    <n v="100"/>
    <n v="100"/>
    <n v="4.1250000000000002E-2"/>
    <n v="100"/>
    <n v="0"/>
    <n v="0"/>
    <n v="0"/>
    <n v="0"/>
    <n v="0"/>
    <n v="0"/>
    <n v="0"/>
    <n v="0"/>
    <n v="0"/>
    <n v="0"/>
    <n v="0"/>
    <n v="0"/>
    <n v="0"/>
    <n v="0"/>
    <n v="0"/>
    <n v="0"/>
    <n v="0"/>
    <n v="0"/>
    <n v="0"/>
    <n v="4.1250000000000002E-2"/>
    <n v="116"/>
    <n v="0.25"/>
    <n v="0"/>
    <n v="0"/>
    <n v="116"/>
    <n v="29"/>
    <n v="100"/>
    <n v="100"/>
    <n v="4.1250000000000002E-2"/>
    <n v="100"/>
    <n v="4.1250000000000002E-2"/>
    <n v="4.1250000000000002E-2"/>
    <n v="116"/>
    <n v="0.25"/>
    <n v="116"/>
    <n v="0"/>
    <n v="29"/>
    <n v="100"/>
    <n v="100"/>
    <n v="4.1250000000000002E-2"/>
    <n v="4.1250000000000002E-2"/>
    <n v="0"/>
    <n v="0"/>
    <n v="0"/>
    <n v="0"/>
    <n v="0"/>
    <n v="0"/>
    <n v="0"/>
    <n v="0"/>
    <n v="0"/>
    <n v="0"/>
    <n v="0"/>
    <n v="0"/>
    <n v="0"/>
    <n v="0"/>
    <n v="0"/>
    <n v="0"/>
    <n v="0"/>
    <n v="0"/>
    <n v="0"/>
    <n v="116"/>
    <n v="0.16500000000000001"/>
    <n v="100"/>
    <n v="100"/>
    <n v="0.16500000000000001"/>
    <n v="0.16500000000000001"/>
    <n v="0.16500000000000001"/>
    <n v="1"/>
    <n v="0"/>
    <n v="359"/>
    <s v="ESPECIALIZAR Y/O RENOVAR EN CULTIVOS RELACIONADOS CON LAS CADENAS PRODUCTIVAS AGROPECUARIAS COMO MÍNIMO UN 5% (13.200 HAS) DEL TOTAL DE HECTÁREAS CULTIVADAS (264.098HAS). "/>
    <m/>
    <s v=""/>
    <m/>
    <m/>
    <m/>
    <m/>
    <s v="PROYECTOS DE MEJORAMIENTO DE PRADERAS, MEJORAMIENTO GENÉTICO , IMPLEMENTACIÓN DE SISTEMAS SILVOPASTORILES, COMO TECNOLOGÍAS QUE PERMITAN LA MITIGACIÓN DE LOS EFECTOS NEGATIVOS DEL CAMBIO CLIMÁTICO DE ACUERDO A LOS PLANES OPERATIVOS ANUALES DE LAS 116 EPSAS IMPLEMENTADOS Y OPERANDO."/>
    <n v="240000000"/>
    <m/>
    <n v="1500"/>
  </r>
  <r>
    <n v="387"/>
    <x v="1"/>
    <x v="12"/>
    <x v="14"/>
    <s v="SERVICIO PÚBLICO DE ASISTENCIA TÉCNICA DIRECTA RURAL Y RIESGOS AGROPECUARIOS"/>
    <s v="ARTICULAR Y PROPENDER POR LA OPERATIVIZACIÓN DE LOS 116 CONSEJOS MUNICIPALES DE DESARROLLO RURAL - CMDR COMO INSTRUMENTO DE POLÍTICA PÚBLICA"/>
    <s v="NO DE CMDR ARTICULADOS Y OPERANDO"/>
    <s v="CONSEJOS"/>
    <s v="M"/>
    <n v="116"/>
    <n v="116"/>
    <n v="116"/>
    <n v="0.16500000000000001"/>
    <n v="4.1250000000000002E-2"/>
    <n v="116"/>
    <n v="0.25"/>
    <n v="116"/>
    <n v="29"/>
    <n v="100"/>
    <n v="100"/>
    <n v="4.1250000000000002E-2"/>
    <n v="100"/>
    <n v="0"/>
    <n v="0"/>
    <n v="0"/>
    <n v="0"/>
    <n v="0"/>
    <n v="0"/>
    <n v="0"/>
    <n v="0"/>
    <n v="0"/>
    <n v="0"/>
    <n v="0"/>
    <n v="0"/>
    <n v="0"/>
    <n v="0"/>
    <n v="0"/>
    <n v="0"/>
    <n v="0"/>
    <n v="0"/>
    <n v="0"/>
    <n v="4.1250000000000002E-2"/>
    <n v="116"/>
    <n v="0.25"/>
    <n v="116"/>
    <n v="29"/>
    <n v="100"/>
    <n v="100"/>
    <n v="4.1250000000000002E-2"/>
    <n v="100"/>
    <n v="0"/>
    <n v="0"/>
    <n v="0"/>
    <n v="0"/>
    <n v="0"/>
    <n v="0"/>
    <n v="0"/>
    <n v="0"/>
    <n v="0"/>
    <n v="0"/>
    <n v="0"/>
    <n v="0"/>
    <n v="0"/>
    <n v="0"/>
    <n v="0"/>
    <n v="0"/>
    <n v="0"/>
    <n v="0"/>
    <n v="0"/>
    <n v="4.1250000000000002E-2"/>
    <n v="116"/>
    <n v="0.25"/>
    <n v="0"/>
    <n v="0"/>
    <n v="116"/>
    <n v="29"/>
    <n v="100"/>
    <n v="100"/>
    <n v="4.1250000000000002E-2"/>
    <n v="100"/>
    <n v="4.1250000000000002E-2"/>
    <n v="4.1250000000000002E-2"/>
    <n v="116"/>
    <n v="0.25"/>
    <n v="116"/>
    <n v="0"/>
    <n v="29"/>
    <n v="100"/>
    <n v="100"/>
    <n v="4.1250000000000002E-2"/>
    <n v="4.1250000000000002E-2"/>
    <n v="0"/>
    <n v="0"/>
    <n v="0"/>
    <n v="0"/>
    <n v="0"/>
    <n v="0"/>
    <n v="0"/>
    <n v="0"/>
    <n v="0"/>
    <n v="0"/>
    <n v="0"/>
    <n v="0"/>
    <n v="0"/>
    <n v="0"/>
    <n v="0"/>
    <n v="0"/>
    <n v="0"/>
    <n v="0"/>
    <n v="0"/>
    <n v="116"/>
    <n v="0.16500000000000001"/>
    <n v="100"/>
    <n v="100"/>
    <n v="0.16500000000000001"/>
    <n v="0.16500000000000001"/>
    <n v="0.16500000000000001"/>
    <n v="1"/>
    <n v="0"/>
    <n v="359"/>
    <s v="ESPECIALIZAR Y/O RENOVAR EN CULTIVOS RELACIONADOS CON LAS CADENAS PRODUCTIVAS AGROPECUARIAS COMO MÍNIMO UN 5% (13.200 HAS) DEL TOTAL DE HECTÁREAS CULTIVADAS (264.098HAS). "/>
    <m/>
    <s v=""/>
    <m/>
    <m/>
    <m/>
    <m/>
    <s v="COORDINACIÓN CON LOS MUNICIPIOS LA PLANIFICACIÓN DEL SECTOR AGROPECUARIO EN EL MARCO DEL PLAN OPERATIVO ANUAL DE TRANSFERENCIA DE TECNOLOGÍA Y ASISTENCIA TÉCNICA A TRAVÉS DE LOS CMDR "/>
    <n v="0"/>
    <m/>
    <n v="100"/>
  </r>
  <r>
    <n v="389"/>
    <x v="1"/>
    <x v="8"/>
    <x v="15"/>
    <s v="PLANIFICACIÓN INTEGRAL DE LA GESTIÓN"/>
    <s v="FORMULAR Y PROMOVER LA IMPLEMENTACIÓN DE LOS LINEAMIENTOS LA POLÍTICA DEPARTAMENTAL DE RESIDUOS SÓLIDOS COMO ESTRATEGIA DE PLANIFICACIÓN REGIONAL EN EL PERIODO DE GOBIERNO."/>
    <s v="NO. DE LINEAMIENTOS DE POLITICAS FORMULADOS"/>
    <s v="LINEAMIENTOS"/>
    <s v="I"/>
    <n v="0"/>
    <n v="1"/>
    <n v="1"/>
    <n v="0.16500000000000001"/>
    <n v="0"/>
    <n v="0"/>
    <n v="0"/>
    <n v="0.1"/>
    <n v="0.1"/>
    <n v="0"/>
    <n v="0"/>
    <n v="0"/>
    <n v="100"/>
    <n v="0"/>
    <n v="0"/>
    <n v="0"/>
    <n v="0"/>
    <n v="0"/>
    <n v="0"/>
    <n v="0"/>
    <n v="0"/>
    <n v="0"/>
    <n v="0"/>
    <n v="0"/>
    <n v="0"/>
    <n v="0"/>
    <n v="0"/>
    <n v="0"/>
    <n v="0"/>
    <n v="0"/>
    <n v="0"/>
    <n v="0"/>
    <n v="0.16500000000000001"/>
    <n v="1"/>
    <n v="1"/>
    <n v="0.9"/>
    <n v="0.9"/>
    <n v="90"/>
    <n v="90"/>
    <n v="0.14850000000000002"/>
    <n v="90"/>
    <n v="200000000"/>
    <n v="0"/>
    <n v="200000000"/>
    <n v="0"/>
    <n v="0"/>
    <n v="0"/>
    <n v="0"/>
    <n v="0"/>
    <n v="200000000"/>
    <n v="200000000"/>
    <n v="0"/>
    <n v="0"/>
    <n v="0"/>
    <n v="0"/>
    <n v="0"/>
    <n v="0"/>
    <n v="0"/>
    <n v="0"/>
    <n v="0"/>
    <n v="0"/>
    <n v="0"/>
    <n v="0"/>
    <n v="0"/>
    <n v="0"/>
    <n v="0"/>
    <n v="0"/>
    <n v="0"/>
    <n v="0"/>
    <n v="0"/>
    <n v="0"/>
    <n v="0"/>
    <n v="0"/>
    <n v="0"/>
    <n v="0"/>
    <n v="29"/>
    <n v="-29"/>
    <n v="29"/>
    <n v="0"/>
    <n v="0"/>
    <n v="0"/>
    <n v="0"/>
    <n v="0"/>
    <n v="0"/>
    <n v="0"/>
    <n v="0"/>
    <n v="0"/>
    <n v="0"/>
    <n v="0"/>
    <n v="0"/>
    <n v="0"/>
    <n v="0"/>
    <n v="0"/>
    <n v="0"/>
    <n v="0"/>
    <n v="0"/>
    <n v="0"/>
    <n v="0"/>
    <n v="0"/>
    <n v="0"/>
    <n v="0"/>
    <n v="30"/>
    <n v="0.16500000000000001"/>
    <n v="3000"/>
    <n v="100"/>
    <n v="0.16500000000000001"/>
    <n v="0.16500000000000001"/>
    <n v="0.16500000000000001"/>
    <n v="1"/>
    <n v="0"/>
    <n v="388"/>
    <s v="REDUCIR EN 50 EL NÚMERO DE TONELADAS DE RESIDUOS SÓLIDOS DIARIAS QUE VAN A SITIOS DE DISPOSICIÓN FINAL EN EL DEPARTAMENTO."/>
    <m/>
    <s v=""/>
    <m/>
    <m/>
    <m/>
    <m/>
    <s v="1 LINEAMIENTO DE POLITICA FORMULADO. MEDIANTE EL CONTRATO DE 005 DE 2013 SUSCRITO CON FONDECUN, EL CONTRATISTA ALVAR SANCHEZ ENTREGO DOCUMENTO DE LINEAMIENTOS DE POLITICA QUE EN RESIDUOS SOLIDOS SE APLICA AL DEPARTAMENTO. ESTOS LINEAMIENTOS Y SON ADOPTADOS MEDIANTE ORDENANZA 0232 DE 2014."/>
    <n v="63000000"/>
    <m/>
    <n v="20"/>
  </r>
  <r>
    <n v="390"/>
    <x v="1"/>
    <x v="8"/>
    <x v="15"/>
    <s v="PLANIFICACIÓN INTEGRAL DE LA GESTIÓN"/>
    <s v="APOYAR EL AJUSTE DE LOS PGIRS DEL 40% DE LOS MUNICIPIOS DEL DEPARTAMENTO EN COORDINACIÓN CON EL GESTOR DEL PDA, COMO ESTRATEGIA DE PLANIFICACIÓN TERRITORIAL DE LA GESTIÓN DE RESIDUOS EN EL PERIODO DE GOBIERNO.._x000a__x000a_"/>
    <s v="NO DE PGIRS ACTUALIZADOS EN COORDINACIÓN CON EL GESTOR DEL PDA"/>
    <s v="MPIOS"/>
    <s v="I"/>
    <n v="0"/>
    <n v="46"/>
    <n v="46"/>
    <n v="0.16500000000000001"/>
    <n v="0"/>
    <n v="0"/>
    <n v="0"/>
    <n v="0"/>
    <n v="0"/>
    <n v="0"/>
    <n v="0"/>
    <n v="0"/>
    <n v="0"/>
    <n v="0"/>
    <n v="0"/>
    <n v="0"/>
    <n v="0"/>
    <n v="0"/>
    <n v="0"/>
    <n v="0"/>
    <n v="0"/>
    <n v="0"/>
    <n v="0"/>
    <n v="0"/>
    <n v="0"/>
    <n v="0"/>
    <n v="0"/>
    <n v="0"/>
    <n v="0"/>
    <n v="0"/>
    <n v="0"/>
    <n v="0"/>
    <n v="7.1739130434782614E-3"/>
    <n v="2"/>
    <n v="4.3478260869565216E-2"/>
    <n v="2"/>
    <n v="2"/>
    <n v="100"/>
    <n v="100"/>
    <n v="7.1739130434782614E-3"/>
    <n v="100"/>
    <n v="32000000"/>
    <n v="0"/>
    <n v="32000000"/>
    <n v="0"/>
    <n v="0"/>
    <n v="0"/>
    <n v="0"/>
    <n v="0"/>
    <n v="32000000"/>
    <n v="32000000"/>
    <n v="0"/>
    <n v="0"/>
    <n v="0"/>
    <n v="0"/>
    <n v="0"/>
    <n v="0"/>
    <n v="0"/>
    <n v="48000000"/>
    <s v="MUNICIPIOS DE ANAPOIMA,PACHO,VIOTA,GUAYABETAL,FOSCA,SAN JUAN DE RIOSECO,UBATE Y CUCUNUBA"/>
    <n v="2.1521739130434783E-2"/>
    <n v="6"/>
    <n v="0.13043478260869565"/>
    <n v="6"/>
    <n v="6"/>
    <n v="6"/>
    <n v="6"/>
    <n v="100"/>
    <n v="100"/>
    <n v="2.1521739130434779E-2"/>
    <n v="100"/>
    <n v="2.1521739130434779E-2"/>
    <n v="0.13630434782608697"/>
    <n v="38"/>
    <n v="0.82608695652173914"/>
    <n v="29"/>
    <n v="9"/>
    <n v="29"/>
    <n v="76.315789473684205"/>
    <n v="76.315789473684205"/>
    <n v="0.10402173913043479"/>
    <n v="0.10402173913043479"/>
    <n v="64000000"/>
    <n v="64000000"/>
    <n v="0"/>
    <n v="0"/>
    <n v="0"/>
    <n v="0"/>
    <n v="0"/>
    <n v="0"/>
    <n v="0"/>
    <n v="0"/>
    <n v="0"/>
    <n v="0"/>
    <n v="0"/>
    <n v="0"/>
    <n v="0"/>
    <n v="0"/>
    <n v="0"/>
    <n v="0"/>
    <n v="0"/>
    <n v="37"/>
    <n v="0.16500000000000001"/>
    <n v="80.434782608695656"/>
    <n v="80.434782608695656"/>
    <n v="0.13271739130434784"/>
    <n v="0.13271739130434784"/>
    <n v="0.13271739130434784"/>
    <n v="1"/>
    <n v="0"/>
    <n v="388"/>
    <s v="REDUCIR EN 50 EL NÚMERO DE TONELADAS DE RESIDUOS SÓLIDOS DIARIAS QUE VAN A SITIOS DE DISPOSICIÓN FINAL EN EL DEPARTAMENTO."/>
    <m/>
    <s v=""/>
    <m/>
    <m/>
    <m/>
    <m/>
    <s v="29 PGIRS ACTUALIZADOS. META AMPLIADA A DE 14 A 46 MUNICIPIOS PARA DAR ALCANCE A LOS PERTENECIENTES A LA CUENCA DEL RIO BOGOTA; MEDIANTE CONVENIO CON FONDECUN SE ACTUALIZAN LOS PGIRS DE 17 MUNICIPIOS ACORDE CON LA RES 1045 DE2003; MEDIANTE CONTRATO CON AQUAVIVA LTDA SE ESTAN ACTUALIZANDO 12 PGIRS A MUNICIPIOS CUENCA RIO BOGOTA ACORDE CON RES 754 DE 2014. MEDIANTE EPC SA ESP SE PROYECTA REALIZAR LA ACTUALIZACION DE 17 MUNICIPIOS MAS"/>
    <n v="20000000"/>
    <m/>
    <n v="1"/>
  </r>
  <r>
    <n v="391"/>
    <x v="1"/>
    <x v="8"/>
    <x v="15"/>
    <s v="PLANIFICACIÓN INTEGRAL DE LA GESTIÓN"/>
    <s v="CREAR Y/O FORTALECER 1 ASOCIACIÓN DE RECICLADORES Y/O RECUPERADORES EN CUNDINAMARCA, PARA PROMOVER LA PRODUCTIVIDAD DE LOS RESIDUOS SÓLIDOS EN EL DEPARTAMENTO EN EL PERIODO DE GOBIERNO."/>
    <s v="NO. DE ASOCIACIONES DE RECICLADORES Y/O RECUPERADORES EN FUNCIONAMIENTO"/>
    <s v="ASOCIACION"/>
    <s v="I"/>
    <n v="0"/>
    <n v="1"/>
    <n v="1"/>
    <n v="8.8999999999999996E-2"/>
    <n v="0"/>
    <n v="0"/>
    <n v="0"/>
    <n v="0"/>
    <n v="0"/>
    <n v="0"/>
    <n v="0"/>
    <n v="0"/>
    <n v="0"/>
    <n v="0"/>
    <n v="0"/>
    <n v="0"/>
    <n v="0"/>
    <n v="0"/>
    <n v="0"/>
    <n v="0"/>
    <n v="0"/>
    <n v="0"/>
    <n v="0"/>
    <n v="0"/>
    <n v="0"/>
    <n v="0"/>
    <n v="0"/>
    <n v="0"/>
    <n v="0"/>
    <n v="0"/>
    <n v="0"/>
    <n v="0"/>
    <n v="2.2249999999999999E-2"/>
    <n v="0.25"/>
    <n v="0.25"/>
    <n v="0.25"/>
    <n v="0.25"/>
    <n v="100"/>
    <n v="100"/>
    <n v="2.2250000000000002E-2"/>
    <n v="100"/>
    <n v="30000000"/>
    <n v="0"/>
    <n v="30000000"/>
    <n v="0"/>
    <n v="0"/>
    <n v="0"/>
    <n v="0"/>
    <n v="0"/>
    <n v="30000000"/>
    <n v="30000000"/>
    <n v="0"/>
    <n v="0"/>
    <n v="0"/>
    <n v="0"/>
    <n v="0"/>
    <n v="0"/>
    <n v="0"/>
    <n v="80000000"/>
    <s v="MUNICIPIOS DE CAJICA, SUBACHOQUE, EMPRESAS PUBLKICAS DE CAJICA, SECRETARIA DE INTEGRACION REGIONAL "/>
    <n v="3.56E-2"/>
    <n v="0.4"/>
    <n v="0.4"/>
    <n v="0.30000001192092896"/>
    <n v="0.40000000596046448"/>
    <n v="0.4"/>
    <n v="0.4"/>
    <n v="100"/>
    <n v="100"/>
    <n v="3.56E-2"/>
    <n v="100"/>
    <n v="3.56E-2"/>
    <n v="3.1149999999999997E-2"/>
    <n v="0.35"/>
    <n v="0.35"/>
    <n v="0.3"/>
    <n v="4.9999999999999989E-2"/>
    <n v="0.3"/>
    <n v="85.714285714285722"/>
    <n v="85.714285714285722"/>
    <n v="2.6699999999999998E-2"/>
    <n v="2.6699999999999998E-2"/>
    <n v="60000000"/>
    <n v="60000000"/>
    <n v="0"/>
    <n v="0"/>
    <n v="0"/>
    <n v="0"/>
    <n v="0"/>
    <n v="0"/>
    <n v="0"/>
    <n v="0"/>
    <n v="0"/>
    <n v="0"/>
    <n v="0"/>
    <n v="0"/>
    <n v="0"/>
    <n v="0"/>
    <n v="0"/>
    <n v="0"/>
    <n v="0"/>
    <n v="0.95"/>
    <n v="8.8999999999999996E-2"/>
    <n v="95"/>
    <n v="95"/>
    <n v="8.455E-2"/>
    <n v="8.455E-2"/>
    <n v="8.455E-2"/>
    <n v="1"/>
    <n v="0"/>
    <n v="388"/>
    <s v="REDUCIR EN 50 EL NÚMERO DE TONELADAS DE RESIDUOS SÓLIDOS DIARIAS QUE VAN A SITIOS DE DISPOSICIÓN FINAL EN EL DEPARTAMENTO."/>
    <m/>
    <s v=""/>
    <m/>
    <m/>
    <m/>
    <m/>
    <s v="2 ASOCIACIONES DE RECICLADORES FORTALECIDAS. MEDIANTE CONVENIOS 035 Y 036 DE 2013 SE APOYAN LAS ASOCIACIONES DE RECICLADORES EN LOS MUNICIPIOS DE CAJICA Y SUBACHOQUE PARA ADQUISICION DE LOS SUMINISTROS CONTEMPLADOS EN LOS CONVENIOS"/>
    <n v="821000000"/>
    <m/>
    <n v="100"/>
  </r>
  <r>
    <n v="392"/>
    <x v="1"/>
    <x v="8"/>
    <x v="15"/>
    <s v="ESTRATEGIAS PARA EL FORTALECIMIENTO DE LA GESTIÓN INTEGRAL"/>
    <s v="DISEÑAR E IMPLEMENTAR 2 SISTEMAS REGIONALES DE RECOLECCIÓN Y TRANSPORTE EN EL DEPARTAMENTO DE MANERA COORDINADA ENTRE EL GESTOR DEL PDA Y LAS ENTIDADES DEL NIVEL CENTRAL, PARA LA OPTIMIZACIÓN DE LA GESTIÓN INTEGRAL DE RESIDUOS SÓLIDOS EN EL PERIODO DE G"/>
    <s v="NO SISTEMAS REGIONALES DE RECOLECCIÓN Y TRANSPORTE EN FUNCIONAMIENTO."/>
    <s v="SISTEMAS"/>
    <s v="I"/>
    <n v="2"/>
    <n v="4"/>
    <n v="2"/>
    <n v="0.16500000000000001"/>
    <n v="0"/>
    <n v="0"/>
    <n v="0"/>
    <n v="0.1"/>
    <n v="0.1"/>
    <n v="0"/>
    <n v="0"/>
    <n v="0"/>
    <n v="100"/>
    <n v="0"/>
    <n v="0"/>
    <n v="0"/>
    <n v="0"/>
    <n v="0"/>
    <n v="0"/>
    <n v="0"/>
    <n v="0"/>
    <n v="7722802000"/>
    <n v="5279827000"/>
    <n v="28459000"/>
    <n v="2414516000"/>
    <n v="0"/>
    <n v="0"/>
    <n v="0"/>
    <n v="0"/>
    <n v="0"/>
    <n v="0"/>
    <n v="0"/>
    <n v="4.1250000000000002E-2"/>
    <n v="0.5"/>
    <n v="0.25"/>
    <n v="0.4"/>
    <n v="0.4"/>
    <n v="80"/>
    <n v="80"/>
    <n v="3.3000000000000002E-2"/>
    <n v="80"/>
    <n v="0"/>
    <n v="0"/>
    <n v="0"/>
    <n v="0"/>
    <n v="0"/>
    <n v="0"/>
    <n v="0"/>
    <n v="0"/>
    <n v="0"/>
    <n v="0"/>
    <n v="0"/>
    <n v="0"/>
    <n v="0"/>
    <n v="0"/>
    <n v="0"/>
    <n v="0"/>
    <n v="0"/>
    <n v="0"/>
    <n v="0"/>
    <n v="4.1250000000000002E-2"/>
    <n v="0.5"/>
    <n v="0.25"/>
    <n v="0.1"/>
    <n v="0"/>
    <n v="0.3"/>
    <n v="0.3"/>
    <n v="60"/>
    <n v="60"/>
    <n v="2.4750000000000001E-2"/>
    <n v="60"/>
    <n v="2.4750000000000001E-2"/>
    <n v="8.2500000000000004E-2"/>
    <n v="1"/>
    <n v="0.5"/>
    <n v="1.7"/>
    <n v="-0.7"/>
    <n v="1.7"/>
    <n v="170"/>
    <n v="100"/>
    <n v="8.2500000000000004E-2"/>
    <n v="0.14025000000000001"/>
    <n v="300000000"/>
    <n v="300000000"/>
    <n v="0"/>
    <n v="0"/>
    <n v="0"/>
    <n v="0"/>
    <n v="0"/>
    <n v="0"/>
    <n v="0"/>
    <n v="0"/>
    <n v="0"/>
    <n v="0"/>
    <n v="0"/>
    <n v="0"/>
    <n v="0"/>
    <n v="0"/>
    <n v="0"/>
    <n v="0"/>
    <n v="0"/>
    <n v="2.5"/>
    <n v="0.16500000000000001"/>
    <n v="125"/>
    <n v="100"/>
    <n v="0.16500000000000001"/>
    <n v="0.16500000000000001"/>
    <n v="0.16500000000000001"/>
    <n v="1"/>
    <n v="0"/>
    <n v="388"/>
    <s v="REDUCIR EN 50 EL NÚMERO DE TONELADAS DE RESIDUOS SÓLIDOS DIARIAS QUE VAN A SITIOS DE DISPOSICIÓN FINAL EN EL DEPARTAMENTO."/>
    <m/>
    <s v=""/>
    <m/>
    <m/>
    <m/>
    <m/>
    <s v="1,50 SISTEMAS REGIONALES EN FUNCIONAMIENTO. EPC SA ESP HA ADQUIRIDO Y DISTRIBUIDO 30 VEHICULOS COMPACTADORES A 29 MUNICIPIOS. SE ESTA IMPLEMENTANDO SISTEMA REGIONAL DE TRANSOPRTE EN LA PROVINCIA DE UBATE MEDIANTE EL CONVENIO FONDECUN 021-13"/>
    <n v="12000000000"/>
    <m/>
    <n v="1200"/>
  </r>
  <r>
    <n v="393"/>
    <x v="1"/>
    <x v="8"/>
    <x v="15"/>
    <s v="ESTRATEGIAS PARA EL FORTALECIMIENTO DE LA GESTIÓN INTEGRAL"/>
    <s v="DISEÑAR E IMPLEMENTAR 2 SISTEMAS DE TRANSFERENCIA Y/O APROVECHAMIENTO EN EL DEPARTAMENTO, DE MANERA COORDINADA ENTRE EL GESTOR DEL PDA Y LAS ENTIDADES DEL NIVEL CENTRAL AL FINALIZAR EL PERIODO DE GOBIERNO."/>
    <s v="NO DE SISTEMAS DE APROVECHAMIENTO EN FUNCIONAMIENTO"/>
    <s v="SISTEMAS"/>
    <s v="I"/>
    <n v="0"/>
    <n v="2"/>
    <n v="2"/>
    <n v="0.16500000000000001"/>
    <n v="0"/>
    <n v="0"/>
    <n v="0"/>
    <n v="0.15"/>
    <n v="0.15"/>
    <n v="0"/>
    <n v="0"/>
    <n v="0"/>
    <n v="100"/>
    <n v="0"/>
    <n v="0"/>
    <n v="0"/>
    <n v="0"/>
    <n v="0"/>
    <n v="0"/>
    <n v="0"/>
    <n v="0"/>
    <n v="0"/>
    <n v="0"/>
    <n v="0"/>
    <n v="0"/>
    <n v="0"/>
    <n v="0"/>
    <n v="0"/>
    <n v="0"/>
    <n v="0"/>
    <n v="0"/>
    <n v="0"/>
    <n v="4.1250000000000002E-2"/>
    <n v="0.5"/>
    <n v="0.25"/>
    <n v="0.4"/>
    <n v="0.4"/>
    <n v="80"/>
    <n v="80"/>
    <n v="3.3000000000000002E-2"/>
    <n v="80"/>
    <n v="100000000"/>
    <n v="0"/>
    <n v="100000000"/>
    <n v="0"/>
    <n v="0"/>
    <n v="0"/>
    <n v="0"/>
    <n v="0"/>
    <n v="100000000"/>
    <n v="100000000"/>
    <n v="0"/>
    <n v="0"/>
    <n v="0"/>
    <n v="0"/>
    <n v="0"/>
    <n v="0"/>
    <n v="0"/>
    <n v="0"/>
    <n v="0"/>
    <n v="4.1250000000000002E-2"/>
    <n v="0.5"/>
    <n v="0.25"/>
    <n v="0.10000000149011612"/>
    <n v="0.10000000149011612"/>
    <n v="0.30000001192092896"/>
    <n v="0.30000001192092896"/>
    <n v="60.000002384185791"/>
    <n v="60.000002384185791"/>
    <n v="2.4750000983476638E-2"/>
    <n v="60.000002384185791"/>
    <n v="2.4750000983476638E-2"/>
    <n v="8.2500000000000004E-2"/>
    <n v="1"/>
    <n v="0.5"/>
    <n v="0.6"/>
    <n v="0.4"/>
    <n v="0.6"/>
    <n v="60"/>
    <n v="60"/>
    <n v="4.9500000000000002E-2"/>
    <n v="4.9500000000000002E-2"/>
    <n v="200000000"/>
    <n v="200000000"/>
    <n v="0"/>
    <n v="0"/>
    <n v="0"/>
    <n v="0"/>
    <n v="0"/>
    <n v="0"/>
    <n v="0"/>
    <n v="0"/>
    <n v="0"/>
    <n v="0"/>
    <n v="0"/>
    <n v="0"/>
    <n v="0"/>
    <n v="0"/>
    <n v="0"/>
    <n v="0"/>
    <n v="0"/>
    <n v="1.4500000119209289"/>
    <n v="0.16500000000000001"/>
    <n v="72.500000596046448"/>
    <n v="72.500000596046448"/>
    <n v="0.11962500098347664"/>
    <n v="0.11962500098347664"/>
    <n v="0.11962500098347664"/>
    <n v="1"/>
    <n v="0"/>
    <n v="388"/>
    <s v="REDUCIR EN 50 EL NÚMERO DE TONELADAS DE RESIDUOS SÓLIDOS DIARIAS QUE VAN A SITIOS DE DISPOSICIÓN FINAL EN EL DEPARTAMENTO."/>
    <m/>
    <s v=""/>
    <m/>
    <m/>
    <m/>
    <m/>
    <s v="1,5 SISTEMAS REGIONALES DE APROVECHAMIENTO . MEDIANTE CONTRATACION CON FONDECUN SE ANALIZARON LOS SISTEMAS REGIONALES DE TRANSFERENCIA PROYECTADOS PARA QUE INICIEN SU FUNCIONAMIENTO, APOYARLOS Y ACOMPAÑARLOS EN SU FUNCIONAMIENTO INICIAL. ESTAN EN PROCSO UBATE, GUADUAS, ARBELAEZ Y PASCA._x000a_SE ADELANTA CONSTRUCCION DE LOS SISTEMAS DE APROVECHAMINETO EN LOS MUNICPIOS DE UBATE Y PACHO."/>
    <n v="0"/>
    <m/>
    <n v="20"/>
  </r>
  <r>
    <n v="394"/>
    <x v="1"/>
    <x v="8"/>
    <x v="15"/>
    <s v="ESTRATEGIAS PARA EL FORTALECIMIENTO DE LA GESTIÓN INTEGRAL"/>
    <s v="ESTABLECER CONTROL A LA DISPOSICIÓN FINAL DE 1.400.000 TON. DE RESIDUOS SÓLIDOS GENERADOS EN EL DEPARTAMENTO, MEDIANTE EL SEGUIMIENTO TÉCNICO, ADMINISTRATIVO, FINANCIERO, JURÍDICO Y SOCIO AMBIENTAL DE LA CONCESIÓN DEL RELLENO SANITARIO NUEVO MONDOÑEDO D"/>
    <s v="NO DE CONTROLES GENERADOS EN EL RELLENO SANITARIO NUEVO MONDOÑEDO. (TONELADAS)"/>
    <s v="TONELADAS"/>
    <s v="I"/>
    <n v="1500000"/>
    <n v="2900000"/>
    <n v="1400000"/>
    <n v="8.8999999999999996E-2"/>
    <n v="2.2249999999999999E-2"/>
    <n v="350000"/>
    <n v="0.25"/>
    <n v="350000"/>
    <n v="350000"/>
    <n v="100"/>
    <n v="100"/>
    <n v="2.2250000000000002E-2"/>
    <n v="100"/>
    <n v="173000000"/>
    <n v="133000000"/>
    <n v="0"/>
    <n v="0"/>
    <n v="0"/>
    <n v="0"/>
    <n v="0"/>
    <n v="40000000"/>
    <n v="113436000"/>
    <n v="83000000"/>
    <n v="0"/>
    <n v="0"/>
    <n v="0"/>
    <n v="0"/>
    <n v="0"/>
    <n v="30436000"/>
    <n v="0"/>
    <n v="0"/>
    <n v="0"/>
    <n v="2.2249999999999999E-2"/>
    <n v="350000"/>
    <n v="0.25"/>
    <n v="421844"/>
    <n v="421844"/>
    <n v="120.52685714285714"/>
    <n v="100"/>
    <n v="2.2250000000000002E-2"/>
    <n v="100"/>
    <n v="129000000"/>
    <n v="0"/>
    <n v="129000000"/>
    <n v="0"/>
    <n v="0"/>
    <n v="0"/>
    <n v="0"/>
    <n v="0"/>
    <n v="128997000"/>
    <n v="128997000"/>
    <n v="0"/>
    <n v="0"/>
    <n v="0"/>
    <n v="0"/>
    <n v="0"/>
    <n v="0"/>
    <n v="0"/>
    <n v="36462180"/>
    <s v="RECAUDO -FIDUCIA MERCANTIL "/>
    <n v="2.2249999999999999E-2"/>
    <n v="350000"/>
    <n v="0.25"/>
    <n v="181873"/>
    <n v="292890"/>
    <n v="439183"/>
    <n v="439183"/>
    <n v="125.48085714285715"/>
    <n v="100"/>
    <n v="2.2250000000000002E-2"/>
    <n v="100"/>
    <n v="2.7919490714285712E-2"/>
    <n v="2.2249999999999999E-2"/>
    <n v="350000"/>
    <n v="0.25"/>
    <n v="440000"/>
    <n v="-90000"/>
    <n v="440000"/>
    <n v="125.71428571428571"/>
    <n v="100"/>
    <n v="2.2250000000000002E-2"/>
    <n v="2.7971428571428567E-2"/>
    <n v="395000000"/>
    <n v="395000000"/>
    <n v="0"/>
    <n v="0"/>
    <n v="0"/>
    <n v="0"/>
    <n v="0"/>
    <n v="0"/>
    <n v="0"/>
    <n v="0"/>
    <n v="0"/>
    <n v="0"/>
    <n v="0"/>
    <n v="0"/>
    <n v="0"/>
    <n v="0"/>
    <n v="0"/>
    <n v="0"/>
    <n v="0"/>
    <n v="1651027"/>
    <n v="8.8999999999999996E-2"/>
    <n v="117.93049999999999"/>
    <n v="100"/>
    <n v="8.900000000000001E-2"/>
    <n v="8.8999999999999996E-2"/>
    <n v="8.8999999999999996E-2"/>
    <n v="1"/>
    <n v="0"/>
    <n v="388"/>
    <s v="REDUCIR EN 50 EL NÚMERO DE TONELADAS DE RESIDUOS SÓLIDOS DIARIAS QUE VAN A SITIOS DE DISPOSICIÓN FINAL EN EL DEPARTAMENTO."/>
    <m/>
    <s v=""/>
    <m/>
    <m/>
    <m/>
    <m/>
    <s v="1,651,027 TONELADAS DE RESIDUSO CONTROLADAS. SE HA VERIFICADO LA DISPOSICION FINAL ADECUADA DE LOS RESIDUOS SOLIDOS GENERADOS EN LAS AREAS URBANAS DE LOS 116 MUNICPIOS DEL DEPARTAMENTO, DE LOS CUALES 80 DISPONEN EN MONDOÑEDO Y LOS DEMAS EN RELLENOS PRIVADOS."/>
    <n v="75000000"/>
    <m/>
    <n v="4500"/>
  </r>
  <r>
    <n v="395"/>
    <x v="1"/>
    <x v="8"/>
    <x v="15"/>
    <s v="PROMOCIÓN Y CULTURA DE LA GESTIÓN INTEGRAL"/>
    <s v="PROMOVER EL DESARROLLO DE 2 PROYECTOS DE MANEJO INTEGRAL DE RESIDUOS SÓLIDOS MEDIANTE LA CONFORMACIÓN E IMPLEMENTACIÓN DE LA MESA DEPARTAMENTAL DE RESIDUOS SÓLIDOS, INSTANCIA DE CONCERTACIÓN REGIONAL DE CUNDINAMARCA EN EL PERIODO DE GOBIERNO."/>
    <s v="NO DE PROYECTOS PROMOVIDOS EN EL MANEJO DE RESIDUOS SÓLIDOS."/>
    <s v="PROYECTOS"/>
    <s v="I"/>
    <n v="0"/>
    <n v="2"/>
    <n v="2"/>
    <n v="0.25"/>
    <n v="0"/>
    <n v="0"/>
    <n v="0"/>
    <n v="0"/>
    <n v="0"/>
    <n v="0"/>
    <n v="0"/>
    <n v="0"/>
    <n v="0"/>
    <n v="0"/>
    <n v="0"/>
    <n v="0"/>
    <n v="0"/>
    <n v="0"/>
    <n v="0"/>
    <n v="0"/>
    <n v="0"/>
    <n v="0"/>
    <n v="0"/>
    <n v="0"/>
    <n v="0"/>
    <n v="0"/>
    <n v="0"/>
    <n v="0"/>
    <n v="0"/>
    <n v="0"/>
    <n v="0"/>
    <n v="0"/>
    <n v="6.25E-2"/>
    <n v="0.5"/>
    <n v="0.25"/>
    <n v="0.4"/>
    <n v="0.4"/>
    <n v="80"/>
    <n v="80"/>
    <n v="0.05"/>
    <n v="80"/>
    <n v="50000000"/>
    <n v="0"/>
    <n v="50000000"/>
    <n v="0"/>
    <n v="0"/>
    <n v="0"/>
    <n v="0"/>
    <n v="0"/>
    <n v="49918580"/>
    <n v="49918580"/>
    <n v="0"/>
    <n v="0"/>
    <n v="0"/>
    <n v="0"/>
    <n v="0"/>
    <n v="0"/>
    <n v="0"/>
    <n v="0"/>
    <n v="0"/>
    <n v="6.25E-2"/>
    <n v="0.5"/>
    <n v="0.25"/>
    <n v="0.43"/>
    <n v="0.80000001192092896"/>
    <n v="0.5"/>
    <n v="0.5"/>
    <n v="100"/>
    <n v="100"/>
    <n v="6.25E-2"/>
    <n v="100"/>
    <n v="6.25E-2"/>
    <n v="0.125"/>
    <n v="1"/>
    <n v="0.5"/>
    <n v="1"/>
    <n v="0"/>
    <n v="1"/>
    <n v="100"/>
    <n v="100"/>
    <n v="0.125"/>
    <n v="0.125"/>
    <n v="100000000"/>
    <n v="100000000"/>
    <n v="0"/>
    <n v="0"/>
    <n v="0"/>
    <n v="0"/>
    <n v="0"/>
    <n v="0"/>
    <n v="0"/>
    <n v="0"/>
    <n v="0"/>
    <n v="0"/>
    <n v="0"/>
    <n v="0"/>
    <n v="0"/>
    <n v="0"/>
    <n v="0"/>
    <n v="0"/>
    <n v="0"/>
    <n v="1.9"/>
    <n v="0.25"/>
    <n v="95"/>
    <n v="95"/>
    <n v="0.23749999999999999"/>
    <n v="0.23749999999999999"/>
    <n v="0.23749999999999999"/>
    <n v="1"/>
    <n v="0"/>
    <n v="388"/>
    <s v="REDUCIR EN 50 EL NÚMERO DE TONELADAS DE RESIDUOS SÓLIDOS DIARIAS QUE VAN A SITIOS DE DISPOSICIÓN FINAL EN EL DEPARTAMENTO."/>
    <m/>
    <s v=""/>
    <m/>
    <m/>
    <m/>
    <m/>
    <s v="2 PROYECTOS DE RESIDUOS PROMOVIDOS. LA MESA DE RECICLAJE HA FUNCIONADO PERIODICAMENTE; SE BUSCA PROMOVER EL DESARROLLO DE LOS PROYECTOS REGIONALES DE MANEJO INTEGRAL DE RESIDUOS SOLIDOS DE PACHO, UBATE, ORIENTE INICIALMENTE. COMPLEMENTARIO SE ESTA FORTAIENDO EL PROCESO DE MANEJO INTEGRAL DE RESIDUOS EN CAJICA Y SUBACHOQUE."/>
    <n v="75000000"/>
    <m/>
    <n v="1"/>
  </r>
  <r>
    <n v="396"/>
    <x v="1"/>
    <x v="8"/>
    <x v="15"/>
    <s v="PROMOCIÓN Y CULTURA DE LA GESTIÓN INTEGRAL"/>
    <s v=" _x000a_PROMOVER LA ADQUISICIÓN DE HABILIDADES EN PROCESOS DE MINIMIZACIÓN, SEPARACIÓN EN LA FUENTE Y RECICLAJE A TRAVÉS DE LA SENSIBILIZACIÓN, ASISTENCIA TÉCNICA Y ACOMPAÑAMIENTO A ADMINISTRACIONES MUNICIPALES A 10 COMUNIDADES DEL DEPARTAMENTO EN EL PERIODO DE GOBIERNO_x000a_"/>
    <s v="NO DE COMUNIDADES CON PROCESOS DE SEPARACIÓN EN LA FUENTE Y/O RECICLAJE IMPLEMENTADOS"/>
    <s v="COMUNIDADES"/>
    <s v="I"/>
    <n v="0"/>
    <n v="10"/>
    <n v="10"/>
    <n v="0.16500000000000001"/>
    <n v="0"/>
    <n v="0"/>
    <n v="0"/>
    <n v="0"/>
    <n v="0"/>
    <n v="0"/>
    <n v="0"/>
    <n v="0"/>
    <n v="0"/>
    <n v="0"/>
    <n v="0"/>
    <n v="0"/>
    <n v="0"/>
    <n v="0"/>
    <n v="0"/>
    <n v="0"/>
    <n v="0"/>
    <n v="0"/>
    <n v="0"/>
    <n v="0"/>
    <n v="0"/>
    <n v="0"/>
    <n v="0"/>
    <n v="0"/>
    <n v="0"/>
    <n v="0"/>
    <n v="0"/>
    <n v="0"/>
    <n v="3.3000000000000002E-2"/>
    <n v="2"/>
    <n v="0.2"/>
    <n v="2"/>
    <n v="2"/>
    <n v="100"/>
    <n v="100"/>
    <n v="3.3000000000000002E-2"/>
    <n v="100"/>
    <n v="50000000"/>
    <n v="0"/>
    <n v="50000000"/>
    <n v="0"/>
    <n v="0"/>
    <n v="0"/>
    <n v="0"/>
    <n v="0"/>
    <n v="50000000"/>
    <n v="50000000"/>
    <n v="0"/>
    <n v="0"/>
    <n v="0"/>
    <n v="0"/>
    <n v="0"/>
    <n v="0"/>
    <n v="0"/>
    <n v="1809957885"/>
    <n v="0"/>
    <n v="3.3000000000000002E-2"/>
    <n v="2"/>
    <n v="0.2"/>
    <n v="1.3"/>
    <n v="1.2999999523162842"/>
    <n v="2"/>
    <n v="2"/>
    <n v="100"/>
    <n v="100"/>
    <n v="3.3000000000000002E-2"/>
    <n v="100"/>
    <n v="3.3000000000000002E-2"/>
    <n v="9.9000000000000005E-2"/>
    <n v="6"/>
    <n v="0.6"/>
    <n v="23"/>
    <n v="-17"/>
    <n v="23"/>
    <n v="383.33333333333331"/>
    <n v="100"/>
    <n v="9.9000000000000005E-2"/>
    <n v="0.3795"/>
    <n v="100000000"/>
    <n v="100000000"/>
    <n v="0"/>
    <n v="0"/>
    <n v="0"/>
    <n v="0"/>
    <n v="0"/>
    <n v="0"/>
    <n v="0"/>
    <n v="0"/>
    <n v="0"/>
    <n v="0"/>
    <n v="0"/>
    <n v="0"/>
    <n v="0"/>
    <n v="0"/>
    <n v="0"/>
    <n v="0"/>
    <n v="0"/>
    <n v="27"/>
    <n v="0.16500000000000001"/>
    <n v="270"/>
    <n v="100"/>
    <n v="0.16500000000000001"/>
    <n v="0.16500000000000001"/>
    <n v="0.16500000000000001"/>
    <n v="1"/>
    <n v="0"/>
    <n v="388"/>
    <s v="REDUCIR EN 50 EL NÚMERO DE TONELADAS DE RESIDUOS SÓLIDOS DIARIAS QUE VAN A SITIOS DE DISPOSICIÓN FINAL EN EL DEPARTAMENTO."/>
    <m/>
    <s v=""/>
    <m/>
    <m/>
    <m/>
    <m/>
    <s v="27 COMUNIDADES CON PROCESOS DE SEPRACION EN LA FUENTE. IMPLEMENTAR PROCESOS DE CONCIENTIZACION AMBIENTAL EN 39 MUNICIPIOS DEL MILENIO MEDIANTE EL DESARROLLO DE 39 FESTIVALES AMBIENTALES, ENTREGA DE 117 PUNTOS ECOLOGICOS, APOYO A PROCESOS REGIONALES DE TRANSFERENCIA Y APROVECHAMIENTO DE RESIDUOS SOLIDOS. APOYO A MUNICIPIO DE SAN CAYETANO, PASCA, CAJICA Y SUBACHOQUE EN PROCESOS DE MANEJO INTEGRAL DE RESIDUOS SOLIDOS._x000a_SE ADELANTO PROCESOS DE SENSIBILIZACION DE LOS 18 MUNICPIOS DE LAS PROVINCIAS DE UBATE Y RIONEGRO"/>
    <n v="850000000"/>
    <m/>
    <n v="100"/>
  </r>
  <r>
    <n v="399"/>
    <x v="1"/>
    <x v="16"/>
    <x v="16"/>
    <s v="GESTIÓN INTEGRAL DEL RIESGO "/>
    <s v="ORGANIZAR 1 SISTEMA INTEGRADO DE INFORMACIÓN REGIONAL DURANTE EL PERIODO DE GOBIERNO PARA LA GESTIÓN DEL RIESGO"/>
    <s v="NO DE SISTEMAS DE INFORMACIÓN ORGANIZADOS"/>
    <s v="SISTEMAS"/>
    <s v="I"/>
    <n v="0"/>
    <n v="1"/>
    <n v="1"/>
    <n v="0.16500000000000001"/>
    <n v="0"/>
    <n v="0"/>
    <n v="0"/>
    <n v="0"/>
    <n v="0"/>
    <n v="0"/>
    <n v="0"/>
    <n v="0"/>
    <n v="0"/>
    <n v="50000000"/>
    <n v="50000000"/>
    <n v="0"/>
    <n v="0"/>
    <n v="0"/>
    <n v="0"/>
    <n v="0"/>
    <n v="0"/>
    <n v="0"/>
    <n v="0"/>
    <n v="0"/>
    <n v="0"/>
    <n v="0"/>
    <n v="0"/>
    <n v="0"/>
    <n v="0"/>
    <n v="0"/>
    <n v="0"/>
    <n v="0"/>
    <n v="3.3000000000000002E-2"/>
    <n v="0.2"/>
    <n v="0.2"/>
    <n v="0.25"/>
    <n v="0.25"/>
    <n v="125"/>
    <n v="100"/>
    <n v="3.3000000000000002E-2"/>
    <n v="100"/>
    <n v="442000000"/>
    <n v="0"/>
    <n v="130000000"/>
    <n v="0"/>
    <n v="0"/>
    <n v="0"/>
    <n v="0"/>
    <n v="312000000"/>
    <n v="52000000"/>
    <n v="52000000"/>
    <n v="0"/>
    <n v="0"/>
    <n v="0"/>
    <n v="0"/>
    <n v="0"/>
    <n v="0"/>
    <n v="0"/>
    <n v="0"/>
    <n v="0"/>
    <n v="6.6000000000000003E-2"/>
    <n v="0.4"/>
    <n v="0.4"/>
    <n v="0.3"/>
    <n v="0.3"/>
    <n v="0.4"/>
    <n v="0.4"/>
    <n v="100"/>
    <n v="100"/>
    <n v="6.6000000000000003E-2"/>
    <n v="100"/>
    <n v="6.6000000000000003E-2"/>
    <n v="6.6000000000000003E-2"/>
    <n v="0.4"/>
    <n v="0.4"/>
    <n v="0.35"/>
    <n v="5.0000000000000044E-2"/>
    <n v="0.35"/>
    <n v="87.5"/>
    <n v="87.5"/>
    <n v="5.7750000000000003E-2"/>
    <n v="5.7750000000000003E-2"/>
    <n v="704000000"/>
    <n v="390000000"/>
    <n v="0"/>
    <n v="0"/>
    <n v="0"/>
    <n v="0"/>
    <n v="0"/>
    <n v="314000000"/>
    <n v="0"/>
    <n v="0"/>
    <n v="0"/>
    <n v="0"/>
    <n v="0"/>
    <n v="0"/>
    <n v="0"/>
    <n v="0"/>
    <n v="0"/>
    <n v="0"/>
    <n v="0"/>
    <n v="1"/>
    <n v="0.16500000000000001"/>
    <n v="100"/>
    <n v="100"/>
    <n v="0.16500000000000001"/>
    <n v="0.16500000000000001"/>
    <n v="0.16500000000000001"/>
    <n v="1"/>
    <n v="0"/>
    <n v="397"/>
    <s v="7 PROVINCIAS CON MANEJO EN LA GESTIÓN INTEGRAL DEL RIESGO"/>
    <m/>
    <s v=""/>
    <m/>
    <m/>
    <m/>
    <m/>
    <s v="SE REALIZO LA MIGRACIÓN DE LA INFRAESTRUCTURA TECNOLÓGICA QUE SOPORTA LA HERRAMIENTA SIUS HACIA EL DATACENTER DE LA SECRETARIA DE TICS DE CUNDINAMARCA._x000a_ADICIONALMENTE SE LOGRÓ LA VINCULACIÓN DE UN GRAN NÚMERO DE ESE´S DEL DEPARTAMENTO PARA QUE INTEGRARAN SU INFORMACIÓN DE HISTORIA CLÍNICA DENTRO DE LA RED DEPARTAMENTAL MEDIANTE EL ENVIÓ DE MENSAJERÍA HL7. _x000a_EN LA DIRECCIÓN DE SALUD PÚBLICA SE ADELANTÓ LA CARACTERIZACIÓN DE LA FICHA FAMILIAR PARA MANEJAR LA CAPTURA DE LA INFORMACIÓN DE FORMA INTEGRADA CON EL SISTEMA DE INFORMACIÓN UNIFICADO EN SALUD -SIUS-, EN LÍNEA Y EN TIEMPO REAL."/>
    <n v="20000000"/>
    <m/>
    <n v="1"/>
  </r>
  <r>
    <n v="400"/>
    <x v="1"/>
    <x v="16"/>
    <x v="16"/>
    <s v="GESTIÓN INTEGRAL DEL RIESGO "/>
    <s v="FORTALECER 15 PROVINCIAS ( 116 MUNICIPIOS) EN CAPACIDAD PREVENTIVA, OPERATIVA Y DE RESPUESTA ANTE EMERGENCIAS Y DESASTRES, DURANTE EL PERIODO DE GOBIERNO "/>
    <s v="NO DE MUNICIPIOS FORTALECIDAS"/>
    <s v="PROVINCIAS"/>
    <s v="I"/>
    <n v="0"/>
    <n v="116"/>
    <n v="116"/>
    <n v="0.25"/>
    <n v="4.9568965517241381E-2"/>
    <n v="23"/>
    <n v="0.19827586206896552"/>
    <n v="47"/>
    <n v="47"/>
    <n v="204.34782608695653"/>
    <n v="100"/>
    <n v="4.9568965517241381E-2"/>
    <n v="100"/>
    <n v="1024000000"/>
    <n v="1024000000"/>
    <n v="0"/>
    <n v="0"/>
    <n v="0"/>
    <n v="0"/>
    <n v="0"/>
    <n v="0"/>
    <n v="3063000000"/>
    <n v="2363000000"/>
    <n v="0"/>
    <n v="700000000"/>
    <n v="0"/>
    <n v="0"/>
    <n v="0"/>
    <n v="0"/>
    <n v="0"/>
    <n v="0"/>
    <n v="0"/>
    <n v="4.9568965517241381E-2"/>
    <n v="23"/>
    <n v="0.19827586206896552"/>
    <n v="50"/>
    <n v="50"/>
    <n v="217.39130434782609"/>
    <n v="100"/>
    <n v="4.9568965517241381E-2"/>
    <n v="100"/>
    <n v="530000000"/>
    <n v="0"/>
    <n v="130000000"/>
    <n v="0"/>
    <n v="0"/>
    <n v="0"/>
    <n v="0"/>
    <n v="400000000"/>
    <n v="435317600"/>
    <n v="435317600"/>
    <n v="0"/>
    <n v="0"/>
    <n v="0"/>
    <n v="0"/>
    <n v="0"/>
    <n v="0"/>
    <n v="0"/>
    <n v="0"/>
    <n v="0"/>
    <n v="8.6206896551724144E-2"/>
    <n v="40"/>
    <n v="0.34482758620689657"/>
    <n v="15"/>
    <n v="15"/>
    <n v="15"/>
    <n v="15"/>
    <n v="37.5"/>
    <n v="37.5"/>
    <n v="3.2327586206896554E-2"/>
    <n v="37.5"/>
    <n v="3.2327586206896554E-2"/>
    <n v="6.4655172413793108E-2"/>
    <n v="30"/>
    <n v="0.25862068965517243"/>
    <n v="15"/>
    <n v="15"/>
    <n v="15"/>
    <n v="50"/>
    <n v="50"/>
    <n v="3.2327586206896554E-2"/>
    <n v="3.2327586206896554E-2"/>
    <n v="790000000"/>
    <n v="390000000"/>
    <n v="0"/>
    <n v="0"/>
    <n v="0"/>
    <n v="0"/>
    <n v="0"/>
    <n v="400000000"/>
    <n v="0"/>
    <n v="0"/>
    <n v="0"/>
    <n v="0"/>
    <n v="0"/>
    <n v="0"/>
    <n v="0"/>
    <n v="0"/>
    <n v="0"/>
    <n v="0"/>
    <n v="0"/>
    <n v="127"/>
    <n v="0.25"/>
    <n v="109.48275862068965"/>
    <n v="100"/>
    <n v="0.25"/>
    <n v="0.25"/>
    <n v="0.25"/>
    <n v="1"/>
    <n v="0"/>
    <n v="397"/>
    <s v="7 PROVINCIAS CON MANEJO EN LA GESTIÓN INTEGRAL DEL RIESGO"/>
    <m/>
    <s v=""/>
    <m/>
    <m/>
    <m/>
    <m/>
    <s v="SE LLEVO A CABO LA SOCIALIZACION DE LEY 1523 EN LA TOTALIDAD DE LOS MUNICIPIOS DE DEPARTAMENTO, LOGRANDO IDENTIFICAR LA POBLACION OBJETIVO MEDIANTE EL DIAGNOSTICO DE VULNERABILIDAD INSTITUCIONAL PARA LO CUALS E TRABAJO EN ASOCIO CON LA UNGRD, BRINDANDO ACOMPAÑAMIENTO A 22 MUNICIPIOS CON MÁS ALTOS INDICES DE NBI ( MUN MIILENIO) LO ANTERIOR PERMITIO PRIORIZAR ALGUNOS EJES DE ACCION QUE SE TRABAJARON DE MANERA TRASVERSAL CON LA SECRETARIA DE PLANEACION, IMPACTANDO DE MANERA DIRECTA EN 4 PROVINCIAS (RIONEGRO, ORIENTE, MEDINA, SUMAPAZ)"/>
    <n v="12000000"/>
    <m/>
    <n v="2"/>
  </r>
  <r>
    <n v="401"/>
    <x v="1"/>
    <x v="12"/>
    <x v="16"/>
    <s v="GESTIÓN INTEGRAL DEL RIESGO "/>
    <s v="APOYAR EL 20% (1.480 ) DE LOS PRODUCTORES AGROPECUARIOS QUE RESULTEN AFECTADOS POR EMERGENCIAS Y DESASTRES, DURANTE EL PERIODO GOBIERNO, PARA REACTIVAR SU ACTIVIDAD PRODUCTIVA "/>
    <s v="% DE PRODUCTORES APOYADOS"/>
    <s v="PUNTOS PORCENTUALES"/>
    <s v="I"/>
    <n v="0"/>
    <n v="20"/>
    <n v="20"/>
    <n v="0.16500000000000001"/>
    <n v="4.9500000000000002E-2"/>
    <n v="6"/>
    <n v="0.3"/>
    <n v="6"/>
    <n v="6"/>
    <n v="100"/>
    <n v="100"/>
    <n v="4.9500000000000002E-2"/>
    <n v="100"/>
    <n v="59000000"/>
    <n v="51000000"/>
    <n v="0"/>
    <n v="0"/>
    <n v="0"/>
    <n v="0"/>
    <n v="0"/>
    <n v="8000000"/>
    <n v="0"/>
    <n v="0"/>
    <n v="0"/>
    <n v="0"/>
    <n v="0"/>
    <n v="0"/>
    <n v="0"/>
    <n v="0"/>
    <n v="0"/>
    <n v="0"/>
    <n v="0"/>
    <n v="6.6000000000000008E-3"/>
    <n v="0.8"/>
    <n v="0.04"/>
    <n v="0.8"/>
    <n v="0.8"/>
    <n v="100"/>
    <n v="100"/>
    <n v="6.6E-3"/>
    <n v="100"/>
    <n v="1070000000"/>
    <n v="0"/>
    <n v="195000000"/>
    <n v="0"/>
    <n v="0"/>
    <n v="0"/>
    <n v="0"/>
    <n v="875000000"/>
    <n v="358000000"/>
    <n v="358000000"/>
    <n v="0"/>
    <n v="0"/>
    <n v="0"/>
    <n v="0"/>
    <n v="0"/>
    <n v="0"/>
    <n v="0"/>
    <n v="33300000"/>
    <s v="ASIAC - MUNICIPIOS "/>
    <n v="2.0625000000000001E-2"/>
    <n v="2.5"/>
    <n v="0.125"/>
    <n v="0"/>
    <n v="0"/>
    <n v="2.5"/>
    <n v="2.5"/>
    <n v="100"/>
    <n v="100"/>
    <n v="2.0625000000000001E-2"/>
    <n v="100"/>
    <n v="2.0625000000000001E-2"/>
    <n v="8.8274999999999992E-2"/>
    <n v="10.7"/>
    <n v="0.53499999999999992"/>
    <n v="90"/>
    <n v="-79.3"/>
    <n v="90"/>
    <n v="841.12149532710282"/>
    <n v="100"/>
    <n v="8.8274999999999992E-2"/>
    <n v="0.74250000000000005"/>
    <n v="1325000000"/>
    <n v="450000000"/>
    <n v="0"/>
    <n v="0"/>
    <n v="0"/>
    <n v="0"/>
    <n v="0"/>
    <n v="875000000"/>
    <n v="0"/>
    <n v="0"/>
    <n v="0"/>
    <n v="0"/>
    <n v="0"/>
    <n v="0"/>
    <n v="0"/>
    <n v="0"/>
    <n v="0"/>
    <n v="0"/>
    <n v="0"/>
    <n v="99.3"/>
    <n v="0.16499999999999998"/>
    <n v="496.5"/>
    <n v="100"/>
    <n v="0.16500000000000001"/>
    <n v="0.16500000000000001"/>
    <n v="0.16500000000000001"/>
    <n v="0.99999999999999989"/>
    <n v="0"/>
    <n v="397"/>
    <s v="7 PROVINCIAS CON MANEJO EN LA GESTIÓN INTEGRAL DEL RIESGO"/>
    <m/>
    <s v=""/>
    <m/>
    <m/>
    <m/>
    <m/>
    <s v="IMPLEMENTACIÓN DE 532 RESERVORIOS DE AGUA , PARA MITIGAR LOS EFECTOS EXTREMOS DE LA VARIABILIDAD CLIMÁTICAS, COMO ESTRATEGIA DE RECOLECCIÓN Y ALMACENAMIENTO DEL MISMO SIRVE PARA SOSTENIMIENTO EN ÉPOCAS DE SEQUÍA (FAMILIAR Y PRODUCTIVO ) Y PARA CONTROL DE ESCORRENTÍA EN ÉPOCA DE INVIERNO , SUMINISTRO DE 283 TANQUES DE ALMACENAMIENTO DE AGUA DE CAPACIDAD DE 1.000 LITROS, ENTREGA DE ALIMENTOS PARA BOVINOS AFECTADOS POR CAMBIOS CLIMÁTICOS "/>
    <n v="90000000"/>
    <m/>
    <n v="4.4999999999999998E-2"/>
  </r>
  <r>
    <n v="402"/>
    <x v="1"/>
    <x v="16"/>
    <x v="16"/>
    <s v="GESTIÓN INTEGRAL DEL RIESGO "/>
    <s v="CONSTRUIR 200 OBRAS DE INFRAESTRUCTURA, DURANTE EL PERIODO DE GOBIERNO, PARA PREVENCIÓN, PROTECCIÓN, MITIGACIÓN Y RECUPERACIÓN DE ZONAS EN RIESGO O AFECTADAS POR SITUACIÓN DE EMERGENCIA O DESASTRE."/>
    <s v="NO DE OBRAS CONSTRUIDAS "/>
    <s v="OBRAS"/>
    <s v="I"/>
    <n v="0"/>
    <n v="200"/>
    <n v="200"/>
    <n v="0.25"/>
    <n v="2.5000000000000001E-3"/>
    <n v="2"/>
    <n v="0.01"/>
    <n v="2"/>
    <n v="2"/>
    <n v="100"/>
    <n v="100"/>
    <n v="2.5000000000000001E-3"/>
    <n v="100"/>
    <n v="3120000000"/>
    <n v="2420000000"/>
    <n v="0"/>
    <n v="700000000"/>
    <n v="0"/>
    <n v="0"/>
    <n v="0"/>
    <n v="0"/>
    <n v="70000000"/>
    <n v="70000000"/>
    <n v="0"/>
    <n v="0"/>
    <n v="0"/>
    <n v="0"/>
    <n v="0"/>
    <n v="0"/>
    <n v="0"/>
    <n v="0"/>
    <n v="0"/>
    <n v="0.16625000000000001"/>
    <n v="133"/>
    <n v="0.66500000000000004"/>
    <n v="167"/>
    <n v="167"/>
    <n v="125.56390977443608"/>
    <n v="100"/>
    <n v="0.16625000000000001"/>
    <n v="100"/>
    <n v="380000000"/>
    <n v="0"/>
    <n v="130000000"/>
    <n v="0"/>
    <n v="0"/>
    <n v="0"/>
    <n v="0"/>
    <n v="250000000"/>
    <n v="1020000000"/>
    <n v="1020000000"/>
    <n v="0"/>
    <n v="0"/>
    <n v="0"/>
    <n v="0"/>
    <n v="0"/>
    <n v="0"/>
    <n v="0"/>
    <n v="0"/>
    <n v="0"/>
    <n v="6.25E-2"/>
    <n v="50"/>
    <n v="0.25"/>
    <n v="38"/>
    <n v="38"/>
    <n v="38"/>
    <n v="38"/>
    <n v="76"/>
    <n v="76"/>
    <n v="4.7500000000000001E-2"/>
    <n v="76"/>
    <n v="4.7500000000000001E-2"/>
    <n v="1.8749999999999999E-2"/>
    <n v="15"/>
    <n v="7.4999999999999997E-2"/>
    <n v="3"/>
    <n v="12"/>
    <n v="3"/>
    <n v="20"/>
    <n v="20"/>
    <n v="3.7499999999999999E-3"/>
    <n v="3.7499999999999999E-3"/>
    <n v="550000000"/>
    <n v="300000000"/>
    <n v="0"/>
    <n v="0"/>
    <n v="0"/>
    <n v="0"/>
    <n v="0"/>
    <n v="250000000"/>
    <n v="0"/>
    <n v="0"/>
    <n v="0"/>
    <n v="0"/>
    <n v="0"/>
    <n v="0"/>
    <n v="0"/>
    <n v="0"/>
    <n v="0"/>
    <n v="0"/>
    <n v="0"/>
    <n v="210"/>
    <n v="0.25"/>
    <n v="105"/>
    <n v="100"/>
    <n v="0.25"/>
    <n v="0.25"/>
    <n v="0.25"/>
    <n v="1"/>
    <n v="0"/>
    <n v="397"/>
    <s v="7 PROVINCIAS CON MANEJO EN LA GESTIÓN INTEGRAL DEL RIESGO"/>
    <m/>
    <s v=""/>
    <m/>
    <m/>
    <m/>
    <m/>
    <s v="LA UAEGRDC SE HA IMPLEMENTADO 4 OBRAS EN LOS MUNICIPIOS DE MEDINA, CAQUEZA Y LA MESA."/>
    <n v="0"/>
    <m/>
    <n v="6000"/>
  </r>
  <r>
    <n v="403"/>
    <x v="1"/>
    <x v="16"/>
    <x v="16"/>
    <s v="GESTIÓN INTEGRAL DEL RIESGO "/>
    <s v="MONITOREAR 2 ZONAS CRÍTICAS CON INFORMACIÓN OPORTUNA Y SEGUIMIENTO PERMANENTE, DURANTE EL PERIODO DE GOBIERNO, PARA GENERAR MEDIDAS DE PREVENCIÓN."/>
    <s v="NO DE ZONAS CRÍTICAS MONITOREADAS"/>
    <s v="ZONAS"/>
    <s v="M"/>
    <n v="0"/>
    <n v="2"/>
    <n v="2"/>
    <n v="0.16500000000000001"/>
    <n v="4.1250000000000002E-2"/>
    <n v="2"/>
    <n v="0.25"/>
    <n v="2"/>
    <n v="0.5"/>
    <n v="100"/>
    <n v="100"/>
    <n v="4.1250000000000002E-2"/>
    <n v="100"/>
    <n v="0"/>
    <n v="0"/>
    <n v="0"/>
    <n v="0"/>
    <n v="0"/>
    <n v="0"/>
    <n v="0"/>
    <n v="0"/>
    <n v="0"/>
    <n v="0"/>
    <n v="0"/>
    <n v="0"/>
    <n v="0"/>
    <n v="0"/>
    <n v="0"/>
    <n v="0"/>
    <n v="0"/>
    <n v="0"/>
    <n v="0"/>
    <n v="4.1250000000000002E-2"/>
    <n v="2"/>
    <n v="0.25"/>
    <n v="2"/>
    <n v="0.5"/>
    <n v="100"/>
    <n v="100"/>
    <n v="4.1250000000000002E-2"/>
    <n v="100"/>
    <n v="440000000"/>
    <n v="0"/>
    <n v="65000000"/>
    <n v="0"/>
    <n v="0"/>
    <n v="0"/>
    <n v="0"/>
    <n v="375000000"/>
    <n v="0"/>
    <n v="0"/>
    <n v="0"/>
    <n v="0"/>
    <n v="0"/>
    <n v="0"/>
    <n v="0"/>
    <n v="0"/>
    <n v="0"/>
    <n v="0"/>
    <n v="0"/>
    <n v="4.1250000000000002E-2"/>
    <n v="2"/>
    <n v="0.25"/>
    <n v="2"/>
    <n v="2"/>
    <n v="2"/>
    <n v="0.5"/>
    <n v="100"/>
    <n v="100"/>
    <n v="4.1250000000000002E-2"/>
    <n v="100"/>
    <n v="4.1250000000000002E-2"/>
    <n v="4.1250000000000002E-2"/>
    <n v="0"/>
    <n v="0.25"/>
    <n v="3"/>
    <n v="-3"/>
    <n v="0.75"/>
    <n v="0"/>
    <n v="0"/>
    <n v="0"/>
    <n v="0"/>
    <n v="525000000"/>
    <n v="150000000"/>
    <n v="0"/>
    <n v="0"/>
    <n v="0"/>
    <n v="0"/>
    <n v="0"/>
    <n v="375000000"/>
    <n v="0"/>
    <n v="0"/>
    <n v="0"/>
    <n v="0"/>
    <n v="0"/>
    <n v="0"/>
    <n v="0"/>
    <n v="0"/>
    <n v="0"/>
    <n v="0"/>
    <n v="0"/>
    <n v="2.25"/>
    <n v="0.16500000000000001"/>
    <n v="112.5"/>
    <n v="100"/>
    <n v="0.16500000000000001"/>
    <n v="0.16500000000000001"/>
    <n v="0.16500000000000001"/>
    <n v="1"/>
    <n v="0"/>
    <n v="398"/>
    <s v="AUMENTO EN UN 10% DE LA CAPACIDAD DE ADAPTACIÓN AL CAMBIO Y VARIABILIDAD CLIMÁTICA"/>
    <m/>
    <s v=""/>
    <m/>
    <m/>
    <m/>
    <m/>
    <s v="SE HA INICIADO LA ATENCION DE MONITOREO EN LA ZONA CRITICA DEL MUNICIPIO DE UTICA, MEDIANTE EL DIAGNOSTICO DEL SISTEMA DE ALERTAS TEMPRANAS Y LA IMPLEMENTACION MEDIANTE COOPERACION INTERINSTITUCIONAL PARA LA EMISORA COMUNITARIA; SE REALIZO ACOMPAÑAMIENTO CON LA UNGRD PARA EL AJUSTE EL ESQUEMA DE ORDENAMIENTO TERRIRORIAL DEL MUNICIPIO EL CUAL FUE PRESENTADO A CAR."/>
    <n v="0"/>
    <m/>
    <n v="0"/>
  </r>
  <r>
    <n v="404"/>
    <x v="1"/>
    <x v="16"/>
    <x v="16"/>
    <s v="GESTIÓN INTEGRAL DEL RIESGO "/>
    <s v="ATENDER AL 100% DE LA POBLACIÓN AFECTADA CON AYUDA HUMANITARIA DE EMERGENCIA, DURANTE EL PERIODO DE GOBIERNO."/>
    <s v="% DE POBLACIÓN ATENDIDA"/>
    <s v="PORCENTAJE DE POBLACION"/>
    <s v="M"/>
    <n v="0"/>
    <n v="100"/>
    <n v="100"/>
    <n v="0.16500000000000001"/>
    <n v="4.1250000000000002E-2"/>
    <n v="100"/>
    <n v="0.25"/>
    <n v="100"/>
    <n v="25"/>
    <n v="100"/>
    <n v="100"/>
    <n v="4.1250000000000002E-2"/>
    <n v="100"/>
    <n v="3705000000"/>
    <n v="2918000000"/>
    <n v="0"/>
    <n v="787000000"/>
    <n v="0"/>
    <n v="0"/>
    <n v="0"/>
    <n v="0"/>
    <n v="1243000000"/>
    <n v="1243000000"/>
    <n v="0"/>
    <n v="0"/>
    <n v="0"/>
    <n v="0"/>
    <n v="0"/>
    <n v="0"/>
    <n v="0"/>
    <n v="0"/>
    <n v="0"/>
    <n v="4.1250000000000002E-2"/>
    <n v="100"/>
    <n v="0.25"/>
    <n v="100"/>
    <n v="25"/>
    <n v="100"/>
    <n v="100"/>
    <n v="4.1250000000000002E-2"/>
    <n v="100"/>
    <n v="440000000"/>
    <n v="0"/>
    <n v="65000000"/>
    <n v="0"/>
    <n v="0"/>
    <n v="0"/>
    <n v="0"/>
    <n v="375000000"/>
    <n v="1796651041"/>
    <n v="1796651041"/>
    <n v="0"/>
    <n v="0"/>
    <n v="0"/>
    <n v="0"/>
    <n v="0"/>
    <n v="0"/>
    <n v="0"/>
    <n v="0"/>
    <n v="0"/>
    <n v="4.1250000000000002E-2"/>
    <n v="100"/>
    <n v="0.25"/>
    <n v="0"/>
    <n v="0"/>
    <n v="100"/>
    <n v="25"/>
    <n v="100"/>
    <n v="100"/>
    <n v="4.1250000000000002E-2"/>
    <n v="100"/>
    <n v="4.1250000000000002E-2"/>
    <n v="4.1250000000000002E-2"/>
    <n v="100"/>
    <n v="0.25"/>
    <n v="100"/>
    <n v="0"/>
    <n v="25"/>
    <n v="100"/>
    <n v="100"/>
    <n v="4.1250000000000002E-2"/>
    <n v="4.1250000000000002E-2"/>
    <n v="525000000"/>
    <n v="150000000"/>
    <n v="0"/>
    <n v="0"/>
    <n v="0"/>
    <n v="0"/>
    <n v="0"/>
    <n v="375000000"/>
    <n v="0"/>
    <n v="0"/>
    <n v="0"/>
    <n v="0"/>
    <n v="0"/>
    <n v="0"/>
    <n v="0"/>
    <n v="0"/>
    <n v="0"/>
    <n v="0"/>
    <n v="0"/>
    <n v="100"/>
    <n v="0.16500000000000001"/>
    <n v="100"/>
    <n v="100"/>
    <n v="0.16500000000000001"/>
    <n v="0.16500000000000001"/>
    <n v="0.16500000000000001"/>
    <n v="1"/>
    <n v="0"/>
    <n v="397"/>
    <s v="7 PROVINCIAS CON MANEJO EN LA GESTIÓN INTEGRAL DEL RIESGO"/>
    <m/>
    <s v=""/>
    <m/>
    <m/>
    <m/>
    <m/>
    <s v="SE HA APOYADO AL 100% DE LA POBLACION REPORTADA (5942 PERSONAS) POR SITUACIONES DE EMERGENCIA O DESASTRE, EN 25 MUNICIPIOS MEDIANTE LA ENTREGA DE 12104 ELEMENTOS DE AYUDA HUMANITARIA LOS CUALES HAN SIDO GESTIONADOS A TRAVES DEL GOBIERNO NACIONAL - UNGRD."/>
    <n v="0"/>
    <m/>
    <n v="0"/>
  </r>
  <r>
    <n v="405"/>
    <x v="1"/>
    <x v="0"/>
    <x v="16"/>
    <s v="GESTIÓN INTEGRAL DEL RIESGO "/>
    <s v="AUMENTAR EN LAS 40 ENTIDADES PRESTADORAS DE SERVICIOS DE SALUD DE CARÁCTER PÚBLICO DEPARTAMENTAL, EN EL PERIODO DE GOBIERNO, LA CAPACIDAD DE RESPUESTA ANTE EMERGENCIAS Y DESASTRES, MEDIANTE LA IMPLEMENTACIÓN DE LOS PLANES DE EMERGENCIA Y CONTINGENCIA. "/>
    <s v="NO DE ENTIDADES PRESTADORES DE SALUD PÚBLICA CON PLANES DE EMERGENCIA Y CONTINGENCIA IMPLEMENTADOS"/>
    <s v="IPS"/>
    <s v="I"/>
    <n v="12"/>
    <n v="52"/>
    <n v="40"/>
    <n v="0.16500000000000001"/>
    <n v="1.6500000000000001E-2"/>
    <n v="4"/>
    <n v="0.1"/>
    <n v="4"/>
    <n v="4"/>
    <n v="100"/>
    <n v="100"/>
    <n v="1.6500000000000001E-2"/>
    <n v="100"/>
    <n v="40000000"/>
    <n v="40000000"/>
    <n v="0"/>
    <n v="0"/>
    <n v="0"/>
    <n v="0"/>
    <n v="0"/>
    <n v="0"/>
    <n v="37000000"/>
    <n v="37000000"/>
    <n v="0"/>
    <n v="0"/>
    <n v="0"/>
    <n v="0"/>
    <n v="0"/>
    <n v="0"/>
    <n v="0"/>
    <n v="0"/>
    <n v="0"/>
    <n v="4.1250000000000002E-2"/>
    <n v="10"/>
    <n v="0.25"/>
    <n v="7"/>
    <n v="7"/>
    <n v="70"/>
    <n v="70"/>
    <n v="2.8875000000000001E-2"/>
    <n v="70"/>
    <n v="14000000"/>
    <n v="0"/>
    <n v="14000000"/>
    <n v="0"/>
    <n v="0"/>
    <n v="0"/>
    <n v="0"/>
    <n v="0"/>
    <n v="0"/>
    <n v="0"/>
    <n v="0"/>
    <n v="0"/>
    <n v="0"/>
    <n v="0"/>
    <n v="0"/>
    <n v="0"/>
    <n v="0"/>
    <n v="0"/>
    <n v="0"/>
    <n v="4.5375000000000006E-2"/>
    <n v="11"/>
    <n v="0.27500000000000002"/>
    <n v="4"/>
    <n v="4"/>
    <n v="13"/>
    <n v="13"/>
    <n v="118.18181818181819"/>
    <n v="100"/>
    <n v="4.5375000000000006E-2"/>
    <n v="100"/>
    <n v="5.3625000000000006E-2"/>
    <n v="6.1874999999999999E-2"/>
    <n v="15"/>
    <n v="0.375"/>
    <n v="21"/>
    <n v="-6"/>
    <n v="21"/>
    <n v="140"/>
    <n v="100"/>
    <n v="6.1874999999999999E-2"/>
    <n v="8.6624999999999994E-2"/>
    <n v="31000000"/>
    <n v="31000000"/>
    <n v="0"/>
    <n v="0"/>
    <n v="0"/>
    <n v="0"/>
    <n v="0"/>
    <n v="0"/>
    <n v="0"/>
    <n v="0"/>
    <n v="0"/>
    <n v="0"/>
    <n v="0"/>
    <n v="0"/>
    <n v="0"/>
    <n v="0"/>
    <n v="0"/>
    <n v="0"/>
    <n v="0"/>
    <n v="45"/>
    <n v="0.16500000000000001"/>
    <n v="112.5"/>
    <n v="100"/>
    <n v="0.16500000000000001"/>
    <n v="0.16500000000000001"/>
    <n v="0.16500000000000001"/>
    <n v="1"/>
    <n v="0"/>
    <n v="397"/>
    <s v="7 PROVINCIAS CON MANEJO EN LA GESTIÓN INTEGRAL DEL RIESGO"/>
    <m/>
    <s v=""/>
    <m/>
    <m/>
    <m/>
    <m/>
    <s v="SE HAN APROBADO TREINTA Y UN (31) PLANES HOSPITALARIOS DE EMERGENCIAS Y CONTINGENCIAS CORRESPONDIENTES A LAS SIGUIENTES ESES:_x000a_SAN ANTONIO DE ARBELÁEZ, SAN RAFAEL DE FUSAGASUGÁ, NUESTRA SEÑORA DEL PILAR DE MEDINA, MARÍA AUXILIADORA DE MOSQUERA, UNIDAD MÉDICA DE PACHO, DIVINO SALVADOR DE SOPÓ, TIMOTEO RIVEROS CUBILLOS DE UNE, PROFESOR JORGE CAVELIER DE CAJICÁ, SAN RAFAEL DE CÁQUEZA, NUESTRA SEÑORA DEL CARMEN DE EL COLEGIO, SAN ANTONIO DE LA VEGA, SANTA MATILDE DE MADRID, SAN VICENTE DE PAUL DE NEMOCÓN, SAN RAFAEL DE PACHO, CENTRO DE SALUD DE RICAURTE, CENTRO DE SALUD DE TAUSA, SANTA ROSA DE TENJO, SANTA BÁRBARA DE VERGARA, SALAZAR DE VILLETA HOSPITAL UNIVERSITARIO LA SAMARITANA DE BOGOTÁ, HABACUC CALDERÓN DE CARMEN DE CARUPA, CAYETANO MARÍA DE ROJAS DE EL PEÑÓN, SAN RAFAEL DE FACATATIVÁ, SAN VICENTE DE PAUL DE FÓMEQUE, SAN FRANCISCO DE GACHETÁ, SAN JOSÉ DE GUACHETÁ, PEDRO LEÓN ALVAREZ DE LA MESA, HILARIO LUGO DE SASAIMA, NUESTRA SEÑORA DEL CARMEN DE TABIO, Y MERCEDES TÉLLEZ PRADILLA DE VIANÍ."/>
    <n v="0"/>
    <m/>
    <n v="80"/>
  </r>
  <r>
    <n v="406"/>
    <x v="1"/>
    <x v="0"/>
    <x v="16"/>
    <s v="GESTIÓN INTEGRAL DEL RIESGO "/>
    <s v="MANTENER ATENCIÓN DE EMERGENCIA EN SALUD AL 100% DE LAS EMERGENCIAS Y DESASTRES DEL DEPARTAMENTO, EN EL CUATRIENIO."/>
    <s v="% DE EMERGENCIAS Y DESASTRES ATENDIDOS EN SALUD"/>
    <s v="PORCENTAJE DE EMERGENCIAS"/>
    <s v="M"/>
    <n v="100"/>
    <n v="100"/>
    <n v="100"/>
    <n v="0.16500000000000001"/>
    <n v="4.1250000000000002E-2"/>
    <n v="100"/>
    <n v="0.25"/>
    <n v="100"/>
    <n v="25"/>
    <n v="100"/>
    <n v="100"/>
    <n v="4.1250000000000002E-2"/>
    <n v="100"/>
    <n v="462000000"/>
    <n v="442000000"/>
    <n v="0"/>
    <n v="20000000"/>
    <n v="0"/>
    <n v="0"/>
    <n v="0"/>
    <n v="0"/>
    <n v="359965000"/>
    <n v="359965000"/>
    <n v="0"/>
    <n v="0"/>
    <n v="0"/>
    <n v="0"/>
    <n v="0"/>
    <n v="0"/>
    <n v="0"/>
    <n v="0"/>
    <n v="0"/>
    <n v="4.1250000000000002E-2"/>
    <n v="100"/>
    <n v="0.25"/>
    <n v="100"/>
    <n v="25"/>
    <n v="100"/>
    <n v="100"/>
    <n v="4.1250000000000002E-2"/>
    <n v="100"/>
    <n v="591000000"/>
    <n v="0"/>
    <n v="591000000"/>
    <n v="0"/>
    <n v="0"/>
    <n v="0"/>
    <n v="0"/>
    <n v="0"/>
    <n v="234233807"/>
    <n v="234233807"/>
    <n v="0"/>
    <n v="0"/>
    <n v="0"/>
    <n v="0"/>
    <n v="0"/>
    <n v="0"/>
    <n v="0"/>
    <n v="0"/>
    <n v="0"/>
    <n v="4.1250000000000002E-2"/>
    <n v="100"/>
    <n v="0.25"/>
    <n v="100"/>
    <n v="100"/>
    <n v="100"/>
    <n v="25"/>
    <n v="100"/>
    <n v="100"/>
    <n v="4.1250000000000002E-2"/>
    <n v="100"/>
    <n v="4.1250000000000002E-2"/>
    <n v="4.1250000000000002E-2"/>
    <n v="100"/>
    <n v="0.25"/>
    <n v="100"/>
    <n v="0"/>
    <n v="25"/>
    <n v="100"/>
    <n v="100"/>
    <n v="4.1250000000000002E-2"/>
    <n v="4.1250000000000002E-2"/>
    <n v="665000000"/>
    <n v="665000000"/>
    <n v="0"/>
    <n v="0"/>
    <n v="0"/>
    <n v="0"/>
    <n v="0"/>
    <n v="0"/>
    <n v="0"/>
    <n v="0"/>
    <n v="0"/>
    <n v="0"/>
    <n v="0"/>
    <n v="0"/>
    <n v="0"/>
    <n v="0"/>
    <n v="0"/>
    <n v="0"/>
    <n v="0"/>
    <n v="100"/>
    <n v="0.16500000000000001"/>
    <n v="100"/>
    <n v="100"/>
    <n v="0.16500000000000001"/>
    <n v="0.16500000000000001"/>
    <n v="0.16500000000000001"/>
    <n v="1"/>
    <n v="0"/>
    <n v="397"/>
    <s v="7 PROVINCIAS CON MANEJO EN LA GESTIÓN INTEGRAL DEL RIESGO"/>
    <m/>
    <s v=""/>
    <m/>
    <m/>
    <m/>
    <m/>
    <s v="SE HA ATENDIDO EL 100% DE LA EMEREGENCIAS Y DESASTTRES REPORTADOS AL CENTRO REGULADOR DE URGENCIAS, EMERGENCIAS Y DESASTRES-CRUE"/>
    <n v="0"/>
    <m/>
    <n v="50"/>
  </r>
  <r>
    <n v="407"/>
    <x v="1"/>
    <x v="0"/>
    <x v="16"/>
    <s v="GESTIÓN INTEGRAL DEL RIESGO "/>
    <s v="AUMENTAR LA CAPACIDAD DE RESPUESTA EN TRANSPORTE TERRESTRE DE LA RED PÚBLICA HOSPITALARIA DEL DEPARTAMENTO, MEDIANTE LA ADQUISICIÓN DE 120 AMBULANCIAS EN EL CUATRIENIO"/>
    <s v="NO DE AMBULANCIAS ADQUIRIDAS"/>
    <s v="AMBULANCIAS"/>
    <s v="I"/>
    <n v="96"/>
    <n v="216"/>
    <n v="120"/>
    <n v="0.16500000000000001"/>
    <n v="0"/>
    <n v="0"/>
    <n v="0"/>
    <n v="1"/>
    <n v="1"/>
    <n v="0"/>
    <n v="0"/>
    <n v="0"/>
    <n v="100"/>
    <n v="1000000000"/>
    <n v="1000000000"/>
    <n v="0"/>
    <n v="0"/>
    <n v="0"/>
    <n v="0"/>
    <n v="0"/>
    <n v="0"/>
    <n v="0"/>
    <n v="0"/>
    <n v="0"/>
    <n v="0"/>
    <n v="0"/>
    <n v="0"/>
    <n v="0"/>
    <n v="0"/>
    <n v="0"/>
    <n v="0"/>
    <n v="0"/>
    <n v="7.5624999999999998E-2"/>
    <n v="55"/>
    <n v="0.45833333333333331"/>
    <n v="55"/>
    <n v="55"/>
    <n v="100"/>
    <n v="100"/>
    <n v="7.5624999999999998E-2"/>
    <n v="100"/>
    <n v="850000000"/>
    <n v="0"/>
    <n v="850000000"/>
    <n v="0"/>
    <n v="0"/>
    <n v="0"/>
    <n v="0"/>
    <n v="0"/>
    <n v="2928567520"/>
    <n v="2168567520"/>
    <n v="0"/>
    <n v="760000000"/>
    <n v="0"/>
    <n v="0"/>
    <n v="0"/>
    <n v="0"/>
    <n v="0"/>
    <n v="0"/>
    <n v="0"/>
    <n v="6.0499999999999998E-2"/>
    <n v="44"/>
    <n v="0.36666666666666664"/>
    <n v="0"/>
    <n v="0"/>
    <n v="46"/>
    <n v="46"/>
    <n v="104.54545454545455"/>
    <n v="100"/>
    <n v="6.0499999999999998E-2"/>
    <n v="100"/>
    <n v="6.3250000000000001E-2"/>
    <n v="2.8874999999999998E-2"/>
    <n v="21"/>
    <n v="0.17499999999999999"/>
    <n v="17"/>
    <n v="4"/>
    <n v="17"/>
    <n v="80.952380952380949"/>
    <n v="80.952380952380949"/>
    <n v="2.3375E-2"/>
    <n v="2.3375E-2"/>
    <n v="0"/>
    <n v="0"/>
    <n v="0"/>
    <n v="0"/>
    <n v="0"/>
    <n v="0"/>
    <n v="0"/>
    <n v="0"/>
    <n v="0"/>
    <n v="0"/>
    <n v="0"/>
    <n v="0"/>
    <n v="0"/>
    <n v="0"/>
    <n v="0"/>
    <n v="0"/>
    <n v="0"/>
    <n v="0"/>
    <n v="0"/>
    <n v="119"/>
    <n v="0.16499999999999998"/>
    <n v="99.166666666666671"/>
    <n v="99.166666666666671"/>
    <n v="0.16362500000000002"/>
    <n v="0.16362500000000002"/>
    <n v="0.16362500000000002"/>
    <n v="1"/>
    <n v="0"/>
    <n v="397"/>
    <s v="7 PROVINCIAS CON MANEJO EN LA GESTIÓN INTEGRAL DEL RIESGO"/>
    <m/>
    <s v=""/>
    <m/>
    <m/>
    <m/>
    <m/>
    <s v="DURANTE LO CORRIDO DEL CUATRIENIO SE HAN ADQUIRIDO 101 AMBULANCIAS PARA LA RED HOSPITALARIA DEL DEPARTAMENTO"/>
    <n v="195000000"/>
    <m/>
    <n v="1"/>
  </r>
  <r>
    <n v="408"/>
    <x v="1"/>
    <x v="16"/>
    <x v="16"/>
    <s v="GESTIÓN INTEGRAL DEL RIESGO "/>
    <s v="FORTALECER CAPACIDADES Y HABILIDADES DE 35 INSTITUCIONES Y ORGANIZACIONES COMUNITARIAS LOCALES EN GESTIÓN DEL RIESGO."/>
    <s v="NO DE INSTITUCIONES Y ORGANIZACIONES COMUNITARIAS FORTALECIDAS EN GESTIÓN DEL RIESGO"/>
    <s v="INSTITUCIONES"/>
    <s v="I"/>
    <n v="0"/>
    <n v="35"/>
    <n v="35"/>
    <n v="0.16500000000000001"/>
    <n v="0"/>
    <n v="0"/>
    <n v="0"/>
    <n v="0"/>
    <n v="0"/>
    <n v="0"/>
    <n v="0"/>
    <n v="0"/>
    <n v="0"/>
    <n v="0"/>
    <n v="0"/>
    <n v="0"/>
    <n v="0"/>
    <n v="0"/>
    <n v="0"/>
    <n v="0"/>
    <n v="0"/>
    <n v="0"/>
    <n v="0"/>
    <n v="0"/>
    <n v="0"/>
    <n v="0"/>
    <n v="0"/>
    <n v="0"/>
    <n v="0"/>
    <n v="0"/>
    <n v="0"/>
    <n v="0"/>
    <n v="2.357142857142857E-2"/>
    <n v="5"/>
    <n v="0.14285714285714285"/>
    <n v="63"/>
    <n v="63"/>
    <n v="1260"/>
    <n v="100"/>
    <n v="2.3571428571428566E-2"/>
    <n v="100"/>
    <n v="0"/>
    <n v="0"/>
    <n v="0"/>
    <n v="0"/>
    <n v="0"/>
    <n v="0"/>
    <n v="0"/>
    <n v="0"/>
    <n v="1285150000"/>
    <n v="1285150000"/>
    <n v="0"/>
    <n v="0"/>
    <n v="0"/>
    <n v="0"/>
    <n v="0"/>
    <n v="0"/>
    <n v="0"/>
    <n v="0"/>
    <n v="0"/>
    <n v="7.0714285714285716E-2"/>
    <n v="15"/>
    <n v="0.42857142857142855"/>
    <n v="120"/>
    <n v="120"/>
    <n v="120"/>
    <n v="120"/>
    <n v="800"/>
    <n v="100"/>
    <n v="7.0714285714285716E-2"/>
    <n v="100"/>
    <n v="0.56571428571428573"/>
    <n v="7.0714285714285716E-2"/>
    <n v="15"/>
    <n v="0.42857142857142855"/>
    <n v="2"/>
    <n v="13"/>
    <n v="2"/>
    <n v="13.333333333333334"/>
    <n v="13.333333333333334"/>
    <n v="9.4285714285714303E-3"/>
    <n v="9.4285714285714303E-3"/>
    <n v="0"/>
    <n v="0"/>
    <n v="0"/>
    <n v="0"/>
    <n v="0"/>
    <n v="0"/>
    <n v="0"/>
    <n v="0"/>
    <n v="0"/>
    <n v="0"/>
    <n v="0"/>
    <n v="0"/>
    <n v="0"/>
    <n v="0"/>
    <n v="0"/>
    <n v="0"/>
    <n v="0"/>
    <n v="0"/>
    <n v="0"/>
    <n v="185"/>
    <n v="0.16499999999999998"/>
    <n v="528.57142857142856"/>
    <n v="100"/>
    <n v="0.16500000000000001"/>
    <n v="0.16500000000000001"/>
    <n v="0.16500000000000001"/>
    <n v="1"/>
    <n v="0"/>
    <n v="398"/>
    <s v="AUMENTO EN UN 10% DE LA CAPACIDAD DE ADAPTACIÓN AL CAMBIO Y VARIABILIDAD CLIMÁTICA"/>
    <m/>
    <s v=""/>
    <m/>
    <m/>
    <m/>
    <m/>
    <s v="FORTALECIERON ALREDEDOR DE 15 MUNICIPIOS DONDE SU ORGANIZACIONES COMUNITARIAS(63 ORGANIZACIONES COMINITARIAS APOYADAS EN LAS MISMAS 63 VEREDAS) CONTARON CON EL APOYO DEPARTAMENTAL EN GESTION DEL RIESGO DE DESASTRES LOGRANDO MAYORES ESTANDARES DE CONOCIMIENTO DE MITIGACION DE DESASTRES"/>
    <n v="0"/>
    <m/>
    <n v="0"/>
  </r>
  <r>
    <n v="409"/>
    <x v="1"/>
    <x v="15"/>
    <x v="16"/>
    <s v="ADAPTACIÓN AL CAMBIO Y VARIABILIDAD CLIMÁTICA"/>
    <s v="APOYAR LA IMPLEMENTACIÓN DE 2 PROYECTOS EN EL MARCO DEL PLAN REGIONAL INTEGRAL DE CAMBIO CLIMÁTICO - PRICC, DURANTE EL PERIODO DE GOBIERNO "/>
    <s v="NO DE PROYECTOS APOYADOS "/>
    <s v="PROYECTOS"/>
    <s v="I"/>
    <n v="0"/>
    <n v="2"/>
    <n v="2"/>
    <n v="0.16500000000000001"/>
    <n v="0"/>
    <n v="0"/>
    <n v="0"/>
    <n v="0"/>
    <n v="0"/>
    <n v="0"/>
    <n v="0"/>
    <n v="0"/>
    <n v="0"/>
    <n v="0"/>
    <n v="0"/>
    <n v="0"/>
    <n v="0"/>
    <n v="0"/>
    <n v="0"/>
    <n v="0"/>
    <n v="0"/>
    <n v="0"/>
    <n v="0"/>
    <n v="0"/>
    <n v="0"/>
    <n v="0"/>
    <n v="0"/>
    <n v="0"/>
    <n v="0"/>
    <n v="0"/>
    <n v="0"/>
    <n v="0"/>
    <n v="4.1250000000000002E-2"/>
    <n v="0.5"/>
    <n v="0.25"/>
    <n v="0.5"/>
    <n v="0.5"/>
    <n v="100"/>
    <n v="100"/>
    <n v="4.1250000000000002E-2"/>
    <n v="100"/>
    <n v="354000000"/>
    <n v="0"/>
    <n v="104000000"/>
    <n v="0"/>
    <n v="0"/>
    <n v="0"/>
    <n v="0"/>
    <n v="250000000"/>
    <n v="713000000"/>
    <n v="713000000"/>
    <n v="0"/>
    <n v="0"/>
    <n v="0"/>
    <n v="0"/>
    <n v="0"/>
    <n v="0"/>
    <n v="0"/>
    <n v="638990015"/>
    <s v="CORPORACION AUTONOMA REGIONAL DE CUNDINAMARCA- CAR MUNICIPIOS DE . TAUSA NEMOCON Y SUBACHOQUE "/>
    <n v="8.2500000000000004E-2"/>
    <n v="1"/>
    <n v="0.5"/>
    <n v="1"/>
    <n v="0.60000002384185791"/>
    <n v="1"/>
    <n v="1"/>
    <n v="100"/>
    <n v="100"/>
    <n v="8.2500000000000004E-2"/>
    <n v="100"/>
    <n v="8.2500000000000004E-2"/>
    <n v="4.1250000000000002E-2"/>
    <n v="0.5"/>
    <n v="0.25"/>
    <n v="0.5"/>
    <n v="0"/>
    <n v="0.5"/>
    <n v="100"/>
    <n v="100"/>
    <n v="4.1250000000000002E-2"/>
    <n v="4.1250000000000002E-2"/>
    <n v="490000000"/>
    <n v="240000000"/>
    <n v="0"/>
    <n v="0"/>
    <n v="0"/>
    <n v="0"/>
    <n v="0"/>
    <n v="250000000"/>
    <n v="0"/>
    <n v="0"/>
    <n v="0"/>
    <n v="0"/>
    <n v="0"/>
    <n v="0"/>
    <n v="0"/>
    <n v="0"/>
    <n v="0"/>
    <n v="0"/>
    <n v="0"/>
    <n v="2"/>
    <n v="0.16500000000000001"/>
    <n v="100"/>
    <n v="100"/>
    <n v="0.16500000000000001"/>
    <n v="0.16500000000000001"/>
    <n v="0.16500000000000001"/>
    <n v="1"/>
    <n v="0"/>
    <n v="398"/>
    <s v="AUMENTO EN UN 10% DE LA CAPACIDAD DE ADAPTACIÓN AL CAMBIO Y VARIABILIDAD CLIMÁTICA"/>
    <m/>
    <s v=""/>
    <m/>
    <m/>
    <m/>
    <m/>
    <s v="EN EL MARCO DEL PLAN REGIONAL DE CAMBIO CLIMÁTICO (PRICC) SE HAN DESARROLLADO DE MANERA CONJUNTA ENTRE LAS INSTITUCIONES SOCIAS, ESTUDIOS TÉCNICOS QUE PERMITEN CONOCER LAS CARACTERÍSTICAS DEL CLIMA PRESENTE Y FUTURO DE LA REGIÓN (PERFIL CLIMÁTICO), EVALUAR LA VULNERABILIDAD TERRITORIAL E INSTITUCIONAL A LA VARIABILIDAD Y AL CAMBIO CLIMÁTICO Y CONOCER EL INVENTARIO DE EMISIONES DE GASES DE EFECTO INVERNADERO. ASÍ MISMO SE IDENTIFICÓ UN PORTAFOLIO DE PROYECTOS PARA MEDIDAS DE MITIGACIÓN Y ADAPTACIÓN A LA VARIABILIDAD Y EL CAMBIO CLIMÁTICO EN LA REGIÓN BOGOTÁ –CUNDINAMARCA._x000a_CON INTERVENCIONES INTERINSTITUCIONALES TENDIENTES AL SANEAMIENTO, PROTECCIÓN Y RECUPERACIÓN DE CUENCAS HIDROGRÁFICAS CON ALCANCE REGIONAL ENTRE LAS CUALES ESTÁ LA DEL RIO BOGOTÁ, EJE    AMBIENTAL DE LA REGIÓN BOGOTÁ – CUNDINAMARCA. SE  ADELANTARON  ACCIONES CONJUNTAS CON LA CAR,  ENCAMINADAS  A  LA REDUCCIÓN Y MITIGACIÓN DE RIESGOS HIDROCLIMÁTICOS, A TRAVÉS DE LA EJECUCIÓN DE OBRAS HIDRÁULICAS DEL RÍO FRIO . ESTE PROYECTO SERA  ADICIONASDO EN SU EJECUCION EN TIEMPO Y RECURSOS LOS CUALES LOS APORTARA LA CAR   PARA  LA EJECUCION EN EL 2016 DE OBRAS NO  PREVISTA EN EL CONVENIO _x000a_SE REALIZARON ACCIONES CONJUNTAS CON VARIOS MUNICIPIOS, PARA EL APROVECHAMIENTO DE LOS RESIDUOS SÓLIDOS  A TRAVÉS DEL PROCESO DE RECICLAJE  Y EL MANEJO ADECUADO DE LOS MISMOS, CON EL FIN DEDISMINUIR  LA CANTIDAD DE RESIDUOS SÓLIDOS TRASPORTADOS AL RELLENO SANITARIO, LO QUE REDUNDA EN LA DISMINUCIÓN DE COSTOS  Y ADICIONALMENTE GENERA RECURSOS POR ACTIVIDADES  DE RECICLAJE  A PARTIR  DE PROCESOS DE SENSIBILIZACIÓN, CAPACITACIÓN  Y FORMACIÓN DE CAPACIDADES EN LA COMUNIDAD. EL PROPÓSITO GENERAL  ES MANEJAR TÉCNICAMENTE LOS RESIDUOS SÓLIDOS, DESDE SU GENERACIÓN HASTA LA DISPOSICIÓN  FINAL  CON EL FIN DE GARANTIZAR UN AMBIENTE SANO  _x000a_"/>
    <n v="5900000000"/>
    <m/>
    <n v="1"/>
  </r>
  <r>
    <n v="410"/>
    <x v="1"/>
    <x v="15"/>
    <x v="16"/>
    <s v="ADAPTACIÓN AL CAMBIO Y VARIABILIDAD CLIMÁTICA"/>
    <s v="ORGANIZAR 1 SISTEMA PARA LA OPERATIVIDAD DEL PLAN REGIONAL INTEGRAL DE CAMBIO CLIMÁTICO, EN EL PERIODO DE GOBIERNO, DE ACUERDO CON LAS DIRECTRICES DEL PLAN NACIONAL DE ADAPTACIÓN."/>
    <s v="NO DE SISTEMAS ORGANIZADOS"/>
    <s v="SISTEMAS"/>
    <s v="I"/>
    <n v="0"/>
    <n v="1"/>
    <n v="1"/>
    <n v="0.16500000000000001"/>
    <n v="0"/>
    <n v="0"/>
    <n v="0"/>
    <n v="0"/>
    <n v="0"/>
    <n v="0"/>
    <n v="0"/>
    <n v="0"/>
    <n v="0"/>
    <n v="0"/>
    <n v="0"/>
    <n v="0"/>
    <n v="0"/>
    <n v="0"/>
    <n v="0"/>
    <n v="0"/>
    <n v="0"/>
    <n v="0"/>
    <n v="0"/>
    <n v="0"/>
    <n v="0"/>
    <n v="0"/>
    <n v="0"/>
    <n v="0"/>
    <n v="0"/>
    <n v="0"/>
    <n v="0"/>
    <n v="0"/>
    <n v="4.9500000000000002E-2"/>
    <n v="0.3"/>
    <n v="0.3"/>
    <n v="0.3"/>
    <n v="0.3"/>
    <n v="100"/>
    <n v="100"/>
    <n v="4.9500000000000002E-2"/>
    <n v="100"/>
    <n v="148000000"/>
    <n v="0"/>
    <n v="88000000"/>
    <n v="0"/>
    <n v="0"/>
    <n v="0"/>
    <n v="0"/>
    <n v="60000000"/>
    <n v="88000000"/>
    <n v="88000000"/>
    <n v="0"/>
    <n v="0"/>
    <n v="0"/>
    <n v="0"/>
    <n v="0"/>
    <n v="0"/>
    <n v="0"/>
    <n v="0"/>
    <n v="0"/>
    <n v="4.9500000000000002E-2"/>
    <n v="0.3"/>
    <n v="0.3"/>
    <n v="0.1"/>
    <n v="0.15000000596046448"/>
    <n v="0.40000000596046448"/>
    <n v="0.40000000596046448"/>
    <n v="133.33333532015484"/>
    <n v="100"/>
    <n v="4.9500000000000002E-2"/>
    <n v="100"/>
    <n v="6.600000098347665E-2"/>
    <n v="6.6000000000000003E-2"/>
    <n v="0.4"/>
    <n v="0.4"/>
    <n v="0.2"/>
    <n v="0.2"/>
    <n v="0.2"/>
    <n v="50"/>
    <n v="50"/>
    <n v="3.3000000000000002E-2"/>
    <n v="3.3000000000000002E-2"/>
    <n v="168000000"/>
    <n v="88000000"/>
    <n v="0"/>
    <n v="0"/>
    <n v="0"/>
    <n v="0"/>
    <n v="0"/>
    <n v="80000000"/>
    <n v="0"/>
    <n v="0"/>
    <n v="0"/>
    <n v="0"/>
    <n v="0"/>
    <n v="0"/>
    <n v="0"/>
    <n v="0"/>
    <n v="0"/>
    <n v="0"/>
    <n v="0"/>
    <n v="0.90000000596046448"/>
    <n v="0.16500000000000001"/>
    <n v="90.000000596046448"/>
    <n v="90.000000596046448"/>
    <n v="0.14850000098347663"/>
    <n v="0.14850000098347663"/>
    <n v="0.14850000098347663"/>
    <n v="1"/>
    <n v="0"/>
    <n v="398"/>
    <s v="AUMENTO EN UN 10% DE LA CAPACIDAD DE ADAPTACIÓN AL CAMBIO Y VARIABILIDAD CLIMÁTICA"/>
    <m/>
    <s v=""/>
    <m/>
    <m/>
    <m/>
    <m/>
    <s v="COMO UNA ESTRATEGIA DE INTEGRACIÓN REGIONAL, QUE BUSCA LLEVAR LOS RESULTADOS Y CONOCIMIENTOS DEL PRICC AL NIVEL LOCAL, APOYANDO ASÍ LA TOMA DE DECISIONES SOBRE LOS TEMAS DE CAMBIO CLIMÁTICO, LA SECRETARÍA DE INTEGRACIÓN REGIONAL DEL DEPARTAMENTO HA PROMOVIDO DIFERENTES HERRAMIENTAS Y MÉTODOS PARA HACER ASEQUIBLE ESTE NUEVO CONOCIMIENTO, ELABORADO EN EL MARCO DEL PRICC, A LOS FUNCIONARIOS DEL NIVEL MUNICIPAL. PARA ESTO, SE CUENTA CON VISOR WEB DE LA INFORMACIÓN CARTOGRÁFICA TEMÁTICA SOBRE CAMBIO CLIMÁTICO._x000a__x000a_ SE ADELANTARON ACCIONES CON LA SECRETARIA DE LAS TIC  Y PENSANDO EN LAS POSIBILIDADES QUE PARA LA INTEGRACIÓN REGIONAL EN EL DEPARTAMENTO SIGNIFICA EL FORTALECIMIENTO DE LAS CAPACIDADES LOCALES, SE REQUIERE AVANZAR A PARTIR DE ESTE VISOR WEB HACIA UNA HERRAMIENTA QUE PERMITA LA CONSULTA PERSONALIZADA EN LÍNEA DE LA INFORMACIÓN GENERADA, EN EL SISTEMA DE ANÁLISIS GEOGRÁFICO AVANZADO (SAGA) DE LA GOBERNACIÓN DE CUNDINAMARCA, DE MODO QUE LOS FUNCIONARIOS DEL NIVEL MUNICIPAL PUEDAN TENER ACCESO DE PRIMERA MANO A LA INFORMACIÓN DEL PRICC QUE LE ES ÚTIL PARA ORIENTAR SU TOMA DE DECISIONES EN SU ORDENAMIENTO TERRITORIAL GESTION DEL RIESGO Y ACCIONES DE ADAPTACION MITIGACION DE LOS EFETOS DEL CAMBIO CLIMATICO.PENDIENTE DE TERMINAR  DE MIGRAR TODOS LOS DATOS  DEL PRICC A  EL SISTEMA  DE ANALISIS GREOGRAFICO AVANZADO  SAGA _x000a_"/>
    <n v="160000000"/>
    <m/>
    <n v="10"/>
  </r>
  <r>
    <n v="412"/>
    <x v="1"/>
    <x v="8"/>
    <x v="17"/>
    <s v=" CUNDINAMARCA POTENCIA FORESTAL ESTRATÉGICA PARA EL DESARROLLO"/>
    <s v="ESTABLECER 700 HECTÁREAS DE PLANTACIONES FORESTALES PARA FORTALECER EL PRIMER ESLABÓN DE LA CADENA FORESTAL DE LA REGIÓN BOGOTÁ - CUNDINAMARCA DURANTE LA PRESENTE ADMINISTRACIÓN."/>
    <s v="N° DE HECTÁREAS ESTABLECIDAS DE PLANTACIONES FORESTALES "/>
    <s v="HECTAREAS"/>
    <s v="I"/>
    <n v="7732"/>
    <n v="8432"/>
    <n v="700"/>
    <n v="0.33"/>
    <n v="2.357142857142857E-2"/>
    <n v="50"/>
    <n v="7.1428571428571425E-2"/>
    <n v="50"/>
    <n v="50"/>
    <n v="100"/>
    <n v="100"/>
    <n v="2.3571428571428566E-2"/>
    <n v="100"/>
    <n v="117000000"/>
    <n v="117000000"/>
    <n v="0"/>
    <n v="0"/>
    <n v="0"/>
    <n v="0"/>
    <n v="0"/>
    <n v="0"/>
    <n v="582939000"/>
    <n v="582939000"/>
    <n v="0"/>
    <n v="0"/>
    <n v="0"/>
    <n v="0"/>
    <n v="0"/>
    <n v="0"/>
    <n v="0"/>
    <n v="0"/>
    <n v="0"/>
    <n v="7.0714285714285716E-2"/>
    <n v="150"/>
    <n v="0.21428571428571427"/>
    <n v="450"/>
    <n v="450"/>
    <n v="300"/>
    <n v="100"/>
    <n v="7.0714285714285716E-2"/>
    <n v="100"/>
    <n v="1571000000"/>
    <n v="0"/>
    <n v="655000000"/>
    <n v="0"/>
    <n v="0"/>
    <n v="0"/>
    <n v="0"/>
    <n v="916000000"/>
    <n v="483013985"/>
    <n v="483013985"/>
    <n v="0"/>
    <n v="0"/>
    <n v="0"/>
    <n v="0"/>
    <n v="0"/>
    <n v="0"/>
    <n v="0"/>
    <n v="0"/>
    <n v="0"/>
    <n v="0.11785714285714287"/>
    <n v="250"/>
    <n v="0.35714285714285715"/>
    <n v="873.5"/>
    <n v="937"/>
    <n v="1022"/>
    <n v="1022"/>
    <n v="408.8"/>
    <n v="100"/>
    <n v="0.11785714285714287"/>
    <n v="100"/>
    <n v="0.48180000000000006"/>
    <n v="0.11785714285714287"/>
    <n v="250"/>
    <n v="0.35714285714285715"/>
    <n v="310"/>
    <n v="-60"/>
    <n v="310"/>
    <n v="124"/>
    <n v="100"/>
    <n v="0.11785714285714287"/>
    <n v="0.14614285714285716"/>
    <n v="2430000000"/>
    <n v="1513000000"/>
    <n v="0"/>
    <n v="0"/>
    <n v="0"/>
    <n v="0"/>
    <n v="0"/>
    <n v="917000000"/>
    <n v="0"/>
    <n v="0"/>
    <n v="0"/>
    <n v="0"/>
    <n v="0"/>
    <n v="0"/>
    <n v="0"/>
    <n v="0"/>
    <n v="0"/>
    <n v="0"/>
    <n v="0"/>
    <n v="1832"/>
    <n v="0.33"/>
    <n v="261.71428571428572"/>
    <n v="100"/>
    <n v="0.33"/>
    <n v="0.33"/>
    <n v="0.33"/>
    <n v="1"/>
    <n v="0"/>
    <n v="411"/>
    <s v="INCREMENTAR EL ÁREA DE PLANTACIONES FORESTALES PRODUCTIVAS A 10.132 HECTÁREAS EN EL PERIODO DE GOBIERNO. "/>
    <m/>
    <s v=""/>
    <m/>
    <m/>
    <m/>
    <m/>
    <s v="AUMENTO DE 1832  HECTAREAS DE CARÁCTER PRODUCTIVO PARA EL FORTALECIMIENTO DEL PRIMER ESLABON DE LA CADENA PRODUCTIVA "/>
    <n v="62926000000"/>
    <m/>
    <n v="116"/>
  </r>
  <r>
    <n v="413"/>
    <x v="1"/>
    <x v="8"/>
    <x v="17"/>
    <s v=" CUNDINAMARCA POTENCIA FORESTAL ESTRATÉGICA PARA EL DESARROLLO"/>
    <s v="ESTABLECER 700 HECTÁREAS DE PLANTACIONES FORESTALES PARA LA RECUPERACIÓN DE BOSQUE NATURAL EN EL CUATRIENIO"/>
    <s v="NO DE HECTÁREAS ESTABLECIDAS DE PLANTACIONES FORESTALES PARA LA RESTAURACIÓN"/>
    <s v="HECTAREAS"/>
    <s v="I"/>
    <n v="0"/>
    <n v="700"/>
    <n v="700"/>
    <n v="0.25"/>
    <n v="1.7857142857142856E-2"/>
    <n v="50"/>
    <n v="7.1428571428571425E-2"/>
    <n v="16"/>
    <n v="16"/>
    <n v="32"/>
    <n v="32"/>
    <n v="5.7142857142857143E-3"/>
    <n v="32"/>
    <n v="0"/>
    <n v="0"/>
    <n v="0"/>
    <n v="0"/>
    <n v="0"/>
    <n v="0"/>
    <n v="0"/>
    <n v="0"/>
    <n v="377500000"/>
    <n v="377500000"/>
    <n v="0"/>
    <n v="0"/>
    <n v="0"/>
    <n v="0"/>
    <n v="0"/>
    <n v="0"/>
    <n v="0"/>
    <n v="0"/>
    <n v="0"/>
    <n v="1.7857142857142856E-2"/>
    <n v="50"/>
    <n v="7.1428571428571425E-2"/>
    <n v="177"/>
    <n v="177"/>
    <n v="354"/>
    <n v="100"/>
    <n v="1.7857142857142856E-2"/>
    <n v="100"/>
    <n v="55000000"/>
    <n v="0"/>
    <n v="55000000"/>
    <n v="0"/>
    <n v="0"/>
    <n v="0"/>
    <n v="0"/>
    <n v="0"/>
    <n v="212402000"/>
    <n v="212402000"/>
    <n v="0"/>
    <n v="0"/>
    <n v="0"/>
    <n v="0"/>
    <n v="0"/>
    <n v="0"/>
    <n v="0"/>
    <n v="314103756"/>
    <s v="Corporinoquia"/>
    <n v="0.10714285714285714"/>
    <n v="300"/>
    <n v="0.42857142857142855"/>
    <n v="83"/>
    <n v="100"/>
    <n v="134"/>
    <n v="134"/>
    <n v="44.666666666666664"/>
    <n v="44.666666666666664"/>
    <n v="4.7857142857142855E-2"/>
    <n v="44.666666666666664"/>
    <n v="4.7857142857142855E-2"/>
    <n v="0.10714285714285714"/>
    <n v="300"/>
    <n v="0.42857142857142855"/>
    <n v="225"/>
    <n v="75"/>
    <n v="225"/>
    <n v="75"/>
    <n v="75"/>
    <n v="8.0357142857142849E-2"/>
    <n v="8.0357142857142849E-2"/>
    <n v="126000000"/>
    <n v="126000000"/>
    <n v="0"/>
    <n v="0"/>
    <n v="0"/>
    <n v="0"/>
    <n v="0"/>
    <n v="0"/>
    <n v="0"/>
    <n v="0"/>
    <n v="0"/>
    <n v="0"/>
    <n v="0"/>
    <n v="0"/>
    <n v="0"/>
    <n v="0"/>
    <n v="0"/>
    <n v="0"/>
    <n v="0"/>
    <n v="552"/>
    <n v="0.25"/>
    <n v="78.857142857142861"/>
    <n v="78.857142857142861"/>
    <n v="0.19714285714285715"/>
    <n v="0.19714285714285715"/>
    <n v="0.19714285714285715"/>
    <n v="1"/>
    <n v="0"/>
    <n v="411"/>
    <s v="INCREMENTAR EL ÁREA DE PLANTACIONES FORESTALES PRODUCTIVAS A 10.132 HECTÁREAS EN EL PERIODO DE GOBIERNO. "/>
    <m/>
    <s v=""/>
    <m/>
    <m/>
    <m/>
    <m/>
    <s v="REFORESTACION  DE  734 HECTAREAS DE CARÁCTER PROTECTOR  EN AREAS ESTRATEGICAS CONCERTADAS CON COMUNIDADES Y GOBIERNOS LOCALES Y REGIONALES , ASI COMO REFORESTACIONES EN PREDIOS ADQUIRIDOS POR LA SECRETARIA DEL AMBIENTE. SE INCORPORAN HECTAREAS REFORESTADAS MEDIANTE LA ESTRATEGIA CUNDINAMARCA NEUTRA.  "/>
    <n v="960000000"/>
    <m/>
    <n v="116"/>
  </r>
  <r>
    <n v="414"/>
    <x v="1"/>
    <x v="8"/>
    <x v="17"/>
    <s v=" CUNDINAMARCA POTENCIA FORESTAL ESTRATÉGICA PARA EL DESARROLLO"/>
    <s v="ESTABLECER 200 HECTÁREAS FORESTALES PARA LA PROTECCION DE BOSQUE NATURAL CON FINES PROTECTORES DURANTE EL CUATRIENIO"/>
    <s v="N° DE HECTÁREAS ESTABLECIDAS DE PLANTACIONES FORESTALES PROTECTORAS"/>
    <s v="HECTAREAS"/>
    <s v="I"/>
    <n v="0"/>
    <n v="200"/>
    <n v="200"/>
    <n v="0.25"/>
    <n v="3.7499999999999999E-2"/>
    <n v="30"/>
    <n v="0.15"/>
    <n v="4"/>
    <n v="4"/>
    <n v="13.333333333333334"/>
    <n v="13.333333333333334"/>
    <n v="5.0000000000000001E-3"/>
    <n v="13.333333333333334"/>
    <n v="41000000"/>
    <n v="41000000"/>
    <n v="0"/>
    <n v="0"/>
    <n v="0"/>
    <n v="0"/>
    <n v="0"/>
    <n v="0"/>
    <n v="155000000"/>
    <n v="155000000"/>
    <n v="0"/>
    <n v="0"/>
    <n v="0"/>
    <n v="0"/>
    <n v="0"/>
    <n v="0"/>
    <n v="0"/>
    <n v="0"/>
    <n v="0"/>
    <n v="2.5000000000000001E-2"/>
    <n v="20"/>
    <n v="0.1"/>
    <n v="140"/>
    <n v="140"/>
    <n v="700"/>
    <n v="100"/>
    <n v="2.5000000000000001E-2"/>
    <n v="100"/>
    <n v="23000000"/>
    <n v="0"/>
    <n v="23000000"/>
    <n v="0"/>
    <n v="0"/>
    <n v="0"/>
    <n v="0"/>
    <n v="0"/>
    <n v="55000000"/>
    <n v="55000000"/>
    <n v="0"/>
    <n v="0"/>
    <n v="0"/>
    <n v="0"/>
    <n v="0"/>
    <n v="0"/>
    <n v="0"/>
    <n v="0"/>
    <n v="0"/>
    <n v="8.7499999999999994E-2"/>
    <n v="70"/>
    <n v="0.35"/>
    <n v="73"/>
    <n v="93"/>
    <n v="92.099998474121094"/>
    <n v="92.099998474121094"/>
    <n v="131.57142639160156"/>
    <n v="100"/>
    <n v="8.7499999999999994E-2"/>
    <n v="100"/>
    <n v="0.11512499809265136"/>
    <n v="0.1"/>
    <n v="80"/>
    <n v="0.4"/>
    <n v="0"/>
    <n v="80"/>
    <n v="0"/>
    <n v="0"/>
    <n v="0"/>
    <n v="0"/>
    <n v="0"/>
    <n v="54000000"/>
    <n v="54000000"/>
    <n v="0"/>
    <n v="0"/>
    <n v="0"/>
    <n v="0"/>
    <n v="0"/>
    <n v="0"/>
    <n v="0"/>
    <n v="0"/>
    <n v="0"/>
    <n v="0"/>
    <n v="0"/>
    <n v="0"/>
    <n v="0"/>
    <n v="0"/>
    <n v="0"/>
    <n v="0"/>
    <n v="0"/>
    <n v="236.09999847412109"/>
    <n v="0.25"/>
    <n v="118.04999923706055"/>
    <n v="100"/>
    <n v="0.25"/>
    <n v="0.25"/>
    <n v="0.25"/>
    <n v="1"/>
    <n v="0"/>
    <n v="411"/>
    <s v="INCREMENTAR EL ÁREA DE PLANTACIONES FORESTALES PRODUCTIVAS A 10.132 HECTÁREAS EN EL PERIODO DE GOBIERNO. "/>
    <m/>
    <s v=""/>
    <m/>
    <m/>
    <m/>
    <m/>
    <s v="PROTECCION DE 236 HECTAREAS MEDIANTE EL ESTABLECIMIENTO DE ESPECIES NATIVAS  COMO LA GUADUA, EN AREAS DE RECARGA HIDIRCA . "/>
    <n v="3030000000"/>
    <m/>
    <n v="90"/>
  </r>
  <r>
    <n v="415"/>
    <x v="1"/>
    <x v="8"/>
    <x v="17"/>
    <s v=" CUNDINAMARCA POTENCIA FORESTAL ESTRATÉGICA PARA EL DESARROLLO"/>
    <s v="INSTALAR Y OPERAR 2 VIVEROS FORESTALES DE ESPECIES NATIVAS CON CAPACIDAD DE PRODUCCIÓN ANUAL DE 140.000 PLÁNTULAS , PARA EL SUMINISTRO DE MATERIAL VEGETAL A ESTABLECER EN PLANTACIONES FORESTALES PROTECTORAS Y/O PRODUCTORAS DURANTE EL PERIODO DE GOBIERNO"/>
    <s v="N° DE VIVEROS FORESTALES INSTALADOS"/>
    <s v="VIVEROS"/>
    <s v="I"/>
    <n v="0"/>
    <n v="2"/>
    <n v="2"/>
    <n v="0.16500000000000001"/>
    <n v="0"/>
    <n v="0"/>
    <n v="0"/>
    <n v="0"/>
    <n v="0"/>
    <n v="0"/>
    <n v="0"/>
    <n v="0"/>
    <n v="0"/>
    <n v="0"/>
    <n v="0"/>
    <n v="0"/>
    <n v="0"/>
    <n v="0"/>
    <n v="0"/>
    <n v="0"/>
    <n v="0"/>
    <n v="59540000"/>
    <n v="59540000"/>
    <n v="0"/>
    <n v="0"/>
    <n v="0"/>
    <n v="0"/>
    <n v="0"/>
    <n v="0"/>
    <n v="0"/>
    <n v="0"/>
    <n v="0"/>
    <n v="8.2500000000000004E-2"/>
    <n v="1"/>
    <n v="0.5"/>
    <n v="1"/>
    <n v="1"/>
    <n v="100"/>
    <n v="100"/>
    <n v="8.2500000000000004E-2"/>
    <n v="100"/>
    <n v="26000000"/>
    <n v="0"/>
    <n v="26000000"/>
    <n v="0"/>
    <n v="0"/>
    <n v="0"/>
    <n v="0"/>
    <n v="0"/>
    <n v="198774072"/>
    <n v="198774072"/>
    <n v="0"/>
    <n v="0"/>
    <n v="0"/>
    <n v="0"/>
    <n v="0"/>
    <n v="0"/>
    <n v="0"/>
    <n v="0"/>
    <n v="0"/>
    <n v="0"/>
    <n v="0"/>
    <n v="0"/>
    <n v="0.25"/>
    <n v="0.62999999523162842"/>
    <n v="1"/>
    <n v="1"/>
    <n v="0"/>
    <n v="0"/>
    <n v="0"/>
    <n v="100"/>
    <n v="0"/>
    <n v="8.2500000000000004E-2"/>
    <n v="1"/>
    <n v="0.5"/>
    <n v="0"/>
    <n v="1"/>
    <n v="0"/>
    <n v="0"/>
    <n v="0"/>
    <n v="0"/>
    <n v="0"/>
    <n v="60000000"/>
    <n v="60000000"/>
    <n v="0"/>
    <n v="0"/>
    <n v="0"/>
    <n v="0"/>
    <n v="0"/>
    <n v="0"/>
    <n v="0"/>
    <n v="0"/>
    <n v="0"/>
    <n v="0"/>
    <n v="0"/>
    <n v="0"/>
    <n v="0"/>
    <n v="0"/>
    <n v="0"/>
    <n v="0"/>
    <n v="0"/>
    <n v="2"/>
    <n v="0.16500000000000001"/>
    <n v="100"/>
    <n v="100"/>
    <n v="0.16500000000000001"/>
    <n v="0.16500000000000001"/>
    <n v="0.16500000000000001"/>
    <n v="1"/>
    <n v="0"/>
    <n v="411"/>
    <s v="INCREMENTAR EL ÁREA DE PLANTACIONES FORESTALES PRODUCTIVAS A 10.132 HECTÁREAS EN EL PERIODO DE GOBIERNO. "/>
    <m/>
    <s v=""/>
    <m/>
    <m/>
    <m/>
    <m/>
    <s v="SE CUENTA CON TRES CENTROS DE PROPAGACION CON LA CAPACIDAD INSTALADA DE 220.000 PLANTULAS ANUALES   EN LOS MUNICIPIOS DE SIBATE, NOCAIMA Y CAPARRAPI. UBICADOS ESTRATEGICAMENTE PARA LA PRUDUCCION DE ESPECIES DE DIFERENTES PISOS TERMICOS DEL DEPARTAMENTO "/>
    <n v="58000000"/>
    <m/>
    <n v="30"/>
  </r>
  <r>
    <n v="416"/>
    <x v="1"/>
    <x v="8"/>
    <x v="17"/>
    <s v="CUNDINAMARCA GENERADORA DE CONOCIMIENTO Y CONCIENCIA FORESTAL PARA EL PRESENTE Y EL FUTURO"/>
    <s v="EJECUTAR AL 100%, UN PROYECTO DE INVESTIGACIÓN APLICADA A ESPECIES FORESTALES NATIVAS MADERABLES Y NO MADERABLES PARA MEJORAR SISTEMAS PRODUCTIVOS AGROPECUARIOS DURANTE EL PRESENTE GOBIERNO"/>
    <s v="% DE EJECUCIÓN DEL PROYECTO DE INVESTIGACIÓN"/>
    <s v="PORCENTAJE"/>
    <s v="I"/>
    <n v="0"/>
    <n v="100"/>
    <n v="100"/>
    <n v="0.16500000000000001"/>
    <n v="0"/>
    <n v="0"/>
    <n v="0"/>
    <n v="0"/>
    <n v="0"/>
    <n v="0"/>
    <n v="0"/>
    <n v="0"/>
    <n v="0"/>
    <n v="0"/>
    <n v="0"/>
    <n v="0"/>
    <n v="0"/>
    <n v="0"/>
    <n v="0"/>
    <n v="0"/>
    <n v="0"/>
    <n v="0"/>
    <n v="0"/>
    <n v="0"/>
    <n v="0"/>
    <n v="0"/>
    <n v="0"/>
    <n v="0"/>
    <n v="0"/>
    <n v="0"/>
    <n v="0"/>
    <n v="0"/>
    <n v="4.9500000000000002E-2"/>
    <n v="30"/>
    <n v="0.3"/>
    <n v="10"/>
    <n v="10"/>
    <n v="33.333333333333336"/>
    <n v="33.333333333333336"/>
    <n v="1.6500000000000001E-2"/>
    <n v="33.333333333333336"/>
    <n v="26000000"/>
    <n v="0"/>
    <n v="26000000"/>
    <n v="0"/>
    <n v="0"/>
    <n v="0"/>
    <n v="0"/>
    <n v="0"/>
    <n v="1845000"/>
    <n v="1845000"/>
    <n v="0"/>
    <n v="0"/>
    <n v="0"/>
    <n v="0"/>
    <n v="0"/>
    <n v="0"/>
    <n v="0"/>
    <n v="0"/>
    <n v="0"/>
    <n v="4.9500000000000002E-2"/>
    <n v="30"/>
    <n v="0.3"/>
    <n v="0.2"/>
    <n v="0.20000000298023224"/>
    <n v="20"/>
    <n v="20"/>
    <n v="66.666666666666671"/>
    <n v="66.666666666666671"/>
    <n v="3.3000000000000002E-2"/>
    <n v="66.666666666666671"/>
    <n v="3.3000000000000002E-2"/>
    <n v="6.6000000000000003E-2"/>
    <n v="40"/>
    <n v="0.4"/>
    <n v="70"/>
    <n v="-30"/>
    <n v="70"/>
    <n v="175"/>
    <n v="100"/>
    <n v="6.6000000000000003E-2"/>
    <n v="0.11550000000000001"/>
    <n v="60000000"/>
    <n v="60000000"/>
    <n v="0"/>
    <n v="0"/>
    <n v="0"/>
    <n v="0"/>
    <n v="0"/>
    <n v="0"/>
    <n v="0"/>
    <n v="0"/>
    <n v="0"/>
    <n v="0"/>
    <n v="0"/>
    <n v="0"/>
    <n v="0"/>
    <n v="0"/>
    <n v="0"/>
    <n v="0"/>
    <n v="0"/>
    <n v="100"/>
    <n v="0.16500000000000001"/>
    <n v="100"/>
    <n v="100"/>
    <n v="0.16500000000000001"/>
    <n v="0.16500000000000001"/>
    <n v="0.16500000000000001"/>
    <n v="1"/>
    <n v="0"/>
    <n v="411"/>
    <s v="INCREMENTAR EL ÁREA DE PLANTACIONES FORESTALES PRODUCTIVAS A 10.132 HECTÁREAS EN EL PERIODO DE GOBIERNO. "/>
    <m/>
    <s v=""/>
    <m/>
    <m/>
    <m/>
    <m/>
    <s v="100% DE EJECUCION DE UN PROYECTO. EN EL MARCO DEL CONVENIO NÚMERO 003 DEL 2014 CELEBRADO CON EL CENTRO INTERNACIONAL DE FÍSICA SE ADELANTO EL PROCESO INVESTIGATIVO RELACIONADO CON LA DEFINICIÓN DE PROTOCOLOS PARA LA PROPAGACION DE ESPECIES FORESTALES NATIVAS. LA PUBLICACIÓN DE LOS RESULTADOS DE LA INVESTIGACIÓN SE REALIZO EN EL SEGUNDO ENCUENTRO DE LIDERES AMBIENTALES, EVENTO QUE SE LLEVO A CABO EL DÍA  04 DE AGOSTO 2015. LA SECRETARIA RECONOCE LA IMPORTANCIA DE CONTINUAR CON LOS PROCESO DE INVESTIGACIÓN CON EL FIN DE FORTALECER LOS PROCESOS DE  PROMOCIÓN Y DESARROLLO DE ESPECIES NATIVAS PROMISORIAS PARA LA EFECTIVA REVEGETALIZACIÓN DE LAS ÁREAS ESTRATÉGICAS, POR LO CUAL SE CONTINUA CON LA ACTIVIDAD."/>
    <n v="533000000"/>
    <m/>
    <n v="10"/>
  </r>
  <r>
    <n v="417"/>
    <x v="1"/>
    <x v="8"/>
    <x v="17"/>
    <s v="MUNICIPIOS CUNDINAMARQUESES REVERDECIDOS Y CON OPORTUNIDADES SUSTENTABLES DE NEGOCIO"/>
    <s v="REALIZAR UN PROYECTO PILOTO DE SILVICULTURA PARA EL MANEJO DEL ARBOLADO URBANO DURANTE LA PRESENTE ADMINISTRACIÓN "/>
    <s v="N° DE PROYECTOS PILOTO REALIZADOS"/>
    <s v="PROYECTO"/>
    <s v="I"/>
    <n v="0"/>
    <n v="1"/>
    <n v="1"/>
    <n v="0.16500000000000001"/>
    <n v="0"/>
    <n v="0"/>
    <n v="0"/>
    <n v="0"/>
    <n v="0"/>
    <n v="0"/>
    <n v="0"/>
    <n v="0"/>
    <n v="0"/>
    <n v="0"/>
    <n v="0"/>
    <n v="0"/>
    <n v="0"/>
    <n v="0"/>
    <n v="0"/>
    <n v="0"/>
    <n v="0"/>
    <n v="0"/>
    <n v="0"/>
    <n v="0"/>
    <n v="0"/>
    <n v="0"/>
    <n v="0"/>
    <n v="0"/>
    <n v="0"/>
    <n v="0"/>
    <n v="0"/>
    <n v="0"/>
    <n v="4.9500000000000002E-2"/>
    <n v="0.3"/>
    <n v="0.3"/>
    <n v="0.3"/>
    <n v="0.3"/>
    <n v="100"/>
    <n v="100"/>
    <n v="4.9500000000000002E-2"/>
    <n v="100"/>
    <n v="3000000"/>
    <n v="0"/>
    <n v="3000000"/>
    <n v="0"/>
    <n v="0"/>
    <n v="0"/>
    <n v="0"/>
    <n v="0"/>
    <n v="133292000"/>
    <n v="133292000"/>
    <n v="0"/>
    <n v="0"/>
    <n v="0"/>
    <n v="0"/>
    <n v="0"/>
    <n v="0"/>
    <n v="0"/>
    <n v="0"/>
    <n v="0"/>
    <n v="4.9500000000000002E-2"/>
    <n v="0.3"/>
    <n v="0.3"/>
    <n v="0.3"/>
    <n v="0.44999998807907104"/>
    <n v="1"/>
    <n v="1"/>
    <n v="333.33333333333337"/>
    <n v="100"/>
    <n v="4.9500000000000002E-2"/>
    <n v="100"/>
    <n v="0.16500000000000004"/>
    <n v="6.6000000000000003E-2"/>
    <n v="0.4"/>
    <n v="0.4"/>
    <n v="0.6"/>
    <n v="-0.19999999999999996"/>
    <n v="0.6"/>
    <n v="150"/>
    <n v="100"/>
    <n v="6.6000000000000003E-2"/>
    <n v="9.9000000000000005E-2"/>
    <n v="7000000"/>
    <n v="7000000"/>
    <n v="0"/>
    <n v="0"/>
    <n v="0"/>
    <n v="0"/>
    <n v="0"/>
    <n v="0"/>
    <n v="0"/>
    <n v="0"/>
    <n v="0"/>
    <n v="0"/>
    <n v="0"/>
    <n v="0"/>
    <n v="0"/>
    <n v="0"/>
    <n v="0"/>
    <n v="0"/>
    <n v="0"/>
    <n v="1.9"/>
    <n v="0.16500000000000001"/>
    <n v="190"/>
    <n v="100"/>
    <n v="0.16500000000000001"/>
    <n v="0.16500000000000001"/>
    <n v="0.16500000000000001"/>
    <n v="1"/>
    <n v="0"/>
    <n v="411"/>
    <s v="INCREMENTAR EL ÁREA DE PLANTACIONES FORESTALES PRODUCTIVAS A 10.132 HECTÁREAS EN EL PERIODO DE GOBIERNO. "/>
    <m/>
    <s v=""/>
    <m/>
    <m/>
    <m/>
    <m/>
    <s v="REALIZACION DE 1,8 PROYECTOS PILOTO . SE FIRMARON  7 CONVENIOS CON ALCALDÍAS MUNICIPALES PARA REALIZAR SIEMBRA DE FOMENTO  DE PAISAJISMO EN LAS CABECERAS MUNICIPALES Y ZONAS SUBURBANAS EN LA VIGENCIA 2013; A LOS CUALES SE LE BRINDO ASISTENCIA TECNICA Y EL PRIMER MANTENIMIENTO EN LA VIGENCIA 2014; CONFORME A LA ACOGIDA DEL PROYECTO PILOTO EN LA ACTUAL VIGENCIA SE SUSCRIBIO CONVENIOS CON 4 MUNICIPIOS MAS PARA EL EMBELLECIMIENTO DE ZONAS URBANAS, EL CUAL SE ENCUENTRA EN EJECUCIÓN."/>
    <n v="25000000"/>
    <m/>
    <n v="150000"/>
  </r>
  <r>
    <n v="418"/>
    <x v="1"/>
    <x v="8"/>
    <x v="17"/>
    <s v="ENGRANAJE INSTITUCIONAL E INTERINSTITUCIONAL PARA EL DESARROLLO PRODUCTIVO DE LOS BOSQUES DE CUNDINAMARCA"/>
    <s v="PROMOVER LAS ALIANZAS PÚBLICO - PRIVADAS PARA LA CONFORMACIÓN DE 2 NÚCLEOS FORESTALES PRODUCTIVOS QUE BENEFICIEN A LOS HABITANTES DE 2 PROVINCIAS DURANTE LA PRESENTE ADMINISTRACIÓN"/>
    <s v="N° DE NÚCLEOS FORESTALES CONFORMADOS"/>
    <s v="NUCLEOS FORESTALES"/>
    <s v="I"/>
    <n v="0"/>
    <n v="2"/>
    <n v="2"/>
    <n v="0.16500000000000001"/>
    <n v="0"/>
    <n v="0"/>
    <n v="0"/>
    <n v="0"/>
    <n v="0"/>
    <n v="0"/>
    <n v="0"/>
    <n v="0"/>
    <n v="0"/>
    <n v="70000000"/>
    <n v="70000000"/>
    <n v="0"/>
    <n v="0"/>
    <n v="0"/>
    <n v="0"/>
    <n v="0"/>
    <n v="0"/>
    <n v="0"/>
    <n v="0"/>
    <n v="0"/>
    <n v="0"/>
    <n v="0"/>
    <n v="0"/>
    <n v="0"/>
    <n v="0"/>
    <n v="0"/>
    <n v="0"/>
    <n v="0"/>
    <n v="8.2500000000000004E-2"/>
    <n v="1"/>
    <n v="0.5"/>
    <n v="1"/>
    <n v="1"/>
    <n v="100"/>
    <n v="100"/>
    <n v="8.2500000000000004E-2"/>
    <n v="100"/>
    <n v="0"/>
    <n v="0"/>
    <n v="0"/>
    <n v="0"/>
    <n v="0"/>
    <n v="0"/>
    <n v="0"/>
    <n v="0"/>
    <n v="0"/>
    <n v="0"/>
    <n v="0"/>
    <n v="0"/>
    <n v="0"/>
    <n v="0"/>
    <n v="0"/>
    <n v="0"/>
    <n v="0"/>
    <n v="0"/>
    <n v="0"/>
    <n v="8.2500000000000004E-2"/>
    <n v="1"/>
    <n v="0.5"/>
    <n v="0.3"/>
    <n v="0.40000000596046448"/>
    <n v="1"/>
    <n v="1"/>
    <n v="100"/>
    <n v="100"/>
    <n v="8.2500000000000004E-2"/>
    <n v="100"/>
    <n v="8.2500000000000004E-2"/>
    <n v="0"/>
    <n v="0"/>
    <n v="0"/>
    <n v="1"/>
    <n v="-1"/>
    <n v="1"/>
    <n v="0"/>
    <n v="0"/>
    <n v="0"/>
    <n v="0"/>
    <n v="0"/>
    <n v="0"/>
    <n v="0"/>
    <n v="0"/>
    <n v="0"/>
    <n v="0"/>
    <n v="0"/>
    <n v="0"/>
    <n v="0"/>
    <n v="0"/>
    <n v="0"/>
    <n v="0"/>
    <n v="0"/>
    <n v="0"/>
    <n v="0"/>
    <n v="0"/>
    <n v="0"/>
    <n v="0"/>
    <n v="0"/>
    <n v="3"/>
    <n v="0.16500000000000001"/>
    <n v="150"/>
    <n v="100"/>
    <n v="0.16500000000000001"/>
    <n v="0.16500000000000001"/>
    <n v="0.16500000000000001"/>
    <n v="1"/>
    <n v="0"/>
    <n v="411"/>
    <s v="INCREMENTAR EL ÁREA DE PLANTACIONES FORESTALES PRODUCTIVAS A 10.132 HECTÁREAS EN EL PERIODO DE GOBIERNO. "/>
    <m/>
    <s v=""/>
    <m/>
    <m/>
    <m/>
    <m/>
    <s v="DOS NUCLEOS FORESTALES CONFORMADOS. 1) SE LOGRA LA CONFORMACION DE LA SOCIEDAD AGROPECUARIA DE TRANSFORMACION -VIDA FORESTAL SAT. DE LA REGION DEL BAJO MAGDALENA CUNDINAMARQUES  2)  ALIANZA PARA EL FORTALECIMIENTO Y  LA CONFORMACIÓN DE NÚCLEOS FORESTALES DE LA REGIÓN DE RIONEGRO Y GUALIVÁ COMO ALTERNATIVA DE PRODUCCIÓN EN LA REGIÓN CAFETERA, "/>
    <n v="0"/>
    <m/>
    <n v="15"/>
  </r>
  <r>
    <n v="419"/>
    <x v="1"/>
    <x v="8"/>
    <x v="17"/>
    <s v="ENGRANAJE INSTITUCIONAL E INTERINSTITUCIONAL PARA EL DESARROLLO PRODUCTIVO DE LOS BOSQUES DE CUNDINAMARCA"/>
    <s v="SUSCRIBIR UN ACUERDO INTERSECTORIAL POR LA MADERA LEGAL PARA EVITAR LA DEPREDACIÓN Y DEGRADACIÓN DEL BOSQUE NATIVO ANTES DE FINALIZAR EL CUATRIENIO"/>
    <s v="N° DE ACUERDOS INTERSECTORIALES SUSCRITOS"/>
    <s v="ACUERDOS"/>
    <s v="I"/>
    <n v="0"/>
    <n v="1"/>
    <n v="1"/>
    <n v="0.16500000000000001"/>
    <n v="0"/>
    <n v="0"/>
    <n v="0"/>
    <n v="0"/>
    <n v="0"/>
    <n v="0"/>
    <n v="0"/>
    <n v="0"/>
    <n v="0"/>
    <n v="0"/>
    <n v="0"/>
    <n v="0"/>
    <n v="0"/>
    <n v="0"/>
    <n v="0"/>
    <n v="0"/>
    <n v="0"/>
    <n v="0"/>
    <n v="0"/>
    <n v="0"/>
    <n v="0"/>
    <n v="0"/>
    <n v="0"/>
    <n v="0"/>
    <n v="0"/>
    <n v="0"/>
    <n v="0"/>
    <n v="0"/>
    <n v="0.16500000000000001"/>
    <n v="1"/>
    <n v="1"/>
    <n v="1"/>
    <n v="1"/>
    <n v="100"/>
    <n v="100"/>
    <n v="0.16500000000000001"/>
    <n v="100"/>
    <n v="0"/>
    <n v="0"/>
    <n v="0"/>
    <n v="0"/>
    <n v="0"/>
    <n v="0"/>
    <n v="0"/>
    <n v="0"/>
    <n v="0"/>
    <n v="0"/>
    <n v="0"/>
    <n v="0"/>
    <n v="0"/>
    <n v="0"/>
    <n v="0"/>
    <n v="0"/>
    <n v="0"/>
    <n v="0"/>
    <n v="0"/>
    <n v="0"/>
    <n v="0"/>
    <n v="0"/>
    <n v="3"/>
    <n v="0"/>
    <n v="0"/>
    <n v="0"/>
    <n v="0"/>
    <n v="0"/>
    <n v="0"/>
    <n v="0"/>
    <n v="0"/>
    <n v="0"/>
    <n v="0"/>
    <n v="0"/>
    <n v="0"/>
    <n v="0"/>
    <n v="0"/>
    <n v="0"/>
    <n v="0"/>
    <n v="0"/>
    <n v="0"/>
    <n v="0"/>
    <n v="0"/>
    <n v="0"/>
    <n v="0"/>
    <n v="0"/>
    <n v="0"/>
    <n v="0"/>
    <n v="0"/>
    <n v="0"/>
    <n v="0"/>
    <n v="0"/>
    <n v="0"/>
    <n v="0"/>
    <n v="0"/>
    <n v="0"/>
    <n v="0"/>
    <n v="0"/>
    <n v="0"/>
    <n v="0"/>
    <n v="1"/>
    <n v="0.16500000000000001"/>
    <n v="100"/>
    <n v="100"/>
    <n v="0.16500000000000001"/>
    <n v="0.16500000000000001"/>
    <n v="0.16500000000000001"/>
    <n v="1"/>
    <n v="0"/>
    <n v="411"/>
    <s v="INCREMENTAR EL ÁREA DE PLANTACIONES FORESTALES PRODUCTIVAS A 10.132 HECTÁREAS EN EL PERIODO DE GOBIERNO. "/>
    <m/>
    <s v=""/>
    <m/>
    <m/>
    <m/>
    <m/>
    <s v="1. ACUERDO SUSCRITO. SE REALIZÓ LA IMPRESIÓN Y DISTRIBUCIÓN DE LA CARTILLA QUE CONTIENE EL ACUERDO, ADEMAS DE ESTO SE REALIZÓ LA DIFUCION DEL DECRETO DE MOVILIZACIÓN DE MADERA A TRAVES DE LAS CORPORACIONES AMBIENTALES Y POLICÍA DE CUNDINAMARCA. EN LA VIGENCIA 2015 SE REALIZO LA MESA TECNICA DE COORDINACIÓN Y SEGUIMIENTO CON ASISTENCIA DEL MINISTERIO DE AMBIENTE; PARA LA PRESENTACIÓN DEL INFORME ANUAL CONFORME A LAS LINEAS ESTRATEGICAS "/>
    <n v="0"/>
    <m/>
    <n v="12"/>
  </r>
  <r>
    <n v="420"/>
    <x v="1"/>
    <x v="8"/>
    <x v="17"/>
    <s v="ENGRANAJE INSTITUCIONAL E INTERINSTITUCIONAL PARA EL DESARROLLO PRODUCTIVO DE LOS BOSQUES DE CUNDINAMARCA"/>
    <s v="DISEÑAR UN PORTAFOLIO DE PROYECTOS PARA DESARROLLO DE LA INVESTIGACIÓN BÁSICA Y APLICADA DE LA CADENA PRODUCTIVA FORESTAL EN ARTICULACIÓN CON LAS ENTIDADES PÚBLICAS Y PRIVADAS PARA LA AMPLIACIÓN DEL CONOCIMIENTO DEL NEGOCIO EN EL DEPARTAMENTO, DURANTE EL"/>
    <s v="N° DE PORTAFOLIOS DISEÑADOS PARA LA INVESTIGACIÓN APLICADA EN EL TEMA FORESTAL"/>
    <s v="PORTAFOLIO"/>
    <s v="I"/>
    <n v="0"/>
    <n v="1"/>
    <n v="1"/>
    <n v="0.1650000000000000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16500000000000001"/>
    <n v="1"/>
    <n v="1"/>
    <n v="0.2"/>
    <n v="0.30000001192092896"/>
    <n v="0.3"/>
    <n v="0.3"/>
    <n v="30"/>
    <n v="30"/>
    <n v="4.9500000000000002E-2"/>
    <n v="30"/>
    <n v="4.9500000000000002E-2"/>
    <n v="0"/>
    <n v="0"/>
    <n v="0"/>
    <n v="1"/>
    <n v="-1"/>
    <n v="1"/>
    <n v="0"/>
    <n v="0"/>
    <n v="0"/>
    <n v="0"/>
    <n v="0"/>
    <n v="0"/>
    <n v="0"/>
    <n v="0"/>
    <n v="0"/>
    <n v="0"/>
    <n v="0"/>
    <n v="0"/>
    <n v="0"/>
    <n v="0"/>
    <n v="0"/>
    <n v="0"/>
    <n v="0"/>
    <n v="0"/>
    <n v="0"/>
    <n v="0"/>
    <n v="0"/>
    <n v="0"/>
    <n v="0"/>
    <n v="1.3"/>
    <n v="0.16500000000000001"/>
    <n v="130"/>
    <n v="100"/>
    <n v="0.16500000000000001"/>
    <n v="0.16500000000000001"/>
    <n v="0.16500000000000001"/>
    <n v="1"/>
    <n v="0"/>
    <n v="411"/>
    <s v="INCREMENTAR EL ÁREA DE PLANTACIONES FORESTALES PRODUCTIVAS A 10.132 HECTÁREAS EN EL PERIODO DE GOBIERNO. "/>
    <m/>
    <s v=""/>
    <m/>
    <m/>
    <m/>
    <m/>
    <s v="DISEÑO Y PUBLICACIÓN DE 1 PROTAFOLIO DE PROYECTOS PARA EL DESARROLLO DE LA INVESTIGACIÓN EN EL PORTAL WEB DE CUNDINAMARCA NEUTRA DE LA SECRETARIA DEL AMBIENTE."/>
    <n v="575000000"/>
    <m/>
    <n v="200"/>
  </r>
  <r>
    <n v="421"/>
    <x v="1"/>
    <x v="8"/>
    <x v="17"/>
    <s v="ENGRANAJE INSTITUCIONAL E INTERINSTITUCIONAL PARA EL DESARROLLO PRODUCTIVO DE LOS BOSQUES DE CUNDINAMARCA"/>
    <s v="REALIZAR 4 ESTRATEGIAS QUE PERMITAN GENERAR CONOCIMIENTO Y CULTURA FORESTAL Y AMBIENTAL EN EL DEPARTAMENTO"/>
    <s v="NO DE ESTRATEGIAS QUE GENERAN CONOCIMIENTO Y CULTURA FORESTAL"/>
    <s v="ESTRATEGIAS"/>
    <s v="I"/>
    <n v="0"/>
    <n v="4"/>
    <n v="4"/>
    <n v="0.25"/>
    <n v="6.25E-2"/>
    <n v="1"/>
    <n v="0.25"/>
    <n v="1"/>
    <n v="1"/>
    <n v="100"/>
    <n v="100"/>
    <n v="6.25E-2"/>
    <n v="100"/>
    <n v="0"/>
    <n v="0"/>
    <n v="0"/>
    <n v="0"/>
    <n v="0"/>
    <n v="0"/>
    <n v="0"/>
    <n v="0"/>
    <n v="0"/>
    <n v="0"/>
    <n v="0"/>
    <n v="0"/>
    <n v="0"/>
    <n v="0"/>
    <n v="0"/>
    <n v="0"/>
    <n v="0"/>
    <n v="0"/>
    <n v="0"/>
    <n v="6.25E-2"/>
    <n v="1"/>
    <n v="0.25"/>
    <n v="1"/>
    <n v="1"/>
    <n v="100"/>
    <n v="100"/>
    <n v="6.25E-2"/>
    <n v="100"/>
    <n v="0"/>
    <n v="0"/>
    <n v="0"/>
    <n v="0"/>
    <n v="0"/>
    <n v="0"/>
    <n v="0"/>
    <n v="0"/>
    <n v="0"/>
    <n v="0"/>
    <n v="0"/>
    <n v="0"/>
    <n v="0"/>
    <n v="0"/>
    <n v="0"/>
    <n v="0"/>
    <n v="0"/>
    <n v="0"/>
    <n v="0"/>
    <n v="6.25E-2"/>
    <n v="1"/>
    <n v="0.25"/>
    <n v="0"/>
    <n v="0"/>
    <n v="1"/>
    <n v="1"/>
    <n v="100"/>
    <n v="100"/>
    <n v="6.25E-2"/>
    <n v="100"/>
    <n v="6.25E-2"/>
    <n v="6.25E-2"/>
    <n v="1"/>
    <n v="0.25"/>
    <n v="1"/>
    <n v="0"/>
    <n v="1"/>
    <n v="100"/>
    <n v="100"/>
    <n v="6.25E-2"/>
    <n v="6.25E-2"/>
    <n v="0"/>
    <n v="0"/>
    <n v="0"/>
    <n v="0"/>
    <n v="0"/>
    <n v="0"/>
    <n v="0"/>
    <n v="0"/>
    <n v="0"/>
    <n v="0"/>
    <n v="0"/>
    <n v="0"/>
    <n v="0"/>
    <n v="0"/>
    <n v="0"/>
    <n v="0"/>
    <n v="0"/>
    <n v="0"/>
    <n v="0"/>
    <n v="4"/>
    <n v="0.25"/>
    <n v="100"/>
    <n v="100"/>
    <n v="0.25"/>
    <n v="0.25"/>
    <n v="0.25"/>
    <n v="1"/>
    <n v="0"/>
    <n v="411"/>
    <s v="INCREMENTAR EL ÁREA DE PLANTACIONES FORESTALES PRODUCTIVAS A 10.132 HECTÁREAS EN EL PERIODO DE GOBIERNO. "/>
    <m/>
    <s v=""/>
    <m/>
    <m/>
    <m/>
    <m/>
    <s v=" 4 ESTRATEGIAS GENERADAS. SE REALIZARON LAS ESTRATEGIAS: 1) PLAN SEMILLA  2) LANZAMIENTO DEL ATLAS DE IDENTIFICACIÓN ESPECTRAL DE LOS RELICTOS DE BOSQUES DEL DEPARTAMENTO DE CUNDINAMARCA&quot;, 3) JORNADAS DE SIEMBRA DE ESPECIES ORNAMENTALES 4) ESTREGIA CUNDINAMARCA NEUTRA "/>
    <n v="45000000"/>
    <m/>
    <n v="500"/>
  </r>
  <r>
    <n v="423"/>
    <x v="2"/>
    <x v="11"/>
    <x v="18"/>
    <s v="EMPRENDIMIENTO"/>
    <s v="CREAR Y/O FORTALECER 8 CENTROS DE GESTIÓN EMPRESARIAL QUE FOMENTEN LA ASOCIATIVIDAD Y EL EMPRENDIMIENTO REGIONAL, EN EL PERIODO DE GOBIERNO,"/>
    <s v="NO. DE CENTROS CREADOS Y FORTALECIDOS"/>
    <s v="CENTROS"/>
    <s v="I"/>
    <n v="2"/>
    <n v="10"/>
    <n v="8"/>
    <n v="0.25"/>
    <n v="3.125E-2"/>
    <n v="1"/>
    <n v="0.125"/>
    <n v="1"/>
    <n v="1"/>
    <n v="100"/>
    <n v="100"/>
    <n v="3.125E-2"/>
    <n v="100"/>
    <n v="150000000"/>
    <n v="150000000"/>
    <n v="0"/>
    <n v="0"/>
    <n v="0"/>
    <n v="0"/>
    <n v="0"/>
    <n v="0"/>
    <n v="87000000"/>
    <n v="87000000"/>
    <n v="0"/>
    <n v="0"/>
    <n v="0"/>
    <n v="0"/>
    <n v="0"/>
    <n v="0"/>
    <n v="0"/>
    <n v="0"/>
    <n v="0"/>
    <n v="9.375E-2"/>
    <n v="3"/>
    <n v="0.375"/>
    <n v="3"/>
    <n v="3"/>
    <n v="100"/>
    <n v="100"/>
    <n v="9.375E-2"/>
    <n v="100"/>
    <n v="0"/>
    <n v="0"/>
    <n v="0"/>
    <n v="0"/>
    <n v="0"/>
    <n v="0"/>
    <n v="0"/>
    <n v="0"/>
    <n v="2368957381"/>
    <n v="871875290"/>
    <n v="0"/>
    <n v="0"/>
    <n v="0"/>
    <n v="1497082091"/>
    <n v="0"/>
    <n v="0"/>
    <n v="0"/>
    <n v="0"/>
    <n v="0"/>
    <n v="6.25E-2"/>
    <n v="2"/>
    <n v="0.25"/>
    <n v="3"/>
    <n v="0"/>
    <n v="4"/>
    <n v="4"/>
    <n v="200"/>
    <n v="100"/>
    <n v="6.25E-2"/>
    <n v="100"/>
    <n v="0.125"/>
    <n v="6.25E-2"/>
    <n v="2"/>
    <n v="0.25"/>
    <n v="2"/>
    <n v="0"/>
    <n v="2"/>
    <n v="100"/>
    <n v="100"/>
    <n v="6.25E-2"/>
    <n v="6.25E-2"/>
    <n v="0"/>
    <n v="0"/>
    <n v="0"/>
    <n v="0"/>
    <n v="0"/>
    <n v="0"/>
    <n v="0"/>
    <n v="0"/>
    <n v="0"/>
    <n v="0"/>
    <n v="0"/>
    <n v="0"/>
    <n v="0"/>
    <n v="0"/>
    <n v="0"/>
    <n v="0"/>
    <n v="0"/>
    <n v="0"/>
    <n v="0"/>
    <n v="10"/>
    <n v="0.25"/>
    <n v="125"/>
    <n v="100"/>
    <n v="0.25"/>
    <n v="0.25"/>
    <n v="0.25"/>
    <n v="1"/>
    <n v="0"/>
    <n v="1"/>
    <s v="REDUCIR EN EL CUATRIENIO EN 50% LAS MUERTES POR HOMICIDIO EN NIÑOS Y NIÑAS DE 0 A 5 AÑOS"/>
    <n v="422"/>
    <s v="ASCENDER, DURANTE EL PERIODO DE GOBIERNO, UN PUESTO EN EL ESCALAFÓN DE FORTALEZA ECONÓMICA EN EL RANKING DE COMPETITIVIDAD DEPARTAMENTAL EN COLOMBIA"/>
    <m/>
    <m/>
    <m/>
    <m/>
    <s v="CON EL FUNCIONAMIENTO DE LOS 10 CREAS, SE LOGRÓ EL MEJORAMIENTO DE LA COMPETITIVIDAD PROVINCIAL, CON IMPACTO DIRECTO EN LAS FAMILAS DE LOS EMPRESARIOS CUNDINAMARQUESES, VÍA EL FORTALECIMIENTO EMPRESARIAL, COMERCIALIZACIÓN EFICIENTE DE LOS PRODUCTOS, FORMALIZACIÓN DE EMPRESAS, EL APOYO PARA LA INCURSIÓN EN EL MERCADO NACIONAL E INTERNACIONAL Y LA CONSECUENTE GENERACIÓN DE EMPLEO E INGRESOS."/>
    <n v="10000000"/>
    <m/>
    <n v="1"/>
  </r>
  <r>
    <n v="424"/>
    <x v="2"/>
    <x v="11"/>
    <x v="18"/>
    <s v="EMPRENDIMIENTO"/>
    <s v="CREAR E IMPLEMENTAR UN FONDO CAPITAL SEMILLA AL SERVICIO DEL EMPRENDIMIENTO DE CUNDINAMARCA, EN EL PERÍODO DE GOBIERNO."/>
    <s v="NO DE FONDOS DE CAPITAL SEMILLA AL SERVICIO DEL EMPRENDIMIENTO"/>
    <s v="FONDOS"/>
    <s v="I"/>
    <n v="0"/>
    <n v="1"/>
    <n v="1"/>
    <n v="0.25"/>
    <n v="0.17499999999999999"/>
    <n v="0.7"/>
    <n v="0.7"/>
    <n v="0.7"/>
    <n v="0.7"/>
    <n v="100"/>
    <n v="100"/>
    <n v="0.17499999999999999"/>
    <n v="100"/>
    <n v="0"/>
    <n v="0"/>
    <n v="0"/>
    <n v="0"/>
    <n v="0"/>
    <n v="0"/>
    <n v="0"/>
    <n v="0"/>
    <n v="0"/>
    <n v="0"/>
    <n v="0"/>
    <n v="0"/>
    <n v="0"/>
    <n v="0"/>
    <n v="0"/>
    <n v="0"/>
    <n v="0"/>
    <n v="0"/>
    <n v="0"/>
    <n v="2.5000000000000001E-2"/>
    <n v="0.1"/>
    <n v="0.1"/>
    <n v="0.1"/>
    <n v="0.1"/>
    <n v="100"/>
    <n v="100"/>
    <n v="2.5000000000000001E-2"/>
    <n v="100"/>
    <n v="0"/>
    <n v="0"/>
    <n v="0"/>
    <n v="0"/>
    <n v="0"/>
    <n v="0"/>
    <n v="0"/>
    <n v="0"/>
    <n v="40000000"/>
    <n v="40000000"/>
    <n v="0"/>
    <n v="0"/>
    <n v="0"/>
    <n v="0"/>
    <n v="0"/>
    <n v="0"/>
    <n v="0"/>
    <n v="0"/>
    <n v="0"/>
    <n v="2.5000000000000001E-2"/>
    <n v="0.1"/>
    <n v="0.1"/>
    <n v="0"/>
    <n v="0"/>
    <n v="0"/>
    <n v="0"/>
    <n v="0"/>
    <n v="0"/>
    <n v="0"/>
    <n v="0"/>
    <n v="0"/>
    <n v="2.5000000000000001E-2"/>
    <n v="0.1"/>
    <n v="0.1"/>
    <n v="0.1"/>
    <n v="0"/>
    <n v="0.1"/>
    <n v="100"/>
    <n v="100"/>
    <n v="2.5000000000000001E-2"/>
    <n v="2.5000000000000001E-2"/>
    <n v="0"/>
    <n v="0"/>
    <n v="0"/>
    <n v="0"/>
    <n v="0"/>
    <n v="0"/>
    <n v="0"/>
    <n v="0"/>
    <n v="0"/>
    <n v="0"/>
    <n v="0"/>
    <n v="0"/>
    <n v="0"/>
    <n v="0"/>
    <n v="0"/>
    <n v="0"/>
    <n v="0"/>
    <n v="0"/>
    <n v="0"/>
    <n v="0.89999999999999991"/>
    <n v="0.24999999999999997"/>
    <n v="89.999999999999986"/>
    <n v="89.999999999999986"/>
    <n v="0.22499999999999998"/>
    <n v="0.22499999999999998"/>
    <n v="0.22499999999999998"/>
    <n v="0.99999999999999989"/>
    <n v="0"/>
    <n v="422"/>
    <s v="ASCENDER, DURANTE EL PERIODO DE GOBIERNO, UN PUESTO EN EL ESCALAFÓN DE FORTALEZA ECONÓMICA EN EL RANKING DE COMPETITIVIDAD DEPARTAMENTAL EN COLOMBIA"/>
    <m/>
    <s v=""/>
    <m/>
    <m/>
    <m/>
    <m/>
    <s v="SE MEJORARON LAS CONDICIONES DE ACCESO AL FINANCIEMIENTO DE LA ACTIVIDAD ECONÓMICA DE LOS PEQUEÑOS PRODUCTORES A TRAVÉS DE LA CREACIÓN E IMPLEMENTACIÓN DEL FONDO DE EMPRENDIMIENTO DE CUNDINAMARCA. "/>
    <n v="243000000"/>
    <m/>
    <n v="100"/>
  </r>
  <r>
    <n v="425"/>
    <x v="2"/>
    <x v="11"/>
    <x v="18"/>
    <s v="DESARROLLO EMPRESARIAL "/>
    <s v="CREAR Y O FORTALECER 1.000 MIPYMES EN GESTIÓN E INNOVACIÓN EMPRESARIAL PARA LA PRODUCTIVIDAD, DURANTE EL PERÍODO DE GOBIERNO. "/>
    <s v="NO DE MIPYMES FORTALECIDAS TECNOLÓGICAMENTE"/>
    <s v="MIPYMES"/>
    <s v="I"/>
    <n v="266"/>
    <n v="1266"/>
    <n v="1000"/>
    <n v="0.16500000000000001"/>
    <n v="3.3000000000000002E-2"/>
    <n v="200"/>
    <n v="0.2"/>
    <n v="174"/>
    <n v="174"/>
    <n v="87"/>
    <n v="87"/>
    <n v="2.8709999999999999E-2"/>
    <n v="87"/>
    <n v="3059600000"/>
    <n v="2516600000"/>
    <n v="0"/>
    <n v="0"/>
    <n v="0"/>
    <n v="0"/>
    <n v="0"/>
    <n v="543000000"/>
    <n v="1583708000"/>
    <n v="1583708000"/>
    <n v="0"/>
    <n v="0"/>
    <n v="0"/>
    <n v="0"/>
    <n v="0"/>
    <n v="0"/>
    <n v="0"/>
    <n v="0"/>
    <n v="0"/>
    <n v="4.1250000000000002E-2"/>
    <n v="250"/>
    <n v="0.25"/>
    <n v="180"/>
    <n v="180"/>
    <n v="72"/>
    <n v="72"/>
    <n v="2.9700000000000001E-2"/>
    <n v="72"/>
    <n v="0"/>
    <n v="0"/>
    <n v="0"/>
    <n v="0"/>
    <n v="0"/>
    <n v="0"/>
    <n v="0"/>
    <n v="0"/>
    <n v="1304830000"/>
    <n v="1304830000"/>
    <n v="0"/>
    <n v="0"/>
    <n v="0"/>
    <n v="0"/>
    <n v="0"/>
    <n v="0"/>
    <n v="0"/>
    <n v="0"/>
    <n v="0"/>
    <n v="4.1250000000000002E-2"/>
    <n v="250"/>
    <n v="0.25"/>
    <n v="306"/>
    <n v="306"/>
    <n v="380"/>
    <n v="380"/>
    <n v="152"/>
    <n v="100"/>
    <n v="4.1250000000000002E-2"/>
    <n v="100"/>
    <n v="6.2700000000000006E-2"/>
    <n v="4.9500000000000002E-2"/>
    <n v="300"/>
    <n v="0.3"/>
    <n v="531"/>
    <n v="-231"/>
    <n v="531"/>
    <n v="177"/>
    <n v="100"/>
    <n v="4.9500000000000002E-2"/>
    <n v="8.7614999999999998E-2"/>
    <n v="0"/>
    <n v="0"/>
    <n v="0"/>
    <n v="0"/>
    <n v="0"/>
    <n v="0"/>
    <n v="0"/>
    <n v="0"/>
    <n v="0"/>
    <n v="0"/>
    <n v="0"/>
    <n v="0"/>
    <n v="0"/>
    <n v="0"/>
    <n v="0"/>
    <n v="0"/>
    <n v="0"/>
    <n v="0"/>
    <n v="0"/>
    <n v="1265"/>
    <n v="0.16500000000000004"/>
    <n v="126.5"/>
    <n v="100"/>
    <n v="0.16500000000000001"/>
    <n v="0.16500000000000001"/>
    <n v="0.16500000000000001"/>
    <n v="1"/>
    <n v="0"/>
    <n v="422"/>
    <s v="ASCENDER, DURANTE EL PERIODO DE GOBIERNO, UN PUESTO EN EL ESCALAFÓN DE FORTALEZA ECONÓMICA EN EL RANKING DE COMPETITIVIDAD DEPARTAMENTAL EN COLOMBIA"/>
    <m/>
    <s v=""/>
    <m/>
    <m/>
    <m/>
    <m/>
    <s v="SE FORTALECIÓ LA DENSIDAD Y EL TEJIDO EMPRESARIAL CUNDINAMARQUES, CONSOLIDANDO LA SOSTENIBILIDAD Y PERDURABILIDAD DE LAS MIPYMES A TRAVÉS DE ALIANZAS ESTRATÉGICAS QUE FACILITARON LA INCURSIÓN EN NUEVOS MERCADOS Y LA GENERACIÓN DE EMPLEO E INGRESOS DE LOS PEQUEÑOS PRODUCTORES. "/>
    <n v="155000000"/>
    <m/>
    <n v="116"/>
  </r>
  <r>
    <n v="426"/>
    <x v="2"/>
    <x v="11"/>
    <x v="18"/>
    <s v="DESARROLLO EMPRESARIAL"/>
    <s v="DESARROLLAR PROCESOS DE NORMALIZACIÓN, CERTIFICACIÓN DE PRODUCTO Y GESTIÓN DE CALIDAD EN 250 EMPRESAS DURANTE EL PERIODO DE GOBIERNO"/>
    <s v="NO. DE EMPRESAS EN PROCESOS DE NORMALIZACIÓN Y CALIDAD"/>
    <s v="EMPRESAS"/>
    <s v="I"/>
    <n v="200"/>
    <n v="450"/>
    <n v="250"/>
    <n v="0.16500000000000001"/>
    <n v="1.6500000000000001E-2"/>
    <n v="25"/>
    <n v="0.1"/>
    <n v="106"/>
    <n v="106"/>
    <n v="424"/>
    <n v="100"/>
    <n v="1.6500000000000001E-2"/>
    <n v="100"/>
    <n v="0"/>
    <n v="0"/>
    <n v="0"/>
    <n v="0"/>
    <n v="0"/>
    <n v="0"/>
    <n v="0"/>
    <n v="0"/>
    <n v="0"/>
    <n v="0"/>
    <n v="0"/>
    <n v="0"/>
    <n v="0"/>
    <n v="0"/>
    <n v="0"/>
    <n v="0"/>
    <n v="0"/>
    <n v="0"/>
    <n v="0"/>
    <n v="4.6200000000000005E-2"/>
    <n v="70"/>
    <n v="0.28000000000000003"/>
    <n v="32"/>
    <n v="32"/>
    <n v="45.714285714285715"/>
    <n v="45.714285714285715"/>
    <n v="2.112E-2"/>
    <n v="45.714285714285715"/>
    <n v="0"/>
    <n v="0"/>
    <n v="0"/>
    <n v="0"/>
    <n v="0"/>
    <n v="0"/>
    <n v="0"/>
    <n v="0"/>
    <n v="0"/>
    <n v="0"/>
    <n v="0"/>
    <n v="0"/>
    <n v="0"/>
    <n v="0"/>
    <n v="0"/>
    <n v="0"/>
    <n v="0"/>
    <n v="0"/>
    <n v="0"/>
    <n v="4.6200000000000005E-2"/>
    <n v="70"/>
    <n v="0.28000000000000003"/>
    <n v="9"/>
    <n v="9"/>
    <n v="14"/>
    <n v="14"/>
    <n v="20"/>
    <n v="20"/>
    <n v="9.2400000000000017E-3"/>
    <n v="20"/>
    <n v="9.2400000000000017E-3"/>
    <n v="5.6100000000000004E-2"/>
    <n v="85"/>
    <n v="0.34"/>
    <n v="70"/>
    <n v="15"/>
    <n v="70"/>
    <n v="82.352941176470594"/>
    <n v="82.352941176470594"/>
    <n v="4.6200000000000012E-2"/>
    <n v="4.6200000000000012E-2"/>
    <n v="0"/>
    <n v="0"/>
    <n v="0"/>
    <n v="0"/>
    <n v="0"/>
    <n v="0"/>
    <n v="0"/>
    <n v="0"/>
    <n v="0"/>
    <n v="0"/>
    <n v="0"/>
    <n v="0"/>
    <n v="0"/>
    <n v="0"/>
    <n v="0"/>
    <n v="0"/>
    <n v="0"/>
    <n v="0"/>
    <n v="0"/>
    <n v="222"/>
    <n v="0.16500000000000001"/>
    <n v="88.8"/>
    <n v="88.8"/>
    <n v="0.14652000000000001"/>
    <n v="0.14652000000000001"/>
    <n v="0.14652000000000001"/>
    <n v="1"/>
    <n v="0"/>
    <n v="422"/>
    <s v="ASCENDER, DURANTE EL PERIODO DE GOBIERNO, UN PUESTO EN EL ESCALAFÓN DE FORTALEZA ECONÓMICA EN EL RANKING DE COMPETITIVIDAD DEPARTAMENTAL EN COLOMBIA"/>
    <n v="434"/>
    <s v="AL FINALIZAR EL PERÍODO DE GOBIERNO, EL DEPARTAMENTO DE CUNDINAMARCA, ALCANZARÁ EXPORTACIONES POR UN VALOR DE 2.500 MILLONES DE DÓLARES."/>
    <m/>
    <m/>
    <m/>
    <m/>
    <s v="SE LOGRARON MEJORAS EN LA COMPETITIVIDAD DE LAS EMPRESAS CUNDINAMARQUESAS A TRAVÉS DEL APOYO EN PROCESOS INNOVADORES Y DE GESTIÓN DE CALIDAD TALES COMO LA CONSECUCIÓN DE CERTIFIACIONES Y REGISTROS INVIMA, MEJORAS EN LAS CONDICIONES DE COMERCIALIZACIÓN Y FACILIDADES DE ACCESO A PROVEEDURÍA DE GRANDES SUPERFICIES, PARTICIPACIÓN EN RUEDAS DE NEGOCIOS Y FERIAS NACIONALES E INTERNACIONALES. "/>
    <n v="80000000"/>
    <m/>
    <n v="100"/>
  </r>
  <r>
    <n v="427"/>
    <x v="2"/>
    <x v="11"/>
    <x v="18"/>
    <s v="DESARROLLO EMPRESARIAL"/>
    <s v="DESARROLLAR Y FORTALECER, DURANTE EL PERIODO DE GOBIERNO, 3 REDES EMPRESARIALES CON ENFOQUE DE CLÚSTER EN SECTORES PRODUCTIVOS PRIORIZADOS EN EL DEPARTAMENTO."/>
    <s v="NO. REDES EMPRESARIALES IMPLEMENTADAS"/>
    <s v="REDES"/>
    <s v="I"/>
    <n v="0"/>
    <n v="3"/>
    <n v="3"/>
    <n v="0.25"/>
    <n v="0"/>
    <n v="0"/>
    <n v="0"/>
    <n v="3"/>
    <n v="3"/>
    <n v="0"/>
    <n v="0"/>
    <n v="0"/>
    <n v="100"/>
    <n v="1100000000"/>
    <n v="1100000000"/>
    <n v="0"/>
    <n v="0"/>
    <n v="0"/>
    <n v="0"/>
    <n v="0"/>
    <n v="0"/>
    <n v="782103000"/>
    <n v="782103000"/>
    <n v="0"/>
    <n v="0"/>
    <n v="0"/>
    <n v="0"/>
    <n v="0"/>
    <n v="0"/>
    <n v="0"/>
    <n v="0"/>
    <n v="0"/>
    <n v="8.3333333333333329E-2"/>
    <n v="1"/>
    <n v="0.33333333333333331"/>
    <n v="1"/>
    <n v="1"/>
    <n v="100"/>
    <n v="100"/>
    <n v="8.3333333333333315E-2"/>
    <n v="100"/>
    <n v="0"/>
    <n v="0"/>
    <n v="0"/>
    <n v="0"/>
    <n v="0"/>
    <n v="0"/>
    <n v="0"/>
    <n v="0"/>
    <n v="31000000"/>
    <n v="31000000"/>
    <n v="0"/>
    <n v="0"/>
    <n v="0"/>
    <n v="0"/>
    <n v="0"/>
    <n v="0"/>
    <n v="0"/>
    <n v="0"/>
    <n v="0"/>
    <n v="8.3333333333333329E-2"/>
    <n v="1"/>
    <n v="0.33333333333333331"/>
    <n v="1"/>
    <n v="1"/>
    <n v="1"/>
    <n v="1"/>
    <n v="100"/>
    <n v="100"/>
    <n v="8.3333333333333315E-2"/>
    <n v="100"/>
    <n v="8.3333333333333315E-2"/>
    <n v="8.3333333333333329E-2"/>
    <n v="1"/>
    <n v="0.33333333333333331"/>
    <n v="1"/>
    <n v="0"/>
    <n v="1"/>
    <n v="100"/>
    <n v="100"/>
    <n v="8.3333333333333315E-2"/>
    <n v="8.3333333333333315E-2"/>
    <n v="0"/>
    <n v="0"/>
    <n v="0"/>
    <n v="0"/>
    <n v="0"/>
    <n v="0"/>
    <n v="0"/>
    <n v="0"/>
    <n v="0"/>
    <n v="0"/>
    <n v="0"/>
    <n v="0"/>
    <n v="0"/>
    <n v="0"/>
    <n v="0"/>
    <n v="0"/>
    <n v="0"/>
    <n v="0"/>
    <n v="0"/>
    <n v="6"/>
    <n v="0.25"/>
    <n v="200"/>
    <n v="100"/>
    <n v="0.25"/>
    <n v="0.25"/>
    <n v="0.25"/>
    <n v="1"/>
    <n v="0"/>
    <n v="422"/>
    <s v="ASCENDER, DURANTE EL PERIODO DE GOBIERNO, UN PUESTO EN EL ESCALAFÓN DE FORTALEZA ECONÓMICA EN EL RANKING DE COMPETITIVIDAD DEPARTAMENTAL EN COLOMBIA"/>
    <m/>
    <s v=""/>
    <m/>
    <m/>
    <m/>
    <m/>
    <s v="CON LA ESTRUCTURACION DE LAS REDE EMPRESARIALES DE LOS SECTORES LACTEO, TEXTILES Y CUEROS SE FACILITAN LAS CONDICIONES PARA UNA MEJOR INSERCION EN LOS MERCADOS REGIONAL, NACIONAL E INTERNACIONAL POR PARTE DE LOS PRODUCTORES CUNDINAMARQUESES. _x000a_EN EL SECTOR LÁCTEO SE OBTUVO UN ESPACIO DE PARTICIPACIÓN EN EL MINISTERIO DE AGRICULTURA, EL CONSEJO NACIONAL LÁCTEO (CNL) Y EL DEPARTAMENTO EN EL COMITÉ LÁCTEO (CL), PARA NEGOCIAR MEJORES CONDICIONES DE PRECIOS PARA LOS PEQUEÑOS PRODUCTORES DE LECHE Y DERIVADOS; SECTOR TEXTIL SE ESTÁ INCURSIONANDO PARA SER PARTE DEL CLUSTER QUE LIDERA LA CAMARA DE COMERCIO DE BOGOTÁ Y LA ALCALDÍA DE BOGOTÁ Y EN EL SECTOR DE CUEROS SE APOYO LA CREACION DE LA ORGANIZACIÓN FENALCUEROS LA CUAL FUE BENEFICIARIA DE UNA MISION COMERCIAL A LEON GUANAJUATO (MEXICO) PARA INTERCAMBIAR EXPERIENCIAS SECTORIALES. PARA MEJORAR LA COMPETITIVIDAD DEL SECTOR CUEROS SE ENCUENTRA EN DESARROLLO UNA ALIANZA ESTRATEGICA PARA LA CONSTRUCCION DEL PARQUE AGROINDUSTRIAL ECOEFICIENTE."/>
    <n v="40000000"/>
    <m/>
    <n v="100"/>
  </r>
  <r>
    <n v="428"/>
    <x v="2"/>
    <x v="11"/>
    <x v="18"/>
    <s v="DESARROLLO EMPRESARIAL"/>
    <s v="IMPLEMENTAR Y FORTALECER PROCESOS DE DESARROLLO ECONÓMICO LOCAL - DEL - EN 35 MUNICIPIOS (NBI), DURANTE EL PERIODO DE GOBIERNO."/>
    <s v="NO. DE MUNICIPIOS CON PROCESOS DEL IMPLEMENTADOS "/>
    <s v="MUNICIPIOS"/>
    <s v="I"/>
    <n v="23"/>
    <n v="58"/>
    <n v="35"/>
    <n v="0.25"/>
    <n v="5.7142857142857141E-2"/>
    <n v="8"/>
    <n v="0.22857142857142856"/>
    <n v="1"/>
    <n v="1"/>
    <n v="12.5"/>
    <n v="12.5"/>
    <n v="7.1428571428571426E-3"/>
    <n v="12.5"/>
    <n v="500000000"/>
    <n v="500000000"/>
    <n v="0"/>
    <n v="0"/>
    <n v="0"/>
    <n v="0"/>
    <n v="0"/>
    <n v="0"/>
    <n v="21450000"/>
    <n v="21450000"/>
    <n v="0"/>
    <n v="0"/>
    <n v="0"/>
    <n v="0"/>
    <n v="0"/>
    <n v="0"/>
    <n v="0"/>
    <n v="0"/>
    <n v="0"/>
    <n v="8.5714285714285715E-2"/>
    <n v="12"/>
    <n v="0.34285714285714286"/>
    <n v="9"/>
    <n v="9"/>
    <n v="75"/>
    <n v="75"/>
    <n v="6.4285714285714293E-2"/>
    <n v="75"/>
    <n v="0"/>
    <n v="0"/>
    <n v="0"/>
    <n v="0"/>
    <n v="0"/>
    <n v="0"/>
    <n v="0"/>
    <n v="0"/>
    <n v="0"/>
    <n v="0"/>
    <n v="0"/>
    <n v="0"/>
    <n v="0"/>
    <n v="0"/>
    <n v="0"/>
    <n v="0"/>
    <n v="0"/>
    <n v="0"/>
    <n v="0"/>
    <n v="7.1428571428571425E-2"/>
    <n v="10"/>
    <n v="0.2857142857142857"/>
    <n v="0"/>
    <n v="0"/>
    <n v="0"/>
    <n v="0"/>
    <n v="0"/>
    <n v="0"/>
    <n v="0"/>
    <n v="0"/>
    <n v="0"/>
    <n v="3.5714285714285712E-2"/>
    <n v="5"/>
    <n v="0.14285714285714285"/>
    <n v="14"/>
    <n v="-9"/>
    <n v="14"/>
    <n v="280"/>
    <n v="100"/>
    <n v="3.5714285714285712E-2"/>
    <n v="0.1"/>
    <n v="0"/>
    <n v="0"/>
    <n v="0"/>
    <n v="0"/>
    <n v="0"/>
    <n v="0"/>
    <n v="0"/>
    <n v="0"/>
    <n v="0"/>
    <n v="0"/>
    <n v="0"/>
    <n v="0"/>
    <n v="0"/>
    <n v="0"/>
    <n v="0"/>
    <n v="0"/>
    <n v="0"/>
    <n v="0"/>
    <n v="0"/>
    <n v="24"/>
    <n v="0.25"/>
    <n v="68.571428571428569"/>
    <n v="68.571428571428569"/>
    <n v="0.17142857142857143"/>
    <n v="0.17142857142857143"/>
    <n v="0.17142857142857143"/>
    <n v="1"/>
    <n v="0"/>
    <n v="422"/>
    <s v="ASCENDER, DURANTE EL PERIODO DE GOBIERNO, UN PUESTO EN EL ESCALAFÓN DE FORTALEZA ECONÓMICA EN EL RANKING DE COMPETITIVIDAD DEPARTAMENTAL EN COLOMBIA"/>
    <m/>
    <s v=""/>
    <m/>
    <m/>
    <m/>
    <m/>
    <s v="LA IMPLEMENTACION DE LA ESTRATEGIA “DEL” HA PERMITIDO LA CONSOLIDACION DE PROCESOS DE DESARROLLO ECONOMICO LOCAL PARA AQUELLOS MUNICIPIOS DE MENOR GRADO DE DESARROLLO, BENEFICIANDO A LOS MICROEMPRESARIOS CON ACTIVIDADES SCETORIALES GENERADORAS DE INGRESOS, TALES COMO ESTRUTURACION DE IMAGEN CORPORATIVA Y MEJORAMIENTO EN LA PRESENTACIÓN DE LOS PRODUCTOS EN EL MERCADO, ENTRE OTRAS."/>
    <n v="60000000"/>
    <m/>
    <n v="1"/>
  </r>
  <r>
    <n v="429"/>
    <x v="2"/>
    <x v="11"/>
    <x v="18"/>
    <s v="DESARROLLO EMPRESARIAL"/>
    <s v="GESTIONAR DURANTE EL PERIODO DE GOBIERNO 2.000 CRÉDITOS PARA EL FORTALECIMIENTO DE LAS MIPYMES A TRAVÉS DE ENTIDADES DE RECAUDO, BANCA DE OPORTUNIDADES, MICROCRÉDITO, FONDOS DE GARANTÍA "/>
    <s v="NO. CRÉDITOS GESTIONADOS"/>
    <s v="CREDITOS"/>
    <s v="I"/>
    <n v="2714"/>
    <n v="4714"/>
    <n v="2000"/>
    <n v="0.25"/>
    <n v="6.25E-2"/>
    <n v="500"/>
    <n v="0.25"/>
    <n v="322"/>
    <n v="322"/>
    <n v="64.400000000000006"/>
    <n v="64.400000000000006"/>
    <n v="4.0250000000000001E-2"/>
    <n v="64.400000000000006"/>
    <n v="5850000000"/>
    <n v="150000000"/>
    <n v="0"/>
    <n v="5700000000"/>
    <n v="0"/>
    <n v="0"/>
    <n v="0"/>
    <n v="0"/>
    <n v="150000000"/>
    <n v="150000000"/>
    <n v="0"/>
    <n v="0"/>
    <n v="0"/>
    <n v="0"/>
    <n v="0"/>
    <n v="0"/>
    <n v="0"/>
    <n v="0"/>
    <n v="0"/>
    <n v="6.25E-2"/>
    <n v="500"/>
    <n v="0.25"/>
    <n v="565"/>
    <n v="565"/>
    <n v="113"/>
    <n v="100"/>
    <n v="6.25E-2"/>
    <n v="100"/>
    <n v="0"/>
    <n v="0"/>
    <n v="0"/>
    <n v="0"/>
    <n v="0"/>
    <n v="0"/>
    <n v="0"/>
    <n v="0"/>
    <n v="150000000"/>
    <n v="150000000"/>
    <n v="0"/>
    <n v="0"/>
    <n v="0"/>
    <n v="0"/>
    <n v="0"/>
    <n v="0"/>
    <n v="0"/>
    <n v="0"/>
    <n v="0"/>
    <n v="6.25E-2"/>
    <n v="500"/>
    <n v="0.25"/>
    <n v="0"/>
    <n v="0"/>
    <n v="1166"/>
    <n v="1166"/>
    <n v="233.2"/>
    <n v="100"/>
    <n v="6.25E-2"/>
    <n v="100"/>
    <n v="0.14574999999999999"/>
    <n v="6.25E-2"/>
    <n v="500"/>
    <n v="0.25"/>
    <n v="865"/>
    <n v="-365"/>
    <n v="865"/>
    <n v="173"/>
    <n v="100"/>
    <n v="6.25E-2"/>
    <n v="0.108125"/>
    <n v="0"/>
    <n v="0"/>
    <n v="0"/>
    <n v="0"/>
    <n v="0"/>
    <n v="0"/>
    <n v="0"/>
    <n v="0"/>
    <n v="0"/>
    <n v="0"/>
    <n v="0"/>
    <n v="0"/>
    <n v="0"/>
    <n v="0"/>
    <n v="0"/>
    <n v="0"/>
    <n v="0"/>
    <n v="0"/>
    <n v="0"/>
    <n v="2918"/>
    <n v="0.25"/>
    <n v="145.9"/>
    <n v="100"/>
    <n v="0.25"/>
    <n v="0.25"/>
    <n v="0.25"/>
    <n v="1"/>
    <n v="0"/>
    <n v="422"/>
    <s v="ASCENDER, DURANTE EL PERIODO DE GOBIERNO, UN PUESTO EN EL ESCALAFÓN DE FORTALEZA ECONÓMICA EN EL RANKING DE COMPETITIVIDAD DEPARTAMENTAL EN COLOMBIA"/>
    <m/>
    <s v=""/>
    <m/>
    <m/>
    <m/>
    <m/>
    <s v="LA FACILITACION DE OPORTUNIDADES DE ACCESO AL CREDITO (COMO EJEMPLO LA OBTENCION DE MENORES TASAS DE INTERES DEL MERCADO BANCARIO) HA PERMITIDO LA MATERIALIZACION DE PROYECTOS PRODUCTIVOS SURGIDOS DE CUNDINAMARQUESES EMPRENDEDORES, ESPECIALMENTE DE AQUELLAS PROVINCIAS DE LA PERIFERIA DEPARTAMENTAL."/>
    <n v="300000000"/>
    <m/>
    <n v="100"/>
  </r>
  <r>
    <n v="430"/>
    <x v="2"/>
    <x v="11"/>
    <x v="18"/>
    <s v="DESARROLLO EMPRESARIAL"/>
    <s v="DISEÑAR E IMPLEMENTAR, DURANTE EL PERIODO DE GOBIERNO, UN PROGRAMA DE ASESORÍA, ACOMPAÑAMIENTO, CAPACITACIÓN Y SEGUIMIENTO A ARTESANOS EN DISEÑO, EMPAQUE, INNOVACIÓN, COMERCIALIZACIÓN."/>
    <s v="PROGRAMA DE APOYO A ARTESANOS IMPLEMENTADO"/>
    <s v="PROGRAMA"/>
    <s v="I"/>
    <n v="0"/>
    <n v="1"/>
    <n v="1"/>
    <n v="0.25"/>
    <n v="0.17499999999999999"/>
    <n v="0.7"/>
    <n v="0.7"/>
    <n v="0.2"/>
    <n v="0.2"/>
    <n v="28.571428571428573"/>
    <n v="28.571428571428573"/>
    <n v="0.05"/>
    <n v="28.571428571428573"/>
    <n v="100000000"/>
    <n v="100000000"/>
    <n v="0"/>
    <n v="0"/>
    <n v="0"/>
    <n v="0"/>
    <n v="0"/>
    <n v="0"/>
    <n v="0"/>
    <n v="0"/>
    <n v="0"/>
    <n v="0"/>
    <n v="0"/>
    <n v="0"/>
    <n v="0"/>
    <n v="0"/>
    <n v="0"/>
    <n v="0"/>
    <n v="0"/>
    <n v="2.5000000000000001E-2"/>
    <n v="0.1"/>
    <n v="0.1"/>
    <n v="0.4"/>
    <n v="0.4"/>
    <n v="400"/>
    <n v="100"/>
    <n v="2.5000000000000001E-2"/>
    <n v="100"/>
    <n v="0"/>
    <n v="0"/>
    <n v="0"/>
    <n v="0"/>
    <n v="0"/>
    <n v="0"/>
    <n v="0"/>
    <n v="0"/>
    <n v="110900000"/>
    <n v="110900000"/>
    <n v="0"/>
    <n v="0"/>
    <n v="0"/>
    <n v="0"/>
    <n v="0"/>
    <n v="0"/>
    <n v="0"/>
    <n v="0"/>
    <n v="0"/>
    <n v="2.5000000000000001E-2"/>
    <n v="0.1"/>
    <n v="0.1"/>
    <n v="5.000000074505806E-2"/>
    <n v="0.05"/>
    <n v="0.25"/>
    <n v="0.25"/>
    <n v="250"/>
    <n v="100"/>
    <n v="2.5000000000000001E-2"/>
    <n v="100"/>
    <n v="6.25E-2"/>
    <n v="2.5000000000000001E-2"/>
    <n v="0.1"/>
    <n v="0.1"/>
    <n v="0.1"/>
    <n v="0"/>
    <n v="0.1"/>
    <n v="100"/>
    <n v="100"/>
    <n v="2.5000000000000001E-2"/>
    <n v="2.5000000000000001E-2"/>
    <n v="0"/>
    <n v="0"/>
    <n v="0"/>
    <n v="0"/>
    <n v="0"/>
    <n v="0"/>
    <n v="0"/>
    <n v="0"/>
    <n v="0"/>
    <n v="0"/>
    <n v="0"/>
    <n v="0"/>
    <n v="0"/>
    <n v="0"/>
    <n v="0"/>
    <n v="0"/>
    <n v="0"/>
    <n v="0"/>
    <n v="0"/>
    <n v="0.95000000000000007"/>
    <n v="0.24999999999999997"/>
    <n v="95"/>
    <n v="95"/>
    <n v="0.23749999999999999"/>
    <n v="0.23749999999999999"/>
    <n v="0.23749999999999999"/>
    <n v="0.99999999999999989"/>
    <n v="0"/>
    <n v="422"/>
    <s v="ASCENDER, DURANTE EL PERIODO DE GOBIERNO, UN PUESTO EN EL ESCALAFÓN DE FORTALEZA ECONÓMICA EN EL RANKING DE COMPETITIVIDAD DEPARTAMENTAL EN COLOMBIA"/>
    <m/>
    <s v=""/>
    <m/>
    <m/>
    <m/>
    <m/>
    <s v="SE HAN LOGRADO MAYORES NIVELES DE PRODUCTIVIDAD DE LOS ARTESANOS CUNDINAMARQUESES A TRAVÉS DE ALIANZAS ESTRATÉGICAS CON ORGANIZACIONES COMO ARTECOL QUE HAN PERMIDTIDO MEJORAR LA CALIDAD DE LA PRODUCCION, MEDIANTE LA IMPLEMENTACION DE UN LABORAOTIO DE DISEÑO, UBICADO EN EL MUNICIPIO DE SOPO."/>
    <n v="1200000000"/>
    <m/>
    <n v="100"/>
  </r>
  <r>
    <n v="431"/>
    <x v="2"/>
    <x v="11"/>
    <x v="18"/>
    <s v="DESARROLLO EMPRESARIAL"/>
    <s v="FORTALECER CON 30 MISIONES COMERCIALES A MIPYMES DEL DEPARTAMENTO, DURANTE EL PERÍODO DE GOBIERNO"/>
    <s v="NO MISIONES COMERCIALES QUE FORTALECEN A MIPYMES DEL DEPARTAMENTO."/>
    <s v="MISIONES"/>
    <s v="I"/>
    <n v="0"/>
    <n v="30"/>
    <n v="30"/>
    <n v="0.16500000000000001"/>
    <n v="3.85E-2"/>
    <n v="7"/>
    <n v="0.23333333333333334"/>
    <n v="18"/>
    <n v="18"/>
    <n v="257.14285714285717"/>
    <n v="100"/>
    <n v="3.85E-2"/>
    <n v="100"/>
    <n v="184136000"/>
    <n v="184136000"/>
    <n v="0"/>
    <n v="0"/>
    <n v="0"/>
    <n v="0"/>
    <n v="0"/>
    <n v="0"/>
    <n v="240027000"/>
    <n v="240027000"/>
    <n v="0"/>
    <n v="0"/>
    <n v="0"/>
    <n v="0"/>
    <n v="0"/>
    <n v="0"/>
    <n v="0"/>
    <n v="0"/>
    <n v="0"/>
    <n v="3.85E-2"/>
    <n v="7"/>
    <n v="0.23333333333333334"/>
    <n v="14"/>
    <n v="14"/>
    <n v="200"/>
    <n v="100"/>
    <n v="3.85E-2"/>
    <n v="100"/>
    <n v="0"/>
    <n v="0"/>
    <n v="0"/>
    <n v="0"/>
    <n v="0"/>
    <n v="0"/>
    <n v="0"/>
    <n v="0"/>
    <n v="330362160"/>
    <n v="330362160"/>
    <n v="0"/>
    <n v="0"/>
    <n v="0"/>
    <n v="0"/>
    <n v="0"/>
    <n v="0"/>
    <n v="0"/>
    <n v="0"/>
    <n v="0"/>
    <n v="4.9500000000000002E-2"/>
    <n v="9"/>
    <n v="0.3"/>
    <n v="0"/>
    <n v="2"/>
    <n v="11"/>
    <n v="11"/>
    <n v="122.22222222222223"/>
    <n v="100"/>
    <n v="4.9500000000000002E-2"/>
    <n v="100"/>
    <n v="6.0500000000000005E-2"/>
    <n v="3.85E-2"/>
    <n v="7"/>
    <n v="0.23333333333333334"/>
    <n v="12"/>
    <n v="-5"/>
    <n v="12"/>
    <n v="171.42857142857142"/>
    <n v="100"/>
    <n v="3.85E-2"/>
    <n v="6.6000000000000003E-2"/>
    <n v="0"/>
    <n v="0"/>
    <n v="0"/>
    <n v="0"/>
    <n v="0"/>
    <n v="0"/>
    <n v="0"/>
    <n v="0"/>
    <n v="0"/>
    <n v="0"/>
    <n v="0"/>
    <n v="0"/>
    <n v="0"/>
    <n v="0"/>
    <n v="0"/>
    <n v="0"/>
    <n v="0"/>
    <n v="0"/>
    <n v="0"/>
    <n v="55"/>
    <n v="0.16500000000000001"/>
    <n v="183.33333333333334"/>
    <n v="100"/>
    <n v="0.16500000000000001"/>
    <n v="0.16500000000000001"/>
    <n v="0.16500000000000001"/>
    <n v="1"/>
    <n v="0"/>
    <n v="422"/>
    <s v="ASCENDER, DURANTE EL PERIODO DE GOBIERNO, UN PUESTO EN EL ESCALAFÓN DE FORTALEZA ECONÓMICA EN EL RANKING DE COMPETITIVIDAD DEPARTAMENTAL EN COLOMBIA"/>
    <m/>
    <s v=""/>
    <m/>
    <m/>
    <m/>
    <m/>
    <s v="EL APOYO A LOS MICROEMPRESARIOS CUNDINAMARQUESES EN EL FORTALECIMIENTO DEL PROCESO DE COMERCIALIZACION PERMITIO CONSOLIDAR LA GESTIÓN DE LAS CADENAS PRODUCTIVAS, LA OBTENCION DE MAYORES INGRESOS, EL CONOCIMIENTO DE LA COMPETENCIA EN EL MERCADO Y POR LO TANTO EL MEJORAMIENTO DE LAS CONDICIONES COMPETITIVAS DE LOS PRODUCTORES. "/>
    <n v="0"/>
    <m/>
    <n v="2"/>
  </r>
  <r>
    <n v="432"/>
    <x v="2"/>
    <x v="11"/>
    <x v="18"/>
    <s v="PRODUCTIVIDAD Y COMPETITIVIDAD"/>
    <s v="FORTALECER DURANTE EL PERIODO DE GOBIERNO 2 OBSERVATORIOS DE COMPETITIVIDAD Y MERCADO LABORAL "/>
    <s v="NO OBSERVATORIOS FORTALECIDAS"/>
    <s v="OBSERVATORIOS"/>
    <s v="I"/>
    <n v="2"/>
    <n v="4"/>
    <n v="2"/>
    <n v="0.16500000000000001"/>
    <n v="0"/>
    <n v="0"/>
    <n v="0"/>
    <n v="1"/>
    <n v="1"/>
    <n v="0"/>
    <n v="0"/>
    <n v="0"/>
    <n v="100"/>
    <n v="0"/>
    <n v="0"/>
    <n v="0"/>
    <n v="0"/>
    <n v="0"/>
    <n v="0"/>
    <n v="0"/>
    <n v="0"/>
    <n v="0"/>
    <n v="0"/>
    <n v="0"/>
    <n v="0"/>
    <n v="0"/>
    <n v="0"/>
    <n v="0"/>
    <n v="0"/>
    <n v="0"/>
    <n v="0"/>
    <n v="0"/>
    <n v="8.2500000000000004E-2"/>
    <n v="1"/>
    <n v="0.5"/>
    <n v="1"/>
    <n v="1"/>
    <n v="100"/>
    <n v="100"/>
    <n v="8.2500000000000004E-2"/>
    <n v="100"/>
    <n v="0"/>
    <n v="0"/>
    <n v="0"/>
    <n v="0"/>
    <n v="0"/>
    <n v="0"/>
    <n v="0"/>
    <n v="0"/>
    <n v="31000000"/>
    <n v="31000000"/>
    <n v="0"/>
    <n v="0"/>
    <n v="0"/>
    <n v="0"/>
    <n v="0"/>
    <n v="0"/>
    <n v="0"/>
    <n v="0"/>
    <n v="0"/>
    <n v="8.2500000000000004E-2"/>
    <n v="1"/>
    <n v="0.5"/>
    <n v="1"/>
    <n v="0"/>
    <n v="1"/>
    <n v="1"/>
    <n v="100"/>
    <n v="100"/>
    <n v="8.2500000000000004E-2"/>
    <n v="100"/>
    <n v="8.2500000000000004E-2"/>
    <n v="0"/>
    <n v="0"/>
    <n v="0"/>
    <n v="2"/>
    <n v="-2"/>
    <n v="2"/>
    <n v="0"/>
    <n v="0"/>
    <n v="0"/>
    <n v="0"/>
    <n v="0"/>
    <n v="0"/>
    <n v="0"/>
    <n v="0"/>
    <n v="0"/>
    <n v="0"/>
    <n v="0"/>
    <n v="0"/>
    <n v="0"/>
    <n v="0"/>
    <n v="0"/>
    <n v="0"/>
    <n v="0"/>
    <n v="0"/>
    <n v="0"/>
    <n v="0"/>
    <n v="0"/>
    <n v="0"/>
    <n v="0"/>
    <n v="5"/>
    <n v="0.16500000000000001"/>
    <n v="250"/>
    <n v="100"/>
    <n v="0.16500000000000001"/>
    <n v="0.16500000000000001"/>
    <n v="0.16500000000000001"/>
    <n v="1"/>
    <n v="0"/>
    <n v="422"/>
    <s v="ASCENDER, DURANTE EL PERIODO DE GOBIERNO, UN PUESTO EN EL ESCALAFÓN DE FORTALEZA ECONÓMICA EN EL RANKING DE COMPETITIVIDAD DEPARTAMENTAL EN COLOMBIA"/>
    <m/>
    <s v=""/>
    <m/>
    <m/>
    <m/>
    <m/>
    <s v="LA GESTION DEL OBSERVATORIO DE COMPETITIVIDAD Y EMPLEO HA FACILITADO LAS CONDICIONES PARA QUE LA PRODUCCION DE CONOCIMIENTO SE CONSOLIDE COMO SOPORTE FUNDAMENTAL PARA LA TOMA DE DECISIONES Y LA FORMULACION DE POLITICA PUBLICA, HERRAMIENTA QUE BENEFICIA A LOS ACTORES PUBLICOS Y PRIVADOS Y LA SOCIEDAD CIVIL CUNDINAMARQUESA. EN EL MARCO DEL OBSERVATORIO DE MERCADO DE TRABAJO ORMET SE HA REALIZADO CON LOS ALIADOS LA ETAPA DE PLANEACIÓN ESTRATEGICA, ASI COMO JORNADAS DE CAPACITACIÓN Y ENCUENTROS DE COORDINACIÓN CON CAJAS DE COMPENSACIÓN, SENA Y MINTRABAJO PARA MEJORAR ASPECTOS DE INTERMEDICACIÓN LABORAL. POR OTRA PARTE, ESTA EN EJECUCIÓN EL ESTUDIO DE PERFILES OCUPACIONALES DE SOPÓ, TOCANCIPÁ Y COTA, CON UNIVERSIDAD CATÓLICA."/>
    <n v="14000000"/>
    <m/>
    <n v="0"/>
  </r>
  <r>
    <n v="433"/>
    <x v="2"/>
    <x v="11"/>
    <x v="18"/>
    <s v="PRODUCTIVIDAD Y COMPETITIVIDAD"/>
    <s v="FORMAR EN COMPETENCIAS LABORALES DURANTE EL PERÍODO DE GOBIERNO, CON 15 PROGRAMAS PERMANENTES ACORDES CON LAS VOCACIONES TERRITORIALES."/>
    <s v="NO PROGRAMAS PERMANENTES DE FORMACIÓN EN COMPETENCIAS LABORALES ACORDE A VOCACIONES TERRITORIALES"/>
    <s v="PROGRAMA"/>
    <s v="M"/>
    <n v="0"/>
    <n v="15"/>
    <n v="15"/>
    <n v="0.16500000000000001"/>
    <n v="4.1250000000000002E-2"/>
    <n v="15"/>
    <n v="0.25"/>
    <n v="17"/>
    <n v="4.25"/>
    <n v="113.33333333333333"/>
    <n v="100"/>
    <n v="4.1250000000000002E-2"/>
    <n v="100"/>
    <n v="0"/>
    <n v="0"/>
    <n v="0"/>
    <n v="0"/>
    <n v="0"/>
    <n v="0"/>
    <n v="0"/>
    <n v="0"/>
    <n v="0"/>
    <n v="0"/>
    <n v="0"/>
    <n v="0"/>
    <n v="0"/>
    <n v="0"/>
    <n v="0"/>
    <n v="0"/>
    <n v="0"/>
    <n v="0"/>
    <n v="0"/>
    <n v="4.1250000000000002E-2"/>
    <n v="15"/>
    <n v="0.25"/>
    <n v="15"/>
    <n v="3.75"/>
    <n v="100"/>
    <n v="100"/>
    <n v="4.1250000000000002E-2"/>
    <n v="100"/>
    <n v="0"/>
    <n v="0"/>
    <n v="0"/>
    <n v="0"/>
    <n v="0"/>
    <n v="0"/>
    <n v="0"/>
    <n v="0"/>
    <n v="0"/>
    <n v="0"/>
    <n v="0"/>
    <n v="0"/>
    <n v="0"/>
    <n v="0"/>
    <n v="0"/>
    <n v="0"/>
    <n v="0"/>
    <n v="0"/>
    <n v="0"/>
    <n v="4.1250000000000002E-2"/>
    <n v="15"/>
    <n v="0.25"/>
    <n v="0"/>
    <n v="0"/>
    <n v="15"/>
    <n v="3.75"/>
    <n v="100"/>
    <n v="100"/>
    <n v="4.1250000000000002E-2"/>
    <n v="100"/>
    <n v="4.1250000000000002E-2"/>
    <n v="4.1250000000000002E-2"/>
    <n v="15"/>
    <n v="0.25"/>
    <n v="15"/>
    <n v="0"/>
    <n v="3.75"/>
    <n v="100"/>
    <n v="100"/>
    <n v="4.1250000000000002E-2"/>
    <n v="4.1250000000000002E-2"/>
    <n v="0"/>
    <n v="0"/>
    <n v="0"/>
    <n v="0"/>
    <n v="0"/>
    <n v="0"/>
    <n v="0"/>
    <n v="0"/>
    <n v="0"/>
    <n v="0"/>
    <n v="0"/>
    <n v="0"/>
    <n v="0"/>
    <n v="0"/>
    <n v="0"/>
    <n v="0"/>
    <n v="0"/>
    <n v="0"/>
    <n v="0"/>
    <n v="15.5"/>
    <n v="0.16500000000000001"/>
    <n v="103.33333333333333"/>
    <n v="100"/>
    <n v="0.16500000000000001"/>
    <n v="0.16500000000000001"/>
    <n v="0.16500000000000001"/>
    <n v="1"/>
    <n v="0"/>
    <n v="422"/>
    <s v="ASCENDER, DURANTE EL PERIODO DE GOBIERNO, UN PUESTO EN EL ESCALAFÓN DE FORTALEZA ECONÓMICA EN EL RANKING DE COMPETITIVIDAD DEPARTAMENTAL EN COLOMBIA"/>
    <m/>
    <s v=""/>
    <m/>
    <m/>
    <m/>
    <m/>
    <s v="CON EL DESARROLLO DE LA ESTRATEGIA DE FORMACION DE COMPETENCIAS, EN LA POBLACION ECONOMICAMENTE ACTIVA, SE INCREMENTAN LOS NIVELES DE PRODUCTIVIDAD LABORAL Y EMPRESARIAL. CON LA GESTION DE ESTA META SE HA LOGRADO MEJORAR LAS CAPACIDADES, HABILIDADES Y DESTREZAS PARA EL TRABAJO DEL CAPITAL HUMANO DE ASOCIACIONES Y UNIDADES PRODUCTIVAS A TRAVÉS DEL FOMENTO DE LA CULTURA ASOCIATIVA, FORTALECIENTO LA GESTIÓN FINANCIERA DE LAS UNIDADES PRODUCTIVAS Y OPTIMIZANDO LA PRODUCCIÓN E INCREMENTANDO SUS UTILIDADES, ASÍ MISMO SE HA CONTRIBUIDO EN LA GENERACIÓN DE LA CULTURA EXPORTADORA EN EL DEPARTAMENTO."/>
    <n v="12000000"/>
    <m/>
    <n v="50"/>
  </r>
  <r>
    <n v="435"/>
    <x v="2"/>
    <x v="11"/>
    <x v="19"/>
    <s v="CUNDINAMARCA ATRACTIVA PARA LA INVERSIÓN EXTERNA"/>
    <s v="PROMOCIONAR INTERNACIONALMENTE, DURANTE EL PERÍODO DE GOBIERNO 4 PROVINCIAS DEL DEPARTAMENTO Y SUS PRODUCTOS"/>
    <s v="NO DE PROVINCIAS PROMOCIONADAS INTERNACIONALMENTE"/>
    <s v="PROVINCIAS"/>
    <s v="I"/>
    <n v="0"/>
    <n v="4"/>
    <n v="4"/>
    <n v="0.16500000000000001"/>
    <n v="4.1250000000000002E-2"/>
    <n v="1"/>
    <n v="0.25"/>
    <n v="0"/>
    <n v="0"/>
    <n v="0"/>
    <n v="0"/>
    <n v="0"/>
    <n v="0"/>
    <n v="120000000"/>
    <n v="120000000"/>
    <n v="0"/>
    <n v="0"/>
    <n v="0"/>
    <n v="0"/>
    <n v="0"/>
    <n v="0"/>
    <n v="0"/>
    <n v="0"/>
    <n v="0"/>
    <n v="0"/>
    <n v="0"/>
    <n v="0"/>
    <n v="0"/>
    <n v="0"/>
    <n v="0"/>
    <n v="0"/>
    <n v="0"/>
    <n v="4.1250000000000002E-2"/>
    <n v="1"/>
    <n v="0.25"/>
    <n v="4"/>
    <n v="4"/>
    <n v="400"/>
    <n v="100"/>
    <n v="4.1250000000000002E-2"/>
    <n v="100"/>
    <n v="0"/>
    <n v="0"/>
    <n v="0"/>
    <n v="0"/>
    <n v="0"/>
    <n v="0"/>
    <n v="0"/>
    <n v="0"/>
    <n v="92479477"/>
    <n v="92479477"/>
    <n v="0"/>
    <n v="0"/>
    <n v="0"/>
    <n v="0"/>
    <n v="0"/>
    <n v="0"/>
    <n v="0"/>
    <n v="0"/>
    <n v="0"/>
    <n v="4.1250000000000002E-2"/>
    <n v="1"/>
    <n v="0.25"/>
    <n v="0"/>
    <n v="4"/>
    <n v="5"/>
    <n v="5"/>
    <n v="500"/>
    <n v="100"/>
    <n v="4.1250000000000002E-2"/>
    <n v="100"/>
    <n v="0.20624999999999999"/>
    <n v="4.1250000000000002E-2"/>
    <n v="1"/>
    <n v="0.25"/>
    <n v="9"/>
    <n v="-8"/>
    <n v="9"/>
    <n v="900"/>
    <n v="100"/>
    <n v="4.1250000000000002E-2"/>
    <n v="0.37125000000000002"/>
    <n v="0"/>
    <n v="0"/>
    <n v="0"/>
    <n v="0"/>
    <n v="0"/>
    <n v="0"/>
    <n v="0"/>
    <n v="0"/>
    <n v="0"/>
    <n v="0"/>
    <n v="0"/>
    <n v="0"/>
    <n v="0"/>
    <n v="0"/>
    <n v="0"/>
    <n v="0"/>
    <n v="0"/>
    <n v="0"/>
    <n v="0"/>
    <n v="18"/>
    <n v="0.16500000000000001"/>
    <n v="450"/>
    <n v="100"/>
    <n v="0.16500000000000001"/>
    <n v="0.16500000000000001"/>
    <n v="0.16500000000000001"/>
    <n v="1"/>
    <n v="0"/>
    <n v="434"/>
    <s v="AL FINALIZAR EL PERÍODO DE GOBIERNO, EL DEPARTAMENTO DE CUNDINAMARCA, ALCANZARÁ EXPORTACIONES POR UN VALOR DE 2.500 MILLONES DE DÓLARES."/>
    <m/>
    <s v=""/>
    <m/>
    <m/>
    <m/>
    <m/>
    <s v="EL PROCESO DE PROMOCIÓN DE BIENES Y SERVICIOS CUNDINAMARQUESES EN EL MERCADO GLOBAL, HA PERMITIDO GENERAR CONDICIONES FAVORABLES EN RAMAS DE ACTIVIDAD COMO AGROINDUSTRIA, ARTESANÍAS, CUERO Y CALZADO Y AMPLIAR LOS HORIZONTES DE COMERCIALIZACIÓN DE NUEVOS MERCADOS A LAS SUBREGIONES DEL DEPARTAMENTO, BENEFICIANDO DE ESTA MANERA A LOS MUNICIPIOS ASI COMO A SUS PRODUCTORES Y MYPIMES PERMITIENDO MOSTRAR SUS POTENCIALIDADES, ATRAYENDO INVERSIÓN EXTRANJERA Y TURISMO."/>
    <n v="0"/>
    <m/>
    <n v="100"/>
  </r>
  <r>
    <n v="436"/>
    <x v="2"/>
    <x v="11"/>
    <x v="19"/>
    <s v="CUNDINAMARCA ATRACTIVA PARA LA INVERSIÓN EXTERNA"/>
    <s v="POSICIONAR DURANTE EL PERÍODO DE GOBIERNO 100 PRODUCTOS DE CUNDINAMARCA EN EL MERCADO INTERNACIONAL."/>
    <s v="NO PRODUCTOS POSICIONADOS INTERNACIONALMNETE"/>
    <s v="PRODUCTOS"/>
    <s v="I"/>
    <n v="0"/>
    <n v="100"/>
    <n v="100"/>
    <n v="0.25"/>
    <n v="2.5000000000000001E-2"/>
    <n v="10"/>
    <n v="0.1"/>
    <n v="10"/>
    <n v="10"/>
    <n v="100"/>
    <n v="100"/>
    <n v="2.5000000000000001E-2"/>
    <n v="100"/>
    <n v="40000000"/>
    <n v="40000000"/>
    <n v="0"/>
    <n v="0"/>
    <n v="0"/>
    <n v="0"/>
    <n v="0"/>
    <n v="0"/>
    <n v="8000000"/>
    <n v="8000000"/>
    <n v="0"/>
    <n v="0"/>
    <n v="0"/>
    <n v="0"/>
    <n v="0"/>
    <n v="0"/>
    <n v="0"/>
    <n v="0"/>
    <n v="0"/>
    <n v="7.4999999999999997E-2"/>
    <n v="30"/>
    <n v="0.3"/>
    <n v="40"/>
    <n v="40"/>
    <n v="133.33333333333334"/>
    <n v="100"/>
    <n v="7.4999999999999997E-2"/>
    <n v="100"/>
    <n v="0"/>
    <n v="0"/>
    <n v="0"/>
    <n v="0"/>
    <n v="0"/>
    <n v="0"/>
    <n v="0"/>
    <n v="0"/>
    <n v="344856875"/>
    <n v="344856875"/>
    <n v="0"/>
    <n v="0"/>
    <n v="0"/>
    <n v="0"/>
    <n v="0"/>
    <n v="0"/>
    <n v="0"/>
    <n v="0"/>
    <n v="0"/>
    <n v="7.4999999999999997E-2"/>
    <n v="30"/>
    <n v="0.3"/>
    <n v="29"/>
    <n v="35"/>
    <n v="83"/>
    <n v="83"/>
    <n v="276.66666666666669"/>
    <n v="100"/>
    <n v="7.4999999999999997E-2"/>
    <n v="100"/>
    <n v="0.20749999999999999"/>
    <n v="7.4999999999999997E-2"/>
    <n v="30"/>
    <n v="0.3"/>
    <n v="30"/>
    <n v="0"/>
    <n v="30"/>
    <n v="100"/>
    <n v="100"/>
    <n v="7.4999999999999997E-2"/>
    <n v="7.4999999999999997E-2"/>
    <n v="0"/>
    <n v="0"/>
    <n v="0"/>
    <n v="0"/>
    <n v="0"/>
    <n v="0"/>
    <n v="0"/>
    <n v="0"/>
    <n v="0"/>
    <n v="0"/>
    <n v="0"/>
    <n v="0"/>
    <n v="0"/>
    <n v="0"/>
    <n v="0"/>
    <n v="0"/>
    <n v="0"/>
    <n v="0"/>
    <n v="0"/>
    <n v="163"/>
    <n v="0.25"/>
    <n v="163"/>
    <n v="100"/>
    <n v="0.25"/>
    <n v="0.25"/>
    <n v="0.25"/>
    <n v="1"/>
    <n v="0"/>
    <n v="434"/>
    <s v="AL FINALIZAR EL PERÍODO DE GOBIERNO, EL DEPARTAMENTO DE CUNDINAMARCA, ALCANZARÁ EXPORTACIONES POR UN VALOR DE 2.500 MILLONES DE DÓLARES."/>
    <m/>
    <s v=""/>
    <m/>
    <m/>
    <m/>
    <m/>
    <s v="POR MEDIO DE LA PARTICIPACIÓN EN FERIAS INTERNACIONALES SE HA LOGRADO PROMOCIONAR LOS PRODUCTOS DE NUESTRO DEPARTAMENTO, PERMITIENDO A LOS EMPRESARIOS CONOCER ACERCA DEL MERCADO EXTRANJERO, LAS VENTAJAS COMPARATIVAS Y OPORTUNIDADES DE SUS PRODUCTOS RESPECTO A LOS PRODUCTOS DE LA COMPETENCIA, CONTACTAR CLIENTES POTENCIALES A TRAVES DE LA PARTICIPACIÒN EN RUEDAS DE NEGOCIOS. IGUALMENTE, GENERANDO EN LOS EMPRESARIOS LA NECESIDAD DE MEJORAR SU PRODUCTO A TRAVES DE LA INNOVACION Y LA GENERACION DE VALOR AGREGADO FORTALECIENDO SU MERCADO REGIONAL CON MIRAS A LA INTERNACIONALIZACION."/>
    <n v="60000000"/>
    <m/>
    <n v="100"/>
  </r>
  <r>
    <n v="437"/>
    <x v="2"/>
    <x v="11"/>
    <x v="19"/>
    <s v="MARKETING TERRITORIAL"/>
    <s v="DISEÑAR, REGISTRAR Y POSICIONAR UNA MARCA Y/O SELLO INSTITUCIONALES DEL DEPARTAMENTO EN EL PERIODO DE GOBIERNO"/>
    <s v="NO DE MARCAS DISEÑADAS E IMPLMENTADAS "/>
    <s v="MARCA"/>
    <s v="I"/>
    <n v="0"/>
    <n v="1"/>
    <n v="1"/>
    <n v="0.25"/>
    <n v="0.1"/>
    <n v="0.4"/>
    <n v="0.4"/>
    <n v="0.4"/>
    <n v="0.4"/>
    <n v="100"/>
    <n v="100"/>
    <n v="0.1"/>
    <n v="100"/>
    <n v="0"/>
    <n v="0"/>
    <n v="0"/>
    <n v="0"/>
    <n v="0"/>
    <n v="0"/>
    <n v="0"/>
    <n v="0"/>
    <n v="0"/>
    <n v="0"/>
    <n v="0"/>
    <n v="0"/>
    <n v="0"/>
    <n v="0"/>
    <n v="0"/>
    <n v="0"/>
    <n v="0"/>
    <n v="0"/>
    <n v="0"/>
    <n v="0.1"/>
    <n v="0.4"/>
    <n v="0.4"/>
    <n v="0.4"/>
    <n v="0.4"/>
    <n v="100"/>
    <n v="100"/>
    <n v="0.1"/>
    <n v="100"/>
    <n v="0"/>
    <n v="0"/>
    <n v="0"/>
    <n v="0"/>
    <n v="0"/>
    <n v="0"/>
    <n v="0"/>
    <n v="0"/>
    <n v="60000000"/>
    <n v="60000000"/>
    <n v="0"/>
    <n v="0"/>
    <n v="0"/>
    <n v="0"/>
    <n v="0"/>
    <n v="0"/>
    <n v="0"/>
    <n v="0"/>
    <n v="0"/>
    <n v="2.5000000000000001E-2"/>
    <n v="0.1"/>
    <n v="0.1"/>
    <n v="2.9999999329447746E-2"/>
    <n v="5.000000074505806E-2"/>
    <n v="0.10000000149011612"/>
    <n v="0.10000000149011612"/>
    <n v="100.00000149011612"/>
    <n v="100"/>
    <n v="2.5000000000000001E-2"/>
    <n v="100"/>
    <n v="2.500000037252903E-2"/>
    <n v="2.5000000000000001E-2"/>
    <n v="0.1"/>
    <n v="0.1"/>
    <n v="0.1"/>
    <n v="0"/>
    <n v="0.1"/>
    <n v="100"/>
    <n v="100"/>
    <n v="2.5000000000000001E-2"/>
    <n v="2.5000000000000001E-2"/>
    <n v="0"/>
    <n v="0"/>
    <n v="0"/>
    <n v="0"/>
    <n v="0"/>
    <n v="0"/>
    <n v="0"/>
    <n v="0"/>
    <n v="0"/>
    <n v="0"/>
    <n v="0"/>
    <n v="0"/>
    <n v="0"/>
    <n v="0"/>
    <n v="0"/>
    <n v="0"/>
    <n v="0"/>
    <n v="0"/>
    <n v="0"/>
    <n v="1.0000000014901163"/>
    <n v="0.25"/>
    <n v="100.00000014901163"/>
    <n v="100"/>
    <n v="0.25"/>
    <n v="0.25"/>
    <n v="0.25"/>
    <n v="1"/>
    <n v="0"/>
    <n v="434"/>
    <s v="AL FINALIZAR EL PERÍODO DE GOBIERNO, EL DEPARTAMENTO DE CUNDINAMARCA, ALCANZARÁ EXPORTACIONES POR UN VALOR DE 2.500 MILLONES DE DÓLARES."/>
    <m/>
    <s v=""/>
    <m/>
    <m/>
    <m/>
    <m/>
    <s v="LA INSERCIÓN DEL DEPARTAMENTO EN LOS MERCADOS REGIONAL, NACIONAL E INTERNACIONALMENTE, SE HA FACILITADO CON EL DESARROLLO DE UNA ESTRATEGIA INNOVADORA DE MARCA REGIONAL, IMPULSANDO UNO DE LOS PRODUCTOS DE MAYOR PRODUCCION DE CALIDAD DEL PAIS COMO LO ES EL CAFÉ ESPECIAL ASI COMO LOS DESTINOS Y ATRACTIVOS TURISTICOS DE CUNDINAMARCA."/>
    <n v="60000000"/>
    <m/>
    <n v="100"/>
  </r>
  <r>
    <n v="438"/>
    <x v="2"/>
    <x v="11"/>
    <x v="19"/>
    <s v="TLC´S Y ACUERDOS INTERNACIONALLES"/>
    <s v="IMPLEMENTAR UN PROGRAMA PARA APROVECHAMIENTO DE LOS TLC`S Y DEMÁS ACUERDOS INTERNACIONALES PARA EL DEPARTAMENTO, DURANTE EL PERIODO DE GOBIERNO"/>
    <s v="NO PROGRAMAS IMPLEMENTADOS"/>
    <s v="PROGRAMA"/>
    <s v="I"/>
    <n v="0"/>
    <n v="1"/>
    <n v="1"/>
    <n v="0.16500000000000001"/>
    <n v="5.7749999999999996E-2"/>
    <n v="0.35"/>
    <n v="0.35"/>
    <n v="0.35"/>
    <n v="0.35"/>
    <n v="100"/>
    <n v="100"/>
    <n v="5.7749999999999996E-2"/>
    <n v="100"/>
    <n v="40000000"/>
    <n v="40000000"/>
    <n v="0"/>
    <n v="0"/>
    <n v="0"/>
    <n v="0"/>
    <n v="0"/>
    <n v="0"/>
    <n v="8000000"/>
    <n v="8000000"/>
    <n v="0"/>
    <n v="0"/>
    <n v="0"/>
    <n v="0"/>
    <n v="0"/>
    <n v="0"/>
    <n v="0"/>
    <n v="0"/>
    <n v="0"/>
    <n v="3.3000000000000002E-2"/>
    <n v="0.2"/>
    <n v="0.2"/>
    <n v="0.5"/>
    <n v="0.5"/>
    <n v="250"/>
    <n v="100"/>
    <n v="3.3000000000000002E-2"/>
    <n v="100"/>
    <n v="0"/>
    <n v="0"/>
    <n v="0"/>
    <n v="0"/>
    <n v="0"/>
    <n v="0"/>
    <n v="0"/>
    <n v="0"/>
    <n v="24840914"/>
    <n v="24840914"/>
    <n v="0"/>
    <n v="0"/>
    <n v="0"/>
    <n v="0"/>
    <n v="0"/>
    <n v="0"/>
    <n v="0"/>
    <n v="0"/>
    <n v="0"/>
    <n v="3.3000000000000002E-2"/>
    <n v="0.2"/>
    <n v="0.2"/>
    <n v="0.5"/>
    <n v="5.000000074505806E-2"/>
    <n v="7.0000000298023224E-2"/>
    <n v="7.0000000298023224E-2"/>
    <n v="35.000000149011612"/>
    <n v="35.000000149011612"/>
    <n v="1.1550000049173831E-2"/>
    <n v="35.000000149011612"/>
    <n v="1.1550000049173831E-2"/>
    <n v="4.1250000000000002E-2"/>
    <n v="0.25"/>
    <n v="0.25"/>
    <n v="0.25"/>
    <n v="0"/>
    <n v="0.25"/>
    <n v="100"/>
    <n v="100"/>
    <n v="4.1250000000000002E-2"/>
    <n v="4.1250000000000002E-2"/>
    <n v="0"/>
    <n v="0"/>
    <n v="0"/>
    <n v="0"/>
    <n v="0"/>
    <n v="0"/>
    <n v="0"/>
    <n v="0"/>
    <n v="0"/>
    <n v="0"/>
    <n v="0"/>
    <n v="0"/>
    <n v="0"/>
    <n v="0"/>
    <n v="0"/>
    <n v="0"/>
    <n v="0"/>
    <n v="0"/>
    <n v="0"/>
    <n v="1.1700000002980233"/>
    <n v="0.16500000000000001"/>
    <n v="117.00000002980234"/>
    <n v="100"/>
    <n v="0.16500000000000001"/>
    <n v="0.16500000000000001"/>
    <n v="0.16500000000000001"/>
    <n v="1"/>
    <n v="0"/>
    <n v="434"/>
    <s v="AL FINALIZAR EL PERÍODO DE GOBIERNO, EL DEPARTAMENTO DE CUNDINAMARCA, ALCANZARÁ EXPORTACIONES POR UN VALOR DE 2.500 MILLONES DE DÓLARES."/>
    <m/>
    <s v=""/>
    <m/>
    <m/>
    <m/>
    <m/>
    <s v="EL CONOCIMIENTO DE LOS CONTENIDOS Y ALCANCES DE LOS ACUERDOS COMERCIALES SUSCRITOS POR EL PAÍS LE HAN PERMITIDO A LOS PRODUCTORES CUNDINAMARQUESES, ESTABLECER LAS OPORTUNIDADES Y AMENAZAS FRENTE A LA COMPETENCIA INTERNACIONAL Y DEFINIR ESTRATEGIAS DE MEJORAMIENTO DE LA PRODUCTIVIDAD. EN TAL SENTIDO SE LLEVARON A CABO JORNADAS DE SENSIBILIZACION EN LAS DISTINTAS PROVINCIAS DEL DEPARTAMENTO ACERCA DE LAS VENTAJAS Y OPORTUNIDADES DE LOS TRATADOS DE LIBRE COMERCIO BUSCANDO CON ESTO MOTIVAR AL EMPRESARIO A INCURSIONAR EN LOS MERCADOS GLOBALES."/>
    <n v="32500000"/>
    <m/>
    <n v="50"/>
  </r>
  <r>
    <n v="439"/>
    <x v="2"/>
    <x v="11"/>
    <x v="19"/>
    <s v="COOPERACIÓN INTERNACIONAL"/>
    <s v="BENEFICIAR, DURANTE EL PERIODO DE GOBIERNO, A 50 CUNDINAMARQUESES CON LA PARTICIPACIÓN EN INTERCAMBIOS ACADÉMICOS, EMPRESARIALES. "/>
    <s v="NO INTERCAMBIOS REALIZADOS"/>
    <s v="INTERCAMBIOS"/>
    <s v="I"/>
    <n v="0"/>
    <n v="50"/>
    <n v="50"/>
    <n v="0.16500000000000001"/>
    <n v="3.3000000000000002E-2"/>
    <n v="10"/>
    <n v="0.2"/>
    <n v="2"/>
    <n v="2"/>
    <n v="20"/>
    <n v="20"/>
    <n v="6.6E-3"/>
    <n v="20"/>
    <n v="0"/>
    <n v="0"/>
    <n v="0"/>
    <n v="0"/>
    <n v="0"/>
    <n v="0"/>
    <n v="0"/>
    <n v="0"/>
    <n v="0"/>
    <n v="0"/>
    <n v="0"/>
    <n v="0"/>
    <n v="0"/>
    <n v="0"/>
    <n v="0"/>
    <n v="0"/>
    <n v="0"/>
    <n v="0"/>
    <n v="0"/>
    <n v="6.6000000000000003E-2"/>
    <n v="20"/>
    <n v="0.4"/>
    <n v="0"/>
    <n v="0"/>
    <n v="0"/>
    <n v="0"/>
    <n v="0"/>
    <n v="0"/>
    <n v="0"/>
    <n v="0"/>
    <n v="0"/>
    <n v="0"/>
    <n v="0"/>
    <n v="0"/>
    <n v="0"/>
    <n v="0"/>
    <n v="0"/>
    <n v="0"/>
    <n v="0"/>
    <n v="0"/>
    <n v="0"/>
    <n v="0"/>
    <n v="0"/>
    <n v="0"/>
    <n v="0"/>
    <n v="0"/>
    <n v="0"/>
    <n v="3.3000000000000002E-2"/>
    <n v="10"/>
    <n v="0.2"/>
    <n v="0"/>
    <n v="28"/>
    <n v="48"/>
    <n v="48"/>
    <n v="480"/>
    <n v="100"/>
    <n v="3.3000000000000002E-2"/>
    <n v="100"/>
    <n v="0.15839999999999999"/>
    <n v="3.3000000000000002E-2"/>
    <n v="10"/>
    <n v="0.2"/>
    <n v="10"/>
    <n v="0"/>
    <n v="10"/>
    <n v="100"/>
    <n v="100"/>
    <n v="3.3000000000000002E-2"/>
    <n v="3.3000000000000002E-2"/>
    <n v="0"/>
    <n v="0"/>
    <n v="0"/>
    <n v="0"/>
    <n v="0"/>
    <n v="0"/>
    <n v="0"/>
    <n v="0"/>
    <n v="0"/>
    <n v="0"/>
    <n v="0"/>
    <n v="0"/>
    <n v="0"/>
    <n v="0"/>
    <n v="0"/>
    <n v="0"/>
    <n v="0"/>
    <n v="0"/>
    <n v="0"/>
    <n v="60"/>
    <n v="0.16500000000000001"/>
    <n v="120"/>
    <n v="100"/>
    <n v="0.16500000000000001"/>
    <n v="0.16500000000000001"/>
    <n v="0.16500000000000001"/>
    <n v="1"/>
    <n v="0"/>
    <n v="434"/>
    <s v="AL FINALIZAR EL PERÍODO DE GOBIERNO, EL DEPARTAMENTO DE CUNDINAMARCA, ALCANZARÁ EXPORTACIONES POR UN VALOR DE 2.500 MILLONES DE DÓLARES."/>
    <m/>
    <s v=""/>
    <m/>
    <m/>
    <m/>
    <m/>
    <s v="SE HA LOGRADO AVANZAR EN EL MEJORAMIENTO DE LAS CONDICIONES DE PRODUCTIVIDAD EMPRESARIAL Y LABORAL, A TRAVÉS DE LOS INTERCAMBIOS ACADÉMICOS Y EMPRESARIALES, FACILITANDO LA VISIÓN DE NUEVOS MERCADOS, LA GESTIÓN DE INNOVACIÓN Y TRANSFERENCIA TECNOLÓGICA Y ADEMAS INCENTIVAR LA COMERCIALIZACION INTERNACIONAL ABRIENDO NUEVAS OPORTUNIDADES PARA LOS EMPRESARIOS DE SECTORES ECONOMICOS DE LA AGROINDUSTRIA DEPARTAMENTAL."/>
    <n v="2021000000"/>
    <m/>
    <n v="100"/>
  </r>
  <r>
    <n v="443"/>
    <x v="2"/>
    <x v="17"/>
    <x v="19"/>
    <s v="DESARROLLO EMPRESARIAL MINERO"/>
    <s v="DESARROLLAR E IMPLEMENTAR NUEVE UNIDADES BÁSICAS DE ATENCIÓN AL MINERO, COMO ESTRATEGIA ASISTENCIA TÉCNICA PREVENTIVA Y SEGUIMIENTO AL CUMPLIMIENTO NORMATIVO Y PRODUCTIVO DEL SECTOR. DURANTE EL PERIODO 2012-2016."/>
    <s v="NO UNIDADES BÁSICAS DE ATENCIÓN IMPLEMENTADAS."/>
    <s v="UNIDADES"/>
    <s v="I"/>
    <n v="0"/>
    <n v="9"/>
    <n v="9"/>
    <n v="0.25"/>
    <n v="2.7777777777777776E-2"/>
    <n v="1"/>
    <n v="0.1111111111111111"/>
    <n v="2"/>
    <n v="2"/>
    <n v="200"/>
    <n v="100"/>
    <n v="2.7777777777777776E-2"/>
    <n v="100"/>
    <n v="882000000"/>
    <n v="432000000"/>
    <n v="0"/>
    <n v="300000000"/>
    <n v="0"/>
    <n v="0"/>
    <n v="0"/>
    <n v="150000000"/>
    <n v="604825000"/>
    <n v="432964000"/>
    <n v="0"/>
    <n v="171861000"/>
    <n v="0"/>
    <n v="0"/>
    <n v="0"/>
    <n v="0"/>
    <n v="0"/>
    <n v="0"/>
    <n v="0"/>
    <n v="5.5555555555555552E-2"/>
    <n v="2"/>
    <n v="0.22222222222222221"/>
    <n v="2"/>
    <n v="2"/>
    <n v="100"/>
    <n v="100"/>
    <n v="5.5555555555555552E-2"/>
    <n v="100"/>
    <n v="500000000"/>
    <n v="0"/>
    <n v="500000000"/>
    <n v="0"/>
    <n v="0"/>
    <n v="0"/>
    <n v="0"/>
    <n v="0"/>
    <n v="500000000"/>
    <n v="500000000"/>
    <n v="0"/>
    <n v="0"/>
    <n v="0"/>
    <n v="0"/>
    <n v="0"/>
    <n v="0"/>
    <n v="0"/>
    <n v="500000000"/>
    <n v="0"/>
    <n v="8.3333333333333329E-2"/>
    <n v="3"/>
    <n v="0.33333333333333331"/>
    <n v="0"/>
    <n v="0"/>
    <n v="1"/>
    <n v="1"/>
    <n v="33.333333333333336"/>
    <n v="33.333333333333336"/>
    <n v="2.7777777777777776E-2"/>
    <n v="33.333333333333336"/>
    <n v="2.7777777777777776E-2"/>
    <n v="8.3333333333333329E-2"/>
    <n v="3"/>
    <n v="0.33333333333333331"/>
    <n v="4"/>
    <n v="-1"/>
    <n v="4"/>
    <n v="133.33333333333334"/>
    <n v="100"/>
    <n v="8.3333333333333315E-2"/>
    <n v="0.1111111111111111"/>
    <n v="1000000000"/>
    <n v="1000000000"/>
    <n v="0"/>
    <n v="0"/>
    <n v="0"/>
    <n v="0"/>
    <n v="0"/>
    <n v="0"/>
    <n v="0"/>
    <n v="0"/>
    <n v="0"/>
    <n v="0"/>
    <n v="0"/>
    <n v="0"/>
    <n v="0"/>
    <n v="0"/>
    <n v="0"/>
    <n v="0"/>
    <n v="0"/>
    <n v="9"/>
    <n v="0.25"/>
    <n v="100"/>
    <n v="100"/>
    <n v="0.25"/>
    <n v="0.25"/>
    <n v="0.25"/>
    <n v="1"/>
    <n v="0"/>
    <n v="440"/>
    <s v="PROMOVER ESTRATEGIAS PARA REDUCIR EN UN 16% LA INFORMALIDAD E ILEGALIDAD EN LA EXPLOTACIÓN MINERA DE CARBÓN EN CUNDINAMARCA, DURANTE EL PERIODO DE GOBIERNO._x000a__x000a_"/>
    <m/>
    <s v=""/>
    <m/>
    <m/>
    <m/>
    <m/>
    <s v="SE GENERARON ESPACIOS DE ACERCAMIENTO ENTRE LAS AUTORIDADES MINERAS Y EL TRABAJADOR MINERO, BRINDANDO CONOCIMIENTO DE PRIMERA MANO, PROVENIENTE DE LAS INQUIETUDES DEL MINERO. SE BRINDÓ CAPACITACIÓN EN LAS UBAM Y SE POSICIONÓ CADA UBAM COMO CENTRO DE RECEPCION Y AYUDA PARA LA POBLACIÓN MINERA."/>
    <n v="6375000000"/>
    <m/>
    <n v="0.25"/>
  </r>
  <r>
    <n v="444"/>
    <x v="2"/>
    <x v="17"/>
    <x v="20"/>
    <s v="DESARROLLO EMPRESARIAL MINERO"/>
    <s v="CAPACITAR A 600 MINEROS QUE MEJOREN EL RECURSO HUMANO DEL SECTOR, DURANTE EL PERIODO 2012-2016."/>
    <s v="NO TRABAJADORES MINEROS FORMADOS"/>
    <s v="MINEROS"/>
    <s v="I"/>
    <n v="346"/>
    <n v="946"/>
    <n v="600"/>
    <n v="0.16500000000000001"/>
    <n v="1.925E-2"/>
    <n v="70"/>
    <n v="0.11666666666666667"/>
    <n v="155"/>
    <n v="155"/>
    <n v="221.42857142857142"/>
    <n v="100"/>
    <n v="1.925E-2"/>
    <n v="100"/>
    <n v="55000000"/>
    <n v="25000000"/>
    <n v="0"/>
    <n v="0"/>
    <n v="0"/>
    <n v="0"/>
    <n v="0"/>
    <n v="30000000"/>
    <n v="50000000"/>
    <n v="0"/>
    <n v="0"/>
    <n v="0"/>
    <n v="0"/>
    <n v="0"/>
    <n v="0"/>
    <n v="50000000"/>
    <n v="0"/>
    <n v="0"/>
    <n v="0"/>
    <n v="3.5750000000000004E-2"/>
    <n v="130"/>
    <n v="0.21666666666666667"/>
    <n v="134"/>
    <n v="134"/>
    <n v="103.07692307692308"/>
    <n v="100"/>
    <n v="3.5750000000000004E-2"/>
    <n v="100"/>
    <n v="169000000"/>
    <n v="0"/>
    <n v="169000000"/>
    <n v="0"/>
    <n v="0"/>
    <n v="0"/>
    <n v="0"/>
    <n v="0"/>
    <n v="48000000"/>
    <n v="48000000"/>
    <n v="0"/>
    <n v="0"/>
    <n v="0"/>
    <n v="0"/>
    <n v="0"/>
    <n v="0"/>
    <n v="0"/>
    <n v="48000000"/>
    <n v="0"/>
    <n v="5.5E-2"/>
    <n v="200"/>
    <n v="0.33333333333333331"/>
    <n v="81"/>
    <n v="81"/>
    <n v="212"/>
    <n v="212"/>
    <n v="106"/>
    <n v="100"/>
    <n v="5.5E-2"/>
    <n v="100"/>
    <n v="5.8299999999999998E-2"/>
    <n v="5.5E-2"/>
    <n v="200"/>
    <n v="0.33333333333333331"/>
    <n v="944"/>
    <n v="-744"/>
    <n v="944"/>
    <n v="472"/>
    <n v="100"/>
    <n v="5.5E-2"/>
    <n v="0.2596"/>
    <n v="300000000"/>
    <n v="300000000"/>
    <n v="0"/>
    <n v="0"/>
    <n v="0"/>
    <n v="0"/>
    <n v="0"/>
    <n v="0"/>
    <n v="0"/>
    <n v="0"/>
    <n v="0"/>
    <n v="0"/>
    <n v="0"/>
    <n v="0"/>
    <n v="0"/>
    <n v="0"/>
    <n v="0"/>
    <n v="0"/>
    <n v="0"/>
    <n v="1445"/>
    <n v="0.16500000000000001"/>
    <n v="240.83333333333334"/>
    <n v="100"/>
    <n v="0.16500000000000001"/>
    <n v="0.16500000000000001"/>
    <n v="0.16500000000000001"/>
    <n v="1"/>
    <n v="0"/>
    <n v="440"/>
    <s v="PROMOVER ESTRATEGIAS PARA REDUCIR EN UN 16% LA INFORMALIDAD E ILEGALIDAD EN LA EXPLOTACIÓN MINERA DE CARBÓN EN CUNDINAMARCA, DURANTE EL PERIODO DE GOBIERNO._x000a__x000a_"/>
    <m/>
    <s v=""/>
    <m/>
    <m/>
    <m/>
    <m/>
    <s v="SE PROPORCIONÓ CAPACITACIÓN A LOS MINEROS TECNICOS Y TECNOLOGOS E INTERESADOS EN GENERAL, EN LEGISLACION MINERA, PRODUCCION DE ELEMENTOS CERAMICOS,SEGURIDAD E HIQUIENE INDUSTRIAL, EMPRENDIMIENTO EMPRESARIAL SALUD OCUPACIONAL, TRIBUTOS, MANEJO DE EQUIPOS. ETC. HACIENDO DE LA POBLACIÓN MINERA DEL DEPARTAMENTO DE CUNDINAMARCA, UN GRUPO DE PERSONAS CON MÁS Y MEJORES CONOCIMIENTOS EN LOS TEMAS DE MINERIA."/>
    <n v="0"/>
    <m/>
    <n v="5"/>
  </r>
  <r>
    <n v="445"/>
    <x v="2"/>
    <x v="17"/>
    <x v="20"/>
    <s v="DESARROLLO EMPRESARIAL MINERO"/>
    <s v="PARTICIPAR EN CUATRO EVENTOS ESPECIALIZADOS COMO ALTERNATIVAS DE PROMOCIÓN Y COMERCIALIZACIÓN MINERA, DURANTE EL PERIODO 2012-2016."/>
    <s v="NO PARTICIPACIÓN EN EVENTOS DE COMERCIALIZACIÓN."/>
    <s v="EVENTOS"/>
    <s v="I"/>
    <n v="0"/>
    <n v="4"/>
    <n v="4"/>
    <n v="0.16500000000000001"/>
    <n v="4.1250000000000002E-2"/>
    <n v="1"/>
    <n v="0.25"/>
    <n v="1"/>
    <n v="1"/>
    <n v="100"/>
    <n v="100"/>
    <n v="4.1250000000000002E-2"/>
    <n v="100"/>
    <n v="130000000"/>
    <n v="130000000"/>
    <n v="0"/>
    <n v="0"/>
    <n v="0"/>
    <n v="0"/>
    <n v="0"/>
    <n v="0"/>
    <n v="135000000"/>
    <n v="130000000"/>
    <n v="0"/>
    <n v="5000000"/>
    <n v="0"/>
    <n v="0"/>
    <n v="0"/>
    <n v="0"/>
    <n v="0"/>
    <n v="0"/>
    <n v="0"/>
    <n v="4.1250000000000002E-2"/>
    <n v="1"/>
    <n v="0.25"/>
    <n v="1"/>
    <n v="1"/>
    <n v="100"/>
    <n v="100"/>
    <n v="4.1250000000000002E-2"/>
    <n v="100"/>
    <n v="0"/>
    <n v="0"/>
    <n v="0"/>
    <n v="0"/>
    <n v="0"/>
    <n v="0"/>
    <n v="0"/>
    <n v="0"/>
    <n v="11948000"/>
    <n v="11948000"/>
    <n v="0"/>
    <n v="0"/>
    <n v="0"/>
    <n v="0"/>
    <n v="0"/>
    <n v="0"/>
    <n v="0"/>
    <n v="11948000"/>
    <n v="0"/>
    <n v="4.1250000000000002E-2"/>
    <n v="1"/>
    <n v="0.25"/>
    <n v="0"/>
    <n v="1"/>
    <n v="1"/>
    <n v="1"/>
    <n v="100"/>
    <n v="100"/>
    <n v="4.1250000000000002E-2"/>
    <n v="100"/>
    <n v="4.1250000000000002E-2"/>
    <n v="4.1250000000000002E-2"/>
    <n v="1"/>
    <n v="0.25"/>
    <n v="1"/>
    <n v="0"/>
    <n v="1"/>
    <n v="100"/>
    <n v="100"/>
    <n v="4.1250000000000002E-2"/>
    <n v="4.1250000000000002E-2"/>
    <n v="0"/>
    <n v="0"/>
    <n v="0"/>
    <n v="0"/>
    <n v="0"/>
    <n v="0"/>
    <n v="0"/>
    <n v="0"/>
    <n v="0"/>
    <n v="0"/>
    <n v="0"/>
    <n v="0"/>
    <n v="0"/>
    <n v="0"/>
    <n v="0"/>
    <n v="0"/>
    <n v="0"/>
    <n v="0"/>
    <n v="0"/>
    <n v="4"/>
    <n v="0.16500000000000001"/>
    <n v="100"/>
    <n v="100"/>
    <n v="0.16500000000000001"/>
    <n v="0.16500000000000001"/>
    <n v="0.16500000000000001"/>
    <n v="1"/>
    <n v="0"/>
    <n v="440"/>
    <s v="PROMOVER ESTRATEGIAS PARA REDUCIR EN UN 16% LA INFORMALIDAD E ILEGALIDAD EN LA EXPLOTACIÓN MINERA DE CARBÓN EN CUNDINAMARCA, DURANTE EL PERIODO DE GOBIERNO._x000a__x000a_"/>
    <m/>
    <s v=""/>
    <m/>
    <m/>
    <m/>
    <m/>
    <s v="EN EL MARCO DEL 1 DE AGOSTO COMO CONMEMORACION DEL DIA DEL MINERO, SE DESARROLLO, LA JORNADA LÚDICA DE OLIMPIADAS MINERAS. Y SE GENERÓ EL RECONOCIMIENTO DE LA SECRETARÍA DE MINAS Y ENERGÍA COMO ORGANIZMO ARTICULADOR DE LA POLÍTICA MINERA ANTE ENTIDADES PÚBLICAS Y PRIVADAS. "/>
    <n v="0"/>
    <m/>
    <n v="20"/>
  </r>
  <r>
    <n v="446"/>
    <x v="2"/>
    <x v="17"/>
    <x v="20"/>
    <s v="DESARROLLO EMPRESARIAL MINERO"/>
    <s v="APOYAR LA CONFORMACIÓN DE DOS REDES DE JUVENTUDES EN EL SECTOR MINERO, DURANTE EL PERIODO 2012-2016."/>
    <s v="NO DE REDES DE JUVENTUDES CONFORMADAS."/>
    <s v="REDES"/>
    <s v="I"/>
    <n v="0"/>
    <n v="2"/>
    <n v="2"/>
    <n v="0.25"/>
    <n v="0"/>
    <n v="0"/>
    <n v="0"/>
    <n v="0"/>
    <n v="0"/>
    <n v="0"/>
    <n v="0"/>
    <n v="0"/>
    <n v="0"/>
    <n v="0"/>
    <n v="0"/>
    <n v="0"/>
    <n v="0"/>
    <n v="0"/>
    <n v="0"/>
    <n v="0"/>
    <n v="0"/>
    <n v="0"/>
    <n v="0"/>
    <n v="0"/>
    <n v="0"/>
    <n v="0"/>
    <n v="0"/>
    <n v="0"/>
    <n v="0"/>
    <n v="0"/>
    <n v="0"/>
    <n v="0"/>
    <n v="0.125"/>
    <n v="1"/>
    <n v="0.5"/>
    <n v="1"/>
    <n v="1"/>
    <n v="100"/>
    <n v="100"/>
    <n v="0.125"/>
    <n v="100"/>
    <n v="80000000"/>
    <n v="0"/>
    <n v="80000000"/>
    <n v="0"/>
    <n v="0"/>
    <n v="0"/>
    <n v="0"/>
    <n v="0"/>
    <n v="80000000"/>
    <n v="80000000"/>
    <n v="0"/>
    <n v="0"/>
    <n v="0"/>
    <n v="0"/>
    <n v="0"/>
    <n v="0"/>
    <n v="0"/>
    <n v="80000000"/>
    <n v="0"/>
    <n v="0"/>
    <n v="0"/>
    <n v="0"/>
    <n v="0"/>
    <n v="0"/>
    <n v="0"/>
    <n v="0"/>
    <n v="0"/>
    <n v="0"/>
    <n v="0"/>
    <n v="0"/>
    <n v="0"/>
    <n v="0.125"/>
    <n v="1"/>
    <n v="0.5"/>
    <n v="1"/>
    <n v="0"/>
    <n v="1"/>
    <n v="100"/>
    <n v="100"/>
    <n v="0.125"/>
    <n v="0.125"/>
    <n v="0"/>
    <n v="0"/>
    <n v="0"/>
    <n v="0"/>
    <n v="0"/>
    <n v="0"/>
    <n v="0"/>
    <n v="0"/>
    <n v="0"/>
    <n v="0"/>
    <n v="0"/>
    <n v="0"/>
    <n v="0"/>
    <n v="0"/>
    <n v="0"/>
    <n v="0"/>
    <n v="0"/>
    <n v="0"/>
    <n v="0"/>
    <n v="2"/>
    <n v="0.25"/>
    <n v="100"/>
    <n v="100"/>
    <n v="0.25"/>
    <n v="0.25"/>
    <n v="0.25"/>
    <n v="1"/>
    <n v="0"/>
    <n v="440"/>
    <s v="PROMOVER ESTRATEGIAS PARA REDUCIR EN UN 16% LA INFORMALIDAD E ILEGALIDAD EN LA EXPLOTACIÓN MINERA DE CARBÓN EN CUNDINAMARCA, DURANTE EL PERIODO DE GOBIERNO._x000a__x000a_"/>
    <m/>
    <s v=""/>
    <m/>
    <m/>
    <m/>
    <m/>
    <s v=" A TRAVES DE LA CREACION, CONFORMACION Y CAPACITACION DE REDES DE JOVENES NACE EL PROCESO DE CAMBIO MULTIPLICADOR CULTURAL EN LAS COSTUMBRES DE EXPLORACION Y EXPLOTACION DE LA MINERIA EN CUNDINAMARCA, "/>
    <n v="45000000000"/>
    <m/>
    <n v="0"/>
  </r>
  <r>
    <n v="447"/>
    <x v="2"/>
    <x v="17"/>
    <x v="20"/>
    <s v="ENERGÍA Y GAS PARA EL DESARROLLO DE CUNDINAMARCA"/>
    <s v="PROMOVER, DURANTE EL PERIODO DE GOBIERNO, LA EXPANSIÓN DE LA COBERTURA DE GAS A 40 MUNICIPIOS DE CUNDINAMARCA, GARANTIZANDO LAS CONEXIONES DE 20.000 FAMILIAS."/>
    <s v="NO DE MUNICIPIOS CON SERVICIOS DE GAS IMPLEMENTADO"/>
    <s v="MUNICIPIOS"/>
    <s v="I"/>
    <n v="52"/>
    <n v="92"/>
    <n v="40"/>
    <n v="0.25"/>
    <n v="3.125E-2"/>
    <n v="5"/>
    <n v="0.125"/>
    <n v="0"/>
    <n v="0"/>
    <n v="0"/>
    <n v="0"/>
    <n v="0"/>
    <n v="0"/>
    <n v="9822000000"/>
    <n v="800000000"/>
    <n v="0"/>
    <n v="0"/>
    <n v="0"/>
    <n v="0"/>
    <n v="0"/>
    <n v="9022000000"/>
    <n v="1738482000"/>
    <n v="1130000000"/>
    <n v="0"/>
    <n v="608482000"/>
    <n v="0"/>
    <n v="0"/>
    <n v="0"/>
    <n v="0"/>
    <n v="0"/>
    <n v="0"/>
    <n v="0"/>
    <n v="1.8749999999999999E-2"/>
    <n v="3"/>
    <n v="7.4999999999999997E-2"/>
    <n v="7"/>
    <n v="7"/>
    <n v="233.33333333333334"/>
    <n v="100"/>
    <n v="1.8749999999999999E-2"/>
    <n v="100"/>
    <n v="995000000"/>
    <n v="0"/>
    <n v="500000000"/>
    <n v="0"/>
    <n v="0"/>
    <n v="0"/>
    <n v="0"/>
    <n v="495000000"/>
    <n v="4726602069"/>
    <n v="2527460043"/>
    <n v="0"/>
    <n v="0"/>
    <n v="0"/>
    <n v="2199142000"/>
    <n v="0"/>
    <n v="26"/>
    <n v="0"/>
    <n v="4726602069"/>
    <n v="0"/>
    <n v="0.13750000000000001"/>
    <n v="22"/>
    <n v="0.55000000000000004"/>
    <n v="26"/>
    <n v="2"/>
    <n v="30"/>
    <n v="30"/>
    <n v="136.36363636363637"/>
    <n v="100"/>
    <n v="0.13750000000000001"/>
    <n v="100"/>
    <n v="0.18750000000000003"/>
    <n v="6.25E-2"/>
    <n v="10"/>
    <n v="0.25"/>
    <n v="7"/>
    <n v="3"/>
    <n v="7"/>
    <n v="70"/>
    <n v="70"/>
    <n v="4.3749999999999997E-2"/>
    <n v="4.3749999999999997E-2"/>
    <n v="2495000000"/>
    <n v="2000000000"/>
    <n v="0"/>
    <n v="0"/>
    <n v="0"/>
    <n v="0"/>
    <n v="0"/>
    <n v="495000000"/>
    <n v="0"/>
    <n v="0"/>
    <n v="0"/>
    <n v="0"/>
    <n v="0"/>
    <n v="0"/>
    <n v="0"/>
    <n v="0"/>
    <n v="0"/>
    <n v="0"/>
    <n v="0"/>
    <n v="44"/>
    <n v="0.25"/>
    <n v="110"/>
    <n v="100"/>
    <n v="0.25"/>
    <n v="0.25"/>
    <n v="0.25"/>
    <n v="1"/>
    <n v="0"/>
    <n v="442"/>
    <s v="MEJORAR LA ECONOMÍA DE 10.000 FAMILIAS CON EL AHORRO DEL 30% DEL COSTO MENSUAL DEL SERVICIO DE GAS DOMICILIARIO._x000a_"/>
    <m/>
    <s v=""/>
    <m/>
    <m/>
    <m/>
    <m/>
    <s v="CON LOS PROYECTOS DE GAS DOMICILIAIRO POR REDES SE GARANTIZÓ EL ACCESO AL SERVICIO DEL 100% DE LOS USUARIOS DEL CASCO URBANO DE LOS MUNICIPIOS DEL DEPARTAMENTO, HECHO QUE SE VE REFLEJADO EN LA DISMINUCIÓN DEL COSTO MENSUAL DEL COMBUSTIBLE EN UN 30% . SE REDUCE EL USO DE MATERIALES "/>
    <n v="109000000"/>
    <m/>
    <n v="1"/>
  </r>
  <r>
    <n v="448"/>
    <x v="2"/>
    <x v="17"/>
    <x v="20"/>
    <s v="ENERGÍA Y GAS PARA EL DESARROLLO DE CUNDINAMARCA"/>
    <s v="PROMOVER LA EXPANSIÓN DE ELECTRIFICACIÓN RURAL A 400 HOGARES, DURANTE EL PERIODO 2012-2016."/>
    <s v="NO DE HOGARES CON CONEXIÓN A ELECTRIFICACIÓN"/>
    <s v="HOGARES"/>
    <s v="I"/>
    <n v="0"/>
    <n v="400"/>
    <n v="400"/>
    <n v="0.16500000000000001"/>
    <n v="2.0625000000000001E-2"/>
    <n v="50"/>
    <n v="0.125"/>
    <n v="0"/>
    <n v="0"/>
    <n v="0"/>
    <n v="0"/>
    <n v="0"/>
    <n v="0"/>
    <n v="785000000"/>
    <n v="785000000"/>
    <n v="0"/>
    <n v="0"/>
    <n v="0"/>
    <n v="0"/>
    <n v="0"/>
    <n v="0"/>
    <n v="835160000"/>
    <n v="796660000"/>
    <n v="0"/>
    <n v="38500000"/>
    <n v="0"/>
    <n v="0"/>
    <n v="0"/>
    <n v="0"/>
    <n v="0"/>
    <n v="0"/>
    <n v="0"/>
    <n v="2.0625000000000001E-2"/>
    <n v="50"/>
    <n v="0.125"/>
    <n v="74"/>
    <n v="74"/>
    <n v="148"/>
    <n v="100"/>
    <n v="2.0625000000000001E-2"/>
    <n v="100"/>
    <n v="499000000"/>
    <n v="0"/>
    <n v="499000000"/>
    <n v="0"/>
    <n v="0"/>
    <n v="0"/>
    <n v="0"/>
    <n v="0"/>
    <n v="1547119227"/>
    <n v="502000000"/>
    <n v="0"/>
    <n v="0"/>
    <n v="0"/>
    <n v="1045119227"/>
    <n v="0"/>
    <n v="0"/>
    <n v="0"/>
    <n v="1547119227"/>
    <n v="0"/>
    <n v="4.1250000000000002E-2"/>
    <n v="100"/>
    <n v="0.25"/>
    <n v="0"/>
    <n v="54"/>
    <n v="123"/>
    <n v="123"/>
    <n v="123"/>
    <n v="100"/>
    <n v="4.1250000000000002E-2"/>
    <n v="100"/>
    <n v="5.0737500000000005E-2"/>
    <n v="8.2500000000000004E-2"/>
    <n v="200"/>
    <n v="0.5"/>
    <n v="0"/>
    <n v="200"/>
    <n v="0"/>
    <n v="0"/>
    <n v="0"/>
    <n v="0"/>
    <n v="0"/>
    <n v="529000000"/>
    <n v="529000000"/>
    <n v="0"/>
    <n v="0"/>
    <n v="0"/>
    <n v="0"/>
    <n v="0"/>
    <n v="0"/>
    <n v="0"/>
    <n v="0"/>
    <n v="0"/>
    <n v="0"/>
    <n v="0"/>
    <n v="0"/>
    <n v="0"/>
    <n v="0"/>
    <n v="0"/>
    <n v="0"/>
    <n v="0"/>
    <n v="197"/>
    <n v="0.16500000000000001"/>
    <n v="49.25"/>
    <n v="49.25"/>
    <n v="8.1262500000000001E-2"/>
    <n v="8.1262500000000001E-2"/>
    <n v="8.1262500000000001E-2"/>
    <n v="1"/>
    <n v="0"/>
    <n v="441"/>
    <s v="DISMINUIR EL DÉFICIT DE ELECTRIFICACIÓN RURAL Y URBANA EN UN 2% DE UNIDADES FAMILIARES EN EL DEPARTAMENTO."/>
    <m/>
    <s v=""/>
    <m/>
    <m/>
    <m/>
    <m/>
    <s v="LOS PROYECTOS DE ELECTRIFICACIÓN BENEFICIARON A LAS FAMILIAS RURALES DE LOS MUNICIPIOS MÁS POBRES Y APARTADOS DEL DEPARTAMENTO, MEJORANDO LA CALIDAD Y CONDICIONES DE VIDA, YA QUE PUEDEN TENER ACCESO A LA INFORMACIÓN (RADIO, TELEVISIÓN), PRESERVAR SUS ALIMENTOS PARA EL CONSUMO O COMERCIALIZACION DE LOS MISMOS Y SE HA GARANTIZADO LA COMUNICACIÓN CONSTANTE CON LA RECARGA DE SUS CELULARES. "/>
    <n v="100000000"/>
    <m/>
    <n v="1"/>
  </r>
  <r>
    <n v="451"/>
    <x v="2"/>
    <x v="10"/>
    <x v="21"/>
    <s v="INFRAESTRUCTURA PARA LA MOVILIDAD"/>
    <s v="PAVIMENTAR Y/O REHABILITAR DURANTE EL PERIODO DE GOBIERNO 250 KMS DE LA RED VIAL DE SEGUNDO ORDEN "/>
    <s v="NO DE KMS PAVIMENTADOS O REHABILITADOS"/>
    <s v="KMTS"/>
    <s v="I"/>
    <n v="1751"/>
    <n v="2001"/>
    <n v="250"/>
    <n v="0.33"/>
    <n v="3.3000000000000002E-2"/>
    <n v="25"/>
    <n v="0.1"/>
    <n v="72"/>
    <n v="72"/>
    <n v="288"/>
    <n v="100"/>
    <n v="3.3000000000000002E-2"/>
    <n v="100"/>
    <n v="5419000000"/>
    <n v="5419000000"/>
    <n v="0"/>
    <n v="0"/>
    <n v="0"/>
    <n v="0"/>
    <n v="0"/>
    <n v="0"/>
    <n v="37646475000"/>
    <n v="37646475000"/>
    <n v="0"/>
    <n v="0"/>
    <n v="0"/>
    <n v="0"/>
    <n v="0"/>
    <n v="0"/>
    <n v="0"/>
    <n v="0"/>
    <n v="0"/>
    <n v="0.13068000000000002"/>
    <n v="99"/>
    <n v="0.39600000000000002"/>
    <n v="315"/>
    <n v="315"/>
    <n v="318.18181818181819"/>
    <n v="100"/>
    <n v="0.13068000000000002"/>
    <n v="100"/>
    <n v="99101000000"/>
    <n v="0"/>
    <n v="40351000"/>
    <n v="0"/>
    <n v="0"/>
    <n v="0"/>
    <n v="0"/>
    <n v="58750000"/>
    <n v="73110349994"/>
    <n v="69905430205"/>
    <n v="0"/>
    <n v="0"/>
    <n v="0"/>
    <n v="3204919789"/>
    <n v="0"/>
    <n v="0"/>
    <n v="0"/>
    <n v="0"/>
    <n v="0"/>
    <n v="9.6360000000000001E-2"/>
    <n v="73"/>
    <n v="0.29199999999999998"/>
    <n v="329.489990234375"/>
    <n v="329.489990234375"/>
    <n v="429.30999755859375"/>
    <n v="429.30999755859375"/>
    <n v="588.09588706656677"/>
    <n v="100"/>
    <n v="9.6359999999999987E-2"/>
    <n v="100"/>
    <n v="0.56668919677734375"/>
    <n v="6.9959999999999994E-2"/>
    <n v="53"/>
    <n v="0.21199999999999999"/>
    <n v="85"/>
    <n v="-32"/>
    <n v="85"/>
    <n v="160.37735849056602"/>
    <n v="100"/>
    <n v="6.9959999999999994E-2"/>
    <n v="0.11219999999999999"/>
    <n v="77285000000"/>
    <n v="18535000"/>
    <n v="0"/>
    <n v="0"/>
    <n v="0"/>
    <n v="0"/>
    <n v="0"/>
    <n v="58750000"/>
    <n v="0"/>
    <n v="0"/>
    <n v="0"/>
    <n v="0"/>
    <n v="0"/>
    <n v="0"/>
    <n v="0"/>
    <n v="0"/>
    <n v="0"/>
    <n v="0"/>
    <n v="0"/>
    <n v="901.30999755859375"/>
    <n v="0.33000000000000007"/>
    <n v="360.52399902343751"/>
    <n v="100"/>
    <n v="0.33"/>
    <n v="0.33"/>
    <n v="0.33"/>
    <n v="1"/>
    <n v="0"/>
    <n v="449"/>
    <s v="INCREMENTAR A 50 % LA RED VIAL DEPARTAMENTAL EN ÓPTIMAS CONDICIONES DE TRANSITABILIDAD._x000a_"/>
    <n v="450"/>
    <s v="3 CORREDORES VIALES INTEGRAN EL TERRITORIO Y MEJORAN LA MOVILIDAD EN EL DEPARTAMENTO Y LA REGIÓN._x000a_"/>
    <m/>
    <m/>
    <m/>
    <m/>
    <s v="LA INTERVENCIÓN EN PAVIMENTACIÓN Y REHABILITACIÓN DE LAS VÍAS DE LA RED DE SEGUNDO ORDEN, CORRESPONDE A UN TOTAL CON CORTE A AGOSTO DE 2015, DE 860 KILOMETROS ATENDIDOS EN EL DEPARTAMENTO. A ESTA META APORTAN EN GRAN MEDIDA LAS TRES CONCESIONES CON LAS QUE CUENTA EL DEPARTAMENTO, YA QUE SU MISIÓN Y LO QUE ESTÁ CONTEMPLADO DENTRO DE SUS RESPECTIVOS CONTRATOS ES LA ATENCIÓN DE LAS VIAS A SU CARGO, REALIZANDO LOS CORRESPONDIENTES MANTENIMIENTOS A LAS REDES VIALES ASIGNADAS."/>
    <n v="210000000"/>
    <m/>
    <n v="25"/>
  </r>
  <r>
    <n v="452"/>
    <x v="2"/>
    <x v="10"/>
    <x v="21"/>
    <s v="INFRAESTRUCTURA PARA LA MOVILIDAD"/>
    <s v="REALIZAR MANTENIMIENTO PERIÓDICO Y/O RUTINARIO DURANTE LOS PRÓXIMOS CUATRO AÑOS A 3,000 KMS DE LA RED DE SEGUNDO ORDEN"/>
    <s v="NO DE KMS DE LA RED SECUNDARIA MANTENIDOS "/>
    <s v="KMTS"/>
    <s v="I"/>
    <n v="0"/>
    <n v="3000"/>
    <n v="3000"/>
    <n v="0.25"/>
    <n v="6.25E-2"/>
    <n v="750"/>
    <n v="0.25"/>
    <n v="347"/>
    <n v="347"/>
    <n v="46.266666666666666"/>
    <n v="46.266666666666666"/>
    <n v="2.8916666666666667E-2"/>
    <n v="46.266666666666666"/>
    <n v="5393000000"/>
    <n v="5393000000"/>
    <n v="0"/>
    <n v="0"/>
    <n v="0"/>
    <n v="0"/>
    <n v="0"/>
    <n v="0"/>
    <n v="12184145000"/>
    <n v="12024859000"/>
    <n v="0"/>
    <n v="0"/>
    <n v="0"/>
    <n v="0"/>
    <n v="0"/>
    <n v="159286000"/>
    <n v="0"/>
    <n v="0"/>
    <n v="0"/>
    <n v="6.25E-2"/>
    <n v="750"/>
    <n v="0.25"/>
    <n v="2260.61"/>
    <n v="2260.61"/>
    <n v="301.41466666666668"/>
    <n v="100"/>
    <n v="6.25E-2"/>
    <n v="100"/>
    <n v="18000000000"/>
    <n v="0"/>
    <n v="13000000"/>
    <n v="0"/>
    <n v="0"/>
    <n v="0"/>
    <n v="0"/>
    <n v="5000000000"/>
    <n v="37648900660"/>
    <n v="29569177651"/>
    <n v="0"/>
    <n v="0"/>
    <n v="0"/>
    <n v="8079723009"/>
    <n v="0"/>
    <n v="0"/>
    <n v="0"/>
    <n v="129600612"/>
    <n v="0"/>
    <n v="6.25E-2"/>
    <n v="750"/>
    <n v="0.25"/>
    <n v="2286.010009765625"/>
    <n v="2286.010009765625"/>
    <n v="4663.39990234375"/>
    <n v="4663.39990234375"/>
    <n v="621.78665364583333"/>
    <n v="100"/>
    <n v="6.25E-2"/>
    <n v="100"/>
    <n v="0.38861665852864585"/>
    <n v="6.25E-2"/>
    <n v="750"/>
    <n v="0.25"/>
    <n v="1213"/>
    <n v="-463"/>
    <n v="1213"/>
    <n v="161.73333333333332"/>
    <n v="100"/>
    <n v="6.25E-2"/>
    <n v="0.10108333333333333"/>
    <n v="39000000000"/>
    <n v="34000000"/>
    <n v="0"/>
    <n v="0"/>
    <n v="0"/>
    <n v="0"/>
    <n v="0"/>
    <n v="5000000000"/>
    <n v="0"/>
    <n v="0"/>
    <n v="0"/>
    <n v="0"/>
    <n v="0"/>
    <n v="0"/>
    <n v="0"/>
    <n v="0"/>
    <n v="0"/>
    <n v="0"/>
    <n v="0"/>
    <n v="8484.0099023437506"/>
    <n v="0.25"/>
    <n v="282.800330078125"/>
    <n v="100"/>
    <n v="0.25"/>
    <n v="0.25"/>
    <n v="0.25"/>
    <n v="1"/>
    <n v="0"/>
    <n v="449"/>
    <s v="INCREMENTAR A 50 % LA RED VIAL DEPARTAMENTAL EN ÓPTIMAS CONDICIONES DE TRANSITABILIDAD._x000a_"/>
    <n v="450"/>
    <s v="3 CORREDORES VIALES INTEGRAN EL TERRITORIO Y MEJORAN LA MOVILIDAD EN EL DEPARTAMENTO Y LA REGIÓN._x000a_"/>
    <m/>
    <m/>
    <m/>
    <m/>
    <s v="SE HAN DESARROLLADO OBRAS DE MANTENIMIENTO RUTINARIO A LA RED VIAL DE SEGUNDO ORDEN, SOBREPASANDO LA META ESTABLECIDA PARA EL CUATRIENIO, GRACIAS A LA INTERVENCIÓN DE LAS CONCESIONES VIALES CON LAS QUE CUENTA ACTUALMENTE EL DEPARTAMENTOY GRACIAS A LA SUSCRIPCIÓN DE CONVENIOS INTERADMINISTRATIVOS CON LOS MUNICIPIOS, ENTREGANDO RECURSOS PARA LA INTERVENCIÓN EN VÍAS QUE CADA MUNICIPIO PRESENTÓ COMO PROYECTOS PARA INTERVENCIÓN Y MANTENIMIENTO."/>
    <n v="519000000"/>
    <m/>
    <n v="37"/>
  </r>
  <r>
    <n v="453"/>
    <x v="2"/>
    <x v="10"/>
    <x v="21"/>
    <s v="INFRAESTRUCTURA PARA LA MOVILIDAD"/>
    <s v="APOYAR A LOS 116 MUNICIPIOS PARA REALIZAR MANTENIMIENTO PERIÓDICO Y/O RUTINARIO DURANTE LOS PRÓXIMOS CUATRO AÑOS A 3,000 KMS DE LA RED TERCIARIA "/>
    <s v="NO DE KMS DE LA RED TERCIARIA MANTENIDOS. "/>
    <s v="KMTS"/>
    <s v="I"/>
    <n v="0"/>
    <n v="3000"/>
    <n v="3000"/>
    <n v="0.33"/>
    <n v="5.5E-2"/>
    <n v="500"/>
    <n v="0.16666666666666666"/>
    <n v="257"/>
    <n v="257"/>
    <n v="51.4"/>
    <n v="51.4"/>
    <n v="2.827E-2"/>
    <n v="51.4"/>
    <n v="8272000000"/>
    <n v="8272000000"/>
    <n v="0"/>
    <n v="0"/>
    <n v="0"/>
    <n v="0"/>
    <n v="0"/>
    <n v="0"/>
    <n v="18024045000"/>
    <n v="14253016000"/>
    <n v="0"/>
    <n v="0"/>
    <n v="0"/>
    <n v="0"/>
    <n v="0"/>
    <n v="3771029000"/>
    <n v="0"/>
    <n v="0"/>
    <n v="0"/>
    <n v="7.986E-2"/>
    <n v="726"/>
    <n v="0.24199999999999999"/>
    <n v="1219"/>
    <n v="1219"/>
    <n v="167.90633608815426"/>
    <n v="100"/>
    <n v="7.986E-2"/>
    <n v="100"/>
    <n v="4000000000"/>
    <n v="0"/>
    <n v="3500000000"/>
    <n v="0"/>
    <n v="0"/>
    <n v="0"/>
    <n v="0"/>
    <n v="500000000"/>
    <n v="9188591090"/>
    <n v="7334800166"/>
    <n v="0"/>
    <n v="0"/>
    <n v="0"/>
    <n v="753790924"/>
    <n v="300000000"/>
    <n v="800000000"/>
    <n v="0"/>
    <n v="3170340646"/>
    <s v="recursos invias"/>
    <n v="9.9000000000000005E-2"/>
    <n v="900"/>
    <n v="0.3"/>
    <n v="2926"/>
    <n v="2926"/>
    <n v="6955"/>
    <n v="6955"/>
    <n v="772.77777777777783"/>
    <n v="100"/>
    <n v="9.9000000000000005E-2"/>
    <n v="100"/>
    <n v="0.76505000000000012"/>
    <n v="9.6140000000000003E-2"/>
    <n v="874"/>
    <n v="0.29133333333333333"/>
    <n v="3816"/>
    <n v="-2942"/>
    <n v="3816"/>
    <n v="436.61327231121282"/>
    <n v="100"/>
    <n v="9.6140000000000003E-2"/>
    <n v="0.41975999999999997"/>
    <n v="8000000000"/>
    <n v="7000000000"/>
    <n v="0"/>
    <n v="0"/>
    <n v="0"/>
    <n v="0"/>
    <n v="0"/>
    <n v="1000000000"/>
    <n v="0"/>
    <n v="0"/>
    <n v="0"/>
    <n v="0"/>
    <n v="0"/>
    <n v="0"/>
    <n v="0"/>
    <n v="0"/>
    <n v="0"/>
    <n v="0"/>
    <n v="0"/>
    <n v="12247"/>
    <n v="0.33"/>
    <n v="408.23333333333335"/>
    <n v="100"/>
    <n v="0.33"/>
    <n v="0.33"/>
    <n v="0.33"/>
    <n v="0.99999999999999989"/>
    <n v="0"/>
    <n v="449"/>
    <s v="INCREMENTAR A 50 % LA RED VIAL DEPARTAMENTAL EN ÓPTIMAS CONDICIONES DE TRANSITABILIDAD._x000a_"/>
    <n v="450"/>
    <s v="3 CORREDORES VIALES INTEGRAN EL TERRITORIO Y MEJORAN LA MOVILIDAD EN EL DEPARTAMENTO Y LA REGIÓN._x000a_"/>
    <n v="622"/>
    <m/>
    <m/>
    <m/>
    <s v="SE LOGRÓ LA INTERVENCIÓN DE 8573 KILÓMETROS CON CORTE A AGOSTO DE LA PRESENTE VIGENCIA, LOGRANDO SOBREPASAR LA META ESTABLECIDA PARA EL CUATRIENIO, GRACIAS A LA SUSCRIPCIÓN DE CONVENIOS INTERADMINISTRATIVOS CON LOS MUNICIPIOS, PARA LA REALIZACIÍN DE LOS CORRESPONDIENTES MANTENIMIENTOS DE MANERA PERIÓDICA O RUTINARIA DE LA RED VIAL TERCIARIA, AYUDANDO AL HABITANTE DE VEREDAS LEJANAS DE LOS CASCOS URBANOS, EL DESPLAZAMIENTO Y ENTRE"/>
    <n v="125000000"/>
    <m/>
    <n v="1"/>
  </r>
  <r>
    <n v="454"/>
    <x v="2"/>
    <x v="10"/>
    <x v="21"/>
    <s v="INFRAESTRUCTURA PARA LA MOVILIDAD"/>
    <s v="CONSTRUIR DURANTE EL PERIODO DE GOBIERNO 465,000 M2 DE PLACA HUELLAS EN CONCRETO EN LA RED TERCIARIA."/>
    <s v="NO DE M2 DE PLACA HUELLAS DE CONCRETO CONSTRUIDAS"/>
    <s v="M2"/>
    <s v="I"/>
    <n v="234000"/>
    <n v="699000"/>
    <n v="465000"/>
    <n v="0.33"/>
    <n v="7.0967741935483884E-3"/>
    <n v="10000"/>
    <n v="2.1505376344086023E-2"/>
    <n v="6457"/>
    <n v="6457"/>
    <n v="64.569999999999993"/>
    <n v="64.569999999999993"/>
    <n v="4.582387096774194E-3"/>
    <n v="64.569999999999993"/>
    <n v="80000000"/>
    <n v="80000000"/>
    <n v="0"/>
    <n v="0"/>
    <n v="0"/>
    <n v="0"/>
    <n v="0"/>
    <n v="0"/>
    <n v="37204270000"/>
    <n v="31793703000"/>
    <n v="0"/>
    <n v="0"/>
    <n v="0"/>
    <n v="0"/>
    <n v="5262710000"/>
    <n v="147857000"/>
    <n v="0"/>
    <n v="0"/>
    <n v="0"/>
    <n v="5.8193548387096776E-2"/>
    <n v="82000"/>
    <n v="0.17634408602150536"/>
    <n v="84696"/>
    <n v="84696"/>
    <n v="103.28780487804877"/>
    <n v="100"/>
    <n v="5.8193548387096776E-2"/>
    <n v="100"/>
    <n v="2000000000"/>
    <n v="0"/>
    <n v="2000000000"/>
    <n v="0"/>
    <n v="0"/>
    <n v="0"/>
    <n v="0"/>
    <n v="0"/>
    <n v="29751229543"/>
    <n v="0"/>
    <n v="0"/>
    <n v="0"/>
    <n v="0"/>
    <n v="0"/>
    <n v="4875137928"/>
    <n v="24876091615"/>
    <n v="0"/>
    <n v="2445171830"/>
    <n v="0"/>
    <n v="0.10645161290322581"/>
    <n v="150000"/>
    <n v="0.32258064516129031"/>
    <n v="178272"/>
    <n v="179690"/>
    <n v="440096"/>
    <n v="440096"/>
    <n v="293.39733333333334"/>
    <n v="100"/>
    <n v="0.10645161290322581"/>
    <n v="100"/>
    <n v="0.31232619354838709"/>
    <n v="0.15825806451612903"/>
    <n v="223000"/>
    <n v="0.47956989247311826"/>
    <n v="182780"/>
    <n v="40220"/>
    <n v="182780"/>
    <n v="81.964125560538122"/>
    <n v="81.964125560538122"/>
    <n v="0.12971483870967743"/>
    <n v="0.12971483870967743"/>
    <n v="6000000000"/>
    <n v="6000000000"/>
    <n v="0"/>
    <n v="0"/>
    <n v="0"/>
    <n v="0"/>
    <n v="0"/>
    <n v="0"/>
    <n v="0"/>
    <n v="0"/>
    <n v="0"/>
    <n v="0"/>
    <n v="0"/>
    <n v="0"/>
    <n v="0"/>
    <n v="0"/>
    <n v="0"/>
    <n v="0"/>
    <n v="0"/>
    <n v="714029"/>
    <n v="0.33"/>
    <n v="153.55462365591399"/>
    <n v="100"/>
    <n v="0.33"/>
    <n v="0.33"/>
    <n v="0.33"/>
    <n v="1"/>
    <n v="0"/>
    <n v="449"/>
    <s v="INCREMENTAR A 50 % LA RED VIAL DEPARTAMENTAL EN ÓPTIMAS CONDICIONES DE TRANSITABILIDAD._x000a_"/>
    <n v="450"/>
    <s v="3 CORREDORES VIALES INTEGRAN EL TERRITORIO Y MEJORAN LA MOVILIDAD EN EL DEPARTAMENTO Y LA REGIÓN._x000a_"/>
    <m/>
    <m/>
    <m/>
    <m/>
    <s v="SE HAN LOGRADO IMPORTANTES AVANCES PARA ÉSTA META, APORTANDO EN LA INTERVENCIÓN DE 84.696 METROS CUADRADOS EN VIAS MUY AFECTADAS POR LA PASADA OLA INVERNAL Y QUE REQUIERÍAN DE CINTAS EN CONCRETO, PARA MEJORAR LA MOVILIDAD Y TRANSITABILIDAD DE LOS HABITANTES DE VEREDAS ALEJADAS DE LOS CENTROS URBANOS, MEJORANDO LA CALIDAD DE VIDA DE TODOS LOS HABITANTES Y VISITANTES DE LAS ZONAS DE INFLUENCIA DE LAS OBRAS REALIZADAS."/>
    <n v="4899000000"/>
    <m/>
    <n v="600"/>
  </r>
  <r>
    <n v="455"/>
    <x v="2"/>
    <x v="10"/>
    <x v="21"/>
    <s v="INFRAESTRUCTURA PARA LA MOVILIDAD"/>
    <s v="APOYAR A LOS 116 MUNICIPIOS PARA PAVIMENTAR DURANTE EL PERIODO DE GOBIERNO 100.000 M2 DE SU RED VIAL URBANA "/>
    <s v="NO DE M2 PAVIMENTADOS"/>
    <s v="M2"/>
    <s v="I"/>
    <n v="593858"/>
    <n v="693858"/>
    <n v="100000"/>
    <n v="0.25"/>
    <n v="1.2500000000000001E-2"/>
    <n v="5000"/>
    <n v="0.05"/>
    <n v="2808"/>
    <n v="2808"/>
    <n v="56.16"/>
    <n v="56.16"/>
    <n v="7.0199999999999993E-3"/>
    <n v="56.16"/>
    <n v="1614000000"/>
    <n v="1614000000"/>
    <n v="0"/>
    <n v="0"/>
    <n v="0"/>
    <n v="0"/>
    <n v="0"/>
    <n v="0"/>
    <n v="4751518000"/>
    <n v="3453139000"/>
    <n v="0"/>
    <n v="0"/>
    <n v="0"/>
    <n v="0"/>
    <n v="1235379000"/>
    <n v="63000000"/>
    <n v="0"/>
    <n v="0"/>
    <n v="0"/>
    <n v="0.105"/>
    <n v="42000"/>
    <n v="0.42"/>
    <n v="48946"/>
    <n v="48946"/>
    <n v="116.53809523809524"/>
    <n v="100"/>
    <n v="0.105"/>
    <n v="100"/>
    <n v="2500000000"/>
    <n v="0"/>
    <n v="1500000000"/>
    <n v="0"/>
    <n v="0"/>
    <n v="0"/>
    <n v="0"/>
    <n v="1000000000"/>
    <n v="4907394135"/>
    <n v="4747999999"/>
    <n v="0"/>
    <n v="0"/>
    <n v="0"/>
    <n v="159394136"/>
    <n v="0"/>
    <n v="0"/>
    <n v="0"/>
    <n v="9150406515"/>
    <n v="0"/>
    <n v="9.375E-2"/>
    <n v="37500"/>
    <n v="0.375"/>
    <n v="26690"/>
    <n v="43224"/>
    <n v="80372"/>
    <n v="80372"/>
    <n v="214.32533333333333"/>
    <n v="100"/>
    <n v="9.375E-2"/>
    <n v="100"/>
    <n v="0.20093"/>
    <n v="3.875E-2"/>
    <n v="15500"/>
    <n v="0.155"/>
    <n v="14146"/>
    <n v="1354"/>
    <n v="14146"/>
    <n v="91.264516129032259"/>
    <n v="91.264516129032259"/>
    <n v="3.5365000000000001E-2"/>
    <n v="3.5365000000000001E-2"/>
    <n v="8000000000"/>
    <n v="7000000000"/>
    <n v="0"/>
    <n v="0"/>
    <n v="0"/>
    <n v="0"/>
    <n v="0"/>
    <n v="1000000000"/>
    <n v="0"/>
    <n v="0"/>
    <n v="0"/>
    <n v="0"/>
    <n v="0"/>
    <n v="0"/>
    <n v="0"/>
    <n v="0"/>
    <n v="0"/>
    <n v="0"/>
    <n v="0"/>
    <n v="146272"/>
    <n v="0.25"/>
    <n v="146.27199999999999"/>
    <n v="100"/>
    <n v="0.25"/>
    <n v="0.25"/>
    <n v="0.25"/>
    <n v="1"/>
    <n v="0"/>
    <n v="449"/>
    <s v="INCREMENTAR A 50 % LA RED VIAL DEPARTAMENTAL EN ÓPTIMAS CONDICIONES DE TRANSITABILIDAD._x000a_"/>
    <n v="450"/>
    <s v="3 CORREDORES VIALES INTEGRAN EL TERRITORIO Y MEJORAN LA MOVILIDAD EN EL DEPARTAMENTO Y LA REGIÓN._x000a_"/>
    <m/>
    <m/>
    <m/>
    <m/>
    <s v="EL AVANCE FÍSICO PRESENTADO EN LOS MUNICIPIOS DONDE SE REQUIRIERON OBRAS PARA MEJORAR LA INFRAESTRUCTURA VIAL URBANA, LOGRARON LLEGAR A UNA INTERVENCIÓN DE 133.376 METROS CUADRADOS CON LABORES DE PAVIMENTACIÓN Y ADECUACIÓN VÍAL DENTRO DE LAS ZONAS DE INFLUENCIA DE LOS MUNICIPIOS. "/>
    <n v="717000000"/>
    <m/>
    <n v="58"/>
  </r>
  <r>
    <n v="456"/>
    <x v="2"/>
    <x v="10"/>
    <x v="21"/>
    <s v="INFRAESTRUCTURA PARA LA MOVILIDAD"/>
    <s v="CONSTRUIR DURANTE LOS PRÓXIMOS CUATRO AÑOS 14.200 M2 DE PUENTES PEATONALES Y VEHICULARES EN LA RED VIAL SECUNDARIA Y TERCIARIA "/>
    <s v="NO DE M2 DE PUENTES CONSTRUIDOS"/>
    <s v="M2"/>
    <s v="I"/>
    <n v="6800"/>
    <n v="21000"/>
    <n v="14200"/>
    <n v="0.25"/>
    <n v="0.12323943661971831"/>
    <n v="7000"/>
    <n v="0.49295774647887325"/>
    <n v="7436"/>
    <n v="7436"/>
    <n v="106.22857142857143"/>
    <n v="100"/>
    <n v="0.12323943661971831"/>
    <n v="100"/>
    <n v="202059000000"/>
    <n v="202059000000"/>
    <n v="0"/>
    <n v="0"/>
    <n v="0"/>
    <n v="0"/>
    <n v="0"/>
    <n v="0"/>
    <n v="19567242000"/>
    <n v="19217242000"/>
    <n v="0"/>
    <n v="0"/>
    <n v="0"/>
    <n v="0"/>
    <n v="305000000"/>
    <n v="45000000"/>
    <n v="0"/>
    <n v="0"/>
    <n v="0"/>
    <n v="9.8573943661971836E-2"/>
    <n v="5599"/>
    <n v="0.39429577464788734"/>
    <n v="5955"/>
    <n v="5955"/>
    <n v="106.35827826397571"/>
    <n v="100"/>
    <n v="9.8573943661971836E-2"/>
    <n v="100"/>
    <n v="10753000000"/>
    <n v="0"/>
    <n v="3000000000"/>
    <n v="0"/>
    <n v="0"/>
    <n v="0"/>
    <n v="0"/>
    <n v="7753000000"/>
    <n v="38465635"/>
    <n v="24711509"/>
    <n v="0"/>
    <n v="0"/>
    <n v="0"/>
    <n v="0"/>
    <n v="13754126"/>
    <n v="0"/>
    <n v="0"/>
    <n v="3716527111"/>
    <n v="0"/>
    <n v="1.3644366197183098E-2"/>
    <n v="775"/>
    <n v="5.4577464788732391E-2"/>
    <n v="58.599998474121094"/>
    <n v="58.599998474121094"/>
    <n v="258.60000610351562"/>
    <n v="258.60000610351562"/>
    <n v="33.367742723034276"/>
    <n v="33.367742723034276"/>
    <n v="4.5528170088647117E-3"/>
    <n v="33.367742723034276"/>
    <n v="4.5528170088647117E-3"/>
    <n v="1.4542253521126761E-2"/>
    <n v="826"/>
    <n v="5.8169014084507045E-2"/>
    <n v="1200"/>
    <n v="-374"/>
    <n v="1200"/>
    <n v="145.27845036319613"/>
    <n v="100"/>
    <n v="1.4542253521126763E-2"/>
    <n v="2.1126760563380285E-2"/>
    <n v="18743000000"/>
    <n v="10990000"/>
    <n v="0"/>
    <n v="0"/>
    <n v="0"/>
    <n v="0"/>
    <n v="0"/>
    <n v="7753000000"/>
    <n v="0"/>
    <n v="0"/>
    <n v="0"/>
    <n v="0"/>
    <n v="0"/>
    <n v="0"/>
    <n v="0"/>
    <n v="0"/>
    <n v="0"/>
    <n v="0"/>
    <n v="0"/>
    <n v="14849.600006103516"/>
    <n v="0.25"/>
    <n v="104.57464793030645"/>
    <n v="100"/>
    <n v="0.25"/>
    <n v="0.25"/>
    <n v="0.25"/>
    <n v="1"/>
    <n v="0"/>
    <n v="449"/>
    <s v="INCREMENTAR A 50 % LA RED VIAL DEPARTAMENTAL EN ÓPTIMAS CONDICIONES DE TRANSITABILIDAD._x000a_"/>
    <n v="450"/>
    <s v="3 CORREDORES VIALES INTEGRAN EL TERRITORIO Y MEJORAN LA MOVILIDAD EN EL DEPARTAMENTO Y LA REGIÓN._x000a_"/>
    <m/>
    <m/>
    <m/>
    <m/>
    <s v="LA CONSTRUCCIÓN DE PUENTES, HA SIDO UNA DE LAS METAS BANDERA DE LA ACTUAL ADMINISTRACIÓN, LOGRANDO INTERVENIR 13.649 METROS CUADRADOS DE PUENTES CONSTRUIDOS, QUE HAN MEJORADO LA TRANSITABILIDAD Y HAN OPTIMIZADO LOS TIEMPOS DE DESPLAZAMIENTO. LA INTERVENCIÓN SE REALIZÓ EN ZONAS DONDE NO EXISTIAN LOS PUENTES, TAMBIEN EN ZONAS DONDE PRO EFECTOS DE PASADA OLAS INVERNALES, LOS PUENTES ANTERIORES SE ENCONTRABAN DETERIORADOS, EN MAL ESTADO O CON UNA ANTIGUEDAD QUE SOBREPASABA LA VIDA ÚTIL DE DICHOS PUENTES. "/>
    <n v="522000000"/>
    <m/>
    <n v="5000"/>
  </r>
  <r>
    <n v="457"/>
    <x v="2"/>
    <x v="10"/>
    <x v="21"/>
    <s v="INFRAESTRUCTURA PARA LA MOVILIDAD"/>
    <s v="REALIZAR MANTENIMIENTO DURANTE EL PERIODO DE GOBIERNO A 170 PUENTES LOCALIZADOS EN LA RED VIAL SECUNDARIA Y TERCIARIA"/>
    <s v="NO DE PUENTES MANTENIDOS"/>
    <s v="PUENTES"/>
    <s v="I"/>
    <n v="163"/>
    <n v="333"/>
    <n v="170"/>
    <n v="0.25"/>
    <n v="5.1470588235294115E-2"/>
    <n v="35"/>
    <n v="0.20588235294117646"/>
    <n v="55"/>
    <n v="55"/>
    <n v="157.14285714285714"/>
    <n v="100"/>
    <n v="5.1470588235294115E-2"/>
    <n v="100"/>
    <n v="305000000000"/>
    <n v="305000000000"/>
    <n v="0"/>
    <n v="0"/>
    <n v="0"/>
    <n v="0"/>
    <n v="0"/>
    <n v="0"/>
    <n v="3766172000"/>
    <n v="3766172000"/>
    <n v="0"/>
    <n v="0"/>
    <n v="0"/>
    <n v="0"/>
    <n v="0"/>
    <n v="0"/>
    <n v="0"/>
    <n v="0"/>
    <n v="0"/>
    <n v="5.1470588235294115E-2"/>
    <n v="35"/>
    <n v="0.20588235294117646"/>
    <n v="72"/>
    <n v="72"/>
    <n v="205.71428571428572"/>
    <n v="100"/>
    <n v="5.1470588235294115E-2"/>
    <n v="100"/>
    <n v="463000000"/>
    <n v="0"/>
    <n v="200000000"/>
    <n v="0"/>
    <n v="0"/>
    <n v="0"/>
    <n v="0"/>
    <n v="263000000"/>
    <n v="10103924430"/>
    <n v="3250000000"/>
    <n v="0"/>
    <n v="0"/>
    <n v="0"/>
    <n v="620304130"/>
    <n v="165190692"/>
    <n v="6068429608"/>
    <n v="0"/>
    <n v="0"/>
    <n v="0"/>
    <n v="7.3529411764705885E-2"/>
    <n v="50"/>
    <n v="0.29411764705882354"/>
    <n v="0"/>
    <n v="0"/>
    <n v="2"/>
    <n v="2"/>
    <n v="4"/>
    <n v="4"/>
    <n v="2.9411764705882353E-3"/>
    <n v="4"/>
    <n v="2.9411764705882353E-3"/>
    <n v="7.3529411764705885E-2"/>
    <n v="50"/>
    <n v="0.29411764705882354"/>
    <n v="43"/>
    <n v="7"/>
    <n v="43"/>
    <n v="86"/>
    <n v="86"/>
    <n v="6.323529411764707E-2"/>
    <n v="6.323529411764707E-2"/>
    <n v="863000000"/>
    <n v="600000000"/>
    <n v="0"/>
    <n v="0"/>
    <n v="0"/>
    <n v="0"/>
    <n v="0"/>
    <n v="263000000"/>
    <n v="0"/>
    <n v="0"/>
    <n v="0"/>
    <n v="0"/>
    <n v="0"/>
    <n v="0"/>
    <n v="0"/>
    <n v="0"/>
    <n v="0"/>
    <n v="0"/>
    <n v="0"/>
    <n v="172"/>
    <n v="0.25"/>
    <n v="101.17647058823529"/>
    <n v="100"/>
    <n v="0.25"/>
    <n v="0.25"/>
    <n v="0.25"/>
    <n v="1"/>
    <n v="0"/>
    <n v="449"/>
    <s v="INCREMENTAR A 50 % LA RED VIAL DEPARTAMENTAL EN ÓPTIMAS CONDICIONES DE TRANSITABILIDAD._x000a_"/>
    <n v="450"/>
    <s v="3 CORREDORES VIALES INTEGRAN EL TERRITORIO Y MEJORAN LA MOVILIDAD EN EL DEPARTAMENTO Y LA REGIÓN._x000a_"/>
    <m/>
    <m/>
    <m/>
    <m/>
    <s v="PARA ESTA META, LA ACTUAL ADMINISTRACIÓN HA INTERVENIDO 142 PUENTES PARA REALIZAR ACCIONES DE MANTENIMIENTO QUE PERMITAN PROLONGAR LA VIDA ÚTIL DE DICHOS PUENTES. EN ACCIONES COMO PINTURA, ARREGLO Y EN ACCIONES DE MANTENIMIENTO GENERAL, SE HAN MANTENIDO DICHOS PUENTES MANTENIENDOLOS AL SERVICIO DE LA COMUNIDAD EN GENERAL."/>
    <n v="135000000"/>
    <m/>
    <n v="50"/>
  </r>
  <r>
    <n v="458"/>
    <x v="2"/>
    <x v="10"/>
    <x v="21"/>
    <s v="INFRAESTRUCTURA PARA LA MOVILIDAD"/>
    <s v="APOYAR DURANTE EL PERIODO DE GOBIERNO A 116 MUNICIPIOS CON MAQUINARIA PARA EL MANTENIMIENTO DE LA RED VIAL"/>
    <s v="NO DE MUNICIPIOS CON MAQUINARIA "/>
    <s v="MUNICIPIOS"/>
    <s v="I"/>
    <n v="0"/>
    <n v="116"/>
    <n v="116"/>
    <n v="0.33"/>
    <n v="8.2500000000000004E-2"/>
    <n v="29"/>
    <n v="0.25"/>
    <n v="58"/>
    <n v="58"/>
    <n v="200"/>
    <n v="100"/>
    <n v="8.2500000000000004E-2"/>
    <n v="100"/>
    <n v="0"/>
    <n v="0"/>
    <n v="0"/>
    <n v="0"/>
    <n v="0"/>
    <n v="0"/>
    <n v="0"/>
    <n v="0"/>
    <n v="19167750000"/>
    <n v="14578750000"/>
    <n v="0"/>
    <n v="0"/>
    <n v="0"/>
    <n v="0"/>
    <n v="0"/>
    <n v="4589000000"/>
    <n v="0"/>
    <n v="0"/>
    <n v="0"/>
    <n v="0.15362068965517242"/>
    <n v="54"/>
    <n v="0.46551724137931033"/>
    <n v="52"/>
    <n v="52"/>
    <n v="96.296296296296291"/>
    <n v="96.296296296296291"/>
    <n v="0.1479310344827586"/>
    <n v="96.296296296296291"/>
    <n v="15494000000"/>
    <n v="0"/>
    <n v="4000000000"/>
    <n v="0"/>
    <n v="0"/>
    <n v="0"/>
    <n v="0"/>
    <n v="11494000"/>
    <n v="3918884609"/>
    <n v="3918884609"/>
    <n v="0"/>
    <n v="0"/>
    <n v="0"/>
    <n v="0"/>
    <n v="0"/>
    <n v="0"/>
    <n v="0"/>
    <n v="8643257256"/>
    <n v="0"/>
    <n v="8.2500000000000004E-2"/>
    <n v="29"/>
    <n v="0.25"/>
    <n v="0"/>
    <n v="0"/>
    <n v="0"/>
    <n v="0"/>
    <n v="0"/>
    <n v="0"/>
    <n v="0"/>
    <n v="0"/>
    <n v="0"/>
    <n v="1.1379310344827587E-2"/>
    <n v="4"/>
    <n v="3.4482758620689655E-2"/>
    <n v="224"/>
    <n v="-220"/>
    <n v="224"/>
    <n v="5600"/>
    <n v="100"/>
    <n v="1.1379310344827587E-2"/>
    <n v="0.63724137931034486"/>
    <n v="31494000000"/>
    <n v="20000000"/>
    <n v="0"/>
    <n v="0"/>
    <n v="0"/>
    <n v="0"/>
    <n v="0"/>
    <n v="11494000"/>
    <n v="0"/>
    <n v="0"/>
    <n v="0"/>
    <n v="0"/>
    <n v="0"/>
    <n v="0"/>
    <n v="0"/>
    <n v="0"/>
    <n v="0"/>
    <n v="0"/>
    <n v="0"/>
    <n v="334"/>
    <n v="0.33"/>
    <n v="287.93103448275861"/>
    <n v="100"/>
    <n v="0.33"/>
    <n v="0.33"/>
    <n v="0.33"/>
    <n v="0.99999999999999989"/>
    <n v="-1.3877787807814457E-17"/>
    <n v="449"/>
    <s v="INCREMENTAR A 50 % LA RED VIAL DEPARTAMENTAL EN ÓPTIMAS CONDICIONES DE TRANSITABILIDAD._x000a_"/>
    <n v="450"/>
    <s v="3 CORREDORES VIALES INTEGRAN EL TERRITORIO Y MEJORAN LA MOVILIDAD EN EL DEPARTAMENTO Y LA REGIÓN._x000a_"/>
    <m/>
    <m/>
    <m/>
    <m/>
    <s v="PARA LA FECHA SE HAN ENTREGADO 224 EQUIPOS PARA 111 MUNICIPIOS, REFORZANDO LA INFRAESTRUCTURA EN MAQUINARIA Y GESTIONADA EN CADA MUNICIPIO PARA MEJORAR, Y MANTENER LAS VIAS DEPARTAMENTALES QUE ESTÁN A CARGO DE LOS ENTES MUNICIPALES, LOGRANDO DESPERTAR UNA CONCIENCIA DE AUTOGESTIÓN Y AUTOCUIDADO PARA LOS HABITANTES DEL AREA DE INFLUENCIA DE LAS OBRAS REALIZADAS."/>
    <n v="650000000"/>
    <m/>
    <n v="0"/>
  </r>
  <r>
    <n v="459"/>
    <x v="2"/>
    <x v="10"/>
    <x v="21"/>
    <s v="INFRAESTRUCTURA PARA LA MOVILIDAD"/>
    <s v="EFECTUAR DURANTE EL PERIODO DE GOBIERNO EL PAGO DE LAS GARANTÍAS COMERCIALES QUE SE CAUSEN EN LOS 3 CONTRATOS DE CONCESIÓN VIGENTES."/>
    <s v="NO DE GARANTÍAS PAGADAS/ GARANTÍAS CAUSADAS"/>
    <s v="GARANTIAS"/>
    <s v="M"/>
    <n v="0"/>
    <n v="3"/>
    <n v="3"/>
    <n v="8.8999999999999996E-2"/>
    <n v="2.2249999999999999E-2"/>
    <n v="3"/>
    <n v="0.25"/>
    <n v="3"/>
    <n v="0.75"/>
    <n v="100"/>
    <n v="100"/>
    <n v="2.2250000000000002E-2"/>
    <n v="100"/>
    <n v="0"/>
    <n v="0"/>
    <n v="0"/>
    <n v="0"/>
    <n v="0"/>
    <n v="0"/>
    <n v="0"/>
    <n v="0"/>
    <n v="24691475000"/>
    <n v="24691475000"/>
    <n v="0"/>
    <n v="0"/>
    <n v="0"/>
    <n v="0"/>
    <n v="0"/>
    <n v="0"/>
    <n v="0"/>
    <n v="0"/>
    <n v="0"/>
    <n v="2.2249999999999999E-2"/>
    <n v="3"/>
    <n v="0.25"/>
    <n v="3"/>
    <n v="0.75"/>
    <n v="100"/>
    <n v="100"/>
    <n v="2.2250000000000002E-2"/>
    <n v="100"/>
    <n v="10000000000"/>
    <n v="0"/>
    <n v="10000000"/>
    <n v="0"/>
    <n v="0"/>
    <n v="0"/>
    <n v="0"/>
    <n v="0"/>
    <n v="0"/>
    <n v="0"/>
    <n v="0"/>
    <n v="0"/>
    <n v="0"/>
    <n v="0"/>
    <n v="0"/>
    <n v="0"/>
    <n v="0"/>
    <n v="0"/>
    <n v="0"/>
    <n v="2.2249999999999999E-2"/>
    <n v="3"/>
    <n v="0.25"/>
    <n v="3"/>
    <n v="3"/>
    <n v="3"/>
    <n v="0.75"/>
    <n v="100"/>
    <n v="100"/>
    <n v="2.2250000000000002E-2"/>
    <n v="100"/>
    <n v="2.2250000000000002E-2"/>
    <n v="2.2249999999999999E-2"/>
    <n v="3"/>
    <n v="0.25"/>
    <n v="3"/>
    <n v="0"/>
    <n v="0.75"/>
    <n v="100"/>
    <n v="100"/>
    <n v="2.2250000000000002E-2"/>
    <n v="2.2250000000000002E-2"/>
    <n v="19550000000"/>
    <n v="19550000"/>
    <n v="0"/>
    <n v="0"/>
    <n v="0"/>
    <n v="0"/>
    <n v="0"/>
    <n v="0"/>
    <n v="0"/>
    <n v="0"/>
    <n v="0"/>
    <n v="0"/>
    <n v="0"/>
    <n v="0"/>
    <n v="0"/>
    <n v="0"/>
    <n v="0"/>
    <n v="0"/>
    <n v="0"/>
    <n v="3"/>
    <n v="8.8999999999999996E-2"/>
    <n v="100"/>
    <n v="100"/>
    <n v="8.900000000000001E-2"/>
    <n v="8.900000000000001E-2"/>
    <n v="8.900000000000001E-2"/>
    <n v="1"/>
    <n v="0"/>
    <n v="450"/>
    <s v="3 CORREDORES VIALES INTEGRAN EL TERRITORIO Y MEJORAN LA MOVILIDAD EN EL DEPARTAMENTO Y LA REGIÓN._x000a_"/>
    <m/>
    <s v=""/>
    <m/>
    <m/>
    <m/>
    <m/>
    <s v="DURANTE EL PERIODO AUDITADO LA GERENCIA DEL INSTITUTO GESTIONÓ LA CONSECUCIÓN DE LOS RECURSOS PARA PODER CUMPLIR CON ÉSTAS OBLIGACIONES."/>
    <n v="638000000"/>
    <m/>
    <n v="20000"/>
  </r>
  <r>
    <n v="460"/>
    <x v="2"/>
    <x v="10"/>
    <x v="21"/>
    <s v="INFRAESTRUCTURA PARA LA MOVILIDAD"/>
    <s v="REHABILITAR Y/O MANTENER EN BUEN ESTADO DURANTE EL PERIODO DE GOBIERNO 14.710 M2 DE LA RED DE CAMINOS HISTÓRICOS, COLONIALES Y CONTEMPORÁNEAS "/>
    <s v="NO DE M2 REHABILITADOS Y/O MANTENIDOS"/>
    <s v="M2"/>
    <s v="I"/>
    <n v="13630"/>
    <n v="28340"/>
    <n v="14710"/>
    <n v="0.25"/>
    <n v="0"/>
    <n v="0"/>
    <n v="0"/>
    <n v="10"/>
    <n v="10"/>
    <n v="0"/>
    <n v="0"/>
    <n v="0"/>
    <n v="100"/>
    <n v="100000000000"/>
    <n v="100000000000"/>
    <n v="0"/>
    <n v="0"/>
    <n v="0"/>
    <n v="0"/>
    <n v="0"/>
    <n v="0"/>
    <n v="51900000"/>
    <n v="51900000"/>
    <n v="0"/>
    <n v="0"/>
    <n v="0"/>
    <n v="0"/>
    <n v="0"/>
    <n v="0"/>
    <n v="0"/>
    <n v="0"/>
    <n v="0"/>
    <n v="0.1650237933378654"/>
    <n v="9710"/>
    <n v="0.66009517335146162"/>
    <n v="14700"/>
    <n v="14700"/>
    <n v="151.39031925849639"/>
    <n v="100"/>
    <n v="0.1650237933378654"/>
    <n v="100"/>
    <n v="0"/>
    <n v="0"/>
    <n v="0"/>
    <n v="0"/>
    <n v="0"/>
    <n v="0"/>
    <n v="0"/>
    <n v="0"/>
    <n v="200000000"/>
    <n v="200000000"/>
    <n v="0"/>
    <n v="0"/>
    <n v="0"/>
    <n v="0"/>
    <n v="0"/>
    <n v="0"/>
    <n v="0"/>
    <n v="0"/>
    <n v="0"/>
    <n v="3.3990482664853841E-2"/>
    <n v="2000"/>
    <n v="0.13596193065941536"/>
    <n v="0"/>
    <n v="0"/>
    <n v="0"/>
    <n v="0"/>
    <n v="0"/>
    <n v="0"/>
    <n v="0"/>
    <n v="0"/>
    <n v="0"/>
    <n v="5.0985723997280762E-2"/>
    <n v="3000"/>
    <n v="0.20394289598912305"/>
    <n v="0"/>
    <n v="3000"/>
    <n v="0"/>
    <n v="0"/>
    <n v="0"/>
    <n v="0"/>
    <n v="0"/>
    <n v="300000000"/>
    <n v="150000000"/>
    <n v="0"/>
    <n v="0"/>
    <n v="0"/>
    <n v="0"/>
    <n v="0"/>
    <n v="150000000"/>
    <n v="0"/>
    <n v="0"/>
    <n v="0"/>
    <n v="0"/>
    <n v="0"/>
    <n v="0"/>
    <n v="0"/>
    <n v="0"/>
    <n v="0"/>
    <n v="0"/>
    <n v="0"/>
    <n v="14710"/>
    <n v="0.25"/>
    <n v="100"/>
    <n v="100"/>
    <n v="0.25"/>
    <n v="0.25"/>
    <n v="0.25"/>
    <n v="1"/>
    <n v="0"/>
    <n v="449"/>
    <s v="INCREMENTAR A 50 % LA RED VIAL DEPARTAMENTAL EN ÓPTIMAS CONDICIONES DE TRANSITABILIDAD._x000a_"/>
    <m/>
    <s v=""/>
    <m/>
    <m/>
    <m/>
    <m/>
    <s v="EN PROCESO LA REALIZACIÓN DEL INVENTARIO DE LOS CAMINOS REALES QUE NECESITAN INTERVENCIÓN. MAS SIN EMBARGO Y LUEGO DEL CORRESPONDIENTE INVENTARIO, SE HAN INTERVENIDO 14.700 MTS CUADRADOS"/>
    <n v="975000000"/>
    <m/>
    <n v="35"/>
  </r>
  <r>
    <n v="461"/>
    <x v="2"/>
    <x v="10"/>
    <x v="21"/>
    <s v="INFRAESTRUCTURA PARA LA MOVILIDAD"/>
    <s v="CONSTRUIR DURANTE EL PERÍODO DE GOBIERNO DOS (2) PARADORES TURÍSTICOS EN LA RED VIAL DEPARTAMENTAL"/>
    <s v="NO DE PARADORES TURÍSTICOS CONSTRUIDOS"/>
    <s v="PARADORES"/>
    <s v="I"/>
    <n v="0"/>
    <n v="2"/>
    <n v="2"/>
    <n v="0.16500000000000001"/>
    <n v="8.2500000000000004E-2"/>
    <n v="1"/>
    <n v="0.5"/>
    <n v="1"/>
    <n v="1"/>
    <n v="100"/>
    <n v="100"/>
    <n v="8.2500000000000004E-2"/>
    <n v="100"/>
    <n v="0"/>
    <n v="0"/>
    <n v="0"/>
    <n v="0"/>
    <n v="0"/>
    <n v="0"/>
    <n v="0"/>
    <n v="0"/>
    <n v="0"/>
    <n v="0"/>
    <n v="0"/>
    <n v="0"/>
    <n v="0"/>
    <n v="0"/>
    <n v="0"/>
    <n v="0"/>
    <n v="0"/>
    <n v="1950000000"/>
    <s v="CONCESION TRONCAL DEL TEQUENDAMA CONCAY"/>
    <n v="0"/>
    <n v="0"/>
    <n v="0"/>
    <n v="0"/>
    <n v="0"/>
    <n v="0"/>
    <n v="0"/>
    <n v="0"/>
    <n v="0"/>
    <n v="0"/>
    <n v="0"/>
    <n v="0"/>
    <n v="0"/>
    <n v="0"/>
    <n v="0"/>
    <n v="0"/>
    <n v="0"/>
    <n v="0"/>
    <n v="0"/>
    <n v="0"/>
    <n v="0"/>
    <n v="0"/>
    <n v="0"/>
    <n v="0"/>
    <n v="0"/>
    <n v="0"/>
    <n v="0"/>
    <n v="0"/>
    <n v="0"/>
    <n v="0"/>
    <n v="0"/>
    <n v="0"/>
    <n v="0"/>
    <n v="0"/>
    <n v="0"/>
    <n v="0"/>
    <n v="0"/>
    <n v="0"/>
    <n v="0"/>
    <n v="0"/>
    <n v="8.2500000000000004E-2"/>
    <n v="1"/>
    <n v="0.5"/>
    <n v="0"/>
    <n v="1"/>
    <n v="0"/>
    <n v="0"/>
    <n v="0"/>
    <n v="0"/>
    <n v="0"/>
    <n v="0"/>
    <n v="0"/>
    <n v="0"/>
    <n v="0"/>
    <n v="0"/>
    <n v="0"/>
    <n v="0"/>
    <n v="0"/>
    <n v="0"/>
    <n v="0"/>
    <n v="0"/>
    <n v="0"/>
    <n v="0"/>
    <n v="0"/>
    <n v="0"/>
    <n v="0"/>
    <n v="0"/>
    <n v="0"/>
    <n v="0"/>
    <n v="1"/>
    <n v="0.16500000000000001"/>
    <n v="50"/>
    <n v="50"/>
    <n v="8.2500000000000004E-2"/>
    <n v="8.2500000000000004E-2"/>
    <n v="8.2500000000000004E-2"/>
    <n v="1"/>
    <n v="0"/>
    <n v="450"/>
    <s v="3 CORREDORES VIALES INTEGRAN EL TERRITORIO Y MEJORAN LA MOVILIDAD EN EL DEPARTAMENTO Y LA REGIÓN._x000a_"/>
    <m/>
    <s v=""/>
    <m/>
    <m/>
    <m/>
    <m/>
    <s v="SE CONSTRUYÓ Y ENTREGÓ UN PARADOR TURÍSTICO EN MESITAS DEL COLEGIO A FINALES DEL AÑO PASADO. PARA ÉSTE AÑO SE ESTÁ EN NEGOCIACIONES PARA INTERVENIR Y REALIZAR PARADORES TURÍSTICOS EN DOS MUNICIPIOS MAS."/>
    <n v="435000000"/>
    <m/>
    <n v="100"/>
  </r>
  <r>
    <n v="462"/>
    <x v="2"/>
    <x v="18"/>
    <x v="21"/>
    <s v="SEGURIDAD VIAL"/>
    <s v="REALIZAR DURANTE EL PERÍODO DE GOBIERNO, LA SEÑALIZACIÓN HORIZONTAL Y VERTICAL DE 400 KM DE LA RED VIAL DEPARTAMENTAL"/>
    <s v="NUMERO DE KMS SEÑALIZADOS"/>
    <s v="KMT"/>
    <s v="I"/>
    <n v="0"/>
    <n v="400"/>
    <n v="400"/>
    <n v="0.16500000000000001"/>
    <n v="3.91875E-2"/>
    <n v="95"/>
    <n v="0.23749999999999999"/>
    <n v="0"/>
    <n v="0"/>
    <n v="0"/>
    <n v="0"/>
    <n v="0"/>
    <n v="0"/>
    <n v="1432000000"/>
    <n v="1232000000"/>
    <n v="0"/>
    <n v="0"/>
    <n v="0"/>
    <n v="0"/>
    <n v="0"/>
    <n v="200000000"/>
    <n v="44800000"/>
    <n v="44800000"/>
    <n v="0"/>
    <n v="0"/>
    <n v="0"/>
    <n v="0"/>
    <n v="0"/>
    <n v="0"/>
    <n v="0"/>
    <n v="0"/>
    <n v="0"/>
    <n v="4.0837499999999999E-2"/>
    <n v="99"/>
    <n v="0.2475"/>
    <n v="72.3"/>
    <n v="72.3"/>
    <n v="73.030303030303031"/>
    <n v="73.030303030303031"/>
    <n v="2.9823749999999996E-2"/>
    <n v="73.030303030303031"/>
    <n v="1332000000"/>
    <n v="0"/>
    <n v="1332000000"/>
    <n v="0"/>
    <n v="0"/>
    <n v="0"/>
    <n v="0"/>
    <n v="0"/>
    <n v="3872398045"/>
    <n v="3872398045"/>
    <n v="0"/>
    <n v="0"/>
    <n v="0"/>
    <n v="0"/>
    <n v="0"/>
    <n v="0"/>
    <n v="0"/>
    <n v="0"/>
    <n v="0"/>
    <n v="4.2075000000000001E-2"/>
    <n v="102"/>
    <n v="0.255"/>
    <n v="81.5"/>
    <n v="126.37000274658203"/>
    <n v="218.33999633789062"/>
    <n v="218.33999633789062"/>
    <n v="214.05881993910845"/>
    <n v="100"/>
    <n v="4.2075000000000001E-2"/>
    <n v="100"/>
    <n v="9.0065248489379884E-2"/>
    <n v="4.2900000000000001E-2"/>
    <n v="104"/>
    <n v="0.26"/>
    <n v="201.1"/>
    <n v="-97.1"/>
    <n v="201.1"/>
    <n v="193.36538461538461"/>
    <n v="100"/>
    <n v="4.2900000000000001E-2"/>
    <n v="8.2953749999999993E-2"/>
    <n v="1413000000"/>
    <n v="1413000000"/>
    <n v="0"/>
    <n v="0"/>
    <n v="0"/>
    <n v="0"/>
    <n v="0"/>
    <n v="0"/>
    <n v="0"/>
    <n v="0"/>
    <n v="0"/>
    <n v="0"/>
    <n v="0"/>
    <n v="0"/>
    <n v="0"/>
    <n v="0"/>
    <n v="0"/>
    <n v="0"/>
    <n v="0"/>
    <n v="491.7399963378906"/>
    <n v="0.16500000000000001"/>
    <n v="122.93499908447265"/>
    <n v="100"/>
    <n v="0.16500000000000001"/>
    <n v="0.16500000000000001"/>
    <n v="0.16500000000000001"/>
    <n v="1"/>
    <n v="0"/>
    <n v="2"/>
    <s v="REDUCIR EN EL CUATRIENIO EN 20% LAS MUERTES POR ACCIDENTES DE TRÁNSITO EN NIÑOS Y NIÑAS DE 0 A 5 AÑOS"/>
    <n v="34"/>
    <s v="REDUCIR EN EL CUATRIENIO EN 20% LAS MUERTES POR ACCIDENTES DE TRÁNSITO EN NIÑOS Y NIÑAS DE 6 A 11 AÑOS"/>
    <n v="73"/>
    <n v="116"/>
    <n v="159"/>
    <n v="178"/>
    <s v="DISMINUCION DE LOS ÍNDICES DE ACCIDENTALIDAD VIAL Y A SU VEZ EL MEJORAMIENTO DE LA MOVILIDAD A NIVEL DEPARTAMENTAL Y NACIONAL, A PARTIR DE LOS KM SEÑALIZADOS Y DEMARCADOS EN LAS AREAS URBANAS Y RURALES DE LOS MUNICPIOS DE CUNDINAMARCA"/>
    <n v="5500000000"/>
    <m/>
    <n v="3"/>
  </r>
  <r>
    <n v="463"/>
    <x v="2"/>
    <x v="18"/>
    <x v="21"/>
    <s v="SEGURIDAD VIAL"/>
    <s v="DISMINUIR PROGRESIVAMENTE LA ACCIDENTALIDAD FATAL, LLEGANDO AL FINALIZAR EL PERIODO DE GOBIERNO, A UN NÚMERO INFERIOR DE 369 MUERTES AL AÑO."/>
    <s v="NO DE MUERTES EN ACCIDENTES FATALES"/>
    <s v="MUERTES"/>
    <s v="R"/>
    <n v="443"/>
    <n v="369"/>
    <n v="74"/>
    <n v="0.25"/>
    <n v="6.0810810810810814E-2"/>
    <n v="425"/>
    <n v="0.24324324324324326"/>
    <n v="385"/>
    <n v="385"/>
    <n v="322.22222222222223"/>
    <n v="100"/>
    <n v="6.0810810810810814E-2"/>
    <n v="100"/>
    <n v="1049000000"/>
    <n v="0"/>
    <n v="0"/>
    <n v="0"/>
    <n v="0"/>
    <n v="0"/>
    <n v="0"/>
    <n v="0"/>
    <n v="777976000"/>
    <n v="0"/>
    <n v="0"/>
    <n v="0"/>
    <n v="0"/>
    <n v="0"/>
    <n v="0"/>
    <n v="0"/>
    <n v="0"/>
    <n v="0"/>
    <n v="0"/>
    <n v="6.4189189189189186E-2"/>
    <n v="406"/>
    <n v="0.25675675675675674"/>
    <n v="356"/>
    <n v="356"/>
    <n v="363.15789473684214"/>
    <n v="100"/>
    <n v="6.4189189189189186E-2"/>
    <n v="100"/>
    <n v="0"/>
    <n v="0"/>
    <n v="0"/>
    <n v="0"/>
    <n v="0"/>
    <n v="0"/>
    <n v="0"/>
    <n v="0"/>
    <n v="2080501750"/>
    <n v="2080501750"/>
    <n v="0"/>
    <n v="0"/>
    <n v="0"/>
    <n v="0"/>
    <n v="0"/>
    <n v="0"/>
    <n v="0"/>
    <n v="0"/>
    <n v="0"/>
    <n v="6.4189189189189186E-2"/>
    <n v="387"/>
    <n v="0.25675675675675674"/>
    <n v="2"/>
    <n v="61"/>
    <n v="392"/>
    <n v="392"/>
    <n v="73.68421052631578"/>
    <n v="73.68421052631578"/>
    <n v="4.7297297297297286E-2"/>
    <n v="73.68421052631578"/>
    <n v="4.7297297297297286E-2"/>
    <n v="6.0810810810810814E-2"/>
    <n v="369"/>
    <n v="0.24324324324324326"/>
    <n v="373"/>
    <n v="-4"/>
    <n v="373"/>
    <n v="77.777777777777786"/>
    <n v="77.777777777777786"/>
    <n v="4.7297297297297307E-2"/>
    <n v="4.7297297297297307E-2"/>
    <n v="0"/>
    <n v="0"/>
    <n v="0"/>
    <n v="0"/>
    <n v="0"/>
    <n v="0"/>
    <n v="0"/>
    <n v="0"/>
    <n v="0"/>
    <n v="0"/>
    <n v="0"/>
    <n v="0"/>
    <n v="0"/>
    <n v="0"/>
    <n v="0"/>
    <n v="0"/>
    <n v="0"/>
    <n v="0"/>
    <n v="0"/>
    <n v="70"/>
    <n v="0.25"/>
    <n v="94.594594594594597"/>
    <n v="94.594594594594597"/>
    <n v="0.23648648648648649"/>
    <n v="0.23648648648648649"/>
    <n v="0.23648648648648649"/>
    <n v="1"/>
    <n v="0"/>
    <n v="2"/>
    <s v="REDUCIR EN EL CUATRIENIO EN 20% LAS MUERTES POR ACCIDENTES DE TRÁNSITO EN NIÑOS Y NIÑAS DE 0 A 5 AÑOS"/>
    <n v="34"/>
    <s v="REDUCIR EN EL CUATRIENIO EN 20% LAS MUERTES POR ACCIDENTES DE TRÁNSITO EN NIÑOS Y NIÑAS DE 6 A 11 AÑOS"/>
    <n v="73"/>
    <n v="116"/>
    <n v="159"/>
    <n v="178"/>
    <s v="DISMINUCIÓN EFECTIVA DE LA MORBILIDAD Y MORTALIDAD EN MÁS DE UN POR ACCIDENTES DE TRÁNSITO..SE REALIZARON CAMPAÑAS EN PREVENCION DE ACCIDENTALIDAD VIAL EN MUNICIPIOS, CICLO PASEOS Y ENTREGA DE MATERIAL DIVULGATIVO SOBRE SEGURIDAD VIAL, REALIZACION DE OPERATIVOS DE CONTROL DE ALCOHOLEMIA DEN LAS PRINCIPALES VIAS DE ACCESO A LA CAPITAL. "/>
    <n v="64500000000"/>
    <m/>
    <n v="15"/>
  </r>
  <r>
    <n v="464"/>
    <x v="2"/>
    <x v="18"/>
    <x v="21"/>
    <s v="SEGURIDAD VIAL"/>
    <s v="FORMULAR E IMPLEMENTAR, DURANTE EL PERÍODO DE GOBIERNO, LA POLÍTICA PÚBLICA DE SEGURIDAD VIAL EN EL DEPARTAMENTO"/>
    <s v="POLÍTICA PÚBLICA IMPLEMENTADA"/>
    <s v="UNIDAD"/>
    <s v="I"/>
    <n v="0"/>
    <n v="1"/>
    <n v="1"/>
    <n v="0.25"/>
    <n v="2.5000000000000001E-2"/>
    <n v="0.1"/>
    <n v="0.1"/>
    <n v="0"/>
    <n v="0"/>
    <n v="0"/>
    <n v="0"/>
    <n v="0"/>
    <n v="0"/>
    <n v="240000000"/>
    <n v="240000000"/>
    <n v="0"/>
    <n v="0"/>
    <n v="0"/>
    <n v="0"/>
    <n v="0"/>
    <n v="0"/>
    <n v="85647000"/>
    <n v="85647000"/>
    <n v="0"/>
    <n v="0"/>
    <n v="0"/>
    <n v="0"/>
    <n v="0"/>
    <n v="0"/>
    <n v="0"/>
    <n v="0"/>
    <n v="0"/>
    <n v="7.4999999999999997E-2"/>
    <n v="0.3"/>
    <n v="0.3"/>
    <n v="0.1"/>
    <n v="0.1"/>
    <n v="33.333333333333336"/>
    <n v="33.333333333333336"/>
    <n v="2.5000000000000001E-2"/>
    <n v="33.333333333333336"/>
    <n v="396000000"/>
    <n v="0"/>
    <n v="396000000"/>
    <n v="0"/>
    <n v="0"/>
    <n v="0"/>
    <n v="0"/>
    <n v="0"/>
    <n v="128996000"/>
    <n v="128996000"/>
    <n v="0"/>
    <n v="0"/>
    <n v="0"/>
    <n v="0"/>
    <n v="0"/>
    <n v="0"/>
    <n v="0"/>
    <n v="0"/>
    <n v="0"/>
    <n v="7.4999999999999997E-2"/>
    <n v="0.3"/>
    <n v="0.3"/>
    <n v="0.5"/>
    <n v="0.5"/>
    <n v="0.6"/>
    <n v="0.6"/>
    <n v="200"/>
    <n v="100"/>
    <n v="7.4999999999999997E-2"/>
    <n v="100"/>
    <n v="0.15"/>
    <n v="7.4999999999999997E-2"/>
    <n v="0.3"/>
    <n v="0.3"/>
    <n v="0.6"/>
    <n v="-0.3"/>
    <n v="0.6"/>
    <n v="200"/>
    <n v="100"/>
    <n v="7.4999999999999997E-2"/>
    <n v="0.15"/>
    <n v="420000000"/>
    <n v="420000000"/>
    <n v="0"/>
    <n v="0"/>
    <n v="0"/>
    <n v="0"/>
    <n v="0"/>
    <n v="0"/>
    <n v="0"/>
    <n v="0"/>
    <n v="0"/>
    <n v="0"/>
    <n v="0"/>
    <n v="0"/>
    <n v="0"/>
    <n v="0"/>
    <n v="0"/>
    <n v="0"/>
    <n v="0"/>
    <n v="1.2999999999999998"/>
    <n v="0.25"/>
    <n v="129.99999999999997"/>
    <n v="100"/>
    <n v="0.25"/>
    <n v="0.25"/>
    <n v="0.25"/>
    <n v="1"/>
    <n v="0"/>
    <n v="2"/>
    <s v="REDUCIR EN EL CUATRIENIO EN 20% LAS MUERTES POR ACCIDENTES DE TRÁNSITO EN NIÑOS Y NIÑAS DE 0 A 5 AÑOS"/>
    <n v="34"/>
    <s v="REDUCIR EN EL CUATRIENIO EN 20% LAS MUERTES POR ACCIDENTES DE TRÁNSITO EN NIÑOS Y NIÑAS DE 6 A 11 AÑOS"/>
    <n v="73"/>
    <n v="116"/>
    <n v="159"/>
    <n v="178"/>
    <s v="SE LOGRA LA ELABORACIÓN DE LA AGENDA PÚBLICA CORRESPONDIENTE A: REVISIÓN DEL MARCO NORMATIVO, LA ARTICULACIÓN CON EL PLAN NACIONAL DE SEGURIDAD VIAL 2011 – 2016, PARA LA FORMULACIÓN DEL MARCO DE REFERENCIA Y LA IDENTIFICACIÓN DE LA SITUACIÓN O POTENCIALIDAD O PROBLEMÁTICA A INTERVENIR. SE ENCUENTRA EN FASE DE FORMULACIÓN: SELECCIÓN DE LÍNEAS DE ACCIÓN Y DECISIÓN DE POLÍTICA. "/>
    <n v="17464000000"/>
    <m/>
    <n v="100"/>
  </r>
  <r>
    <n v="465"/>
    <x v="2"/>
    <x v="18"/>
    <x v="21"/>
    <s v="SEGURIDAD VIAL"/>
    <s v="CREAR DURANTE EL PERÍODO DE GOBIERNO, UN (1) OBSERVATORIO DE ACCIDENTALIDAD DEL DEPARTAMENTO, CON UNA ESTRATEGIA GESTIÓN TECNOLÓGICA Y UN SISTEMA DE INFORMACIÓN EFICIENTE. "/>
    <s v="OBSERVATORIO CREADO"/>
    <s v="UNIDAD"/>
    <s v="I"/>
    <n v="0"/>
    <n v="1"/>
    <n v="1"/>
    <n v="0.16500000000000001"/>
    <n v="3.3000000000000002E-2"/>
    <n v="0.2"/>
    <n v="0.2"/>
    <n v="0.1"/>
    <n v="0.1"/>
    <n v="50"/>
    <n v="50"/>
    <n v="1.6500000000000001E-2"/>
    <n v="50"/>
    <n v="2558000000"/>
    <n v="758000000"/>
    <n v="0"/>
    <n v="0"/>
    <n v="0"/>
    <n v="0"/>
    <n v="0"/>
    <n v="1800000000"/>
    <n v="233006000"/>
    <n v="233006000"/>
    <n v="0"/>
    <n v="0"/>
    <n v="0"/>
    <n v="0"/>
    <n v="0"/>
    <n v="0"/>
    <n v="0"/>
    <n v="0"/>
    <n v="0"/>
    <n v="4.9500000000000002E-2"/>
    <n v="0.3"/>
    <n v="0.3"/>
    <n v="0.1"/>
    <n v="0.1"/>
    <n v="33.333333333333336"/>
    <n v="33.333333333333336"/>
    <n v="1.6500000000000001E-2"/>
    <n v="33.333333333333336"/>
    <n v="828000000"/>
    <n v="0"/>
    <n v="828000000"/>
    <n v="0"/>
    <n v="0"/>
    <n v="0"/>
    <n v="0"/>
    <n v="0"/>
    <n v="33000000"/>
    <n v="33000000"/>
    <n v="0"/>
    <n v="0"/>
    <n v="0"/>
    <n v="0"/>
    <n v="0"/>
    <n v="0"/>
    <n v="0"/>
    <n v="0"/>
    <n v="0"/>
    <n v="4.9500000000000002E-2"/>
    <n v="0.3"/>
    <n v="0.3"/>
    <n v="0.5"/>
    <n v="0.5"/>
    <n v="0.64999997615814209"/>
    <n v="0.64999997615814209"/>
    <n v="216.66665871938071"/>
    <n v="100"/>
    <n v="4.9500000000000002E-2"/>
    <n v="100"/>
    <n v="0.10724999606609346"/>
    <n v="3.3000000000000002E-2"/>
    <n v="0.2"/>
    <n v="0.2"/>
    <n v="0.2"/>
    <n v="0"/>
    <n v="0.2"/>
    <n v="100"/>
    <n v="100"/>
    <n v="3.3000000000000002E-2"/>
    <n v="3.3000000000000002E-2"/>
    <n v="878000000"/>
    <n v="878000000"/>
    <n v="0"/>
    <n v="0"/>
    <n v="0"/>
    <n v="0"/>
    <n v="0"/>
    <n v="0"/>
    <n v="0"/>
    <n v="0"/>
    <n v="0"/>
    <n v="0"/>
    <n v="0"/>
    <n v="0"/>
    <n v="0"/>
    <n v="0"/>
    <n v="0"/>
    <n v="0"/>
    <n v="0"/>
    <n v="1.049999976158142"/>
    <n v="0.16500000000000001"/>
    <n v="104.99999761581419"/>
    <n v="100"/>
    <n v="0.16500000000000001"/>
    <n v="0.16500000000000001"/>
    <n v="0.16500000000000001"/>
    <n v="1"/>
    <n v="0"/>
    <n v="2"/>
    <s v="REDUCIR EN EL CUATRIENIO EN 20% LAS MUERTES POR ACCIDENTES DE TRÁNSITO EN NIÑOS Y NIÑAS DE 0 A 5 AÑOS"/>
    <n v="34"/>
    <s v="REDUCIR EN EL CUATRIENIO EN 20% LAS MUERTES POR ACCIDENTES DE TRÁNSITO EN NIÑOS Y NIÑAS DE 6 A 11 AÑOS"/>
    <n v="73"/>
    <n v="116"/>
    <n v="159"/>
    <n v="178"/>
    <s v="SE LOGRA ETAPA IMPLEMENTACION DE LA ETAPA I - PERMITIENDO CONSOLIDAR Y OBTENER CIFRAS Y VARIABLES PARA TOMA DE DECISIONES"/>
    <n v="7138000000"/>
    <m/>
    <n v="20"/>
  </r>
  <r>
    <n v="466"/>
    <x v="2"/>
    <x v="10"/>
    <x v="21"/>
    <s v="INFRAESTRUCTURA LOGÍSTICA PARA LA PRODUCTIVIDAD"/>
    <s v="APOYAR, DURANTE EL PERÍODO DE GOBIERNO, LA CONSTRUCCIÓN DE 3 INFRAESTRUCTURA LOGÍSTICA PARA LA PRODUCTIVIDAD."/>
    <s v="NO DE INFRAESTRUCTURAS CONSTRUIDAS"/>
    <s v="INFRAESTRUCTURAS"/>
    <s v="I"/>
    <n v="0"/>
    <n v="3"/>
    <n v="3"/>
    <n v="0.25"/>
    <n v="0"/>
    <n v="0"/>
    <n v="0"/>
    <n v="0"/>
    <n v="0"/>
    <n v="0"/>
    <n v="0"/>
    <n v="0"/>
    <n v="0"/>
    <n v="0"/>
    <n v="0"/>
    <n v="0"/>
    <n v="0"/>
    <n v="0"/>
    <n v="0"/>
    <n v="0"/>
    <n v="0"/>
    <n v="0"/>
    <n v="0"/>
    <n v="0"/>
    <n v="0"/>
    <n v="0"/>
    <n v="0"/>
    <n v="0"/>
    <n v="0"/>
    <n v="0"/>
    <n v="0"/>
    <n v="0"/>
    <n v="0"/>
    <n v="0"/>
    <n v="0"/>
    <n v="0"/>
    <n v="0"/>
    <n v="0"/>
    <n v="0"/>
    <n v="0"/>
    <n v="0"/>
    <n v="94249000000"/>
    <n v="0"/>
    <n v="650000000"/>
    <n v="0"/>
    <n v="0"/>
    <n v="0"/>
    <n v="0"/>
    <n v="93599000"/>
    <n v="0"/>
    <n v="0"/>
    <n v="0"/>
    <n v="0"/>
    <n v="0"/>
    <n v="0"/>
    <n v="0"/>
    <n v="0"/>
    <n v="0"/>
    <n v="0"/>
    <n v="0"/>
    <n v="8.3333333333333329E-2"/>
    <n v="1"/>
    <n v="0.33333333333333331"/>
    <n v="0"/>
    <n v="0"/>
    <n v="0"/>
    <n v="0"/>
    <n v="0"/>
    <n v="0"/>
    <n v="0"/>
    <n v="0"/>
    <n v="0"/>
    <n v="0.16666666666666666"/>
    <n v="2"/>
    <n v="0.66666666666666663"/>
    <n v="3"/>
    <n v="-1"/>
    <n v="3"/>
    <n v="150"/>
    <n v="100"/>
    <n v="0.16666666666666663"/>
    <n v="0.25"/>
    <n v="95099000000"/>
    <n v="1500000000"/>
    <n v="0"/>
    <n v="0"/>
    <n v="0"/>
    <n v="0"/>
    <n v="0"/>
    <n v="93599000"/>
    <n v="0"/>
    <n v="0"/>
    <n v="0"/>
    <n v="0"/>
    <n v="0"/>
    <n v="0"/>
    <n v="0"/>
    <n v="0"/>
    <n v="0"/>
    <n v="0"/>
    <n v="0"/>
    <n v="3"/>
    <n v="0.25"/>
    <n v="100"/>
    <n v="100"/>
    <n v="0.25"/>
    <n v="0.25"/>
    <n v="0.25"/>
    <n v="1"/>
    <n v="0"/>
    <n v="257"/>
    <s v="MEJORAR AMBIENTES FÍSICOS PARA LA PRESTACIÓN DE SERVICIOS SOCIALES EN LOS 116 MUNICIPIOS"/>
    <m/>
    <s v=""/>
    <m/>
    <m/>
    <m/>
    <m/>
    <s v="EN PROCESO SE ENCUENTRAN LAS OBRAS DONDE SE DESARROLLARAN LAS OBRAS LOGÍSTICAS, LAS CUALES FUERON CONCERTADAS EN COORDINACIÓN CON LA SECRETARÍA DE DESARROLLO SOCIAL Y LOS MUNICIPIOS EN DONDE SE ENTREGARÁN LAS OBRAS."/>
    <n v="3760000000"/>
    <m/>
    <n v="1"/>
  </r>
  <r>
    <n v="467"/>
    <x v="2"/>
    <x v="10"/>
    <x v="21"/>
    <s v="INFRAESTRUCTURA LOGÍSTICA PARA LA PRODUCTIVIDAD"/>
    <s v="CONSTRUIR Y/O ADECUAR DURANTE EL PERÍODO DE GOBIERNO, 3 INFRAESTRUCTURAS PARA LA PRODUCCIÓN, DISTRIBUCIÓN Y COMERCIALIZACIÓN, COMO PLAZAS DE MERCADO, PLAZAS DE FERIAS Y EXPOSICIONES."/>
    <s v="NO DE INFRAESTRUCTURAS CONSTRUIDAS Y/O ADECUADAS"/>
    <s v="INFRAESTRUCTURAS"/>
    <s v="I"/>
    <n v="12"/>
    <n v="15"/>
    <n v="3"/>
    <n v="0.25"/>
    <n v="0"/>
    <n v="0"/>
    <n v="0"/>
    <n v="0"/>
    <n v="0"/>
    <n v="0"/>
    <n v="0"/>
    <n v="0"/>
    <n v="0"/>
    <n v="0"/>
    <n v="0"/>
    <n v="0"/>
    <n v="0"/>
    <n v="0"/>
    <n v="0"/>
    <n v="0"/>
    <n v="0"/>
    <n v="0"/>
    <n v="0"/>
    <n v="0"/>
    <n v="0"/>
    <n v="0"/>
    <n v="0"/>
    <n v="0"/>
    <n v="0"/>
    <n v="0"/>
    <n v="0"/>
    <n v="0"/>
    <n v="0"/>
    <n v="0"/>
    <n v="0"/>
    <n v="0"/>
    <n v="0"/>
    <n v="0"/>
    <n v="0"/>
    <n v="0"/>
    <n v="0"/>
    <n v="650000000"/>
    <n v="0"/>
    <n v="650000000"/>
    <n v="0"/>
    <n v="0"/>
    <n v="0"/>
    <n v="0"/>
    <n v="0"/>
    <n v="0"/>
    <n v="0"/>
    <n v="0"/>
    <n v="0"/>
    <n v="0"/>
    <n v="0"/>
    <n v="0"/>
    <n v="0"/>
    <n v="0"/>
    <n v="0"/>
    <n v="0"/>
    <n v="0.16666666666666666"/>
    <n v="2"/>
    <n v="0.66666666666666663"/>
    <n v="0"/>
    <n v="0"/>
    <n v="0"/>
    <n v="0"/>
    <n v="0"/>
    <n v="0"/>
    <n v="0"/>
    <n v="0"/>
    <n v="0"/>
    <n v="8.3333333333333329E-2"/>
    <n v="1"/>
    <n v="0.33333333333333331"/>
    <n v="4"/>
    <n v="-3"/>
    <n v="4"/>
    <n v="400"/>
    <n v="100"/>
    <n v="8.3333333333333315E-2"/>
    <n v="0.33333333333333326"/>
    <n v="1500000000"/>
    <n v="1500000000"/>
    <n v="0"/>
    <n v="0"/>
    <n v="0"/>
    <n v="0"/>
    <n v="0"/>
    <n v="0"/>
    <n v="0"/>
    <n v="0"/>
    <n v="0"/>
    <n v="0"/>
    <n v="0"/>
    <n v="0"/>
    <n v="0"/>
    <n v="0"/>
    <n v="0"/>
    <n v="0"/>
    <n v="0"/>
    <n v="4"/>
    <n v="0.25"/>
    <n v="133.33333333333334"/>
    <n v="100"/>
    <n v="0.25"/>
    <n v="0.25"/>
    <n v="0.25"/>
    <n v="1"/>
    <n v="0"/>
    <n v="257"/>
    <s v="MEJORAR AMBIENTES FÍSICOS PARA LA PRESTACIÓN DE SERVICIOS SOCIALES EN LOS 116 MUNICIPIOS"/>
    <m/>
    <s v=""/>
    <m/>
    <m/>
    <m/>
    <m/>
    <s v="CON EL FIN DE APOYAR LA IMPLEMENTACIÓN DE CENTROS DE COMERCIALIZACIÓN QUE PERMITAN EL DESARROLLO Y LA COMPETITIVIDAD REGIONAL SE PRESENTO EL PROYECTO PARA LA ADECUACIÓN DEL COLISEO DE FERIAS DEL CENTRO AGROTECNOLÓGICO QUEBRAJACHO DEL MUNICIPIO DE FUSAGASUGÁ, EL CUAL SE ENCUENTRA EN EJECUCIÓN EN ÉSTE MOMENTO . SE ESTAN DESARROLLANDO OBRAS EN OTRAS PLAZAS DE MERCADO, LOS CUALES MEJORANRAN LAS CONDICIONES DE COMERCIALIZACIÓN DE LOS PRODUCTOS A LOS HABITANTES DE LAS POBLACIONES CERCANAS QUE DEPENDEN DE SU SUSTENTO EN ÉSTE TIPO DE ACTIVIDADES COMERCIALES ."/>
    <n v="1760000000"/>
    <m/>
    <n v="1"/>
  </r>
  <r>
    <n v="469"/>
    <x v="2"/>
    <x v="19"/>
    <x v="22"/>
    <s v=" INVESTIGACION Y DESARROLLO (I+D)"/>
    <s v="FORMULAR Y EJECUTAR DOS (2) PLANES ESTRATÉGICOS EN CIENCIA, TECNOLOGÍA E INNOVACIÓN PARA CUNDINAMARCA Y LA REGIÓN BOGOTÁ-CUNDINAMARCA, DURANTE EL PERÍODO DE GOBIERNO"/>
    <s v=" NO DE PLANES ESTRATÉGICOS FORMULADOS "/>
    <s v="PLANES"/>
    <s v="I"/>
    <n v="0"/>
    <n v="2"/>
    <n v="2"/>
    <n v="0.25"/>
    <n v="3.125E-2"/>
    <n v="0.25"/>
    <n v="0.125"/>
    <n v="0.25"/>
    <n v="0.25"/>
    <n v="100"/>
    <n v="100"/>
    <n v="3.125E-2"/>
    <n v="100"/>
    <n v="437000000"/>
    <n v="324500000"/>
    <n v="0"/>
    <n v="0"/>
    <n v="0"/>
    <n v="0"/>
    <n v="0"/>
    <n v="112500000"/>
    <n v="109800000"/>
    <n v="109000000"/>
    <n v="0"/>
    <n v="800000"/>
    <n v="0"/>
    <n v="0"/>
    <n v="0"/>
    <n v="0"/>
    <n v="0"/>
    <n v="0"/>
    <n v="0"/>
    <n v="3.125E-2"/>
    <n v="0.25"/>
    <n v="0.125"/>
    <n v="0.35"/>
    <n v="0.35"/>
    <n v="140"/>
    <n v="100"/>
    <n v="3.125E-2"/>
    <n v="100"/>
    <n v="108000000"/>
    <n v="0"/>
    <n v="33000000"/>
    <n v="0"/>
    <n v="0"/>
    <n v="0"/>
    <n v="0"/>
    <n v="75000000"/>
    <n v="175035000"/>
    <n v="175035000"/>
    <n v="0"/>
    <n v="0"/>
    <n v="0"/>
    <n v="0"/>
    <n v="0"/>
    <n v="0"/>
    <n v="0"/>
    <n v="8000000000"/>
    <s v="UNIMINUTO"/>
    <n v="6.25E-2"/>
    <n v="0.5"/>
    <n v="0.25"/>
    <n v="1.5"/>
    <n v="0.9"/>
    <n v="0.9"/>
    <n v="0.9"/>
    <n v="180"/>
    <n v="100"/>
    <n v="6.25E-2"/>
    <n v="100"/>
    <n v="0.1125"/>
    <n v="0.125"/>
    <n v="1"/>
    <n v="0.5"/>
    <n v="0.5"/>
    <n v="0.5"/>
    <n v="0.5"/>
    <n v="50"/>
    <n v="50"/>
    <n v="6.25E-2"/>
    <n v="6.25E-2"/>
    <n v="150000000"/>
    <n v="75000000"/>
    <n v="0"/>
    <n v="0"/>
    <n v="0"/>
    <n v="0"/>
    <n v="0"/>
    <n v="75000000"/>
    <n v="0"/>
    <n v="0"/>
    <n v="0"/>
    <n v="0"/>
    <n v="0"/>
    <n v="0"/>
    <n v="0"/>
    <n v="0"/>
    <n v="0"/>
    <n v="0"/>
    <n v="0"/>
    <n v="2"/>
    <n v="0.25"/>
    <n v="100"/>
    <n v="100"/>
    <n v="0.25"/>
    <n v="0.25"/>
    <n v="0.25"/>
    <n v="1"/>
    <n v="0"/>
    <n v="468"/>
    <s v="CUNDINAMARCA, DURANTE EL PERIODO DE GOBIERNO, ASCIENDE 1 PUESTO EN EL FACTOR DE CTI DEL ESCALAFÓN DEPARTAMENTAL DE COMPETITIVIDAD "/>
    <m/>
    <s v=""/>
    <m/>
    <m/>
    <m/>
    <m/>
    <s v="CONTAR CON DOS PLANES ESTRATEGICOS DE CTEI PERMITE DINAMIZAR EL SISTEMA DEPARTAMENTAL DE CTEI A PARTIR DE LINEAMIENTOS CLAROS Y RELACIONADOS CON LA REALIDAD DEL TERRITORIO. A PARTIR DEL PRIMER PLAN DEPARTAMENTAL SE HA LOGRADO LA TERRITORALIZACION DE PROGRAMAS Y PROYETOS DE CTEI ASI COMO LA ARTICULACION DE ACTORES Y LA GENERACIÓN DE ALIANZAS ESTRATEGICOS EN LA FORMULACION Y EJECUCION DE LOS MISMOS. EL PLAN ESTRATÉGICO ESPECÍFICO PARA LOS CONSEJOS REGIONALES DE CTEI PERMITE A LAS COMUNIDADES Y ACTORES ACADEMICOS Y EMPRESARIALES PRESENTES EN EL TERRITORIO INCIDIR EN LA TOMA DE DECISIONES DE LA ADMINISTRACION DEPARTAMENTAL PARA LA PROMOCION Y DESARROLLO DE INICIATIVAS LOCALES EN MATERIA DE CTEI."/>
    <n v="0"/>
    <m/>
    <n v="1"/>
  </r>
  <r>
    <n v="470"/>
    <x v="2"/>
    <x v="19"/>
    <x v="22"/>
    <s v=" INVESTIGACION Y DESARROLLO (I+D)"/>
    <s v="PROMOVER TRES (3) CONVOCATORIAS DE INVESTIGACIÓN APLICADA, ABIERTAS A LAS UNIVERSIDADES, CENTROS DE INVESTIGACIÓN, CDTS Y DEMÁS ORGANIZACIONES CON PRESENCIA EN EL DEPARTAMENTO, EN ÁREAS COMO BIODIVERSIDAD, RECURSOS GENÉTICOS, BIOTECNOLOGÍA E INNOVACIÓN AG"/>
    <s v=" NO DE CONVOCATORIAS DE INVESTIGACIÓN APLICADA "/>
    <s v="CONVOCATORIAS"/>
    <s v="I"/>
    <n v="0"/>
    <n v="3"/>
    <n v="3"/>
    <n v="0.16500000000000001"/>
    <n v="0"/>
    <n v="0"/>
    <n v="0"/>
    <n v="0"/>
    <n v="0"/>
    <n v="0"/>
    <n v="0"/>
    <n v="0"/>
    <n v="0"/>
    <n v="0"/>
    <n v="0"/>
    <n v="0"/>
    <n v="0"/>
    <n v="0"/>
    <n v="0"/>
    <n v="0"/>
    <n v="0"/>
    <n v="0"/>
    <n v="0"/>
    <n v="0"/>
    <n v="0"/>
    <n v="0"/>
    <n v="0"/>
    <n v="0"/>
    <n v="0"/>
    <n v="0"/>
    <n v="0"/>
    <n v="0"/>
    <n v="5.5E-2"/>
    <n v="1"/>
    <n v="0.33333333333333331"/>
    <n v="1"/>
    <n v="1"/>
    <n v="100"/>
    <n v="100"/>
    <n v="5.5E-2"/>
    <n v="100"/>
    <n v="1769000000"/>
    <n v="0"/>
    <n v="769000000"/>
    <n v="0"/>
    <n v="0"/>
    <n v="0"/>
    <n v="0"/>
    <n v="1000000000"/>
    <n v="1350000000"/>
    <n v="1350000000"/>
    <n v="0"/>
    <n v="0"/>
    <n v="0"/>
    <n v="0"/>
    <n v="0"/>
    <n v="0"/>
    <n v="0"/>
    <n v="200000000"/>
    <s v="ASOCIACION COLOMBIANA PARA EL AVANCE DE LA CIENCIA"/>
    <n v="5.5E-2"/>
    <n v="1"/>
    <n v="0.33333333333333331"/>
    <n v="0.5"/>
    <n v="0.69999998807907104"/>
    <n v="1"/>
    <n v="1"/>
    <n v="100"/>
    <n v="100"/>
    <n v="5.5E-2"/>
    <n v="100"/>
    <n v="5.5E-2"/>
    <n v="5.5E-2"/>
    <n v="1"/>
    <n v="0.33333333333333331"/>
    <n v="1"/>
    <n v="0"/>
    <n v="1"/>
    <n v="100"/>
    <n v="100"/>
    <n v="5.5E-2"/>
    <n v="5.5E-2"/>
    <n v="2775000000"/>
    <n v="1775000000"/>
    <n v="0"/>
    <n v="0"/>
    <n v="0"/>
    <n v="0"/>
    <n v="0"/>
    <n v="1000000000"/>
    <n v="0"/>
    <n v="0"/>
    <n v="0"/>
    <n v="0"/>
    <n v="0"/>
    <n v="0"/>
    <n v="0"/>
    <n v="0"/>
    <n v="0"/>
    <n v="0"/>
    <n v="0"/>
    <n v="3"/>
    <n v="0.16500000000000001"/>
    <n v="100"/>
    <n v="100"/>
    <n v="0.16500000000000001"/>
    <n v="0.16500000000000001"/>
    <n v="0.16500000000000001"/>
    <n v="1"/>
    <n v="0"/>
    <n v="468"/>
    <s v="CUNDINAMARCA, DURANTE EL PERIODO DE GOBIERNO, ASCIENDE 1 PUESTO EN EL FACTOR DE CTI DEL ESCALAFÓN DEPARTAMENTAL DE COMPETITIVIDAD "/>
    <m/>
    <s v=""/>
    <m/>
    <m/>
    <m/>
    <m/>
    <s v="LAS CONVOCATORIAS DE INVESTIGACION APLICADAS, INSTITUCIONALIZADAS BAJO EL NOMBRE DE CUNDINAMARCA INVESTIGA, HAN PERMITIDO A LOS ACTORES LOCALES DEL DEPARTAMENTO (GRUPOS DE INVESTIGACION COMUNALES, GRUPOS DE ESTUDIANTES, PEQUEÑAS EMPRESAS, ENTRE OTROS) MATERIALIZAR SUS INICIATIVAS DE INVESTIGACION A PARTIR DE LA FINANCIACIÓN Y ACOMPAÑAMIENTO EN EL DESARROLLO DE SUS PROYECTOS. A LA FECHA SE HAN BENEFICIADO XX GRUPOS DE INVESTIGACION Y SE CUENTA CON UN RECONOCIMIENTO IMPORTANTE A NIEVEL LOCAL DE ESTE PROGRAMA."/>
    <n v="0"/>
    <m/>
    <n v="10"/>
  </r>
  <r>
    <n v="471"/>
    <x v="2"/>
    <x v="19"/>
    <x v="22"/>
    <s v=" INVESTIGACION Y DESARROLLO (I+D)"/>
    <s v="CONSOLIDAR DOS REDES DE INNOVACIÓN PARA LOS 5 NODOS REGIONALES DE CTEI, EN ARTICULACIÓN CON EL SECTOR PRIVADO Y LA ACADEMIA, DURANTE EL PERÍODO DE GOBIERNO"/>
    <s v=" NO DE REDES DE INNOVACIÓN CONSOLIDADAS"/>
    <s v="REDES"/>
    <s v="I"/>
    <n v="0"/>
    <n v="2"/>
    <n v="2"/>
    <n v="0.25"/>
    <n v="0"/>
    <n v="0"/>
    <n v="0"/>
    <n v="0.1"/>
    <n v="0.1"/>
    <n v="0"/>
    <n v="0"/>
    <n v="0"/>
    <n v="100"/>
    <n v="203500000"/>
    <n v="183000000"/>
    <n v="0"/>
    <n v="0"/>
    <n v="0"/>
    <n v="0"/>
    <n v="0"/>
    <n v="20500000"/>
    <n v="174500000"/>
    <n v="154000000"/>
    <n v="0"/>
    <n v="20500000"/>
    <n v="0"/>
    <n v="0"/>
    <n v="0"/>
    <n v="0"/>
    <n v="0"/>
    <n v="0"/>
    <n v="0"/>
    <n v="0"/>
    <n v="0"/>
    <n v="0"/>
    <n v="0.25"/>
    <n v="0.25"/>
    <n v="0"/>
    <n v="0"/>
    <n v="0"/>
    <n v="100"/>
    <n v="315000000"/>
    <n v="0"/>
    <n v="65000000"/>
    <n v="0"/>
    <n v="0"/>
    <n v="0"/>
    <n v="0"/>
    <n v="250000000"/>
    <n v="178000000"/>
    <n v="178000000"/>
    <n v="0"/>
    <n v="0"/>
    <n v="0"/>
    <n v="0"/>
    <n v="0"/>
    <n v="0"/>
    <n v="0"/>
    <n v="1181869382"/>
    <s v="Connect Bogotá Región_x000a_Secretaría de Hacienda de Cundinamarca_x000a_Secretaría de TIC de Cundinamarca_x000a_MINTIC_x000a_Colciencias_x000a_Parquesoft"/>
    <n v="0.125"/>
    <n v="1"/>
    <n v="0.5"/>
    <n v="0.30000001192092896"/>
    <n v="0.34999999403953552"/>
    <n v="0.64999997615814209"/>
    <n v="0.64999997615814209"/>
    <n v="64.999997615814209"/>
    <n v="64.999997615814209"/>
    <n v="8.1249997019767761E-2"/>
    <n v="64.999997615814209"/>
    <n v="8.1249997019767761E-2"/>
    <n v="0.125"/>
    <n v="1"/>
    <n v="0.5"/>
    <n v="1"/>
    <n v="0"/>
    <n v="1"/>
    <n v="100"/>
    <n v="100"/>
    <n v="0.125"/>
    <n v="0.125"/>
    <n v="400000000"/>
    <n v="150000000"/>
    <n v="0"/>
    <n v="0"/>
    <n v="0"/>
    <n v="0"/>
    <n v="0"/>
    <n v="250000000"/>
    <n v="0"/>
    <n v="0"/>
    <n v="0"/>
    <n v="0"/>
    <n v="0"/>
    <n v="0"/>
    <n v="0"/>
    <n v="0"/>
    <n v="0"/>
    <n v="0"/>
    <n v="0"/>
    <n v="1.9999999761581422"/>
    <n v="0.25"/>
    <n v="99.999998807907104"/>
    <n v="99.999998807907104"/>
    <n v="0.24999999701976777"/>
    <n v="0.24999999701976777"/>
    <n v="0.24999999701976777"/>
    <n v="1"/>
    <n v="0"/>
    <n v="468"/>
    <s v="CUNDINAMARCA, DURANTE EL PERIODO DE GOBIERNO, ASCIENDE 1 PUESTO EN EL FACTOR DE CTI DEL ESCALAFÓN DEPARTAMENTAL DE COMPETITIVIDAD "/>
    <m/>
    <s v=""/>
    <m/>
    <m/>
    <m/>
    <m/>
    <s v="A PARTIR DE LA FORMULACION DE LOS PROYECTOS QUE A LA FECHA SON FINANCIADOS CON RECURSOS DEL SGR, SE HA LOGRADO LA CONSOLIDACION DE CINCO NODOS DE INNOVACION: SOCIAL, RURAL, PRODUCTIVA, INSTITUCIONAL Y DE INVESTIGACION Y DESARROLLO. LA ITEGRACION DE ESTOS NODOS SE REALIZA A PARTIR DE DOS GRANDES REDES, CUYO PRINCIPAL OBJETIVO ES LA ARTICULACION DE LOS PRINCIPALES ACTORES DEL SISTEMA DEPARTAMENTAL DE CTEI COMO UNIVERSIDADES, CDT, CENTROS DE INVESTIGACION, GRUPOS DE INVESTIGACION, SECTORES SOCIALES, EMPRESAS Y EMPRESARIOS,, ENTRE OTROS."/>
    <n v="30000000"/>
    <m/>
    <n v="25"/>
  </r>
  <r>
    <n v="472"/>
    <x v="2"/>
    <x v="19"/>
    <x v="22"/>
    <s v=" INVESTIGACION Y DESARROLLO (I+D)"/>
    <s v="IMPLEMENTAR DOS PROYECTOS INTEGRALES PARA EL FOMENTO DE LA INVESTIGACIÓN E INNOVACIÓN EN EL SECTOR EDUCATIVO Y DE LA SALUD, DURANTE EL PERÍODO DE GOBIERNO"/>
    <s v=" NO DE PROYECTOS DE INVESTIGACIÓN Y DESARROLLO IMPLEMENTADOS"/>
    <s v="PROYECTOS"/>
    <s v="I"/>
    <n v="0"/>
    <n v="2"/>
    <n v="2"/>
    <n v="0.25"/>
    <n v="0"/>
    <n v="0"/>
    <n v="0"/>
    <n v="0"/>
    <n v="0"/>
    <n v="0"/>
    <n v="0"/>
    <n v="0"/>
    <n v="0"/>
    <n v="0"/>
    <n v="0"/>
    <n v="0"/>
    <n v="0"/>
    <n v="0"/>
    <n v="0"/>
    <n v="0"/>
    <n v="0"/>
    <n v="0"/>
    <n v="0"/>
    <n v="0"/>
    <n v="0"/>
    <n v="0"/>
    <n v="0"/>
    <n v="0"/>
    <n v="0"/>
    <n v="0"/>
    <n v="0"/>
    <n v="0"/>
    <n v="0"/>
    <n v="0"/>
    <n v="0"/>
    <n v="3"/>
    <n v="3"/>
    <n v="0"/>
    <n v="0"/>
    <n v="0"/>
    <n v="100"/>
    <n v="815000000"/>
    <n v="0"/>
    <n v="65000000"/>
    <n v="0"/>
    <n v="0"/>
    <n v="0"/>
    <n v="0"/>
    <n v="750000000"/>
    <n v="0"/>
    <n v="0"/>
    <n v="0"/>
    <n v="0"/>
    <n v="0"/>
    <n v="0"/>
    <n v="0"/>
    <n v="0"/>
    <n v="0"/>
    <n v="0"/>
    <n v="0"/>
    <n v="0.125"/>
    <n v="1"/>
    <n v="0.5"/>
    <n v="0"/>
    <n v="3"/>
    <n v="3"/>
    <n v="3"/>
    <n v="300"/>
    <n v="100"/>
    <n v="0.125"/>
    <n v="100"/>
    <n v="0.375"/>
    <n v="0.125"/>
    <n v="1"/>
    <n v="0.5"/>
    <n v="0"/>
    <n v="1"/>
    <n v="0"/>
    <n v="0"/>
    <n v="0"/>
    <n v="0"/>
    <n v="0"/>
    <n v="900000000"/>
    <n v="150000000"/>
    <n v="0"/>
    <n v="0"/>
    <n v="0"/>
    <n v="0"/>
    <n v="0"/>
    <n v="750000000"/>
    <n v="0"/>
    <n v="0"/>
    <n v="0"/>
    <n v="0"/>
    <n v="0"/>
    <n v="0"/>
    <n v="0"/>
    <n v="0"/>
    <n v="0"/>
    <n v="0"/>
    <n v="0"/>
    <n v="6"/>
    <n v="0.25"/>
    <n v="300"/>
    <n v="100"/>
    <n v="0.25"/>
    <n v="0.25"/>
    <n v="0.25"/>
    <n v="1"/>
    <n v="0"/>
    <n v="468"/>
    <s v="CUNDINAMARCA, DURANTE EL PERIODO DE GOBIERNO, ASCIENDE 1 PUESTO EN EL FACTOR DE CTI DEL ESCALAFÓN DEPARTAMENTAL DE COMPETITIVIDAD "/>
    <m/>
    <s v=""/>
    <m/>
    <m/>
    <m/>
    <m/>
    <s v="GRACIAS A LA DINÁMICA DESARROLLADA POR EL DEPARTAMENTO EN EL MARCO DE LA NUEVA LEY DEL SISTEMA GENERAL DE REGALÍAS , SE VIENEN IMPLEMENTANDO EN CONCIERTO CON LAS SECRETARIAS DE EDUCACION Y DE SALUD DEL DEPARTAMENTO, DOS PROYECTOS SECTORIALES."/>
    <n v="0"/>
    <m/>
    <n v="25"/>
  </r>
  <r>
    <n v="473"/>
    <x v="2"/>
    <x v="19"/>
    <x v="22"/>
    <s v=" INVESTIGACION Y DESARROLLO (I+D)"/>
    <s v="GENERAR 2 ALIANZAS ESTRATÉGICAS CON ORGANISMOS INTERNACIONALES QUE NOS BRINDEN COOPERACIÓN TÉCNICA PARA LA GESTIÓN DE CTEI, DURANTE EL PERÍODO DE GOBIERNO."/>
    <s v=" NO DE ALIANZAS CON ORGANISMOS INTERNACIONALES EJECUTADAS"/>
    <s v="ALIZANZAS"/>
    <s v="I"/>
    <n v="0"/>
    <n v="2"/>
    <n v="2"/>
    <n v="0.16500000000000001"/>
    <n v="3.3000000000000002E-2"/>
    <n v="0.4"/>
    <n v="0.2"/>
    <n v="0.25"/>
    <n v="0.25"/>
    <n v="62.5"/>
    <n v="62.5"/>
    <n v="2.0625000000000001E-2"/>
    <n v="62.5"/>
    <n v="0"/>
    <n v="0"/>
    <n v="0"/>
    <n v="0"/>
    <n v="0"/>
    <n v="0"/>
    <n v="0"/>
    <n v="0"/>
    <n v="0"/>
    <n v="0"/>
    <n v="0"/>
    <n v="0"/>
    <n v="0"/>
    <n v="0"/>
    <n v="0"/>
    <n v="0"/>
    <n v="0"/>
    <n v="0"/>
    <n v="0"/>
    <n v="0.13200000000000001"/>
    <n v="1.6"/>
    <n v="0.8"/>
    <n v="1.45"/>
    <n v="1.45"/>
    <n v="90.625"/>
    <n v="90.625"/>
    <n v="0.11962500000000001"/>
    <n v="90.625"/>
    <n v="114000000"/>
    <n v="0"/>
    <n v="39000000"/>
    <n v="0"/>
    <n v="0"/>
    <n v="0"/>
    <n v="0"/>
    <n v="75000000"/>
    <n v="182500000"/>
    <n v="182500000"/>
    <n v="0"/>
    <n v="0"/>
    <n v="0"/>
    <n v="0"/>
    <n v="0"/>
    <n v="0"/>
    <n v="0"/>
    <n v="80000000"/>
    <s v="UNIMINUTO"/>
    <n v="0"/>
    <n v="0"/>
    <n v="0"/>
    <n v="0.34999999403953552"/>
    <n v="0.30000001192092896"/>
    <n v="0.3"/>
    <n v="0.3"/>
    <n v="0"/>
    <n v="0"/>
    <n v="0"/>
    <n v="100"/>
    <n v="0"/>
    <n v="0"/>
    <n v="0"/>
    <n v="0"/>
    <n v="0"/>
    <n v="0"/>
    <n v="0"/>
    <n v="0"/>
    <n v="0"/>
    <n v="0"/>
    <n v="0"/>
    <n v="165000000"/>
    <n v="90000000"/>
    <n v="0"/>
    <n v="0"/>
    <n v="0"/>
    <n v="0"/>
    <n v="0"/>
    <n v="75000000"/>
    <n v="0"/>
    <n v="0"/>
    <n v="0"/>
    <n v="0"/>
    <n v="0"/>
    <n v="0"/>
    <n v="0"/>
    <n v="0"/>
    <n v="0"/>
    <n v="0"/>
    <n v="0"/>
    <n v="2"/>
    <n v="0.16500000000000001"/>
    <n v="100"/>
    <n v="100"/>
    <n v="0.16500000000000001"/>
    <n v="0.16500000000000001"/>
    <n v="0.16500000000000001"/>
    <n v="1"/>
    <n v="0"/>
    <n v="468"/>
    <s v="CUNDINAMARCA, DURANTE EL PERIODO DE GOBIERNO, ASCIENDE 1 PUESTO EN EL FACTOR DE CTI DEL ESCALAFÓN DEPARTAMENTAL DE COMPETITIVIDAD "/>
    <m/>
    <s v=""/>
    <m/>
    <m/>
    <m/>
    <m/>
    <s v="LAS ALIANZAS INTERNACIONALES SUSCRITAS CON LA OEA Y CON NACIONES UNIDAS, HAN PERMITIDO ADELANTAR PROCESOS DE PROMOCION Y APROPIACION DE LA CTEI EN LOS MUNICIPIOS DEL DEPARTAMENTO, UNO DE LOS LOGROS MAS IMPORTANTE EN ESTE ASPECTO, HA SIDO EL DISEÑO Y DESARROLLO DEL PRIMER PREMIO AL MUNICIPIO MAS INNOVADOR, EL CUAL, ESTA ORIENTADO A PREMIAR AL MUNICIPIO CUYAS PRÁCTICAS INNVADORAS HAYAN PERMITIDO UN MEJORAMIENTO EN LA PRESTACION DE LOS SERVICIOS PUBLICOS LOCALES."/>
    <n v="0"/>
    <m/>
    <n v="1"/>
  </r>
  <r>
    <n v="474"/>
    <x v="2"/>
    <x v="19"/>
    <x v="22"/>
    <s v=" INVESTIGACION Y DESARROLLO (I+D)"/>
    <s v="PROMOVER LA CREACIÓN DE UN OBSERVATORIO QUE PERMITA ADELANTAR EL SEGUIMIENTO Y ANÁLISIS DE LAS TENDENCIAS, RESULTADOS E IMPACTOS EN MATERIA DE CIENCIA, TECNOLOGÍA E INNOVACIÓN, QUE INVOLUCRE A LOS DIFERENTES ACTORES RELEVANTES DEL SECTOR, DURANTE EL PERÍO"/>
    <s v=" OBSERVATORIOS PUESTOS EN MARCHA "/>
    <s v="OBSERVATORIOS"/>
    <s v="I"/>
    <n v="0"/>
    <n v="1"/>
    <n v="1"/>
    <n v="0.16500000000000001"/>
    <n v="0"/>
    <n v="0"/>
    <n v="0"/>
    <n v="0"/>
    <n v="0"/>
    <n v="0"/>
    <n v="0"/>
    <n v="0"/>
    <n v="0"/>
    <n v="0"/>
    <n v="0"/>
    <n v="0"/>
    <n v="0"/>
    <n v="0"/>
    <n v="0"/>
    <n v="0"/>
    <n v="0"/>
    <n v="0"/>
    <n v="0"/>
    <n v="0"/>
    <n v="0"/>
    <n v="0"/>
    <n v="0"/>
    <n v="0"/>
    <n v="0"/>
    <n v="0"/>
    <n v="0"/>
    <n v="0"/>
    <n v="4.9500000000000002E-2"/>
    <n v="0.3"/>
    <n v="0.3"/>
    <n v="0.35"/>
    <n v="0.35"/>
    <n v="116.66666666666667"/>
    <n v="100"/>
    <n v="4.9500000000000002E-2"/>
    <n v="100"/>
    <n v="38000000"/>
    <n v="0"/>
    <n v="13000000"/>
    <n v="0"/>
    <n v="0"/>
    <n v="0"/>
    <n v="0"/>
    <n v="25000000"/>
    <n v="50000000"/>
    <n v="50000000"/>
    <n v="0"/>
    <n v="0"/>
    <n v="0"/>
    <n v="0"/>
    <n v="0"/>
    <n v="0"/>
    <n v="0"/>
    <n v="13952115"/>
    <s v="Observatorio Colombiano de Ciencia y Tecnología:"/>
    <n v="9.9000000000000005E-2"/>
    <n v="0.6"/>
    <n v="0.6"/>
    <n v="0.2"/>
    <n v="0.5"/>
    <n v="0.55000001192092896"/>
    <n v="0.55000001192092896"/>
    <n v="91.666668653488159"/>
    <n v="91.666668653488159"/>
    <n v="9.0750001966953278E-2"/>
    <n v="91.666668653488159"/>
    <n v="9.0750001966953278E-2"/>
    <n v="1.6500000000000001E-2"/>
    <n v="0.1"/>
    <n v="0.1"/>
    <n v="0"/>
    <n v="0.1"/>
    <n v="0"/>
    <n v="0"/>
    <n v="0"/>
    <n v="0"/>
    <n v="0"/>
    <n v="55000000"/>
    <n v="30000000"/>
    <n v="0"/>
    <n v="0"/>
    <n v="0"/>
    <n v="0"/>
    <n v="0"/>
    <n v="25000000"/>
    <n v="0"/>
    <n v="0"/>
    <n v="0"/>
    <n v="0"/>
    <n v="0"/>
    <n v="0"/>
    <n v="0"/>
    <n v="0"/>
    <n v="0"/>
    <n v="0"/>
    <n v="0"/>
    <n v="0.90000001192092893"/>
    <n v="0.16500000000000004"/>
    <n v="90.000001192092896"/>
    <n v="90.000001192092896"/>
    <n v="0.14850000196695329"/>
    <n v="0.14850000196695329"/>
    <n v="0.14850000196695329"/>
    <n v="0.99999999999999989"/>
    <n v="0"/>
    <n v="468"/>
    <s v="CUNDINAMARCA, DURANTE EL PERIODO DE GOBIERNO, ASCIENDE 1 PUESTO EN EL FACTOR DE CTI DEL ESCALAFÓN DEPARTAMENTAL DE COMPETITIVIDAD "/>
    <m/>
    <s v=""/>
    <m/>
    <m/>
    <m/>
    <m/>
    <s v="LA CREACION DE UN OBSERVATORIO DEPARTAMENTAL DE CTEI PERMITE A CUNDINAMARCA SER LA PRIMERA ENTIDAD TERRITORIAL CAPAZ DE GENERAR MEDICIONES APROPIADAS E INDICADORES EN MATERIA DE CTEI COHERENTES CON LA REALIDAD TERRITORIAL."/>
    <n v="34000000"/>
    <m/>
    <n v="116"/>
  </r>
  <r>
    <n v="475"/>
    <x v="2"/>
    <x v="19"/>
    <x v="22"/>
    <s v=" INVESTIGACION Y DESARROLLO (I+D)"/>
    <s v="DESARROLLAR 4 SEMANAS DE LA CTEI (LAS CUALES INCLUIRÁN OLIMPIADAS Y COMPETENCIAS), CON PARTICIPACIÓN DE LOS 116 MUNICIPIOS DEL DEPARTAMENTO, DURANTE EL PERÍODO DE GOBIERNO."/>
    <s v=" SEMANAS DE CTEI DESARROLLADAS "/>
    <s v="SEMANAS"/>
    <s v="I"/>
    <n v="0"/>
    <n v="4"/>
    <n v="4"/>
    <n v="0.25"/>
    <n v="6.25E-2"/>
    <n v="1"/>
    <n v="0.25"/>
    <n v="1"/>
    <n v="1"/>
    <n v="100"/>
    <n v="100"/>
    <n v="6.25E-2"/>
    <n v="100"/>
    <n v="180000000"/>
    <n v="180000000"/>
    <n v="0"/>
    <n v="0"/>
    <n v="0"/>
    <n v="0"/>
    <n v="0"/>
    <n v="0"/>
    <n v="87000000"/>
    <n v="47000000"/>
    <n v="0"/>
    <n v="40000000"/>
    <n v="0"/>
    <n v="0"/>
    <n v="0"/>
    <n v="0"/>
    <n v="0"/>
    <n v="0"/>
    <n v="0"/>
    <n v="6.25E-2"/>
    <n v="1"/>
    <n v="0.25"/>
    <n v="1"/>
    <n v="1"/>
    <n v="100"/>
    <n v="100"/>
    <n v="6.25E-2"/>
    <n v="100"/>
    <n v="89000000"/>
    <n v="0"/>
    <n v="39000000"/>
    <n v="0"/>
    <n v="0"/>
    <n v="0"/>
    <n v="0"/>
    <n v="50000000"/>
    <n v="357500000"/>
    <n v="357500000"/>
    <n v="0"/>
    <n v="0"/>
    <n v="0"/>
    <n v="0"/>
    <n v="0"/>
    <n v="0"/>
    <n v="0"/>
    <n v="143468158"/>
    <s v="Colsubsidio_x000a_Uniminuto"/>
    <n v="6.25E-2"/>
    <n v="1"/>
    <n v="0.25"/>
    <n v="0.2"/>
    <n v="0.5"/>
    <n v="1"/>
    <n v="1"/>
    <n v="100"/>
    <n v="100"/>
    <n v="6.25E-2"/>
    <n v="100"/>
    <n v="6.25E-2"/>
    <n v="6.25E-2"/>
    <n v="1"/>
    <n v="0.25"/>
    <n v="1"/>
    <n v="0"/>
    <n v="1"/>
    <n v="100"/>
    <n v="100"/>
    <n v="6.25E-2"/>
    <n v="6.25E-2"/>
    <n v="140000000"/>
    <n v="90000000"/>
    <n v="0"/>
    <n v="0"/>
    <n v="0"/>
    <n v="0"/>
    <n v="0"/>
    <n v="50000000"/>
    <n v="0"/>
    <n v="0"/>
    <n v="0"/>
    <n v="0"/>
    <n v="0"/>
    <n v="0"/>
    <n v="0"/>
    <n v="0"/>
    <n v="0"/>
    <n v="0"/>
    <n v="0"/>
    <n v="4"/>
    <n v="0.25"/>
    <n v="100"/>
    <n v="100"/>
    <n v="0.25"/>
    <n v="0.25"/>
    <n v="0.25"/>
    <n v="1"/>
    <n v="0"/>
    <n v="468"/>
    <s v="CUNDINAMARCA, DURANTE EL PERIODO DE GOBIERNO, ASCIENDE 1 PUESTO EN EL FACTOR DE CTI DEL ESCALAFÓN DEPARTAMENTAL DE COMPETITIVIDAD "/>
    <m/>
    <s v=""/>
    <m/>
    <m/>
    <m/>
    <m/>
    <s v="LA SEMANA DE LA CTEI SE HA CONVERTIDO EN UN ESPACIO DE DEMOCRATIZACION Y APROPIACION DEL CONOCIMIENTO A PARTIR DE ACTIVIDADES DE COCREACION, PROTOTIPADO Y SOCIALIZACION DE INICIATIVAS EN CTEI FOMENTADAS POR JÓVENES INVESTIGADORRES DEL DEPARTEMNTO, EMPRESARIOS Y LÍDERES CUNDINAMARQUESES, ESTE ESPACIO HA LOGRADO POSICIONARSE DE MANERA TAL QUE LAS COMUNIDADES DEMANDAN AÑO A AÑO EL DESARROLLO DE ESTE ENCUENTRO."/>
    <n v="0"/>
    <m/>
    <n v="25"/>
  </r>
  <r>
    <n v="476"/>
    <x v="2"/>
    <x v="0"/>
    <x v="22"/>
    <s v=" INVESTIGACION Y DESARROLLO (I+D)"/>
    <s v="CREAR 2 PROYECTOS DE INVESTIGACIÓN INNOVACIÓN COMPETITIVIDAD Y EMPRENDIMIENTO EN SALUD PÚBLICA, EN EL ÁMBITO MÉDICO-HOSPITALARIO, MEDIO AMBIENTE Y LA BIODIVERSIDAD, Y EN DESARROLLO SOCIAL ECONÓMICO."/>
    <s v=" NO DE PROYECTOS DE INVESTIGACIÓN CREADOS "/>
    <s v="PROYECTOS"/>
    <s v="I"/>
    <n v="0"/>
    <n v="2"/>
    <n v="2"/>
    <n v="0.25"/>
    <n v="0"/>
    <n v="0"/>
    <n v="0"/>
    <n v="0"/>
    <n v="0"/>
    <n v="0"/>
    <n v="0"/>
    <n v="0"/>
    <n v="0"/>
    <n v="1935000000"/>
    <n v="1935000000"/>
    <n v="0"/>
    <n v="0"/>
    <n v="0"/>
    <n v="0"/>
    <n v="0"/>
    <n v="0"/>
    <n v="1935000000"/>
    <n v="1935000000"/>
    <n v="0"/>
    <n v="0"/>
    <n v="0"/>
    <n v="0"/>
    <n v="0"/>
    <n v="0"/>
    <n v="0"/>
    <n v="0"/>
    <n v="0"/>
    <n v="0.125"/>
    <n v="1"/>
    <n v="0.5"/>
    <n v="1"/>
    <n v="1"/>
    <n v="100"/>
    <n v="100"/>
    <n v="0.125"/>
    <n v="100"/>
    <n v="2541000000"/>
    <n v="1956000000"/>
    <n v="585000000"/>
    <n v="0"/>
    <n v="0"/>
    <n v="0"/>
    <n v="0"/>
    <n v="0"/>
    <n v="1243266324"/>
    <n v="1243266324"/>
    <n v="0"/>
    <n v="0"/>
    <n v="0"/>
    <n v="0"/>
    <n v="0"/>
    <n v="0"/>
    <n v="0"/>
    <n v="0"/>
    <n v="0"/>
    <n v="0.125"/>
    <n v="1"/>
    <n v="0.5"/>
    <n v="26"/>
    <n v="1"/>
    <n v="0"/>
    <n v="0"/>
    <n v="0"/>
    <n v="0"/>
    <n v="0"/>
    <n v="0"/>
    <n v="0"/>
    <n v="0"/>
    <n v="0"/>
    <n v="0"/>
    <n v="0"/>
    <n v="0"/>
    <n v="0"/>
    <n v="0"/>
    <n v="0"/>
    <n v="0"/>
    <n v="0"/>
    <n v="3409000000"/>
    <n v="1350000000"/>
    <n v="2059000000"/>
    <n v="0"/>
    <n v="0"/>
    <n v="0"/>
    <n v="0"/>
    <n v="0"/>
    <n v="0"/>
    <n v="0"/>
    <n v="0"/>
    <n v="0"/>
    <n v="0"/>
    <n v="0"/>
    <n v="0"/>
    <n v="0"/>
    <n v="0"/>
    <n v="0"/>
    <n v="0"/>
    <n v="1"/>
    <n v="0.25"/>
    <n v="50"/>
    <n v="50"/>
    <n v="0.125"/>
    <n v="0.125"/>
    <n v="0.125"/>
    <n v="1"/>
    <n v="0"/>
    <n v="468"/>
    <s v="CUNDINAMARCA, DURANTE EL PERIODO DE GOBIERNO, ASCIENDE 1 PUESTO EN EL FACTOR DE CTI DEL ESCALAFÓN DEPARTAMENTAL DE COMPETITIVIDAD "/>
    <m/>
    <s v=""/>
    <m/>
    <m/>
    <m/>
    <m/>
    <s v=""/>
    <n v="33000000"/>
    <m/>
    <n v="3"/>
  </r>
  <r>
    <n v="477"/>
    <x v="2"/>
    <x v="19"/>
    <x v="22"/>
    <s v=" INVESTIGACION Y DESARROLLO (I+D)"/>
    <s v="OTORGAR TRES (3) PREMIOS AL FOMENTO DE LA INNOVACIÓN Y DESARROLLO TECNOLÓGICO DE LOS CUNDINAMARQUESES DESTACADOS EN CTEI, DURANTE EL PERÍODO DE GOBIERNO."/>
    <s v=" NO DE PREMIOS OTORGADOS "/>
    <s v="PREMIOS"/>
    <s v="I"/>
    <n v="0"/>
    <n v="3"/>
    <n v="3"/>
    <n v="0.25"/>
    <n v="0"/>
    <n v="0"/>
    <n v="0"/>
    <n v="0"/>
    <n v="0"/>
    <n v="0"/>
    <n v="0"/>
    <n v="0"/>
    <n v="0"/>
    <n v="0"/>
    <n v="0"/>
    <n v="0"/>
    <n v="0"/>
    <n v="0"/>
    <n v="0"/>
    <n v="0"/>
    <n v="0"/>
    <n v="0"/>
    <n v="0"/>
    <n v="0"/>
    <n v="0"/>
    <n v="0"/>
    <n v="0"/>
    <n v="0"/>
    <n v="0"/>
    <n v="0"/>
    <n v="0"/>
    <n v="0"/>
    <n v="8.3333333333333329E-2"/>
    <n v="1"/>
    <n v="0.33333333333333331"/>
    <n v="1"/>
    <n v="1"/>
    <n v="100"/>
    <n v="100"/>
    <n v="8.3333333333333315E-2"/>
    <n v="100"/>
    <n v="76000000"/>
    <n v="0"/>
    <n v="26000000"/>
    <n v="0"/>
    <n v="0"/>
    <n v="0"/>
    <n v="0"/>
    <n v="50000000"/>
    <n v="100000000"/>
    <n v="100000000"/>
    <n v="0"/>
    <n v="0"/>
    <n v="0"/>
    <n v="0"/>
    <n v="0"/>
    <n v="0"/>
    <n v="0"/>
    <n v="0"/>
    <n v="0"/>
    <n v="8.3333333333333329E-2"/>
    <n v="1"/>
    <n v="0.33333333333333331"/>
    <n v="0.15000000596046448"/>
    <n v="0.34999999403953552"/>
    <n v="1"/>
    <n v="1"/>
    <n v="100"/>
    <n v="100"/>
    <n v="8.3333333333333315E-2"/>
    <n v="100"/>
    <n v="8.3333333333333315E-2"/>
    <n v="8.3333333333333329E-2"/>
    <n v="1"/>
    <n v="0.33333333333333331"/>
    <n v="1"/>
    <n v="0"/>
    <n v="1"/>
    <n v="100"/>
    <n v="100"/>
    <n v="8.3333333333333315E-2"/>
    <n v="8.3333333333333315E-2"/>
    <n v="110000000"/>
    <n v="60000000"/>
    <n v="0"/>
    <n v="0"/>
    <n v="0"/>
    <n v="0"/>
    <n v="0"/>
    <n v="50000000"/>
    <n v="0"/>
    <n v="0"/>
    <n v="0"/>
    <n v="0"/>
    <n v="0"/>
    <n v="0"/>
    <n v="0"/>
    <n v="0"/>
    <n v="0"/>
    <n v="0"/>
    <n v="0"/>
    <n v="3"/>
    <n v="0.25"/>
    <n v="100"/>
    <n v="100"/>
    <n v="0.25"/>
    <n v="0.25"/>
    <n v="0.25"/>
    <n v="1"/>
    <n v="0"/>
    <n v="468"/>
    <s v="CUNDINAMARCA, DURANTE EL PERIODO DE GOBIERNO, ASCIENDE 1 PUESTO EN EL FACTOR DE CTI DEL ESCALAFÓN DEPARTAMENTAL DE COMPETITIVIDAD "/>
    <m/>
    <s v=""/>
    <m/>
    <m/>
    <m/>
    <m/>
    <s v="LOS PREMIOS A LA INNOVACION CONSTITUYEN HOY INCENTIVOS DETERMINANTES EN EL PROCESO DE APROPIACION DE LA CTEI EN EL DEPARTAMENTO, ESTA ESTRATEGIA MOTIVA TANTO A LOS MUNICIPIOS, COMO A LOS EMPRESARIOS Y COMUNIDAD EN GENERAL A PARTIRCIPAR Y HACER PARTE DE LOS PROCESOS DE APROPIACION SOCIAL DE LA CTEI EN EL DEPARTAMENTO, CON EL PROPOSITO DE GENERAR CAPITAL SOCIAL SUFICIENTE PARA SOPORTAR UN PROCESO DE DESARROLLO CON BASE EN CTEI."/>
    <n v="20402000000"/>
    <m/>
    <n v="8"/>
  </r>
  <r>
    <n v="478"/>
    <x v="2"/>
    <x v="19"/>
    <x v="22"/>
    <s v="INNOVACION SOCIAL"/>
    <s v="DINAMIZAR LA CONSOLIDACIÓN DE DOS CENTROS DIRIGIDOS A LA INNOVACIÓN SOCIAL, PRODUCTIVA, RURAL Y MINERA, GESTIÓN DEL CONOCIMIENTO PARA EL DESARROLLO EMPRESARIAL Y SOCIAL, DURANTE EL PERÍODO DE GOBIERNO."/>
    <s v=" NO DE CENTROS DE INNOVACIÓN SOCIAL CONSOLIDADOS"/>
    <s v="CENTROS"/>
    <s v="I"/>
    <n v="0"/>
    <n v="2"/>
    <n v="2"/>
    <n v="0.25"/>
    <n v="3.125E-2"/>
    <n v="0.25"/>
    <n v="0.125"/>
    <n v="0.25"/>
    <n v="0.25"/>
    <n v="100"/>
    <n v="100"/>
    <n v="3.125E-2"/>
    <n v="100"/>
    <n v="35000000"/>
    <n v="35000000"/>
    <n v="0"/>
    <n v="0"/>
    <n v="0"/>
    <n v="0"/>
    <n v="0"/>
    <n v="0"/>
    <n v="50000000"/>
    <n v="50000000"/>
    <n v="0"/>
    <n v="0"/>
    <n v="0"/>
    <n v="0"/>
    <n v="0"/>
    <n v="0"/>
    <n v="0"/>
    <n v="0"/>
    <n v="0"/>
    <n v="6.25E-2"/>
    <n v="0.5"/>
    <n v="0.25"/>
    <n v="0.5"/>
    <n v="0.5"/>
    <n v="100"/>
    <n v="100"/>
    <n v="6.25E-2"/>
    <n v="100"/>
    <n v="500000000"/>
    <n v="0"/>
    <n v="0"/>
    <n v="0"/>
    <n v="0"/>
    <n v="0"/>
    <n v="0"/>
    <n v="500000000"/>
    <n v="49000000"/>
    <n v="49000000"/>
    <n v="0"/>
    <n v="0"/>
    <n v="0"/>
    <n v="0"/>
    <n v="0"/>
    <n v="0"/>
    <n v="0"/>
    <n v="51000000"/>
    <s v="Programa de las Naciones Unidas para el Desarrollo PNUD"/>
    <n v="6.25E-2"/>
    <n v="0.5"/>
    <n v="0.25"/>
    <n v="0.55000001192092896"/>
    <n v="0.55000001192092896"/>
    <n v="0.55000000000000004"/>
    <n v="0.55000000000000004"/>
    <n v="110.00000000000001"/>
    <n v="100"/>
    <n v="6.25E-2"/>
    <n v="100"/>
    <n v="6.8750000000000006E-2"/>
    <n v="9.375E-2"/>
    <n v="0.75"/>
    <n v="0.375"/>
    <n v="0.6"/>
    <n v="0.15000000000000002"/>
    <n v="0.6"/>
    <n v="80"/>
    <n v="80"/>
    <n v="7.4999999999999997E-2"/>
    <n v="7.4999999999999997E-2"/>
    <n v="500000000"/>
    <n v="0"/>
    <n v="0"/>
    <n v="0"/>
    <n v="0"/>
    <n v="0"/>
    <n v="0"/>
    <n v="500000000"/>
    <n v="0"/>
    <n v="0"/>
    <n v="0"/>
    <n v="0"/>
    <n v="0"/>
    <n v="0"/>
    <n v="0"/>
    <n v="0"/>
    <n v="0"/>
    <n v="0"/>
    <n v="0"/>
    <n v="1.9"/>
    <n v="0.25"/>
    <n v="95"/>
    <n v="95"/>
    <n v="0.23749999999999999"/>
    <n v="0.23749999999999999"/>
    <n v="0.23749999999999999"/>
    <n v="1"/>
    <n v="0"/>
    <n v="468"/>
    <s v="CUNDINAMARCA, DURANTE EL PERIODO DE GOBIERNO, ASCIENDE 1 PUESTO EN EL FACTOR DE CTI DEL ESCALAFÓN DEPARTAMENTAL DE COMPETITIVIDAD "/>
    <m/>
    <s v=""/>
    <m/>
    <m/>
    <m/>
    <m/>
    <s v="SE CONTRATO EL ESTUDIOS DE PREFACTIBILIDAD DE UN CENTRO DE INNOVACION ORIENTADO A LA INNOVACION RURAL EN LA PROVINCIA DE SUMAPAZ. ADICIONALMENTE, EN ALIANZA CON EL PROGRAMA DE LAS NACIONES UNIDAS PARA EL DESARROLLO -PNUD-, SE DESARROLLAN ACCIONES ORIENTADAS AL DISEÑO DE LA ESTRATEGIA TÉCNICA PARA LA CONFORMACIÓN DEL CENTRO DE INNOVACIÓN SOCIAL BAJO LA PERSPECTIVA DE LAS METAS ODM EN EL MUNICIPIO DE SOACHA."/>
    <n v="0"/>
    <m/>
    <n v="0"/>
  </r>
  <r>
    <n v="479"/>
    <x v="2"/>
    <x v="19"/>
    <x v="22"/>
    <s v="INNOVACION SOCIAL"/>
    <s v="CREAR Y PONER EN MARCHA UN PROGRAMA EN LOS 5 NODOS REGIONALES PARA LA GENERACIÓN DE LÍDERES INNOVADORES Y GESTORES DE LA CTEI DEL DEPARTAMENTO, DURANTE EL PERÍODO DE GOBIERNO."/>
    <s v=" NO DE PROGRAMAS PUESTOS EN MARCHA "/>
    <s v="PROGRAMA"/>
    <s v="I"/>
    <n v="0"/>
    <n v="1"/>
    <n v="1"/>
    <n v="0.16500000000000001"/>
    <n v="0"/>
    <n v="0"/>
    <n v="0"/>
    <n v="0"/>
    <n v="0"/>
    <n v="0"/>
    <n v="0"/>
    <n v="0"/>
    <n v="0"/>
    <n v="0"/>
    <n v="0"/>
    <n v="0"/>
    <n v="0"/>
    <n v="0"/>
    <n v="0"/>
    <n v="0"/>
    <n v="0"/>
    <n v="0"/>
    <n v="0"/>
    <n v="0"/>
    <n v="0"/>
    <n v="0"/>
    <n v="0"/>
    <n v="0"/>
    <n v="0"/>
    <n v="0"/>
    <n v="0"/>
    <n v="0"/>
    <n v="0.13200000000000001"/>
    <n v="0.8"/>
    <n v="0.8"/>
    <n v="0.3"/>
    <n v="0.3"/>
    <n v="37.5"/>
    <n v="37.5"/>
    <n v="4.9500000000000002E-2"/>
    <n v="37.5"/>
    <n v="113000000"/>
    <n v="0"/>
    <n v="13000000"/>
    <n v="0"/>
    <n v="0"/>
    <n v="0"/>
    <n v="0"/>
    <n v="100000000"/>
    <n v="6670704000"/>
    <n v="500000000"/>
    <n v="0"/>
    <n v="0"/>
    <n v="0"/>
    <n v="6170704000"/>
    <n v="0"/>
    <n v="0"/>
    <n v="0"/>
    <n v="600000000"/>
    <s v="UNIMINUTO"/>
    <n v="1.6500000000000001E-2"/>
    <n v="0.1"/>
    <n v="0.1"/>
    <n v="0.40000000596046448"/>
    <n v="0.6"/>
    <n v="0.7"/>
    <n v="0.7"/>
    <n v="700"/>
    <n v="100"/>
    <n v="1.6500000000000001E-2"/>
    <n v="100"/>
    <n v="0.11550000000000001"/>
    <n v="1.6500000000000001E-2"/>
    <n v="0.1"/>
    <n v="0.1"/>
    <n v="0"/>
    <n v="0.1"/>
    <n v="0"/>
    <n v="0"/>
    <n v="0"/>
    <n v="0"/>
    <n v="0"/>
    <n v="130000000"/>
    <n v="30000000"/>
    <n v="0"/>
    <n v="0"/>
    <n v="0"/>
    <n v="0"/>
    <n v="0"/>
    <n v="100000000"/>
    <n v="0"/>
    <n v="0"/>
    <n v="0"/>
    <n v="0"/>
    <n v="0"/>
    <n v="0"/>
    <n v="0"/>
    <n v="0"/>
    <n v="0"/>
    <n v="0"/>
    <n v="0"/>
    <n v="1"/>
    <n v="0.16500000000000004"/>
    <n v="100"/>
    <n v="100"/>
    <n v="0.16500000000000001"/>
    <n v="0.16500000000000001"/>
    <n v="0.16500000000000001"/>
    <n v="1"/>
    <n v="0"/>
    <n v="468"/>
    <s v="CUNDINAMARCA, DURANTE EL PERIODO DE GOBIERNO, ASCIENDE 1 PUESTO EN EL FACTOR DE CTI DEL ESCALAFÓN DEPARTAMENTAL DE COMPETITIVIDAD "/>
    <m/>
    <s v=""/>
    <m/>
    <m/>
    <m/>
    <m/>
    <s v="LA FORMACION EN MATERIA DE INNOVACION Y CIENCIA Y TECNOLOGIA SON ESTRATEGIAS IMPRESCINDIBLES PARA PROMOVER LA APROPIACION DEL CONOCIMIENTO EN LO LOCAL. CUNDINAMARCA HA LOGRADO FORMAR MAS DE 1000 LIDERES INNOVADORES A PARTIR DE LOS PROYECTOS LIDERADOS POR LA SECRETARIA DE CTEI EN TRES AÑOS DE FUNCIONAMIENTO."/>
    <n v="1300000000"/>
    <m/>
    <n v="2"/>
  </r>
  <r>
    <n v="480"/>
    <x v="2"/>
    <x v="19"/>
    <x v="22"/>
    <s v="INNOVACION SOCIAL"/>
    <s v="OPERATIVIZAR Y PONER EN MARCHA 4 CONSEJOS REGIONALES DE CTEI, DURANTE EL PERÍODO DE GOBIERNO."/>
    <s v=" NO DE CONSEJOS REGIONALES DE CTEI OPERATIVIZADOS"/>
    <s v="CONSEJOS"/>
    <s v="I"/>
    <n v="1"/>
    <n v="5"/>
    <n v="4"/>
    <n v="0.16500000000000001"/>
    <n v="4.1250000000000002E-2"/>
    <n v="1"/>
    <n v="0.25"/>
    <n v="0.5"/>
    <n v="0.5"/>
    <n v="50"/>
    <n v="50"/>
    <n v="2.0625000000000001E-2"/>
    <n v="50"/>
    <n v="15000000"/>
    <n v="15000000"/>
    <n v="0"/>
    <n v="0"/>
    <n v="0"/>
    <n v="0"/>
    <n v="0"/>
    <n v="0"/>
    <n v="0"/>
    <n v="0"/>
    <n v="0"/>
    <n v="0"/>
    <n v="0"/>
    <n v="0"/>
    <n v="0"/>
    <n v="0"/>
    <n v="0"/>
    <n v="0"/>
    <n v="0"/>
    <n v="8.2500000000000004E-2"/>
    <n v="2"/>
    <n v="0.5"/>
    <n v="0.3"/>
    <n v="0.3"/>
    <n v="15"/>
    <n v="15"/>
    <n v="1.2375000000000001E-2"/>
    <n v="15"/>
    <n v="63000000"/>
    <n v="0"/>
    <n v="13000000"/>
    <n v="0"/>
    <n v="0"/>
    <n v="0"/>
    <n v="0"/>
    <n v="50000000"/>
    <n v="100000000"/>
    <n v="100000000"/>
    <n v="0"/>
    <n v="0"/>
    <n v="0"/>
    <n v="0"/>
    <n v="0"/>
    <n v="0"/>
    <n v="0"/>
    <n v="0"/>
    <n v="0"/>
    <n v="3.3000000000000002E-2"/>
    <n v="0.8"/>
    <n v="0.2"/>
    <n v="0.3"/>
    <n v="0.60000002384185791"/>
    <n v="2.2000000000000002"/>
    <n v="2.2000000000000002"/>
    <n v="275"/>
    <n v="100"/>
    <n v="3.3000000000000002E-2"/>
    <n v="100"/>
    <n v="9.0750000000000011E-2"/>
    <n v="8.2500000000000004E-3"/>
    <n v="0.2"/>
    <n v="0.05"/>
    <n v="2"/>
    <n v="-1.8"/>
    <n v="2"/>
    <n v="1000"/>
    <n v="100"/>
    <n v="8.2500000000000004E-3"/>
    <n v="8.2500000000000004E-2"/>
    <n v="80000000"/>
    <n v="30000000"/>
    <n v="0"/>
    <n v="0"/>
    <n v="0"/>
    <n v="0"/>
    <n v="0"/>
    <n v="50000000"/>
    <n v="0"/>
    <n v="0"/>
    <n v="0"/>
    <n v="0"/>
    <n v="0"/>
    <n v="0"/>
    <n v="0"/>
    <n v="0"/>
    <n v="0"/>
    <n v="0"/>
    <n v="0"/>
    <n v="5"/>
    <n v="0.16500000000000001"/>
    <n v="125"/>
    <n v="100"/>
    <n v="0.16500000000000001"/>
    <n v="0.16500000000000001"/>
    <n v="0.16500000000000001"/>
    <n v="1"/>
    <n v="0"/>
    <n v="468"/>
    <s v="CUNDINAMARCA, DURANTE EL PERIODO DE GOBIERNO, ASCIENDE 1 PUESTO EN EL FACTOR DE CTI DEL ESCALAFÓN DEPARTAMENTAL DE COMPETITIVIDAD "/>
    <m/>
    <s v=""/>
    <m/>
    <m/>
    <m/>
    <m/>
    <s v="A LA FECHA, CUNDINAMARCA ES LA PRIMERA ENTIDAD TERRITORIAL QUE HA PROPUESTO Y PUESTO EN MARCHA INSTANCIAS DE PARTICIPACION PARA LA PROMOCION Y APROPIACION DE LA CTEI. ES ASI COMO A LA FECHA SE CUENTA CON 5 CONSEJOS REGIONALES CE CTEI QUE CONCENTRAN A LOS DIFERENTES MUNICIPIOS DEL DEPARTAMENTO PARA LA GENERACION DE INICIATIVAS EN MATERIA DE CTEI."/>
    <n v="500000000"/>
    <m/>
    <n v="5"/>
  </r>
  <r>
    <n v="481"/>
    <x v="2"/>
    <x v="19"/>
    <x v="22"/>
    <s v="INNOVACION RURAL"/>
    <s v="APOYAR LA CONSOLIDACIÓN DEL CORREDOR TECNOLÓGICO AGROINDUSTRIAL COMO UN CENTRO DE PROMOCIÓN DE LA INNOVACIÓN PARA EL SECTOR AGROPECUARIO, DURANTE EL PERÍODO DE GOBIERNO."/>
    <s v=" CORREDORES TECNOLÓGICOS CONSOLIDADOS "/>
    <s v="CORREDORES"/>
    <s v="I"/>
    <n v="0"/>
    <n v="1"/>
    <n v="1"/>
    <n v="0.25"/>
    <n v="6.25E-2"/>
    <n v="0.25"/>
    <n v="0.25"/>
    <n v="0.25"/>
    <n v="0.25"/>
    <n v="100"/>
    <n v="100"/>
    <n v="6.25E-2"/>
    <n v="100"/>
    <n v="0"/>
    <n v="0"/>
    <n v="0"/>
    <n v="0"/>
    <n v="0"/>
    <n v="0"/>
    <n v="0"/>
    <n v="0"/>
    <n v="0"/>
    <n v="0"/>
    <n v="0"/>
    <n v="0"/>
    <n v="0"/>
    <n v="0"/>
    <n v="0"/>
    <n v="0"/>
    <n v="0"/>
    <n v="0"/>
    <n v="0"/>
    <n v="0.13750000000000001"/>
    <n v="0.55000000000000004"/>
    <n v="0.55000000000000004"/>
    <n v="0.55000000000000004"/>
    <n v="0.55000000000000004"/>
    <n v="100"/>
    <n v="100"/>
    <n v="0.13750000000000001"/>
    <n v="100"/>
    <n v="4359000000"/>
    <n v="0"/>
    <n v="39000000"/>
    <n v="0"/>
    <n v="0"/>
    <n v="0"/>
    <n v="0"/>
    <n v="4320000000"/>
    <n v="17169536582"/>
    <n v="6368400"/>
    <n v="0"/>
    <n v="0"/>
    <n v="0"/>
    <n v="17163168182"/>
    <n v="0"/>
    <n v="0"/>
    <n v="0"/>
    <n v="6655000000"/>
    <s v="UNIVERSIDAD NACIONAL DE COLOMBIA"/>
    <n v="2.5000000000000001E-2"/>
    <n v="0.1"/>
    <n v="0.1"/>
    <n v="0.1"/>
    <n v="0.2"/>
    <n v="0.1"/>
    <n v="0.1"/>
    <n v="100"/>
    <n v="100"/>
    <n v="2.5000000000000001E-2"/>
    <n v="100"/>
    <n v="2.5000000000000001E-2"/>
    <n v="2.5000000000000001E-2"/>
    <n v="0.1"/>
    <n v="0.1"/>
    <n v="0"/>
    <n v="0.1"/>
    <n v="0"/>
    <n v="0"/>
    <n v="0"/>
    <n v="0"/>
    <n v="0"/>
    <n v="4410000000"/>
    <n v="90000000"/>
    <n v="0"/>
    <n v="0"/>
    <n v="0"/>
    <n v="0"/>
    <n v="0"/>
    <n v="4320000000"/>
    <n v="0"/>
    <n v="0"/>
    <n v="0"/>
    <n v="0"/>
    <n v="0"/>
    <n v="0"/>
    <n v="0"/>
    <n v="0"/>
    <n v="0"/>
    <n v="0"/>
    <n v="0"/>
    <n v="0.9"/>
    <n v="0.25"/>
    <n v="90"/>
    <n v="90"/>
    <n v="0.22500000000000001"/>
    <n v="0.22500000000000001"/>
    <n v="0.22500000000000001"/>
    <n v="1"/>
    <n v="0"/>
    <n v="468"/>
    <s v="CUNDINAMARCA, DURANTE EL PERIODO DE GOBIERNO, ASCIENDE 1 PUESTO EN EL FACTOR DE CTI DEL ESCALAFÓN DEPARTAMENTAL DE COMPETITIVIDAD "/>
    <m/>
    <s v=""/>
    <m/>
    <m/>
    <m/>
    <m/>
    <s v="SE FIRMÓ UN CONVENIO CON LA UNIVERSIDAD NACIONAL DE COLOMBIA Y LA SECRETARIA DISTRITAL DE DESARROLLO ECONOMICA EN EL MARCO DEL CUAL SE LLEVARÁ A CABO LA EJECUCION DEL PROYECTO APROBADO POR EL OCAD DE CTEI DEL SGR."/>
    <n v="5202000000"/>
    <m/>
    <n v="5"/>
  </r>
  <r>
    <n v="482"/>
    <x v="2"/>
    <x v="19"/>
    <x v="22"/>
    <s v="INNOVACION RURAL"/>
    <s v="PROMOVER LA EJECUCIÓN DE DOS (2) PROYECTOS ORIENTADOS AL FORTALECIMIENTO DE LAS CAPACIDADES Y COMPETENCIAS REQUERIDAS PARA LA GENERACIÓN DE CONOCIMIENTO Y TRANSFERENCIA DE TECNOLOGÍA ENFOCADAS HACIA EL FOMENTO DE LA CONVERGENCIA TECNOLÓGICA (TIC'S, BIOTEC"/>
    <s v=" NO DE PROYECTOS DE FORTALECIMIENTO DE CAPACIDADES Y COMPETENCIAS EJECUTADOS"/>
    <s v="PROYECTOS"/>
    <s v="I"/>
    <n v="0"/>
    <n v="2"/>
    <n v="2"/>
    <n v="0.16500000000000001"/>
    <n v="0"/>
    <n v="0"/>
    <n v="0"/>
    <n v="0"/>
    <n v="0"/>
    <n v="0"/>
    <n v="0"/>
    <n v="0"/>
    <n v="0"/>
    <n v="0"/>
    <n v="0"/>
    <n v="0"/>
    <n v="0"/>
    <n v="0"/>
    <n v="0"/>
    <n v="0"/>
    <n v="0"/>
    <n v="0"/>
    <n v="0"/>
    <n v="0"/>
    <n v="0"/>
    <n v="0"/>
    <n v="0"/>
    <n v="0"/>
    <n v="0"/>
    <n v="0"/>
    <n v="0"/>
    <n v="0"/>
    <n v="8.2500000000000004E-2"/>
    <n v="1"/>
    <n v="0.5"/>
    <n v="3"/>
    <n v="3"/>
    <n v="300"/>
    <n v="100"/>
    <n v="8.2500000000000004E-2"/>
    <n v="100"/>
    <n v="500000000"/>
    <n v="0"/>
    <n v="0"/>
    <n v="0"/>
    <n v="0"/>
    <n v="0"/>
    <n v="0"/>
    <n v="500000000"/>
    <n v="2875000000"/>
    <n v="40000000"/>
    <n v="0"/>
    <n v="0"/>
    <n v="0"/>
    <n v="2835000000"/>
    <n v="0"/>
    <n v="0"/>
    <n v="0"/>
    <n v="3210794147"/>
    <s v="Cámara de Comercio de Bogotá:_x000a_Invest in Bogotá_x000a_Centro Internacional de Física"/>
    <n v="8.2500000000000004E-2"/>
    <n v="1"/>
    <n v="0.5"/>
    <n v="1"/>
    <n v="1"/>
    <n v="2"/>
    <n v="2"/>
    <n v="200"/>
    <n v="100"/>
    <n v="8.2500000000000004E-2"/>
    <n v="100"/>
    <n v="0.16500000000000001"/>
    <n v="0"/>
    <n v="0"/>
    <n v="0"/>
    <n v="0"/>
    <n v="0"/>
    <n v="0"/>
    <n v="0"/>
    <n v="0"/>
    <n v="0"/>
    <n v="0"/>
    <n v="500000000"/>
    <n v="0"/>
    <n v="0"/>
    <n v="0"/>
    <n v="0"/>
    <n v="0"/>
    <n v="0"/>
    <n v="500000000"/>
    <n v="0"/>
    <n v="0"/>
    <n v="0"/>
    <n v="0"/>
    <n v="0"/>
    <n v="0"/>
    <n v="0"/>
    <n v="0"/>
    <n v="0"/>
    <n v="0"/>
    <n v="0"/>
    <n v="5"/>
    <n v="0.16500000000000001"/>
    <n v="250"/>
    <n v="100"/>
    <n v="0.16500000000000001"/>
    <n v="0.16500000000000001"/>
    <n v="0.16500000000000001"/>
    <n v="1"/>
    <n v="0"/>
    <n v="468"/>
    <s v="CUNDINAMARCA, DURANTE EL PERIODO DE GOBIERNO, ASCIENDE 1 PUESTO EN EL FACTOR DE CTI DEL ESCALAFÓN DEPARTAMENTAL DE COMPETITIVIDAD "/>
    <m/>
    <s v=""/>
    <m/>
    <m/>
    <m/>
    <m/>
    <s v="SE CUENTA CON CINCO (5) PROYECTOS APROBADOS POR EL OCAD DEL FONDO CTEI DEL SGR ORIENTADOS AL FORTALECIMIENTO DE LAS CAPACIDADES Y COMPETENCIAS REQUERIDAS PARA LA GENERACIÓN DE CONOCIMIENTO Y TRANSFERENCIA DE TECNOLOGÍA ENFOCADAS HACIA EL FOMENTO DE LA CONVERGENCIA TECNOLÓGICA (TIC'S, BIOTECNOLOGÍA Y GESTIÓN SOSTENIBLE, APROVECHAMIENTO DE LOS RECURSOS GENÉTICOS."/>
    <n v="1231000000"/>
    <m/>
    <n v="1"/>
  </r>
  <r>
    <n v="483"/>
    <x v="2"/>
    <x v="19"/>
    <x v="22"/>
    <s v="INNOVACION PRODUCTIVA "/>
    <s v="DESARROLLAR TRES PROGRAMAS PARA EL FOMENTO DEL EMPRENDIMIENTO DE BASE TECNOLÓGICA O INNOVADORA DURANTE EL PERÍODO DE GOBIERNO."/>
    <s v=" NO DE PROGRAMAS DE EMPRENDIMIENTO DESARROLLADOS"/>
    <s v="PROGRAMA"/>
    <s v="I"/>
    <n v="0"/>
    <n v="3"/>
    <n v="3"/>
    <n v="0.25"/>
    <n v="0"/>
    <n v="0"/>
    <n v="0"/>
    <n v="0"/>
    <n v="0"/>
    <n v="0"/>
    <n v="0"/>
    <n v="0"/>
    <n v="0"/>
    <n v="0"/>
    <n v="0"/>
    <n v="0"/>
    <n v="0"/>
    <n v="0"/>
    <n v="0"/>
    <n v="0"/>
    <n v="0"/>
    <n v="0"/>
    <n v="0"/>
    <n v="0"/>
    <n v="0"/>
    <n v="0"/>
    <n v="0"/>
    <n v="0"/>
    <n v="0"/>
    <n v="0"/>
    <n v="0"/>
    <n v="0"/>
    <n v="8.3333333333333329E-2"/>
    <n v="1"/>
    <n v="0.33333333333333331"/>
    <n v="1"/>
    <n v="1"/>
    <n v="100"/>
    <n v="100"/>
    <n v="8.3333333333333315E-2"/>
    <n v="100"/>
    <n v="250000000"/>
    <n v="0"/>
    <n v="0"/>
    <n v="0"/>
    <n v="0"/>
    <n v="0"/>
    <n v="0"/>
    <n v="250000000"/>
    <n v="135000000"/>
    <n v="135000000"/>
    <n v="0"/>
    <n v="0"/>
    <n v="0"/>
    <n v="0"/>
    <n v="0"/>
    <n v="0"/>
    <n v="0"/>
    <n v="35000000"/>
    <s v="Cámara de comercio de Girardot"/>
    <n v="8.3333333333333329E-2"/>
    <n v="1"/>
    <n v="0.33333333333333331"/>
    <n v="1"/>
    <n v="0.40000000596046448"/>
    <n v="1"/>
    <n v="1"/>
    <n v="100"/>
    <n v="100"/>
    <n v="8.3333333333333315E-2"/>
    <n v="100"/>
    <n v="8.3333333333333315E-2"/>
    <n v="8.3333333333333329E-2"/>
    <n v="1"/>
    <n v="0.33333333333333331"/>
    <n v="1"/>
    <n v="0"/>
    <n v="1"/>
    <n v="100"/>
    <n v="100"/>
    <n v="8.3333333333333315E-2"/>
    <n v="8.3333333333333315E-2"/>
    <n v="250000000"/>
    <n v="0"/>
    <n v="0"/>
    <n v="0"/>
    <n v="0"/>
    <n v="0"/>
    <n v="0"/>
    <n v="250000000"/>
    <n v="0"/>
    <n v="0"/>
    <n v="0"/>
    <n v="0"/>
    <n v="0"/>
    <n v="0"/>
    <n v="0"/>
    <n v="0"/>
    <n v="0"/>
    <n v="0"/>
    <n v="0"/>
    <n v="3"/>
    <n v="0.25"/>
    <n v="100"/>
    <n v="100"/>
    <n v="0.25"/>
    <n v="0.25"/>
    <n v="0.25"/>
    <n v="1"/>
    <n v="0"/>
    <n v="468"/>
    <s v="CUNDINAMARCA, DURANTE EL PERIODO DE GOBIERNO, ASCIENDE 1 PUESTO EN EL FACTOR DE CTI DEL ESCALAFÓN DEPARTAMENTAL DE COMPETITIVIDAD "/>
    <m/>
    <s v=""/>
    <m/>
    <m/>
    <m/>
    <m/>
    <s v="A LA FECHA SE HAN DESARROLLADO TRES (3) PROGRAMAS PARA LA FORMACION DE EMPRESARIOS Y EMPRENDEDORES EN EL FOMENTO DEL EMPRENDIMIENTO E INNOVACION DE BASE TECNOLOGICA, LO CUAL HA PERMITIDO BRINDAR HERRAMIENTAS PARA EL MEJORAMIENTO PRODUCTIVO DEL DEPARTAMENTO."/>
    <n v="1500000000"/>
    <m/>
    <n v="6"/>
  </r>
  <r>
    <n v="484"/>
    <x v="2"/>
    <x v="19"/>
    <x v="22"/>
    <s v="INNOVACION PRODUCTIVA "/>
    <s v="DISEÑAR Y EJECUTAR DURANTE EL PERÍODO DE GOBIERNO, UN (1) PROGRAMA DE PROMOCIÓN, APROPIACIÓN Y USO DE LA PROPIEDAD INTELECTUAL EN EL DEPARTAMENTO"/>
    <s v=" NO DE PROGRAMAS QUE PROMUEVEN APROPIACIÓN INTELECTUAL - PI "/>
    <s v="PROGRAMA"/>
    <s v="I"/>
    <n v="0"/>
    <n v="1"/>
    <n v="1"/>
    <n v="0.25"/>
    <n v="0"/>
    <n v="0"/>
    <n v="0"/>
    <n v="0"/>
    <n v="0"/>
    <n v="0"/>
    <n v="0"/>
    <n v="0"/>
    <n v="0"/>
    <n v="0"/>
    <n v="0"/>
    <n v="0"/>
    <n v="0"/>
    <n v="0"/>
    <n v="0"/>
    <n v="0"/>
    <n v="0"/>
    <n v="0"/>
    <n v="0"/>
    <n v="0"/>
    <n v="0"/>
    <n v="0"/>
    <n v="0"/>
    <n v="0"/>
    <n v="0"/>
    <n v="0"/>
    <n v="0"/>
    <n v="0"/>
    <n v="0.2"/>
    <n v="0.8"/>
    <n v="0.8"/>
    <n v="0.8"/>
    <n v="0.8"/>
    <n v="100"/>
    <n v="100"/>
    <n v="0.2"/>
    <n v="100"/>
    <n v="151000000"/>
    <n v="0"/>
    <n v="26000000"/>
    <n v="0"/>
    <n v="0"/>
    <n v="0"/>
    <n v="0"/>
    <n v="125000000"/>
    <n v="29250000"/>
    <n v="29250000"/>
    <n v="0"/>
    <n v="0"/>
    <n v="0"/>
    <n v="0"/>
    <n v="0"/>
    <n v="0"/>
    <n v="0"/>
    <n v="0"/>
    <n v="0"/>
    <n v="2.5000000000000001E-2"/>
    <n v="0.1"/>
    <n v="0.1"/>
    <n v="2.9999999329447746E-2"/>
    <n v="3.9999999105930328E-2"/>
    <n v="0.10000000149011612"/>
    <n v="0.10000000149011612"/>
    <n v="100.00000149011612"/>
    <n v="100"/>
    <n v="2.5000000000000001E-2"/>
    <n v="100"/>
    <n v="2.500000037252903E-2"/>
    <n v="2.5000000000000001E-2"/>
    <n v="0.1"/>
    <n v="0.1"/>
    <n v="0.1"/>
    <n v="0"/>
    <n v="0.1"/>
    <n v="100"/>
    <n v="100"/>
    <n v="2.5000000000000001E-2"/>
    <n v="2.5000000000000001E-2"/>
    <n v="185000000"/>
    <n v="60000000"/>
    <n v="0"/>
    <n v="0"/>
    <n v="0"/>
    <n v="0"/>
    <n v="0"/>
    <n v="125000000"/>
    <n v="0"/>
    <n v="0"/>
    <n v="0"/>
    <n v="0"/>
    <n v="0"/>
    <n v="0"/>
    <n v="0"/>
    <n v="0"/>
    <n v="0"/>
    <n v="0"/>
    <n v="0"/>
    <n v="1.0000000014901163"/>
    <n v="0.25"/>
    <n v="100.00000014901163"/>
    <n v="100"/>
    <n v="0.25"/>
    <n v="0.25"/>
    <n v="0.25"/>
    <n v="1"/>
    <n v="0"/>
    <n v="468"/>
    <s v="CUNDINAMARCA, DURANTE EL PERIODO DE GOBIERNO, ASCIENDE 1 PUESTO EN EL FACTOR DE CTI DEL ESCALAFÓN DEPARTAMENTAL DE COMPETITIVIDAD "/>
    <m/>
    <s v=""/>
    <m/>
    <m/>
    <m/>
    <m/>
    <s v="SE CUENTA A LA FECHA CON UN DIAGNOSTICO QUE HA PERMITIDO ESTABLECER RECOMENDACIONES PARA LOS SECTORES INDAGADOS (MANUFACTURERO, ALIMENTOS, TICS, ENTRETENIMIENTO, TURISMO Y AGROPECUARIO) PARA EL PROCESO DE APROPIACION DE INTANGIBLES EN EL DEPARTAMENTO."/>
    <n v="800000000"/>
    <m/>
    <n v="0"/>
  </r>
  <r>
    <n v="485"/>
    <x v="2"/>
    <x v="19"/>
    <x v="22"/>
    <s v="INNOVACION PRODUCTIVA "/>
    <s v="DISEÑAR Y PONER EN MARCHA DOS BANCOS DE CONOCIMIENTO: UNO DE PROYECTOS DE CTEI Y OTRO DE SABERES TRADICIONALES Y BIODIVERSIDAD DEL DEPARTAMENTO DURANTE EL PERÍODO DE GOBIERNO."/>
    <s v=" NO DE BANCOS DE CONOCIMIENTO EN SERVICIO"/>
    <s v="BANCOS"/>
    <s v="I"/>
    <n v="0"/>
    <n v="2"/>
    <n v="2"/>
    <n v="0.25"/>
    <n v="0"/>
    <n v="0"/>
    <n v="0"/>
    <n v="0"/>
    <n v="0"/>
    <n v="0"/>
    <n v="0"/>
    <n v="0"/>
    <n v="0"/>
    <n v="0"/>
    <n v="0"/>
    <n v="0"/>
    <n v="0"/>
    <n v="0"/>
    <n v="0"/>
    <n v="0"/>
    <n v="0"/>
    <n v="0"/>
    <n v="0"/>
    <n v="0"/>
    <n v="0"/>
    <n v="0"/>
    <n v="0"/>
    <n v="0"/>
    <n v="0"/>
    <n v="0"/>
    <n v="0"/>
    <n v="0"/>
    <n v="0"/>
    <n v="0"/>
    <n v="0"/>
    <n v="1"/>
    <n v="1"/>
    <n v="0"/>
    <n v="0"/>
    <n v="0"/>
    <n v="100"/>
    <n v="651000000"/>
    <n v="0"/>
    <n v="26000000"/>
    <n v="0"/>
    <n v="0"/>
    <n v="0"/>
    <n v="0"/>
    <n v="625000000"/>
    <n v="86000000"/>
    <n v="86000000"/>
    <n v="0"/>
    <n v="0"/>
    <n v="0"/>
    <n v="0"/>
    <n v="0"/>
    <n v="0"/>
    <n v="0"/>
    <n v="16000000"/>
    <s v="Universidad de los Andes"/>
    <n v="0.125"/>
    <n v="1"/>
    <n v="0.5"/>
    <n v="1"/>
    <n v="1"/>
    <n v="1"/>
    <n v="1"/>
    <n v="100"/>
    <n v="100"/>
    <n v="0.125"/>
    <n v="100"/>
    <n v="0.125"/>
    <n v="0.125"/>
    <n v="1"/>
    <n v="0.5"/>
    <n v="1"/>
    <n v="0"/>
    <n v="1"/>
    <n v="100"/>
    <n v="100"/>
    <n v="0.125"/>
    <n v="0.125"/>
    <n v="685000000"/>
    <n v="60000000"/>
    <n v="0"/>
    <n v="0"/>
    <n v="0"/>
    <n v="0"/>
    <n v="0"/>
    <n v="625000000"/>
    <n v="0"/>
    <n v="0"/>
    <n v="0"/>
    <n v="0"/>
    <n v="0"/>
    <n v="0"/>
    <n v="0"/>
    <n v="0"/>
    <n v="0"/>
    <n v="0"/>
    <n v="0"/>
    <n v="3"/>
    <n v="0.25"/>
    <n v="150"/>
    <n v="100"/>
    <n v="0.25"/>
    <n v="0.25"/>
    <n v="0.25"/>
    <n v="1"/>
    <n v="0"/>
    <n v="468"/>
    <s v="CUNDINAMARCA, DURANTE EL PERIODO DE GOBIERNO, ASCIENDE 1 PUESTO EN EL FACTOR DE CTI DEL ESCALAFÓN DEPARTAMENTAL DE COMPETITIVIDAD "/>
    <m/>
    <s v=""/>
    <m/>
    <m/>
    <m/>
    <m/>
    <s v="SE ACOMPAÑÓ LA FORMULACION DE UN PROYECTO SOBRE EL ESTUDIO DE LA DIVERSIDAD DE ORQUIDEAS NATIVAS EN EL DEPARTAMENTO, EL CUAL HARÁ PARTE DEL BANCO DE PROYECTOS EN CTEI Y BIODIVERSIDAD PREVISTOS EN EL PLAN DE DESARROLLO. ADICIONALMENTE, SE CREÓ EL BANCO DE SABERES TRADICIONALES, EL CUAL CUENTA CON UN PUBLICACION DEDIDCADA A RECURPERAR PARTE DE LA MEMORIA HISTORICA DEL DEPARTAMENTO, LA CUAL FUE LANZADA EN EL AÑO DEL BICENTENARIO DE CUNDINAMARCA. "/>
    <n v="0"/>
    <m/>
    <n v="0"/>
  </r>
  <r>
    <n v="487"/>
    <x v="2"/>
    <x v="5"/>
    <x v="23"/>
    <s v="GESTIÓN DEL DESTINO"/>
    <s v="FORMAR DURANTE EL CUATRIENIO 40 ORIENTADORES TURÍSTICOS BILINGÜES A NIVEL (B1) "/>
    <s v="NO ORIENTADORES TURÍSTICOS BILINGÜES FORMADOS NIVEL (B1) VINCULADOS A LA ACTIVIDAD TURÍSTICA"/>
    <s v="PERSONAS"/>
    <s v="I"/>
    <n v="0"/>
    <n v="40"/>
    <n v="40"/>
    <n v="0.16500000000000001"/>
    <n v="0"/>
    <n v="0"/>
    <n v="0"/>
    <n v="0"/>
    <n v="0"/>
    <n v="0"/>
    <n v="0"/>
    <n v="0"/>
    <n v="0"/>
    <n v="0"/>
    <n v="0"/>
    <n v="0"/>
    <n v="0"/>
    <n v="0"/>
    <n v="0"/>
    <n v="0"/>
    <n v="0"/>
    <n v="0"/>
    <n v="0"/>
    <n v="0"/>
    <n v="0"/>
    <n v="0"/>
    <n v="0"/>
    <n v="0"/>
    <n v="0"/>
    <n v="0"/>
    <n v="0"/>
    <n v="0"/>
    <n v="4.1250000000000002E-2"/>
    <n v="10"/>
    <n v="0.25"/>
    <n v="0"/>
    <n v="0"/>
    <n v="0"/>
    <n v="0"/>
    <n v="0"/>
    <n v="0"/>
    <n v="20000000"/>
    <n v="0"/>
    <n v="10000000"/>
    <n v="0"/>
    <n v="0"/>
    <n v="0"/>
    <n v="0"/>
    <n v="10000000"/>
    <n v="0"/>
    <n v="0"/>
    <n v="0"/>
    <n v="0"/>
    <n v="0"/>
    <n v="0"/>
    <n v="0"/>
    <n v="0"/>
    <n v="0"/>
    <n v="0"/>
    <n v="0"/>
    <n v="6.1874999999999999E-2"/>
    <n v="15"/>
    <n v="0.375"/>
    <n v="0"/>
    <n v="0"/>
    <n v="0"/>
    <n v="0"/>
    <n v="0"/>
    <n v="0"/>
    <n v="0"/>
    <n v="0"/>
    <n v="0"/>
    <n v="6.1874999999999999E-2"/>
    <n v="15"/>
    <n v="0.375"/>
    <n v="34"/>
    <n v="-19"/>
    <n v="34"/>
    <n v="226.66666666666666"/>
    <n v="100"/>
    <n v="6.1874999999999999E-2"/>
    <n v="0.14024999999999999"/>
    <n v="25000000"/>
    <n v="10000000"/>
    <n v="0"/>
    <n v="0"/>
    <n v="0"/>
    <n v="0"/>
    <n v="0"/>
    <n v="15000000"/>
    <n v="0"/>
    <n v="0"/>
    <n v="0"/>
    <n v="0"/>
    <n v="0"/>
    <n v="0"/>
    <n v="0"/>
    <n v="0"/>
    <n v="0"/>
    <n v="0"/>
    <n v="0"/>
    <n v="34"/>
    <n v="0.16499999999999998"/>
    <n v="85"/>
    <n v="85"/>
    <n v="0.14025000000000001"/>
    <n v="0.14025000000000001"/>
    <n v="0.14025000000000001"/>
    <n v="1"/>
    <n v="0"/>
    <n v="486"/>
    <s v="POSICIONAR 4 DESTINOS TURÍSTICOS DE CUNDINAMARCA"/>
    <m/>
    <s v=""/>
    <m/>
    <m/>
    <m/>
    <m/>
    <s v="SE HA AVANZADO EN LA CAPACITACIÓN DE ORIENTADORES TURÍSTICOS EN BILINGÜISMO EN LOS NIVELES A1 (97 PERSONAS) Y A2 (30 PERSONAS) DE ESTA FORMA AMPLIAR LOS SERVICIOS TURÍSTICOS OFRECIDOS Y ATRAER TURISMO EXTRANJERO."/>
    <n v="1600000000"/>
    <m/>
    <n v="0"/>
  </r>
  <r>
    <n v="488"/>
    <x v="2"/>
    <x v="5"/>
    <x v="23"/>
    <s v="GESTIÓN DEL DESTINO"/>
    <s v="FORTALECER DURANTE EL CUATRIENIO A 1.500 PERSONAS VINCULADAS CON LA ACTIVIDAD TURÍSTICA EN CUNDINAMARCA, EN GESTIÓN TURÍSTICA CON PROCESOS DE FORMACIÓN"/>
    <s v="NO PERSONAS CON CAPACIDADES FORTALECIDAS EN GESTIÓN TURÍSTICA "/>
    <s v="PERSONAS"/>
    <s v="I"/>
    <n v="2000"/>
    <n v="3500"/>
    <n v="1500"/>
    <n v="0.16500000000000001"/>
    <n v="0"/>
    <n v="0"/>
    <n v="0"/>
    <n v="0"/>
    <n v="0"/>
    <n v="0"/>
    <n v="0"/>
    <n v="0"/>
    <n v="0"/>
    <n v="0"/>
    <n v="0"/>
    <n v="0"/>
    <n v="0"/>
    <n v="0"/>
    <n v="0"/>
    <n v="0"/>
    <n v="0"/>
    <n v="0"/>
    <n v="0"/>
    <n v="0"/>
    <n v="0"/>
    <n v="0"/>
    <n v="0"/>
    <n v="0"/>
    <n v="0"/>
    <n v="0"/>
    <n v="0"/>
    <n v="0"/>
    <n v="3.3000000000000002E-2"/>
    <n v="300"/>
    <n v="0.2"/>
    <n v="502"/>
    <n v="502"/>
    <n v="167.33333333333334"/>
    <n v="100"/>
    <n v="3.3000000000000002E-2"/>
    <n v="100"/>
    <n v="189000000"/>
    <n v="0"/>
    <n v="114000000"/>
    <n v="0"/>
    <n v="0"/>
    <n v="0"/>
    <n v="0"/>
    <n v="75000000"/>
    <n v="0"/>
    <n v="0"/>
    <n v="0"/>
    <n v="0"/>
    <n v="0"/>
    <n v="0"/>
    <n v="0"/>
    <n v="0"/>
    <n v="0"/>
    <n v="0"/>
    <n v="0"/>
    <n v="6.6000000000000003E-2"/>
    <n v="600"/>
    <n v="0.4"/>
    <n v="1"/>
    <n v="0"/>
    <n v="446"/>
    <n v="446"/>
    <n v="74.333333333333329"/>
    <n v="74.333333333333329"/>
    <n v="4.9059999999999999E-2"/>
    <n v="74.333333333333329"/>
    <n v="4.9059999999999999E-2"/>
    <n v="6.6000000000000003E-2"/>
    <n v="600"/>
    <n v="0.4"/>
    <n v="552"/>
    <n v="48"/>
    <n v="552"/>
    <n v="92"/>
    <n v="92"/>
    <n v="6.0720000000000003E-2"/>
    <n v="6.0720000000000003E-2"/>
    <n v="275000000"/>
    <n v="200000000"/>
    <n v="0"/>
    <n v="0"/>
    <n v="0"/>
    <n v="0"/>
    <n v="0"/>
    <n v="75000000"/>
    <n v="0"/>
    <n v="0"/>
    <n v="0"/>
    <n v="0"/>
    <n v="0"/>
    <n v="0"/>
    <n v="0"/>
    <n v="0"/>
    <n v="0"/>
    <n v="0"/>
    <n v="0"/>
    <n v="1500"/>
    <n v="0.16500000000000001"/>
    <n v="100"/>
    <n v="100"/>
    <n v="0.16500000000000001"/>
    <n v="0.16500000000000001"/>
    <n v="0.16500000000000001"/>
    <n v="1"/>
    <n v="0"/>
    <n v="486"/>
    <s v="POSICIONAR 4 DESTINOS TURÍSTICOS DE CUNDINAMARCA"/>
    <m/>
    <s v=""/>
    <m/>
    <m/>
    <m/>
    <m/>
    <s v="SE HAN CAPACITADO 948 PRESTADORES DE SERVICIOS TURÍSTICOS EN GESTIÓN TURÍSTICA (LEGISLACIÓN TURÍSTICA, ATENCIÓN AL CLIENTE Y BUENAS PRÁCTICAS DE MANUFACTURA), LO CUAL HA PERMITIDO EL FORTALECIMIENTO DE LA OFERTA Y DE LOS SERVICIOS PRESTADOS A LOS TURISTAS EN EL DEPARTAMENTO DE CUNDINAMARCA."/>
    <n v="912000000"/>
    <m/>
    <n v="30000"/>
  </r>
  <r>
    <n v="489"/>
    <x v="2"/>
    <x v="5"/>
    <x v="23"/>
    <s v="GESTIÓN DEL DESTINO"/>
    <s v="FORTALECER E IMPLEMENTAR DURANTE EL CUATRIENIO 2 FORMAS ASOCIATIVAS TURÍSTICAS COMUNITARIAS RURALES "/>
    <s v="NO ASOCIACIONES TURÍSTICAS COMUNITARIAS RURALES IMPLEMENTADAS"/>
    <s v="ASOCIACIONES"/>
    <s v="I"/>
    <n v="1"/>
    <n v="3"/>
    <n v="2"/>
    <n v="0.25"/>
    <n v="0"/>
    <n v="0"/>
    <n v="0"/>
    <n v="0"/>
    <n v="0"/>
    <n v="0"/>
    <n v="0"/>
    <n v="0"/>
    <n v="0"/>
    <n v="0"/>
    <n v="0"/>
    <n v="0"/>
    <n v="0"/>
    <n v="0"/>
    <n v="0"/>
    <n v="0"/>
    <n v="0"/>
    <n v="0"/>
    <n v="0"/>
    <n v="0"/>
    <n v="0"/>
    <n v="0"/>
    <n v="0"/>
    <n v="0"/>
    <n v="0"/>
    <n v="0"/>
    <n v="0"/>
    <n v="0"/>
    <n v="0.125"/>
    <n v="1"/>
    <n v="0.5"/>
    <n v="1"/>
    <n v="1"/>
    <n v="100"/>
    <n v="100"/>
    <n v="0.125"/>
    <n v="100"/>
    <n v="30000000"/>
    <n v="0"/>
    <n v="30000000"/>
    <n v="0"/>
    <n v="0"/>
    <n v="0"/>
    <n v="0"/>
    <n v="0"/>
    <n v="0"/>
    <n v="0"/>
    <n v="0"/>
    <n v="0"/>
    <n v="0"/>
    <n v="0"/>
    <n v="0"/>
    <n v="0"/>
    <n v="0"/>
    <n v="0"/>
    <n v="0"/>
    <n v="0.125"/>
    <n v="1"/>
    <n v="0.5"/>
    <n v="0"/>
    <n v="0"/>
    <n v="1"/>
    <n v="1"/>
    <n v="100"/>
    <n v="100"/>
    <n v="0.125"/>
    <n v="100"/>
    <n v="0.125"/>
    <n v="0"/>
    <n v="0"/>
    <n v="0"/>
    <n v="1"/>
    <n v="-1"/>
    <n v="1"/>
    <n v="0"/>
    <n v="0"/>
    <n v="0"/>
    <n v="0"/>
    <n v="0"/>
    <n v="0"/>
    <n v="0"/>
    <n v="0"/>
    <n v="0"/>
    <n v="0"/>
    <n v="0"/>
    <n v="0"/>
    <n v="0"/>
    <n v="0"/>
    <n v="0"/>
    <n v="0"/>
    <n v="0"/>
    <n v="0"/>
    <n v="0"/>
    <n v="0"/>
    <n v="0"/>
    <n v="0"/>
    <n v="0"/>
    <n v="3"/>
    <n v="0.25"/>
    <n v="150"/>
    <n v="100"/>
    <n v="0.25"/>
    <n v="0.25"/>
    <n v="0.25"/>
    <n v="1"/>
    <n v="0"/>
    <n v="486"/>
    <s v="POSICIONAR 4 DESTINOS TURÍSTICOS DE CUNDINAMARCA"/>
    <m/>
    <s v=""/>
    <m/>
    <m/>
    <m/>
    <m/>
    <s v="SE HAN BENEFICIADO A 93 PRESTADORES DE SERVICIOS TURÍSTICOS, YA QUE SE GENERARON DOS FORMAS_x000a_ASOCIATIVAS TURÍSTICAS COMUNITARIAS LA ASOCIACIÓN DEL ALTO Y LA ASOCIACIÓN DEL BAJO GUAVIO,_x000a_PERMITIENDO UN TRABAJO ARTICULADO ENTRE LOS PRESTADORES Y LAS PROVINCIAS."/>
    <n v="775000000"/>
    <m/>
    <n v="40"/>
  </r>
  <r>
    <n v="490"/>
    <x v="2"/>
    <x v="5"/>
    <x v="23"/>
    <s v="GESTIÓN DEL DESTINO"/>
    <s v="DISEÑAR Y PONER EN FUNCIONAMIENTO DURANTE EL CUATRIENIO UNA RED DE 13 PUNTOS DE INFORMACIÓN TURÍSTICA EN PROVINCIAS Y MUNICIPIOS TURÍSTICOS DE CUNDINAMARCA."/>
    <s v="NO DE PUNTOS DE INFORMACIÓN TURÍSTICA - PIT'S DISEÑADOS Y EN FUNCIONAMIENTO"/>
    <s v="PITS"/>
    <s v="I"/>
    <n v="0"/>
    <n v="13"/>
    <n v="13"/>
    <n v="0.16500000000000001"/>
    <n v="5.0769230769230775E-2"/>
    <n v="4"/>
    <n v="0.30769230769230771"/>
    <n v="5"/>
    <n v="5"/>
    <n v="125"/>
    <n v="100"/>
    <n v="5.0769230769230775E-2"/>
    <n v="100"/>
    <n v="60000000"/>
    <n v="60000000"/>
    <n v="0"/>
    <n v="0"/>
    <n v="0"/>
    <n v="0"/>
    <n v="0"/>
    <n v="0"/>
    <n v="135000000"/>
    <n v="135000000"/>
    <n v="0"/>
    <n v="0"/>
    <n v="0"/>
    <n v="0"/>
    <n v="0"/>
    <n v="0"/>
    <n v="0"/>
    <n v="140000000"/>
    <s v="FONDO NACIONAL DE TURISMO"/>
    <n v="2.5384615384615387E-2"/>
    <n v="2"/>
    <n v="0.15384615384615385"/>
    <n v="4"/>
    <n v="4"/>
    <n v="200"/>
    <n v="100"/>
    <n v="2.5384615384615387E-2"/>
    <n v="100"/>
    <n v="300000000"/>
    <n v="0"/>
    <n v="50000000"/>
    <n v="0"/>
    <n v="0"/>
    <n v="0"/>
    <n v="0"/>
    <n v="250000000"/>
    <n v="104724830"/>
    <n v="104724830"/>
    <n v="0"/>
    <n v="0"/>
    <n v="0"/>
    <n v="0"/>
    <n v="0"/>
    <n v="0"/>
    <n v="0"/>
    <n v="0"/>
    <n v="0"/>
    <n v="3.8076923076923078E-2"/>
    <n v="3"/>
    <n v="0.23076923076923078"/>
    <n v="0"/>
    <n v="0"/>
    <n v="6"/>
    <n v="6"/>
    <n v="200"/>
    <n v="100"/>
    <n v="3.8076923076923078E-2"/>
    <n v="100"/>
    <n v="7.6153846153846155E-2"/>
    <n v="5.0769230769230775E-2"/>
    <n v="4"/>
    <n v="0.30769230769230771"/>
    <n v="2"/>
    <n v="2"/>
    <n v="2"/>
    <n v="50"/>
    <n v="50"/>
    <n v="2.5384615384615387E-2"/>
    <n v="2.5384615384615387E-2"/>
    <n v="0"/>
    <n v="0"/>
    <n v="0"/>
    <n v="0"/>
    <n v="0"/>
    <n v="0"/>
    <n v="0"/>
    <n v="0"/>
    <n v="0"/>
    <n v="0"/>
    <n v="0"/>
    <n v="0"/>
    <n v="0"/>
    <n v="0"/>
    <n v="0"/>
    <n v="0"/>
    <n v="0"/>
    <n v="0"/>
    <n v="0"/>
    <n v="17"/>
    <n v="0.16500000000000001"/>
    <n v="130.76923076923077"/>
    <n v="100"/>
    <n v="0.16500000000000001"/>
    <n v="0.16500000000000001"/>
    <n v="0.16500000000000001"/>
    <n v="1"/>
    <n v="0"/>
    <n v="486"/>
    <s v="POSICIONAR 4 DESTINOS TURÍSTICOS DE CUNDINAMARCA"/>
    <m/>
    <s v=""/>
    <m/>
    <m/>
    <m/>
    <m/>
    <s v="SE INICIÓ EL PROGRAMA PARA LA IMPLEMENTACIÓN DE LA RED DEPARTAMENTAL DE 13 PUNTOS DE INFORMACIÓN QUE SE ENCUENTRAN PROPUESTOS EN EL PLAN DE DESARROLLO DEPARTAMENTAL “CUNDINAMARCA, CALIDAD DE VIDA” CON LOS MUNICIPIOS DE NEMOCÓN, ANAPOIMA, EL COLEGIO, SUESCA, NOCAIMA, LA VEGA Y VERGARA. A SU VEZ LA ENTREGA DE LOS EQUIPOS DE DOTACIÓN TECNOLÓGICA PARA LOS MUNICIPIOS DE GUADUAS, GIRARDOT, UBATÉ, ZIPAQUIRÁ, TABIO, VILLETA, LA CALERA, LA MESA Y SOPÓ. SE ADELANTARON LAS ACCIONES NECESARIAS A FIN QUE LOS MUNICIPIOS, DOTADOS CON PRESUPUESTO DEPARTAMENTAL, ENTREN A FORMAR PARTE DE LA RED NACIONAL, CON LOS BENEFICIOS QUE ELLO IMPLICA. CON LA AYUDA AUDIOVISUAL SE RECREAN FÁCILMENTE LOS ATRACTIVOS TURÍSTICOS Y SITIOS DE INTERÉS DEL MUNICIPIO. SE HA PERMITIDO ATENDER DE PRIMERA MANO A LOS TURISTAS Y VISITANTES, DÁNDOLES A CONOCER LOS ATRACTIVOS TURÍSTICOS, LOS EVENTOS CULTURALES Y DEMÁS PROGRAMACIÓN DE LOS MUNICIPIOS, LO CUAL HA CONLLEVADO A POSICIONAR A CUNDINAMARCA COMO DESTINO TURÍSTICO Y CULTURAL."/>
    <n v="276000000"/>
    <m/>
    <n v="100"/>
  </r>
  <r>
    <n v="491"/>
    <x v="2"/>
    <x v="5"/>
    <x v="23"/>
    <s v="GESTIÓN DEL DESTINO"/>
    <s v="FORTALECER 4 DESTINOS TURÍSTICOS CON POTENCIALIDAD REGIONAL, NACIONAL E INTERNACIONAL"/>
    <s v="NO DESTINOS TURÍSTICOS FORTALECIDOS"/>
    <s v="DESTINOS"/>
    <s v="I"/>
    <n v="0"/>
    <n v="4"/>
    <n v="4"/>
    <n v="0.25"/>
    <n v="0"/>
    <n v="0"/>
    <n v="0"/>
    <n v="2"/>
    <n v="2"/>
    <n v="0"/>
    <n v="0"/>
    <n v="0"/>
    <n v="100"/>
    <n v="20000000"/>
    <n v="20000000"/>
    <n v="0"/>
    <n v="0"/>
    <n v="0"/>
    <n v="0"/>
    <n v="0"/>
    <n v="0"/>
    <n v="232000000"/>
    <n v="162000000"/>
    <n v="0"/>
    <n v="0"/>
    <n v="0"/>
    <n v="0"/>
    <n v="0"/>
    <n v="70000000"/>
    <n v="0"/>
    <n v="1020000000"/>
    <s v="FONDO NACIONAL DE TURISMO , SECRETARIA DE AMBIENTE DE CUNDINAMARCA ,CONVENTION BUREAU DE BOGOTA"/>
    <n v="6.25E-2"/>
    <n v="1"/>
    <n v="0.25"/>
    <n v="1"/>
    <n v="1"/>
    <n v="100"/>
    <n v="100"/>
    <n v="6.25E-2"/>
    <n v="100"/>
    <n v="1500000000"/>
    <n v="0"/>
    <n v="500000000"/>
    <n v="0"/>
    <n v="0"/>
    <n v="0"/>
    <n v="0"/>
    <n v="1000000000"/>
    <n v="30750000"/>
    <n v="30750000"/>
    <n v="0"/>
    <n v="0"/>
    <n v="0"/>
    <n v="0"/>
    <n v="0"/>
    <n v="0"/>
    <n v="0"/>
    <n v="0"/>
    <n v="0"/>
    <n v="0.125"/>
    <n v="2"/>
    <n v="0.5"/>
    <n v="1"/>
    <n v="0"/>
    <n v="2"/>
    <n v="2"/>
    <n v="100"/>
    <n v="100"/>
    <n v="0.125"/>
    <n v="100"/>
    <n v="0.125"/>
    <n v="6.25E-2"/>
    <n v="1"/>
    <n v="0.25"/>
    <n v="4"/>
    <n v="-3"/>
    <n v="4"/>
    <n v="400"/>
    <n v="100"/>
    <n v="6.25E-2"/>
    <n v="0.25"/>
    <n v="1700000000"/>
    <n v="700000000"/>
    <n v="0"/>
    <n v="0"/>
    <n v="0"/>
    <n v="0"/>
    <n v="0"/>
    <n v="1000000000"/>
    <n v="0"/>
    <n v="0"/>
    <n v="0"/>
    <n v="0"/>
    <n v="0"/>
    <n v="0"/>
    <n v="0"/>
    <n v="0"/>
    <n v="0"/>
    <n v="0"/>
    <n v="0"/>
    <n v="9"/>
    <n v="0.25"/>
    <n v="225"/>
    <n v="100"/>
    <n v="0.25"/>
    <n v="0.25"/>
    <n v="0.25"/>
    <n v="1"/>
    <n v="0"/>
    <n v="486"/>
    <s v="POSICIONAR 4 DESTINOS TURÍSTICOS DE CUNDINAMARCA"/>
    <m/>
    <s v=""/>
    <m/>
    <m/>
    <m/>
    <m/>
    <s v="**SE REALIZO EL LEVANTAMIENTO DE INVENTARIOS DE ATRACTIVOS TURÍSTICOS EN 38 MUNICIPIOS LOGRANDO ASÍ EL CUBRIMIENTO TOTAL DE LOS 116 ENTES TERRITORIALES MUNICIPALES DE LA JURISDICCIÓN DE CUNDINAMARCA. **EL DEPARTAMENTO POSEE ONCE (11) COLEGIOS EN EL PROGRAMA “COLEGIOS AMIGOS DEL_x000a_TURISMO”, REALIZANDO EN EL 2015 EL PRIMER ENCUENTRO DE COLEGIO AMIGOS DEL TURISMO. **CONFORMACIÓN DEL CONSEJO –DEPARTAMENTAL DE TURISMO.CONFORMACIÓN DEL COMITÉ DEPARTAMENTAL DE SEGURIDAD TURÍSTICA. **PRESENTACIÓN DE LOS PROYECTOS ADELANTADOS EN EL DEPARTAMENTO Y QUE HAN TENIDO APOYO DE LOS RECURSOS DEL FONDO NACIONAL DE TURISMO COMO:SEÑALIZACIÓN TURÍSTICA, PUNTOS DE INFORMACIÓN TURÍSTICA, LAGUNA EL TABACAL, ENTRE OTROS. **SE REALIZÓ EL I ENCUENTRO NACIONAL PARA LA IMPLEMENTACIÓN DEL TERMALISMO, SE BENEFICIARON 130 PRESTADORES DE SERVICIO DE TERMALISMO, COMO RESULTADO DEL ENCUENTRO SE DIO A CONOCER QUE CUNDINAMARCA ES EL DEPARTAMENTO CON MAYOR RIQUEZA EN RECURSOS TERMALES A NIVEL NACIONAL, CONTANDO CON 56 NACIMIENTOS DE AGUAS TERMALES DE LOS 510 QUE TIENE COLOMBIA. **SE COMERCIALIZARON 5 PRODUCTOS TURÍSTICOS EXISTENTES EN EL DEPARTAMENTO COMO: AGROTURISMO, ECOTURISMO, TERMALISMO, TURISMO RELIGIOSO Y CULTURAL Y DE AVENTURA, A TRAVÉS DE UN BROCHURE PUBLICITARIO LO QUE ESTÁ LLEVANDO A CUNDINAMARCA A POSICIONARSE COMO UN MULTIDESTINO, FORTALECIENDO Y PROMOCIONANDO EL TURISMO ESPECIALIZADO COMO TURISMO RELIGIOSO, AGROTURISMO, ECOTURISMO, HISTÓRICO Y CULTURAL, BIENESTAR Y SALUD. **SE LOGRÓ EL PRIMER INSUMO PARA LA CONSTRUCCIÓN DEL CORREDOR GASTRONÓMICO EN LA PROVINCIA DE SOACHA Y SIBATÉ, LO CUAL CORRESPONDE A LA ACTUALIZACIÓN DEL INVENTARIO DE ATRACTIVOS Y PRESTADORES DE SERVICIOS TURÍSTICOS **SE BENEFICIARON 136 PERSONAS CON LA CAPACITACIÓN EN SEGURIDAD TURÍSTICA PARA EL TURISMO DE AVENTURA, BRINDÁNDOLE SEGURIDAD PROFESIONAL AL TURISTA Y A LAS PERSONAS QUE PRACTICAN ESTE TIPO DE TURISMO DENTRO DEL DEPARTAMENTO."/>
    <n v="0"/>
    <m/>
    <n v="5"/>
  </r>
  <r>
    <n v="492"/>
    <x v="2"/>
    <x v="5"/>
    <x v="23"/>
    <s v="GESTIÓN DEL DESTINO"/>
    <s v="SEÑALIZAR DURANTE EL CUATRIENIO 22 MUNICIPIOS CON POTENCIAL TURÍSTICO"/>
    <s v="NO DE MUNICIPIOS CON SEÑALIZACIÓN TURÍSTICA"/>
    <s v="MUNICIPIOS"/>
    <s v="I"/>
    <n v="0"/>
    <n v="22"/>
    <n v="22"/>
    <n v="0.16500000000000001"/>
    <n v="0"/>
    <n v="0"/>
    <n v="0"/>
    <n v="14"/>
    <n v="14"/>
    <n v="0"/>
    <n v="0"/>
    <n v="0"/>
    <n v="100"/>
    <n v="0"/>
    <n v="0"/>
    <n v="0"/>
    <n v="0"/>
    <n v="0"/>
    <n v="0"/>
    <n v="0"/>
    <n v="0"/>
    <n v="0"/>
    <n v="0"/>
    <n v="0"/>
    <n v="0"/>
    <n v="0"/>
    <n v="0"/>
    <n v="0"/>
    <n v="0"/>
    <n v="0"/>
    <n v="370549000"/>
    <s v="FONDO NACIONAL DE TURISMO"/>
    <n v="6.0000000000000005E-2"/>
    <n v="8"/>
    <n v="0.36363636363636365"/>
    <n v="22"/>
    <n v="22"/>
    <n v="275"/>
    <n v="100"/>
    <n v="6.0000000000000012E-2"/>
    <n v="100"/>
    <n v="200000000"/>
    <n v="0"/>
    <n v="100000000"/>
    <n v="0"/>
    <n v="0"/>
    <n v="0"/>
    <n v="0"/>
    <n v="100000000"/>
    <n v="0"/>
    <n v="0"/>
    <n v="0"/>
    <n v="0"/>
    <n v="0"/>
    <n v="0"/>
    <n v="0"/>
    <n v="0"/>
    <n v="0"/>
    <n v="0"/>
    <n v="0"/>
    <n v="5.2500000000000005E-2"/>
    <n v="7"/>
    <n v="0.31818181818181818"/>
    <n v="0"/>
    <n v="0"/>
    <n v="0"/>
    <n v="0"/>
    <n v="0"/>
    <n v="0"/>
    <n v="0"/>
    <n v="0"/>
    <n v="0"/>
    <n v="5.2500000000000005E-2"/>
    <n v="7"/>
    <n v="0.31818181818181818"/>
    <n v="0"/>
    <n v="7"/>
    <n v="0"/>
    <n v="0"/>
    <n v="0"/>
    <n v="0"/>
    <n v="0"/>
    <n v="231000000"/>
    <n v="100000000"/>
    <n v="0"/>
    <n v="0"/>
    <n v="0"/>
    <n v="0"/>
    <n v="0"/>
    <n v="131000000"/>
    <n v="0"/>
    <n v="0"/>
    <n v="0"/>
    <n v="0"/>
    <n v="0"/>
    <n v="0"/>
    <n v="0"/>
    <n v="0"/>
    <n v="0"/>
    <n v="0"/>
    <n v="0"/>
    <n v="36"/>
    <n v="0.16500000000000004"/>
    <n v="163.63636363636363"/>
    <n v="100"/>
    <n v="0.16500000000000001"/>
    <n v="0.16500000000000001"/>
    <n v="0.16500000000000001"/>
    <n v="1"/>
    <n v="0"/>
    <n v="486"/>
    <s v="POSICIONAR 4 DESTINOS TURÍSTICOS DE CUNDINAMARCA"/>
    <m/>
    <s v=""/>
    <m/>
    <m/>
    <m/>
    <m/>
    <s v="SEÑALIZACIÓN TURÍSTICA PEATONAL DE VEINTIDÓS (22) MUNICIPIOS DEL DEPARTAMENTO: ANAPOIMA, CAJICÀ, CHÌA, COGUA, COTA, GUASCA, GUATAVITA, LA VEGA, MOSQUERA, NEMOCÒN, SASAIMA, TENJO, UBATÈ, VILLETA, LA MESA, SILVANIA, GRANADA, SAN FRANCISCO, TOCANCIPÁ, GACHANCIPÁ, GACHETÁ Y NOCAIMA PARA UN TOTAL FUERON INSTALADAS 163 SEÑALES. RESALTANDO QUE DE LOS 22 MUNICIPIOS DETERMINADOS POR EL ESTUDIO TÉCNICO, 14 FUERON COFINANCIADOS POR EL VICEMINISTERIO A TRAVÉS DE FONTUR Y 8 DE ELLOS ES PRESUPUESTO EXCLUSIVO DEL IDECUT."/>
    <n v="60000000"/>
    <m/>
    <n v="0.25"/>
  </r>
  <r>
    <n v="493"/>
    <x v="2"/>
    <x v="5"/>
    <x v="23"/>
    <s v="GESTIÓN DEL DESTINO"/>
    <s v="IMPLEMENTAR DURANTE EL PERÍODO DE GOBIERNO TURISMO COMUNITARIO CON 1 CORREDOR TURÍSTICO INTERMUNICIPAL EN LA PROVINCIA DEL TEQUENDAMA Y MUNICIPIOS ALEDAÑOS"/>
    <s v="NO CORREDOR TURÍSTICO INTERMUNICIPAL IMPLEMENTADO"/>
    <s v="CORREDORES"/>
    <s v="I"/>
    <n v="0"/>
    <n v="1"/>
    <n v="1"/>
    <n v="0.16500000000000001"/>
    <n v="1.6500000000000001E-2"/>
    <n v="0.1"/>
    <n v="0.1"/>
    <n v="0.1"/>
    <n v="0.1"/>
    <n v="100"/>
    <n v="100"/>
    <n v="1.6500000000000001E-2"/>
    <n v="100"/>
    <n v="0"/>
    <n v="0"/>
    <n v="0"/>
    <n v="0"/>
    <n v="0"/>
    <n v="0"/>
    <n v="0"/>
    <n v="0"/>
    <n v="4800000"/>
    <n v="4800000"/>
    <n v="0"/>
    <n v="0"/>
    <n v="0"/>
    <n v="0"/>
    <n v="0"/>
    <n v="0"/>
    <n v="0"/>
    <n v="0"/>
    <n v="0"/>
    <n v="3.3000000000000002E-2"/>
    <n v="0.2"/>
    <n v="0.2"/>
    <n v="0.3"/>
    <n v="0.3"/>
    <n v="150"/>
    <n v="100"/>
    <n v="3.3000000000000002E-2"/>
    <n v="100"/>
    <n v="5900000000"/>
    <n v="0"/>
    <n v="0"/>
    <n v="0"/>
    <n v="0"/>
    <n v="0"/>
    <n v="0"/>
    <n v="5900000000"/>
    <n v="0"/>
    <n v="0"/>
    <n v="0"/>
    <n v="0"/>
    <n v="0"/>
    <n v="0"/>
    <n v="0"/>
    <n v="0"/>
    <n v="0"/>
    <n v="0"/>
    <n v="0"/>
    <n v="4.9500000000000002E-2"/>
    <n v="0.3"/>
    <n v="0.3"/>
    <n v="0"/>
    <n v="0.4"/>
    <n v="0.1"/>
    <n v="0.1"/>
    <n v="33.333333333333336"/>
    <n v="33.333333333333336"/>
    <n v="1.6500000000000001E-2"/>
    <n v="100"/>
    <n v="1.6500000000000001E-2"/>
    <n v="6.6000000000000003E-2"/>
    <n v="0.4"/>
    <n v="0.4"/>
    <n v="0"/>
    <n v="0.4"/>
    <n v="0"/>
    <n v="0"/>
    <n v="0"/>
    <n v="0"/>
    <n v="0"/>
    <n v="5900000000"/>
    <n v="0"/>
    <n v="0"/>
    <n v="0"/>
    <n v="0"/>
    <n v="0"/>
    <n v="0"/>
    <n v="5900000000"/>
    <n v="0"/>
    <n v="0"/>
    <n v="0"/>
    <n v="0"/>
    <n v="0"/>
    <n v="0"/>
    <n v="0"/>
    <n v="0"/>
    <n v="0"/>
    <n v="0"/>
    <n v="0"/>
    <n v="0.5"/>
    <n v="0.16500000000000001"/>
    <n v="50"/>
    <n v="50"/>
    <n v="8.2500000000000004E-2"/>
    <n v="8.2500000000000004E-2"/>
    <n v="8.2500000000000004E-2"/>
    <n v="1"/>
    <n v="0"/>
    <n v="486"/>
    <s v="POSICIONAR 4 DESTINOS TURÍSTICOS DE CUNDINAMARCA"/>
    <m/>
    <s v=""/>
    <m/>
    <m/>
    <m/>
    <m/>
    <s v="SE ESTABLECIÓ EL NÚMERO DE CAMINOS REALES EXISTENTES EN LA PROVINCIA DEL TEQUENDAMA Y EN LOS MUNICIPIOS DE BOJACÁ, ZIPACÓN Y TOCAIMA, POR MEDIO DEL ESTUDIO DE PREFACTIBILIDAD LO CUAL PERMITIÓ ESTABLECER EL NÚMERO DE KILÓMETROS A ADECUAR Y A SEÑALIZAR, LO QUE CONLLEVA A MEJORAR LA OFERTA TURÍSTICA DEL DEPARTAMENTO."/>
    <n v="0"/>
    <m/>
    <n v="1"/>
  </r>
  <r>
    <n v="494"/>
    <x v="2"/>
    <x v="5"/>
    <x v="23"/>
    <s v="PROMOCIÓN TURÍSTICA"/>
    <s v="REALIZAR DURANTE EL CUATRIENIO 20 EVENTOS PROMOCIONALES DEL DESTINO CUNDINAMARCA: VIAJES DE FAMILIARIZACIÓN (FAM TRIP´S), RUEDAS DE NEGOCIOS, FERIAS Y VITRINAS TURÍSTICAS, ENTRE OTROS."/>
    <s v="NO PROMOCIONES DESTINO CUNDINAMARCA REALIZADOS"/>
    <s v="EVENTOS"/>
    <s v="I"/>
    <n v="0"/>
    <n v="20"/>
    <n v="20"/>
    <n v="0.16500000000000001"/>
    <n v="1.6500000000000001E-2"/>
    <n v="2"/>
    <n v="0.1"/>
    <n v="6"/>
    <n v="6"/>
    <n v="300"/>
    <n v="100"/>
    <n v="1.6500000000000001E-2"/>
    <n v="100"/>
    <n v="129000000"/>
    <n v="129000000"/>
    <n v="0"/>
    <n v="0"/>
    <n v="0"/>
    <n v="0"/>
    <n v="0"/>
    <n v="0"/>
    <n v="0"/>
    <n v="0"/>
    <n v="0"/>
    <n v="0"/>
    <n v="0"/>
    <n v="0"/>
    <n v="0"/>
    <n v="0"/>
    <n v="0"/>
    <n v="0"/>
    <n v="0"/>
    <n v="3.3000000000000002E-2"/>
    <n v="4"/>
    <n v="0.2"/>
    <n v="2"/>
    <n v="2"/>
    <n v="50"/>
    <n v="50"/>
    <n v="1.6500000000000001E-2"/>
    <n v="50"/>
    <n v="80000000"/>
    <n v="0"/>
    <n v="80000000"/>
    <n v="0"/>
    <n v="0"/>
    <n v="0"/>
    <n v="0"/>
    <n v="0"/>
    <n v="80000000"/>
    <n v="80000000"/>
    <n v="0"/>
    <n v="0"/>
    <n v="0"/>
    <n v="0"/>
    <n v="0"/>
    <n v="0"/>
    <n v="0"/>
    <n v="0"/>
    <n v="0"/>
    <n v="5.7749999999999996E-2"/>
    <n v="7"/>
    <n v="0.35"/>
    <n v="0"/>
    <n v="24"/>
    <n v="24"/>
    <n v="24"/>
    <n v="342.85714285714283"/>
    <n v="100"/>
    <n v="5.7749999999999996E-2"/>
    <n v="100"/>
    <n v="0.19799999999999998"/>
    <n v="5.7749999999999996E-2"/>
    <n v="7"/>
    <n v="0.35"/>
    <n v="9"/>
    <n v="-2"/>
    <n v="9"/>
    <n v="128.57142857142858"/>
    <n v="100"/>
    <n v="5.7749999999999996E-2"/>
    <n v="7.4249999999999997E-2"/>
    <n v="160000000"/>
    <n v="160000000"/>
    <n v="0"/>
    <n v="0"/>
    <n v="0"/>
    <n v="0"/>
    <n v="0"/>
    <n v="0"/>
    <n v="0"/>
    <n v="0"/>
    <n v="0"/>
    <n v="0"/>
    <n v="0"/>
    <n v="0"/>
    <n v="0"/>
    <n v="0"/>
    <n v="0"/>
    <n v="0"/>
    <n v="0"/>
    <n v="41"/>
    <n v="0.16499999999999998"/>
    <n v="205"/>
    <n v="100"/>
    <n v="0.16500000000000001"/>
    <n v="0.16500000000000001"/>
    <n v="0.16500000000000001"/>
    <n v="1"/>
    <n v="0"/>
    <n v="486"/>
    <s v="POSICIONAR 4 DESTINOS TURÍSTICOS DE CUNDINAMARCA"/>
    <m/>
    <s v=""/>
    <m/>
    <m/>
    <m/>
    <m/>
    <s v="**DEFINICIÓN DE LA PÁGINA WEB: WWW.IDECUT.GOV.CO. **INCLUSIÓN EN LA PÁGINA DE LA INFORMACIÓN DE LA CELEBRACIÓN DEL BICENTENARIO DEL DEPARTAMENTO. **PRESENTACIÓN EN LA PÁGINA DE CADA UNO DE LOS 116 MUNICIPIOS, DONDE SE RELACIONAN LAS ACTIVIDADES CULTURALES Y TURÍSTICAS, RESTAURANTES, HOTELES Y DEMÁS INFORMACIÓN QUE CUALQUIER VISITANTE REQUIERE. **PARTICIPACIÓN EN ANATO CADA AÑO CON REPRESENTACIÓN DE LAS 15 PROVINCIAS.EN EL STAND DEL DEPARTAMENTO, ADEMÁS DE HACER PRESENCIA MÁS DE 100 PRESTADORES DE SERVICIOS TURÍSTICOS DE LA JURISDICCIÓN, ESTUVIMOS VISITADOS POR UN BUEN NÚMERO DE LOS ASISTENTES A LA VITRINA, QUE SE ENCONTRABAN INTERESADOS EN PAQUETES Y/O DESTINOS DE CUNDINAMARCA. **PARTICIPACIÓN EN EL LOS ENCUENTROS DE AUTORIDADES REGIONALES DE TURISMO Y ENCUENTRO DE PUNTOS DE INFORMACIÓN TURISTICA. **PARTICIPACIÓN EN EL “TRUEQUE REGIONAL DE BUENAS PRÁCTICAS EN TURISMO” **EXPOSICIÓN DE LA EXPERIENCIA ÚNICA DEL DEPARTAMENTO “LA RUTA DEL MINERO” DEL MUNICIPIO DE ZIPAQUIRÁ. **REALIZACIÓN DEL PRIMER Y SEGUNDO ENCUENTRO DEPARTAMENTAL DE AUTORIDADES DE TURISMO, LOGRANDO REUNIR 60 MUNICIPIOS DE LOS CUALES HAN ASISTIDO MAS DE 95 PERSONAS ENTRE ALCALDES Y DIRECTORES DE TURISMO, A SU VEZ SE HA SOCIALIZO LA POLÍTICA PÚBLICA, Y LAS EXPERIENCIAS EN AGROTURISMO Y TURISMO DE AVENTURA, BUSCANDO REPLICAR ESTOS POTENCIALES TURÍSTICOS EN OTRAS REGIONES DEL DEPARTAMENTO LO QUE LLEVA A FORTALECER Y A GENERAR INICIATIVAS EMPRESARIALES EN OTRAS REGIONES. **ESTRUCTURACIÓN DEL PRODUCTO DE TURISMO CORPORATIVO EN LA MODALIDAD DE VIAJES DE INCENTIVOS DE BOGOTÁ – REGION CENTRAL. _x000a_**A TRAVÉS DEL APOYÓ QUE EL IDECUT BRINDÓ AL VII FESTIVAL DE LA LANA “FESTILANA”, SE BENEFICIARON HILANDEROS, ESQUILADORES Y DISEÑADORES, EL MUNICIPIO ALBERGÓ A TURISTAS E INDIRECTAMENTE BENEFICIÓ A LA POBLACIÓN DEL MUNICIPIO. ** A TRAVÉS DEL APOYO QUE SE BRINDÓ AL II FESTIVAL DEL MACRAMÉ EN EL MUNICIPIO DE NEMOCÓN, SE DIVULGÓ Y SE PROMOCIONÓ UNA DE LAS RUTAS TURÍSTICAS DE CUNDINAMARCA, COMO LO ES LA RUTA DE LA SAL EN EL ESCENARIO DE LA MINA DE SAL DE NEMOCÓN PATRIMONIO CULTURAL Y TURÍSTICO DE COLOMBIA."/>
    <n v="20000000"/>
    <m/>
    <n v="0"/>
  </r>
  <r>
    <n v="495"/>
    <x v="2"/>
    <x v="5"/>
    <x v="23"/>
    <s v="PROMOCIÓN TURÍSTICA"/>
    <s v="PROMOVER EL POTENCIAL TURÍSTICO DE LOS MUNICIPIOS DURANTE EL CUATRIENIO, CON LA REALIZACIÓN DE 300 EVENTOS"/>
    <s v="NO EVENTOS TERRITORIALES QUE FOMENTAN EL POTENCIAL TURÍSTICO"/>
    <s v="EVENTOS"/>
    <s v="I"/>
    <n v="341"/>
    <n v="641"/>
    <n v="300"/>
    <n v="0.16500000000000001"/>
    <n v="3.3000000000000002E-2"/>
    <n v="60"/>
    <n v="0.2"/>
    <n v="60"/>
    <n v="60"/>
    <n v="100"/>
    <n v="100"/>
    <n v="3.3000000000000002E-2"/>
    <n v="100"/>
    <n v="350000000"/>
    <n v="350000000"/>
    <n v="0"/>
    <n v="0"/>
    <n v="0"/>
    <n v="0"/>
    <n v="0"/>
    <n v="0"/>
    <n v="354600000"/>
    <n v="354600000"/>
    <n v="0"/>
    <n v="0"/>
    <n v="0"/>
    <n v="0"/>
    <n v="0"/>
    <n v="0"/>
    <n v="0"/>
    <n v="724652000"/>
    <s v="ALCALDÍAS DE VILLETA, GUADUAS, TOCAIMA,QUETAME,BOJACA,PASCA, GUTIERREZ,LA PEÑA, FUSAGASUGA, VIANI, SAN BERNARDO,ANAPOIMA, SAN ANTONIO DEL TEQUENDAMA BELTRAN,NILO, LA MESA,SUSA,NIMAIMA,VIOTA, CHAGUANI,VILLAGOMEZ, ZIPACON, GUAYABAL DE SIQUIMA, JERUSALEN ,PACHO, CACHIPAY, CAPARRAPI, PUERTO SALGAR, NARIÑO, ARBELAEZ, LA CALERA, EL ROSAL,VERGARA,CHOCAHI, MACHETA, , GUAYABETAL, SILVANIA, SUBACHOQUE, CHIPAQUE, GUATAQUI, TOPAIPI, TENA, CAJICA,TIBACUY, QUEBRADANEGRA, PARATEBUENO,EL COLEGIO, APULO, UTICA "/>
    <n v="6.2149999999999997E-2"/>
    <n v="113"/>
    <n v="0.37666666666666665"/>
    <n v="98"/>
    <n v="98"/>
    <n v="86.725663716814154"/>
    <n v="86.725663716814154"/>
    <n v="5.3899999999999997E-2"/>
    <n v="86.725663716814154"/>
    <n v="350000000"/>
    <n v="0"/>
    <n v="350000000"/>
    <n v="0"/>
    <n v="0"/>
    <n v="0"/>
    <n v="0"/>
    <n v="0"/>
    <n v="1657106331"/>
    <n v="1657106331"/>
    <n v="0"/>
    <n v="0"/>
    <n v="0"/>
    <n v="0"/>
    <n v="0"/>
    <n v="0"/>
    <n v="0"/>
    <n v="0"/>
    <n v="0"/>
    <n v="3.5200000000000002E-2"/>
    <n v="64"/>
    <n v="0.21333333333333335"/>
    <n v="24"/>
    <n v="24"/>
    <n v="71"/>
    <n v="71"/>
    <n v="110.9375"/>
    <n v="100"/>
    <n v="3.5200000000000002E-2"/>
    <n v="100"/>
    <n v="3.9050000000000001E-2"/>
    <n v="3.465E-2"/>
    <n v="63"/>
    <n v="0.21"/>
    <n v="73"/>
    <n v="-10"/>
    <n v="73"/>
    <n v="115.87301587301587"/>
    <n v="100"/>
    <n v="3.465E-2"/>
    <n v="4.0149999999999998E-2"/>
    <n v="850000000"/>
    <n v="850000000"/>
    <n v="0"/>
    <n v="0"/>
    <n v="0"/>
    <n v="0"/>
    <n v="0"/>
    <n v="0"/>
    <n v="0"/>
    <n v="0"/>
    <n v="0"/>
    <n v="0"/>
    <n v="0"/>
    <n v="0"/>
    <n v="0"/>
    <n v="0"/>
    <n v="0"/>
    <n v="0"/>
    <n v="0"/>
    <n v="302"/>
    <n v="0.16499999999999998"/>
    <n v="100.66666666666667"/>
    <n v="100"/>
    <n v="0.16500000000000001"/>
    <n v="0.16500000000000001"/>
    <n v="0.16500000000000001"/>
    <n v="1"/>
    <n v="0"/>
    <n v="486"/>
    <s v="POSICIONAR 4 DESTINOS TURÍSTICOS DE CUNDINAMARCA"/>
    <m/>
    <s v=""/>
    <m/>
    <m/>
    <m/>
    <m/>
    <s v="SE HAN APOYADO 280 EVENTOS TURÍSTICOS MUNICIPALES, EVENTOS DEPARTAMENTALES Y EVENTOS NACIONALES E INTERNACIONALES, POR MEDIO DE LOS CUALES SE PROMOCIONARON LOS MUNICIPIOS COMO DESTINOS TURÍSTICOS, Y ASÍ MISMO LA PROMOCIÓN Y POSICIONAMIENTO DE LA MARCA “CUNDINAMARCA, EL DORADO LA LEYENDA VIVA”"/>
    <n v="0"/>
    <m/>
    <n v="50"/>
  </r>
  <r>
    <n v="496"/>
    <x v="2"/>
    <x v="5"/>
    <x v="23"/>
    <s v="PROMOCIÓN TURÍSTICA"/>
    <s v="REALIZAR DURANTE EL PERIODO DE GOBIERNO 8 PROMOCIONES TURÍSTICAS CON ESTRATEGIAS IEC(INFORMACIÓN, EDUCACIÓN, COMUNICACIÓN)"/>
    <s v="NO PROMOCIONES TURÍSTICAS CON ESTRATEGIAS IEC REALIZADAS"/>
    <s v="PROMOCIONES"/>
    <s v="I"/>
    <n v="0"/>
    <n v="8"/>
    <n v="8"/>
    <n v="0.16500000000000001"/>
    <n v="0"/>
    <n v="0"/>
    <n v="0"/>
    <n v="1"/>
    <n v="1"/>
    <n v="0"/>
    <n v="0"/>
    <n v="0"/>
    <n v="100"/>
    <n v="69000000"/>
    <n v="69000000"/>
    <n v="0"/>
    <n v="0"/>
    <n v="0"/>
    <n v="0"/>
    <n v="0"/>
    <n v="0"/>
    <n v="50600000"/>
    <n v="50600000"/>
    <n v="0"/>
    <n v="0"/>
    <n v="0"/>
    <n v="0"/>
    <n v="0"/>
    <n v="0"/>
    <n v="0"/>
    <n v="26500000"/>
    <s v="ALCALDIAS DE MANTA, TIBIRITA, PAIME, NOCAIMA, SIMIJACA Y SILVANIA"/>
    <n v="4.1250000000000002E-2"/>
    <n v="2"/>
    <n v="0.25"/>
    <n v="11"/>
    <n v="11"/>
    <n v="550"/>
    <n v="100"/>
    <n v="4.1250000000000002E-2"/>
    <n v="100"/>
    <n v="1000000000"/>
    <n v="0"/>
    <n v="1000000000"/>
    <n v="0"/>
    <n v="0"/>
    <n v="0"/>
    <n v="0"/>
    <n v="0"/>
    <n v="567006406"/>
    <n v="567006406"/>
    <n v="0"/>
    <n v="0"/>
    <n v="0"/>
    <n v="0"/>
    <n v="0"/>
    <n v="0"/>
    <n v="0"/>
    <n v="0"/>
    <n v="0"/>
    <n v="6.1874999999999999E-2"/>
    <n v="3"/>
    <n v="0.375"/>
    <n v="1"/>
    <n v="1"/>
    <n v="7"/>
    <n v="7"/>
    <n v="233.33333333333334"/>
    <n v="100"/>
    <n v="6.1874999999999999E-2"/>
    <n v="100"/>
    <n v="0.144375"/>
    <n v="6.1874999999999999E-2"/>
    <n v="3"/>
    <n v="0.375"/>
    <n v="8"/>
    <n v="-5"/>
    <n v="8"/>
    <n v="266.66666666666669"/>
    <n v="100"/>
    <n v="6.1874999999999999E-2"/>
    <n v="0.16500000000000001"/>
    <n v="3350000000"/>
    <n v="3350000000"/>
    <n v="0"/>
    <n v="0"/>
    <n v="0"/>
    <n v="0"/>
    <n v="0"/>
    <n v="0"/>
    <n v="0"/>
    <n v="0"/>
    <n v="0"/>
    <n v="0"/>
    <n v="0"/>
    <n v="0"/>
    <n v="0"/>
    <n v="0"/>
    <n v="0"/>
    <n v="0"/>
    <n v="0"/>
    <n v="27"/>
    <n v="0.16499999999999998"/>
    <n v="337.5"/>
    <n v="100"/>
    <n v="0.16500000000000001"/>
    <n v="0.16500000000000001"/>
    <n v="0.16500000000000001"/>
    <n v="1"/>
    <n v="0"/>
    <n v="486"/>
    <s v="POSICIONAR 4 DESTINOS TURÍSTICOS DE CUNDINAMARCA"/>
    <m/>
    <s v=""/>
    <m/>
    <m/>
    <m/>
    <m/>
    <s v="**INVESTIGACIÓN, TRABAJO DE CAMPO Y RECOLECCIÓN DE INFORMACIÓN EN 50 MUNICIPIOS CON MAYOR AFLUENCIA TURÍSTICA.ANÁLISIS DE LA INFORMACIÓN, DISEÑO Y DIAGRAMACIÓN DE LA GUÍA DE CUNDINAMARCA E IMPRESIÓN DE 7.800 EJEMPLARES DE LA GUÍA “DESTINOS DE CUNDINAMARCA” **DISEÑO, ELABORACIÓN E IMPRESIÓN DE MATERIAL PROMOCIONAL DEL IDECUT, COMO ESTRATEGIA DE COMUNICACIÓN DE POSICIONAMIENTO DE DESTINO TURÍSTICO DEL DEPARTAMENTO. **ELABORACIÓN, DISEÑO E IMPRESIÓN 2000 CARTILLAS DE SERVICIO AL CLIENTE. **SE CREÓ, SE LEGALIZÓ, SE PROMOCIONÓ Y SE VIENE POSICIONANDO LA MARCA “CUNDINAMARCA, EL DORADO LA LEYENDA VIVA”. SE SENSIBILIZÓ APROXIMADAMENTE A MÁS DE 500.000 DE CUNDINAMARQUESES A TRAVÉS DE LAS ACTIVIDADES REALIZADAS CON LOS MUNICIPIOS, ACERCA DE LA RIQUEZA Y DE LAS POTENCIALIDADES TURÍSTICAS DEL DEPARTAMENTO.NOS CONSOLIDAMOS COMO ENTE RECTOR DEL TURISMO DEPARTAMENTAL ENTRE LOS PRESTADORES DE SERVICIOS TURÍSTICOS Y LAS ENTIDADES PÚBLICAS Y PRIVADAS, PARA DIVULGAR LOS PRODUCTOS EMBLEMÁTICOS DE CADA REGIÓN Y DIVERSIFICAR SU OFERTA TURÍSTICA. SE LOGRÓ RECOPILAR PARTE DE LA INFORMACIÓN ESTADÍSTICA RELACIONADA CON LA ACTIVIDAD TURÍSTICA A ESCALA REGIONAL Y NACIONAL, LO QUE PERMITIRÁ TENER INFORMACIÓN ACTUALIZADA PARA BENEFICIO DE LOS CUNDINAMARQUESES. **PARTICIPACIÓN EN LA FERIA DE AGROEXPO CON EL CONVENIO DE BUREAU Y LA SECRETARIA DE AGRICULTURA. **INTERCAMBIO DE CULTURALIDAD CON EL PAIS DE ECUADOR EN LA PARTE DE CAFE. **REALIZACIÓN DE RECORRIDOS TURISTICOS CON EL IDT EN VINCULACIÓN DE CUIDAD-REGIÓN. **INTERCAMBIO CULTURAL Y TURISTICO CON NIÑOS Y NIÑAS DE LA PVCA ENTRE LA CIUDAD DE CARTAGENA Y CUNDINAMARCA "/>
    <n v="15000000"/>
    <m/>
    <n v="500"/>
  </r>
  <r>
    <n v="498"/>
    <x v="2"/>
    <x v="15"/>
    <x v="24"/>
    <s v="SUPRAREGIONAL"/>
    <s v="DESARROLLAR 2 ALIANZAS ESTRATÉGICAS ENTRE ENTIDADES TERRITORIALES DEL ORDEN SUPRA REGIONAL, DURANTE EL PERIODO DE GOBIERNO."/>
    <s v="NO DE ALIANZAS ESTRATÉGICAS SUPRA REGIONALES DESARROLLADAS"/>
    <s v="ALIZANZAS"/>
    <s v="I"/>
    <n v="0"/>
    <n v="2"/>
    <n v="2"/>
    <n v="0.16500000000000001"/>
    <n v="0"/>
    <n v="0"/>
    <n v="0"/>
    <n v="0"/>
    <n v="0"/>
    <n v="0"/>
    <n v="0"/>
    <n v="0"/>
    <n v="0"/>
    <n v="3000000000"/>
    <n v="0"/>
    <n v="0"/>
    <n v="0"/>
    <n v="0"/>
    <n v="3000000000"/>
    <n v="0"/>
    <n v="0"/>
    <n v="0"/>
    <n v="0"/>
    <n v="0"/>
    <n v="0"/>
    <n v="0"/>
    <n v="0"/>
    <n v="0"/>
    <n v="0"/>
    <n v="0"/>
    <n v="0"/>
    <n v="0"/>
    <n v="5.7749999999999996E-2"/>
    <n v="0.7"/>
    <n v="0.35"/>
    <n v="0.7"/>
    <n v="0.7"/>
    <n v="100"/>
    <n v="100"/>
    <n v="5.7749999999999996E-2"/>
    <n v="100"/>
    <n v="507000000"/>
    <n v="0"/>
    <n v="245000000"/>
    <n v="0"/>
    <n v="0"/>
    <n v="0"/>
    <n v="0"/>
    <n v="262000000"/>
    <n v="250987533"/>
    <n v="250987533"/>
    <n v="0"/>
    <n v="0"/>
    <n v="0"/>
    <n v="0"/>
    <n v="0"/>
    <n v="0"/>
    <n v="0"/>
    <n v="201717168"/>
    <s v=" ACOPI MUNICIPIO DEL PEÑON "/>
    <n v="5.7749999999999996E-2"/>
    <n v="0.7"/>
    <n v="0.35"/>
    <n v="1"/>
    <n v="1"/>
    <n v="1"/>
    <n v="1"/>
    <n v="142.85714285714286"/>
    <n v="100"/>
    <n v="5.7749999999999996E-2"/>
    <n v="100"/>
    <n v="8.2500000000000004E-2"/>
    <n v="4.9500000000000002E-2"/>
    <n v="0.6"/>
    <n v="0.3"/>
    <n v="1.2"/>
    <n v="-0.6"/>
    <n v="1.2"/>
    <n v="200"/>
    <n v="100"/>
    <n v="4.9500000000000002E-2"/>
    <n v="9.9000000000000005E-2"/>
    <n v="830000000"/>
    <n v="566000000"/>
    <n v="0"/>
    <n v="0"/>
    <n v="0"/>
    <n v="0"/>
    <n v="0"/>
    <n v="264000000"/>
    <n v="0"/>
    <n v="0"/>
    <n v="0"/>
    <n v="0"/>
    <n v="0"/>
    <n v="0"/>
    <n v="0"/>
    <n v="0"/>
    <n v="0"/>
    <n v="0"/>
    <n v="0"/>
    <n v="2.9"/>
    <n v="0.16499999999999998"/>
    <n v="145"/>
    <n v="100"/>
    <n v="0.16500000000000001"/>
    <n v="0.16500000000000001"/>
    <n v="0.16500000000000001"/>
    <n v="1"/>
    <n v="0"/>
    <n v="327"/>
    <s v="CONSOLIDAR 4 INICIATIVAS DE INTEGRACIÓN REGIONAL QUE PERMITAN EL APROVECHAMIENTO DEL POTENCIAL DE LAS ECO REGIONES, PARA AVANZAR EN LA CONSTRUCCIÓN DE UN DEPARTAMENTO SOSTENIBLE, EQUITATIVO Y FUNCIONAL, DURANTE EL PRESENTE PERÍODO DE GOBIERNO."/>
    <n v="497"/>
    <s v="UN (1) ESQUEMA ASOCIATIVO CONSTITUIDO INTEGRA RECURSOS Y FORTALECE UNIDAD REGIONAL"/>
    <m/>
    <m/>
    <m/>
    <m/>
    <s v="SE IMPULSÓ DESDE EL DEPARTAMENTO DE CUNDINAMARCA LA REACTIVACIÓN DE LA NAVEGACIÓN EN EL ALTO MAGDALENA, COMO FACTOR DE DESARROLLO ECONÓMICO Y SOCIAL DE LOS MUNICIPIOS RIBEREÑOS Y CONSIDERANDO QUE EL MUNICIPIO DE PUERTO SALGAR EMERGE CON PRIVILEGIO E IMPACTO REGIONAL, AL CONSAGRARSE POR DIRECTRIZ NACIONAL EN EL PUERTO MULTIMODAL PARA LA COMPETITIVIDAD DEL PAÍS._x000a__x000a_SE IMPLEMENTARON ACCIONES DE FORTALECIMIENTO PARA PROMOVER EL DESARROLLO ECONÓMICO REGIONAL A TRAVÉS DE LA PARTICIPACIÓN DE EMPRESARIOS Y DE DESTINOS TURISTICOS DEL DEPARTAMENTO DE CUNDINAMARCA EN LA FERIA COLOMBIA TRADE EXPO MIAMI QUE PERMITIÓ EXPANDIR Y CREAR OPORTUNIDADES INTERNACIONALES DE NEGOCIOS._x000a_PROMOCIÓN DE LA PLANIFICACIÓN Y GESTIÓN INTEGRADA DEL TERRITORIO PARA EL DESARROLLO EQUITATIVO, EQUILIBRADO Y SUSTENTABLE. APORTE FUNDAMENTAL PARA LA PLANEACIÓN, SE DEFINE LA VISIÓN DEL DEPARTAMENTO AL AÑO 2035. SE FIJAN LAS DIRECTRICES PARA EL ORDENAMIENTO TERRITORIAL DEL DEPARTAMENTO DE CUNDINAMARCA A TRAVÉS DE ORDENANZA RADICADA A LA ASAMBLEA DEPARTAMENTAL._x000a_"/>
    <n v="850000000"/>
    <m/>
    <n v="50"/>
  </r>
  <r>
    <n v="499"/>
    <x v="2"/>
    <x v="15"/>
    <x v="24"/>
    <s v="REGIONAL"/>
    <s v="IMPLEMENTAR 10 ALIANZAS ESTRATÉGICAS DE INTEGRACIÓN PARA EL DESARROLLO COMPETITIVO DE LA REGIÓN BOGOTÁ - CUNDINAMARCA CON LA PERSPECTIVA DE ASOCIACIÓN CON OTROS DEPARTAMENTOS LIMÍTROFES, EN EL PERIODO DE GOBIERNO."/>
    <s v="NO DE ALIANZAS ESTRATÉGICAS REGIONALES IMPLEMENTADAS"/>
    <s v="ALIZANZAS"/>
    <s v="I"/>
    <n v="1"/>
    <n v="11"/>
    <n v="10"/>
    <n v="0.25"/>
    <n v="0.1"/>
    <n v="4"/>
    <n v="0.4"/>
    <n v="4"/>
    <n v="4"/>
    <n v="100"/>
    <n v="100"/>
    <n v="0.1"/>
    <n v="100"/>
    <n v="8493000000"/>
    <n v="4693000000"/>
    <n v="0"/>
    <n v="0"/>
    <n v="0"/>
    <n v="3800000000"/>
    <n v="0"/>
    <n v="0"/>
    <n v="0"/>
    <n v="0"/>
    <n v="0"/>
    <n v="0"/>
    <n v="0"/>
    <n v="0"/>
    <n v="0"/>
    <n v="0"/>
    <n v="0"/>
    <n v="0"/>
    <n v="0"/>
    <n v="0.1"/>
    <n v="4"/>
    <n v="0.4"/>
    <n v="4"/>
    <n v="4"/>
    <n v="100"/>
    <n v="100"/>
    <n v="0.1"/>
    <n v="100"/>
    <n v="1937000000"/>
    <n v="0"/>
    <n v="650000000"/>
    <n v="0"/>
    <n v="0"/>
    <n v="0"/>
    <n v="0"/>
    <n v="1287000000"/>
    <n v="5852267060"/>
    <n v="2278085572"/>
    <n v="0"/>
    <n v="0"/>
    <n v="70000000"/>
    <n v="3504181488"/>
    <n v="0"/>
    <n v="0"/>
    <n v="0"/>
    <n v="271459841"/>
    <s v="APAVE,CORPOSUMAPAZ, FENALCO,EMPRESA FERREA MUNICIPIOS DE: NOCAIMA, QUIPILE M, LA PEÑA , MACHETA, QUEBRADANEGRA Y VILLAGOMEZ."/>
    <n v="2.5000000000000001E-2"/>
    <n v="1"/>
    <n v="0.1"/>
    <n v="1"/>
    <n v="1"/>
    <n v="1"/>
    <n v="1"/>
    <n v="100"/>
    <n v="100"/>
    <n v="2.5000000000000001E-2"/>
    <n v="100"/>
    <n v="2.5000000000000001E-2"/>
    <n v="2.5000000000000001E-2"/>
    <n v="1"/>
    <n v="0.1"/>
    <n v="1"/>
    <n v="0"/>
    <n v="1"/>
    <n v="100"/>
    <n v="100"/>
    <n v="2.5000000000000001E-2"/>
    <n v="2.5000000000000001E-2"/>
    <n v="2789000000"/>
    <n v="1500000000"/>
    <n v="0"/>
    <n v="0"/>
    <n v="0"/>
    <n v="0"/>
    <n v="0"/>
    <n v="1289000000"/>
    <n v="0"/>
    <n v="0"/>
    <n v="0"/>
    <n v="0"/>
    <n v="0"/>
    <n v="0"/>
    <n v="0"/>
    <n v="0"/>
    <n v="0"/>
    <n v="0"/>
    <n v="0"/>
    <n v="10"/>
    <n v="0.25"/>
    <n v="100"/>
    <n v="100"/>
    <n v="0.25"/>
    <n v="0.25"/>
    <n v="0.25"/>
    <n v="1"/>
    <n v="0"/>
    <n v="327"/>
    <s v="CONSOLIDAR 4 INICIATIVAS DE INTEGRACIÓN REGIONAL QUE PERMITAN EL APROVECHAMIENTO DEL POTENCIAL DE LAS ECO REGIONES, PARA AVANZAR EN LA CONSTRUCCIÓN DE UN DEPARTAMENTO SOSTENIBLE, EQUITATIVO Y FUNCIONAL, DURANTE EL PRESENTE PERÍODO DE GOBIERNO."/>
    <n v="497"/>
    <s v="UN (1) ESQUEMA ASOCIATIVO CONSTITUIDO INTEGRA RECURSOS Y FORTALECE UNIDAD REGIONAL"/>
    <m/>
    <m/>
    <m/>
    <m/>
    <s v="SE APOYARON DIFERENTES PROYECTOS EN TORNO A LA ESTRATEGIA REGIONAL INCLUIDA COMO UNO DE LOS GRANDES TEMAS DE LA INTEGRACIÓN EL CUAL TIENE POR OBJETO EL IMPULSO AL MEJORAMIENTO Y PROMOCIÓN DE ACTIVIDADES QUE GENEREN RECONOCIMIENTO EN LOS ÁMBITOS LOCAL, DEPARTAMENTAL, NACIONAL E INTERNACIONAL COMO: LA IMPLEMENTACIÓN DE LA ALIANZA REGIONAL CON LA CORPORACIÓN MALOKA, CON ESTO SE LOGRÓ UN CAMBIO HACÍA UNA CULTURA BASADA EN EL CONOCIMIENTO QUE INCORPORA EL DESARROLLO TECNOLÓGICO A LA COTIDIANIDAD DE LA POBLACIÓN, SE REALIZARON ACTIVIDADES QUE REDUNDARON EN BENEFICIO DE LA CIUDADANÍA, APORTANDO A NUEVAS FORMAS DE CONSTRUCCIÓN COLECTIVA Y GENERACIÓN DE NUEVOS CONOCIMIENTOS. _x000a_LA CONSOLIDACIÓN DE LA RAPE REGIÓN CENTRAL QUE VA MÁS ALLÁ DE SER UN SIMPLE EJERCICIO DE PLANIFICACIÓN, PARA POSICIONARSE COMO UNA APUESTA POR EL DESARROLLO ECONÓMICO Y SOCIAL DEL TERRITORIO. LA RAPE BUSCA CONSOLIDAR UN MODELO DE DESARROLLO CARACTERIZADO POR LA INCLUSIÓN SOCIAL, EL CONOCIMIENTO, EL RECONOCIMIENTO A LA DIFERENCIA POBLACIONAL, DE GÉNERO, ÉTNICA Y TERRITORIAL, AL TIEMPO QUE AVANZA EN LA DISMINUCIÓN DE LA POBREZA, EL RESTABLECIMIENTO DE LOS DERECHOS DE LAS VÍCTIMAS DEL CONFLICTO ARMADO COMO CONTRIBUCIÓN A LA CONSTRUCCIÓN DE PAZ._x000a_EN EL MARCO DE LA LAS ALIANZAS SUSCRITAS CON LAS DIFERENTES PROVINCIAS DEL DEPARTAMENTO SE REALIZARON ACCIONES DE DESARROLLO TURÍSTICO REGIONAL E INTERCAMBIO CULTURAL LO CUAL PERMITE POTENCIALIZAR NUESTROS RECURSOS Y CREAR IDENTIDAD Y PERTENENCIA TERRITORIAL, COMO ESTRATEGIA DE INTEGRACIÓN REGIONAL._x000a_CONTINUANDO CON LA IMPLEMENTACIÓN DE LA ALIANZA REGIONAL CON FENALCO SE PROMOVIENDO EL DESARROLLO ECONÓMICO REGIONAL, A TRAVÉS DEL APOYO PARA IMPULSAR PRODUCTIVAMENTE A LOS MICROEMPRESARIOS DE VARIOS MUNICIPIOS. _x000a_IMPLEMENTANDO LA ALIANZA ESTRATÉGICA DE INTEGRACIÓN REGIONAL ENTRE LA SECRETARÍA Y EL CONSEJO NACIONAL DE ARTES Y OFICIOS –CONAF Y LA FUNDACIÓN PARQUE MUSEO FUERZAS MILITARES SE REALIZARON ACCIONES QUE PERMITEN GENERAR ESPACIOS ENCAMINADOS A LA PROMOCIÓN Y FOMENTO DE LAS EXPRESIONES ARTÍSTICAS, CULTURALES Y ARTESANALES EN LOS PROCESOS DE IDENTIDAD REGIONAL, ARTICULANDO CON OTRAS ENTIDADES MISIONALES Y COOPERANTES DEL DEPARTAMENTO._x000a_CONTINUANDO CON LA IMPLEMENTACION DE LA ALIANZA  FIRMADA CON BOGOTA PARA EL METRO LIGERO REGIONAL URBANO BOGOTA-CUNDINAMARCA SE PRESENTO Y SE APROBO POR PARTE DEL SISTEMA GENERAL DE REGALIAS EL PROYECTO PARA EL LEVANTAMIENTO DE INVENTARIO DE LOS CORREDORES FERREOS DEL DEPARTAMENTO DE CUNDINAMARCA Y BOGOTA D.C_x000a_"/>
    <n v="3500000000"/>
    <m/>
    <n v="3"/>
  </r>
  <r>
    <n v="500"/>
    <x v="2"/>
    <x v="15"/>
    <x v="24"/>
    <s v="SUBREGIONAL"/>
    <s v="IMPLEMENTAR 13 ALIANZAS ESTRATÉGICAS DE INTEGRACIÓN A ESCALA SUBREGIONAL, EN EL PERIODO DE GOBIERNO, PARA LA DESCONCENTRACIÓN Y ESPECIALIZACIÓN DE LAS VOCACIONES Y POTENCIALIDADES SOCIALES, CULTURALES, AMBIENTALES Y ECONÓMICAS DE LOS TERRITORIOS."/>
    <s v="NO DE ALIANZAS ESTRATÉGICAS SUB REGIONALES IMPLEMENTADAS"/>
    <s v="ALIZANZAS"/>
    <s v="I"/>
    <n v="1"/>
    <n v="14"/>
    <n v="13"/>
    <n v="0.25"/>
    <n v="5.7692307692307696E-2"/>
    <n v="3"/>
    <n v="0.23076923076923078"/>
    <n v="3"/>
    <n v="3"/>
    <n v="100"/>
    <n v="100"/>
    <n v="5.7692307692307689E-2"/>
    <n v="100"/>
    <n v="365000000"/>
    <n v="365000000"/>
    <n v="0"/>
    <n v="0"/>
    <n v="0"/>
    <n v="0"/>
    <n v="0"/>
    <n v="0"/>
    <n v="0"/>
    <n v="0"/>
    <n v="0"/>
    <n v="0"/>
    <n v="0"/>
    <n v="0"/>
    <n v="0"/>
    <n v="0"/>
    <n v="0"/>
    <n v="0"/>
    <n v="0"/>
    <n v="5.7692307692307696E-2"/>
    <n v="3"/>
    <n v="0.23076923076923078"/>
    <n v="3"/>
    <n v="3"/>
    <n v="100"/>
    <n v="100"/>
    <n v="5.7692307692307689E-2"/>
    <n v="100"/>
    <n v="1860000000"/>
    <n v="0"/>
    <n v="910000000"/>
    <n v="0"/>
    <n v="0"/>
    <n v="0"/>
    <n v="0"/>
    <n v="950000000"/>
    <n v="908000000"/>
    <n v="908000000"/>
    <n v="0"/>
    <n v="0"/>
    <n v="0"/>
    <n v="0"/>
    <n v="0"/>
    <n v="0"/>
    <n v="0"/>
    <n v="444493000"/>
    <s v="CONAF, SEDECON , LOS MUNICIPIOS DE: GACHETA,SUBACHOQUE, SAN BERNARDO,MACHETA,QUETAME, CAHIPAY, ANOLAIMA,LA PALMA, COTA,PACHO, PAIME CAPARRAPI , GUACHETA,ARBELAEZ"/>
    <n v="7.6923076923076927E-2"/>
    <n v="4"/>
    <n v="0.30769230769230771"/>
    <n v="1"/>
    <n v="1"/>
    <n v="5"/>
    <n v="5"/>
    <n v="125"/>
    <n v="100"/>
    <n v="7.6923076923076927E-2"/>
    <n v="100"/>
    <n v="9.6153846153846173E-2"/>
    <n v="5.7692307692307696E-2"/>
    <n v="3"/>
    <n v="0.23076923076923078"/>
    <n v="3"/>
    <n v="0"/>
    <n v="3"/>
    <n v="100"/>
    <n v="100"/>
    <n v="5.7692307692307689E-2"/>
    <n v="5.7692307692307689E-2"/>
    <n v="3050000000"/>
    <n v="2100000000"/>
    <n v="0"/>
    <n v="0"/>
    <n v="0"/>
    <n v="0"/>
    <n v="0"/>
    <n v="950000000"/>
    <n v="0"/>
    <n v="0"/>
    <n v="0"/>
    <n v="0"/>
    <n v="0"/>
    <n v="0"/>
    <n v="0"/>
    <n v="0"/>
    <n v="0"/>
    <n v="0"/>
    <n v="0"/>
    <n v="14"/>
    <n v="0.25"/>
    <n v="107.69230769230769"/>
    <n v="100"/>
    <n v="0.25"/>
    <n v="0.25"/>
    <n v="0.25"/>
    <n v="1"/>
    <n v="0"/>
    <n v="327"/>
    <s v="CONSOLIDAR 4 INICIATIVAS DE INTEGRACIÓN REGIONAL QUE PERMITAN EL APROVECHAMIENTO DEL POTENCIAL DE LAS ECO REGIONES, PARA AVANZAR EN LA CONSTRUCCIÓN DE UN DEPARTAMENTO SOSTENIBLE, EQUITATIVO Y FUNCIONAL, DURANTE EL PRESENTE PERÍODO DE GOBIERNO."/>
    <n v="497"/>
    <s v="UN (1) ESQUEMA ASOCIATIVO CONSTITUIDO INTEGRA RECURSOS Y FORTALECE UNIDAD REGIONAL"/>
    <m/>
    <m/>
    <m/>
    <m/>
    <s v="EN EL DESARROLLO DE LA IMPLEMENTACION DE LAS 13 ALIANZAS SUBREGIONALES SE REALIZARON DIFERENTES ACCIONES PARA EL APOYO A LA REALIZACIÓN DE EVENTOS QUE CONTRIBUYE AL FORTALECIMIENTO DE LA INTEGRACIÓN SUBREGIONAL, CON EL FIN DE GENERAR OPORTUNIDADES ECONÓMICAS A TRAVÉS DEL FOMENTO Y LA PROMOCIÓN DE LA OFERTA TURÍSTICA Y CULTURAL._x000a_SE APOYO LA ESTRUCTURACIÓN DE PROGRAMAS Y ESTRATEGIAS SOBRE SEGURIDAD ALIMENTARIA Y DE DESARROLLO SOSTENIBLE  DE NUESTRO DEPARTAMENTO A TRAVÉS DE LA  INTEGRACIÓN CAMPESINA REGIONAL CON CALIDAD DE VIDA, SE LOGRÓO SENCIBILIZAR Y CAPACITAR A LOS BENEFICIARIOS DEL PROYECTO EN HERRAMIENTAS DE PARTICIPACION COMUNITARIA, SEGURIDAD ALIMENTARIA Y NUTRICIONAL OFRECIENDO ALIMENTOS DE ALTO VALOR BIOLÓGICO Y GRAN DISPONIBILIDAD,  APROVECHANDO RECURSOS PRESENTES EN SUS PARCELAS Y AUN BAJO COSTO Y ESFUERZO,  OFRECIENDO UNA FUENTE DE INGRESOS ADICIONAL QUE PUEDEN UTILIZAR PARA COMPLEMENTAR LA DIETA FAMILIAR. _x000a_"/>
    <n v="828000000"/>
    <m/>
    <n v="1"/>
  </r>
  <r>
    <n v="501"/>
    <x v="3"/>
    <x v="2"/>
    <x v="25"/>
    <s v="SEGURIDAD URBANA Y RURAL"/>
    <s v="COORDINAR CON LA POLICÍA EL AUMENTO DE PIE DE FUERZA EN 40 MUNICIPIOS DEL DEPARTAMENTO PARA GARANTIZAR LA SEGURIDAD, DURANTE EL PERÍODO DE GOBIERNO."/>
    <s v="MUNICIPIOS CON MAYOR PIE DE FUERZA"/>
    <s v="MUNICIPIOS"/>
    <s v="I"/>
    <n v="0"/>
    <n v="40"/>
    <n v="40"/>
    <n v="0.16500000000000001"/>
    <n v="8.2500000000000004E-2"/>
    <n v="20"/>
    <n v="0.5"/>
    <n v="32"/>
    <n v="32"/>
    <n v="160"/>
    <n v="100"/>
    <n v="8.2500000000000004E-2"/>
    <n v="100"/>
    <n v="1650000000"/>
    <n v="1650000000"/>
    <n v="0"/>
    <n v="0"/>
    <n v="0"/>
    <n v="0"/>
    <n v="0"/>
    <n v="0"/>
    <n v="1650000000"/>
    <n v="1650000000"/>
    <n v="0"/>
    <n v="0"/>
    <n v="0"/>
    <n v="0"/>
    <n v="0"/>
    <n v="0"/>
    <n v="0"/>
    <n v="1815000000"/>
    <s v="MUNICIPIOS"/>
    <n v="4.1250000000000002E-2"/>
    <n v="10"/>
    <n v="0.25"/>
    <n v="10"/>
    <n v="10"/>
    <n v="100"/>
    <n v="100"/>
    <n v="4.1250000000000002E-2"/>
    <n v="100"/>
    <n v="577000000"/>
    <n v="0"/>
    <n v="577000000"/>
    <n v="0"/>
    <n v="0"/>
    <n v="0"/>
    <n v="0"/>
    <n v="0"/>
    <n v="300000000"/>
    <n v="300000000"/>
    <n v="0"/>
    <n v="0"/>
    <n v="0"/>
    <n v="0"/>
    <n v="0"/>
    <n v="0"/>
    <n v="0"/>
    <n v="1650000000"/>
    <s v="RECURSOS APORTADOR POR LA ENTIDADES TERRITORIALES PARA EL AUMENTO DEL PIE DE FUERZA"/>
    <n v="2.0625000000000001E-2"/>
    <n v="5"/>
    <n v="0.125"/>
    <n v="4"/>
    <n v="0"/>
    <n v="0"/>
    <n v="0"/>
    <n v="0"/>
    <n v="0"/>
    <n v="0"/>
    <n v="0"/>
    <n v="0"/>
    <n v="2.0625000000000001E-2"/>
    <n v="5"/>
    <n v="0.125"/>
    <n v="0"/>
    <n v="5"/>
    <n v="0"/>
    <n v="0"/>
    <n v="0"/>
    <n v="0"/>
    <n v="0"/>
    <n v="612000000"/>
    <n v="612000000"/>
    <n v="0"/>
    <n v="0"/>
    <n v="0"/>
    <n v="0"/>
    <n v="0"/>
    <n v="0"/>
    <n v="0"/>
    <n v="0"/>
    <n v="0"/>
    <n v="0"/>
    <n v="0"/>
    <n v="0"/>
    <n v="0"/>
    <n v="0"/>
    <n v="0"/>
    <n v="0"/>
    <n v="0"/>
    <n v="42"/>
    <n v="0.16500000000000001"/>
    <n v="105"/>
    <n v="100"/>
    <n v="0.16500000000000001"/>
    <n v="0.16500000000000001"/>
    <n v="0.16500000000000001"/>
    <n v="1"/>
    <n v="0"/>
    <n v="611"/>
    <s v="REDUCIR EN UN 20% LA FRECUENCIA DE LOS DELITOS QUE ATENTEN LA SEGURIDAD CIUDADANA Y DEMOCRÁTICA, EN EL DEPARTAMENTO DURANTE EL PERIODO DE GOBIERNO. "/>
    <m/>
    <s v=""/>
    <m/>
    <m/>
    <m/>
    <m/>
    <s v="SE COORDINO CON LA POLICIA NACIONAL EL AUMENTO DEL PIE DE FUERZA EN AL MENOS 42 MUNICIPIOS DEL DEPARTAMENTO"/>
    <n v="0"/>
    <m/>
    <n v="1"/>
  </r>
  <r>
    <n v="502"/>
    <x v="3"/>
    <x v="2"/>
    <x v="25"/>
    <s v="SEGURIDAD URBANA Y RURAL"/>
    <s v="FORTALECER 15 PROVINCIAS EN SEGURIDAD MEDIANTE LAS COMUNICACIONES, TECNOLOGÍA, MOVILIDAD, LOGÍSTICA, DOTACIONES, DURANTE EL PERIODO DE GOBIERNO. "/>
    <s v="NO DE PROVINCIAS APOYADAS "/>
    <s v="PROVINCIAS"/>
    <s v="M"/>
    <n v="0"/>
    <n v="15"/>
    <n v="15"/>
    <n v="0.16500000000000001"/>
    <n v="4.1250000000000002E-2"/>
    <n v="15"/>
    <n v="0.25"/>
    <n v="15"/>
    <n v="3.75"/>
    <n v="100"/>
    <n v="100"/>
    <n v="4.1250000000000002E-2"/>
    <n v="100"/>
    <n v="13267000000"/>
    <n v="8884000000"/>
    <n v="0"/>
    <n v="4295000000"/>
    <n v="0"/>
    <n v="0"/>
    <n v="0"/>
    <n v="88000000"/>
    <n v="5649953000"/>
    <n v="5649953000"/>
    <n v="0"/>
    <n v="0"/>
    <n v="0"/>
    <n v="0"/>
    <n v="0"/>
    <n v="0"/>
    <n v="0"/>
    <n v="6933226000"/>
    <s v="MINISTERIO DEL INTERIOR"/>
    <n v="4.1250000000000002E-2"/>
    <n v="15"/>
    <n v="0.25"/>
    <n v="15"/>
    <n v="3.75"/>
    <n v="100"/>
    <n v="100"/>
    <n v="4.1250000000000002E-2"/>
    <n v="100"/>
    <n v="1942000000"/>
    <n v="0"/>
    <n v="1942000000"/>
    <n v="0"/>
    <n v="0"/>
    <n v="0"/>
    <n v="0"/>
    <n v="0"/>
    <n v="15340458453"/>
    <n v="15340458453"/>
    <n v="0"/>
    <n v="0"/>
    <n v="0"/>
    <n v="0"/>
    <n v="0"/>
    <n v="0"/>
    <n v="0"/>
    <n v="10058874880"/>
    <s v="FONSECON "/>
    <n v="4.1250000000000002E-2"/>
    <n v="15"/>
    <n v="0.25"/>
    <n v="15"/>
    <n v="15"/>
    <n v="15"/>
    <n v="3.75"/>
    <n v="100"/>
    <n v="100"/>
    <n v="4.1250000000000002E-2"/>
    <n v="100"/>
    <n v="4.1250000000000002E-2"/>
    <n v="4.1250000000000002E-2"/>
    <n v="3"/>
    <n v="0.25"/>
    <n v="15"/>
    <n v="-12"/>
    <n v="3.75"/>
    <n v="500"/>
    <n v="100"/>
    <n v="4.1250000000000002E-2"/>
    <n v="0.20624999999999999"/>
    <n v="2060000000"/>
    <n v="2060000000"/>
    <n v="0"/>
    <n v="0"/>
    <n v="0"/>
    <n v="0"/>
    <n v="0"/>
    <n v="0"/>
    <n v="0"/>
    <n v="0"/>
    <n v="0"/>
    <n v="0"/>
    <n v="0"/>
    <n v="0"/>
    <n v="0"/>
    <n v="0"/>
    <n v="0"/>
    <n v="0"/>
    <n v="0"/>
    <n v="15"/>
    <n v="0.16500000000000001"/>
    <n v="100"/>
    <n v="100"/>
    <n v="0.16500000000000001"/>
    <n v="0.16500000000000001"/>
    <n v="0.16500000000000001"/>
    <n v="1"/>
    <n v="0"/>
    <n v="611"/>
    <s v="REDUCIR EN UN 20% LA FRECUENCIA DE LOS DELITOS QUE ATENTEN LA SEGURIDAD CIUDADANA Y DEMOCRÁTICA, EN EL DEPARTAMENTO DURANTE EL PERIODO DE GOBIERNO. "/>
    <m/>
    <s v=""/>
    <m/>
    <m/>
    <m/>
    <m/>
    <s v="FORTALECIMIENTO DE LA FUERZA PUBLICA EN DOTACION LOGISTICA Y COMUNICIACIONES CON EL FIN DE SATISFACER LA NECESIDADES DE LA CONVIVIENCIA CIUDADANA EN EL DEPARTAMENTO DE CUNDINAMARCA."/>
    <n v="150000000"/>
    <m/>
    <n v="0"/>
  </r>
  <r>
    <n v="503"/>
    <x v="3"/>
    <x v="2"/>
    <x v="25"/>
    <s v="SEGURIDAD URBANA Y RURAL"/>
    <s v="MEJORAR 5 INSTALACIONES DE LA FUERZA PÚBLICA ADECUADAS O REMODELADAS AL SERVICIO DE LA SEGURIDAD EN EL DEPARTAMENTO, DURANTE EL PERIODO DE GOBIERNO."/>
    <s v="NO. DE INSTALACIONES DE LA FUERZA PÚBLICA ADECUADAS O REMODELADAS."/>
    <s v="INSTALACIONES"/>
    <s v="I"/>
    <n v="0"/>
    <n v="5"/>
    <n v="5"/>
    <n v="0.16500000000000001"/>
    <n v="0"/>
    <n v="0"/>
    <n v="0"/>
    <n v="0"/>
    <n v="0"/>
    <n v="0"/>
    <n v="0"/>
    <n v="0"/>
    <n v="0"/>
    <n v="1290000000"/>
    <n v="1290000000"/>
    <n v="0"/>
    <n v="0"/>
    <n v="0"/>
    <n v="0"/>
    <n v="0"/>
    <n v="0"/>
    <n v="0"/>
    <n v="0"/>
    <n v="0"/>
    <n v="0"/>
    <n v="0"/>
    <n v="0"/>
    <n v="0"/>
    <n v="0"/>
    <n v="0"/>
    <n v="0"/>
    <n v="0"/>
    <n v="6.6000000000000003E-2"/>
    <n v="2"/>
    <n v="0.4"/>
    <n v="6"/>
    <n v="6"/>
    <n v="300"/>
    <n v="100"/>
    <n v="6.6000000000000003E-2"/>
    <n v="100"/>
    <n v="527000000"/>
    <n v="0"/>
    <n v="527000000"/>
    <n v="0"/>
    <n v="0"/>
    <n v="0"/>
    <n v="0"/>
    <n v="0"/>
    <n v="1212569000"/>
    <n v="1212569000"/>
    <n v="0"/>
    <n v="0"/>
    <n v="0"/>
    <n v="0"/>
    <n v="0"/>
    <n v="0"/>
    <n v="0"/>
    <n v="0"/>
    <n v="0"/>
    <n v="3.3000000000000002E-2"/>
    <n v="1"/>
    <n v="0.2"/>
    <n v="2"/>
    <n v="2"/>
    <n v="3"/>
    <n v="3"/>
    <n v="300"/>
    <n v="100"/>
    <n v="3.3000000000000002E-2"/>
    <n v="100"/>
    <n v="9.9000000000000005E-2"/>
    <n v="6.6000000000000003E-2"/>
    <n v="2"/>
    <n v="0.4"/>
    <n v="5"/>
    <n v="-3"/>
    <n v="5"/>
    <n v="250"/>
    <n v="100"/>
    <n v="6.6000000000000003E-2"/>
    <n v="0.16500000000000001"/>
    <n v="559000000"/>
    <n v="559000000"/>
    <n v="0"/>
    <n v="0"/>
    <n v="0"/>
    <n v="0"/>
    <n v="0"/>
    <n v="0"/>
    <n v="0"/>
    <n v="0"/>
    <n v="0"/>
    <n v="0"/>
    <n v="0"/>
    <n v="0"/>
    <n v="0"/>
    <n v="0"/>
    <n v="0"/>
    <n v="0"/>
    <n v="0"/>
    <n v="14"/>
    <n v="0.16500000000000001"/>
    <n v="280"/>
    <n v="100"/>
    <n v="0.16500000000000001"/>
    <n v="0.16500000000000001"/>
    <n v="0.16500000000000001"/>
    <n v="1"/>
    <n v="0"/>
    <n v="611"/>
    <s v="REDUCIR EN UN 20% LA FRECUENCIA DE LOS DELITOS QUE ATENTEN LA SEGURIDAD CIUDADANA Y DEMOCRÁTICA, EN EL DEPARTAMENTO DURANTE EL PERIODO DE GOBIERNO. "/>
    <m/>
    <s v=""/>
    <m/>
    <m/>
    <m/>
    <m/>
    <s v="MEJORARON 6 INSTALACIONES DE LA FUERZA PUBLICA EN DEPARTAMENTO DE CUNDINAMARCA LOGRANDO EL CUMPLIMIENTO DE LA META EN EL 2013"/>
    <n v="2775000000"/>
    <m/>
    <n v="1"/>
  </r>
  <r>
    <n v="504"/>
    <x v="3"/>
    <x v="2"/>
    <x v="25"/>
    <s v="SEGURIDAD URBANA Y RURAL"/>
    <s v="COFINANCIAR 5 INSTALACIONES NUEVAS DE LA FUERZA PÚBLICA AL SERVICIO DE LA SEGURIDAD EN EL DEPARTAMENTO, DURANTE EL PERIODO DE GOBIERNO."/>
    <s v="NO. DE INSTALACIONES DE LA FUERZA PÚBLICA NUEVAS CONSTRUIDAS"/>
    <s v="INSTALACIONES"/>
    <s v="I"/>
    <n v="0"/>
    <n v="5"/>
    <n v="5"/>
    <n v="0.16500000000000001"/>
    <n v="6.6000000000000003E-2"/>
    <n v="2"/>
    <n v="0.4"/>
    <n v="2"/>
    <n v="2"/>
    <n v="100"/>
    <n v="100"/>
    <n v="6.6000000000000003E-2"/>
    <n v="100"/>
    <n v="281000000"/>
    <n v="281000000"/>
    <n v="0"/>
    <n v="0"/>
    <n v="0"/>
    <n v="0"/>
    <n v="0"/>
    <n v="0"/>
    <n v="280583000"/>
    <n v="280583000"/>
    <n v="0"/>
    <n v="0"/>
    <n v="0"/>
    <n v="0"/>
    <n v="0"/>
    <n v="0"/>
    <n v="0"/>
    <n v="0"/>
    <n v="0"/>
    <n v="3.3000000000000002E-2"/>
    <n v="1"/>
    <n v="0.2"/>
    <n v="1"/>
    <n v="1"/>
    <n v="100"/>
    <n v="100"/>
    <n v="3.3000000000000002E-2"/>
    <n v="100"/>
    <n v="2499000000"/>
    <n v="0"/>
    <n v="2499000000"/>
    <n v="0"/>
    <n v="0"/>
    <n v="0"/>
    <n v="0"/>
    <n v="0"/>
    <n v="150000000"/>
    <n v="150000000"/>
    <n v="0"/>
    <n v="0"/>
    <n v="0"/>
    <n v="0"/>
    <n v="0"/>
    <n v="0"/>
    <n v="0"/>
    <n v="0"/>
    <n v="0"/>
    <n v="3.3000000000000002E-2"/>
    <n v="1"/>
    <n v="0.2"/>
    <n v="3"/>
    <n v="0"/>
    <n v="3"/>
    <n v="3"/>
    <n v="300"/>
    <n v="100"/>
    <n v="3.3000000000000002E-2"/>
    <n v="100"/>
    <n v="9.9000000000000005E-2"/>
    <n v="3.3000000000000002E-2"/>
    <n v="1"/>
    <n v="0.2"/>
    <n v="2"/>
    <n v="-1"/>
    <n v="2"/>
    <n v="200"/>
    <n v="100"/>
    <n v="3.3000000000000002E-2"/>
    <n v="6.6000000000000003E-2"/>
    <n v="2651000000"/>
    <n v="2651000000"/>
    <n v="0"/>
    <n v="0"/>
    <n v="0"/>
    <n v="0"/>
    <n v="0"/>
    <n v="0"/>
    <n v="0"/>
    <n v="0"/>
    <n v="0"/>
    <n v="0"/>
    <n v="0"/>
    <n v="0"/>
    <n v="0"/>
    <n v="0"/>
    <n v="0"/>
    <n v="0"/>
    <n v="0"/>
    <n v="8"/>
    <n v="0.16500000000000001"/>
    <n v="160"/>
    <n v="100"/>
    <n v="0.16500000000000001"/>
    <n v="0.16500000000000001"/>
    <n v="0.16500000000000001"/>
    <n v="1"/>
    <n v="0"/>
    <n v="611"/>
    <s v="REDUCIR EN UN 20% LA FRECUENCIA DE LOS DELITOS QUE ATENTEN LA SEGURIDAD CIUDADANA Y DEMOCRÁTICA, EN EL DEPARTAMENTO DURANTE EL PERIODO DE GOBIERNO. "/>
    <m/>
    <s v=""/>
    <m/>
    <m/>
    <m/>
    <m/>
    <s v="CONSTRUCCION DE LA ESTACION DE POLICIA DEL MUNICIPIO DE SIBATE EN EL DEPARTAMENTO DE CUNDINAMARCA"/>
    <n v="400000000"/>
    <m/>
    <n v="0"/>
  </r>
  <r>
    <n v="505"/>
    <x v="3"/>
    <x v="2"/>
    <x v="25"/>
    <s v="SEGURIDAD URBANA Y RURAL"/>
    <s v="IMPLEMETACÓN DE OBSERVATORIO PARA LA SEGURIDAD Y CONVIVENCIA CIUDADANA CON EL PROPÓSITO DE MEJORAR LA CAPACIDAD DE REACCIÓN DE LAS AUTORIDADES QUE PERMITAN REALIZAR UN SEGUIMIENTO Y MONITOREO EN EL DEPARTAMENTO DE CUNDINAMARCA"/>
    <s v="SISTEMA DE OBSERVACIÓN DELINCUENCIAL"/>
    <s v="OBSERVATORIO"/>
    <s v="I"/>
    <n v="0"/>
    <n v="1"/>
    <n v="1"/>
    <n v="0.16500000000000001"/>
    <n v="0"/>
    <n v="0"/>
    <n v="0"/>
    <n v="0"/>
    <n v="0"/>
    <n v="0"/>
    <n v="0"/>
    <n v="0"/>
    <n v="0"/>
    <n v="50000000"/>
    <n v="50000000"/>
    <n v="0"/>
    <n v="0"/>
    <n v="0"/>
    <n v="0"/>
    <n v="0"/>
    <n v="0"/>
    <n v="0"/>
    <n v="0"/>
    <n v="0"/>
    <n v="0"/>
    <n v="0"/>
    <n v="0"/>
    <n v="0"/>
    <n v="0"/>
    <n v="0"/>
    <n v="0"/>
    <n v="0"/>
    <n v="8.2500000000000004E-2"/>
    <n v="0.5"/>
    <n v="0.5"/>
    <n v="1"/>
    <n v="1"/>
    <n v="200"/>
    <n v="100"/>
    <n v="8.2500000000000004E-2"/>
    <n v="100"/>
    <n v="38000000"/>
    <n v="0"/>
    <n v="38000000"/>
    <n v="0"/>
    <n v="0"/>
    <n v="0"/>
    <n v="0"/>
    <n v="0"/>
    <n v="208850000"/>
    <n v="208850000"/>
    <n v="0"/>
    <n v="0"/>
    <n v="0"/>
    <n v="0"/>
    <n v="0"/>
    <n v="0"/>
    <n v="0"/>
    <n v="0"/>
    <n v="0"/>
    <n v="0"/>
    <n v="0"/>
    <n v="0"/>
    <n v="0"/>
    <n v="0"/>
    <n v="0"/>
    <n v="0"/>
    <n v="0"/>
    <n v="0"/>
    <n v="0"/>
    <n v="0"/>
    <n v="0"/>
    <n v="8.2500000000000004E-2"/>
    <n v="0.5"/>
    <n v="0.5"/>
    <n v="1"/>
    <n v="-0.5"/>
    <n v="1"/>
    <n v="200"/>
    <n v="100"/>
    <n v="8.2500000000000004E-2"/>
    <n v="0.16500000000000001"/>
    <n v="41000000"/>
    <n v="41000000"/>
    <n v="0"/>
    <n v="0"/>
    <n v="0"/>
    <n v="0"/>
    <n v="0"/>
    <n v="0"/>
    <n v="0"/>
    <n v="0"/>
    <n v="0"/>
    <n v="0"/>
    <n v="0"/>
    <n v="0"/>
    <n v="0"/>
    <n v="0"/>
    <n v="0"/>
    <n v="0"/>
    <n v="0"/>
    <n v="2"/>
    <n v="0.16500000000000001"/>
    <n v="200"/>
    <n v="100"/>
    <n v="0.16500000000000001"/>
    <n v="0.16500000000000001"/>
    <n v="0.16500000000000001"/>
    <n v="1"/>
    <n v="0"/>
    <n v="611"/>
    <s v="REDUCIR EN UN 20% LA FRECUENCIA DE LOS DELITOS QUE ATENTEN LA SEGURIDAD CIUDADANA Y DEMOCRÁTICA, EN EL DEPARTAMENTO DURANTE EL PERIODO DE GOBIERNO. "/>
    <m/>
    <s v=""/>
    <m/>
    <m/>
    <m/>
    <m/>
    <s v="DESDE EL MES DE SEPTIEMBRE SE HA IMPLEMENTADO EL OBSERVATORIO DE LA DELICUENCIA DEL DELITO EN EL DEPARTAMENTO APOYO PERMANENTE DE LA FISCALIA GENERAL DE LA NACION, SIGIN, DIGIN Y COOPERACION CON LA POLICIA DEL DISTRITO DE BOGOTA CON EL FIN DE CRUZAR INFORMACION PARA BAJAR LOS INDICIDES DE DELICIENCIA, HOMICIDIOS, HURTOS, ROBOS DOMICILIARIOS Y DEMAS"/>
    <n v="900000000"/>
    <m/>
    <n v="0"/>
  </r>
  <r>
    <n v="506"/>
    <x v="3"/>
    <x v="2"/>
    <x v="25"/>
    <s v="SEGURIDAD URBANA Y RURAL"/>
    <s v="REALIZAR 20 BRIGADAS DE SERVICIO SOCIAL CON COMUNIDADES, ACCIÓN HUMANITARIA Y OPERACIONES ESTRATÉGICAS EN LOS MUNICIPIOS DEL DEPARTAMENTO, DURANTE EL PERIODO DE GOBIERNO"/>
    <s v="NO. DE BRIGADAS DE REALIZADAS"/>
    <s v="BRIGADAS"/>
    <s v="I"/>
    <n v="0"/>
    <n v="20"/>
    <n v="20"/>
    <n v="8.8999999999999996E-2"/>
    <n v="4.45E-3"/>
    <n v="1"/>
    <n v="0.05"/>
    <n v="1"/>
    <n v="1"/>
    <n v="100"/>
    <n v="100"/>
    <n v="4.45E-3"/>
    <n v="100"/>
    <n v="56000000"/>
    <n v="56000000"/>
    <n v="0"/>
    <n v="0"/>
    <n v="0"/>
    <n v="0"/>
    <n v="0"/>
    <n v="0"/>
    <n v="64000000"/>
    <n v="64000000"/>
    <n v="0"/>
    <n v="0"/>
    <n v="0"/>
    <n v="0"/>
    <n v="0"/>
    <n v="0"/>
    <n v="0"/>
    <n v="0"/>
    <n v="0"/>
    <n v="3.1149999999999997E-2"/>
    <n v="7"/>
    <n v="0.35"/>
    <n v="16"/>
    <n v="16"/>
    <n v="228.57142857142858"/>
    <n v="100"/>
    <n v="3.1149999999999997E-2"/>
    <n v="100"/>
    <n v="58000000"/>
    <n v="0"/>
    <n v="58000000"/>
    <n v="0"/>
    <n v="0"/>
    <n v="0"/>
    <n v="0"/>
    <n v="0"/>
    <n v="89500000"/>
    <n v="89500000"/>
    <n v="0"/>
    <n v="0"/>
    <n v="0"/>
    <n v="0"/>
    <n v="0"/>
    <n v="0"/>
    <n v="0"/>
    <n v="0"/>
    <n v="0"/>
    <n v="2.6699999999999998E-2"/>
    <n v="6"/>
    <n v="0.3"/>
    <n v="5"/>
    <n v="11"/>
    <n v="17"/>
    <n v="17"/>
    <n v="283.33333333333331"/>
    <n v="100"/>
    <n v="2.6699999999999998E-2"/>
    <n v="100"/>
    <n v="7.5649999999999981E-2"/>
    <n v="2.6699999999999998E-2"/>
    <n v="6"/>
    <n v="0.3"/>
    <n v="8"/>
    <n v="-2"/>
    <n v="8"/>
    <n v="133.33333333333334"/>
    <n v="100"/>
    <n v="2.6699999999999998E-2"/>
    <n v="3.56E-2"/>
    <n v="61000000"/>
    <n v="61000000"/>
    <n v="0"/>
    <n v="0"/>
    <n v="0"/>
    <n v="0"/>
    <n v="0"/>
    <n v="0"/>
    <n v="0"/>
    <n v="0"/>
    <n v="0"/>
    <n v="0"/>
    <n v="0"/>
    <n v="0"/>
    <n v="0"/>
    <n v="0"/>
    <n v="0"/>
    <n v="0"/>
    <n v="0"/>
    <n v="42"/>
    <n v="8.8999999999999996E-2"/>
    <n v="210"/>
    <n v="100"/>
    <n v="8.900000000000001E-2"/>
    <n v="8.8999999999999996E-2"/>
    <n v="8.8999999999999996E-2"/>
    <n v="1"/>
    <n v="0"/>
    <n v="611"/>
    <s v="REDUCIR EN UN 20% LA FRECUENCIA DE LOS DELITOS QUE ATENTEN LA SEGURIDAD CIUDADANA Y DEMOCRÁTICA, EN EL DEPARTAMENTO DURANTE EL PERIODO DE GOBIERNO. "/>
    <m/>
    <s v=""/>
    <m/>
    <m/>
    <m/>
    <m/>
    <s v="PROGRAMACION DE 16 BRIGADAS EN LOS MUNICIPIOS DE DEPARTAMENTO CON EL FIN DE ACERCA A LA COMUNIDAD LA FUERZA PUBLICA Y HAYA UNA MAYOR INTERACCION CON ELLA Y QUE ACCIONES SOCIALES CONTUNDENTES LA COMUNIDAD SE FORTALECE"/>
    <n v="165000000"/>
    <m/>
    <n v="1"/>
  </r>
  <r>
    <n v="507"/>
    <x v="3"/>
    <x v="2"/>
    <x v="25"/>
    <s v="SEGURIDAD URBANA Y RURAL"/>
    <s v="APOYAR A LOS MUNICIPIOS DEL DEPARTAMENTO EN LA REACTIVACIÓN DE LOS COMITÉS PARA LA PREVENCIÓN DE LA PRODUCCIÓN, COMERCIALIZACIÓN Y CONSUMO DE DROGAS Y SUSTANCIAS PSICOACTIVAS, QUE PROMUEVAN LA PARTICIPACIÓN DE LA CIUDADANÍA Y LA COORDINACIÓN DE LOS ENTES "/>
    <s v="NO. DE COMITÉS REACTIVADOS Y FUNCIONANDO"/>
    <s v="COMITES"/>
    <s v="I"/>
    <n v="0"/>
    <n v="117"/>
    <n v="117"/>
    <n v="0.16500000000000001"/>
    <n v="0"/>
    <n v="0"/>
    <n v="0"/>
    <n v="0"/>
    <n v="0"/>
    <n v="0"/>
    <n v="0"/>
    <n v="0"/>
    <n v="0"/>
    <n v="22000000"/>
    <n v="22000000"/>
    <n v="0"/>
    <n v="0"/>
    <n v="0"/>
    <n v="0"/>
    <n v="0"/>
    <n v="0"/>
    <n v="0"/>
    <n v="0"/>
    <n v="0"/>
    <n v="0"/>
    <n v="0"/>
    <n v="0"/>
    <n v="0"/>
    <n v="0"/>
    <n v="0"/>
    <n v="0"/>
    <n v="0"/>
    <n v="5.5E-2"/>
    <n v="39"/>
    <n v="0.33333333333333331"/>
    <n v="15"/>
    <n v="15"/>
    <n v="38.46153846153846"/>
    <n v="38.46153846153846"/>
    <n v="2.1153846153846155E-2"/>
    <n v="38.46153846153846"/>
    <n v="23000000"/>
    <n v="0"/>
    <n v="23000000"/>
    <n v="0"/>
    <n v="0"/>
    <n v="0"/>
    <n v="0"/>
    <n v="0"/>
    <n v="187877931"/>
    <n v="187877931"/>
    <n v="0"/>
    <n v="0"/>
    <n v="0"/>
    <n v="0"/>
    <n v="0"/>
    <n v="0"/>
    <n v="0"/>
    <n v="0"/>
    <n v="0"/>
    <n v="5.5E-2"/>
    <n v="39"/>
    <n v="0.33333333333333331"/>
    <n v="75"/>
    <n v="75"/>
    <n v="90"/>
    <n v="90"/>
    <n v="230.76923076923077"/>
    <n v="100"/>
    <n v="5.5E-2"/>
    <n v="100"/>
    <n v="0.12692307692307694"/>
    <n v="5.5E-2"/>
    <n v="39"/>
    <n v="0.33333333333333331"/>
    <n v="39"/>
    <n v="0"/>
    <n v="39"/>
    <n v="100"/>
    <n v="100"/>
    <n v="5.5E-2"/>
    <n v="5.5E-2"/>
    <n v="24000000"/>
    <n v="24000000"/>
    <n v="0"/>
    <n v="0"/>
    <n v="0"/>
    <n v="0"/>
    <n v="0"/>
    <n v="0"/>
    <n v="0"/>
    <n v="0"/>
    <n v="0"/>
    <n v="0"/>
    <n v="0"/>
    <n v="0"/>
    <n v="0"/>
    <n v="0"/>
    <n v="0"/>
    <n v="0"/>
    <n v="0"/>
    <n v="144"/>
    <n v="0.16500000000000001"/>
    <n v="123.07692307692308"/>
    <n v="100"/>
    <n v="0.16500000000000001"/>
    <n v="0.16500000000000001"/>
    <n v="0.16500000000000001"/>
    <n v="1"/>
    <n v="0"/>
    <n v="611"/>
    <s v="REDUCIR EN UN 20% LA FRECUENCIA DE LOS DELITOS QUE ATENTEN LA SEGURIDAD CIUDADANA Y DEMOCRÁTICA, EN EL DEPARTAMENTO DURANTE EL PERIODO DE GOBIERNO. "/>
    <m/>
    <s v=""/>
    <m/>
    <m/>
    <m/>
    <m/>
    <s v="SE HA APOYODO AL REDERDOR DE 15 MUNICIPIO EN SU ACTIVACION DE LOS COMITES PARA LA PREVENCION DE LA PRODUCCION COMERCIALIZACIN Y CONSUMO DE DROGAS Y SUSTANCIAS PSICOACTIVAS EN DONDE SE PROMUEVE LA PARTICIAPACION CIUDADANA."/>
    <n v="55000000"/>
    <m/>
    <n v="1"/>
  </r>
  <r>
    <n v="508"/>
    <x v="3"/>
    <x v="2"/>
    <x v="25"/>
    <s v="ACCESO Y FORTALECIMIENTO DE LA JUSTICIA"/>
    <s v="MEJORAR LAS CONDICIONES DE LAS ENTIDADES QUE PRESTAN SERVICIO A LA JUSTICIA, APOYANDO LA DOTACIÓN, CONSTRUCCIÓN, Y/O ADECUACIÓN DE 4 CENTROS ADMINISTRADORES."/>
    <s v="NO. DE ENTIDADES QUE ADMINISTRAN JUSTICIA APOYADAS."/>
    <s v="CENTROS"/>
    <s v="I"/>
    <n v="0"/>
    <n v="4"/>
    <n v="4"/>
    <n v="8.8999999999999996E-2"/>
    <n v="0"/>
    <n v="0"/>
    <n v="0"/>
    <n v="0"/>
    <n v="0"/>
    <n v="0"/>
    <n v="0"/>
    <n v="0"/>
    <n v="0"/>
    <n v="50000000"/>
    <n v="50000000"/>
    <n v="0"/>
    <n v="0"/>
    <n v="0"/>
    <n v="0"/>
    <n v="0"/>
    <n v="0"/>
    <n v="0"/>
    <n v="0"/>
    <n v="0"/>
    <n v="0"/>
    <n v="0"/>
    <n v="0"/>
    <n v="0"/>
    <n v="0"/>
    <n v="0"/>
    <n v="0"/>
    <n v="0"/>
    <n v="4.4499999999999998E-2"/>
    <n v="2"/>
    <n v="0.5"/>
    <n v="2"/>
    <n v="2"/>
    <n v="100"/>
    <n v="100"/>
    <n v="4.4500000000000005E-2"/>
    <n v="100"/>
    <n v="30000000"/>
    <n v="0"/>
    <n v="30000000"/>
    <n v="0"/>
    <n v="0"/>
    <n v="0"/>
    <n v="0"/>
    <n v="0"/>
    <n v="300000000"/>
    <n v="300000000"/>
    <n v="0"/>
    <n v="0"/>
    <n v="0"/>
    <n v="0"/>
    <n v="0"/>
    <n v="0"/>
    <n v="0"/>
    <n v="0"/>
    <n v="0"/>
    <n v="2.2249999999999999E-2"/>
    <n v="1"/>
    <n v="0.25"/>
    <n v="1"/>
    <n v="1"/>
    <n v="2"/>
    <n v="2"/>
    <n v="200"/>
    <n v="100"/>
    <n v="2.2250000000000002E-2"/>
    <n v="100"/>
    <n v="4.4500000000000005E-2"/>
    <n v="2.2249999999999999E-2"/>
    <n v="1"/>
    <n v="0.25"/>
    <n v="1"/>
    <n v="0"/>
    <n v="1"/>
    <n v="100"/>
    <n v="100"/>
    <n v="2.2250000000000002E-2"/>
    <n v="2.2250000000000002E-2"/>
    <n v="150000000"/>
    <n v="150000000"/>
    <n v="0"/>
    <n v="0"/>
    <n v="0"/>
    <n v="0"/>
    <n v="0"/>
    <n v="0"/>
    <n v="0"/>
    <n v="0"/>
    <n v="0"/>
    <n v="0"/>
    <n v="0"/>
    <n v="0"/>
    <n v="0"/>
    <n v="0"/>
    <n v="0"/>
    <n v="0"/>
    <n v="0"/>
    <n v="5"/>
    <n v="8.8999999999999996E-2"/>
    <n v="125"/>
    <n v="100"/>
    <n v="8.900000000000001E-2"/>
    <n v="8.8999999999999996E-2"/>
    <n v="8.8999999999999996E-2"/>
    <n v="1"/>
    <n v="0"/>
    <n v="611"/>
    <s v="REDUCIR EN UN 20% LA FRECUENCIA DE LOS DELITOS QUE ATENTEN LA SEGURIDAD CIUDADANA Y DEMOCRÁTICA, EN EL DEPARTAMENTO DURANTE EL PERIODO DE GOBIERNO. "/>
    <m/>
    <s v=""/>
    <m/>
    <m/>
    <m/>
    <m/>
    <s v="LA SECRETARIA DE GOBIERNO PRESTA APOYO PERMANENTE A MEJORAR LAS CONDICIONES DE LAS INSTALACIONES DE JUSTICIA DEL DEPARTAMENTO"/>
    <n v="140000000"/>
    <m/>
    <n v="1"/>
  </r>
  <r>
    <n v="509"/>
    <x v="3"/>
    <x v="2"/>
    <x v="25"/>
    <s v="ACCESO Y FORTALECIMIENTO DE LA JUSTICIA"/>
    <s v="116 MUNICIPIOS FORTALECIDOS EN MECANISMOS Y PROCEDIMIENTOS EFECTIVOS PARA QUE LA CIUDADANÍA ACCEDA FÁCILMENTE A LA JUSTICIA, DURANTE EL ACTUAL PERIODO DE GOBIERNO"/>
    <s v="NO. MUNICIPIOS FORTALECIDOS EN MECANISMOS Y PROCEDIMIENTOS DE ACCESO A LA JUSTICIA"/>
    <s v="MUNICIPIOS"/>
    <s v="I"/>
    <n v="0"/>
    <n v="116"/>
    <n v="116"/>
    <n v="0.16500000000000001"/>
    <n v="0"/>
    <n v="0"/>
    <n v="0"/>
    <n v="0"/>
    <n v="0"/>
    <n v="0"/>
    <n v="0"/>
    <n v="0"/>
    <n v="0"/>
    <n v="0"/>
    <n v="0"/>
    <n v="0"/>
    <n v="0"/>
    <n v="0"/>
    <n v="0"/>
    <n v="0"/>
    <n v="0"/>
    <n v="0"/>
    <n v="0"/>
    <n v="0"/>
    <n v="0"/>
    <n v="0"/>
    <n v="0"/>
    <n v="0"/>
    <n v="0"/>
    <n v="0"/>
    <n v="0"/>
    <n v="0"/>
    <n v="5.5474137931034485E-2"/>
    <n v="39"/>
    <n v="0.33620689655172414"/>
    <n v="20"/>
    <n v="20"/>
    <n v="51.282051282051285"/>
    <n v="51.282051282051285"/>
    <n v="2.8448275862068967E-2"/>
    <n v="51.282051282051285"/>
    <n v="20000000"/>
    <n v="0"/>
    <n v="20000000"/>
    <n v="0"/>
    <n v="0"/>
    <n v="0"/>
    <n v="0"/>
    <n v="0"/>
    <n v="50000000"/>
    <n v="50000000"/>
    <n v="0"/>
    <n v="0"/>
    <n v="0"/>
    <n v="0"/>
    <n v="0"/>
    <n v="0"/>
    <n v="0"/>
    <n v="0"/>
    <n v="0"/>
    <n v="5.5474137931034485E-2"/>
    <n v="39"/>
    <n v="0.33620689655172414"/>
    <n v="91"/>
    <n v="91"/>
    <n v="91"/>
    <n v="91"/>
    <n v="233.33333333333334"/>
    <n v="100"/>
    <n v="5.5474137931034485E-2"/>
    <n v="100"/>
    <n v="0.12943965517241382"/>
    <n v="5.4051724137931037E-2"/>
    <n v="38"/>
    <n v="0.32758620689655171"/>
    <n v="0"/>
    <n v="38"/>
    <n v="0"/>
    <n v="0"/>
    <n v="0"/>
    <n v="0"/>
    <n v="0"/>
    <n v="30000000"/>
    <n v="30000000"/>
    <n v="0"/>
    <n v="0"/>
    <n v="0"/>
    <n v="0"/>
    <n v="0"/>
    <n v="0"/>
    <n v="0"/>
    <n v="0"/>
    <n v="0"/>
    <n v="0"/>
    <n v="0"/>
    <n v="0"/>
    <n v="0"/>
    <n v="0"/>
    <n v="0"/>
    <n v="0"/>
    <n v="0"/>
    <n v="111"/>
    <n v="0.16500000000000001"/>
    <n v="95.689655172413794"/>
    <n v="95.689655172413794"/>
    <n v="0.15788793103448276"/>
    <n v="0.15788793103448276"/>
    <n v="0.15788793103448276"/>
    <n v="1"/>
    <n v="0"/>
    <n v="611"/>
    <s v="REDUCIR EN UN 20% LA FRECUENCIA DE LOS DELITOS QUE ATENTEN LA SEGURIDAD CIUDADANA Y DEMOCRÁTICA, EN EL DEPARTAMENTO DURANTE EL PERIODO DE GOBIERNO. "/>
    <m/>
    <s v=""/>
    <m/>
    <m/>
    <m/>
    <m/>
    <s v="CONJUNTAMENTE CON EL TRUBUNAL SUPERIOR DE CUNDINAMARCA Y LA UNIVERSIDAD DEL CUNDINAMARCA SE CAPACITARA A 400 FUNCIONARIOS EN MECANISMOS Y PROCEDIMEINTOS EFECTIVOS PARA QUE LA CIUDADANIA ACCEDA FACILMENTE A LA JUSTICIA Y LOS FUNCIONARIOS SEPAN QUE LOS PROBLEMAS QUE ATENTAN CON SU BIENETAR A NIVEL DE JUSTICIA."/>
    <n v="3409000000"/>
    <m/>
    <n v="0"/>
  </r>
  <r>
    <n v="510"/>
    <x v="3"/>
    <x v="2"/>
    <x v="25"/>
    <s v="ACCESO Y FORTALECIMIENTO DE LA JUSTICIA"/>
    <s v="DISPONER DE 2 CENTROS DE ATENCIÓN ESPECIALIZADA, AL SERVICIO DE ADOLESCENTES INFRACTORES DE LA LEY PENAL, EN EL PRESENTE PERIODO DE GOBIERNO"/>
    <s v="NO CENTROS ESPECIALIZADOS EN SERVICIO"/>
    <s v="CENTROS"/>
    <s v="I"/>
    <n v="0"/>
    <n v="2"/>
    <n v="2"/>
    <n v="0.16500000000000001"/>
    <n v="0"/>
    <n v="0"/>
    <n v="0"/>
    <n v="1"/>
    <n v="1"/>
    <n v="0"/>
    <n v="0"/>
    <n v="0"/>
    <n v="100"/>
    <n v="0"/>
    <n v="0"/>
    <n v="0"/>
    <n v="0"/>
    <n v="0"/>
    <n v="0"/>
    <n v="0"/>
    <n v="0"/>
    <n v="120000000"/>
    <n v="120000000"/>
    <n v="0"/>
    <n v="0"/>
    <n v="0"/>
    <n v="0"/>
    <n v="0"/>
    <n v="0"/>
    <n v="0"/>
    <n v="0"/>
    <n v="0"/>
    <n v="4.1250000000000002E-2"/>
    <n v="0.5"/>
    <n v="0.25"/>
    <n v="2"/>
    <n v="2"/>
    <n v="400"/>
    <n v="100"/>
    <n v="4.1250000000000002E-2"/>
    <n v="100"/>
    <n v="360000000"/>
    <n v="0"/>
    <n v="360000000"/>
    <n v="0"/>
    <n v="0"/>
    <n v="0"/>
    <n v="0"/>
    <n v="0"/>
    <n v="329000000"/>
    <n v="129000000"/>
    <n v="0"/>
    <n v="0"/>
    <n v="0"/>
    <n v="200000000"/>
    <n v="0"/>
    <n v="0"/>
    <n v="0"/>
    <n v="0"/>
    <n v="0"/>
    <n v="4.1250000000000002E-2"/>
    <n v="0.5"/>
    <n v="0.25"/>
    <n v="1"/>
    <n v="1"/>
    <n v="1"/>
    <n v="1"/>
    <n v="200"/>
    <n v="100"/>
    <n v="4.1250000000000002E-2"/>
    <n v="100"/>
    <n v="8.2500000000000004E-2"/>
    <n v="8.2500000000000004E-2"/>
    <n v="1"/>
    <n v="0.5"/>
    <n v="1"/>
    <n v="0"/>
    <n v="1"/>
    <n v="100"/>
    <n v="100"/>
    <n v="8.2500000000000004E-2"/>
    <n v="8.2500000000000004E-2"/>
    <n v="0"/>
    <n v="0"/>
    <n v="0"/>
    <n v="0"/>
    <n v="0"/>
    <n v="0"/>
    <n v="0"/>
    <n v="0"/>
    <n v="0"/>
    <n v="0"/>
    <n v="0"/>
    <n v="0"/>
    <n v="0"/>
    <n v="0"/>
    <n v="0"/>
    <n v="0"/>
    <n v="0"/>
    <n v="0"/>
    <n v="0"/>
    <n v="5"/>
    <n v="0.16500000000000001"/>
    <n v="250"/>
    <n v="100"/>
    <n v="0.16500000000000001"/>
    <n v="0.16500000000000001"/>
    <n v="0.16500000000000001"/>
    <n v="1"/>
    <n v="0"/>
    <n v="611"/>
    <s v="REDUCIR EN UN 20% LA FRECUENCIA DE LOS DELITOS QUE ATENTEN LA SEGURIDAD CIUDADANA Y DEMOCRÁTICA, EN EL DEPARTAMENTO DURANTE EL PERIODO DE GOBIERNO. "/>
    <m/>
    <s v=""/>
    <m/>
    <m/>
    <m/>
    <m/>
    <s v="EL DEPARTAMENTO DE CUNDINAMARCA HA APOYADO DOS CENTROS PARA LA TENCION DE INFRACTOR AL MENOR EN SOACHA Y PUERTO SALGAR CON EL FIN DE DAR CUMPLIMIENTO A LA LEY DE INFRACTOR AL MENOR"/>
    <n v="110000000"/>
    <m/>
    <n v="1"/>
  </r>
  <r>
    <n v="511"/>
    <x v="3"/>
    <x v="2"/>
    <x v="25"/>
    <s v="ACCESO Y FORTALECIMIENTO DE LA JUSTICIA"/>
    <s v="CONTRIBUIR A MEJORAR LAS CONDICIONES DE PERMANENCIA DE LOS INTERNOS EN 5 CENTROS CARCELARIOS, EN LOS CUATRO AÑOS DEL PERIODO DE GOBIERNO. A TRAVÉS, DE INFRAESTRUCTURA, DOTACIÓN, PROCESOS DE FORMACIÓN A INTERNOS, RESOCIALIZACIÓN, ENTRE OTROS."/>
    <s v="NO. DE CENTROS CARCELARIOS CON MEJOR SERVICIO "/>
    <s v="CENTROS CARCELARIOS"/>
    <s v="I"/>
    <n v="0"/>
    <n v="5"/>
    <n v="5"/>
    <n v="0.16500000000000001"/>
    <n v="0"/>
    <n v="0"/>
    <n v="0"/>
    <n v="0"/>
    <n v="0"/>
    <n v="0"/>
    <n v="0"/>
    <n v="0"/>
    <n v="0"/>
    <n v="0"/>
    <n v="0"/>
    <n v="0"/>
    <n v="0"/>
    <n v="0"/>
    <n v="0"/>
    <n v="0"/>
    <n v="0"/>
    <n v="0"/>
    <n v="0"/>
    <n v="0"/>
    <n v="0"/>
    <n v="0"/>
    <n v="0"/>
    <n v="0"/>
    <n v="0"/>
    <n v="0"/>
    <n v="0"/>
    <n v="0"/>
    <n v="6.6000000000000003E-2"/>
    <n v="2"/>
    <n v="0.4"/>
    <n v="5"/>
    <n v="5"/>
    <n v="250"/>
    <n v="100"/>
    <n v="6.6000000000000003E-2"/>
    <n v="100"/>
    <n v="100000000"/>
    <n v="0"/>
    <n v="100000000"/>
    <n v="0"/>
    <n v="0"/>
    <n v="0"/>
    <n v="0"/>
    <n v="0"/>
    <n v="117445080"/>
    <n v="117445080"/>
    <n v="0"/>
    <n v="0"/>
    <n v="0"/>
    <n v="0"/>
    <n v="0"/>
    <n v="0"/>
    <n v="0"/>
    <n v="0"/>
    <n v="0"/>
    <n v="3.3000000000000002E-2"/>
    <n v="1"/>
    <n v="0.2"/>
    <n v="1"/>
    <n v="1"/>
    <n v="1"/>
    <n v="1"/>
    <n v="100"/>
    <n v="100"/>
    <n v="3.3000000000000002E-2"/>
    <n v="100"/>
    <n v="3.3000000000000002E-2"/>
    <n v="6.6000000000000003E-2"/>
    <n v="2"/>
    <n v="0.4"/>
    <n v="2"/>
    <n v="0"/>
    <n v="2"/>
    <n v="100"/>
    <n v="100"/>
    <n v="6.6000000000000003E-2"/>
    <n v="6.6000000000000003E-2"/>
    <n v="0"/>
    <n v="0"/>
    <n v="0"/>
    <n v="0"/>
    <n v="0"/>
    <n v="0"/>
    <n v="0"/>
    <n v="0"/>
    <n v="0"/>
    <n v="0"/>
    <n v="0"/>
    <n v="0"/>
    <n v="0"/>
    <n v="0"/>
    <n v="0"/>
    <n v="0"/>
    <n v="0"/>
    <n v="0"/>
    <n v="0"/>
    <n v="8"/>
    <n v="0.16500000000000001"/>
    <n v="160"/>
    <n v="100"/>
    <n v="0.16500000000000001"/>
    <n v="0.16500000000000001"/>
    <n v="0.16500000000000001"/>
    <n v="1"/>
    <n v="0"/>
    <n v="611"/>
    <s v="REDUCIR EN UN 20% LA FRECUENCIA DE LOS DELITOS QUE ATENTEN LA SEGURIDAD CIUDADANA Y DEMOCRÁTICA, EN EL DEPARTAMENTO DURANTE EL PERIODO DE GOBIERNO. "/>
    <m/>
    <s v=""/>
    <m/>
    <m/>
    <m/>
    <m/>
    <s v="SE DOTARAN AL MENOS 5 CENTROS CARCELARIOS EN EL DEPARTAMENTO CON FRAZADAS, CONCHONES, INMOBILIARIO, INFRAESTRUCTURA Y DEMAS NECESIDADES QUE SE REQUIERE TODO ESTO SE LOGRA EN EL ULTIMO TRIMESTRE DEL DEPARTAMENTO"/>
    <n v="500000000"/>
    <m/>
    <n v="0"/>
  </r>
  <r>
    <n v="512"/>
    <x v="3"/>
    <x v="2"/>
    <x v="25"/>
    <s v="ACCESO Y FORTALECIMIENTO DE LA JUSTICIA"/>
    <s v="LOGRAR QUE UN CENTRO ESPECIALIZADO DE SERVICIOS FORENCES, FACILITE LOS PROCESOS TÉCNICOS, EN EL PERÍODO DE GOBIERNO ACTUAL"/>
    <s v="NO CENTRO EN SERVICIO"/>
    <s v="CENTRO"/>
    <s v="I"/>
    <n v="0"/>
    <n v="1"/>
    <n v="1"/>
    <n v="8.8999999999999996E-2"/>
    <n v="0"/>
    <n v="0"/>
    <n v="0"/>
    <n v="0"/>
    <n v="0"/>
    <n v="0"/>
    <n v="0"/>
    <n v="0"/>
    <n v="0"/>
    <n v="0"/>
    <n v="0"/>
    <n v="0"/>
    <n v="0"/>
    <n v="0"/>
    <n v="0"/>
    <n v="0"/>
    <n v="0"/>
    <n v="0"/>
    <n v="0"/>
    <n v="0"/>
    <n v="0"/>
    <n v="0"/>
    <n v="0"/>
    <n v="0"/>
    <n v="0"/>
    <n v="0"/>
    <n v="0"/>
    <n v="0"/>
    <n v="0"/>
    <n v="0"/>
    <n v="0"/>
    <n v="0"/>
    <n v="0"/>
    <n v="0"/>
    <n v="0"/>
    <n v="0"/>
    <n v="0"/>
    <n v="170000000"/>
    <n v="0"/>
    <n v="170000000"/>
    <n v="0"/>
    <n v="0"/>
    <n v="0"/>
    <n v="0"/>
    <n v="0"/>
    <n v="0"/>
    <n v="0"/>
    <n v="0"/>
    <n v="0"/>
    <n v="0"/>
    <n v="0"/>
    <n v="0"/>
    <n v="0"/>
    <n v="0"/>
    <n v="0"/>
    <n v="0"/>
    <n v="0"/>
    <n v="0"/>
    <n v="0"/>
    <n v="0"/>
    <n v="0"/>
    <n v="0"/>
    <n v="0"/>
    <n v="0"/>
    <n v="0"/>
    <n v="0"/>
    <n v="0"/>
    <n v="0"/>
    <n v="8.8999999999999996E-2"/>
    <n v="1"/>
    <n v="1"/>
    <n v="3"/>
    <n v="-2"/>
    <n v="3"/>
    <n v="300"/>
    <n v="100"/>
    <n v="8.900000000000001E-2"/>
    <n v="0.26700000000000002"/>
    <n v="0"/>
    <n v="0"/>
    <n v="0"/>
    <n v="0"/>
    <n v="0"/>
    <n v="0"/>
    <n v="0"/>
    <n v="0"/>
    <n v="0"/>
    <n v="0"/>
    <n v="0"/>
    <n v="0"/>
    <n v="0"/>
    <n v="0"/>
    <n v="0"/>
    <n v="0"/>
    <n v="0"/>
    <n v="0"/>
    <n v="0"/>
    <n v="3"/>
    <n v="8.8999999999999996E-2"/>
    <n v="300"/>
    <n v="100"/>
    <n v="8.900000000000001E-2"/>
    <n v="8.8999999999999996E-2"/>
    <n v="8.8999999999999996E-2"/>
    <n v="1"/>
    <n v="0"/>
    <n v="611"/>
    <s v="REDUCIR EN UN 20% LA FRECUENCIA DE LOS DELITOS QUE ATENTEN LA SEGURIDAD CIUDADANA Y DEMOCRÁTICA, EN EL DEPARTAMENTO DURANTE EL PERIODO DE GOBIERNO. "/>
    <m/>
    <s v=""/>
    <m/>
    <m/>
    <m/>
    <m/>
    <s v="ACTIVIDAD PROGRAMADA A PARTIR DEL MES DE JUNIO, SE HAN DADO REUNIONES CON DIFERENTES ALCALDES A FIN DE ESTABLECER EL INTERES SOBRE EL TEMA Y POR PARTE DE QUE MUNICIPIO SE ESTÁ EN CONDICION DE APORTAR EL PREDIO PARA DESARROLLAR EL PROYECTO"/>
    <n v="130000000"/>
    <m/>
    <n v="1"/>
  </r>
  <r>
    <n v="513"/>
    <x v="3"/>
    <x v="2"/>
    <x v="25"/>
    <s v="DERECHOS HUMANOS Y CONVIVENCIA"/>
    <s v="REALIZAR PROCESOS DE PREVENCIÓN EN EL 100% DE LOS MUNICIPIOS AFECTADOS POR TRATA DE PERSONAS, RECLUTAMIENTO FORZADO Y MINAS ANTIPERSONAS, PROMOVIENDO UNA CULTURA DE LA PROTECCIÓN DE DERECHOS HUMANOS, DURANTE EL PERIODO DE GOBIERNO"/>
    <s v="% DE MUNICIPIOS CON PROCESOS DE PREVENCIÓN EN TRATA DE PERSONAS"/>
    <s v="% DE MUNICIPIOS"/>
    <s v="I"/>
    <n v="0"/>
    <n v="100"/>
    <n v="100"/>
    <n v="0.16500000000000001"/>
    <n v="0"/>
    <n v="0"/>
    <n v="0"/>
    <n v="0"/>
    <n v="0"/>
    <n v="0"/>
    <n v="0"/>
    <n v="0"/>
    <n v="0"/>
    <n v="0"/>
    <n v="0"/>
    <n v="0"/>
    <n v="0"/>
    <n v="0"/>
    <n v="0"/>
    <n v="0"/>
    <n v="0"/>
    <n v="0"/>
    <n v="0"/>
    <n v="0"/>
    <n v="0"/>
    <n v="0"/>
    <n v="0"/>
    <n v="0"/>
    <n v="0"/>
    <n v="0"/>
    <n v="0"/>
    <n v="0"/>
    <n v="4.9500000000000002E-2"/>
    <n v="30"/>
    <n v="0.3"/>
    <n v="0"/>
    <n v="0"/>
    <n v="0"/>
    <n v="0"/>
    <n v="0"/>
    <n v="0"/>
    <n v="50000000"/>
    <n v="0"/>
    <n v="50000000"/>
    <n v="0"/>
    <n v="0"/>
    <n v="0"/>
    <n v="0"/>
    <n v="0"/>
    <n v="0"/>
    <n v="0"/>
    <n v="0"/>
    <n v="0"/>
    <n v="0"/>
    <n v="0"/>
    <n v="0"/>
    <n v="0"/>
    <n v="0"/>
    <n v="0"/>
    <n v="0"/>
    <n v="6.6000000000000003E-2"/>
    <n v="40"/>
    <n v="0.4"/>
    <n v="63"/>
    <n v="63"/>
    <n v="116"/>
    <n v="116"/>
    <n v="290"/>
    <n v="100"/>
    <n v="6.6000000000000003E-2"/>
    <n v="100"/>
    <n v="0.19140000000000001"/>
    <n v="4.9500000000000002E-2"/>
    <n v="30"/>
    <n v="0.3"/>
    <n v="30"/>
    <n v="0"/>
    <n v="30"/>
    <n v="100"/>
    <n v="100"/>
    <n v="4.9500000000000002E-2"/>
    <n v="4.9500000000000002E-2"/>
    <n v="80000000"/>
    <n v="80000000"/>
    <n v="0"/>
    <n v="0"/>
    <n v="0"/>
    <n v="0"/>
    <n v="0"/>
    <n v="0"/>
    <n v="0"/>
    <n v="0"/>
    <n v="0"/>
    <n v="0"/>
    <n v="0"/>
    <n v="0"/>
    <n v="0"/>
    <n v="0"/>
    <n v="0"/>
    <n v="0"/>
    <n v="0"/>
    <n v="146"/>
    <n v="0.16500000000000001"/>
    <n v="146"/>
    <n v="100"/>
    <n v="0.16500000000000001"/>
    <n v="0.16500000000000001"/>
    <n v="0.16500000000000001"/>
    <n v="1"/>
    <n v="0"/>
    <n v="611"/>
    <s v="REDUCIR EN UN 20% LA FRECUENCIA DE LOS DELITOS QUE ATENTEN LA SEGURIDAD CIUDADANA Y DEMOCRÁTICA, EN EL DEPARTAMENTO DURANTE EL PERIODO DE GOBIERNO. "/>
    <m/>
    <s v=""/>
    <m/>
    <m/>
    <m/>
    <m/>
    <s v="NO TIENE AVANCE POR NO HABERSE PROGRAMADO ACTIVIDA EN EL PRIMER Y SEGUNDO TRIMESTRE"/>
    <n v="80000000"/>
    <m/>
    <n v="1"/>
  </r>
  <r>
    <n v="514"/>
    <x v="3"/>
    <x v="2"/>
    <x v="25"/>
    <s v="DERECHOS HUMANOS Y CONVIVENCIA"/>
    <s v="PROMOVER LA FORMACIÓN DE 116 COMISARIOS DE FAMILIAS EN LA NORMATIVIDAD VIGENTE CON EL FIN DE PROPORCIONARLES HERRAMIENTAS PARA FORTALECER EL CUMPLIMIENTO DE SUS FUNCIONES, DURANTE EL ACTUAL PERIODO DE GOBIERNO."/>
    <s v="NO DE COMISARIOS DE FAMILIAS FORMADOS"/>
    <s v="COMISARIOS"/>
    <s v="I"/>
    <n v="0"/>
    <n v="116"/>
    <n v="116"/>
    <n v="8.8999999999999996E-2"/>
    <n v="0"/>
    <n v="0"/>
    <n v="0"/>
    <n v="59"/>
    <n v="59"/>
    <n v="0"/>
    <n v="0"/>
    <n v="0"/>
    <n v="100"/>
    <n v="0"/>
    <n v="0"/>
    <n v="0"/>
    <n v="0"/>
    <n v="0"/>
    <n v="0"/>
    <n v="0"/>
    <n v="0"/>
    <n v="0"/>
    <n v="0"/>
    <n v="0"/>
    <n v="0"/>
    <n v="0"/>
    <n v="0"/>
    <n v="0"/>
    <n v="0"/>
    <n v="0"/>
    <n v="0"/>
    <n v="0"/>
    <n v="0"/>
    <n v="0"/>
    <n v="0"/>
    <n v="116"/>
    <n v="116"/>
    <n v="0"/>
    <n v="0"/>
    <n v="0"/>
    <n v="100"/>
    <n v="0"/>
    <n v="0"/>
    <n v="0"/>
    <n v="0"/>
    <n v="0"/>
    <n v="0"/>
    <n v="0"/>
    <n v="0"/>
    <n v="0"/>
    <n v="0"/>
    <n v="0"/>
    <n v="0"/>
    <n v="0"/>
    <n v="0"/>
    <n v="0"/>
    <n v="0"/>
    <n v="0"/>
    <n v="0"/>
    <n v="0"/>
    <n v="4.4499999999999998E-2"/>
    <n v="58"/>
    <n v="0.5"/>
    <n v="116"/>
    <n v="116"/>
    <n v="116"/>
    <n v="116"/>
    <n v="200"/>
    <n v="100"/>
    <n v="4.4500000000000005E-2"/>
    <n v="100"/>
    <n v="8.900000000000001E-2"/>
    <n v="4.4499999999999998E-2"/>
    <n v="58"/>
    <n v="0.5"/>
    <n v="116"/>
    <n v="-58"/>
    <n v="116"/>
    <n v="200"/>
    <n v="100"/>
    <n v="4.4500000000000005E-2"/>
    <n v="8.900000000000001E-2"/>
    <n v="0"/>
    <n v="0"/>
    <n v="0"/>
    <n v="0"/>
    <n v="0"/>
    <n v="0"/>
    <n v="0"/>
    <n v="0"/>
    <n v="0"/>
    <n v="0"/>
    <n v="0"/>
    <n v="0"/>
    <n v="0"/>
    <n v="0"/>
    <n v="0"/>
    <n v="0"/>
    <n v="0"/>
    <n v="0"/>
    <n v="0"/>
    <n v="407"/>
    <n v="8.8999999999999996E-2"/>
    <n v="350.86206896551727"/>
    <n v="100"/>
    <n v="8.900000000000001E-2"/>
    <n v="8.8999999999999996E-2"/>
    <n v="8.8999999999999996E-2"/>
    <n v="1"/>
    <n v="0"/>
    <n v="611"/>
    <s v="REDUCIR EN UN 20% LA FRECUENCIA DE LOS DELITOS QUE ATENTEN LA SEGURIDAD CIUDADANA Y DEMOCRÁTICA, EN EL DEPARTAMENTO DURANTE EL PERIODO DE GOBIERNO. "/>
    <m/>
    <s v=""/>
    <m/>
    <m/>
    <m/>
    <m/>
    <s v="CONJUNMENTE MUNICIPIOS SECRETARIAS DE GOBIERNO ALCALDES Y COMISION DE FAMILIA HAN CAPACITADO EN NORMAS VIGENTES EN FAMILIA Y A PARTIR DE MES NOVIEMNRE TODOS LOS COMISARIOS POR DISPOSICION DE LA SEÑORA SECRATRIA DE GOBIERNO TENDRAN UNA HERRAMIENTO (COMPUTADOR E IMPRESORA) PARA MAYOR EFECTIVIDAD EN SU GESTION MUNICIPAL"/>
    <n v="4410000000"/>
    <m/>
    <n v="0"/>
  </r>
  <r>
    <n v="515"/>
    <x v="3"/>
    <x v="2"/>
    <x v="25"/>
    <s v="DERECHOS HUMANOS Y CONVIVENCIA"/>
    <s v="CREAR Y PONER EN FUNCIONAMIENTO LA INSTANCIA TERRITORIAL DE DERECHOS HUMANOS Y DERECHO INTERNACIONAL HUMANITARIO PARA LA COORDINACIÓN, ARTICULACIÓN, IMPLEMENTACIÓN Y EL SEGUIMIENTO DE LA POLÍTICA PÚBLICA DE DERECHOS HUMANOS Y DERECHO INTERNACIONAL HUMANIT"/>
    <s v="INSTANCIAS TERRITORIALES EN DERECHOS HUMANOS EN SERVICIO"/>
    <s v="INSTANCIA"/>
    <s v="I"/>
    <n v="0"/>
    <n v="1"/>
    <n v="1"/>
    <n v="0.16500000000000001"/>
    <n v="0.16500000000000001"/>
    <n v="1"/>
    <n v="1"/>
    <n v="0"/>
    <n v="0"/>
    <n v="0"/>
    <n v="0"/>
    <n v="0"/>
    <n v="0"/>
    <n v="0"/>
    <n v="0"/>
    <n v="0"/>
    <n v="0"/>
    <n v="0"/>
    <n v="0"/>
    <n v="0"/>
    <n v="0"/>
    <n v="0"/>
    <n v="0"/>
    <n v="0"/>
    <n v="0"/>
    <n v="0"/>
    <n v="0"/>
    <n v="0"/>
    <n v="0"/>
    <n v="0"/>
    <n v="0"/>
    <n v="0"/>
    <n v="0"/>
    <n v="0"/>
    <n v="0"/>
    <n v="1"/>
    <n v="1"/>
    <n v="0"/>
    <n v="0"/>
    <n v="0"/>
    <n v="10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1"/>
    <n v="0.16500000000000001"/>
    <n v="100"/>
    <n v="100"/>
    <n v="0.16500000000000001"/>
    <n v="0.16500000000000001"/>
    <n v="0.16500000000000001"/>
    <n v="1"/>
    <n v="0"/>
    <n v="611"/>
    <s v="REDUCIR EN UN 20% LA FRECUENCIA DE LOS DELITOS QUE ATENTEN LA SEGURIDAD CIUDADANA Y DEMOCRÁTICA, EN EL DEPARTAMENTO DURANTE EL PERIODO DE GOBIERNO. "/>
    <m/>
    <s v=""/>
    <m/>
    <m/>
    <m/>
    <m/>
    <s v="EL 29 DE OCTUBRE DE 2013 SE CREO Y SE PUSO EN FUNCIONAMIENTO LA INSTANCIA TERROTORIAL DE DERECHOS HUMANOS Y DERECHO INTERNACIONAL HUMANITARIO EN EL DEPARTAMENTO DE CUNDINAMARCA PARA LOGRAR LA COORDINACION ARTICULACION IMPLEMENTACION Y EL SEGUIMIENTO DE LA POLITICA PUBLICA DE DERECHOS HUMANOS Y DERECHO INTERNACIONAL HUMANITARIO"/>
    <n v="500000000"/>
    <m/>
    <n v="0"/>
  </r>
  <r>
    <n v="516"/>
    <x v="3"/>
    <x v="2"/>
    <x v="25"/>
    <s v="DERECHOS HUMANOS Y CONVIVENCIA"/>
    <s v="REALIZAR PROCESOS DE FORMACIÓN EN 116 MUNICIPIOS PARA LA APLICACIÓN DE POLÍTICA PÚBLICA DE DERECHOS HUMANOS: VIDA, INTEGRIDAD, LIBERTAD Y SEGURIDAD, IGUALDAD Y NO DISCRIMINACIÓN, CULTURA Y EDUCACIÓN; CON EL FIN DE GARANTIZAR A LA COMUNIDAD SUS DERECHOS E"/>
    <s v="NO MUNICIPIOS FORTALECIDOS EN CAPACIDAD INSTITUCIONAL PARA DERECHOS HUMANOS."/>
    <s v="MUNICIPIOS"/>
    <s v="I"/>
    <n v="0"/>
    <n v="116"/>
    <n v="116"/>
    <n v="0.16500000000000001"/>
    <n v="0"/>
    <n v="0"/>
    <n v="0"/>
    <n v="0"/>
    <n v="0"/>
    <n v="0"/>
    <n v="0"/>
    <n v="0"/>
    <n v="0"/>
    <n v="50000000"/>
    <n v="50000000"/>
    <n v="0"/>
    <n v="0"/>
    <n v="0"/>
    <n v="0"/>
    <n v="0"/>
    <n v="0"/>
    <n v="0"/>
    <n v="0"/>
    <n v="0"/>
    <n v="0"/>
    <n v="0"/>
    <n v="0"/>
    <n v="0"/>
    <n v="0"/>
    <n v="0"/>
    <n v="0"/>
    <n v="0"/>
    <n v="3.5560344827586209E-2"/>
    <n v="25"/>
    <n v="0.21551724137931033"/>
    <n v="0"/>
    <n v="0"/>
    <n v="0"/>
    <n v="0"/>
    <n v="0"/>
    <n v="0"/>
    <n v="20000000"/>
    <n v="0"/>
    <n v="20000000"/>
    <n v="0"/>
    <n v="0"/>
    <n v="0"/>
    <n v="0"/>
    <n v="0"/>
    <n v="0"/>
    <n v="0"/>
    <n v="0"/>
    <n v="0"/>
    <n v="0"/>
    <n v="0"/>
    <n v="0"/>
    <n v="0"/>
    <n v="0"/>
    <n v="0"/>
    <n v="0"/>
    <n v="5.6896551724137941E-2"/>
    <n v="40"/>
    <n v="0.34482758620689657"/>
    <n v="50"/>
    <n v="50"/>
    <n v="58"/>
    <n v="58"/>
    <n v="145"/>
    <n v="100"/>
    <n v="5.6896551724137948E-2"/>
    <n v="100"/>
    <n v="8.2500000000000018E-2"/>
    <n v="7.2543103448275859E-2"/>
    <n v="51"/>
    <n v="0.43965517241379309"/>
    <n v="24"/>
    <n v="27"/>
    <n v="24"/>
    <n v="47.058823529411768"/>
    <n v="47.058823529411768"/>
    <n v="3.413793103448276E-2"/>
    <n v="3.413793103448276E-2"/>
    <n v="40000000"/>
    <n v="40000000"/>
    <n v="0"/>
    <n v="0"/>
    <n v="0"/>
    <n v="0"/>
    <n v="0"/>
    <n v="0"/>
    <n v="0"/>
    <n v="0"/>
    <n v="0"/>
    <n v="0"/>
    <n v="0"/>
    <n v="0"/>
    <n v="0"/>
    <n v="0"/>
    <n v="0"/>
    <n v="0"/>
    <n v="0"/>
    <n v="82"/>
    <n v="0.16500000000000001"/>
    <n v="70.689655172413794"/>
    <n v="70.689655172413794"/>
    <n v="0.11663793103448276"/>
    <n v="0.11663793103448276"/>
    <n v="0.11663793103448276"/>
    <n v="1"/>
    <n v="0"/>
    <n v="269"/>
    <s v="116 MUNICIPIOS RESTITUYEN DERECHOS Y MEJORAN CALIDAD DE VIDA DE LAS VÍCTIMAS DEL CONFLICTO ARMADO"/>
    <m/>
    <s v=""/>
    <m/>
    <m/>
    <m/>
    <m/>
    <s v="NO TIENE AVANCE POR NO HABERSE PROGRAMADO ACTIVIDADES PARA EL PRIMER Y SEGUNDO TRIMESTRE"/>
    <n v="250000000"/>
    <m/>
    <n v="1"/>
  </r>
  <r>
    <n v="517"/>
    <x v="3"/>
    <x v="2"/>
    <x v="25"/>
    <s v="DERECHOS HUMANOS Y CONVIVENCIA"/>
    <s v="IMPLEMENTAR UNA ESTRATEGIA DE PROMOCIÓN, RESPETO Y RECONOCIMIENTO DE LA DIVERSIDAD Y LA RECONCILIACIÓN QUE BENEFICIE LOS 116 MUNICIPIOS DEL DEPARTAMENTO, DURANTE EL PERIODO DE GOBIERNO"/>
    <s v="UNA ESTRATEGIA DE PROMOCIÓN IMPLEMENTADA"/>
    <s v="ESTRATEGIAS"/>
    <s v="I"/>
    <n v="0"/>
    <n v="1"/>
    <n v="1"/>
    <n v="0.16500000000000001"/>
    <n v="0"/>
    <n v="0"/>
    <n v="0"/>
    <n v="0"/>
    <n v="0"/>
    <n v="0"/>
    <n v="0"/>
    <n v="0"/>
    <n v="0"/>
    <n v="50000000"/>
    <n v="50000000"/>
    <n v="0"/>
    <n v="0"/>
    <n v="0"/>
    <n v="0"/>
    <n v="0"/>
    <n v="0"/>
    <n v="0"/>
    <n v="0"/>
    <n v="0"/>
    <n v="0"/>
    <n v="0"/>
    <n v="0"/>
    <n v="0"/>
    <n v="0"/>
    <n v="0"/>
    <n v="0"/>
    <n v="0"/>
    <n v="4.1250000000000002E-2"/>
    <n v="0.25"/>
    <n v="0.25"/>
    <n v="0"/>
    <n v="0"/>
    <n v="0"/>
    <n v="0"/>
    <n v="0"/>
    <n v="0"/>
    <n v="20000000"/>
    <n v="0"/>
    <n v="20000000"/>
    <n v="0"/>
    <n v="0"/>
    <n v="0"/>
    <n v="0"/>
    <n v="0"/>
    <n v="0"/>
    <n v="0"/>
    <n v="0"/>
    <n v="0"/>
    <n v="0"/>
    <n v="0"/>
    <n v="0"/>
    <n v="0"/>
    <n v="0"/>
    <n v="0"/>
    <n v="0"/>
    <n v="6.6000000000000003E-2"/>
    <n v="0.4"/>
    <n v="0.4"/>
    <n v="0"/>
    <n v="1"/>
    <n v="1"/>
    <n v="1"/>
    <n v="250"/>
    <n v="100"/>
    <n v="6.6000000000000003E-2"/>
    <n v="100"/>
    <n v="0.16500000000000001"/>
    <n v="5.7749999999999996E-2"/>
    <n v="0.35"/>
    <n v="0.35"/>
    <n v="1"/>
    <n v="-0.65"/>
    <n v="1"/>
    <n v="285.71428571428572"/>
    <n v="100"/>
    <n v="5.7749999999999996E-2"/>
    <n v="0.16500000000000001"/>
    <n v="35000000"/>
    <n v="35000000"/>
    <n v="0"/>
    <n v="0"/>
    <n v="0"/>
    <n v="0"/>
    <n v="0"/>
    <n v="0"/>
    <n v="0"/>
    <n v="0"/>
    <n v="0"/>
    <n v="0"/>
    <n v="0"/>
    <n v="0"/>
    <n v="0"/>
    <n v="0"/>
    <n v="0"/>
    <n v="0"/>
    <n v="0"/>
    <n v="2"/>
    <n v="0.16500000000000001"/>
    <n v="200"/>
    <n v="100"/>
    <n v="0.16500000000000001"/>
    <n v="0.16500000000000001"/>
    <n v="0.16500000000000001"/>
    <n v="1"/>
    <n v="0"/>
    <n v="269"/>
    <s v="116 MUNICIPIOS RESTITUYEN DERECHOS Y MEJORAN CALIDAD DE VIDA DE LAS VÍCTIMAS DEL CONFLICTO ARMADO"/>
    <m/>
    <s v=""/>
    <m/>
    <m/>
    <m/>
    <m/>
    <s v="LAS SECRETARIA DEL DEPARTAMENTO DE CUNDINAMARCA ESTAN PRIORIZANDO LA ESTRATEGIA DE PROMOCION RESPETO Y RECONCILIZACION DEL DEPARTAMENTO DE CUNDINAMARCA CON EL FIN DE SER UN DEPARTAMENTO PIONERO EN POSCONCLICTO ESTA ARTICULACION ESTA LIDERADA POR LAS SECRETARIA DE GOBIERNO Y COOPERCION INTERNACIONAL Y TODAS LAS ENTIDADES CENTRALIZADAS Y DESCENTRALIZADAS."/>
    <n v="185000000"/>
    <m/>
    <n v="1"/>
  </r>
  <r>
    <n v="518"/>
    <x v="3"/>
    <x v="20"/>
    <x v="26"/>
    <s v="FORTALECIMIENTO DE LA GESTIÓN"/>
    <s v="AJUSTE INSTITUCIONAL IMPLEMENTADO ACORDE A LAS NECESIDADES ACTUALES DE LA ENTIDAD."/>
    <s v="NO. DE AJUSTES INSTITUCIONALES IMPLEMENTADOS"/>
    <s v="UNIDAD"/>
    <s v="I"/>
    <n v="0"/>
    <n v="1"/>
    <n v="1"/>
    <n v="0.16500000000000001"/>
    <n v="9.9000000000000005E-2"/>
    <n v="0.6"/>
    <n v="0.6"/>
    <n v="0.6"/>
    <n v="0.6"/>
    <n v="100"/>
    <n v="100"/>
    <n v="9.9000000000000005E-2"/>
    <n v="100"/>
    <n v="0"/>
    <n v="0"/>
    <n v="0"/>
    <n v="0"/>
    <n v="0"/>
    <n v="0"/>
    <n v="0"/>
    <n v="0"/>
    <n v="0"/>
    <n v="0"/>
    <n v="0"/>
    <n v="0"/>
    <n v="0"/>
    <n v="0"/>
    <n v="0"/>
    <n v="0"/>
    <n v="0"/>
    <n v="0"/>
    <n v="0"/>
    <n v="6.6000000000000003E-2"/>
    <n v="0.4"/>
    <n v="0.4"/>
    <n v="0.4"/>
    <n v="0.4"/>
    <n v="100"/>
    <n v="100"/>
    <n v="6.6000000000000003E-2"/>
    <n v="100"/>
    <n v="0"/>
    <n v="0"/>
    <n v="0"/>
    <n v="0"/>
    <n v="0"/>
    <n v="0"/>
    <n v="0"/>
    <n v="0"/>
    <n v="0"/>
    <n v="0"/>
    <n v="0"/>
    <n v="0"/>
    <n v="0"/>
    <n v="0"/>
    <n v="0"/>
    <n v="0"/>
    <n v="0"/>
    <n v="0"/>
    <n v="0"/>
    <n v="0"/>
    <n v="0"/>
    <n v="0"/>
    <n v="0"/>
    <n v="0"/>
    <n v="0"/>
    <n v="0"/>
    <n v="0"/>
    <n v="0"/>
    <n v="0"/>
    <n v="0"/>
    <n v="0"/>
    <n v="0"/>
    <n v="0"/>
    <n v="0"/>
    <n v="1"/>
    <n v="-1"/>
    <n v="1"/>
    <n v="0"/>
    <n v="0"/>
    <n v="0"/>
    <n v="0"/>
    <n v="0"/>
    <n v="0"/>
    <n v="0"/>
    <n v="0"/>
    <n v="0"/>
    <n v="0"/>
    <n v="0"/>
    <n v="0"/>
    <n v="0"/>
    <n v="0"/>
    <n v="0"/>
    <n v="0"/>
    <n v="0"/>
    <n v="0"/>
    <n v="0"/>
    <n v="0"/>
    <n v="0"/>
    <n v="0"/>
    <n v="0"/>
    <n v="2"/>
    <n v="0.16500000000000001"/>
    <n v="200"/>
    <n v="100"/>
    <n v="0.16500000000000001"/>
    <n v="0.16500000000000001"/>
    <n v="0.16500000000000001"/>
    <n v="1"/>
    <n v="0"/>
    <n v="615"/>
    <s v="SUBIR UN PUESTO EN EL RANKING DEL DESEMPEÑO A NIVEL NACIONAL DEL DEPARTAMENTO."/>
    <m/>
    <s v=""/>
    <m/>
    <m/>
    <m/>
    <m/>
    <s v="SE REALIZÓ DURANTE EL CUATRENIO DOS REFORMAS ADMINISTRATIVAS Y EL AJUSTE EN SU TOTALIDAD DEL MANUAL ESPECÍFICO DE FUNCIONES Y DE COMPETENCIAS LABORALES, QUE PERMITIERON LA ARMONIZACIÓN LAS COMPETENCIAS FUNCIONALES DE LA GOBERNACIÓN, AL EFOQUE POR PROCESOS DEL  SISTEMA INTEGRAL DE GESTIÓN Y CONTROL , ASÍ COMO AL CUMPLIMIENTO  DE NUEVA NORMATIVIDAD U OBLIGACIONES JUDICIALES POR PARTE DE LOS DIFERENTES SECTORES DE LA ADMINISTRACIÓN DEPARTAMENTAL, TAMBIEN SE MEJORA EN OPERACIÓN Y LA OPTIMIZACIÓN DE LOS RECURSOS DISPONIBLES:_x000a_1. CULMINÓ EN EL AÑO 2013 Y COMO RESULTADO DE AJUSTARON ALGUNAS ORGANIZACIONES DESCENTRALIZADAS, SE FUSIONÓ LA  UAE DE RENTAS Y GESTIÓN TRIBUTARIA CON LA SECRETARÍA DE HACIENDA, Y SE AJUSTO TODA LA ORGANIZACIÓN INTERNA , ASI MISMO SE MODIFICÓ PARCIALMENTE LA PLANTA DE EMPLEOS CON SUS CORRESPONDIENTES ESTUDIOS TÉCNICOS._x000a_2. LA SEGUNDA REFORMA CULMINÓ EN ABRIL DE 2015, CON EL AJUSTE DE FUNCIONES EN LA ORGANIZACIÓN INTERNA AL CUMPLIMIENTO DE NUEVA NORMATIVIDAD Y MEJORA DE LA OPERACIÓN. SE FUSIONÓ LA UAE BOSQUES DE CUNDINAMARCA CON LA SECRETARÍA DE AMBIENTE Y SE MODIFICÓ LA PLANTA DE EMPLEOS ._x000a_3. AJUSTE DEL MANUAL ESPECIFICO DE FUNCIONES Y DE COMPETENCIAS LABORALES A LOS REQUERIMIENTOS ADMINISTRATIVOS Y AL DECRETO NACIONAL 2484 DE 2014, ASI COMO LA LA NUEVA GUIA DEL DAFP._x000a_4. POR ULTIMO SE PROYECTO MODIFICACIÓN DE LA ORGANIZACIÓN INTERNA DE LA UNIDAD ADMINISTRATIVA ESPECIAL DE GESTIÓN DE RIESGOS DE DESASTRES, DONDE DE LE DA ESTRUCTURA Y SE ACYUALAN SUS COMPETENCIAS ACORDE CON LA NORMATIVIDAD._x000a_"/>
    <n v="0"/>
    <m/>
    <n v="0"/>
  </r>
  <r>
    <n v="519"/>
    <x v="3"/>
    <x v="20"/>
    <x v="26"/>
    <s v="FORTALECIMIENTO DE LA GESTIÓN"/>
    <s v="IMPLEMENTAR 100% DEL SISTEMA INTEGRAL DE GESTIÓN Y CONTROL PARA ALCANZAR LA CERTIFICACIÓN"/>
    <s v="CERTIFICACIÓN DEL SECTOR CENTRAL DE LA GOBERNACIÓN DE CUNDINAMARCA"/>
    <s v="UNIDAD"/>
    <s v="I"/>
    <n v="0"/>
    <n v="1"/>
    <n v="1"/>
    <n v="0.16500000000000001"/>
    <n v="4.1250000000000002E-2"/>
    <n v="0.25"/>
    <n v="0.25"/>
    <n v="0.25"/>
    <n v="0.25"/>
    <n v="100"/>
    <n v="100"/>
    <n v="4.1250000000000002E-2"/>
    <n v="100"/>
    <n v="101000000"/>
    <n v="101000000"/>
    <n v="0"/>
    <n v="0"/>
    <n v="0"/>
    <n v="0"/>
    <n v="0"/>
    <n v="0"/>
    <n v="90305000"/>
    <n v="90305000"/>
    <n v="0"/>
    <n v="0"/>
    <n v="0"/>
    <n v="0"/>
    <n v="0"/>
    <n v="0"/>
    <n v="0"/>
    <n v="0"/>
    <n v="0"/>
    <n v="8.2500000000000004E-2"/>
    <n v="0.5"/>
    <n v="0.5"/>
    <n v="0.5"/>
    <n v="0.5"/>
    <n v="100"/>
    <n v="100"/>
    <n v="8.2500000000000004E-2"/>
    <n v="100"/>
    <n v="26000000"/>
    <n v="0"/>
    <n v="26000000"/>
    <n v="0"/>
    <n v="0"/>
    <n v="0"/>
    <n v="0"/>
    <n v="0"/>
    <n v="105850000"/>
    <n v="105850000"/>
    <n v="0"/>
    <n v="0"/>
    <n v="0"/>
    <n v="0"/>
    <n v="0"/>
    <n v="0"/>
    <n v="0"/>
    <n v="0"/>
    <n v="0"/>
    <n v="2.4750000000000001E-2"/>
    <n v="0.15"/>
    <n v="0.15"/>
    <n v="0.25"/>
    <n v="0.25"/>
    <n v="0.15"/>
    <n v="0.15"/>
    <n v="100"/>
    <n v="100"/>
    <n v="2.4750000000000001E-2"/>
    <n v="100"/>
    <n v="2.4750000000000001E-2"/>
    <n v="1.6500000000000001E-2"/>
    <n v="0.1"/>
    <n v="0.1"/>
    <n v="0.1"/>
    <n v="0"/>
    <n v="0.1"/>
    <n v="100"/>
    <n v="100"/>
    <n v="1.6500000000000001E-2"/>
    <n v="1.6500000000000001E-2"/>
    <n v="60000000"/>
    <n v="60000000"/>
    <n v="0"/>
    <n v="0"/>
    <n v="0"/>
    <n v="0"/>
    <n v="0"/>
    <n v="0"/>
    <n v="0"/>
    <n v="0"/>
    <n v="0"/>
    <n v="0"/>
    <n v="0"/>
    <n v="0"/>
    <n v="0"/>
    <n v="0"/>
    <n v="0"/>
    <n v="0"/>
    <n v="0"/>
    <n v="1"/>
    <n v="0.16499999999999998"/>
    <n v="100"/>
    <n v="100"/>
    <n v="0.16500000000000001"/>
    <n v="0.16500000000000001"/>
    <n v="0.16500000000000001"/>
    <n v="1"/>
    <n v="0"/>
    <n v="613"/>
    <s v="INCREMENTAR AL 80% EL GRADO DE SATISFACCIÓN DE LOS CLIENTES DE LA GOBERNACIÓN DE CUNDINAMARCA"/>
    <m/>
    <s v=""/>
    <m/>
    <m/>
    <m/>
    <m/>
    <s v="DURANTE LA VIGENCIA DEL 2013, LA GOBERNACIÓN LOGRÓ LA CERTIFICACIÓN DEL SISTEMA DE GESTIÓN DE LA CALIDAD BAJO LAS NORMAS ISO 9001: 2008 Y NTCGP 1000:2009. MEDIANTE EL TRABAJO DE MANTENIMIENTO Y MEJORA CONTINUA SE LOGRÓ MANTENER LA CERTIFICACIÓN EN LA AUDITORIA REALIZADA POR ICONTEC EN EL AÑO 2015. ES IMPORTANTE RESALTAR QUE A TRAVÉS DE ESTE MISMO PROYECTO SE DOCUMENTARON LOS SISTEMAS  DE GESTIÓN AMBIENTAL Y DE GESTIÓN DE LA SEGURIDAD Y SALUD EN EL TRABAJO, PARA QUE SEAN APROBADOS E IMPLEMENTADOS  EN LA SIGUIENTE ADMINISTRACIÓN."/>
    <n v="0"/>
    <m/>
    <n v="10"/>
  </r>
  <r>
    <n v="520"/>
    <x v="3"/>
    <x v="0"/>
    <x v="26"/>
    <s v="FORTALECIMIENTO DE LA GESTIÓN"/>
    <s v="ACREDITAR LA SECRETARIA DE SALUD EN EL MARCO DEL SISTEMA ÚNICO DE ACREDITACIÓN PARA DIRECCIONES TERRITORIALES DE SALUD"/>
    <s v="SECRETARÍA DE SALUD ACREDITADA"/>
    <s v="UNIDAD"/>
    <s v="I"/>
    <n v="0"/>
    <n v="1"/>
    <n v="1"/>
    <n v="0.16500000000000001"/>
    <n v="1.6500000000000001E-2"/>
    <n v="0.1"/>
    <n v="0.1"/>
    <n v="0.1"/>
    <n v="0.1"/>
    <n v="100"/>
    <n v="100"/>
    <n v="1.6500000000000001E-2"/>
    <n v="100"/>
    <n v="4586000000"/>
    <n v="3196000000"/>
    <n v="1390000000"/>
    <n v="0"/>
    <n v="0"/>
    <n v="0"/>
    <n v="0"/>
    <n v="0"/>
    <n v="35662747000"/>
    <n v="10012404000"/>
    <n v="0"/>
    <n v="0"/>
    <n v="0"/>
    <n v="0"/>
    <n v="0"/>
    <n v="25650343000"/>
    <n v="0"/>
    <n v="0"/>
    <n v="0"/>
    <n v="4.9500000000000002E-2"/>
    <n v="0.3"/>
    <n v="0.3"/>
    <n v="0.13"/>
    <n v="0.13"/>
    <n v="43.333333333333336"/>
    <n v="43.333333333333336"/>
    <n v="2.145E-2"/>
    <n v="43.333333333333336"/>
    <n v="3271000000"/>
    <n v="897000000"/>
    <n v="2374000000"/>
    <n v="0"/>
    <n v="0"/>
    <n v="0"/>
    <n v="0"/>
    <n v="0"/>
    <n v="5393360644"/>
    <n v="4242546731"/>
    <n v="1080813913"/>
    <n v="70000000"/>
    <n v="0"/>
    <n v="0"/>
    <n v="0"/>
    <n v="0"/>
    <n v="0"/>
    <n v="0"/>
    <n v="0"/>
    <n v="4.9500000000000002E-2"/>
    <n v="0.3"/>
    <n v="0.3"/>
    <n v="0.30000001192092896"/>
    <n v="0.30000001192092896"/>
    <n v="0.30000001192092896"/>
    <n v="0.30000001192092896"/>
    <n v="100.00000397364299"/>
    <n v="100"/>
    <n v="4.9500000000000002E-2"/>
    <n v="100"/>
    <n v="4.9500001966953283E-2"/>
    <n v="4.9500000000000002E-2"/>
    <n v="0.3"/>
    <n v="0.3"/>
    <n v="0.25"/>
    <n v="4.9999999999999989E-2"/>
    <n v="0.25"/>
    <n v="83.333333333333343"/>
    <n v="83.333333333333343"/>
    <n v="4.1250000000000009E-2"/>
    <n v="4.1250000000000009E-2"/>
    <n v="6375000000"/>
    <n v="5478000000"/>
    <n v="897000000"/>
    <n v="0"/>
    <n v="0"/>
    <n v="0"/>
    <n v="0"/>
    <n v="0"/>
    <n v="0"/>
    <n v="0"/>
    <n v="0"/>
    <n v="0"/>
    <n v="0"/>
    <n v="0"/>
    <n v="0"/>
    <n v="0"/>
    <n v="0"/>
    <n v="0"/>
    <n v="0"/>
    <n v="0.78000001192092894"/>
    <n v="0.16500000000000001"/>
    <n v="78.000001192092896"/>
    <n v="78.000001192092896"/>
    <n v="0.12870000196695328"/>
    <n v="0.12870000196695328"/>
    <n v="0.12870000196695328"/>
    <n v="1"/>
    <n v="0"/>
    <n v="612"/>
    <s v="ASCENDER DOS PUESTOS EN EL RANKING NACIONAL DE TRANSPARENCIA"/>
    <m/>
    <s v=""/>
    <m/>
    <m/>
    <m/>
    <m/>
    <s v="LA PERMANENCIA Y LA CAPACITACION DEL RECURSO HUMANO DURANTE ESTE CUATRIENIO A PERMITIDO EL MEJORAMIENTO DE LOS PROCESOS PARA LOGRAR LA ACREDITACION DEL LABORATORIO"/>
    <n v="90000000"/>
    <m/>
    <n v="0.3"/>
  </r>
  <r>
    <n v="521"/>
    <x v="3"/>
    <x v="3"/>
    <x v="26"/>
    <s v="FORTALECIMIENTO DE LA GESTION"/>
    <s v="DURANTE EL CUATRIENIO CERTIFICAR ANTE EL MINISTERIO DE EDUCACIÓN NACIONAL 5 PROCESOS DE LA SECRETARIA DE EDUCACIÓN DEPARTAMENTAL (GESTIÓN DE CALIDAD, CALIDAD EDUCATIVA, COBERTURA, TALENTO HUMANO Y ATENCIÓN AL CIUDADANO"/>
    <s v="PROCESOS CERTIFICADOS EN EDUCACIÓN"/>
    <s v="PROCESOS"/>
    <s v="I"/>
    <n v="0"/>
    <n v="5"/>
    <n v="5"/>
    <n v="0.22264"/>
    <n v="4.4528000000000005E-2"/>
    <n v="1"/>
    <n v="0.2"/>
    <n v="3"/>
    <n v="3"/>
    <n v="300"/>
    <n v="100"/>
    <n v="4.4528000000000005E-2"/>
    <n v="100"/>
    <n v="0"/>
    <n v="0"/>
    <n v="0"/>
    <n v="0"/>
    <n v="0"/>
    <n v="0"/>
    <n v="0"/>
    <n v="0"/>
    <n v="0"/>
    <n v="0"/>
    <n v="0"/>
    <n v="0"/>
    <n v="0"/>
    <n v="0"/>
    <n v="0"/>
    <n v="0"/>
    <n v="0"/>
    <n v="0"/>
    <n v="0"/>
    <n v="4.4528000000000005E-2"/>
    <n v="1"/>
    <n v="0.2"/>
    <n v="1"/>
    <n v="1"/>
    <n v="100"/>
    <n v="100"/>
    <n v="4.4528000000000005E-2"/>
    <n v="100"/>
    <n v="0"/>
    <n v="11000000"/>
    <n v="0"/>
    <n v="0"/>
    <n v="0"/>
    <n v="0"/>
    <n v="0"/>
    <n v="0"/>
    <n v="0"/>
    <n v="0"/>
    <n v="0"/>
    <n v="0"/>
    <n v="0"/>
    <n v="0"/>
    <n v="0"/>
    <n v="0"/>
    <n v="0"/>
    <n v="0"/>
    <n v="0"/>
    <n v="4.4528000000000005E-2"/>
    <n v="1"/>
    <n v="0.2"/>
    <n v="0"/>
    <n v="1"/>
    <n v="1"/>
    <n v="1"/>
    <n v="100"/>
    <n v="100"/>
    <n v="4.4528000000000005E-2"/>
    <n v="100"/>
    <n v="4.4528000000000005E-2"/>
    <n v="8.905600000000001E-2"/>
    <n v="2"/>
    <n v="0.4"/>
    <n v="5"/>
    <n v="-3"/>
    <n v="5"/>
    <n v="250"/>
    <n v="100"/>
    <n v="8.905600000000001E-2"/>
    <n v="0.22264000000000003"/>
    <n v="4750000000"/>
    <n v="1350000000"/>
    <n v="0"/>
    <n v="0"/>
    <n v="0"/>
    <n v="0"/>
    <n v="0"/>
    <n v="3400000000"/>
    <n v="2046"/>
    <n v="0.22803000000000001"/>
    <n v="68.2"/>
    <n v="68.2"/>
    <n v="0.22505999999999998"/>
    <n v="0"/>
    <n v="0"/>
    <n v="0"/>
    <n v="0"/>
    <n v="0"/>
    <n v="0"/>
    <n v="10"/>
    <n v="0.22264"/>
    <n v="200"/>
    <n v="100"/>
    <n v="0.22264"/>
    <n v="0.22264"/>
    <n v="0.22264"/>
    <n v="1"/>
    <n v="0"/>
    <m/>
    <m/>
    <m/>
    <m/>
    <m/>
    <m/>
    <m/>
    <m/>
    <s v="A FINALES DEL 2012 LA SECRETARÍA FUE CERTIFICADA POR EL ICONTEC EN TRES DE LOS CUATRO PROCESOS SOLICITADOS POR EL MEN: GESTIÓN DE LA COBERTURA, GESTIÓN DEL TALENTO HUMANO Y ATENCIÓN AL CIUDADANO (DEPENDENCIA NUEVA EN LA SECRETARÍA CON LA QUE SE IMPLEMENTÓ EL SISTEMA DE ATENCIÓN AL CIUDADANO-SAC). EN EL 2013 SE CERTIFICÓ EL PROCESO DE GESTIÓN DE LA CALIDAD EDUCATIVA. EN ABRIL DE 2015 SE CERTIFICÓ, IGUALMENTE, POR EL ICONTEC LA SOSTENIBILIDAD DE LA CERTIFICACIÓN PARA LOS 4 PROCESOS._x000a_DE IGUAL MANERA LA SECRETARÍA SE ENCUENTRA ARTICULADA CON EL SIGC DE LA GOBERNACIÓN DE CUNDINAMARCA A PARTIR DEL 2014."/>
    <n v="0"/>
    <m/>
    <n v="0"/>
  </r>
  <r>
    <n v="522"/>
    <x v="3"/>
    <x v="20"/>
    <x v="26"/>
    <s v="FORTALECIMIENTO DE LA GESTIÓN"/>
    <s v="ASISTIR TÉCNICAMENTE EN TEMAS DE DESARROLLO ORGANIZACIONAL A LAS ENTIDADES DESCENTRALIZADAS QUE LO REQUIERAN. "/>
    <s v="NO DE ENTIDADES Y MUNICIPIOS CON ASESORÍA"/>
    <s v="INSTITUCIONES"/>
    <s v="I"/>
    <n v="0"/>
    <n v="35"/>
    <n v="35"/>
    <n v="0.16500000000000001"/>
    <n v="4.7142857142857139E-2"/>
    <n v="10"/>
    <n v="0.2857142857142857"/>
    <n v="37"/>
    <n v="37"/>
    <n v="370"/>
    <n v="100"/>
    <n v="4.7142857142857132E-2"/>
    <n v="100"/>
    <n v="0"/>
    <n v="0"/>
    <n v="0"/>
    <n v="0"/>
    <n v="0"/>
    <n v="0"/>
    <n v="0"/>
    <n v="0"/>
    <n v="0"/>
    <n v="0"/>
    <n v="0"/>
    <n v="0"/>
    <n v="0"/>
    <n v="0"/>
    <n v="0"/>
    <n v="0"/>
    <n v="0"/>
    <n v="0"/>
    <n v="0"/>
    <n v="4.7142857142857139E-2"/>
    <n v="10"/>
    <n v="0.2857142857142857"/>
    <n v="47"/>
    <n v="47"/>
    <n v="470"/>
    <n v="100"/>
    <n v="4.7142857142857132E-2"/>
    <n v="100"/>
    <n v="0"/>
    <n v="0"/>
    <n v="0"/>
    <n v="0"/>
    <n v="0"/>
    <n v="0"/>
    <n v="0"/>
    <n v="0"/>
    <n v="91800000"/>
    <n v="0"/>
    <n v="0"/>
    <n v="0"/>
    <n v="0"/>
    <n v="91800000"/>
    <n v="0"/>
    <n v="0"/>
    <n v="0"/>
    <n v="0"/>
    <n v="0"/>
    <n v="4.7142857142857139E-2"/>
    <n v="10"/>
    <n v="0.2857142857142857"/>
    <n v="24"/>
    <n v="40"/>
    <n v="50"/>
    <n v="50"/>
    <n v="500"/>
    <n v="100"/>
    <n v="4.7142857142857132E-2"/>
    <n v="100"/>
    <n v="0.23571428571428568"/>
    <n v="2.357142857142857E-2"/>
    <n v="5"/>
    <n v="0.14285714285714285"/>
    <n v="5"/>
    <n v="0"/>
    <n v="5"/>
    <n v="100"/>
    <n v="100"/>
    <n v="2.3571428571428566E-2"/>
    <n v="2.3571428571428566E-2"/>
    <n v="0"/>
    <n v="0"/>
    <n v="0"/>
    <n v="0"/>
    <n v="0"/>
    <n v="0"/>
    <n v="0"/>
    <n v="0"/>
    <n v="0"/>
    <n v="0"/>
    <n v="0"/>
    <n v="0"/>
    <n v="0"/>
    <n v="0"/>
    <n v="0"/>
    <n v="0"/>
    <n v="0"/>
    <n v="0"/>
    <n v="0"/>
    <n v="139"/>
    <n v="0.16499999999999998"/>
    <n v="397.14285714285717"/>
    <n v="100"/>
    <n v="0.16500000000000001"/>
    <n v="0.16500000000000001"/>
    <n v="0.16500000000000001"/>
    <n v="1"/>
    <n v="0"/>
    <n v="613"/>
    <s v="INCREMENTAR AL 80% EL GRADO DE SATISFACCIÓN DE LOS CLIENTES DE LA GOBERNACIÓN DE CUNDINAMARCA"/>
    <m/>
    <s v=""/>
    <m/>
    <m/>
    <m/>
    <m/>
    <s v="DURANTE EL CUATRENIO SE HA REALIZADO 184 ASISTENCIAS, DISTRIBUIDOS EN LAS SOLICITUDES QUE DURANTE CADA PERIODO HAN REALIZADO LAS 36 ESES DEPARTAMENTALES EN ASUSNTOS DE ESTRUCTURA, PLANTA, MANUALES Y LOS INCREMENTO QUE SE REALIZAN A LAS ASIGNACIONES POR NO POSEER GRADOS DE ASIGNACION SALARIAL. LAS ENTIDADES DESCENTRALIZADAS DEL DEPARTAMENTO HAN SOLICITADO SU APOYO PARA LA MODIFICACIÓN DE SUS ESTATUTOS, ORGANIZAZIONES, PLANTAS CON SUS ESTUDIOS Y MANUALES. EL MAYOR LOGRO DE ESTA META HA SIDO PODER ASISTIR A ENTIDADES DESCENTRALIZADAS DEPARTAMENTALES, DE MANERA QUE PUEDAN ORGANIZARSE ADMINISTRATIVAMENTE Y SER APOYADOS SIN COSTOS NI EROGACIONES. ADICIONALMENTE SE HA LOGRADO MANTENER Y PRESERVAR ESTÁNDARES ENTRE EL SECTOR CENTRAL Y LAS ENTIDADES DESCENTRALIZADAS, ASI COMO ASEGURAR EL CUMPLIMIENTO DE LAS NORMAS PREVIO A LA EXPEDICIÓN DE LOS ACTOS ADMINISTRATIVOS QUE LAS SOPORTA, POR PARTE DEL GOBERNADOR._x000a_ESTA META INICIALMENTE FUE PROGRAMADA PARA NÚMERO DE ASISTENCIAS EN VALOR ABSOLUTO PARA CADA AÑO ASI: 10, 10, 10 Y 5. SIN EMBARGO FUE MODIFICADA POR ORDENANZA, DONDE SE ESTABLECE COMO META POR DEMANADA. ASÍ LO ATENDIDO CORRESPONDE AL NUMERO DE ASISTENCIAS REALIZADAS POR CADA AÑO 2012 CON 37, 2013 CON 47, 2014 CON 50 Y 2015 CON 94 PARA UN TOTAL DE 228 ASISTENCIA ACUMULADAS EN EL CUATRIENIO."/>
    <n v="0"/>
    <m/>
    <n v="1"/>
  </r>
  <r>
    <n v="523"/>
    <x v="3"/>
    <x v="0"/>
    <x v="26"/>
    <s v="FORTALECIMIENTO DE LA GESTIÓN"/>
    <s v="FORTALECER TRES ENTIDADES DEPARTAMENTALES PARA MEJORAR SU CAPACIDAD DE ATENCIÓN A LA COMUNIDAD Y LA PRESTACIÓN DE SERVICIOS."/>
    <s v="NO DE ENTIDADES FORTALECIDAS"/>
    <s v="ENTIDADES"/>
    <s v="I"/>
    <n v="0"/>
    <n v="3"/>
    <n v="3"/>
    <n v="0.16500000000000001"/>
    <n v="0"/>
    <n v="0"/>
    <n v="0"/>
    <n v="4"/>
    <n v="4"/>
    <n v="0"/>
    <n v="0"/>
    <n v="0"/>
    <n v="100"/>
    <n v="5000000000"/>
    <n v="5000000000"/>
    <n v="0"/>
    <n v="0"/>
    <n v="0"/>
    <n v="0"/>
    <n v="0"/>
    <n v="0"/>
    <n v="27890260000"/>
    <n v="27890260000"/>
    <n v="0"/>
    <n v="0"/>
    <n v="0"/>
    <n v="0"/>
    <n v="0"/>
    <n v="0"/>
    <n v="0"/>
    <n v="0"/>
    <n v="0"/>
    <n v="5.5E-2"/>
    <n v="1"/>
    <n v="0.33333333333333331"/>
    <n v="3"/>
    <n v="3"/>
    <n v="300"/>
    <n v="100"/>
    <n v="5.5E-2"/>
    <n v="100"/>
    <n v="4036000000"/>
    <n v="0"/>
    <n v="4036000000"/>
    <n v="0"/>
    <n v="0"/>
    <n v="0"/>
    <n v="0"/>
    <n v="0"/>
    <n v="5000000000"/>
    <n v="5000000000"/>
    <n v="0"/>
    <n v="0"/>
    <n v="0"/>
    <n v="0"/>
    <n v="0"/>
    <n v="0"/>
    <n v="0"/>
    <n v="0"/>
    <n v="0"/>
    <n v="5.5E-2"/>
    <n v="1"/>
    <n v="0.33333333333333331"/>
    <n v="1"/>
    <n v="0"/>
    <n v="1"/>
    <n v="1"/>
    <n v="100"/>
    <n v="100"/>
    <n v="5.5E-2"/>
    <n v="100"/>
    <n v="5.5E-2"/>
    <n v="5.5E-2"/>
    <n v="1"/>
    <n v="0.33333333333333331"/>
    <n v="1"/>
    <n v="0"/>
    <n v="1"/>
    <n v="100"/>
    <n v="100"/>
    <n v="5.5E-2"/>
    <n v="5.5E-2"/>
    <n v="45000000000"/>
    <n v="45000000"/>
    <n v="0"/>
    <n v="0"/>
    <n v="0"/>
    <n v="0"/>
    <n v="0"/>
    <n v="0"/>
    <n v="0"/>
    <n v="0"/>
    <n v="0"/>
    <n v="0"/>
    <n v="0"/>
    <n v="0"/>
    <n v="0"/>
    <n v="0"/>
    <n v="0"/>
    <n v="0"/>
    <n v="0"/>
    <n v="9"/>
    <n v="0.16500000000000001"/>
    <n v="300"/>
    <n v="100"/>
    <n v="0.16500000000000001"/>
    <n v="0.16500000000000001"/>
    <n v="0.16500000000000001"/>
    <n v="1"/>
    <n v="0"/>
    <n v="612"/>
    <s v="ASCENDER DOS PUESTOS EN EL RANKING NACIONAL DE TRANSPARENCIA"/>
    <m/>
    <s v=""/>
    <m/>
    <m/>
    <m/>
    <m/>
    <s v=" APOYO FINANCIERO A LA EPS CONVIDA ORIENTADO A LA GENERACIÓN DE LIQUIDEZ, CAPACIDAD OPERATIVA Y MEJORAR LA CALIDAD EN LA PRESTACIÓN DE SERVICIOS DE SALUD DE LA POBLACIÓN DEL DEPARTAMENTO DE CUNDINAMARCA "/>
    <n v="0"/>
    <m/>
    <n v="0.2"/>
  </r>
  <r>
    <n v="524"/>
    <x v="3"/>
    <x v="21"/>
    <x v="26"/>
    <s v="FORTALECIMIENTO DE LA GESTIÓN"/>
    <s v="MEJORAR LA CAPACIDAD DE RESPUESTA AL USUARIO CON LA IMPLEMENTACIÓN DE UN SISTEMA DE ATENCIÓN DURANTE EL CUATRIENIO. "/>
    <s v="NO DE SISTEMAS DE ATENCIÓN AL CIUDADANO"/>
    <s v="SISTEMAS"/>
    <s v="I"/>
    <n v="0"/>
    <n v="1"/>
    <n v="1"/>
    <n v="8.8999999999999996E-2"/>
    <n v="0"/>
    <n v="0"/>
    <n v="0"/>
    <n v="0"/>
    <n v="0"/>
    <n v="0"/>
    <n v="0"/>
    <n v="0"/>
    <n v="0"/>
    <n v="0"/>
    <n v="0"/>
    <n v="0"/>
    <n v="0"/>
    <n v="0"/>
    <n v="0"/>
    <n v="0"/>
    <n v="0"/>
    <n v="0"/>
    <n v="0"/>
    <n v="0"/>
    <n v="0"/>
    <n v="0"/>
    <n v="0"/>
    <n v="0"/>
    <n v="0"/>
    <n v="0"/>
    <n v="0"/>
    <n v="0"/>
    <n v="4.4499999999999998E-2"/>
    <n v="0.5"/>
    <n v="0.5"/>
    <n v="0.67"/>
    <n v="0.67"/>
    <n v="134"/>
    <n v="100"/>
    <n v="4.4500000000000005E-2"/>
    <n v="100"/>
    <n v="109000000"/>
    <n v="0"/>
    <n v="109000000"/>
    <n v="0"/>
    <n v="0"/>
    <n v="0"/>
    <n v="0"/>
    <n v="0"/>
    <n v="0"/>
    <n v="0"/>
    <n v="0"/>
    <n v="0"/>
    <n v="0"/>
    <n v="0"/>
    <n v="0"/>
    <n v="0"/>
    <n v="0"/>
    <n v="0"/>
    <n v="0"/>
    <n v="1.78E-2"/>
    <n v="0.2"/>
    <n v="0.2"/>
    <n v="0.33"/>
    <n v="0.1128"/>
    <n v="0.17000000178813934"/>
    <n v="0.17000000178813934"/>
    <n v="85.000000894069672"/>
    <n v="85.000000894069672"/>
    <n v="1.5130000159144402E-2"/>
    <n v="85.000000894069672"/>
    <n v="1.5130000159144402E-2"/>
    <n v="2.6699999999999998E-2"/>
    <n v="0.3"/>
    <n v="0.3"/>
    <n v="0.1"/>
    <n v="0.19999999999999998"/>
    <n v="0.1"/>
    <n v="33.333333333333336"/>
    <n v="33.333333333333336"/>
    <n v="8.8999999999999999E-3"/>
    <n v="8.8999999999999999E-3"/>
    <n v="0"/>
    <n v="0"/>
    <n v="0"/>
    <n v="0"/>
    <n v="0"/>
    <n v="0"/>
    <n v="0"/>
    <n v="0"/>
    <n v="0"/>
    <n v="0"/>
    <n v="0"/>
    <n v="0"/>
    <n v="0"/>
    <n v="0"/>
    <n v="0"/>
    <n v="0"/>
    <n v="0"/>
    <n v="0"/>
    <n v="0"/>
    <n v="0.94000000178813936"/>
    <n v="8.8999999999999996E-2"/>
    <n v="94.000000178813934"/>
    <n v="94.000000178813934"/>
    <n v="8.366000015914439E-2"/>
    <n v="8.366000015914439E-2"/>
    <n v="8.366000015914439E-2"/>
    <n v="1"/>
    <n v="0"/>
    <n v="614"/>
    <s v=" 3,8 CALIFICACIÓN EN CAPACIDAD DE GESTIÓN PARA RESULTADOS DE DESARROLLO"/>
    <m/>
    <s v=""/>
    <m/>
    <m/>
    <m/>
    <m/>
    <s v=""/>
    <n v="0"/>
    <m/>
    <n v="1"/>
  </r>
  <r>
    <n v="525"/>
    <x v="3"/>
    <x v="21"/>
    <x v="26"/>
    <s v="FORTALECIMIENTO DE LA GESTIÓN"/>
    <s v="IMPLEMENTAR (1) UN PROGRAMA PARA BUENAS PRÁCTICAS EN LOS PROCESOS DE GESTIÓN DOCUMENTAL Y DE ARCHIVO "/>
    <s v="NO DE PROGRAMAS DE BUENAS PRÁCTICAS DE GESTIÓN DOCUMENTAL IMPLEMENTADO"/>
    <s v="PROGRAMA"/>
    <s v="I"/>
    <n v="0"/>
    <n v="1"/>
    <n v="1"/>
    <n v="8.8999999999999996E-2"/>
    <n v="0"/>
    <n v="0"/>
    <n v="0"/>
    <n v="0"/>
    <n v="0"/>
    <n v="0"/>
    <n v="0"/>
    <n v="0"/>
    <n v="0"/>
    <n v="0"/>
    <n v="0"/>
    <n v="0"/>
    <n v="0"/>
    <n v="0"/>
    <n v="0"/>
    <n v="0"/>
    <n v="0"/>
    <n v="0"/>
    <n v="0"/>
    <n v="0"/>
    <n v="0"/>
    <n v="0"/>
    <n v="0"/>
    <n v="0"/>
    <n v="0"/>
    <n v="0"/>
    <n v="0"/>
    <n v="0"/>
    <n v="1.78E-2"/>
    <n v="0.2"/>
    <n v="0.2"/>
    <n v="0.93500000000000005"/>
    <n v="0.93500000000000005"/>
    <n v="467.5"/>
    <n v="100"/>
    <n v="1.78E-2"/>
    <n v="100"/>
    <n v="27000000"/>
    <n v="0"/>
    <n v="27000000"/>
    <n v="0"/>
    <n v="0"/>
    <n v="0"/>
    <n v="0"/>
    <n v="0"/>
    <n v="92230000"/>
    <n v="92230000"/>
    <n v="0"/>
    <n v="0"/>
    <n v="0"/>
    <n v="0"/>
    <n v="0"/>
    <n v="0"/>
    <n v="0"/>
    <n v="0"/>
    <n v="0"/>
    <n v="3.56E-2"/>
    <n v="0.4"/>
    <n v="0.4"/>
    <n v="0.09"/>
    <n v="9.1999999999999998E-2"/>
    <n v="2.3E-2"/>
    <n v="2.3E-2"/>
    <n v="5.7499999999999991"/>
    <n v="5.7499999999999991"/>
    <n v="2.0469999999999998E-3"/>
    <n v="5.7499999999999991"/>
    <n v="2.0469999999999998E-3"/>
    <n v="3.56E-2"/>
    <n v="0.4"/>
    <n v="0.4"/>
    <n v="3.3"/>
    <n v="-2.9"/>
    <n v="3.3"/>
    <n v="825"/>
    <n v="100"/>
    <n v="3.56E-2"/>
    <n v="0.29370000000000002"/>
    <n v="100000000"/>
    <n v="100000000"/>
    <n v="0"/>
    <n v="0"/>
    <n v="0"/>
    <n v="0"/>
    <n v="0"/>
    <n v="0"/>
    <n v="0"/>
    <n v="0"/>
    <n v="0"/>
    <n v="0"/>
    <n v="0"/>
    <n v="0"/>
    <n v="0"/>
    <n v="0"/>
    <n v="0"/>
    <n v="0"/>
    <n v="0"/>
    <n v="4.258"/>
    <n v="8.8999999999999996E-2"/>
    <n v="425.8"/>
    <n v="100"/>
    <n v="8.900000000000001E-2"/>
    <n v="8.8999999999999996E-2"/>
    <n v="8.8999999999999996E-2"/>
    <n v="1"/>
    <n v="0"/>
    <n v="614"/>
    <s v=" 3,8 CALIFICACIÓN EN CAPACIDAD DE GESTIÓN PARA RESULTADOS DE DESARROLLO"/>
    <m/>
    <s v=""/>
    <m/>
    <m/>
    <m/>
    <m/>
    <s v=""/>
    <n v="0"/>
    <m/>
    <n v="10"/>
  </r>
  <r>
    <n v="526"/>
    <x v="3"/>
    <x v="21"/>
    <x v="26"/>
    <s v="FORTALECIMIENTO DE LA GESTIÓN"/>
    <s v="PRESTAR UN MEJOR SERVICIO A LA COMUNIDAD CON EL MEJORAMIENTO, ADECUACIÓN, MANTENIMIENTO Y/O ADQUISICIÓN DE 35 BIENES DEL Y PARA EL DEPARTAMENTO DURANTE EL CUATRIENIO."/>
    <s v="NO DE AMBIENTES FÍSICOS MEJORADOS, ADECUADOS, Y/O ADQUIRIDOS"/>
    <s v="BIENES"/>
    <s v="I"/>
    <n v="0"/>
    <n v="35"/>
    <n v="35"/>
    <n v="8.8999999999999996E-2"/>
    <n v="5.0857142857142854E-3"/>
    <n v="2"/>
    <n v="5.7142857142857141E-2"/>
    <n v="2"/>
    <n v="2"/>
    <n v="100"/>
    <n v="100"/>
    <n v="5.0857142857142854E-3"/>
    <n v="100"/>
    <n v="11510000000"/>
    <n v="11510000000"/>
    <n v="0"/>
    <n v="0"/>
    <n v="0"/>
    <n v="0"/>
    <n v="0"/>
    <n v="0"/>
    <n v="4081266000"/>
    <n v="4081266000"/>
    <n v="0"/>
    <n v="0"/>
    <n v="0"/>
    <n v="0"/>
    <n v="0"/>
    <n v="0"/>
    <n v="0"/>
    <n v="0"/>
    <n v="0"/>
    <n v="3.0514285714285713E-2"/>
    <n v="12"/>
    <n v="0.34285714285714286"/>
    <n v="14"/>
    <n v="14"/>
    <n v="116.66666666666667"/>
    <n v="100"/>
    <n v="3.0514285714285713E-2"/>
    <n v="100"/>
    <n v="830000000"/>
    <n v="0"/>
    <n v="830000000"/>
    <n v="0"/>
    <n v="0"/>
    <n v="0"/>
    <n v="0"/>
    <n v="0"/>
    <n v="9526071408"/>
    <n v="9526071408"/>
    <n v="0"/>
    <n v="0"/>
    <n v="0"/>
    <n v="0"/>
    <n v="0"/>
    <n v="0"/>
    <n v="0"/>
    <n v="0"/>
    <n v="0"/>
    <n v="3.0514285714285713E-2"/>
    <n v="12"/>
    <n v="0.34285714285714286"/>
    <n v="3"/>
    <n v="11"/>
    <n v="13"/>
    <n v="13"/>
    <n v="108.33333333333333"/>
    <n v="100"/>
    <n v="3.0514285714285713E-2"/>
    <n v="100"/>
    <n v="3.3057142857142854E-2"/>
    <n v="2.2885714285714284E-2"/>
    <n v="9"/>
    <n v="0.25714285714285712"/>
    <n v="5"/>
    <n v="4"/>
    <n v="5"/>
    <n v="55.555555555555557"/>
    <n v="55.555555555555557"/>
    <n v="1.2714285714285713E-2"/>
    <n v="1.2714285714285713E-2"/>
    <n v="5500000000"/>
    <n v="5500000000"/>
    <n v="0"/>
    <n v="0"/>
    <n v="0"/>
    <n v="0"/>
    <n v="0"/>
    <n v="0"/>
    <n v="0"/>
    <n v="0"/>
    <n v="0"/>
    <n v="0"/>
    <n v="0"/>
    <n v="0"/>
    <n v="0"/>
    <n v="0"/>
    <n v="0"/>
    <n v="0"/>
    <n v="0"/>
    <n v="34"/>
    <n v="8.8999999999999996E-2"/>
    <n v="97.142857142857139"/>
    <n v="97.142857142857139"/>
    <n v="8.6457142857142844E-2"/>
    <n v="8.6457142857142844E-2"/>
    <n v="8.6457142857142844E-2"/>
    <n v="1"/>
    <n v="0"/>
    <n v="613"/>
    <s v="INCREMENTAR AL 80% EL GRADO DE SATISFACCIÓN DE LOS CLIENTES DE LA GOBERNACIÓN DE CUNDINAMARCA"/>
    <m/>
    <s v=""/>
    <m/>
    <m/>
    <m/>
    <m/>
    <s v=""/>
    <n v="0"/>
    <m/>
    <n v="2"/>
  </r>
  <r>
    <n v="527"/>
    <x v="3"/>
    <x v="0"/>
    <x v="26"/>
    <s v="FORTALECIMIENTO DE LA GESTIÓN"/>
    <s v="MODERNIZAR 8 EMPRESAS SOCIALES DEL ESTADO DURANTE EL CUATRIENIO"/>
    <s v="N° DE EMPRESAS SOCIALES DEL ESTADO MODERNIZADAS"/>
    <s v="IPS"/>
    <s v="I"/>
    <n v="0"/>
    <n v="8"/>
    <n v="8"/>
    <n v="0.25"/>
    <n v="3.125E-2"/>
    <n v="1"/>
    <n v="0.125"/>
    <n v="0"/>
    <n v="0"/>
    <n v="0"/>
    <n v="0"/>
    <n v="0"/>
    <n v="0"/>
    <n v="0"/>
    <n v="0"/>
    <n v="0"/>
    <n v="0"/>
    <n v="0"/>
    <n v="0"/>
    <n v="0"/>
    <n v="0"/>
    <n v="26220170000"/>
    <n v="22028449000"/>
    <n v="0"/>
    <n v="0"/>
    <n v="0"/>
    <n v="0"/>
    <n v="0"/>
    <n v="4191721000"/>
    <n v="0"/>
    <n v="0"/>
    <n v="0"/>
    <n v="9.375E-2"/>
    <n v="3"/>
    <n v="0.375"/>
    <n v="6"/>
    <n v="6"/>
    <n v="200"/>
    <n v="100"/>
    <n v="9.375E-2"/>
    <n v="100"/>
    <n v="34083000000"/>
    <n v="5200000000"/>
    <n v="28883000"/>
    <n v="0"/>
    <n v="0"/>
    <n v="0"/>
    <n v="0"/>
    <n v="0"/>
    <n v="107388947018"/>
    <n v="107388947018"/>
    <n v="0"/>
    <n v="0"/>
    <n v="0"/>
    <n v="0"/>
    <n v="0"/>
    <n v="0"/>
    <n v="0"/>
    <n v="0"/>
    <n v="0"/>
    <n v="9.375E-2"/>
    <n v="3"/>
    <n v="0.375"/>
    <n v="0"/>
    <n v="3"/>
    <n v="10"/>
    <n v="10"/>
    <n v="333.33333333333331"/>
    <n v="100"/>
    <n v="9.375E-2"/>
    <n v="100"/>
    <n v="0.3125"/>
    <n v="3.125E-2"/>
    <n v="1"/>
    <n v="0.125"/>
    <n v="4"/>
    <n v="-3"/>
    <n v="4"/>
    <n v="400"/>
    <n v="100"/>
    <n v="3.125E-2"/>
    <n v="0.125"/>
    <n v="64677000000"/>
    <n v="59477000"/>
    <n v="5200000000"/>
    <n v="0"/>
    <n v="0"/>
    <n v="0"/>
    <n v="0"/>
    <n v="0"/>
    <n v="0"/>
    <n v="0"/>
    <n v="0"/>
    <n v="0"/>
    <n v="0"/>
    <n v="0"/>
    <n v="0"/>
    <n v="0"/>
    <n v="0"/>
    <n v="0"/>
    <n v="0"/>
    <n v="20"/>
    <n v="0.25"/>
    <n v="250"/>
    <n v="100"/>
    <n v="0.25"/>
    <n v="0.25"/>
    <n v="0.25"/>
    <n v="1"/>
    <n v="0"/>
    <n v="612"/>
    <s v="ASCENDER DOS PUESTOS EN EL RANKING NACIONAL DE TRANSPARENCIA"/>
    <m/>
    <s v=""/>
    <m/>
    <m/>
    <m/>
    <m/>
    <s v="1.REORGANIZACIÓN DE LA RED DEPARTAMENTAL DE INSTITUCIONES PRESTADORAS DE SERVICIOS DE SALUD, APROBADO EN EL 2013 POR EL MINISTERIO DE SALUD Y PROTECCIÓN SOCIAL Y ACTUALIZADO EN EL 2015_x000a_2.REORDENAMIENTO FÍSICO FUNCIONAL DE 14 ESES: ESE HOSPITAL SALAZAR DE VILLETA ( URGENCIAS Y CONSULTA EXTERNA), HOSPITAL EL SALVADOR DE UBATE ( URGENCIAS), ESE HOSPITAL SAN RAFAEL DE FUSAGASUGA ( CONSTRUCCIÓN CENTRO DE SALUD PRIMARIA), ESE HOSPITAL PEDRO LEON ALVAREZ DE LA MESA ( AMPLIACIÓN DE URGENCIAS Y UNIDAD DE CUIDADO INTERMEDIO), CENTRO DE SALUD DE COTA ( NUEVO), ESE HOSPITAL DIÓGENES TRONCOSO DE PUERTO SALGAR ( NUEVO), HOSPITAL ISMAEL SILVA DE SILVANIA ( URGENCIAS), REPOSICIÓN DE INFRAESTRUCTURA DEL CENTRO DE SALUD DEL ROSAL, ESE HOSPITAL SANTA MATILDE DE MADRID ( NUEVO) . SE ENTREGARON RECURSOS PARA VIABILIDAD DE PROYECTOS DADOS EN 2013: CONSTRUCCIÓN DE LA NUEVA INFRAESTRUCTURA DE LA ESE HOSPITAL MARIO GAITAN YANGUAS DE SOACHA ( III NIVEL DE COMPLEJIDAD) NODO DE LA SUBRED CENTRO, INICIO DE EJECUCIÓN DE PROYECTOS DE INFRAESTRUCTURA A APROBADOS POR EL MINISTERIO DE SALUD Y PROTECCIÓN SOCIAL: CENTRO DE SALUD EL ROSAL, CENTRO DE SALUD MANABLANCA, FACATATIVA Y SERVICIO DE URGENCIAS EN ESE HOSPITAL SAN RAFAEL DE CÁQUEZA "/>
    <n v="0"/>
    <m/>
    <n v="2"/>
  </r>
  <r>
    <n v="528"/>
    <x v="3"/>
    <x v="0"/>
    <x v="26"/>
    <s v="FORTALECIMIENTO DE LA GESTIÓN"/>
    <s v="AUMENTAR EL CUMPLIMIENTO DEL SISTEMA OBLIGATORIO DE GARANTÍA DE LA CALIDAD EN EL 100% DE LAS EMPRESAS SOCIALES DEL ESTADO."/>
    <s v="% DE EMPRESAS SOCIALES DEL ESTADO CON CUMPLIMIENTO DEL SISTEMA OBLIGATORIO DE GARANTÍA DE LA CALIDAD "/>
    <s v="PUNTOS PORCENTUALES"/>
    <s v="I"/>
    <n v="62"/>
    <n v="100"/>
    <n v="38"/>
    <n v="0.16500000000000001"/>
    <n v="2.1710526315789472E-2"/>
    <n v="5"/>
    <n v="0.13157894736842105"/>
    <n v="10"/>
    <n v="10"/>
    <n v="200"/>
    <n v="100"/>
    <n v="2.1710526315789472E-2"/>
    <n v="100"/>
    <n v="7401000000"/>
    <n v="7401000000"/>
    <n v="0"/>
    <n v="0"/>
    <n v="0"/>
    <n v="0"/>
    <n v="0"/>
    <n v="0"/>
    <n v="8787449000"/>
    <n v="8787449000"/>
    <n v="0"/>
    <n v="0"/>
    <n v="0"/>
    <n v="0"/>
    <n v="0"/>
    <n v="0"/>
    <n v="0"/>
    <n v="0"/>
    <n v="0"/>
    <n v="4.3421052631578944E-2"/>
    <n v="10"/>
    <n v="0.26315789473684209"/>
    <n v="8.1999999999999993"/>
    <n v="8.1999999999999993"/>
    <n v="81.999999999999986"/>
    <n v="81.999999999999986"/>
    <n v="3.5605263157894723E-2"/>
    <n v="81.999999999999986"/>
    <n v="15196000000"/>
    <n v="14026000"/>
    <n v="1170000000"/>
    <n v="0"/>
    <n v="0"/>
    <n v="0"/>
    <n v="0"/>
    <n v="0"/>
    <n v="22735703320"/>
    <n v="22735703320"/>
    <n v="0"/>
    <n v="0"/>
    <n v="0"/>
    <n v="0"/>
    <n v="0"/>
    <n v="0"/>
    <n v="0"/>
    <n v="0"/>
    <n v="0"/>
    <n v="6.5131578947368429E-2"/>
    <n v="15"/>
    <n v="0.39473684210526316"/>
    <n v="5"/>
    <n v="10"/>
    <n v="12.449999809265137"/>
    <n v="12.449999809265137"/>
    <n v="82.99999872843425"/>
    <n v="82.99999872843425"/>
    <n v="5.4059209698124944E-2"/>
    <n v="82.99999872843425"/>
    <n v="5.4059209698124944E-2"/>
    <n v="3.4736842105263156E-2"/>
    <n v="8"/>
    <n v="0.21052631578947367"/>
    <n v="6"/>
    <n v="2"/>
    <n v="6"/>
    <n v="75"/>
    <n v="75"/>
    <n v="2.6052631578947369E-2"/>
    <n v="2.6052631578947369E-2"/>
    <n v="17464000000"/>
    <n v="2700000000"/>
    <n v="14764000"/>
    <n v="0"/>
    <n v="0"/>
    <n v="0"/>
    <n v="0"/>
    <n v="0"/>
    <n v="0"/>
    <n v="0"/>
    <n v="0"/>
    <n v="0"/>
    <n v="0"/>
    <n v="0"/>
    <n v="0"/>
    <n v="0"/>
    <n v="0"/>
    <n v="0"/>
    <n v="0"/>
    <n v="36.64999980926514"/>
    <n v="0.16500000000000001"/>
    <n v="96.44736791911879"/>
    <n v="96.44736791911879"/>
    <n v="0.15913815706654602"/>
    <n v="0.15913815706654602"/>
    <n v="0.15913815706654602"/>
    <n v="1"/>
    <n v="0"/>
    <n v="612"/>
    <s v="ASCENDER DOS PUESTOS EN EL RANKING NACIONAL DE TRANSPARENCIA"/>
    <m/>
    <s v=""/>
    <m/>
    <m/>
    <m/>
    <m/>
    <s v="1. SISTEMA ÚNICO DE HABILITACIÓN -SUH-CON RETROALIMENTACIÓN MEDIANTE REPORTE DE INFORMACIÓN SITUACIONAL DE CALIDAD SEGÚN MARCO NORMATIVO, EVALUADO POR SUBREDES EN CUMPLIMIENTO CIRCULAR 084/14, CON CUMPLIMIENTO : 66% SUBRED NORTE; 75% SUBRED SUR; 80% SUBRED ORIENTE; 80% SUBRED OCCIDENTE Y 100% SUBRED CENTRO. 2. SISTEMA ÚNICO DE ACREDITACIÓN -SUA: CON PROMEDIO DE CALIFICACIÓN 1.4 SUBRED NORTE (MAYOR CALIFICACIÓN CARUPA, GUATAVITA Y SUESCA); 1.5 SUBRED SUR (ARBELAEZ, AGUA DE DIOS Y SILVANIA); 1.4 SUBRED ORIENTE (CÁQUEZA, FOSCA Y UNE); 1.5 SUBRED OCCIDENTE (FACATATIVÁ, MOSQUERA, MADRID Y VIANÍ) Y 1.9 SUBRED CENTRO (EL COLEGIO Y SOACHA). 3. PROGRAMA DE AUDITORIA - PAMEC: CUMPLIMIENTO EN CUANTO A REPORTE POR SUBRED DE 61.90% EN SUBRED NORTE; 62.5% EN SUBRED SUR ; 100% SUBRED ORIENTE, 73% SUBRED OCCIDENTE Y . 100% SUBRED CENTRO CON ACCIONES DE VERIFICACIÓN, ANÁLISIS Y SEGUIMIENTO. 4. PROGRAMA DE SEGURIDAD DEL PACIENTE: SUBRED NORTE; CON 30% EN CONSTRUCCIÓN PARA ESES DE CAJICÁ, GACHETÁ, JUNÍN Y TENJO Y 13% IMPLEMENTACIÓN Y EVALUADO EN ESES CHOCONTÁ Y ZIPA . SIN REPORTE: UBATE, EL PEÑÓN, TABIO, GUATAVITA, SESQUILÉ, NEMOCÓN, LA PALMA, GUATAVITA Y CARUPA. SUBRED SUR: 31% EN CONSTRUCCIÓN PATRA ARBELÁEZ, SILVANIA Y TOCAIMA Y 40% IMPLEMENTADO Y EVALUADO PARA AGUA DE DIOS, FUSAGASUGÁ Y GIRARDOT. SIN REPORTE: RICAURTE Y VIOTÁ. SUBRED ORIENTE: 19% EN CONSTRUCCIÓN PARA MEDINA Y UN 43% IMPLEMENTADO Y EVALUADO PARA CÁQUEZA, FÓMEQUE Y UNE. SUBRED OCCIDENTE: 35% EN CONSTRUCCIÓN PARA ANOLAIMA, GUADUAS, MADRID, FUNZA, SAN JUAN DE RIOSECO, SAN FRANCISCO, SASAIMA Y VIANÍ Y, 23% IMPLEMENTADO Y EVALUADO PARA FACATATIVÁ Y MOSQUERA . SUBRED CENTRO: 36%EN CONSTRUCCIÓN PARA LA MESA Y SAN ANTONIO DEL TEQUENDAMA Y 29% IMPLEMENTACIÓN Y EVALUADO PARA EL COLEGIO Y HUS SAMARITANA _x000a__x000a_"/>
    <n v="0"/>
    <m/>
    <n v="20"/>
  </r>
  <r>
    <n v="529"/>
    <x v="3"/>
    <x v="0"/>
    <x v="26"/>
    <s v="FORTALECIMIENTO DE LA GESTIÓN"/>
    <s v="DESARROLLAR EN EL DEPARTAMENTO DE CUNDINAMARCA LAS ACCIONES COMPETENTES DE INSPECCIÓN, VIGILANCIA Y CONTROL EN EL 100% DE LOS SUJETOS SUSCEPTIBLES DE INTERVENCIÓN EN EL MARCO DE LA PRESTACIÓN DE SERVICIOS DE SALUD, ASEGURAMIENTO, FINANCIAMIENTO DEL"/>
    <s v="% DE LOS SUJETOS SUSCEPTIBLES DE INTERVENCIÓN EN EL MARCO DE LA PRESTACIÓN DE SERVICIOS DE SALUD, ASEGURAMIENTO, FINANCIAMIENTO DEL SGSSS Y SALUD PUBLICA"/>
    <s v="PORCENTAJE"/>
    <s v="I"/>
    <n v="0"/>
    <n v="100"/>
    <n v="100"/>
    <n v="0.16500000000000001"/>
    <n v="2.4750000000000001E-2"/>
    <n v="15"/>
    <n v="0.15"/>
    <n v="14.8"/>
    <n v="14.8"/>
    <n v="98.666666666666671"/>
    <n v="98.666666666666671"/>
    <n v="2.4420000000000001E-2"/>
    <n v="98.666666666666671"/>
    <n v="4056000000"/>
    <n v="1085000000"/>
    <n v="2971000000"/>
    <n v="0"/>
    <n v="0"/>
    <n v="0"/>
    <n v="0"/>
    <n v="0"/>
    <n v="1233556000"/>
    <n v="1233556000"/>
    <n v="0"/>
    <n v="0"/>
    <n v="0"/>
    <n v="0"/>
    <n v="0"/>
    <n v="0"/>
    <n v="0"/>
    <n v="0"/>
    <n v="0"/>
    <n v="4.9500000000000002E-2"/>
    <n v="30"/>
    <n v="0.3"/>
    <n v="27.6"/>
    <n v="27.6"/>
    <n v="92"/>
    <n v="92"/>
    <n v="4.5540000000000004E-2"/>
    <n v="92"/>
    <n v="4683000000"/>
    <n v="2806000000"/>
    <n v="1877000000"/>
    <n v="0"/>
    <n v="0"/>
    <n v="0"/>
    <n v="0"/>
    <n v="0"/>
    <n v="4310998020"/>
    <n v="1976675110"/>
    <n v="2036027250"/>
    <n v="298295660"/>
    <n v="0"/>
    <n v="0"/>
    <n v="0"/>
    <n v="0"/>
    <n v="0"/>
    <n v="0"/>
    <n v="0"/>
    <n v="5.7749999999999996E-2"/>
    <n v="35"/>
    <n v="0.35"/>
    <n v="28"/>
    <n v="29"/>
    <n v="35"/>
    <n v="35"/>
    <n v="100"/>
    <n v="100"/>
    <n v="5.7749999999999996E-2"/>
    <n v="100"/>
    <n v="5.7749999999999996E-2"/>
    <n v="3.3000000000000002E-2"/>
    <n v="20"/>
    <n v="0.2"/>
    <n v="20"/>
    <n v="0"/>
    <n v="20"/>
    <n v="100"/>
    <n v="100"/>
    <n v="3.3000000000000002E-2"/>
    <n v="3.3000000000000002E-2"/>
    <n v="7138000000"/>
    <n v="4332000000"/>
    <n v="2806000000"/>
    <n v="0"/>
    <n v="0"/>
    <n v="0"/>
    <n v="0"/>
    <n v="0"/>
    <n v="0"/>
    <n v="0"/>
    <n v="0"/>
    <n v="0"/>
    <n v="0"/>
    <n v="0"/>
    <n v="0"/>
    <n v="0"/>
    <n v="0"/>
    <n v="0"/>
    <n v="0"/>
    <n v="97.4"/>
    <n v="0.16500000000000001"/>
    <n v="97.4"/>
    <n v="97.4"/>
    <n v="0.16071000000000002"/>
    <n v="0.16071000000000002"/>
    <n v="0.16071000000000002"/>
    <n v="1"/>
    <n v="0"/>
    <n v="612"/>
    <s v="ASCENDER DOS PUESTOS EN EL RANKING NACIONAL DE TRANSPARENCIA"/>
    <m/>
    <s v=""/>
    <m/>
    <m/>
    <m/>
    <m/>
    <s v=""/>
    <n v="0"/>
    <m/>
    <n v="25"/>
  </r>
  <r>
    <n v="530"/>
    <x v="3"/>
    <x v="20"/>
    <x v="26"/>
    <s v="ESCUELA DE BUEN GOBIERNO"/>
    <s v="CONTRIBUIR AL BUEN GOBIERNO CON ESCUELA DE BUEN GOBIERNO QUE MEJORE CAPACIDADES COMO MÍNIMO DEL 40% DE FUNCIONARIOS."/>
    <s v="% DE FUNCIONARIOS QUE APLICAN NUEVAS CAPACIDADES A SU GESTIÓN"/>
    <s v="PORCENTAJE"/>
    <s v="I"/>
    <n v="0"/>
    <n v="40"/>
    <n v="40"/>
    <n v="0.16500000000000001"/>
    <n v="2.0625000000000001E-2"/>
    <n v="5"/>
    <n v="0.125"/>
    <n v="40"/>
    <s v=" "/>
    <n v="800"/>
    <n v="100"/>
    <n v="2.0625000000000001E-2"/>
    <n v="100"/>
    <n v="110000000"/>
    <n v="110000000"/>
    <n v="0"/>
    <n v="0"/>
    <n v="0"/>
    <n v="0"/>
    <n v="0"/>
    <n v="0"/>
    <n v="104174000"/>
    <n v="104174000"/>
    <n v="0"/>
    <n v="0"/>
    <n v="0"/>
    <n v="0"/>
    <n v="0"/>
    <n v="0"/>
    <n v="0"/>
    <n v="0"/>
    <n v="0"/>
    <n v="2.0625000000000001E-2"/>
    <n v="5"/>
    <n v="0.125"/>
    <n v="5"/>
    <n v="5"/>
    <n v="100"/>
    <n v="100"/>
    <n v="2.0625000000000001E-2"/>
    <n v="100"/>
    <n v="57000000"/>
    <n v="0"/>
    <n v="27000000"/>
    <n v="0"/>
    <n v="0"/>
    <n v="0"/>
    <n v="0"/>
    <n v="30000000"/>
    <n v="27000000"/>
    <n v="27000000"/>
    <n v="0"/>
    <n v="0"/>
    <n v="0"/>
    <n v="0"/>
    <n v="0"/>
    <n v="0"/>
    <n v="0"/>
    <n v="0"/>
    <n v="0"/>
    <n v="6.1874999999999999E-2"/>
    <n v="15"/>
    <n v="0.375"/>
    <n v="0"/>
    <n v="0"/>
    <n v="30"/>
    <n v="30"/>
    <n v="200"/>
    <n v="100"/>
    <n v="6.1874999999999999E-2"/>
    <n v="100"/>
    <n v="0.12375"/>
    <n v="6.1874999999999999E-2"/>
    <n v="15"/>
    <n v="0.375"/>
    <n v="15"/>
    <n v="0"/>
    <n v="15"/>
    <n v="100"/>
    <n v="100"/>
    <n v="6.1874999999999999E-2"/>
    <n v="6.1874999999999999E-2"/>
    <n v="90000000"/>
    <n v="60000000"/>
    <n v="0"/>
    <n v="0"/>
    <n v="0"/>
    <n v="0"/>
    <n v="0"/>
    <n v="30000000"/>
    <n v="0"/>
    <n v="0"/>
    <n v="0"/>
    <n v="0"/>
    <n v="0"/>
    <n v="0"/>
    <n v="0"/>
    <n v="0"/>
    <n v="0"/>
    <n v="0"/>
    <n v="0"/>
    <n v="90"/>
    <n v="0.16499999999999998"/>
    <n v="225"/>
    <n v="100"/>
    <n v="0.16500000000000001"/>
    <n v="0.16500000000000001"/>
    <n v="0.16500000000000001"/>
    <n v="1"/>
    <n v="0"/>
    <n v="612"/>
    <s v="ASCENDER DOS PUESTOS EN EL RANKING NACIONAL DE TRANSPARENCIA"/>
    <m/>
    <s v=""/>
    <m/>
    <m/>
    <m/>
    <m/>
    <s v="Durante el periodo 2012-2015 se formuló el PIC con base en la metodología del DAFP, dando participación a los funcionarios de cada dependencia y de cada Proceso de la Gobernación_x000a_Se fortalecieron las competencias académicas y comportamentales de los funcionarios._x000a_El 40% de las capitaciones ofrecidas, se lograron por gestión con entidades educativas o estatales.                                                                                                                          Se atendieron las solicitudes individuales de capacitación, conforme a la necesidad y competencia de cada requerimiento y a la disponibilidad presupuestal existentes.                                                                                                                         La meta del periodo del 40% de los funcionarios del nivel central capacitados fue superada logrando capacitar el del total de los funcionarios._x000a_                                                                                                                                            SE LOGRÓ INSTITUCIONALIZAR UN CRONOGRAMA MENSUAL PARA EL DESARROLLO DE LA INDUCCIÓN DIRIGIDA A LOS NUEVOS FUNCIONARIOS Y A CONTRATISTAS SEGUN CIRCULAR  004 DE ABRIL 15 DE 2015, ACOMPAÑANDO A ESTOS EN SU PROCESO DE CONOCIMIENTO Y ADAPTACIÓN A LA CULTURA ORGANIZACIONAL .                                                       SE DESARROLLO LA REINDUCCION A TODOS LOS FUNCIONARIOS DEL SECTOR CENTRAL DONDE SE OFRECIO INFORMACION DEI NTERES GENERAL,  DANDO RESPEUSTA A LA RESOLUCION 516 DE 2015 SOBRE ADOPCION DE LA ESCUELA DE BUEN GOBIERNO PERMITIENDO LA DIVULGACION Y SOCIALIZACION DE LOS PRINCIPIOS Y VALRES ETICOS INSTITUCIONALES COMO PILARES DE DIVERSOSO PROCESOS ORGANIZACIONALES ENTTE ELLOS EL PIC,  SE TRABAJO EN CAPACITACION  SOBRE FORMADOR DE FORMADORES OFRECIENDO EN ELLA HERRAMIENTAS Y DESARROLLANDO HABILIDADES PARA MULTIPLICAR CONOCIMEINTOS AL INTERIOR DE LA GOBERNACION, SE SOCIALIZARON LOS PRINCIPIOS Y VALORES ETICOS INSTITUCIOANNLES DESDE LA INTRANET, LA WEB, PROTECTORES DE PANTALLA, PANTALLAS DIGITALES Y TARJETAS CON CINTA DONDE ESTAN PLASMADOS LOS MISMOS; TODO ELLO HA PERMITIDO NO SOLO LAI NTERIORIZACION DE LOS PRINCIPIOS Y VALORE SINO EL SENTIDO DE PERTNEENCIA HACIA LA ENTIDAD.        _x000a_"/>
    <n v="0"/>
    <m/>
    <n v="200"/>
  </r>
  <r>
    <n v="531"/>
    <x v="3"/>
    <x v="20"/>
    <x v="26"/>
    <s v="BIENESTAR E INCENTIVOS"/>
    <s v="PROMOVER EL BIENESTAR Y LA SALUD OCUPACIONAL CON LA PARTICIPACIÓN DEL 80% DE LOS FUNCIONARIOS DEL SECTOR CENTRAL EN LOS PLANES Y PROGRAMAS QUE INCENTIVEN EL MEJORAMIENTO DE LA CALIDAD DE VIDA DE LOS MISMOS."/>
    <s v="% DE FUNCIONARIOS USUARIOS PARTICIPANDO DE PLANES DE BIENESTAR"/>
    <s v="PORCENTAJE"/>
    <s v="M"/>
    <n v="0"/>
    <n v="80"/>
    <n v="80"/>
    <n v="0.16500000000000001"/>
    <n v="4.1250000000000002E-2"/>
    <n v="80"/>
    <n v="0.25"/>
    <n v="100"/>
    <n v="25"/>
    <n v="125"/>
    <n v="100"/>
    <n v="4.1250000000000002E-2"/>
    <n v="100"/>
    <n v="130000000"/>
    <n v="130000000"/>
    <n v="0"/>
    <n v="0"/>
    <n v="0"/>
    <n v="0"/>
    <n v="0"/>
    <n v="0"/>
    <n v="129870000"/>
    <n v="129870000"/>
    <n v="0"/>
    <n v="0"/>
    <n v="0"/>
    <n v="0"/>
    <n v="0"/>
    <n v="0"/>
    <n v="0"/>
    <n v="0"/>
    <n v="0"/>
    <n v="4.1250000000000002E-2"/>
    <n v="80"/>
    <n v="0.25"/>
    <n v="100"/>
    <n v="25"/>
    <n v="125"/>
    <n v="100"/>
    <n v="4.1250000000000002E-2"/>
    <n v="100"/>
    <n v="250000000"/>
    <n v="0"/>
    <n v="85000000"/>
    <n v="0"/>
    <n v="0"/>
    <n v="0"/>
    <n v="0"/>
    <n v="165000000"/>
    <n v="0"/>
    <n v="0"/>
    <n v="0"/>
    <n v="0"/>
    <n v="0"/>
    <n v="0"/>
    <n v="0"/>
    <n v="0"/>
    <n v="0"/>
    <n v="0"/>
    <n v="0"/>
    <n v="4.1250000000000002E-2"/>
    <n v="80"/>
    <n v="0.25"/>
    <n v="80"/>
    <n v="80"/>
    <n v="100"/>
    <n v="25"/>
    <n v="125"/>
    <n v="100"/>
    <n v="4.1250000000000002E-2"/>
    <n v="100"/>
    <n v="5.1562499999999997E-2"/>
    <n v="4.1250000000000002E-2"/>
    <n v="20"/>
    <n v="0.25"/>
    <n v="20"/>
    <n v="0"/>
    <n v="5"/>
    <n v="100"/>
    <n v="100"/>
    <n v="4.1250000000000002E-2"/>
    <n v="4.1250000000000002E-2"/>
    <n v="363000000"/>
    <n v="197000000"/>
    <n v="0"/>
    <n v="0"/>
    <n v="0"/>
    <n v="0"/>
    <n v="0"/>
    <n v="166000000"/>
    <n v="0"/>
    <n v="0"/>
    <n v="0"/>
    <n v="0"/>
    <n v="0"/>
    <n v="0"/>
    <n v="0"/>
    <n v="0"/>
    <n v="0"/>
    <n v="0"/>
    <n v="0"/>
    <n v="80"/>
    <n v="0.16500000000000001"/>
    <n v="100"/>
    <n v="100"/>
    <n v="0.16500000000000001"/>
    <n v="0.16500000000000001"/>
    <n v="0.16500000000000001"/>
    <n v="1"/>
    <n v="0"/>
    <n v="613"/>
    <s v="INCREMENTAR AL 80% EL GRADO DE SATISFACCIÓN DE LOS CLIENTES DE LA GOBERNACIÓN DE CUNDINAMARCA"/>
    <m/>
    <s v=""/>
    <m/>
    <m/>
    <m/>
    <m/>
    <s v="HEMOS LOGRADO SUPERAR EL 80% CADA AÑO DE MANERA SOSTENIDA, CON LO CUAL SE APORTA A MEJORAR CONTINUAMENTE LAS CONDICIONES DEL CLIMA LABORAL QUE REDUNDA EN EL DESEMPEÑO LABORAL, AFIANZANDO CULTURA Y COMPROMISO; CON EL DESARROLLO DE ACTIVIDADES CULTURALES Y ARTÍSTICAS ENFOCADOS EN DOS ESTRATEGIAS: _x000a_1.MEJORAR EL SERVICIO Y LA CALIDAD EN LOS MISMOS; ESTABLECIENDO COMO PARÁMETRO DE MEDIDA INDICADORES DE EFICIENCIA, EFICACIA Y EFECTIVIDAD Y,_x000a_ 2. ALIANZAS ESTRATÉGICAS CON LA CAJA DE COMPENSACIÓN FAMILIAR Y LA SUSCRIPCIÓN DE UN CONVENIO INTERADMINISTRATIVO CON LAS ENTIDADES DESCENTRALIZADAS PARA AUNAR ESFUERZOS Y COOPERAR EN UNA MISMA ACTIVIDAD, INTEGRANDO RECURSOS HUMANOS Y FINANCIEROS.                                                                                                                                                                                 CONFORME AL PLAN DE INCENTIVOS ANUAL SE BENEFICARON DURANTE EL CUATRIENIO A 18 FUNCIONARIOS DE TODOS LOS NIVELES JERARQUICOS DEL SECTOR CENTRAL DE LA GOBERNACION DE CUNDINAMARCA CON  INCENTIVO PECUNIARIO EDUCATIVO .                                                                                                                                                                                                                                                                                                                    EN  SALUD OCUPACIONAL A TRAVES DEL APOYO DE LA ARL POSITIVA   SE DESARROLLARON DIFERENTES ACTIVIDADES TALES COMO. INSPECCIONES ERGONOMICAS A PUESTOS DE TRABAJO, EVALUACIONES OSTEOMUSCULARES, PROGRAMA DE PAUSAS ACTIVAS, ASESORIA MEDICA EN ENFERMEDADES PROFESIONALES Y TALLERES NUTRICIONALES DANDO UNA COBERTURA AL 80% DE LOS FUNCIONARIOS DEL SECTOR CENTRAL. A SU VEZ LA ARL  APOYO EL DISEÑO DE LOS PUESTOS DE TRABAJO EN LA REMODELACION DE LA TORRE CENTRAL. _x000a_"/>
    <n v="0"/>
    <m/>
    <n v="50"/>
  </r>
  <r>
    <n v="532"/>
    <x v="3"/>
    <x v="22"/>
    <x v="26"/>
    <s v="BIENESTAR E INCENTIVOS"/>
    <s v="MEJORAR LA CALIDAD DE VIDA DE AFILIADOS A LA CORPORACIÓN SOCIAL DE CUNDINAMARCA CON COLOCACIÓN DE $ 375.072 MILLONES DURANTE EL CUATRIENIO EN LÍNEAS DE CRÉDITO"/>
    <s v="$ RECURSOS DESTINADOS A MEJORAR CALIDAD DE VIDA DE AFILIADOS A LA CORPORACIÓN SOCIAL"/>
    <s v="MILLONES DE PESOS"/>
    <s v="I"/>
    <n v="317048"/>
    <n v="692120"/>
    <n v="375072"/>
    <n v="0.16500000000000001"/>
    <n v="4.1791975940619404E-2"/>
    <n v="95000"/>
    <n v="0.25328470267042064"/>
    <n v="85504"/>
    <n v="85504"/>
    <n v="90.004210526315788"/>
    <n v="90.004210526315788"/>
    <n v="3.7614538008702333E-2"/>
    <n v="90.004210526315788"/>
    <n v="52966000000"/>
    <n v="52966000000"/>
    <n v="0"/>
    <n v="0"/>
    <n v="0"/>
    <n v="0"/>
    <n v="0"/>
    <n v="0"/>
    <n v="96016278000"/>
    <n v="96016278000"/>
    <n v="0"/>
    <n v="0"/>
    <n v="0"/>
    <n v="0"/>
    <n v="0"/>
    <n v="0"/>
    <n v="0"/>
    <n v="0"/>
    <n v="0"/>
    <n v="3.5224916815971334E-2"/>
    <n v="80072"/>
    <n v="0.2134843443392202"/>
    <n v="68686"/>
    <n v="68686"/>
    <n v="85.780297732041163"/>
    <n v="85.780297732041163"/>
    <n v="3.0216038520604043E-2"/>
    <n v="85.780297732041163"/>
    <n v="111956000000"/>
    <n v="0"/>
    <n v="111956000"/>
    <n v="0"/>
    <n v="0"/>
    <n v="0"/>
    <n v="0"/>
    <n v="0"/>
    <n v="84119024438"/>
    <n v="84119024438"/>
    <n v="0"/>
    <n v="0"/>
    <n v="0"/>
    <n v="0"/>
    <n v="0"/>
    <n v="0"/>
    <n v="0"/>
    <n v="0"/>
    <n v="0"/>
    <n v="4.3991553621704635E-2"/>
    <n v="100000"/>
    <n v="0.26661547649517958"/>
    <n v="25422"/>
    <n v="25422"/>
    <n v="64137"/>
    <n v="64137"/>
    <n v="64.137"/>
    <n v="64.137"/>
    <n v="2.8214862746352702E-2"/>
    <n v="64.137"/>
    <n v="2.8214862746352702E-2"/>
    <n v="4.3991553621704635E-2"/>
    <n v="100000"/>
    <n v="0.26661547649517958"/>
    <n v="73618"/>
    <n v="26382"/>
    <n v="73618"/>
    <n v="73.617999999999995"/>
    <n v="73.617999999999995"/>
    <n v="3.2385701945226518E-2"/>
    <n v="3.2385701945226518E-2"/>
    <n v="146738000000"/>
    <n v="146738000"/>
    <n v="0"/>
    <n v="0"/>
    <n v="0"/>
    <n v="0"/>
    <n v="0"/>
    <n v="0"/>
    <n v="0"/>
    <n v="0"/>
    <n v="0"/>
    <n v="0"/>
    <n v="0"/>
    <n v="0"/>
    <n v="0"/>
    <n v="0"/>
    <n v="0"/>
    <n v="0"/>
    <n v="0"/>
    <n v="291945"/>
    <n v="0.16500000000000001"/>
    <n v="77.837055285385205"/>
    <n v="77.837055285385205"/>
    <n v="0.12843114122088559"/>
    <n v="0.12843114122088559"/>
    <n v="0.12843114122088559"/>
    <n v="1"/>
    <n v="0"/>
    <n v="613"/>
    <s v="INCREMENTAR AL 80% EL GRADO DE SATISFACCIÓN DE LOS CLIENTES DE LA GOBERNACIÓN DE CUNDINAMARCA"/>
    <m/>
    <s v=""/>
    <m/>
    <m/>
    <m/>
    <m/>
    <s v="SE HA MEJORADO LA CALIDAD DEL VIDA DE LOS AFILIADOS A LA CSC MEDIANTE LA ASIGNACIÓN  DE 2515 CREDITOS EN LA VIGENCIA 2015. SE CUMPLIO CON EL DESEMBOLSO DEL 100% DE LOS CREDITOS  QUE CUMPLIERON REQUISITOS 1925  CREDITOS EN LAS LINEAS ORDINARIO, CORPOAGIL, CREDICORP Y ORDINARIO CON GARANTIA REAL;  247 CREDITO EDUCATIVO Y 343 CREDITOS HIPOTECARIOS, SE CONTO CON LOS RECURSOS PROGRAMADOS EN CADA UNA DE LAS LINEAS DE CREDITO. RESPECTO A LAS   DEVOLUCIONES SE RALIZARON  A LOS AFILAIDOS QUE LO SOLICITARON  Y DESDE EL MES DE MES DE SEPTIEMBRE  SE INICIARON LOS CRUCES DE CUENTAS CON AFILIADOS QUE TIENEN CREDITOS EN CUMPLIMIENTO AL ACUERDO 013 DE 2015 FIRMADO POR LAS JUNTA DIRECTIVA DE LA CORPORACION ."/>
    <n v="1110000000"/>
    <m/>
    <n v="2000"/>
  </r>
  <r>
    <n v="533"/>
    <x v="3"/>
    <x v="22"/>
    <x v="26"/>
    <s v="BIENESTAR E INCENTIVOS"/>
    <s v="BENEFICIAR AL 50% AFILIADOS Y BENEFICIARIOS A LA CORPORACIÓN SOCIAL DE CUNDINAMARCA CON OFERTA DE PROGRAMAS DE BIENESTAR."/>
    <s v="% DE FUNCIONARIOS AFILIADOS USUARIOS DEL PROGRAMA DE BIENESTAR. "/>
    <s v="PORCENTAJE"/>
    <s v="M"/>
    <n v="0"/>
    <n v="50"/>
    <n v="50"/>
    <n v="0.16500000000000001"/>
    <n v="4.1250000000000002E-2"/>
    <n v="50"/>
    <n v="0.25"/>
    <n v="100"/>
    <n v="25"/>
    <n v="200"/>
    <n v="100"/>
    <n v="4.1250000000000002E-2"/>
    <n v="100"/>
    <n v="3062000000"/>
    <n v="3062000000"/>
    <n v="0"/>
    <n v="0"/>
    <n v="0"/>
    <n v="0"/>
    <n v="0"/>
    <n v="0"/>
    <n v="5146218000"/>
    <n v="5146218000"/>
    <n v="0"/>
    <n v="0"/>
    <n v="0"/>
    <n v="0"/>
    <n v="0"/>
    <n v="0"/>
    <n v="0"/>
    <n v="0"/>
    <n v="0"/>
    <n v="4.1250000000000002E-2"/>
    <n v="50"/>
    <n v="0.25"/>
    <n v="100"/>
    <n v="25"/>
    <n v="200"/>
    <n v="100"/>
    <n v="4.1250000000000002E-2"/>
    <n v="100"/>
    <n v="3253000000"/>
    <n v="0"/>
    <n v="3253000000"/>
    <n v="0"/>
    <n v="0"/>
    <n v="0"/>
    <n v="0"/>
    <n v="0"/>
    <n v="5029278219.9200001"/>
    <n v="5029278219.9200001"/>
    <n v="0"/>
    <n v="0"/>
    <n v="0"/>
    <n v="0"/>
    <n v="0"/>
    <n v="0"/>
    <n v="0"/>
    <n v="0"/>
    <n v="0"/>
    <n v="4.1250000000000002E-2"/>
    <n v="50"/>
    <n v="0.25"/>
    <n v="15"/>
    <n v="15"/>
    <n v="100"/>
    <n v="25"/>
    <n v="200"/>
    <n v="100"/>
    <n v="4.1250000000000002E-2"/>
    <n v="100"/>
    <n v="8.2500000000000004E-2"/>
    <n v="4.1250000000000002E-2"/>
    <n v="12.5"/>
    <n v="0.25"/>
    <n v="100"/>
    <n v="-87.5"/>
    <n v="25"/>
    <n v="800"/>
    <n v="100"/>
    <n v="4.1250000000000002E-2"/>
    <n v="0.33"/>
    <n v="4414000000"/>
    <n v="4414000000"/>
    <n v="0"/>
    <n v="0"/>
    <n v="0"/>
    <n v="0"/>
    <n v="0"/>
    <n v="0"/>
    <n v="0"/>
    <n v="0"/>
    <n v="0"/>
    <n v="0"/>
    <n v="0"/>
    <n v="0"/>
    <n v="0"/>
    <n v="0"/>
    <n v="0"/>
    <n v="0"/>
    <n v="0"/>
    <n v="100"/>
    <n v="0.16500000000000001"/>
    <n v="200"/>
    <n v="100"/>
    <n v="0.16500000000000001"/>
    <n v="0.16500000000000001"/>
    <n v="0.16500000000000001"/>
    <n v="1"/>
    <n v="0"/>
    <n v="613"/>
    <s v="INCREMENTAR AL 80% EL GRADO DE SATISFACCIÓN DE LOS CLIENTES DE LA GOBERNACIÓN DE CUNDINAMARCA"/>
    <m/>
    <s v=""/>
    <m/>
    <m/>
    <m/>
    <m/>
    <s v="MAS DEL 50 % DE LOS AFILIADOS A LA CSC HAN RECIBIDO BENEFICIOS.  DURANTE LA VIGENCIA 2015 A TRAVES DE:EVENTOS  PROMOCIONALES COMO LA ENTREGARON 3160  BONOS PARA AFILIADOS Y BENEFICIARIOS PARA PRACTICA DEPORTIVA, SE BENEFICIARON  465 AFILIADOS CON DIPLOMADOS DICTADOS POR LA ESCUELA DE ADMINISTRACIÓN DE NEGOCIOS Y SE REALIZO  LA CELEBREACION DEL DIA DEL PENSIONADO EN EL EJE CAFETERO CON LA PARTICIAPACION DE 464 PENSIONADOS,  ENTRE OTRAS. SE CONTO CON EL PRESUPUESTO NECESARIO PARA REALIZAR ESTAS ACTIVIDADES. TOTAL DE AFILIADOS 11.625."/>
    <n v="0"/>
    <m/>
    <n v="116"/>
  </r>
  <r>
    <n v="534"/>
    <x v="3"/>
    <x v="20"/>
    <x v="26"/>
    <s v="BIENESTAR E INCENTIVOS"/>
    <s v="GARANTIZAR SERVICIO MÉDICO OCUPACIONAL, EXÁMENES PERIÓDICOS, ASESORÍAS MÉDICO LABORALES, ESTADÍSTICA MÉDICO- SOCIAL AL 95% SERVIDORES PÚBLICOS DEL NIVEL CENTRAL DURANTE EL CUATRIENIO"/>
    <s v="% SERVIDORES PÚBLICOS USUARIOS DE LOS SERVICIOS"/>
    <s v="PORCENTAJE"/>
    <s v="M"/>
    <n v="0"/>
    <n v="100"/>
    <n v="100"/>
    <n v="0.16500000000000001"/>
    <n v="4.1250000000000002E-2"/>
    <n v="100"/>
    <n v="0.25"/>
    <n v="100"/>
    <n v="25"/>
    <n v="100"/>
    <n v="100"/>
    <n v="4.1250000000000002E-2"/>
    <n v="100"/>
    <n v="80000000"/>
    <n v="80000000"/>
    <n v="0"/>
    <n v="0"/>
    <n v="0"/>
    <n v="0"/>
    <n v="0"/>
    <n v="0"/>
    <n v="10498000"/>
    <n v="10498000"/>
    <n v="0"/>
    <n v="0"/>
    <n v="0"/>
    <n v="0"/>
    <n v="0"/>
    <n v="0"/>
    <n v="0"/>
    <n v="0"/>
    <n v="0"/>
    <n v="4.1250000000000002E-2"/>
    <n v="100"/>
    <n v="0.25"/>
    <n v="100"/>
    <n v="25"/>
    <n v="100"/>
    <n v="100"/>
    <n v="4.1250000000000002E-2"/>
    <n v="100"/>
    <n v="65000000"/>
    <n v="0"/>
    <n v="62000000"/>
    <n v="0"/>
    <n v="0"/>
    <n v="0"/>
    <n v="0"/>
    <n v="3000000"/>
    <n v="0"/>
    <n v="0"/>
    <n v="0"/>
    <n v="0"/>
    <n v="0"/>
    <n v="0"/>
    <n v="0"/>
    <n v="0"/>
    <n v="0"/>
    <n v="0"/>
    <n v="0"/>
    <n v="4.1250000000000002E-2"/>
    <n v="100"/>
    <n v="0.25"/>
    <n v="11.380000114440918"/>
    <n v="11.380000114440918"/>
    <n v="100"/>
    <n v="25"/>
    <n v="100"/>
    <n v="100"/>
    <n v="4.1250000000000002E-2"/>
    <n v="100"/>
    <n v="4.1250000000000002E-2"/>
    <n v="4.1250000000000002E-2"/>
    <n v="20"/>
    <n v="0.25"/>
    <n v="100"/>
    <n v="-80"/>
    <n v="25"/>
    <n v="500"/>
    <n v="100"/>
    <n v="4.1250000000000002E-2"/>
    <n v="0.20624999999999999"/>
    <n v="148000000"/>
    <n v="143000000"/>
    <n v="0"/>
    <n v="0"/>
    <n v="0"/>
    <n v="0"/>
    <n v="0"/>
    <n v="5000000"/>
    <n v="0"/>
    <n v="0"/>
    <n v="0"/>
    <n v="0"/>
    <n v="0"/>
    <n v="0"/>
    <n v="0"/>
    <n v="0"/>
    <n v="0"/>
    <n v="0"/>
    <n v="0"/>
    <n v="100"/>
    <n v="0.16500000000000001"/>
    <n v="100"/>
    <n v="100"/>
    <n v="0.16500000000000001"/>
    <n v="0.16500000000000001"/>
    <n v="0.16500000000000001"/>
    <n v="1"/>
    <n v="0"/>
    <n v="613"/>
    <s v="INCREMENTAR AL 80% EL GRADO DE SATISFACCIÓN DE LOS CLIENTES DE LA GOBERNACIÓN DE CUNDINAMARCA"/>
    <m/>
    <s v=""/>
    <m/>
    <m/>
    <m/>
    <m/>
    <s v="SE LOGRÓ DAR CONDICIONES LABORALES Y LA OPTIMIZACIÓN DEL TIEMPO LABORAL CON LA RECUPERACIÓN DEL ESPACIO FÍSICO INICIALMENTE ASIGNADO COMO CONSULTORIO, PARA BENEFICIO DE LOS FUNCIONARIOS Y ASÍ REALIZAR LOS EXÁMENES MÉDICOS OCUPACIONALES A 1564 ENTRE FUNCIONARIOS Y CONTRATISTAS. CON EL FIN DE IDENTIFICAR LOS RIESGOS LABORALES Y DISEÑAR UN PROGRAMA DE PREVENCIÓN DE ENFERMEDADES LABORALES Y COMUNES. _x000a_SE INSTITUCIONALIZO LA SEMANA DE LA SALUD MEDIANTE RESOLUCIÓN 166 DE 2001 GENERANDO CULTURA DE LA PREVENCIÓN DE LA ENFERMEDAD Y PROMOCIÓN DE LA SALUD EN ALIANZAS ESTRATEGIAS POR GESTIÓN CON LAS EPS FILIALES A LA GOBERNACIÓN Y LA ARL POSITIVA._x000a_SE FORTALECIÓ LA BRIGADA INSTITUCIONAL Y EL COPASST CON UN CRONOGRAMA DE ACTIVIDADES Y DE SEGURIDAD PARA LOS EVENTOS INSTITUCIONALES._x000a_SE CUENTA CON EL SERVICIO DE AMBULANCIA PARA LA ATENCIÓN DE URGENCIAS Y EMERGENCIAS DE LOS FUNCIONARIOS Y CONTRATISTAS DE LA GOBERNACIÓN POR GESTIÓN CON LA ARL POSITIVA.                            SE  SWE HIZO INTERVENCION EN  RIESGO PSICOSOCIAL A LAS SECRETARIAS QUE TUVIERON EL PORCENTAJE MAS ALTO EN ÉSTE RIESGO  CON LA PARTICIPACION MASIVA DE LOS FUNCIOANRIOS Y EL COMPROMISO DE LOS SECRETARIOS DE DESPACHO DE DICHAS SECRETARIAS."/>
    <n v="0"/>
    <m/>
    <n v="5"/>
  </r>
  <r>
    <n v="535"/>
    <x v="3"/>
    <x v="20"/>
    <x v="26"/>
    <s v="BIENESTAR E INCENTIVOS"/>
    <s v="MEJORAR EL MANEJO DEL RIESGO DE LA GOBERNACIÓN DE CUNDINAMARCA Y SUS SEDES EXTERNAS CON LA ATENCIÓN MÍNIMA DEL 50% DE LAS RECOMENDACIONES"/>
    <s v="% DE RECOMENDACIONES ATENDIDAS"/>
    <s v="PUNTOS PORCENTUALES"/>
    <s v="I"/>
    <n v="0"/>
    <n v="50"/>
    <n v="50"/>
    <n v="0.16500000000000001"/>
    <n v="4.9500000000000002E-2"/>
    <n v="15"/>
    <n v="0.3"/>
    <n v="15"/>
    <n v="15"/>
    <n v="100"/>
    <n v="100"/>
    <n v="4.9500000000000002E-2"/>
    <n v="100"/>
    <n v="0"/>
    <n v="0"/>
    <n v="0"/>
    <n v="0"/>
    <n v="0"/>
    <n v="0"/>
    <n v="0"/>
    <n v="0"/>
    <n v="53036000"/>
    <n v="53036000"/>
    <n v="0"/>
    <n v="0"/>
    <n v="0"/>
    <n v="0"/>
    <n v="0"/>
    <n v="0"/>
    <n v="0"/>
    <n v="0"/>
    <n v="0"/>
    <n v="3.3000000000000002E-2"/>
    <n v="10"/>
    <n v="0.2"/>
    <n v="35"/>
    <n v="35"/>
    <n v="350"/>
    <n v="100"/>
    <n v="3.3000000000000002E-2"/>
    <n v="100"/>
    <n v="50000000"/>
    <n v="0"/>
    <n v="50000000"/>
    <n v="0"/>
    <n v="0"/>
    <n v="0"/>
    <n v="0"/>
    <n v="0"/>
    <n v="0"/>
    <n v="0"/>
    <n v="0"/>
    <n v="0"/>
    <n v="0"/>
    <n v="0"/>
    <n v="0"/>
    <n v="0"/>
    <n v="0"/>
    <n v="0"/>
    <n v="0"/>
    <n v="3.3000000000000002E-2"/>
    <n v="10"/>
    <n v="0.2"/>
    <n v="0"/>
    <n v="0"/>
    <n v="35"/>
    <n v="35"/>
    <n v="350"/>
    <n v="100"/>
    <n v="3.3000000000000002E-2"/>
    <n v="100"/>
    <n v="0.11550000000000001"/>
    <n v="4.9500000000000002E-2"/>
    <n v="15"/>
    <n v="0.3"/>
    <n v="15"/>
    <n v="0"/>
    <n v="15"/>
    <n v="100"/>
    <n v="100"/>
    <n v="4.9500000000000002E-2"/>
    <n v="4.9500000000000002E-2"/>
    <n v="0"/>
    <n v="0"/>
    <n v="0"/>
    <n v="0"/>
    <n v="0"/>
    <n v="0"/>
    <n v="0"/>
    <n v="0"/>
    <n v="0"/>
    <n v="0"/>
    <n v="0"/>
    <n v="0"/>
    <n v="0"/>
    <n v="0"/>
    <n v="0"/>
    <n v="0"/>
    <n v="0"/>
    <n v="0"/>
    <n v="0"/>
    <n v="100"/>
    <n v="0.16500000000000001"/>
    <n v="200"/>
    <n v="100"/>
    <n v="0.16500000000000001"/>
    <n v="0.16500000000000001"/>
    <n v="0.16500000000000001"/>
    <n v="1"/>
    <n v="0"/>
    <n v="613"/>
    <s v="INCREMENTAR AL 80% EL GRADO DE SATISFACCIÓN DE LOS CLIENTES DE LA GOBERNACIÓN DE CUNDINAMARCA"/>
    <m/>
    <s v=""/>
    <m/>
    <m/>
    <m/>
    <m/>
    <s v="SE REALIZÓ LA INTERVENCIÓN DEL NOVENO, OCTAVO PISO, SEPTIMO PISO, SEXTO PISO, QUINTO PISO, CUARTO PISO, TERCER PISO, SEGUNDO PISO Y PRIMER PISO DE LA TORRE CENTRAL , CUMPLIENDO CON LAS RECOMENDACIONES DE LA ARL POSITIVA REMITIDAS EN EL MANUAL DE DISEÑO ERGONÓMICO, PUESTOS DE TRABAJO CON VIDEO TERMINAL, EN EL DISEÑO DE NUEVOS PROYECTOS DE REMODELACIÓN DE OFICINAS, REMITIDO A TRAVÉS DE LA SECRETARIA DE FUNCIÓN PÚBLICA, GARANTIZANDO LA SALUD DE LOS FUNCIONARIOS FRENTE A LA ERGONOMÍA DE LOS PUESTOS DE TRABAJO Y SILLAS, EVITAR LA CONTAMINACIÓN Y/O AFECTACIÓN RESPIRATORIA Y DERMATOLÓGICA POR ÁCAROS, LA ILUMINACIÓN Y LA UBICACIÓN POR TEMA HECHO QUE GARANTIZA LA INTEGRACIÓN DE LOS EQUIPOS DE TRABAJO, SE INSTALARÒN BARANDAS EN TODAS LAS ESCALERAS DE LA SEDE CENTRAL, SE INSTALARÒN ANTIDESLIZANTES EN LAS ÀREAS COMUNES, SE REMODELARÒN LAS OFICINAS DE RENCUN Y EJECUCIONES FISCALES, SE REALIZO CAPACITACIÒN Y ENTRENAMIENTO A LAS BRIGADAS DE EMERGENCIAS, EL COPASST ES UN COMITE ACTIVO Y FUNCIONAL DE ACUERDO A LA NORMATIVIDAD, SE ACTUALIZARON LAS MATRICES DE PELIGROS, SE INICIO CON LA IMPLEMENTACION DEL DECRETO 1443 DE 2014 EN EL SISTEME DE GESTION EN SEGURIDAD Y SALUD EN EL TRABAJO"/>
    <n v="0"/>
    <m/>
    <n v="10"/>
  </r>
  <r>
    <n v="536"/>
    <x v="3"/>
    <x v="20"/>
    <x v="26"/>
    <s v="BIENESTAR E INCENTIVOS"/>
    <s v="PARAMETRIZACIÓN Y PUESTA EN MARCHA DE UN (1) SISTEMA PROPIO DE EVALUACIÓN DE DESEMPEÑO"/>
    <s v="SISTEMA PROPIO DE EVALUACIÓN DE DESEMPEÑO IMPLEMENTADO"/>
    <s v="UNIDAD"/>
    <s v="I"/>
    <n v="0"/>
    <n v="1"/>
    <n v="1"/>
    <n v="8.8999999999999996E-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7.1199999999999999E-2"/>
    <n v="0.8"/>
    <n v="0.8"/>
    <n v="0"/>
    <n v="0.5"/>
    <n v="0.8"/>
    <n v="0.8"/>
    <n v="100"/>
    <n v="100"/>
    <n v="7.1199999999999999E-2"/>
    <n v="100"/>
    <n v="7.1199999999999999E-2"/>
    <n v="1.78E-2"/>
    <n v="0.2"/>
    <n v="0.2"/>
    <n v="0.1"/>
    <n v="0.1"/>
    <n v="0.1"/>
    <n v="50"/>
    <n v="50"/>
    <n v="8.8999999999999999E-3"/>
    <n v="8.8999999999999999E-3"/>
    <n v="0"/>
    <n v="0"/>
    <n v="0"/>
    <n v="0"/>
    <n v="0"/>
    <n v="0"/>
    <n v="0"/>
    <n v="0"/>
    <n v="0"/>
    <n v="0"/>
    <n v="0"/>
    <n v="0"/>
    <n v="0"/>
    <n v="0"/>
    <n v="0"/>
    <n v="0"/>
    <n v="0"/>
    <n v="0"/>
    <n v="0"/>
    <n v="0.9"/>
    <n v="8.8999999999999996E-2"/>
    <n v="90"/>
    <n v="90"/>
    <n v="8.0100000000000005E-2"/>
    <n v="8.0100000000000005E-2"/>
    <n v="8.0100000000000005E-2"/>
    <n v="1"/>
    <n v="0"/>
    <n v="614"/>
    <s v=" 3,8 CALIFICACIÓN EN CAPACIDAD DE GESTIÓN PARA RESULTADOS DE DESARROLLO"/>
    <m/>
    <s v=""/>
    <m/>
    <m/>
    <m/>
    <m/>
    <s v="SE LOGRA EL INTERÉS EN LA IMPLEMANTACIÓN DE UNA HERRAMIENTA DE GESTIÓN, COMO LO ES LA EDL, ARTICULANDO EL DESEMPEÑO INDIVIDUAL DE LOS FUNCIONARIOS CON EL DESEMPEÑO COLECTIVO DE LAS DEPENDENCIAS Y ARMONIZACIÓN, CON LOS REQUERIMIENTOS DEL SISTEMA INTEGRAL DE GESTIÓN Y CONTROL, DESTACADO POR LA COMISIÓN NACIONAL DEL SERVICIO CIVIL - CNSC._x000a_EN ENERO DE 2012 SE ENVÍA LA PROPUESTA DEL SISTEMA PROPIO (SPEDL) A LA CNSC, PARA SU ANÁLISIS Y EN JUNIO DE 2012 DEVUELVE LAS OBSERVACIONES._x000a_EN 2013, LA SECRETARÍA DE LA FUNCIÓN PÚBLICA INICIA EL PROCESO DE CONTRATACIÓN PARA EL AJUSTE Y PARAMETRIZACIÓN DE LA PROPUESTA DE SISTEMA PROPIO, SEGÚN LAS OBSERVACIONES DE LA CNSC; EL PROCESO QUE SE DECLARA DESIERTO ._x000a_LA SECRETARÍA DE LA FUNCIÓN PÚBLICA ASUME LA REALIZACIÓN DE LOS AJUSTES Y ADECUCIÓN DE LA  PROPUESTA, CULMINANDO EN DICIEMBRE DE 2014 Y LA PRESENTA A CNSC.._x000a_EN MAYO DE 2015 LA CNSC, ENVÍA LA RESPUESTA, CON OBSERVACIONES PARA REVISIÓN DE FORMA, PRECISIONES TÉCNICAS Y PROCEDIMENTALES Y ASPECTOS POSITIVOS Y FORTALEZAS ._x000a_EN JUNIO DE 2015 SE REALIZA UNA REUNIÓN CON PROFESIONALES Y ASESORES DE LA CNSC, EN LA CUAL ESA ENTIDAD  SUGIERE LA APLICACIÓN DE UNA ENCUESTA Y LA REALIZACIÓN DE UN MUESTREO CON LAS ESCALAS DE CALIFICACIÓN QUE LOS FUNCIONARIOS ELIJAN, PROCESO QUE CULMINA EL 28 DE AGOSTO DE 2015._x000a_EL 31 DE AGOSTO DE 2015 SE TERMINA DE REALIZAR EL AJUSTE DEL INSTRUMENTO DE EVALUACIÓN Y DEL ESTUDIO TÉCNICO Y SE PREPARA PARA SU ENVÍO A LA CNSC, CON EL FIN DE OBTENER LA APROBACIÓN.           MEDIANTE OFICIO DEL 21 DE SEPTIEMBRE DE 2015 LA CNSC INFORMA QUE EL DOCUMENTO FUE OBJETO DE REAPERTO Y SE ENCUENTRA EN ESTUDIO SOLICITUD QUE SERÁ RESUELTA EN UN PLAZO MAXIMO DE 45 DÍAS HABILES ( A DICEMBRE 4 DE 2015)."/>
    <n v="0"/>
    <m/>
    <n v="500"/>
  </r>
  <r>
    <n v="537"/>
    <x v="3"/>
    <x v="23"/>
    <x v="26"/>
    <s v="COMUNICAICONES PARTICIPATIVAS"/>
    <s v="ESTRATEGIAS IEC DURANTE LOS 4 AÑOS FACILITAN LA INTEGRACIÓN, PARTICIPACIÓN Y DIÁLOGOS ENTRE LOS ACTORES INSTITUCIONALES, COMUNIDAD Y USUARIOS"/>
    <s v="NO DE AÑOS CON ESTRATEGIAS IEC QUE FACILITAN LA INTERCOMUNICACIÓN"/>
    <s v="ESTRATEGIAS"/>
    <s v="I"/>
    <n v="0"/>
    <n v="4"/>
    <n v="4"/>
    <n v="8.8999999999999996E-2"/>
    <n v="2.2249999999999999E-2"/>
    <n v="1"/>
    <n v="0.25"/>
    <n v="1"/>
    <n v="1"/>
    <n v="100"/>
    <n v="100"/>
    <n v="2.2250000000000002E-2"/>
    <n v="100"/>
    <n v="0"/>
    <n v="0"/>
    <n v="0"/>
    <n v="0"/>
    <n v="0"/>
    <n v="0"/>
    <n v="0"/>
    <n v="0"/>
    <n v="0"/>
    <n v="0"/>
    <n v="0"/>
    <n v="0"/>
    <n v="0"/>
    <n v="0"/>
    <n v="0"/>
    <n v="0"/>
    <n v="0"/>
    <n v="0"/>
    <n v="0"/>
    <n v="2.2249999999999999E-2"/>
    <n v="1"/>
    <n v="0.25"/>
    <n v="1"/>
    <n v="1"/>
    <n v="100"/>
    <n v="100"/>
    <n v="2.2250000000000002E-2"/>
    <n v="100"/>
    <n v="0"/>
    <n v="0"/>
    <n v="0"/>
    <n v="0"/>
    <n v="0"/>
    <n v="0"/>
    <n v="0"/>
    <n v="0"/>
    <n v="0"/>
    <n v="0"/>
    <n v="0"/>
    <n v="0"/>
    <n v="0"/>
    <n v="0"/>
    <n v="0"/>
    <n v="0"/>
    <n v="0"/>
    <n v="0"/>
    <n v="0"/>
    <n v="2.2249999999999999E-2"/>
    <n v="1"/>
    <n v="0.25"/>
    <n v="0.5"/>
    <n v="0.75"/>
    <n v="1"/>
    <n v="1"/>
    <n v="100"/>
    <n v="100"/>
    <n v="2.2250000000000002E-2"/>
    <n v="100"/>
    <n v="2.2250000000000002E-2"/>
    <n v="2.2249999999999999E-2"/>
    <n v="1"/>
    <n v="0.25"/>
    <n v="1"/>
    <n v="0"/>
    <n v="1"/>
    <n v="100"/>
    <n v="100"/>
    <n v="2.2250000000000002E-2"/>
    <n v="2.2250000000000002E-2"/>
    <n v="0"/>
    <n v="0"/>
    <n v="0"/>
    <n v="0"/>
    <n v="0"/>
    <n v="0"/>
    <n v="0"/>
    <n v="0"/>
    <n v="0"/>
    <n v="0"/>
    <n v="0"/>
    <n v="0"/>
    <n v="0"/>
    <n v="0"/>
    <n v="0"/>
    <n v="0"/>
    <n v="0"/>
    <n v="0"/>
    <n v="0"/>
    <n v="4"/>
    <n v="8.8999999999999996E-2"/>
    <n v="100"/>
    <n v="100"/>
    <n v="8.900000000000001E-2"/>
    <n v="8.8999999999999996E-2"/>
    <n v="8.8999999999999996E-2"/>
    <n v="1"/>
    <n v="0"/>
    <n v="613"/>
    <s v="INCREMENTAR AL 80% EL GRADO DE SATISFACCIÓN DE LOS CLIENTES DE LA GOBERNACIÓN DE CUNDINAMARCA"/>
    <m/>
    <s v=""/>
    <m/>
    <m/>
    <m/>
    <m/>
    <s v="ESTA META LA REPORTA SECRETAARIA DE PRENSA"/>
    <n v="0"/>
    <m/>
    <n v="0"/>
  </r>
  <r>
    <n v="538"/>
    <x v="3"/>
    <x v="14"/>
    <x v="26"/>
    <s v="COMUNICAICONES PARTICIPATIVAS"/>
    <s v="ESTRATEGIAS IEC DURANTE LOS 4 AÑOS VINCULAN A LOS ACTORES EN LA GESTIÓN, PARA EL DESEMPEÑO DE ROLES, CORRESPONSABILIDAD INSTITUCIONAL Y CIVIL PARA EL CUMPLIMIENTO DE LOS OBJETIVOS Y RESULTADOS"/>
    <s v="NO DE AÑOS CON ESTRATEGIAS IEC QUE FORTALECEN ROLES Y CORRESPONSABILIDAD EN LA GESTIÓN PARA RESULTADO"/>
    <s v="ESTRATEGIAS"/>
    <s v="I"/>
    <n v="0"/>
    <n v="4"/>
    <n v="4"/>
    <n v="8.8999999999999996E-2"/>
    <n v="2.2249999999999999E-2"/>
    <n v="1"/>
    <n v="0.25"/>
    <n v="1"/>
    <n v="1"/>
    <n v="100"/>
    <n v="100"/>
    <n v="2.2250000000000002E-2"/>
    <n v="100"/>
    <n v="0"/>
    <n v="0"/>
    <n v="0"/>
    <n v="0"/>
    <n v="0"/>
    <n v="0"/>
    <n v="0"/>
    <n v="0"/>
    <n v="0"/>
    <n v="0"/>
    <n v="0"/>
    <n v="0"/>
    <n v="0"/>
    <n v="0"/>
    <n v="0"/>
    <n v="0"/>
    <n v="0"/>
    <n v="0"/>
    <n v="0"/>
    <n v="2.2249999999999999E-2"/>
    <n v="1"/>
    <n v="0.25"/>
    <n v="0.4"/>
    <n v="0.4"/>
    <n v="40"/>
    <n v="40"/>
    <n v="8.8999999999999982E-3"/>
    <n v="40"/>
    <n v="0"/>
    <n v="0"/>
    <n v="0"/>
    <n v="0"/>
    <n v="0"/>
    <n v="0"/>
    <n v="0"/>
    <n v="0"/>
    <n v="0"/>
    <n v="0"/>
    <n v="0"/>
    <n v="0"/>
    <n v="0"/>
    <n v="0"/>
    <n v="0"/>
    <n v="0"/>
    <n v="0"/>
    <n v="0"/>
    <n v="0"/>
    <n v="2.2249999999999999E-2"/>
    <n v="1"/>
    <n v="0.25"/>
    <n v="1"/>
    <n v="1"/>
    <n v="1"/>
    <n v="1"/>
    <n v="100"/>
    <n v="100"/>
    <n v="2.2250000000000002E-2"/>
    <n v="100"/>
    <n v="2.2250000000000002E-2"/>
    <n v="2.2249999999999999E-2"/>
    <n v="1"/>
    <n v="0.25"/>
    <n v="1"/>
    <n v="0"/>
    <n v="1"/>
    <n v="100"/>
    <n v="100"/>
    <n v="2.2250000000000002E-2"/>
    <n v="2.2250000000000002E-2"/>
    <n v="0"/>
    <n v="0"/>
    <n v="0"/>
    <n v="0"/>
    <n v="0"/>
    <n v="0"/>
    <n v="0"/>
    <n v="0"/>
    <n v="0"/>
    <n v="0"/>
    <n v="0"/>
    <n v="0"/>
    <n v="0"/>
    <n v="0"/>
    <n v="0"/>
    <n v="0"/>
    <n v="0"/>
    <n v="0"/>
    <n v="0"/>
    <n v="3.4"/>
    <n v="8.8999999999999996E-2"/>
    <n v="85"/>
    <n v="85"/>
    <n v="7.5649999999999995E-2"/>
    <n v="7.5649999999999995E-2"/>
    <n v="7.5649999999999995E-2"/>
    <n v="1"/>
    <n v="0"/>
    <n v="614"/>
    <s v=" 3,8 CALIFICACIÓN EN CAPACIDAD DE GESTIÓN PARA RESULTADOS DE DESARROLLO"/>
    <n v="615"/>
    <s v="SUBIR UN PUESTO EN EL RANKING DEL DESEMPEÑO A NIVEL NACIONAL DEL DEPARTAMENTO."/>
    <n v="619"/>
    <m/>
    <m/>
    <m/>
    <s v="RECONOCIMIENTO POR PARTE DE LOS ACTORES INTERNOS (FUNCIONARIOS) Y EXTERNOS (FUNCIONARIOS MUNICIPALES Y COMUNIDAD) DE LA HERRAMIENTA REDPEC COMO UN MEDIO DE INTERACCIÓN PARA TENER ACCESO A INFORMACIÓN DE INTERÉS, QUE SE EVIDENCIA EN EL ÉXITO DE LAS CONVOCATORIAS REALIZADAS POR ESTE MEDIO. SE COORDINO LA ELABORACION DEL PLAN ANTICORRUPCION EL CUAL FUE CALIFICADO POR EL DNP COMO EL MEJOR PLAN A NIVEL NACIONAL, EN ESPECIAL POR SU COMPONENTE DE RENDICION DE CUENTAS."/>
    <n v="146000000"/>
    <m/>
    <n v="100"/>
  </r>
  <r>
    <n v="539"/>
    <x v="3"/>
    <x v="21"/>
    <x v="26"/>
    <s v="COMUNICAICONES PARTICIPATIVAS"/>
    <s v="UN (1) CALLCENTER CON ATENCIÓN PERSONALIZADA ATIENDE LOS SERVICIOS DE LA COMUNIDAD DE LOS 116 MUNICIPIOS "/>
    <s v="NO DE CALLCENTER CON SERVICIO PERSONALIZADO DE USUARIOS CIUDADANOS"/>
    <s v="CALLCENTER"/>
    <s v="I"/>
    <n v="0"/>
    <n v="1"/>
    <n v="1"/>
    <n v="8.8999999999999996E-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8.8999999999999996E-2"/>
    <n v="1"/>
    <n v="1"/>
    <n v="1"/>
    <n v="0"/>
    <n v="1"/>
    <n v="100"/>
    <n v="100"/>
    <n v="8.900000000000001E-2"/>
    <n v="8.900000000000001E-2"/>
    <n v="0"/>
    <n v="0"/>
    <n v="0"/>
    <n v="0"/>
    <n v="0"/>
    <n v="0"/>
    <n v="0"/>
    <n v="0"/>
    <n v="0"/>
    <n v="0"/>
    <n v="0"/>
    <n v="0"/>
    <n v="0"/>
    <n v="0"/>
    <n v="0"/>
    <n v="0"/>
    <n v="0"/>
    <n v="0"/>
    <n v="0"/>
    <n v="1"/>
    <n v="8.8999999999999996E-2"/>
    <n v="100"/>
    <n v="100"/>
    <n v="8.900000000000001E-2"/>
    <n v="8.8999999999999996E-2"/>
    <n v="8.8999999999999996E-2"/>
    <n v="1"/>
    <n v="0"/>
    <n v="614"/>
    <s v=" 3,8 CALIFICACIÓN EN CAPACIDAD DE GESTIÓN PARA RESULTADOS DE DESARROLLO"/>
    <m/>
    <s v=""/>
    <m/>
    <m/>
    <m/>
    <m/>
    <s v=""/>
    <n v="0"/>
    <m/>
    <n v="5"/>
  </r>
  <r>
    <n v="540"/>
    <x v="3"/>
    <x v="24"/>
    <x v="26"/>
    <s v="ESFUERZO FISCAL"/>
    <s v="FORTALECER LAS FINANZAS DEL DEPARTAMENTO CON LA DISMINUCIÓN AL 15% DURANTE EL PERIODO 2012 AL 2016 EL VALOR DEJADO DE PERCIBIR POR CONTRABANDO, ADULTERACIÓN, FALSIFICACIÓN, EVASIÓN Y ELUSIÓN DE IMPUESTOS DEPARTAMENTALES CON RESPECTO A LA NACIÓN."/>
    <s v="% DEJADO DE PERCIBIR POR EL DEPARTAMENTO EN CONTRABANDO, ADULTERACIÓN, FALSIFICACIÓN, EVASIÓN, ELUSIÓN. / % DEJADO DE PERCIBIR POR LA NACIÓN EN CONTRABANDO, ADULTERACIÓN, FALSIFICACIÓN, EVASIÓN, ELUSIÓN."/>
    <s v="PUNTOS PORCENTUALES"/>
    <s v="R"/>
    <n v="25"/>
    <n v="15"/>
    <n v="10"/>
    <n v="0.16500000000000001"/>
    <n v="3.3000000000000002E-2"/>
    <n v="23"/>
    <n v="0.2"/>
    <n v="23"/>
    <n v="23"/>
    <n v="100"/>
    <n v="100"/>
    <n v="3.3000000000000002E-2"/>
    <n v="100"/>
    <n v="404000000"/>
    <n v="404000000"/>
    <n v="0"/>
    <n v="0"/>
    <n v="0"/>
    <n v="0"/>
    <n v="0"/>
    <n v="0"/>
    <n v="7347665000"/>
    <n v="5947665000"/>
    <n v="0"/>
    <n v="1400000000"/>
    <n v="0"/>
    <n v="0"/>
    <n v="0"/>
    <n v="0"/>
    <n v="0"/>
    <n v="0"/>
    <n v="0"/>
    <n v="4.9500000000000002E-2"/>
    <n v="20"/>
    <n v="0.3"/>
    <n v="20"/>
    <n v="20"/>
    <n v="100"/>
    <n v="100"/>
    <n v="4.9500000000000002E-2"/>
    <n v="100"/>
    <n v="0"/>
    <n v="0"/>
    <n v="0"/>
    <n v="0"/>
    <n v="0"/>
    <n v="0"/>
    <n v="0"/>
    <n v="0"/>
    <n v="7071944328"/>
    <n v="7071944328"/>
    <n v="0"/>
    <n v="0"/>
    <n v="0"/>
    <n v="0"/>
    <n v="0"/>
    <n v="0"/>
    <n v="0"/>
    <n v="0"/>
    <n v="0"/>
    <n v="4.9500000000000002E-2"/>
    <n v="17"/>
    <n v="0.3"/>
    <n v="1.5"/>
    <n v="0"/>
    <n v="17"/>
    <n v="17"/>
    <n v="100"/>
    <n v="100"/>
    <n v="4.9500000000000002E-2"/>
    <n v="100"/>
    <n v="4.9500000000000002E-2"/>
    <n v="3.3000000000000002E-2"/>
    <n v="15"/>
    <n v="0.2"/>
    <n v="15"/>
    <n v="0"/>
    <n v="15"/>
    <n v="100"/>
    <n v="100"/>
    <n v="3.3000000000000002E-2"/>
    <n v="3.3000000000000002E-2"/>
    <n v="0"/>
    <n v="0"/>
    <n v="0"/>
    <n v="0"/>
    <n v="0"/>
    <n v="0"/>
    <n v="0"/>
    <n v="0"/>
    <n v="0"/>
    <n v="0"/>
    <n v="0"/>
    <n v="0"/>
    <n v="0"/>
    <n v="0"/>
    <n v="0"/>
    <n v="0"/>
    <n v="0"/>
    <n v="0"/>
    <n v="0"/>
    <n v="10"/>
    <n v="0.16500000000000001"/>
    <n v="100"/>
    <n v="100"/>
    <n v="0.16500000000000001"/>
    <n v="0.16500000000000001"/>
    <n v="0.16500000000000001"/>
    <n v="1"/>
    <n v="0"/>
    <n v="422"/>
    <s v="ASCENDER, DURANTE EL PERIODO DE GOBIERNO, UN PUESTO EN EL ESCALAFÓN DE FORTALEZA ECONÓMICA EN EL RANKING DE COMPETITIVIDAD DEPARTAMENTAL EN COLOMBIA"/>
    <n v="612"/>
    <s v="ASCENDER DOS PUESTOS EN EL RANKING NACIONAL DE TRANSPARENCIA"/>
    <m/>
    <m/>
    <m/>
    <m/>
    <s v="LA SECRETARÍA DE HACIENDA CON LA EJECUCIÓN DE LOS RECURSOS DE INVERSIÓN EN LOS PROGRAMAS MODERNIZACIÓN DE LA GESTIÓN Y TIC, QUE CORRESPONDE A LA META 540 Y 576, HA PERMITIDO FORTALECER LA FISCALIZACIÓN Y EL MEJORAMIENTO TECNOLÓGICO PARA EL COBRO DE LOS IMPUESTOS DEL DEPARTAMENTO, LO QUE HA TENIDO COMO CONSECUENCIA, EL CRECIMIENTO SOSTENIBLE PROMEDIO DEL 5% DE LOS INGRESOS TRIBUTARIOS DURANTE LAS VIGENCIAS 2012, 2013, 2014 Y LO QUE VA DEL 2015, EL CUMPLIMIENTO OPORTUNO DE LA DEUDA, FORTALECER EL CONTROL A LA EVASIÓN, ELUCIÓN, OMISIÓN Y LA MODERNIZACIÓN DE LOS PROCESOS ASOCIADOS CON EL RECAUDO DE IMPUESTOS. BRC STANDARD AND POORS OTORGÓ LA CALIFICACIÓN DE AA+ A LA CAPACIDAD DE PAGO DEL DEPARTAMENTO, EL DEPARTAMENTO SE DESTACA EN SU DESEMPEÑO FINANCIERO SUPERIOR AL DE SUS PARES CON POSIBILIDADES DE MEJORAR LA CALIFICACIÓN."/>
    <n v="450000000"/>
    <m/>
    <n v="4"/>
  </r>
  <r>
    <n v="541"/>
    <x v="3"/>
    <x v="25"/>
    <x v="26"/>
    <s v="COOPERACIÓN Y GESTIÓN ESTRATÉGICA PARA EL DESARROLLO"/>
    <s v="AMPLIAR LOS ESPACIOS DE GESTIÓN PARA EL DESARROLLO DEL DEPARTAMENTO, CON LA SUSCRIPCIÓN, IMPLEMENTACIÓN Y MONITOREO DE 16 (DIECISÉIS) ACUERDOS DE COOPERACIÓN INTERNACIONAL Y/O NACIONAL, DURANTE EL PERIODO DE GOBIERNO."/>
    <s v="NO DE ACUERDOS SUSCRITOS"/>
    <s v="ACUERDOS"/>
    <s v="I"/>
    <n v="8"/>
    <n v="24"/>
    <n v="16"/>
    <n v="0.16500000000000001"/>
    <n v="1.03125E-2"/>
    <n v="1"/>
    <n v="6.25E-2"/>
    <n v="1"/>
    <n v="1"/>
    <n v="100"/>
    <n v="100"/>
    <n v="1.03125E-2"/>
    <n v="100"/>
    <n v="0"/>
    <n v="0"/>
    <n v="0"/>
    <n v="0"/>
    <n v="0"/>
    <n v="0"/>
    <n v="0"/>
    <n v="0"/>
    <n v="0"/>
    <n v="0"/>
    <n v="0"/>
    <n v="0"/>
    <n v="0"/>
    <n v="0"/>
    <n v="0"/>
    <n v="0"/>
    <n v="0"/>
    <n v="0"/>
    <n v="0"/>
    <n v="9.2812500000000006E-2"/>
    <n v="9"/>
    <n v="0.5625"/>
    <n v="9"/>
    <n v="9"/>
    <n v="100"/>
    <n v="100"/>
    <n v="9.2812500000000006E-2"/>
    <n v="100"/>
    <n v="31000000"/>
    <n v="0"/>
    <n v="31000000"/>
    <n v="0"/>
    <n v="0"/>
    <n v="0"/>
    <n v="0"/>
    <n v="0"/>
    <n v="558000000"/>
    <n v="558000000"/>
    <n v="0"/>
    <n v="0"/>
    <n v="0"/>
    <n v="0"/>
    <n v="0"/>
    <n v="0"/>
    <n v="0"/>
    <n v="0"/>
    <n v="0"/>
    <n v="4.1250000000000002E-2"/>
    <n v="4"/>
    <n v="0.25"/>
    <n v="2"/>
    <n v="3"/>
    <n v="6"/>
    <n v="6"/>
    <n v="150"/>
    <n v="100"/>
    <n v="4.1250000000000002E-2"/>
    <n v="100"/>
    <n v="6.1874999999999999E-2"/>
    <n v="2.0625000000000001E-2"/>
    <n v="2"/>
    <n v="0.125"/>
    <n v="5"/>
    <n v="-3"/>
    <n v="5"/>
    <n v="250"/>
    <n v="100"/>
    <n v="2.0625000000000001E-2"/>
    <n v="5.1562499999999997E-2"/>
    <n v="72000000"/>
    <n v="72000000"/>
    <n v="0"/>
    <n v="0"/>
    <n v="0"/>
    <n v="0"/>
    <n v="0"/>
    <n v="0"/>
    <n v="0"/>
    <n v="0"/>
    <n v="0"/>
    <n v="0"/>
    <n v="0"/>
    <n v="0"/>
    <n v="0"/>
    <n v="0"/>
    <n v="0"/>
    <n v="0"/>
    <n v="0"/>
    <n v="21"/>
    <n v="0.16500000000000001"/>
    <n v="131.25"/>
    <n v="100"/>
    <n v="0.16500000000000001"/>
    <n v="0.16500000000000001"/>
    <n v="0.16500000000000001"/>
    <n v="1"/>
    <n v="0"/>
    <n v="615"/>
    <s v="SUBIR UN PUESTO EN EL RANKING DEL DESEMPEÑO A NIVEL NACIONAL DEL DEPARTAMENTO."/>
    <m/>
    <s v=""/>
    <m/>
    <m/>
    <m/>
    <m/>
    <s v="La SCEI ha establecido relaciones de cooperación con gobiernos, organismos y agencias de cooperación internacional, principalmente, a través de la suscripción de convenios, acuerdos marco, memorandos de entendimiento y el desarrollo de proyectos de cooperación sur-sur, lo cual ha fortalecido el capital humano y la competitividad del territorio. En este sentido, en el período comprendido entre el 2012 y 2015, la SCEI lideró la suscripción de 22 acuerdos de cooperación nacional e internacional.   Así mismo,  gestionó y apoyó  la ejecución de 21 proyectos y programas de cooperación para el desarrollo territorial (fortalecimiento institucional, planificación y evaluación del riesgo de inundaciones, manejo integral de residuos sólidos y del recurso hídrico, desarrollo rural y fortalecimiento de las cadenas del caucho, cacao, café, lácteos y hortofrutícola). _x000a_Del mismo modo, estableció alianzas estratégicas con actores del sector público y privado del orden local, regional y  nacional, contribuyendo positivamente a la preparación de los municipios piloto para el posconflicto y la construcción de paz territorial y al mejoramiento de la calidad de vida de población en condición de vulnerabilidad (niñas, niños y adolescentes, víctimas del conflicto, madres cabeza de hogar, mujeres oriundas de Cundinamarca privadas de la libertad y recolectores).   _x000a_Durante las vigencias 2012 a 2015, la SCEI gestionó recursos de Cooperación, nacional e internacional, que se estiman en $16.231.910.239, con base en la información remitida por la APC-Colombia, gobiernos extranjeros, Agencias de Cooperación y Organismos Internacionales acreditados en el país, que han sido contrapartes en los proyectos y programas desarrollados. (Fuente: APC-Colombia y SCEI, 2015). Dichos recursos gestionados para apalancar diferentes iniciativas de cooperación, no se incorporaron al presupuesto del Departamento, por cuanto fueron ejecutados directamente por los cooperantes o sus operadores.    _x000a_A la fecha, Cundinamarca se ubica en el puesto No. 7 a nivel nacional en eficiencia y eficacia de la gestión de recursos de cooperación, avanzando 14 puestos entre el 2013 y el 2014.  Dentro de los primeros lugares en el ranking de gestión de cooperación de los territorios en el 2014 se encuentran los departamentos de Magdalena, Nariño, Antioquia, Bolívar, Valle del Cauca y Chocó.  _x000a_"/>
    <n v="150000000"/>
    <m/>
    <n v="80"/>
  </r>
  <r>
    <n v="542"/>
    <x v="3"/>
    <x v="14"/>
    <x v="26"/>
    <s v="COOPERACIÓN Y GESTIÓN ESTRATÉGICA PARA EL DESARROLLO"/>
    <s v="CONSOLIDAR POR LO MENOS 4 ESPACIOS Y MECANISMOS DE GESTIÓN DE ORDEN INTERNACIONAL, NACIONAL, REGIONAL O LOCAL CON ALIANZAS INSTITUCIONALES Y PÚBLICO PRIVADAS. "/>
    <s v="NO DE ESPACIOS Y MECANISMOS DE GESTIÓN CONSOLIDADOS"/>
    <s v="MECANISMOS"/>
    <s v="I"/>
    <n v="0"/>
    <n v="4"/>
    <n v="4"/>
    <n v="0.16500000000000001"/>
    <n v="4.1250000000000002E-2"/>
    <n v="1"/>
    <n v="0.25"/>
    <n v="1"/>
    <n v="1"/>
    <n v="100"/>
    <n v="100"/>
    <n v="4.1250000000000002E-2"/>
    <n v="100"/>
    <n v="0"/>
    <n v="0"/>
    <n v="0"/>
    <n v="0"/>
    <n v="0"/>
    <n v="0"/>
    <n v="0"/>
    <n v="0"/>
    <n v="0"/>
    <n v="0"/>
    <n v="0"/>
    <n v="0"/>
    <n v="0"/>
    <n v="0"/>
    <n v="0"/>
    <n v="0"/>
    <n v="0"/>
    <n v="0"/>
    <n v="0"/>
    <n v="4.1250000000000002E-2"/>
    <n v="1"/>
    <n v="0.25"/>
    <n v="1"/>
    <n v="1"/>
    <n v="100"/>
    <n v="100"/>
    <n v="4.1250000000000002E-2"/>
    <n v="100"/>
    <n v="42000000"/>
    <n v="0"/>
    <n v="42000000"/>
    <n v="0"/>
    <n v="0"/>
    <n v="0"/>
    <n v="0"/>
    <n v="0"/>
    <n v="0"/>
    <n v="0"/>
    <n v="0"/>
    <n v="0"/>
    <n v="0"/>
    <n v="0"/>
    <n v="0"/>
    <n v="0"/>
    <n v="0"/>
    <n v="0"/>
    <n v="0"/>
    <n v="4.1250000000000002E-2"/>
    <n v="1"/>
    <n v="0.25"/>
    <n v="1"/>
    <n v="1"/>
    <n v="1"/>
    <n v="1"/>
    <n v="100"/>
    <n v="100"/>
    <n v="4.1250000000000002E-2"/>
    <n v="100"/>
    <n v="4.1250000000000002E-2"/>
    <n v="4.1250000000000002E-2"/>
    <n v="1"/>
    <n v="0.25"/>
    <n v="0"/>
    <n v="1"/>
    <n v="0"/>
    <n v="0"/>
    <n v="0"/>
    <n v="0"/>
    <n v="0"/>
    <n v="96000000"/>
    <n v="96000000"/>
    <n v="0"/>
    <n v="0"/>
    <n v="0"/>
    <n v="0"/>
    <n v="0"/>
    <n v="0"/>
    <n v="0"/>
    <n v="0"/>
    <n v="0"/>
    <n v="0"/>
    <n v="0"/>
    <n v="0"/>
    <n v="0"/>
    <n v="0"/>
    <n v="0"/>
    <n v="0"/>
    <n v="0"/>
    <n v="3"/>
    <n v="0.16500000000000001"/>
    <n v="75"/>
    <n v="75"/>
    <n v="0.12375"/>
    <n v="0.12375"/>
    <n v="0.12375"/>
    <n v="1"/>
    <n v="0"/>
    <n v="614"/>
    <s v=" 3,8 CALIFICACIÓN EN CAPACIDAD DE GESTIÓN PARA RESULTADOS DE DESARROLLO"/>
    <m/>
    <s v=""/>
    <m/>
    <m/>
    <m/>
    <m/>
    <s v="DESDE LA DIR. DE POLITICAS PUBLICAS SE TRABAJA EN LA CONSOLIDADION DE 2 MECANISMOS DE GESTION, UNO DE ORDEN LOCAL, EN LO RELACIONADO CON EL ACOMPAÑAMIENTO AL DESARROLLO DE LA INICATIVA OVOP EN EL MUNICIPIO DE SUSA."/>
    <n v="150000000"/>
    <m/>
    <n v="10"/>
  </r>
  <r>
    <n v="543"/>
    <x v="3"/>
    <x v="14"/>
    <x v="27"/>
    <s v="REDES DE FORTALECIMIENTO Y APRENDIZAJE PARA EL BUEN GOBIERNO "/>
    <s v="FORMAR A 6000 FUNCIONARIOS MUNICIPALES Y SOCIEDAD CIVIL EN DESTREZAS Y HABILIDADES PARA LA GESTIÓN INTEGRAL DURANTE EL PERÍODO DE GOBIERNO."/>
    <s v="NÚMERO DE FUNCIONARIOS Y SOCIEDAD CIVIL FORMADOS."/>
    <s v="FUNCIONARIOS"/>
    <s v="I"/>
    <n v="1792"/>
    <n v="7792"/>
    <n v="6000"/>
    <n v="0.25"/>
    <n v="4.1666666666666664E-2"/>
    <n v="1000"/>
    <n v="0.16666666666666666"/>
    <n v="3310"/>
    <n v="3310"/>
    <n v="331"/>
    <n v="100"/>
    <n v="4.1666666666666657E-2"/>
    <n v="100"/>
    <n v="50000000"/>
    <n v="50000000"/>
    <n v="0"/>
    <n v="0"/>
    <n v="0"/>
    <n v="0"/>
    <n v="0"/>
    <n v="0"/>
    <n v="49764000"/>
    <n v="49764000"/>
    <n v="0"/>
    <n v="0"/>
    <n v="0"/>
    <n v="0"/>
    <n v="0"/>
    <n v="0"/>
    <n v="0"/>
    <n v="0"/>
    <n v="0"/>
    <n v="8.3333333333333329E-2"/>
    <n v="2000"/>
    <n v="0.33333333333333331"/>
    <n v="2985"/>
    <n v="2985"/>
    <n v="149.25"/>
    <n v="100"/>
    <n v="8.3333333333333315E-2"/>
    <n v="100"/>
    <n v="50000000"/>
    <n v="0"/>
    <n v="50000000"/>
    <n v="0"/>
    <n v="0"/>
    <n v="0"/>
    <n v="0"/>
    <n v="0"/>
    <n v="42000000"/>
    <n v="42000000"/>
    <n v="0"/>
    <n v="0"/>
    <n v="0"/>
    <n v="0"/>
    <n v="0"/>
    <n v="0"/>
    <n v="0"/>
    <n v="0"/>
    <n v="0"/>
    <n v="4.1666666666666664E-2"/>
    <n v="1000"/>
    <n v="0.16666666666666666"/>
    <n v="500"/>
    <n v="570"/>
    <n v="914"/>
    <n v="914"/>
    <n v="91.4"/>
    <n v="91.4"/>
    <n v="3.8083333333333337E-2"/>
    <n v="91.4"/>
    <n v="3.8083333333333337E-2"/>
    <n v="8.3333333333333329E-2"/>
    <n v="2000"/>
    <n v="0.33333333333333331"/>
    <n v="600"/>
    <n v="1400"/>
    <n v="600"/>
    <n v="30"/>
    <n v="30"/>
    <n v="2.5000000000000001E-2"/>
    <n v="2.5000000000000001E-2"/>
    <n v="0"/>
    <n v="0"/>
    <n v="0"/>
    <n v="0"/>
    <n v="0"/>
    <n v="0"/>
    <n v="0"/>
    <n v="0"/>
    <n v="0"/>
    <n v="0"/>
    <n v="0"/>
    <n v="0"/>
    <n v="0"/>
    <n v="0"/>
    <n v="0"/>
    <n v="0"/>
    <n v="0"/>
    <n v="0"/>
    <n v="0"/>
    <n v="7809"/>
    <n v="0.25"/>
    <n v="130.15"/>
    <n v="100"/>
    <n v="0.25"/>
    <n v="0.25"/>
    <n v="0.25"/>
    <n v="1"/>
    <n v="0"/>
    <n v="616"/>
    <s v="LOGRAR QUE EL 19% DE LOS MUNICIPIOS DEL DEPARTAMENTO (22), CON MÁS BAJA CALIFICACIÓN, MEJOREN EN EL ÍNDICE DE DESEMPEÑO FISCAL NACIONAL"/>
    <n v="617"/>
    <s v="LOGRAR QUE EL 73 % DE LOS MUNICIPIOS DEL DEPARTAMENTO (92) MEJOREN SU CALIFICACIÓN EN EL ÍNDICE DE GOBIERNO ABIERTO"/>
    <n v="618"/>
    <m/>
    <m/>
    <m/>
    <s v="POTENCIALIZACIÓN DE CAPACIDADES Y HABILIDADES TÉCNICAS DE MÁS DE 8.400 FUNCIONARIOS DE NIVEL MUNICIPAL, DEPARTAMENTAL Y SOCIEDAD CIVIL EN DESTREZAS Y HABILIDADES PARA EL LOGRO DE LA GESTIÓN INTEGRAL, EN TEMAS DE PLANIFICACIÓN DE DESARROLLO, FINANCIEROS , SISBEN, GESTIÓN CONTRACTUAL, REGALIAS ENTRE OTROS. _x000a_"/>
    <n v="0"/>
    <m/>
    <n v="1"/>
  </r>
  <r>
    <n v="544"/>
    <x v="3"/>
    <x v="14"/>
    <x v="27"/>
    <s v="REDES DE FORTALECIMIENTO Y APRENDIZAJE PARA EL BUEN GOBIERNO "/>
    <s v="IMPLEMENTAR EN 40 MUNICIPIOS PRÁCTICAS DE BUEN GOBIERNO EN EL CUATRIENIO"/>
    <s v="NÚMERO DE MUNICIPIOS CON PRÁCTICAS DE BUEN GOBIERNO"/>
    <s v="MUNICIPIOS"/>
    <s v="I"/>
    <n v="14"/>
    <n v="54"/>
    <n v="40"/>
    <n v="0.25"/>
    <n v="0"/>
    <n v="0"/>
    <n v="0"/>
    <n v="0"/>
    <n v="0"/>
    <n v="0"/>
    <n v="0"/>
    <n v="0"/>
    <n v="0"/>
    <n v="0"/>
    <n v="0"/>
    <n v="0"/>
    <n v="0"/>
    <n v="0"/>
    <n v="0"/>
    <n v="0"/>
    <n v="0"/>
    <n v="0"/>
    <n v="0"/>
    <n v="0"/>
    <n v="0"/>
    <n v="0"/>
    <n v="0"/>
    <n v="0"/>
    <n v="0"/>
    <n v="0"/>
    <n v="0"/>
    <n v="0"/>
    <n v="6.25E-2"/>
    <n v="10"/>
    <n v="0.25"/>
    <n v="0"/>
    <n v="0"/>
    <n v="0"/>
    <n v="0"/>
    <n v="0"/>
    <n v="0"/>
    <n v="200000000"/>
    <n v="0"/>
    <n v="200000000"/>
    <n v="0"/>
    <n v="0"/>
    <n v="0"/>
    <n v="0"/>
    <n v="0"/>
    <n v="0"/>
    <n v="0"/>
    <n v="0"/>
    <n v="0"/>
    <n v="0"/>
    <n v="0"/>
    <n v="0"/>
    <n v="0"/>
    <n v="0"/>
    <n v="0"/>
    <n v="0"/>
    <n v="0.125"/>
    <n v="20"/>
    <n v="0.5"/>
    <n v="0"/>
    <n v="0"/>
    <n v="54"/>
    <n v="54"/>
    <n v="270"/>
    <n v="100"/>
    <n v="0.125"/>
    <n v="100"/>
    <n v="0.33750000000000002"/>
    <n v="6.25E-2"/>
    <n v="10"/>
    <n v="0.25"/>
    <n v="0"/>
    <n v="10"/>
    <n v="0"/>
    <n v="0"/>
    <n v="0"/>
    <n v="0"/>
    <n v="0"/>
    <n v="200000000"/>
    <n v="200000000"/>
    <n v="0"/>
    <n v="0"/>
    <n v="0"/>
    <n v="0"/>
    <n v="0"/>
    <n v="0"/>
    <n v="0"/>
    <n v="0"/>
    <n v="0"/>
    <n v="0"/>
    <n v="0"/>
    <n v="0"/>
    <n v="0"/>
    <n v="0"/>
    <n v="0"/>
    <n v="0"/>
    <n v="0"/>
    <n v="54"/>
    <n v="0.25"/>
    <n v="135"/>
    <n v="100"/>
    <n v="0.25"/>
    <n v="0.25"/>
    <n v="0.25"/>
    <n v="1"/>
    <n v="0"/>
    <n v="617"/>
    <s v="LOGRAR QUE EL 73 % DE LOS MUNICIPIOS DEL DEPARTAMENTO (92) MEJOREN SU CALIFICACIÓN EN EL ÍNDICE DE GOBIERNO ABIERTO"/>
    <n v="618"/>
    <s v="LOGRAR QUE EL 100 % DE LOS MUNICIPIOS DEL DEPARTAMENTO (116) SUPEREN LA CALIFICACIÓN DEL 60% EN EL ÍNDICE DE DESEMPEÑO MUNICIPAL"/>
    <m/>
    <m/>
    <m/>
    <m/>
    <s v="SE DEFINIÓ Y ESTRUCTURÓ UN PROGRAMA PARA APOYAR A 53 MUNICIPIOS DEL DEPARTAMENTO EN PROCESOS DE FISCALIZACIÓN Y RECUPERACIÓN DE CARTERA TRIBUTARIA.. EL PROCESO NO SE ADJUDICO"/>
    <n v="0"/>
    <m/>
    <n v="0"/>
  </r>
  <r>
    <n v="545"/>
    <x v="3"/>
    <x v="14"/>
    <x v="27"/>
    <s v="RED PARA EL CONOCIMIENTO Y LA INFORMACION"/>
    <s v="INCREMENTAR EN UN 50% EL NÚMERO DE USUARIOS DE LA RED DE CONOCIMIENTO DURANTE EL CUATRIENIO."/>
    <s v="NÚMERO DE USUARIOS DE LA RED DE INFORMACIÓN Y CONOCIMIENTO."/>
    <s v="USUARIOS"/>
    <s v="I"/>
    <n v="5000"/>
    <n v="7500"/>
    <n v="2500"/>
    <n v="0.25"/>
    <n v="6.25E-2"/>
    <n v="625"/>
    <n v="0.25"/>
    <n v="1060"/>
    <n v="1060"/>
    <n v="169.6"/>
    <n v="100"/>
    <n v="6.25E-2"/>
    <n v="100"/>
    <n v="0"/>
    <n v="0"/>
    <n v="0"/>
    <n v="0"/>
    <n v="0"/>
    <n v="0"/>
    <n v="0"/>
    <n v="0"/>
    <n v="23200000"/>
    <n v="23200000"/>
    <n v="0"/>
    <n v="0"/>
    <n v="0"/>
    <n v="0"/>
    <n v="0"/>
    <n v="0"/>
    <n v="0"/>
    <n v="0"/>
    <n v="0"/>
    <n v="6.25E-2"/>
    <n v="625"/>
    <n v="0.25"/>
    <n v="1025"/>
    <n v="1025"/>
    <n v="164"/>
    <n v="100"/>
    <n v="6.25E-2"/>
    <n v="100"/>
    <n v="4000000"/>
    <n v="0"/>
    <n v="4000000"/>
    <n v="0"/>
    <n v="0"/>
    <n v="0"/>
    <n v="0"/>
    <n v="0"/>
    <n v="0"/>
    <n v="0"/>
    <n v="0"/>
    <n v="0"/>
    <n v="0"/>
    <n v="0"/>
    <n v="0"/>
    <n v="0"/>
    <n v="0"/>
    <n v="0"/>
    <n v="0"/>
    <n v="6.25E-2"/>
    <n v="625"/>
    <n v="0.25"/>
    <n v="0"/>
    <n v="3"/>
    <n v="3"/>
    <n v="3"/>
    <n v="0.48"/>
    <n v="0.48"/>
    <n v="2.9999999999999997E-4"/>
    <n v="0.48"/>
    <n v="2.9999999999999997E-4"/>
    <n v="6.25E-2"/>
    <n v="625"/>
    <n v="0.25"/>
    <n v="0"/>
    <n v="625"/>
    <n v="0"/>
    <n v="0"/>
    <n v="0"/>
    <n v="0"/>
    <n v="0"/>
    <n v="9000000"/>
    <n v="9000000"/>
    <n v="0"/>
    <n v="0"/>
    <n v="0"/>
    <n v="0"/>
    <n v="0"/>
    <n v="0"/>
    <n v="0"/>
    <n v="0"/>
    <n v="0"/>
    <n v="0"/>
    <n v="0"/>
    <n v="0"/>
    <n v="0"/>
    <n v="0"/>
    <n v="0"/>
    <n v="0"/>
    <n v="0"/>
    <n v="2088"/>
    <n v="0.25"/>
    <n v="83.52"/>
    <n v="83.52"/>
    <n v="0.20879999999999999"/>
    <n v="0.20879999999999999"/>
    <n v="0.20879999999999999"/>
    <n v="1"/>
    <n v="0"/>
    <n v="617"/>
    <s v="LOGRAR QUE EL 73 % DE LOS MUNICIPIOS DEL DEPARTAMENTO (92) MEJOREN SU CALIFICACIÓN EN EL ÍNDICE DE GOBIERNO ABIERTO"/>
    <n v="618"/>
    <s v="LOGRAR QUE EL 100 % DE LOS MUNICIPIOS DEL DEPARTAMENTO (116) SUPEREN LA CALIFICACIÓN DEL 60% EN EL ÍNDICE DE DESEMPEÑO MUNICIPAL"/>
    <m/>
    <m/>
    <m/>
    <m/>
    <s v="SE INGRESO A LAS BASES DE DATOS MUNICIPALES LA INFORMACION DE LOS SECRETARIOS DE GOBIERNO, JEFES DE CONTROL INTERNO, WEB MASTER, DIRECTORES DE CASA DE CULTURA PARA UN TOTAL 500 NUEVOS USUARIOS."/>
    <n v="0"/>
    <m/>
    <n v="0"/>
  </r>
  <r>
    <n v="546"/>
    <x v="3"/>
    <x v="2"/>
    <x v="27"/>
    <s v="FORTALECIMIENTO INTEGRAL A LA GESTION LOCAL"/>
    <s v="APOYAR EN 4 PROCESOS ELECTORALES A LOS 116 MUNICIPIOS DURANTE EL PERÍODO DE GOBIERNO"/>
    <s v="NÚMERO DE JORNADAS ELECTORALES "/>
    <s v="PROCESOS ELECTORALES"/>
    <s v="I"/>
    <n v="0"/>
    <n v="4"/>
    <n v="4"/>
    <n v="8.8999999999999996E-2"/>
    <n v="0"/>
    <n v="0"/>
    <n v="0"/>
    <n v="2"/>
    <n v="2"/>
    <n v="0"/>
    <n v="0"/>
    <n v="0"/>
    <n v="100"/>
    <n v="0"/>
    <n v="0"/>
    <n v="0"/>
    <n v="0"/>
    <n v="0"/>
    <n v="0"/>
    <n v="0"/>
    <n v="0"/>
    <n v="20700000"/>
    <n v="20700000"/>
    <n v="0"/>
    <n v="0"/>
    <n v="0"/>
    <n v="0"/>
    <n v="0"/>
    <n v="0"/>
    <n v="0"/>
    <n v="0"/>
    <n v="0"/>
    <n v="0"/>
    <n v="0"/>
    <n v="0"/>
    <n v="1"/>
    <n v="1"/>
    <n v="0"/>
    <n v="0"/>
    <n v="0"/>
    <n v="100"/>
    <n v="0"/>
    <n v="0"/>
    <n v="0"/>
    <n v="0"/>
    <n v="0"/>
    <n v="0"/>
    <n v="0"/>
    <n v="0"/>
    <n v="0"/>
    <n v="0"/>
    <n v="0"/>
    <n v="0"/>
    <n v="0"/>
    <n v="0"/>
    <n v="0"/>
    <n v="0"/>
    <n v="0"/>
    <n v="0"/>
    <n v="0"/>
    <n v="6.6750000000000004E-2"/>
    <n v="3"/>
    <n v="0.75"/>
    <n v="3"/>
    <n v="3"/>
    <n v="3"/>
    <n v="3"/>
    <n v="100"/>
    <n v="100"/>
    <n v="6.6750000000000004E-2"/>
    <n v="100"/>
    <n v="6.6750000000000004E-2"/>
    <n v="2.2249999999999999E-2"/>
    <n v="1"/>
    <n v="0.25"/>
    <n v="1"/>
    <n v="0"/>
    <n v="1"/>
    <n v="100"/>
    <n v="100"/>
    <n v="2.2250000000000002E-2"/>
    <n v="2.2250000000000002E-2"/>
    <n v="300000000"/>
    <n v="300000000"/>
    <n v="0"/>
    <n v="0"/>
    <n v="0"/>
    <n v="0"/>
    <n v="0"/>
    <n v="0"/>
    <n v="0"/>
    <n v="0"/>
    <n v="0"/>
    <n v="0"/>
    <n v="0"/>
    <n v="0"/>
    <n v="0"/>
    <n v="0"/>
    <n v="0"/>
    <n v="0"/>
    <n v="0"/>
    <n v="7"/>
    <n v="8.8999999999999996E-2"/>
    <n v="175"/>
    <n v="100"/>
    <n v="8.900000000000001E-2"/>
    <n v="8.8999999999999996E-2"/>
    <n v="8.8999999999999996E-2"/>
    <n v="1"/>
    <n v="0"/>
    <n v="616"/>
    <s v="LOGRAR QUE EL 19% DE LOS MUNICIPIOS DEL DEPARTAMENTO (22), CON MÁS BAJA CALIFICACIÓN, MEJOREN EN EL ÍNDICE DE DESEMPEÑO FISCAL NACIONAL"/>
    <m/>
    <s v=""/>
    <m/>
    <m/>
    <m/>
    <m/>
    <s v="NO PRESENTA AVANCE, SE HA APOYADO LOS PROCESOS ELECTORALES ATÍPICOS EN LOS MUNICIPIOS DE COTA Y MACHETA"/>
    <n v="685000000"/>
    <m/>
    <n v="0"/>
  </r>
  <r>
    <n v="547"/>
    <x v="3"/>
    <x v="14"/>
    <x v="27"/>
    <s v="FORTALECIMIENTO INTEGRAL A LA GESTION LOCAL"/>
    <s v="CONTRIBUIR AL FORTALECIMIENTO DE LAS FINANZAS MUNICIPALES CON 5 ACTUALIZACIONES CATASTRALES."/>
    <s v="NO. DE MUNICIPIOS CON ACTUALIZACIÓN CATASTRAL COFINANCIADOS."/>
    <s v="MUNICIPIOS"/>
    <s v="I"/>
    <n v="0"/>
    <n v="5"/>
    <n v="5"/>
    <n v="0.16500000000000001"/>
    <n v="0.13200000000000001"/>
    <n v="4"/>
    <n v="0.8"/>
    <n v="4"/>
    <n v="4"/>
    <n v="100"/>
    <n v="100"/>
    <n v="0.13200000000000001"/>
    <n v="100"/>
    <n v="3860000000"/>
    <n v="1000000000"/>
    <n v="0"/>
    <n v="0"/>
    <n v="0"/>
    <n v="0"/>
    <n v="0"/>
    <n v="2860000000"/>
    <n v="1000000000"/>
    <n v="1000000000"/>
    <n v="0"/>
    <n v="0"/>
    <n v="0"/>
    <n v="0"/>
    <n v="0"/>
    <n v="0"/>
    <n v="0"/>
    <n v="2860622000"/>
    <s v="CAR,MUNICIPIOS"/>
    <n v="3.3000000000000002E-2"/>
    <n v="1"/>
    <n v="0.2"/>
    <n v="1"/>
    <n v="1"/>
    <n v="100"/>
    <n v="100"/>
    <n v="3.3000000000000002E-2"/>
    <n v="100"/>
    <n v="8100000000"/>
    <n v="0"/>
    <n v="2100000000"/>
    <n v="0"/>
    <n v="0"/>
    <n v="0"/>
    <n v="0"/>
    <n v="6000000000"/>
    <n v="16640000"/>
    <n v="16640000"/>
    <n v="0"/>
    <n v="0"/>
    <n v="0"/>
    <n v="0"/>
    <n v="0"/>
    <n v="0"/>
    <n v="0"/>
    <n v="0"/>
    <n v="0"/>
    <n v="0"/>
    <n v="0"/>
    <n v="0"/>
    <n v="0"/>
    <n v="0"/>
    <n v="0"/>
    <n v="0"/>
    <n v="0"/>
    <n v="0"/>
    <n v="0"/>
    <n v="0"/>
    <n v="0"/>
    <n v="0"/>
    <n v="0"/>
    <n v="0"/>
    <n v="0"/>
    <n v="0"/>
    <n v="0"/>
    <n v="0"/>
    <n v="0"/>
    <n v="0"/>
    <n v="0"/>
    <n v="1000000000"/>
    <n v="500000000"/>
    <n v="0"/>
    <n v="0"/>
    <n v="0"/>
    <n v="0"/>
    <n v="0"/>
    <n v="500000000"/>
    <n v="0"/>
    <n v="0"/>
    <n v="0"/>
    <n v="0"/>
    <n v="0"/>
    <n v="0"/>
    <n v="0"/>
    <n v="0"/>
    <n v="0"/>
    <n v="0"/>
    <n v="0"/>
    <n v="5"/>
    <n v="0.16500000000000001"/>
    <n v="100"/>
    <n v="100"/>
    <n v="0.16500000000000001"/>
    <n v="0.16500000000000001"/>
    <n v="0.16500000000000001"/>
    <n v="1"/>
    <n v="0"/>
    <n v="616"/>
    <s v="LOGRAR QUE EL 19% DE LOS MUNICIPIOS DEL DEPARTAMENTO (22), CON MÁS BAJA CALIFICACIÓN, MEJOREN EN EL ÍNDICE DE DESEMPEÑO FISCAL NACIONAL"/>
    <m/>
    <s v=""/>
    <m/>
    <m/>
    <m/>
    <m/>
    <s v="CINCO (5) MUNICIPIOS ACTUALIZARON SUS BASES CATASTRALES, LAS CUALES SIRVEN PARA AJUSTAR LOS AVALÚOS DE LOS PREDIOS URBANOS Y RURALES QUE CONLLEVARAN A MEJORAR EL RECAUDO POR EL COBRO DEL IMPUESTO PREDIAL UNIFICADO, ADICIONALMENTE CUENTAN CON CARTOGRAFÍA PREDIAL URBANA Y RURAL QUE LES SIRVE COMO BASE EL PROCESO DE REVISIÓN Y AJUSTE DE SU EOT."/>
    <n v="0"/>
    <m/>
    <n v="1"/>
  </r>
  <r>
    <n v="548"/>
    <x v="3"/>
    <x v="14"/>
    <x v="27"/>
    <s v="FORTALECIMIENTO INTEGRAL A LA GESTION LOCAL"/>
    <s v="FORTALECER LA CAPACIDAD INSTITUCIONAL CON LA IMPLEMENTACIÓN 4 UNIDADES DE APOYO A LA GESTIÓN TERRITORIAL"/>
    <s v="NUMERO DE UAGT PUESTAS EN FUNCIONAMIENTO"/>
    <s v="UNIDADES"/>
    <s v="I"/>
    <n v="0"/>
    <n v="4"/>
    <n v="4"/>
    <n v="0.25"/>
    <n v="0"/>
    <n v="0"/>
    <n v="0"/>
    <n v="0"/>
    <n v="0"/>
    <n v="0"/>
    <n v="0"/>
    <n v="0"/>
    <n v="0"/>
    <n v="85000000"/>
    <n v="85000000"/>
    <n v="0"/>
    <n v="0"/>
    <n v="0"/>
    <n v="0"/>
    <n v="0"/>
    <n v="0"/>
    <n v="0"/>
    <n v="0"/>
    <n v="0"/>
    <n v="0"/>
    <n v="0"/>
    <n v="0"/>
    <n v="0"/>
    <n v="0"/>
    <n v="0"/>
    <n v="0"/>
    <n v="0"/>
    <n v="6.25E-2"/>
    <n v="1"/>
    <n v="0.25"/>
    <n v="1"/>
    <n v="1"/>
    <n v="100"/>
    <n v="100"/>
    <n v="6.25E-2"/>
    <n v="100"/>
    <n v="267000000"/>
    <n v="0"/>
    <n v="267000000"/>
    <n v="0"/>
    <n v="0"/>
    <n v="0"/>
    <n v="0"/>
    <n v="0"/>
    <n v="536349880"/>
    <n v="536349880"/>
    <n v="0"/>
    <n v="0"/>
    <n v="0"/>
    <n v="0"/>
    <n v="0"/>
    <n v="0"/>
    <n v="0"/>
    <n v="35600000"/>
    <s v="FEDESARROLLO"/>
    <n v="0.125"/>
    <n v="2"/>
    <n v="0.5"/>
    <n v="3"/>
    <n v="3"/>
    <n v="3"/>
    <n v="3"/>
    <n v="150"/>
    <n v="100"/>
    <n v="0.125"/>
    <n v="100"/>
    <n v="0.1875"/>
    <n v="6.25E-2"/>
    <n v="1"/>
    <n v="0.25"/>
    <n v="1"/>
    <n v="0"/>
    <n v="1"/>
    <n v="100"/>
    <n v="100"/>
    <n v="6.25E-2"/>
    <n v="6.25E-2"/>
    <n v="266000000"/>
    <n v="266000000"/>
    <n v="0"/>
    <n v="0"/>
    <n v="0"/>
    <n v="0"/>
    <n v="0"/>
    <n v="0"/>
    <n v="0"/>
    <n v="0"/>
    <n v="0"/>
    <n v="0"/>
    <n v="0"/>
    <n v="0"/>
    <n v="0"/>
    <n v="0"/>
    <n v="0"/>
    <n v="0"/>
    <n v="0"/>
    <n v="5"/>
    <n v="0.25"/>
    <n v="125"/>
    <n v="100"/>
    <n v="0.25"/>
    <n v="0.25"/>
    <n v="0.25"/>
    <n v="1"/>
    <n v="0"/>
    <n v="616"/>
    <s v="LOGRAR QUE EL 19% DE LOS MUNICIPIOS DEL DEPARTAMENTO (22), CON MÁS BAJA CALIFICACIÓN, MEJOREN EN EL ÍNDICE DE DESEMPEÑO FISCAL NACIONAL"/>
    <n v="617"/>
    <s v="LOGRAR QUE EL 73 % DE LOS MUNICIPIOS DEL DEPARTAMENTO (92) MEJOREN SU CALIFICACIÓN EN EL ÍNDICE DE GOBIERNO ABIERTO"/>
    <n v="618"/>
    <m/>
    <m/>
    <m/>
    <s v="SE LOGRO SATISFACER LA DEMANDA DE LAS ENTIDADES Y COMUNIDAD OPRTUNAMENTE EN LAS TEMATICAS FORNULACIÓN Y EVALUACION DE PROYECTOS, ASISTENCIA TECNICA MUNICIPAL EN POT Y FINANZAS, SE ACTUALIZAZO LOS CALES DE INFORMACIÓN Y EL SIG Y SEGUIMIENTO DE A LOS PROYECTOS DE MAYOR IMPACTO DEL DEPARTAMENTO . "/>
    <n v="0"/>
    <m/>
    <n v="2"/>
  </r>
  <r>
    <n v="549"/>
    <x v="3"/>
    <x v="14"/>
    <x v="27"/>
    <s v="FORTALECIMIENTO INTEGRAL A LA GESTION LOCAL"/>
    <s v="ACERCAMIENTO DE LA OFERTA INSTITUCIONAL PARA EL EMPODERAMIENTO Y LA GESTIÓN CON 4 FERIAS INSTITUCIONALES DURANTE EL PERIODO DE GOBIERNO"/>
    <s v="NO DE FERIAS INSTITUCIONALES REALIZADAS DURANTE EL PERIODO DE GOBIERNO"/>
    <s v="FERIAS"/>
    <s v="I"/>
    <n v="0"/>
    <n v="4"/>
    <n v="4"/>
    <n v="0.16500000000000001"/>
    <n v="4.1250000000000002E-2"/>
    <n v="1"/>
    <n v="0.25"/>
    <n v="0"/>
    <n v="0"/>
    <n v="0"/>
    <n v="0"/>
    <n v="0"/>
    <n v="0"/>
    <n v="0"/>
    <n v="0"/>
    <n v="0"/>
    <n v="0"/>
    <n v="0"/>
    <n v="0"/>
    <n v="0"/>
    <n v="0"/>
    <n v="0"/>
    <n v="0"/>
    <n v="0"/>
    <n v="0"/>
    <n v="0"/>
    <n v="0"/>
    <n v="0"/>
    <n v="0"/>
    <n v="0"/>
    <n v="0"/>
    <n v="0"/>
    <n v="4.1250000000000002E-2"/>
    <n v="1"/>
    <n v="0.25"/>
    <n v="3"/>
    <n v="3"/>
    <n v="300"/>
    <n v="100"/>
    <n v="4.1250000000000002E-2"/>
    <n v="100"/>
    <n v="0"/>
    <n v="0"/>
    <n v="0"/>
    <n v="0"/>
    <n v="0"/>
    <n v="0"/>
    <n v="0"/>
    <n v="0"/>
    <n v="53882574"/>
    <n v="53882574"/>
    <n v="0"/>
    <n v="0"/>
    <n v="0"/>
    <n v="0"/>
    <n v="0"/>
    <n v="0"/>
    <n v="0"/>
    <n v="0"/>
    <n v="0"/>
    <n v="4.1250000000000002E-2"/>
    <n v="1"/>
    <n v="0.25"/>
    <n v="2"/>
    <n v="0"/>
    <n v="2"/>
    <n v="2"/>
    <n v="200"/>
    <n v="100"/>
    <n v="4.1250000000000002E-2"/>
    <n v="100"/>
    <n v="8.2500000000000004E-2"/>
    <n v="4.1250000000000002E-2"/>
    <n v="1"/>
    <n v="0.25"/>
    <n v="1"/>
    <n v="0"/>
    <n v="1"/>
    <n v="100"/>
    <n v="100"/>
    <n v="4.1250000000000002E-2"/>
    <n v="4.1250000000000002E-2"/>
    <n v="0"/>
    <n v="0"/>
    <n v="0"/>
    <n v="0"/>
    <n v="0"/>
    <n v="0"/>
    <n v="0"/>
    <n v="0"/>
    <n v="0"/>
    <n v="0"/>
    <n v="0"/>
    <n v="0"/>
    <n v="0"/>
    <n v="0"/>
    <n v="0"/>
    <n v="0"/>
    <n v="0"/>
    <n v="0"/>
    <n v="0"/>
    <n v="6"/>
    <n v="0.16500000000000001"/>
    <n v="150"/>
    <n v="100"/>
    <n v="0.16500000000000001"/>
    <n v="0.16500000000000001"/>
    <n v="0.16500000000000001"/>
    <n v="1"/>
    <n v="0"/>
    <n v="618"/>
    <s v="LOGRAR QUE EL 100 % DE LOS MUNICIPIOS DEL DEPARTAMENTO (116) SUPEREN LA CALIFICACIÓN DEL 60% EN EL ÍNDICE DE DESEMPEÑO MUNICIPAL"/>
    <m/>
    <s v=""/>
    <m/>
    <m/>
    <m/>
    <m/>
    <s v="EN EL MARCO DE LA JORNADA DE RENDICIÓN DE CUENTAS PARA ALCALDES LA CUAL SE REALIZO EN LA CIUDAD DE GIRARDOT EL 8 Y 9 DE MARZO DE 2103 SE REALIZÓ LA PRIMERA FERIA INSTITUCIONAL Y DE SERVICIOS."/>
    <n v="72000000"/>
    <m/>
    <n v="3"/>
  </r>
  <r>
    <n v="550"/>
    <x v="3"/>
    <x v="14"/>
    <x v="27"/>
    <s v="PROCESOS DE COOPERACION HORIZONTAL Y HERMANAMIENTOS"/>
    <s v="FORTALECER 12 MUNICIPIOS EN GESTIÓN INTEGRAL A TRAVÉS DE PROCESOS DE COOPERACIÓN HORIZONTAL DURANTE DEL PERÍODO DE GOBIERNO"/>
    <s v="NUMERO DE PROCESOS DE COOPERACIÓN HORIZONTAL ENTRE MUNICIPIOS FORMALIZADOS"/>
    <s v="MUNICIPIOS"/>
    <s v="I"/>
    <n v="0"/>
    <n v="12"/>
    <n v="12"/>
    <n v="0.16500000000000001"/>
    <n v="4.1250000000000002E-2"/>
    <n v="3"/>
    <n v="0.25"/>
    <n v="3"/>
    <n v="3"/>
    <n v="100"/>
    <n v="100"/>
    <n v="4.1250000000000002E-2"/>
    <n v="100"/>
    <n v="0"/>
    <n v="0"/>
    <n v="0"/>
    <n v="0"/>
    <n v="0"/>
    <n v="0"/>
    <n v="0"/>
    <n v="0"/>
    <n v="0"/>
    <n v="0"/>
    <n v="0"/>
    <n v="0"/>
    <n v="0"/>
    <n v="0"/>
    <n v="0"/>
    <n v="0"/>
    <n v="0"/>
    <n v="0"/>
    <n v="0"/>
    <n v="4.1250000000000002E-2"/>
    <n v="3"/>
    <n v="0.25"/>
    <n v="0"/>
    <n v="0"/>
    <n v="0"/>
    <n v="0"/>
    <n v="0"/>
    <n v="0"/>
    <n v="0"/>
    <n v="0"/>
    <n v="0"/>
    <n v="0"/>
    <n v="0"/>
    <n v="0"/>
    <n v="0"/>
    <n v="0"/>
    <n v="0"/>
    <n v="0"/>
    <n v="0"/>
    <n v="0"/>
    <n v="0"/>
    <n v="0"/>
    <n v="0"/>
    <n v="0"/>
    <n v="0"/>
    <n v="0"/>
    <n v="0"/>
    <n v="4.1250000000000002E-2"/>
    <n v="3"/>
    <n v="0.25"/>
    <n v="0"/>
    <n v="0"/>
    <n v="0"/>
    <n v="0"/>
    <n v="0"/>
    <n v="0"/>
    <n v="0"/>
    <n v="0"/>
    <n v="0"/>
    <n v="4.1250000000000002E-2"/>
    <n v="3"/>
    <n v="0.25"/>
    <n v="0"/>
    <n v="3"/>
    <n v="0"/>
    <n v="0"/>
    <n v="0"/>
    <n v="0"/>
    <n v="0"/>
    <n v="0"/>
    <n v="0"/>
    <n v="0"/>
    <n v="0"/>
    <n v="0"/>
    <n v="0"/>
    <n v="0"/>
    <n v="0"/>
    <n v="0"/>
    <n v="0"/>
    <n v="0"/>
    <n v="0"/>
    <n v="0"/>
    <n v="0"/>
    <n v="0"/>
    <n v="0"/>
    <n v="0"/>
    <n v="0"/>
    <n v="0"/>
    <n v="3"/>
    <n v="0.16500000000000001"/>
    <n v="25"/>
    <n v="25"/>
    <n v="4.1250000000000002E-2"/>
    <n v="4.1250000000000002E-2"/>
    <n v="4.1250000000000002E-2"/>
    <n v="1"/>
    <n v="0"/>
    <n v="618"/>
    <s v="LOGRAR QUE EL 100 % DE LOS MUNICIPIOS DEL DEPARTAMENTO (116) SUPEREN LA CALIFICACIÓN DEL 60% EN EL ÍNDICE DE DESEMPEÑO MUNICIPAL"/>
    <m/>
    <s v=""/>
    <m/>
    <m/>
    <m/>
    <m/>
    <s v="SE BRINDO APOYO TÉCNICO EN ORDENAMIENTO TERRITORIAL EN LOS MUNICIPIOS DE SAN JUAN DE RIOSECO Y VIANÍ, SE ELABORARON LOS TERMINOS DE REFERENCIA Y SE PARTICIPÓ EN EL PROCESO DE SELECCIÓN DEL CONSULTOR. SE TRABAJO EN LOS TRES COMPONENTES : FORTALECIMIENTO INSTITUCIONAL DEL SECTOR AMBIENTAL, ORDENAMIENTO AMBIENTAL DEL TERRITORIO, INSTRUMENTOS ECONÓMICOS PARA LA CONSERVACIÓN DE LA BIODIVERSIDAD Y LOS SERVICIOS ECOSISTÉMICOS, LOS CUALES SE DESARROLLARON CON EL APOYO DE GTZ , LAS ADMINISTRACIONES MUNICIPALES Y LA COMUNIDAD. EL MUNICIPIO DE MOSQUERA DENTRO DEL PLAN PADRINO BRINDÓ LINEAMIENTOS OPERATIVOS Y TÉCNICOS A LOS BANCO DE PROYECTOS DE LOS MUNICIPIOS DE SAN JUAN DE RIOSECO Y SUBACHOQUE."/>
    <n v="154000000"/>
    <m/>
    <n v="0"/>
  </r>
  <r>
    <n v="551"/>
    <x v="3"/>
    <x v="2"/>
    <x v="27"/>
    <s v="MEJORAMIENTO DEL SERVICIO "/>
    <s v="CONSTRUIR, MEJORAR, MANTENER Y DOTAR 15 CASAS DE GOBIERNO CON EL OBJETO DE QUE PRESTEN UN BUEN SERVICIO A LA CIUDADANÍA"/>
    <s v="NO DE CASAS DE GOBIERNO EN BUEN ESTADO"/>
    <s v="CASAS DE GOBIERNO"/>
    <s v="I"/>
    <n v="0"/>
    <n v="15"/>
    <n v="15"/>
    <n v="8.8999999999999996E-2"/>
    <n v="0"/>
    <n v="0"/>
    <n v="0"/>
    <n v="0"/>
    <n v="0"/>
    <n v="0"/>
    <n v="0"/>
    <n v="0"/>
    <n v="0"/>
    <n v="0"/>
    <n v="0"/>
    <n v="0"/>
    <n v="0"/>
    <n v="0"/>
    <n v="0"/>
    <n v="0"/>
    <n v="0"/>
    <n v="0"/>
    <n v="0"/>
    <n v="0"/>
    <n v="0"/>
    <n v="0"/>
    <n v="0"/>
    <n v="0"/>
    <n v="0"/>
    <n v="0"/>
    <n v="0"/>
    <n v="0"/>
    <n v="1.78E-2"/>
    <n v="3"/>
    <n v="0.2"/>
    <n v="8"/>
    <n v="8"/>
    <n v="266.66666666666669"/>
    <n v="100"/>
    <n v="1.78E-2"/>
    <n v="100"/>
    <n v="100000000"/>
    <n v="0"/>
    <n v="100000000"/>
    <n v="0"/>
    <n v="0"/>
    <n v="0"/>
    <n v="0"/>
    <n v="0"/>
    <n v="1651403216"/>
    <n v="1651403216"/>
    <n v="0"/>
    <n v="0"/>
    <n v="0"/>
    <n v="0"/>
    <n v="0"/>
    <n v="0"/>
    <n v="0"/>
    <n v="0"/>
    <n v="0"/>
    <n v="3.56E-2"/>
    <n v="6"/>
    <n v="0.4"/>
    <n v="9"/>
    <n v="9"/>
    <n v="9"/>
    <n v="9"/>
    <n v="150"/>
    <n v="100"/>
    <n v="3.56E-2"/>
    <n v="100"/>
    <n v="5.3399999999999996E-2"/>
    <n v="3.56E-2"/>
    <n v="6"/>
    <n v="0.4"/>
    <n v="15"/>
    <n v="-9"/>
    <n v="15"/>
    <n v="250"/>
    <n v="100"/>
    <n v="3.56E-2"/>
    <n v="8.900000000000001E-2"/>
    <n v="500000000"/>
    <n v="500000000"/>
    <n v="0"/>
    <n v="0"/>
    <n v="0"/>
    <n v="0"/>
    <n v="0"/>
    <n v="0"/>
    <n v="0"/>
    <n v="0"/>
    <n v="0"/>
    <n v="0"/>
    <n v="0"/>
    <n v="0"/>
    <n v="0"/>
    <n v="0"/>
    <n v="0"/>
    <n v="0"/>
    <n v="0"/>
    <n v="32"/>
    <n v="8.8999999999999996E-2"/>
    <n v="213.33333333333334"/>
    <n v="100"/>
    <n v="8.900000000000001E-2"/>
    <n v="8.8999999999999996E-2"/>
    <n v="8.8999999999999996E-2"/>
    <n v="1"/>
    <n v="0"/>
    <n v="616"/>
    <s v="LOGRAR QUE EL 19% DE LOS MUNICIPIOS DEL DEPARTAMENTO (22), CON MÁS BAJA CALIFICACIÓN, MEJOREN EN EL ÍNDICE DE DESEMPEÑO FISCAL NACIONAL"/>
    <m/>
    <s v=""/>
    <m/>
    <m/>
    <m/>
    <m/>
    <s v="DE CONFORMIDAD CON LA META SE PROGRAMA LA DOTACION ADUCUACION, MEJAMIENTO DE LA CASAS DE GOBEIRNO DEL DEPARTAMENTO DE CUNDINAMARCA EN AL MENOS 8 MUNICIPIOS DEL DEPARTAMENTO DE CUNDINAMARCA"/>
    <n v="30000000"/>
    <m/>
    <n v="0"/>
  </r>
  <r>
    <n v="552"/>
    <x v="3"/>
    <x v="14"/>
    <x v="28"/>
    <s v="INSTANCIAS DE PARTICIPACIÓN INSTITUCIONAL"/>
    <s v="FORTALECER EN EL CUATRIENIO AL CONSEJO TERRITORIAL DE PLANEACIÓN."/>
    <s v="NÚMERO DE AÑOS DE FORTALECIMIENTO DEL CONSEJO TERRITORIAL DE PLANEACIÓN"/>
    <s v="APOYOS"/>
    <s v="I"/>
    <n v="4"/>
    <n v="8"/>
    <n v="4"/>
    <n v="8.8999999999999996E-2"/>
    <n v="2.2249999999999999E-2"/>
    <n v="1"/>
    <n v="0.25"/>
    <n v="1"/>
    <n v="1"/>
    <n v="100"/>
    <n v="100"/>
    <n v="2.2250000000000002E-2"/>
    <n v="100"/>
    <n v="115000000"/>
    <n v="115000000"/>
    <n v="0"/>
    <n v="0"/>
    <n v="0"/>
    <n v="0"/>
    <n v="0"/>
    <n v="0"/>
    <n v="49993000"/>
    <n v="49993000"/>
    <n v="0"/>
    <n v="0"/>
    <n v="0"/>
    <n v="0"/>
    <n v="0"/>
    <n v="0"/>
    <n v="0"/>
    <n v="0"/>
    <n v="0"/>
    <n v="2.2249999999999999E-2"/>
    <n v="1"/>
    <n v="0.25"/>
    <n v="1"/>
    <n v="1"/>
    <n v="100"/>
    <n v="100"/>
    <n v="2.2250000000000002E-2"/>
    <n v="100"/>
    <n v="42000000"/>
    <n v="0"/>
    <n v="42000000"/>
    <n v="0"/>
    <n v="0"/>
    <n v="0"/>
    <n v="0"/>
    <n v="0"/>
    <n v="53336155"/>
    <n v="53336155"/>
    <n v="0"/>
    <n v="0"/>
    <n v="0"/>
    <n v="0"/>
    <n v="0"/>
    <n v="0"/>
    <n v="0"/>
    <n v="0"/>
    <n v="0"/>
    <n v="2.2249999999999999E-2"/>
    <n v="1"/>
    <n v="0.25"/>
    <n v="0.30000001192092896"/>
    <n v="0.3"/>
    <n v="1"/>
    <n v="1"/>
    <n v="100"/>
    <n v="100"/>
    <n v="2.2250000000000002E-2"/>
    <n v="100"/>
    <n v="2.2250000000000002E-2"/>
    <n v="2.2249999999999999E-2"/>
    <n v="1"/>
    <n v="0.25"/>
    <n v="1"/>
    <n v="0"/>
    <n v="1"/>
    <n v="100"/>
    <n v="100"/>
    <n v="2.2250000000000002E-2"/>
    <n v="2.2250000000000002E-2"/>
    <n v="96000000"/>
    <n v="96000000"/>
    <n v="0"/>
    <n v="0"/>
    <n v="0"/>
    <n v="0"/>
    <n v="0"/>
    <n v="0"/>
    <n v="0"/>
    <n v="0"/>
    <n v="0"/>
    <n v="0"/>
    <n v="0"/>
    <n v="0"/>
    <n v="0"/>
    <n v="0"/>
    <n v="0"/>
    <n v="0"/>
    <n v="0"/>
    <n v="4"/>
    <n v="8.8999999999999996E-2"/>
    <n v="100"/>
    <n v="100"/>
    <n v="8.900000000000001E-2"/>
    <n v="8.8999999999999996E-2"/>
    <n v="8.8999999999999996E-2"/>
    <n v="1"/>
    <n v="0"/>
    <n v="623"/>
    <s v="100% ENTIDADES MEJORAN EL RESULTADO DE LA GESTIÓN CON HERRAMIENTAS GERENCIALES S Y E "/>
    <m/>
    <s v=""/>
    <m/>
    <m/>
    <m/>
    <m/>
    <s v="SE HA DADO CUMPLIMIENTO A LO ESTABLECIDO EN LOS ARTICULOS 12 Y 35 DE LA LEY 152/94, PREESTANDO EL APOYO ADMINISTRATIVO Y LOGISTICO INDISPENSABLE APRA EL FUNCIONAMIENTO DEL CONSEJO Y ADICIONALMENTE SE REALIZÓ EL 9° CONGRESO DEPTAL DE PLANEACIÓN CON LA ASISTENCIAS DE 161 PARTICIPANTES A LOS CUALES SE LES SUMINSITRO ALIMENTACIÓN, ALOJAMIENTO, TRASPORTE Y SE REALIZÓ LA GESTION PARA CONTAR CON LA PARTICIPACION DE CONFERENCIASTAS DE RECONOCIDA TRAYECTORIA EN LOS TEMAS SELECCIONADOS POR LOS CONSEJEROS, A SABER: ESQUEMAS ASOCIATIVOS, ORDENAMIENTO TERRIOTIRAL, SGR Y PAPEL DEL CONSEJERO TERRITORIAL."/>
    <n v="100000000"/>
    <m/>
    <n v="500"/>
  </r>
  <r>
    <n v="553"/>
    <x v="3"/>
    <x v="1"/>
    <x v="28"/>
    <s v="INSTANCIAS DE PARTICIPACIÓN INSTITUCIONAL"/>
    <s v="FORTALECER 117 CONSEJOS DE POLÍTICA SOCIAL UNO DEPARTAMENTAL Y 116 MUNICIPALES OPERANDO EFECTIVAMENTE CON SEGUIMIENTO EN LOS CUATRO AÑOS DE GOBIERNO"/>
    <s v="NO CONSEJOS DE POLÍTICA SOCIAL MUNICIPALES CUALIFICADOS, OPERANDO EFECTIVAMENTE CON SEGUIMIENTO"/>
    <s v="CONSEJOS"/>
    <s v="I"/>
    <n v="0"/>
    <n v="117"/>
    <n v="117"/>
    <n v="0.16500000000000001"/>
    <n v="4.2307692307692303E-2"/>
    <n v="30"/>
    <n v="0.25641025641025639"/>
    <n v="56"/>
    <n v="56"/>
    <n v="186.66666666666666"/>
    <n v="100"/>
    <n v="4.2307692307692296E-2"/>
    <n v="100"/>
    <n v="0"/>
    <n v="0"/>
    <n v="0"/>
    <n v="0"/>
    <n v="0"/>
    <n v="0"/>
    <n v="0"/>
    <n v="0"/>
    <n v="50000000"/>
    <n v="50000000"/>
    <n v="0"/>
    <n v="0"/>
    <n v="0"/>
    <n v="0"/>
    <n v="0"/>
    <n v="0"/>
    <n v="0"/>
    <n v="5000000"/>
    <s v="ASOCIACION MUNDIAL HOLDME"/>
    <n v="2.8205128205128206E-2"/>
    <n v="20"/>
    <n v="0.17094017094017094"/>
    <n v="35"/>
    <n v="35"/>
    <n v="175"/>
    <n v="100"/>
    <n v="2.8205128205128206E-2"/>
    <n v="100"/>
    <n v="13000000"/>
    <n v="0"/>
    <n v="13000000"/>
    <n v="0"/>
    <n v="0"/>
    <n v="0"/>
    <n v="0"/>
    <n v="0"/>
    <n v="13000000"/>
    <n v="13000000"/>
    <n v="0"/>
    <n v="0"/>
    <n v="0"/>
    <n v="0"/>
    <n v="0"/>
    <n v="0"/>
    <n v="0"/>
    <n v="0"/>
    <n v="0"/>
    <n v="3.5256410256410256E-2"/>
    <n v="25"/>
    <n v="0.21367521367521367"/>
    <n v="25"/>
    <n v="25"/>
    <n v="35"/>
    <n v="35"/>
    <n v="140"/>
    <n v="100"/>
    <n v="3.5256410256410256E-2"/>
    <n v="100"/>
    <n v="4.9358974358974364E-2"/>
    <n v="5.9230769230769233E-2"/>
    <n v="42"/>
    <n v="0.35897435897435898"/>
    <n v="40"/>
    <n v="2"/>
    <n v="40"/>
    <n v="95.238095238095241"/>
    <n v="95.238095238095241"/>
    <n v="5.6410256410256411E-2"/>
    <n v="5.6410256410256411E-2"/>
    <n v="30000000"/>
    <n v="30000000"/>
    <n v="0"/>
    <n v="0"/>
    <n v="0"/>
    <n v="0"/>
    <n v="0"/>
    <n v="0"/>
    <n v="0"/>
    <n v="0"/>
    <n v="0"/>
    <n v="0"/>
    <n v="0"/>
    <n v="0"/>
    <n v="0"/>
    <n v="0"/>
    <n v="0"/>
    <n v="0"/>
    <n v="0"/>
    <n v="166"/>
    <n v="0.16500000000000001"/>
    <n v="141.88034188034189"/>
    <n v="100"/>
    <n v="0.16500000000000001"/>
    <n v="0.16500000000000001"/>
    <n v="0.16500000000000001"/>
    <n v="1"/>
    <n v="0"/>
    <n v="9"/>
    <s v="FOMENTAR HABILIDADES Y DESTREZAS CON ACTIVIDADES LÚDICAS Y CULTURALES EN EL 15% DE LOS NIÑOS Y NIÑAS DE PRIMERA INFANCIA CADA AÑO"/>
    <n v="10"/>
    <s v="LOGRAR QUE LOS NIÑOS Y NIÑAS MENORES DE 6 AÑOS INFLUYAN EN LAS DECISIONES DEL CONSEJO DE POLÍTICA SOCIAL DEPARTAMENTAL COMO VOCEROS DE LOS NIÑOS ORGANIZADOS, ASISTIENDO AL 100% DE LAS REUNIONES"/>
    <n v="39"/>
    <n v="40"/>
    <n v="79"/>
    <n v="619"/>
    <s v="FORTALECIMIENTO A LOS PROCESOS DE GOBERNANZA EN LOS 116 MUNICIPIOS DE CUNDINAMARCA, A PARTIR DEL ACOMPAÑAMIENTO A LOS CONSEJOS MUNICIPALES DE POLÍTICA SOCIAL (COMPOS), CONFORMACIÓN Y ACOMPAÑAMIENTO A CONSEJOS CONSULTIVOS DE MUJERES, ACOMPAÑAMIENTO EN LA CONFORMACIÓN DE LAS PLATAFORMAS DE JUVENTUD, DISEÑO, ESTRUCTURACIÓN E IMPLEMENTACIÓN EN 2015 DE LAS ESCUELAS DE LIDERAZGO DE MUJER Y JUVENTUD, COMO ESPACIO PARA LA FORMACIÓN EN POLÍTICAS PÚBLICAS Y CONSTRUCCIÓN DE PAZ, CONSTRUCCIÓN DE MURALES DE PAZ (PROGRAMA JÓVENES CONSTRUCTORES DE PAZ) Y PUESTA EN FUNCIONAMIENTO DEL PRIMER APP VIRTUAL PARA EL FORTALECIMIENTO DE LOS CONSEJOS MUNICIPALES DE POLÍTICA SOCIAL. IGUALMENTE SE PRIORIZÓ LA ASISTENCIA TÉCNICA EN 40 MUNICIPIOS QUE PRESENTABAN NIVELES MEDIO-BAJO EN IMPLEMENTACIÓN DE ACCIONES DEL COMPOS."/>
    <n v="299000000"/>
    <m/>
    <n v="0"/>
  </r>
  <r>
    <n v="554"/>
    <x v="3"/>
    <x v="1"/>
    <x v="28"/>
    <s v="INSTANCIAS DE PARTICIPACIÓN INSTITUCIONAL"/>
    <s v="FOMENTAR LA PARTICIPACIÓN INCLUYENTE CON LA CREACIÓN DE 117 CONSEJOS CONSULTIVOS DE MUJER UNO DEPARTAMENTAL Y 116 MUNICIPALES INCIDIENDO Y OPERANDO EFECTIVAMENTE EN EL DESARROLLO EN LOS CUATRO AÑOS DE GOBIERNO"/>
    <s v="NO DE CONSEJOS CONSULTIVOS DE MUJER INCIDIENDO Y OPERANDO EFECTIVAMENTE"/>
    <s v="CONSEJOS"/>
    <s v="I"/>
    <n v="21"/>
    <n v="82"/>
    <n v="61"/>
    <n v="0.16500000000000001"/>
    <n v="0"/>
    <n v="0"/>
    <n v="0"/>
    <n v="11"/>
    <n v="11"/>
    <n v="0"/>
    <n v="0"/>
    <n v="0"/>
    <n v="100"/>
    <n v="10000000"/>
    <n v="10000000"/>
    <n v="0"/>
    <n v="0"/>
    <n v="0"/>
    <n v="0"/>
    <n v="0"/>
    <n v="0"/>
    <n v="0"/>
    <n v="0"/>
    <n v="0"/>
    <n v="0"/>
    <n v="0"/>
    <n v="0"/>
    <n v="0"/>
    <n v="0"/>
    <n v="0"/>
    <n v="0"/>
    <n v="0"/>
    <n v="2.7049180327868853E-2"/>
    <n v="10"/>
    <n v="0.16393442622950818"/>
    <n v="13"/>
    <n v="13"/>
    <n v="130"/>
    <n v="100"/>
    <n v="2.7049180327868853E-2"/>
    <n v="100"/>
    <n v="30000000"/>
    <n v="0"/>
    <n v="30000000"/>
    <n v="0"/>
    <n v="0"/>
    <n v="0"/>
    <n v="0"/>
    <n v="0"/>
    <n v="0"/>
    <n v="0"/>
    <n v="0"/>
    <n v="0"/>
    <n v="0"/>
    <n v="0"/>
    <n v="0"/>
    <n v="0"/>
    <n v="0"/>
    <n v="0"/>
    <n v="0"/>
    <n v="6.7622950819672137E-2"/>
    <n v="25"/>
    <n v="0.4098360655737705"/>
    <n v="12"/>
    <n v="12"/>
    <n v="63"/>
    <n v="63"/>
    <n v="252"/>
    <n v="100"/>
    <n v="6.7622950819672137E-2"/>
    <n v="100"/>
    <n v="0.17040983606557381"/>
    <n v="7.0327868852459022E-2"/>
    <n v="26"/>
    <n v="0.42622950819672129"/>
    <n v="26"/>
    <n v="0"/>
    <n v="26"/>
    <n v="100"/>
    <n v="100"/>
    <n v="7.0327868852459022E-2"/>
    <n v="7.0327868852459022E-2"/>
    <n v="0"/>
    <n v="0"/>
    <n v="0"/>
    <n v="0"/>
    <n v="0"/>
    <n v="0"/>
    <n v="0"/>
    <n v="0"/>
    <n v="0"/>
    <n v="0"/>
    <n v="0"/>
    <n v="0"/>
    <n v="0"/>
    <n v="0"/>
    <n v="0"/>
    <n v="0"/>
    <n v="0"/>
    <n v="0"/>
    <n v="0"/>
    <n v="113"/>
    <n v="0.16500000000000001"/>
    <n v="185.24590163934425"/>
    <n v="100"/>
    <n v="0.16500000000000001"/>
    <n v="0.16500000000000001"/>
    <n v="0.16500000000000001"/>
    <n v="1"/>
    <n v="0"/>
    <n v="619"/>
    <s v="LA INSTITUCIÓN DEPARTAMENTAL, LOS GOBIERNOS TERRITORIALES Y LA COMUNIDAD INVOLUCRAN AL 100% DE LAS DIFERENTES INSTANCIAS DE PARTICIPACIÓN EN EL DESARROLLO DE SUS PROGRAMAS Y PROYECTOS GENERANDO CORRESPONSABILIDAD CON PARTICIPACIÓN REAL Y ACTIVA."/>
    <m/>
    <s v=""/>
    <m/>
    <m/>
    <m/>
    <m/>
    <s v="FORTALECIMIENTO A LOS PROCESOS DE PARTICIPACIÓN DE MUJERES Y GOBERNANZA LOCAL CON LA CONFORMACIÓN, ACOMPAÑAMIENTO Y SEGUIMIENTO DE 116 CONSEJOS CONSULTIVOS MUNICIPALES Y 89 CONSEJOS CONSULTIVOS DE MUJERES CONFORMADOS. "/>
    <n v="699000000"/>
    <m/>
    <n v="116"/>
  </r>
  <r>
    <n v="555"/>
    <x v="3"/>
    <x v="2"/>
    <x v="28"/>
    <s v="VEEDURIAS CIUDADANAS Y MECANISMOS DE PARTICIPACIÓN SOCIAL EN SALUD"/>
    <s v="FOMENTAR EN EL 100% DE MUNICIPIOS LA CREACIÓN DE VEEDURÍAS CIUDADANAS QUE FOMENTEN EL CONTROL Y PARTICIPACIÓN SOCIAL, INSTRUMENTO REAL Y EFECTIVO QUE EJERCE VIGILANCIA Y CONTROL DURANTE EL PERIODO DE GOBIERNO "/>
    <s v="NO. DE MUNICIPIOS CON TRANSFERENCIAS TÉCNICAS Y LOGÍSTICAS"/>
    <s v="MUNICIPIOS"/>
    <s v="I"/>
    <n v="0"/>
    <n v="101"/>
    <n v="101"/>
    <n v="0.16500000000000001"/>
    <n v="0"/>
    <n v="0"/>
    <n v="0"/>
    <n v="31"/>
    <n v="31"/>
    <n v="0"/>
    <n v="0"/>
    <n v="0"/>
    <n v="100"/>
    <n v="0"/>
    <n v="0"/>
    <n v="0"/>
    <n v="0"/>
    <n v="0"/>
    <n v="0"/>
    <n v="0"/>
    <n v="0"/>
    <n v="0"/>
    <n v="0"/>
    <n v="0"/>
    <n v="0"/>
    <n v="0"/>
    <n v="0"/>
    <n v="0"/>
    <n v="0"/>
    <n v="0"/>
    <n v="0"/>
    <n v="0"/>
    <n v="6.2079207920792086E-2"/>
    <n v="38"/>
    <n v="0.37623762376237624"/>
    <n v="38"/>
    <n v="38"/>
    <n v="100"/>
    <n v="100"/>
    <n v="6.2079207920792093E-2"/>
    <n v="100"/>
    <n v="0"/>
    <n v="0"/>
    <n v="0"/>
    <n v="0"/>
    <n v="0"/>
    <n v="0"/>
    <n v="0"/>
    <n v="0"/>
    <n v="0"/>
    <n v="0"/>
    <n v="0"/>
    <n v="0"/>
    <n v="0"/>
    <n v="0"/>
    <n v="0"/>
    <n v="0"/>
    <n v="0"/>
    <n v="0"/>
    <n v="0"/>
    <n v="6.2079207920792086E-2"/>
    <n v="38"/>
    <n v="0.37623762376237624"/>
    <n v="0"/>
    <n v="0"/>
    <n v="0"/>
    <n v="0"/>
    <n v="0"/>
    <n v="0"/>
    <n v="0"/>
    <n v="0"/>
    <n v="0"/>
    <n v="4.0841584158415843E-2"/>
    <n v="25"/>
    <n v="0.24752475247524752"/>
    <n v="0"/>
    <n v="25"/>
    <n v="0"/>
    <n v="0"/>
    <n v="0"/>
    <n v="0"/>
    <n v="0"/>
    <n v="0"/>
    <n v="0"/>
    <n v="0"/>
    <n v="0"/>
    <n v="0"/>
    <n v="0"/>
    <n v="0"/>
    <n v="0"/>
    <n v="0"/>
    <n v="0"/>
    <n v="0"/>
    <n v="0"/>
    <n v="0"/>
    <n v="0"/>
    <n v="0"/>
    <n v="0"/>
    <n v="0"/>
    <n v="0"/>
    <n v="0"/>
    <n v="69"/>
    <n v="0.16500000000000001"/>
    <n v="68.316831683168317"/>
    <n v="68.316831683168317"/>
    <n v="0.11272277227722773"/>
    <n v="0.11272277227722773"/>
    <n v="0.11272277227722773"/>
    <n v="1"/>
    <n v="0"/>
    <n v="619"/>
    <s v="LA INSTITUCIÓN DEPARTAMENTAL, LOS GOBIERNOS TERRITORIALES Y LA COMUNIDAD INVOLUCRAN AL 100% DE LAS DIFERENTES INSTANCIAS DE PARTICIPACIÓN EN EL DESARROLLO DE SUS PROGRAMAS Y PROYECTOS GENERANDO CORRESPONSABILIDAD CON PARTICIPACIÓN REAL Y ACTIVA."/>
    <m/>
    <s v=""/>
    <m/>
    <m/>
    <m/>
    <m/>
    <s v=""/>
    <n v="275000000"/>
    <m/>
    <n v="500"/>
  </r>
  <r>
    <n v="556"/>
    <x v="3"/>
    <x v="2"/>
    <x v="28"/>
    <s v="VEEDURIAS CIUDADANAS Y MECANISMOS DE PARTICIPACIÓN SOCIAL EN SALUD"/>
    <s v="FOMENTAR EN EL 100% DE MUNICIPIOS LA CREACIÓN DE VEEDURÍAS CIUDADANAS QUE FOMENTEN EL CONTROL Y PARTICIPACIÓN SOCIAL, INSTRUMENTO REAL Y EFECTIVO QUE EJERCE VIGILANCIA Y CONTROL DURANTE EL PERIODO DE GOBIERNO "/>
    <s v="NO DE PROYECTOS, PROGRAMAS Y OBRAS CON VEEDURÍA CIUDADANA "/>
    <s v="OBRAS"/>
    <s v="I"/>
    <n v="0"/>
    <n v="78"/>
    <n v="78"/>
    <n v="0.16500000000000001"/>
    <n v="0"/>
    <n v="0"/>
    <n v="0"/>
    <n v="0"/>
    <n v="0"/>
    <n v="0"/>
    <n v="0"/>
    <n v="0"/>
    <n v="0"/>
    <n v="50000000"/>
    <n v="50000000"/>
    <n v="0"/>
    <n v="0"/>
    <n v="0"/>
    <n v="0"/>
    <n v="0"/>
    <n v="0"/>
    <n v="0"/>
    <n v="0"/>
    <n v="0"/>
    <n v="0"/>
    <n v="0"/>
    <n v="0"/>
    <n v="0"/>
    <n v="0"/>
    <n v="0"/>
    <n v="0"/>
    <n v="0"/>
    <n v="5.2884615384615391E-2"/>
    <n v="25"/>
    <n v="0.32051282051282054"/>
    <n v="303"/>
    <n v="303"/>
    <n v="1212"/>
    <n v="100"/>
    <n v="5.2884615384615391E-2"/>
    <n v="100"/>
    <n v="0"/>
    <n v="0"/>
    <n v="0"/>
    <n v="0"/>
    <n v="0"/>
    <n v="0"/>
    <n v="0"/>
    <n v="0"/>
    <n v="0"/>
    <n v="0"/>
    <n v="0"/>
    <n v="0"/>
    <n v="0"/>
    <n v="0"/>
    <n v="0"/>
    <n v="0"/>
    <n v="0"/>
    <n v="0"/>
    <n v="0"/>
    <n v="5.2884615384615391E-2"/>
    <n v="25"/>
    <n v="0.32051282051282054"/>
    <n v="283"/>
    <n v="283"/>
    <n v="453"/>
    <n v="453"/>
    <n v="1812"/>
    <n v="100"/>
    <n v="5.2884615384615391E-2"/>
    <n v="100"/>
    <n v="0.95826923076923098"/>
    <n v="5.9230769230769233E-2"/>
    <n v="28"/>
    <n v="0.35897435897435898"/>
    <n v="0"/>
    <n v="28"/>
    <n v="0"/>
    <n v="0"/>
    <n v="0"/>
    <n v="0"/>
    <n v="0"/>
    <n v="0"/>
    <n v="0"/>
    <n v="0"/>
    <n v="0"/>
    <n v="0"/>
    <n v="0"/>
    <n v="0"/>
    <n v="0"/>
    <n v="0"/>
    <n v="0"/>
    <n v="0"/>
    <n v="0"/>
    <n v="0"/>
    <n v="0"/>
    <n v="0"/>
    <n v="0"/>
    <n v="0"/>
    <n v="0"/>
    <n v="0"/>
    <n v="756"/>
    <n v="0.16500000000000001"/>
    <n v="969.23076923076928"/>
    <n v="100"/>
    <n v="0.16500000000000001"/>
    <n v="0.16500000000000001"/>
    <n v="0.16500000000000001"/>
    <n v="1"/>
    <n v="0"/>
    <n v="619"/>
    <s v="LA INSTITUCIÓN DEPARTAMENTAL, LOS GOBIERNOS TERRITORIALES Y LA COMUNIDAD INVOLUCRAN AL 100% DE LAS DIFERENTES INSTANCIAS DE PARTICIPACIÓN EN EL DESARROLLO DE SUS PROGRAMAS Y PROYECTOS GENERANDO CORRESPONSABILIDAD CON PARTICIPACIÓN REAL Y ACTIVA."/>
    <m/>
    <s v=""/>
    <m/>
    <m/>
    <m/>
    <m/>
    <s v="CREACION Y FORMACION DE VEEDURIAS CIUDADANAS EN LAS 15 PROVINICAS DEL DEPARTMENTO"/>
    <n v="30000000"/>
    <m/>
    <n v="1"/>
  </r>
  <r>
    <n v="557"/>
    <x v="3"/>
    <x v="0"/>
    <x v="28"/>
    <s v="VEEDURIAS CIUDADANAS Y MECANISMOS DE PARTICIPACIÓN SOCIAL EN SALUD"/>
    <s v="PROMOVER ACCIONES QUE PERMITAN AUMENTAR AL 100%(276) EL NÚMERO DE MECANISMOS DE PARTICIPACIÓN SOCIAL Y DEFENSORÍA DEL USUARIO CONFORMADOS Y FUNCIONANDO EN EL DEPARTAMENTO EN LOS CUATRO AÑOS DE GOBIERNO"/>
    <s v="NUMERO DE MECANISMOS DE PARTICIPACIÓN CREADOS Y FUNCIONANDO."/>
    <s v="MECANISMOS DE PARTICIPACION"/>
    <s v="I"/>
    <n v="0"/>
    <n v="276"/>
    <n v="276"/>
    <n v="0.16500000000000001"/>
    <n v="3.2282608695652179E-2"/>
    <n v="54"/>
    <n v="0.19565217391304349"/>
    <n v="91"/>
    <n v="91"/>
    <n v="168.5185185185185"/>
    <n v="100"/>
    <n v="3.2282608695652179E-2"/>
    <n v="100"/>
    <n v="399000000"/>
    <n v="399000000"/>
    <n v="0"/>
    <n v="0"/>
    <n v="0"/>
    <n v="0"/>
    <n v="0"/>
    <n v="0"/>
    <n v="314200000"/>
    <n v="314200000"/>
    <n v="0"/>
    <n v="0"/>
    <n v="0"/>
    <n v="0"/>
    <n v="0"/>
    <n v="0"/>
    <n v="0"/>
    <n v="0"/>
    <n v="0"/>
    <n v="4.1250000000000002E-2"/>
    <n v="69"/>
    <n v="0.25"/>
    <n v="109"/>
    <n v="109"/>
    <n v="157.97101449275362"/>
    <n v="100"/>
    <n v="4.1250000000000002E-2"/>
    <n v="100"/>
    <n v="210000000"/>
    <n v="0"/>
    <n v="210000000"/>
    <n v="0"/>
    <n v="0"/>
    <n v="0"/>
    <n v="0"/>
    <n v="0"/>
    <n v="123894979"/>
    <n v="123894979"/>
    <n v="0"/>
    <n v="0"/>
    <n v="0"/>
    <n v="0"/>
    <n v="0"/>
    <n v="0"/>
    <n v="0"/>
    <n v="0"/>
    <n v="0"/>
    <n v="1.1956521739130435E-2"/>
    <n v="20"/>
    <n v="7.2463768115942032E-2"/>
    <n v="6"/>
    <n v="6"/>
    <n v="20"/>
    <n v="20"/>
    <n v="100"/>
    <n v="100"/>
    <n v="1.1956521739130435E-2"/>
    <n v="100"/>
    <n v="1.1956521739130435E-2"/>
    <n v="7.9510869565217385E-2"/>
    <n v="133"/>
    <n v="0.48188405797101447"/>
    <n v="71"/>
    <n v="62"/>
    <n v="71"/>
    <n v="53.383458646616539"/>
    <n v="53.383458646616539"/>
    <n v="4.2445652173913037E-2"/>
    <n v="4.2445652173913037E-2"/>
    <n v="485000000"/>
    <n v="485000000"/>
    <n v="0"/>
    <n v="0"/>
    <n v="0"/>
    <n v="0"/>
    <n v="0"/>
    <n v="0"/>
    <n v="0"/>
    <n v="0"/>
    <n v="0"/>
    <n v="0"/>
    <n v="0"/>
    <n v="0"/>
    <n v="0"/>
    <n v="0"/>
    <n v="0"/>
    <n v="0"/>
    <n v="0"/>
    <n v="291"/>
    <n v="0.16499999999999998"/>
    <n v="105.43478260869566"/>
    <n v="100"/>
    <n v="0.16500000000000001"/>
    <n v="0.16500000000000001"/>
    <n v="0.16500000000000001"/>
    <n v="1"/>
    <n v="0"/>
    <n v="619"/>
    <s v="LA INSTITUCIÓN DEPARTAMENTAL, LOS GOBIERNOS TERRITORIALES Y LA COMUNIDAD INVOLUCRAN AL 100% DE LAS DIFERENTES INSTANCIAS DE PARTICIPACIÓN EN EL DESARROLLO DE SUS PROGRAMAS Y PROYECTOS GENERANDO CORRESPONSABILIDAD CON PARTICIPACIÓN REAL Y ACTIVA."/>
    <m/>
    <s v=""/>
    <m/>
    <m/>
    <m/>
    <m/>
    <s v="NO ES DE SALUD"/>
    <n v="0"/>
    <m/>
    <n v="2"/>
  </r>
  <r>
    <n v="558"/>
    <x v="3"/>
    <x v="7"/>
    <x v="28"/>
    <s v="INSTANCIAS DE PARTICIPACIÓN EN ORGANIZACIONES COMUNITARIAS"/>
    <s v="REALIZAR 116 OBRAS Y/O SERVICIOS SOCIOECONÓMICOS DE INNOVACIÓN PARA EL DESARROLLO COMUNITARIO Y LOCAL, DURANTE EL PERIODO DE GOBIERNO EN LOS MUNICIPIOS "/>
    <s v="NO DE OBRAS Y SERVICIOS SOCIOECONÓMICOS DE INNOVACIÓN PARA EL DESARROLLO COMUNITARIO Y LOCAL, DURANTE EL PERIODO DE GOBIERNO"/>
    <s v="OBRAS"/>
    <s v="I"/>
    <n v="0"/>
    <n v="116"/>
    <n v="116"/>
    <n v="0.16500000000000001"/>
    <n v="1.4224137931034485E-2"/>
    <n v="10"/>
    <n v="8.6206896551724144E-2"/>
    <n v="53"/>
    <n v="53"/>
    <n v="530"/>
    <n v="100"/>
    <n v="1.4224137931034487E-2"/>
    <n v="100"/>
    <n v="1600000000"/>
    <n v="1600000000"/>
    <n v="0"/>
    <n v="0"/>
    <n v="0"/>
    <n v="0"/>
    <n v="0"/>
    <n v="0"/>
    <n v="2447142000"/>
    <n v="2447142000"/>
    <n v="0"/>
    <n v="0"/>
    <n v="0"/>
    <n v="0"/>
    <n v="0"/>
    <n v="0"/>
    <n v="0"/>
    <n v="0"/>
    <n v="0"/>
    <n v="7.1120689655172417E-2"/>
    <n v="50"/>
    <n v="0.43103448275862066"/>
    <n v="52"/>
    <n v="52"/>
    <n v="104"/>
    <n v="100"/>
    <n v="7.1120689655172417E-2"/>
    <n v="100"/>
    <n v="1350000000"/>
    <n v="0"/>
    <n v="1350000000"/>
    <n v="0"/>
    <n v="0"/>
    <n v="0"/>
    <n v="0"/>
    <n v="0"/>
    <n v="5048799127"/>
    <n v="5048799127"/>
    <n v="0"/>
    <n v="0"/>
    <n v="0"/>
    <n v="0"/>
    <n v="0"/>
    <n v="0"/>
    <n v="0"/>
    <n v="19732143"/>
    <s v="Municipios: Facatativà, Chipaque"/>
    <n v="6.4008620689655168E-2"/>
    <n v="45"/>
    <n v="0.38793103448275862"/>
    <n v="0"/>
    <n v="0"/>
    <n v="87"/>
    <n v="87"/>
    <n v="193.33333333333334"/>
    <n v="100"/>
    <n v="6.4008620689655168E-2"/>
    <n v="100"/>
    <n v="0.12375"/>
    <n v="1.5646551724137932E-2"/>
    <n v="11"/>
    <n v="9.4827586206896547E-2"/>
    <n v="122"/>
    <n v="-111"/>
    <n v="122"/>
    <n v="1109.090909090909"/>
    <n v="100"/>
    <n v="1.5646551724137932E-2"/>
    <n v="0.17353448275862068"/>
    <n v="3116000000"/>
    <n v="3116000000"/>
    <n v="0"/>
    <n v="0"/>
    <n v="0"/>
    <n v="0"/>
    <n v="0"/>
    <n v="0"/>
    <n v="0"/>
    <n v="0"/>
    <n v="0"/>
    <n v="0"/>
    <n v="0"/>
    <n v="0"/>
    <n v="0"/>
    <n v="0"/>
    <n v="0"/>
    <n v="0"/>
    <n v="0"/>
    <n v="314"/>
    <n v="0.16499999999999998"/>
    <n v="270.68965517241378"/>
    <n v="100"/>
    <n v="0.16500000000000001"/>
    <n v="0.16500000000000001"/>
    <n v="0.16500000000000001"/>
    <n v="1"/>
    <n v="0"/>
    <n v="619"/>
    <s v="LA INSTITUCIÓN DEPARTAMENTAL, LOS GOBIERNOS TERRITORIALES Y LA COMUNIDAD INVOLUCRAN AL 100% DE LAS DIFERENTES INSTANCIAS DE PARTICIPACIÓN EN EL DESARROLLO DE SUS PROGRAMAS Y PROYECTOS GENERANDO CORRESPONSABILIDAD CON PARTICIPACIÓN REAL Y ACTIVA."/>
    <m/>
    <s v=""/>
    <m/>
    <m/>
    <m/>
    <m/>
    <s v="SE HA CONTRATADO LA EJECUCIÓN DE 314 OBRAS DENTRO DE LAS QUE SE DESTACAN: PLACAS HUELLA, PLACAS DE POLIDEPORTIVOS, CANCHAS MÚLTIPLES, ANDENES, PLACA SENDERO Y ADECUACIÓN DE SALONES COMUNALES. ESTAS OBRAS Y SERVICIOS SOCIOECONÓMICOS DE INNOVACIÓN BENEFICIAN A COMUNIDADES Y PROMUEVEN EL DESARROLLO COMUNITARIO Y LOCAL. SE REALIZARON VISITAS DE INSPECCIÓN, ASESORÍA, ASISTENCIA TÉCNICA Y JURÍDICA A ORGANIZACIONES COMUNALES FAVORECIDAS CON OBRAS Y/O SERVICIOS SOCIOECONÓMICOS PARA ASEGURAR QUE SE SURTIERAN LAS ETAPAS DE VIABILIZACIÓN, DOCUMENTACIÓN REQUERIDA, FIRMA DEL CONVENIO, LEGALIZACIÓN DEL CONVENIO, FIRMA DEL ACTA DE INICIO. SE GESTINÓ RECURSOS PARA LA EJECUCION DE 78 OBRAS PLACAS HUELLA A TRAVÉS DE FIRMA DE CONVENIO CON EL DEPARTAMENTO PARA LA PROSPERIDAD SOCIAL. "/>
    <n v="68000000"/>
    <m/>
    <n v="25000"/>
  </r>
  <r>
    <n v="559"/>
    <x v="3"/>
    <x v="7"/>
    <x v="28"/>
    <s v="INSTANCIAS DE PARTICIPACIÓN EN ORGANIZACIONES COMUNITARIAS"/>
    <s v="LOGRAR 60 MUNICIPIOS MÁS AMABLES CON TRABAJO COMUNITARIO PARA EL EMBELLECIMIENTO DEL ENTORNO QUE HABITAN, DURANTE EL PERIODO DE GOBIERNO"/>
    <s v="NO MUNICIPIOS MÁS AMABLES EN ENTORNO "/>
    <s v="MUNICIPIOS"/>
    <s v="I"/>
    <n v="0"/>
    <n v="60"/>
    <n v="60"/>
    <n v="0.25"/>
    <n v="6.25E-2"/>
    <n v="15"/>
    <n v="0.25"/>
    <n v="21"/>
    <n v="21"/>
    <n v="140"/>
    <n v="100"/>
    <n v="6.25E-2"/>
    <n v="100"/>
    <n v="934000000"/>
    <n v="934000000"/>
    <n v="0"/>
    <n v="0"/>
    <n v="0"/>
    <n v="0"/>
    <n v="0"/>
    <n v="0"/>
    <n v="932500000"/>
    <n v="932500000"/>
    <n v="0"/>
    <n v="0"/>
    <n v="0"/>
    <n v="0"/>
    <n v="0"/>
    <n v="0"/>
    <n v="0"/>
    <n v="0"/>
    <n v="0"/>
    <n v="0.1875"/>
    <n v="45"/>
    <n v="0.75"/>
    <n v="32"/>
    <n v="32"/>
    <n v="71.111111111111114"/>
    <n v="71.111111111111114"/>
    <n v="0.13333333333333333"/>
    <n v="71.111111111111114"/>
    <n v="2000000000"/>
    <n v="0"/>
    <n v="2000000000"/>
    <n v="0"/>
    <n v="0"/>
    <n v="0"/>
    <n v="0"/>
    <n v="0"/>
    <n v="2266670201"/>
    <n v="2266670201"/>
    <n v="0"/>
    <n v="0"/>
    <n v="0"/>
    <n v="0"/>
    <n v="0"/>
    <n v="0"/>
    <n v="0"/>
    <n v="294670000"/>
    <s v="Fundaciòn FUNDIR, Jovenes Constructores de Paz, Municipio San antonio del Tequendama_x000a_Pintuco a través de la Fundación Mundial realizó una donación de 3.050 galones de pintura para el desarrollo de esta meta. "/>
    <n v="0"/>
    <n v="0"/>
    <n v="0"/>
    <n v="0"/>
    <n v="0"/>
    <n v="21"/>
    <n v="21"/>
    <n v="0"/>
    <n v="0"/>
    <n v="0"/>
    <n v="0"/>
    <n v="0"/>
    <n v="0"/>
    <n v="0"/>
    <n v="0"/>
    <n v="0"/>
    <n v="0"/>
    <n v="0"/>
    <n v="0"/>
    <n v="0"/>
    <n v="0"/>
    <n v="0"/>
    <n v="0"/>
    <n v="0"/>
    <n v="0"/>
    <n v="0"/>
    <n v="0"/>
    <n v="0"/>
    <n v="0"/>
    <n v="0"/>
    <n v="0"/>
    <n v="0"/>
    <n v="0"/>
    <n v="0"/>
    <n v="0"/>
    <n v="0"/>
    <n v="0"/>
    <n v="0"/>
    <n v="0"/>
    <n v="0"/>
    <n v="0"/>
    <n v="74"/>
    <n v="0.25"/>
    <n v="123.33333333333333"/>
    <n v="100"/>
    <n v="0.25"/>
    <n v="0.25"/>
    <n v="0.25"/>
    <n v="1"/>
    <n v="0"/>
    <n v="619"/>
    <s v="LA INSTITUCIÓN DEPARTAMENTAL, LOS GOBIERNOS TERRITORIALES Y LA COMUNIDAD INVOLUCRAN AL 100% DE LAS DIFERENTES INSTANCIAS DE PARTICIPACIÓN EN EL DESARROLLO DE SUS PROGRAMAS Y PROYECTOS GENERANDO CORRESPONSABILIDAD CON PARTICIPACIÓN REAL Y ACTIVA."/>
    <m/>
    <s v=""/>
    <m/>
    <m/>
    <m/>
    <m/>
    <s v="SE ENTREGARON 74 MUNICIPIOS Y CENTROS POBLADOS MÁS AMABLES CON EMBELLECIMIENTO DEL ENTORNO, LOGRANDO CON EL IMPULSO DE ACCIONES PARTICIPATIVAS DE LA COMUNIDAD, GENERAR VALORES COMO EL RESPETO, LA TOLERANCIA, EL TRABAJO EN EQUIPO, LA CONVIVENCIA Y LA SOLIDARIDAD. A TRAVÉS DEL COMPONENTE SOCIAL DEL PROYECTO, SE LOGRÓ LA RECONSTRUCCIÓN DEL TEJIDO SOCIAL, PROMOVIENDO UNA PARTICIPACIÓN CIUDADANA Y COMUNITARIA, LOGRANDO LA CONVIVENCIA, INTEGRACIÓN, ARMONÍA Y MEJORAMIENTO DE LA CALIDAD DE VIDA."/>
    <n v="36000000"/>
    <m/>
    <n v="10"/>
  </r>
  <r>
    <n v="560"/>
    <x v="3"/>
    <x v="7"/>
    <x v="28"/>
    <s v="INSTANCIAS DE PARTICIPACIÓN EN ORGANIZACIONES COMUNITARIAS"/>
    <s v="APOYAR 2000 ORGANIZACIONES COMUNITARIAS EN ADMINISTRACIÓN Y GESTIÓN COMUNAL DURANTE EL PERIODO DEL GOBIERNO"/>
    <s v="NO ORGANIZACIONES FORTALECIDAS EN ADMINISTRACIÓN Y GESTIÓN COMUNAL"/>
    <s v="ORGANIZACIONES"/>
    <s v="I"/>
    <n v="257"/>
    <n v="2257"/>
    <n v="2000"/>
    <n v="0.25"/>
    <n v="2.5000000000000001E-2"/>
    <n v="200"/>
    <n v="0.1"/>
    <n v="1581"/>
    <n v="1581"/>
    <n v="790.5"/>
    <n v="100"/>
    <n v="2.5000000000000001E-2"/>
    <n v="100"/>
    <n v="1249000000"/>
    <n v="1249000000"/>
    <n v="0"/>
    <n v="0"/>
    <n v="0"/>
    <n v="0"/>
    <n v="0"/>
    <n v="0"/>
    <n v="166885000"/>
    <n v="166885000"/>
    <n v="0"/>
    <n v="0"/>
    <n v="0"/>
    <n v="0"/>
    <n v="0"/>
    <n v="0"/>
    <n v="0"/>
    <n v="0"/>
    <n v="0"/>
    <n v="0.05"/>
    <n v="400"/>
    <n v="0.2"/>
    <n v="1324"/>
    <n v="1324"/>
    <n v="331"/>
    <n v="100"/>
    <n v="0.05"/>
    <n v="100"/>
    <n v="191000000"/>
    <n v="0"/>
    <n v="191000000"/>
    <n v="0"/>
    <n v="0"/>
    <n v="0"/>
    <n v="0"/>
    <n v="0"/>
    <n v="1648891558"/>
    <n v="1648891558"/>
    <n v="0"/>
    <n v="0"/>
    <n v="0"/>
    <n v="0"/>
    <n v="0"/>
    <n v="0"/>
    <n v="0"/>
    <n v="131752000"/>
    <s v="Municipios: Cajicà, Girardot, Bituima, Madrid, Chipaque, Suesca"/>
    <n v="9.375E-2"/>
    <n v="750"/>
    <n v="0.375"/>
    <n v="413"/>
    <n v="413"/>
    <n v="762"/>
    <n v="762"/>
    <n v="101.6"/>
    <n v="100"/>
    <n v="9.375E-2"/>
    <n v="100"/>
    <n v="9.5249999999999987E-2"/>
    <n v="8.1250000000000003E-2"/>
    <n v="650"/>
    <n v="0.32500000000000001"/>
    <n v="694"/>
    <n v="-44"/>
    <n v="694"/>
    <n v="106.76923076923077"/>
    <n v="100"/>
    <n v="8.1250000000000003E-2"/>
    <n v="8.6750000000000008E-2"/>
    <n v="441000000"/>
    <n v="441000000"/>
    <n v="0"/>
    <n v="0"/>
    <n v="0"/>
    <n v="0"/>
    <n v="0"/>
    <n v="0"/>
    <n v="0"/>
    <n v="0"/>
    <n v="0"/>
    <n v="0"/>
    <n v="0"/>
    <n v="0"/>
    <n v="0"/>
    <n v="0"/>
    <n v="0"/>
    <n v="0"/>
    <n v="0"/>
    <n v="4361"/>
    <n v="0.25"/>
    <n v="218.05"/>
    <n v="100"/>
    <n v="0.25"/>
    <n v="0.25"/>
    <n v="0.25"/>
    <n v="1"/>
    <n v="0"/>
    <n v="619"/>
    <s v="LA INSTITUCIÓN DEPARTAMENTAL, LOS GOBIERNOS TERRITORIALES Y LA COMUNIDAD INVOLUCRAN AL 100% DE LAS DIFERENTES INSTANCIAS DE PARTICIPACIÓN EN EL DESARROLLO DE SUS PROGRAMAS Y PROYECTOS GENERANDO CORRESPONSABILIDAD CON PARTICIPACIÓN REAL Y ACTIVA."/>
    <m/>
    <s v=""/>
    <m/>
    <m/>
    <m/>
    <m/>
    <s v="SE APOYARON MAS DE 4.300 ORGANIZACIONES COMUNALES GENERÁNDOLES CAPACIDADES DE GESTIÓN Y ADMINISTRACIÓN. SE ADELANTÓ LA CAPACITACIÓN EN TEMAS COMUNALES, ASISTENCIA A PLENARIAS, DILIGENCIAS DE LEGALIZACIÓN DE COMODATOS, EVENTOS DE INTEGRACIÓN Y VISITAS ADMINISTRATIVAS A ORGANISMOS COMUNALES EN LAS QUE SE LES BRINDÓ ASESORÍA, CAPACITACIÓN, ACOMPAÑAMIENTO Y HERRAMIENTAS EN ADMINISTRACIÓN Y GESTIÓN COMUNAL. ADEMÁS SE REALIZÓ LA DOTACIÓN, A TRAVÉS DE COMODATOS, DE MOBILIARIO Y EQUIPOS A ORGANIZACIONES COMUNALES CON EL FIN DE BRINDAR HERRAMIENTAS QUE FACILITAN EL DESARROLLO DE LA PARTICIPACIÓN COMUNITARIA Y CIUDADANA."/>
    <n v="20000000"/>
    <m/>
    <n v="1"/>
  </r>
  <r>
    <n v="561"/>
    <x v="3"/>
    <x v="7"/>
    <x v="28"/>
    <s v="INSTANCIAS DE PARTICIPACIÓN EN ORGANIZACIONES COMUNITARIAS"/>
    <s v="FORTALECER 2000 ORGANIZACIONES COMUNITARIAS EN PARTICIPACIÓN E INCLUSIÓN CON DINÁMICAS DE INTEGRACIÓN Y COMUNICACIÓN."/>
    <s v="NO ORGANIZACIONES FORTALECIDAS EN PARTICIPACIÓN E INCLUSIÓN CON DINÁMICAS DE INTEGRACIÓN Y COMUNICACIÓN."/>
    <s v="ORGANIZACIONES"/>
    <s v="I"/>
    <n v="0"/>
    <n v="2000"/>
    <n v="2000"/>
    <n v="0.16500000000000001"/>
    <n v="8.2500000000000004E-3"/>
    <n v="100"/>
    <n v="0.05"/>
    <n v="1380"/>
    <n v="1380"/>
    <n v="1380"/>
    <n v="100"/>
    <n v="8.2500000000000004E-3"/>
    <n v="100"/>
    <n v="115000000"/>
    <n v="115000000"/>
    <n v="0"/>
    <n v="0"/>
    <n v="0"/>
    <n v="0"/>
    <n v="0"/>
    <n v="0"/>
    <n v="1046408000"/>
    <n v="1046408000"/>
    <n v="0"/>
    <n v="0"/>
    <n v="0"/>
    <n v="0"/>
    <n v="0"/>
    <n v="0"/>
    <n v="0"/>
    <n v="0"/>
    <n v="0"/>
    <n v="7.425000000000001E-2"/>
    <n v="900"/>
    <n v="0.45"/>
    <n v="1287"/>
    <n v="1287"/>
    <n v="143"/>
    <n v="100"/>
    <n v="7.425000000000001E-2"/>
    <n v="100"/>
    <n v="0"/>
    <n v="0"/>
    <n v="0"/>
    <n v="0"/>
    <n v="0"/>
    <n v="0"/>
    <n v="0"/>
    <n v="0"/>
    <n v="106526040"/>
    <n v="106526040"/>
    <n v="0"/>
    <n v="0"/>
    <n v="0"/>
    <n v="0"/>
    <n v="0"/>
    <n v="0"/>
    <n v="0"/>
    <n v="0"/>
    <n v="0"/>
    <n v="6.6000000000000003E-2"/>
    <n v="800"/>
    <n v="0.4"/>
    <n v="832"/>
    <n v="832"/>
    <n v="1406"/>
    <n v="1406"/>
    <n v="175.75"/>
    <n v="100"/>
    <n v="6.6000000000000003E-2"/>
    <n v="100"/>
    <n v="0.11599500000000001"/>
    <n v="1.6500000000000001E-2"/>
    <n v="200"/>
    <n v="0.1"/>
    <n v="458"/>
    <n v="-258"/>
    <n v="458"/>
    <n v="229"/>
    <n v="100"/>
    <n v="1.6500000000000001E-2"/>
    <n v="3.7784999999999999E-2"/>
    <n v="0"/>
    <n v="0"/>
    <n v="0"/>
    <n v="0"/>
    <n v="0"/>
    <n v="0"/>
    <n v="0"/>
    <n v="0"/>
    <n v="0"/>
    <n v="0"/>
    <n v="0"/>
    <n v="0"/>
    <n v="0"/>
    <n v="0"/>
    <n v="0"/>
    <n v="0"/>
    <n v="0"/>
    <n v="0"/>
    <n v="0"/>
    <n v="4531"/>
    <n v="0.16500000000000004"/>
    <n v="226.55"/>
    <n v="100"/>
    <n v="0.16500000000000001"/>
    <n v="0.16500000000000001"/>
    <n v="0.16500000000000001"/>
    <n v="1"/>
    <n v="0"/>
    <n v="619"/>
    <s v="LA INSTITUCIÓN DEPARTAMENTAL, LOS GOBIERNOS TERRITORIALES Y LA COMUNIDAD INVOLUCRAN AL 100% DE LAS DIFERENTES INSTANCIAS DE PARTICIPACIÓN EN EL DESARROLLO DE SUS PROGRAMAS Y PROYECTOS GENERANDO CORRESPONSABILIDAD CON PARTICIPACIÓN REAL Y ACTIVA."/>
    <m/>
    <s v=""/>
    <m/>
    <m/>
    <m/>
    <m/>
    <s v="MAS DE 4.500 ORGANIZACIONES COMUNITARIAS SE FORTALECIERON EN PARTICIPACIÓN E INCLUSIÓN CON DINÁMICAS DE INTEGRACIÓN Y COMUNICACIÓN A TRAVÉS DE: ASIGNACIÓN DE BUZONES DE CORREO ELECTRÓNICO A CADA UNA DE LAS ORGANIZACIONES COMUNALES, EXPEDICIÓN DE CARNETS DE IDENTIFICACIÓN Y TARJETAS DE APROXIMACIÓN A LOS PRESIDENTES DE LAS JUNTAS COMUNALES, SE REALIZARON EVENTOS DE INTEGRACIÓN Y PARTICIPACIÓN, FORTALECIMIENTO DE EMISORAS COMUNITARIAS, CAPACITACIÓN EN HERRAMIENTAS INFORMÁTICAS DE COMUNICACIÓN, E MAIL Y LA INTERACCIÓN CON NUESTRA PÁGINA WEB, PROMOCIÓN DE LA PARTICIPACIÓN EN LOS JUEGOS DEPORTIVOS Y RECREATIVOS COMUNALES."/>
    <n v="40000000"/>
    <m/>
    <n v="5"/>
  </r>
  <r>
    <n v="562"/>
    <x v="3"/>
    <x v="7"/>
    <x v="28"/>
    <s v="INSTANCIAS DE PARTICIPACIÓN EN ORGANIZACIONES COMUNITARIAS"/>
    <s v="FOMENTAR LA CREACIÓN DE 3 MESAS AUTÓNOMAS DE LOS GRUPOS ÉTNICOS."/>
    <s v="MESAS AUTÓNOMAS CREADAS Y EN FUNCIONAMIENTO"/>
    <s v="MESAS"/>
    <s v="I"/>
    <n v="0"/>
    <n v="3"/>
    <n v="3"/>
    <n v="0.16500000000000001"/>
    <n v="0"/>
    <n v="0"/>
    <n v="0"/>
    <n v="0"/>
    <n v="0"/>
    <n v="0"/>
    <n v="0"/>
    <n v="0"/>
    <n v="0"/>
    <n v="0"/>
    <n v="0"/>
    <n v="0"/>
    <n v="0"/>
    <n v="0"/>
    <n v="0"/>
    <n v="0"/>
    <n v="0"/>
    <n v="0"/>
    <n v="0"/>
    <n v="0"/>
    <n v="0"/>
    <n v="0"/>
    <n v="0"/>
    <n v="0"/>
    <n v="0"/>
    <n v="0"/>
    <n v="0"/>
    <n v="0"/>
    <n v="0.11"/>
    <n v="2"/>
    <n v="0.66666666666666663"/>
    <n v="0"/>
    <n v="0"/>
    <n v="0"/>
    <n v="0"/>
    <n v="0"/>
    <n v="0"/>
    <n v="0"/>
    <n v="0"/>
    <n v="0"/>
    <n v="0"/>
    <n v="0"/>
    <n v="0"/>
    <n v="0"/>
    <n v="0"/>
    <n v="0"/>
    <n v="0"/>
    <n v="0"/>
    <n v="0"/>
    <n v="0"/>
    <n v="0"/>
    <n v="0"/>
    <n v="0"/>
    <n v="0"/>
    <n v="0"/>
    <n v="0"/>
    <n v="5.5E-2"/>
    <n v="1"/>
    <n v="0.33333333333333331"/>
    <n v="0"/>
    <n v="0"/>
    <n v="0"/>
    <n v="0"/>
    <n v="0"/>
    <n v="0"/>
    <n v="0"/>
    <n v="0"/>
    <n v="0"/>
    <n v="0"/>
    <n v="0"/>
    <n v="0"/>
    <n v="0"/>
    <n v="0"/>
    <n v="0"/>
    <n v="0"/>
    <n v="0"/>
    <n v="0"/>
    <n v="0"/>
    <n v="0"/>
    <n v="0"/>
    <n v="0"/>
    <n v="0"/>
    <n v="0"/>
    <n v="0"/>
    <n v="0"/>
    <n v="0"/>
    <n v="0"/>
    <n v="0"/>
    <n v="0"/>
    <n v="0"/>
    <n v="0"/>
    <n v="0"/>
    <n v="0"/>
    <n v="0"/>
    <n v="0"/>
    <n v="0"/>
    <n v="0"/>
    <n v="0"/>
    <n v="0.16500000000000001"/>
    <n v="0"/>
    <n v="0"/>
    <n v="0"/>
    <n v="0"/>
    <n v="0"/>
    <n v="1"/>
    <n v="6.9388939039072284E-18"/>
    <n v="619"/>
    <s v="LA INSTITUCIÓN DEPARTAMENTAL, LOS GOBIERNOS TERRITORIALES Y LA COMUNIDAD INVOLUCRAN AL 100% DE LAS DIFERENTES INSTANCIAS DE PARTICIPACIÓN EN EL DESARROLLO DE SUS PROGRAMAS Y PROYECTOS GENERANDO CORRESPONSABILIDAD CON PARTICIPACIÓN REAL Y ACTIVA."/>
    <m/>
    <s v=""/>
    <m/>
    <m/>
    <m/>
    <m/>
    <s v="SE EFECTUARON REUNIONES CON LA SECRETARIA DE DESARROLLO SOCIAL - DIRECCIÓN DE ETNIAS PARA ABORDAR EL CUMPLIMIENTO CONJUNTO DE ESTA META. SE ACORDÓ REUNIÓN CON REPRESENTANTES DE LOS CABILDOS INDÍGENAS EN LA QUE SE GENERARON Y PRESENTARON PROPUESTAS CONJUNTAS PARA PROGRAMAR UN ENCUENTRO DE CONFORMACIÓN DE LAS MESAS AUTÓNOMAS."/>
    <n v="445000000"/>
    <m/>
    <n v="100"/>
  </r>
  <r>
    <n v="563"/>
    <x v="3"/>
    <x v="7"/>
    <x v="28"/>
    <s v="INSTANCIAS DE PARTICIPACIÓN EN ORGANIZACIONES COMUNITARIAS"/>
    <s v="NUMERO DE MUNICIPIOS CON ORGANIZACIONES COMUNITARIAS GESTORAS DE AGENDAS DE DESARROLLO LOCAL POR SISTEMA DE INFORMACIÓN MISIONAL"/>
    <s v="NO MUNICIPIOS CON ORGANIZACIONES COMUNITARIAS GESTORAS DE AGENDAS DE DESARROLLO LOCAL"/>
    <s v="MUNICIPIOS"/>
    <s v="I"/>
    <n v="0"/>
    <n v="40"/>
    <n v="40"/>
    <n v="0.25"/>
    <n v="2.5000000000000001E-2"/>
    <n v="4"/>
    <n v="0.1"/>
    <n v="2"/>
    <n v="2"/>
    <n v="50"/>
    <n v="50"/>
    <n v="1.2500000000000001E-2"/>
    <n v="50"/>
    <n v="0"/>
    <n v="0"/>
    <n v="0"/>
    <n v="0"/>
    <n v="0"/>
    <n v="0"/>
    <n v="0"/>
    <n v="0"/>
    <n v="6000000"/>
    <n v="6000000"/>
    <n v="0"/>
    <n v="0"/>
    <n v="0"/>
    <n v="0"/>
    <n v="0"/>
    <n v="0"/>
    <n v="0"/>
    <n v="0"/>
    <n v="0"/>
    <n v="0.13125000000000001"/>
    <n v="21"/>
    <n v="0.52500000000000002"/>
    <n v="16"/>
    <n v="16"/>
    <n v="76.19047619047619"/>
    <n v="76.19047619047619"/>
    <n v="0.1"/>
    <n v="76.19047619047619"/>
    <n v="0"/>
    <n v="0"/>
    <n v="0"/>
    <n v="0"/>
    <n v="0"/>
    <n v="0"/>
    <n v="0"/>
    <n v="0"/>
    <n v="35000000"/>
    <n v="35000000"/>
    <n v="0"/>
    <n v="0"/>
    <n v="0"/>
    <n v="0"/>
    <n v="0"/>
    <n v="0"/>
    <n v="0"/>
    <n v="0"/>
    <n v="0"/>
    <n v="9.375E-2"/>
    <n v="15"/>
    <n v="0.375"/>
    <n v="0"/>
    <n v="0"/>
    <n v="3"/>
    <n v="3"/>
    <n v="20"/>
    <n v="20"/>
    <n v="1.8749999999999999E-2"/>
    <n v="20"/>
    <n v="1.8749999999999999E-2"/>
    <n v="0"/>
    <n v="0"/>
    <n v="0"/>
    <n v="40"/>
    <n v="-40"/>
    <n v="40"/>
    <n v="0"/>
    <n v="0"/>
    <n v="0"/>
    <n v="0"/>
    <n v="0"/>
    <n v="0"/>
    <n v="0"/>
    <n v="0"/>
    <n v="0"/>
    <n v="0"/>
    <n v="0"/>
    <n v="0"/>
    <n v="0"/>
    <n v="0"/>
    <n v="0"/>
    <n v="0"/>
    <n v="0"/>
    <n v="0"/>
    <n v="0"/>
    <n v="0"/>
    <n v="0"/>
    <n v="0"/>
    <n v="0"/>
    <n v="61"/>
    <n v="0.25"/>
    <n v="152.5"/>
    <n v="100"/>
    <n v="0.25"/>
    <n v="0.25"/>
    <n v="0.25"/>
    <n v="1"/>
    <n v="0"/>
    <n v="619"/>
    <s v="LA INSTITUCIÓN DEPARTAMENTAL, LOS GOBIERNOS TERRITORIALES Y LA COMUNIDAD INVOLUCRAN AL 100% DE LAS DIFERENTES INSTANCIAS DE PARTICIPACIÓN EN EL DESARROLLO DE SUS PROGRAMAS Y PROYECTOS GENERANDO CORRESPONSABILIDAD CON PARTICIPACIÓN REAL Y ACTIVA."/>
    <m/>
    <s v=""/>
    <m/>
    <m/>
    <m/>
    <m/>
    <s v="SE LOGRÓ EL DESARROLLO DE DIFERENTES FASES DE PROMOCION DE LA PARTICIPACION CON ORGANIZACIONES COMUNITARIAS  EN 61 MUNICIPIOS EN LOS QUE SE REALIZARON ACTIVIDADES DE SOCIALIZACIÓN, APOYO LOGÍSTICO, DIDÁCTICO Y PUBLICITARIO, ADEMÁS DEL DESARROLLO DE LOS EVENTOS DE FORMULACIÓN E IMPLEMENTACIÓN DE LAS AGENDAS, PROMOVIENDO LA PARTICIPACIÓN ACTIVA DE LOS HABITANTES EN EL DESARROLLO DE SU COMUNIDAD Y DE SU MUNICIPIO A TRAVÉS DE LA CONSTRUCCIÓN DE MAS DE 40 AGENDAS DE DESARROLLO LOCAL."/>
    <n v="6000000"/>
    <m/>
    <n v="0"/>
  </r>
  <r>
    <n v="564"/>
    <x v="3"/>
    <x v="5"/>
    <x v="29"/>
    <s v="APROPIACIÓN DE NUESTRA IDENTIDAD CULTURAL"/>
    <s v="CONFORMAR UNA RED DE MEMORIA HISTÓRICA CULTURAL Y GESTIÓN PATRIMONIAL DURANTE EL PERIODO DE GOBIERNO (INVENTARIOS, PLANES, ENTRE OTROS)"/>
    <s v="NÚMERO DE REDES DE GESTIÓN PATRIMONIAL"/>
    <s v="UNIDAD"/>
    <s v="I"/>
    <n v="0"/>
    <n v="1"/>
    <n v="1"/>
    <n v="0.16500000000000001"/>
    <n v="1.6500000000000001E-2"/>
    <n v="0.1"/>
    <n v="0.1"/>
    <n v="0.1"/>
    <n v="0.1"/>
    <n v="100"/>
    <n v="100"/>
    <n v="1.6500000000000001E-2"/>
    <n v="100"/>
    <n v="54000000"/>
    <n v="54000000"/>
    <n v="0"/>
    <n v="0"/>
    <n v="0"/>
    <n v="0"/>
    <n v="0"/>
    <n v="0"/>
    <n v="0"/>
    <n v="0"/>
    <n v="0"/>
    <n v="0"/>
    <n v="0"/>
    <n v="0"/>
    <n v="0"/>
    <n v="0"/>
    <n v="0"/>
    <n v="0"/>
    <n v="0"/>
    <n v="4.9500000000000002E-2"/>
    <n v="0.3"/>
    <n v="0.3"/>
    <n v="0.3"/>
    <n v="0.3"/>
    <n v="100"/>
    <n v="100"/>
    <n v="4.9500000000000002E-2"/>
    <n v="100"/>
    <n v="217000000"/>
    <n v="0"/>
    <n v="217000000"/>
    <n v="0"/>
    <n v="0"/>
    <n v="0"/>
    <n v="0"/>
    <n v="0"/>
    <n v="539103911"/>
    <n v="539103911"/>
    <n v="0"/>
    <n v="0"/>
    <n v="0"/>
    <n v="0"/>
    <n v="0"/>
    <n v="0"/>
    <n v="0"/>
    <n v="0"/>
    <n v="0"/>
    <n v="4.9500000000000002E-2"/>
    <n v="0.3"/>
    <n v="0.3"/>
    <n v="0.3"/>
    <n v="0.69999998807907104"/>
    <n v="0.3"/>
    <n v="0.3"/>
    <n v="100"/>
    <n v="100"/>
    <n v="4.9500000000000002E-2"/>
    <n v="100"/>
    <n v="4.9500000000000002E-2"/>
    <n v="4.9500000000000002E-2"/>
    <n v="0.3"/>
    <n v="0.3"/>
    <n v="0.3"/>
    <n v="0"/>
    <n v="0.3"/>
    <n v="100"/>
    <n v="100"/>
    <n v="4.9500000000000002E-2"/>
    <n v="4.9500000000000002E-2"/>
    <n v="226000000"/>
    <n v="226000000"/>
    <n v="0"/>
    <n v="0"/>
    <n v="0"/>
    <n v="0"/>
    <n v="0"/>
    <n v="0"/>
    <n v="0"/>
    <n v="0"/>
    <n v="0"/>
    <n v="0"/>
    <n v="0"/>
    <n v="0"/>
    <n v="0"/>
    <n v="0"/>
    <n v="0"/>
    <n v="0"/>
    <n v="0"/>
    <n v="1"/>
    <n v="0.16500000000000001"/>
    <n v="100"/>
    <n v="100"/>
    <n v="0.16500000000000001"/>
    <n v="0.16500000000000001"/>
    <n v="0.16500000000000001"/>
    <n v="1"/>
    <n v="0"/>
    <n v="620"/>
    <s v="GENERAR QUE UN 10% DE LOS CUNDINAMARQUESES IDENTIFIQUEN, APROPIEN Y DIFUNDAN SUS VALORES PATRIMONIALES PARA LOGRAR LA IDENTIDAD CUNDINAMARQUESA."/>
    <m/>
    <s v=""/>
    <m/>
    <m/>
    <m/>
    <m/>
    <s v="CON LA SUSCRIPCIÓN DE CONVENIOS INTERADMINISTRATIVOS SE HA LOGRADO LA IDENTIFICACIÓN DEL PATRIMONIO DEL DEPARTAMENTO, A TRAVÉS DE ACTIVIDADES DE INVESTIGACIÓN Y RECUPERACIÓN DE MEMORIA HISTÓRICA Y CULTURAL DE LOS MUNICIPIOS DE NEMOCÓN, SAN FRANCISCO, FACATATIVÁ, SIBATÉ, CHOACHÍ, EL COLEGIO, VIOTÁ, GACHETA, BOJACÁ Y ARBELAÉZ."/>
    <n v="12000000"/>
    <m/>
    <n v="1"/>
  </r>
  <r>
    <n v="565"/>
    <x v="3"/>
    <x v="5"/>
    <x v="29"/>
    <s v="APROPIACIÓN DE NUESTRA IDENTIDAD CULTURAL"/>
    <s v="FORTALECIMIENTO DE 12 MUSEOS Y/O BIENES DE INTERÉS CULTURAL, COMO ESCENARIOS QUE RESGUARDAN EL PATRIMONIO CULTURAL, EN EL CUATRIENIO."/>
    <s v="BIENES DE INTERÉS CULTURAL FORTALECIDOS"/>
    <s v="BIENES DE INETERES CULTURAL"/>
    <s v="I"/>
    <n v="0"/>
    <n v="12"/>
    <n v="12"/>
    <n v="0.16500000000000001"/>
    <n v="0"/>
    <n v="0"/>
    <n v="0"/>
    <n v="0"/>
    <n v="0"/>
    <n v="0"/>
    <n v="0"/>
    <n v="0"/>
    <n v="0"/>
    <n v="0"/>
    <n v="0"/>
    <n v="0"/>
    <n v="0"/>
    <n v="0"/>
    <n v="0"/>
    <n v="0"/>
    <n v="0"/>
    <n v="0"/>
    <n v="0"/>
    <n v="0"/>
    <n v="0"/>
    <n v="0"/>
    <n v="0"/>
    <n v="0"/>
    <n v="0"/>
    <n v="0"/>
    <n v="0"/>
    <n v="0"/>
    <n v="6.8750000000000006E-2"/>
    <n v="5"/>
    <n v="0.41666666666666669"/>
    <n v="5"/>
    <n v="5"/>
    <n v="100"/>
    <n v="100"/>
    <n v="6.8750000000000006E-2"/>
    <n v="100"/>
    <n v="75000000"/>
    <n v="0"/>
    <n v="75000000"/>
    <n v="0"/>
    <n v="0"/>
    <n v="0"/>
    <n v="0"/>
    <n v="0"/>
    <n v="79005000"/>
    <n v="79005000"/>
    <n v="0"/>
    <n v="0"/>
    <n v="0"/>
    <n v="0"/>
    <n v="0"/>
    <n v="0"/>
    <n v="0"/>
    <n v="0"/>
    <n v="0"/>
    <n v="6.8750000000000006E-2"/>
    <n v="5"/>
    <n v="0.41666666666666669"/>
    <n v="5"/>
    <n v="10"/>
    <n v="10"/>
    <n v="10"/>
    <n v="200"/>
    <n v="100"/>
    <n v="6.8750000000000006E-2"/>
    <n v="100"/>
    <n v="0.13750000000000001"/>
    <n v="2.75E-2"/>
    <n v="2"/>
    <n v="0.16666666666666666"/>
    <n v="5"/>
    <n v="-3"/>
    <n v="5"/>
    <n v="250"/>
    <n v="100"/>
    <n v="2.75E-2"/>
    <n v="6.8750000000000006E-2"/>
    <n v="60000000"/>
    <n v="60000000"/>
    <n v="0"/>
    <n v="0"/>
    <n v="0"/>
    <n v="0"/>
    <n v="0"/>
    <n v="0"/>
    <n v="0"/>
    <n v="0"/>
    <n v="0"/>
    <n v="0"/>
    <n v="0"/>
    <n v="0"/>
    <n v="0"/>
    <n v="0"/>
    <n v="0"/>
    <n v="0"/>
    <n v="0"/>
    <n v="20"/>
    <n v="0.16500000000000001"/>
    <n v="166.66666666666666"/>
    <n v="100"/>
    <n v="0.16500000000000001"/>
    <n v="0.16500000000000001"/>
    <n v="0.16500000000000001"/>
    <n v="1"/>
    <n v="0"/>
    <n v="620"/>
    <s v="GENERAR QUE UN 10% DE LOS CUNDINAMARQUESES IDENTIFIQUEN, APROPIEN Y DIFUNDAN SUS VALORES PATRIMONIALES PARA LOGRAR LA IDENTIDAD CUNDINAMARQUESA."/>
    <m/>
    <s v=""/>
    <m/>
    <m/>
    <m/>
    <m/>
    <s v="SE HAN REALIZADO CUATRO ENCUENTROS PARA LA CONSOLIDACIÓN Y FORTALECIMIENTO DE LA RED DEPARTAMENTAL DE ENTIDADES MUSEALES, ESTA ESTRATEGIA DE FORTALECIMIENTO DE LAS ENTIDADES MUSEALES SE DESARROLLA CON EL ACOMPAÑAMIENTO Y APOYO DEL MUSEO NACIONAL, ASÍ MISMO SE HA CONTRIBUIDO AL RESCATE Y CONSERVACIÓN DE ENTIDADES MUSEALES Y OTROS BIENES DE INTERÉS CULTURAL QUE HACEN PARTE DEL PATRIMONIO CULTURAL."/>
    <n v="12000000"/>
    <m/>
    <n v="1"/>
  </r>
  <r>
    <n v="566"/>
    <x v="3"/>
    <x v="5"/>
    <x v="29"/>
    <s v="APROPIACIÓN DE NUESTRA IDENTIDAD CULTURAL"/>
    <s v="FOMENTAR LA CULTURA PATRIMONIAL CON 24 EVENTOS INTERGENERACIONALES, PROVINCIALES, INTERDEPARTAMENTALES, E INTERNACIONALES, DE PROMOCIÓN, INTERCAMBIO, Y/O REPRESENTACIÓN HISTÓRICA, TURÍSTICA Y CULTURAL DURANTE EL CUATRIENIO."/>
    <s v="EVENTOS CULTURALES DE PROMOCIÓN, INTERCAMBIO O PARTICIPACIÓN HISTÓRICA Y TURÍSTICA REALIZADOS"/>
    <s v="EVENTOS"/>
    <s v="I"/>
    <n v="0"/>
    <n v="24"/>
    <n v="24"/>
    <n v="8.8999999999999996E-2"/>
    <n v="2.2249999999999999E-2"/>
    <n v="6"/>
    <n v="0.25"/>
    <n v="6"/>
    <n v="6"/>
    <n v="100"/>
    <n v="100"/>
    <n v="2.2250000000000002E-2"/>
    <n v="100"/>
    <n v="49000000"/>
    <n v="49000000"/>
    <n v="0"/>
    <n v="0"/>
    <n v="0"/>
    <n v="0"/>
    <n v="0"/>
    <n v="0"/>
    <n v="53000000"/>
    <n v="53000000"/>
    <n v="0"/>
    <n v="0"/>
    <n v="0"/>
    <n v="0"/>
    <n v="0"/>
    <n v="0"/>
    <n v="0"/>
    <n v="0"/>
    <n v="0"/>
    <n v="2.2249999999999999E-2"/>
    <n v="6"/>
    <n v="0.25"/>
    <n v="14"/>
    <n v="14"/>
    <n v="233.33333333333334"/>
    <n v="100"/>
    <n v="2.2250000000000002E-2"/>
    <n v="100"/>
    <n v="60000000"/>
    <n v="0"/>
    <n v="60000000"/>
    <n v="0"/>
    <n v="0"/>
    <n v="0"/>
    <n v="0"/>
    <n v="0"/>
    <n v="0"/>
    <n v="0"/>
    <n v="0"/>
    <n v="0"/>
    <n v="0"/>
    <n v="0"/>
    <n v="0"/>
    <n v="0"/>
    <n v="0"/>
    <n v="0"/>
    <n v="0"/>
    <n v="2.2249999999999999E-2"/>
    <n v="6"/>
    <n v="0.25"/>
    <n v="2"/>
    <n v="22"/>
    <n v="22"/>
    <n v="22"/>
    <n v="366.66666666666669"/>
    <n v="100"/>
    <n v="2.2250000000000002E-2"/>
    <n v="100"/>
    <n v="8.1583333333333327E-2"/>
    <n v="2.2249999999999999E-2"/>
    <n v="6"/>
    <n v="0.25"/>
    <n v="7"/>
    <n v="-1"/>
    <n v="7"/>
    <n v="116.66666666666667"/>
    <n v="100"/>
    <n v="2.2250000000000002E-2"/>
    <n v="2.5958333333333333E-2"/>
    <n v="120000000"/>
    <n v="120000000"/>
    <n v="0"/>
    <n v="0"/>
    <n v="0"/>
    <n v="0"/>
    <n v="0"/>
    <n v="0"/>
    <n v="0"/>
    <n v="0"/>
    <n v="0"/>
    <n v="0"/>
    <n v="0"/>
    <n v="0"/>
    <n v="0"/>
    <n v="0"/>
    <n v="0"/>
    <n v="0"/>
    <n v="0"/>
    <n v="49"/>
    <n v="8.8999999999999996E-2"/>
    <n v="204.16666666666666"/>
    <n v="100"/>
    <n v="8.900000000000001E-2"/>
    <n v="8.8999999999999996E-2"/>
    <n v="8.8999999999999996E-2"/>
    <n v="1"/>
    <n v="0"/>
    <n v="620"/>
    <s v="GENERAR QUE UN 10% DE LOS CUNDINAMARQUESES IDENTIFIQUEN, APROPIEN Y DIFUNDAN SUS VALORES PATRIMONIALES PARA LOGRAR LA IDENTIDAD CUNDINAMARQUESA."/>
    <m/>
    <s v=""/>
    <m/>
    <m/>
    <m/>
    <m/>
    <s v="A LA FECHA EL INSTITUTO HA APOYADO LA REALIZACIÓN DE 46 EVENTOS CULTURALES DE PROMOCIÓN, INTERCAMBIO Y PARTICIPACIÓN ARTÍSTICA Y CULTURAL, QUE HAN PROPENDIDO POR EL RESCATE DE LAS TRADICIONES PATRIMONIALES DEL DEPARTAMENTO."/>
    <n v="0"/>
    <m/>
    <n v="100"/>
  </r>
  <r>
    <n v="567"/>
    <x v="3"/>
    <x v="5"/>
    <x v="29"/>
    <s v="APROPIACIÓN DE NUESTRA IDENTIDAD CULTURAL"/>
    <s v="FOMENTAR EL INTERÉS DE LA CIUDADANÍA PARA PARTICIPAR EN GRUPOS DE VIGÍAS DEL PATRIMONIO DURANTE EL PERIODO DE GOBIERNO, PARA LA DEFENSA Y PROMOCIÓN DEL PATRIMONIO CULTURAL."/>
    <s v="CIUDADANÍA PARTICIPANDO EN LOS GRUPOS DE VIGÍAS"/>
    <s v="PERSONAS"/>
    <s v="I"/>
    <n v="200"/>
    <n v="400"/>
    <n v="200"/>
    <n v="0.16500000000000001"/>
    <n v="0"/>
    <n v="0"/>
    <n v="0"/>
    <n v="0"/>
    <n v="0"/>
    <n v="0"/>
    <n v="0"/>
    <n v="0"/>
    <n v="0"/>
    <n v="0"/>
    <n v="0"/>
    <n v="0"/>
    <n v="0"/>
    <n v="0"/>
    <n v="0"/>
    <n v="0"/>
    <n v="0"/>
    <n v="0"/>
    <n v="0"/>
    <n v="0"/>
    <n v="0"/>
    <n v="0"/>
    <n v="0"/>
    <n v="0"/>
    <n v="0"/>
    <n v="0"/>
    <n v="0"/>
    <n v="0"/>
    <n v="4.9500000000000002E-2"/>
    <n v="60"/>
    <n v="0.3"/>
    <n v="150"/>
    <n v="150"/>
    <n v="250"/>
    <n v="100"/>
    <n v="4.9500000000000002E-2"/>
    <n v="100"/>
    <n v="25000000"/>
    <n v="0"/>
    <n v="25000000"/>
    <n v="0"/>
    <n v="0"/>
    <n v="0"/>
    <n v="0"/>
    <n v="0"/>
    <n v="141700000"/>
    <n v="141700000"/>
    <n v="0"/>
    <n v="0"/>
    <n v="0"/>
    <n v="0"/>
    <n v="0"/>
    <n v="0"/>
    <n v="0"/>
    <n v="0"/>
    <n v="0"/>
    <n v="5.7749999999999996E-2"/>
    <n v="70"/>
    <n v="0.35"/>
    <n v="0"/>
    <n v="150"/>
    <n v="210"/>
    <n v="210"/>
    <n v="300"/>
    <n v="100"/>
    <n v="5.7749999999999996E-2"/>
    <n v="100"/>
    <n v="0.17324999999999999"/>
    <n v="5.7749999999999996E-2"/>
    <n v="70"/>
    <n v="0.35"/>
    <n v="20"/>
    <n v="50"/>
    <n v="20"/>
    <n v="28.571428571428573"/>
    <n v="28.571428571428573"/>
    <n v="1.6500000000000001E-2"/>
    <n v="1.6500000000000001E-2"/>
    <n v="60000000"/>
    <n v="60000000"/>
    <n v="0"/>
    <n v="0"/>
    <n v="0"/>
    <n v="0"/>
    <n v="0"/>
    <n v="0"/>
    <n v="0"/>
    <n v="0"/>
    <n v="0"/>
    <n v="0"/>
    <n v="0"/>
    <n v="0"/>
    <n v="0"/>
    <n v="0"/>
    <n v="0"/>
    <n v="0"/>
    <n v="0"/>
    <n v="380"/>
    <n v="0.16499999999999998"/>
    <n v="190"/>
    <n v="100"/>
    <n v="0.16500000000000001"/>
    <n v="0.16500000000000001"/>
    <n v="0.16500000000000001"/>
    <n v="0.99999999999999989"/>
    <n v="0"/>
    <n v="620"/>
    <s v="GENERAR QUE UN 10% DE LOS CUNDINAMARQUESES IDENTIFIQUEN, APROPIEN Y DIFUNDAN SUS VALORES PATRIMONIALES PARA LOGRAR LA IDENTIDAD CUNDINAMARQUESA."/>
    <m/>
    <s v=""/>
    <m/>
    <m/>
    <m/>
    <m/>
    <s v="SE HAN BENEFICIADO 210 VIGÍAS DEL PATRIMONIO CULTURAL MEDIANTE LA CONFORMACIÓN / CONSOLIDACIÓN DE 6 GRUPOS DE VIGÍAS A TRAVÉS DE LOS CONVENIOS PARA LA CAPACITACIÓN DE LOS VIGÍAS DE LOS MUNICIPIOS DE: TENA, JERUSALÉN, ZIPACÓN, TABIO, TENJO Y TAUSA. ADICIONALMENTE SE REALIZÓ UN ENCUENTRO DEPARTAMENTAL DE VIGÍAS DEL PATRIMONIO CON EL OBJETO DE CAPACITARLOS EN SU PROCESO DE FORMACIÓN PARA EL RESCATE DE NUESTRO PATRIMONIO CULTURAL."/>
    <n v="0"/>
    <m/>
    <n v="15"/>
  </r>
  <r>
    <n v="568"/>
    <x v="3"/>
    <x v="26"/>
    <x v="30"/>
    <s v="INFRAESTRUTURA EN TIC"/>
    <s v="IMPLEMENTAR UNA DE RED SOCIAL DE DATOS, BASADA EN INFRAESTRUCTURA DE TELECOMUNICACIONES DEL DEPARTAMENTO, PRIORIZANDO LOS SERVICIOS DE SALUD Y EDUCACIÓN QUE GARANTICE LA CONECTIVIDAD ENTRE LA ADMINISTRACIÓN DEPARTAMENTAL Y 35 MUNICIPIOS (NBI MÁS ALTOS), "/>
    <s v="ENTIDADES TERRITORIALES CON ACCESO A LA RED DE DATOS DEL DEPARTAMENTO"/>
    <s v="MUNICIPIOS"/>
    <s v="I"/>
    <n v="0"/>
    <n v="35"/>
    <n v="35"/>
    <n v="0.33"/>
    <n v="9.4285714285714285E-3"/>
    <n v="1"/>
    <n v="2.8571428571428571E-2"/>
    <n v="3"/>
    <n v="3"/>
    <n v="300"/>
    <n v="100"/>
    <n v="9.4285714285714285E-3"/>
    <n v="100"/>
    <n v="550000000"/>
    <n v="550000000"/>
    <n v="0"/>
    <n v="0"/>
    <n v="0"/>
    <n v="0"/>
    <n v="0"/>
    <n v="0"/>
    <n v="550000000"/>
    <n v="550000000"/>
    <n v="0"/>
    <n v="0"/>
    <n v="0"/>
    <n v="0"/>
    <n v="0"/>
    <n v="0"/>
    <n v="0"/>
    <n v="100358000"/>
    <s v="MINTIC"/>
    <n v="3.7714285714285714E-2"/>
    <n v="4"/>
    <n v="0.11428571428571428"/>
    <n v="0"/>
    <n v="0"/>
    <n v="0"/>
    <n v="0"/>
    <n v="0"/>
    <n v="0"/>
    <n v="2150000000"/>
    <n v="0"/>
    <n v="650000000"/>
    <n v="0"/>
    <n v="0"/>
    <n v="0"/>
    <n v="0"/>
    <n v="1500000000"/>
    <n v="0"/>
    <n v="0"/>
    <n v="0"/>
    <n v="0"/>
    <n v="0"/>
    <n v="0"/>
    <n v="0"/>
    <n v="0"/>
    <n v="0"/>
    <n v="0"/>
    <n v="0"/>
    <n v="0.14142857142857143"/>
    <n v="15"/>
    <n v="0.42857142857142855"/>
    <n v="0"/>
    <n v="0"/>
    <n v="1"/>
    <n v="1"/>
    <n v="6.666666666666667"/>
    <n v="6.666666666666667"/>
    <n v="9.4285714285714303E-3"/>
    <n v="6.666666666666667"/>
    <n v="9.4285714285714303E-3"/>
    <n v="0.14142857142857143"/>
    <n v="15"/>
    <n v="0.42857142857142855"/>
    <n v="89"/>
    <n v="-74"/>
    <n v="89"/>
    <n v="593.33333333333337"/>
    <n v="100"/>
    <n v="0.14142857142857143"/>
    <n v="0.8391428571428573"/>
    <n v="5250000000"/>
    <n v="1500000000"/>
    <n v="0"/>
    <n v="0"/>
    <n v="0"/>
    <n v="0"/>
    <n v="0"/>
    <n v="3750000000"/>
    <n v="0"/>
    <n v="0"/>
    <n v="0"/>
    <n v="0"/>
    <n v="0"/>
    <n v="0"/>
    <n v="0"/>
    <n v="0"/>
    <n v="0"/>
    <n v="0"/>
    <n v="0"/>
    <n v="93"/>
    <n v="0.32999999999999996"/>
    <n v="265.71428571428572"/>
    <n v="100"/>
    <n v="0.33"/>
    <n v="0.33"/>
    <n v="0.33"/>
    <n v="1"/>
    <n v="0"/>
    <n v="621"/>
    <s v="ALCANZAR EN CUNDINAMARCA EL PROMEDIO NACIONAL DE PENETRACIÓN DE INTERNET (12,8%)"/>
    <m/>
    <s v=""/>
    <m/>
    <m/>
    <m/>
    <m/>
    <s v="Se realizó la etapa 0 y 1 de la red social de datos. Con estas etapas se establece el proceso de instalación de la infraestuctura de comunicaciones  propia en el Departamento, mediante la cual se da conectividad a:  58 nodos y 521 sitios en 89 municipios del Departamento."/>
    <n v="2787000000"/>
    <m/>
    <n v="5"/>
  </r>
  <r>
    <n v="569"/>
    <x v="3"/>
    <x v="26"/>
    <x v="30"/>
    <s v="INFRAESTRUTURA EN TIC"/>
    <s v="AMPLIAR LA COBERTURA DE CONECTIVIDAD DE FIBRA ÓPTICA DE 34 A 116 CABECERAS MUNICIPALES DURANTE EL PERIODO DE GOBIERNO, CON EL APOYO DEL GOBIERNO NACIONAL "/>
    <s v="NÚMERO DE CABECERAS CONECTADAS CON FIBRA ÓPTICA"/>
    <s v="MUNICIPIOS"/>
    <s v="I"/>
    <n v="0"/>
    <n v="82"/>
    <n v="82"/>
    <n v="0.33"/>
    <n v="0"/>
    <n v="0"/>
    <n v="0"/>
    <n v="32"/>
    <n v="32"/>
    <n v="0"/>
    <n v="0"/>
    <n v="0"/>
    <n v="100"/>
    <n v="0"/>
    <n v="0"/>
    <n v="0"/>
    <n v="0"/>
    <n v="0"/>
    <n v="0"/>
    <n v="0"/>
    <n v="0"/>
    <n v="0"/>
    <n v="0"/>
    <n v="0"/>
    <n v="0"/>
    <n v="0"/>
    <n v="0"/>
    <n v="0"/>
    <n v="0"/>
    <n v="0"/>
    <n v="17671719000"/>
    <s v="MINTIC"/>
    <n v="0.22939024390243901"/>
    <n v="57"/>
    <n v="0.69512195121951215"/>
    <n v="42"/>
    <n v="42"/>
    <n v="73.684210526315795"/>
    <n v="73.684210526315795"/>
    <n v="0.16902439024390245"/>
    <n v="73.684210526315795"/>
    <n v="0"/>
    <n v="0"/>
    <n v="0"/>
    <n v="0"/>
    <n v="0"/>
    <n v="0"/>
    <n v="0"/>
    <n v="0"/>
    <n v="0"/>
    <n v="0"/>
    <n v="0"/>
    <n v="0"/>
    <n v="0"/>
    <n v="0"/>
    <n v="0"/>
    <n v="0"/>
    <n v="0"/>
    <n v="0"/>
    <n v="0"/>
    <n v="0.10060975609756098"/>
    <n v="25"/>
    <n v="0.3048780487804878"/>
    <n v="42"/>
    <n v="42"/>
    <n v="42"/>
    <n v="42"/>
    <n v="168"/>
    <n v="100"/>
    <n v="0.100609756097561"/>
    <n v="100"/>
    <n v="0.16902439024390245"/>
    <n v="0"/>
    <n v="0"/>
    <n v="0"/>
    <n v="0"/>
    <n v="0"/>
    <n v="0"/>
    <n v="0"/>
    <n v="0"/>
    <n v="0"/>
    <n v="0"/>
    <n v="0"/>
    <n v="0"/>
    <n v="0"/>
    <n v="0"/>
    <n v="0"/>
    <n v="0"/>
    <n v="0"/>
    <n v="0"/>
    <n v="0"/>
    <n v="0"/>
    <n v="0"/>
    <n v="0"/>
    <n v="0"/>
    <n v="0"/>
    <n v="0"/>
    <n v="0"/>
    <n v="0"/>
    <n v="0"/>
    <n v="0"/>
    <n v="116"/>
    <n v="0.32999999999999996"/>
    <n v="141.46341463414635"/>
    <n v="100"/>
    <n v="0.33"/>
    <n v="0.33"/>
    <n v="0.33"/>
    <n v="1"/>
    <n v="2.7755575615628914E-17"/>
    <n v="621"/>
    <s v="ALCANZAR EN CUNDINAMARCA EL PROMEDIO NACIONAL DE PENETRACIÓN DE INTERNET (12,8%)"/>
    <m/>
    <s v=""/>
    <m/>
    <m/>
    <m/>
    <m/>
    <s v="Con el proyecto Nacional de Fibra Óptica liderado por el MICTIC se cubrieron 82 municipios en los caules se instaló al menos un nodo de fibra óptica."/>
    <n v="3050000000"/>
    <m/>
    <n v="6"/>
  </r>
  <r>
    <n v="570"/>
    <x v="3"/>
    <x v="26"/>
    <x v="30"/>
    <s v="INFRAESTRUTURA EN TIC"/>
    <s v="FORTALECER EL 25% DE LA INFRAESTRUCTURA DE PROCESAMIENTO DE DATOS Y PASAR DEL 30% AL 65% DE LA INFRAESTRUCTURA COMPUTACIONAL DEL NIVEL CENTRAL DEL DEPARTAMENTO ACTUALIZADA Y SOPORTADA, PARA EL DESARROLLO BASADO EN HERRAMIENTAS TECNOLÓGICAS DURANTE EL PERI"/>
    <s v="PORCENTAJE DE INFRAESTRUCTURA DE PROCESAMIENTO DE DATOS FORTALECIDA"/>
    <s v="PUNTOS PORCENTUALES"/>
    <s v="I"/>
    <n v="0"/>
    <n v="25"/>
    <n v="25"/>
    <n v="0.16500000000000001"/>
    <n v="0"/>
    <n v="0"/>
    <n v="0"/>
    <n v="0"/>
    <n v="0"/>
    <n v="0"/>
    <n v="0"/>
    <n v="0"/>
    <n v="0"/>
    <n v="0"/>
    <n v="0"/>
    <n v="0"/>
    <n v="0"/>
    <n v="0"/>
    <n v="0"/>
    <n v="0"/>
    <n v="0"/>
    <n v="0"/>
    <n v="0"/>
    <n v="0"/>
    <n v="0"/>
    <n v="0"/>
    <n v="0"/>
    <n v="0"/>
    <n v="0"/>
    <n v="0"/>
    <n v="0"/>
    <n v="0"/>
    <n v="0"/>
    <n v="0"/>
    <n v="0"/>
    <n v="35.950000000000003"/>
    <n v="35.950000000000003"/>
    <n v="0"/>
    <n v="0"/>
    <n v="0"/>
    <n v="100"/>
    <n v="0"/>
    <n v="0"/>
    <n v="0"/>
    <n v="0"/>
    <n v="0"/>
    <n v="0"/>
    <n v="0"/>
    <n v="0"/>
    <n v="544999822"/>
    <n v="544999822"/>
    <n v="0"/>
    <n v="0"/>
    <n v="0"/>
    <n v="0"/>
    <n v="0"/>
    <n v="0"/>
    <n v="0"/>
    <n v="0"/>
    <n v="0"/>
    <n v="8.2500000000000004E-2"/>
    <n v="12.5"/>
    <n v="0.5"/>
    <n v="0"/>
    <n v="0"/>
    <n v="6.8000001907348633"/>
    <n v="6.8000001907348633"/>
    <n v="54.400001525878906"/>
    <n v="54.400001525878906"/>
    <n v="4.4880001258850104E-2"/>
    <n v="54.400001525878906"/>
    <n v="4.4880001258850104E-2"/>
    <n v="8.2500000000000004E-2"/>
    <n v="12.5"/>
    <n v="0.5"/>
    <n v="0"/>
    <n v="12.5"/>
    <n v="0"/>
    <n v="0"/>
    <n v="0"/>
    <n v="0"/>
    <n v="0"/>
    <n v="325000000"/>
    <n v="325000000"/>
    <n v="0"/>
    <n v="0"/>
    <n v="0"/>
    <n v="0"/>
    <n v="0"/>
    <n v="0"/>
    <n v="0"/>
    <n v="0"/>
    <n v="0"/>
    <n v="0"/>
    <n v="0"/>
    <n v="0"/>
    <n v="0"/>
    <n v="0"/>
    <n v="0"/>
    <n v="0"/>
    <n v="0"/>
    <n v="42.750000190734866"/>
    <n v="0.16500000000000001"/>
    <n v="171.00000076293946"/>
    <n v="100"/>
    <n v="0.16500000000000001"/>
    <n v="0.16500000000000001"/>
    <n v="0.16500000000000001"/>
    <n v="1"/>
    <n v="0"/>
    <n v="623"/>
    <s v="100% ENTIDADES MEJORAN EL RESULTADO DE LA GESTIÓN CON HERRAMIENTAS GERENCIALES S Y E "/>
    <m/>
    <s v=""/>
    <m/>
    <m/>
    <m/>
    <m/>
    <s v="Fortalecimiento de la Plataforma Computacional del Datacenter (Antiguo centro de procesamiento de datos – CPD), en la Gobernación de Cundinamarca. _x000a_Migración de Servidores y Almacenamiento corporativos de alta criticidad (bases de Datos y virtualización), a infraestructura  corporativa de última tecnología._x000a_Fortalecimiento Infraestructura para el Servicio Corporativo de Correo Electrónico, en la Gobernación de Cundinamarca, con la adquisición de tres (3) servidores con almacenamiento local._x000a_Fortalecimiento Infraestructura para la Seguridad y Gestión - Proyecto Red Social de Datos Departamento de Cundinamarca – RSD_x000a_Migración del Sistema productivo Unificado de Información de Salud - SIUSa la infraestructura computacional en el Datacenter, Gobernación de Cundinamarca y puesta en funcionamiento._x000a_Instalación, configuración y puesta en producción del sistema BIZAGI BPM (Business ProcessModel) sobre infraestructura computacional en el Datacenter, Gobernación de Cundinamarca. _x000a_Instalación y configuración del sistema de monitoreo NAGIOS (Open Source) y del sistema Web de nóminaKactus-OPHELIAsobre infraestructura computacional virtual en el Datacenter, Gobernación de Cundinamarca."/>
    <n v="594000000"/>
    <m/>
    <n v="42"/>
  </r>
  <r>
    <n v="571"/>
    <x v="3"/>
    <x v="26"/>
    <x v="30"/>
    <s v="INFRAESTRUTURA EN TIC"/>
    <s v="FORTALECER EL 25% DE LA INFRAESTRUCTURA DE PROCESAMIENTO DE DATOS Y PASAR DEL 30% AL 65% DE LA INFRAESTRUCTURA COMPUTACIONAL DEL NIVEL CENTRAL DEL DEPARTAMENTO ACTUALIZADA Y SOPORTADA, PARA EL DESARROLLO BASADO EN HERRAMIENTAS TECNOLÓGICAS DURANTE EL PERI"/>
    <s v="PORCENTAJE DE EQUIPOS DE CÓMPUTO RENOVADOS DEL NIVEL CENTRAL."/>
    <s v="PUNTOS PORCENTUALES"/>
    <s v="I"/>
    <n v="30"/>
    <n v="65"/>
    <n v="35"/>
    <n v="0.16500000000000001"/>
    <n v="0"/>
    <n v="0"/>
    <n v="0"/>
    <n v="0"/>
    <n v="0"/>
    <n v="0"/>
    <n v="0"/>
    <n v="0"/>
    <n v="0"/>
    <n v="0"/>
    <n v="0"/>
    <n v="0"/>
    <n v="0"/>
    <n v="0"/>
    <n v="0"/>
    <n v="0"/>
    <n v="0"/>
    <n v="0"/>
    <n v="0"/>
    <n v="0"/>
    <n v="0"/>
    <n v="0"/>
    <n v="0"/>
    <n v="0"/>
    <n v="0"/>
    <n v="0"/>
    <n v="0"/>
    <n v="0"/>
    <n v="0"/>
    <n v="0"/>
    <n v="0"/>
    <n v="16"/>
    <n v="16"/>
    <n v="0"/>
    <n v="0"/>
    <n v="0"/>
    <n v="100"/>
    <n v="0"/>
    <n v="0"/>
    <n v="0"/>
    <n v="0"/>
    <n v="0"/>
    <n v="0"/>
    <n v="0"/>
    <n v="0"/>
    <n v="2600907115"/>
    <n v="2600907115"/>
    <n v="0"/>
    <n v="0"/>
    <n v="0"/>
    <n v="0"/>
    <n v="0"/>
    <n v="0"/>
    <n v="0"/>
    <n v="0"/>
    <n v="0"/>
    <n v="8.2500000000000004E-2"/>
    <n v="17.5"/>
    <n v="0.5"/>
    <n v="0"/>
    <n v="0"/>
    <n v="13.300000190734863"/>
    <n v="13.300000190734863"/>
    <n v="76.000001089913511"/>
    <n v="76.000001089913511"/>
    <n v="6.2700000899178654E-2"/>
    <n v="76.000001089913511"/>
    <n v="6.2700000899178654E-2"/>
    <n v="8.2500000000000004E-2"/>
    <n v="17.5"/>
    <n v="0.5"/>
    <n v="8"/>
    <n v="9.5"/>
    <n v="8"/>
    <n v="45.714285714285715"/>
    <n v="45.714285714285715"/>
    <n v="3.7714285714285721E-2"/>
    <n v="3.7714285714285721E-2"/>
    <n v="400000000"/>
    <n v="400000000"/>
    <n v="0"/>
    <n v="0"/>
    <n v="0"/>
    <n v="0"/>
    <n v="0"/>
    <n v="0"/>
    <n v="0"/>
    <n v="0"/>
    <n v="0"/>
    <n v="0"/>
    <n v="0"/>
    <n v="0"/>
    <n v="0"/>
    <n v="0"/>
    <n v="0"/>
    <n v="0"/>
    <n v="0"/>
    <n v="37.300000190734863"/>
    <n v="0.16500000000000001"/>
    <n v="106.57142911638532"/>
    <n v="100"/>
    <n v="0.16500000000000001"/>
    <n v="0.16500000000000001"/>
    <n v="0.16500000000000001"/>
    <n v="1"/>
    <n v="0"/>
    <n v="623"/>
    <s v="100% ENTIDADES MEJORAN EL RESULTADO DE LA GESTIÓN CON HERRAMIENTAS GERENCIALES S Y E "/>
    <m/>
    <s v=""/>
    <m/>
    <m/>
    <m/>
    <m/>
    <s v="Se realizo el diseñó y la implementación del Data Center de la Gobernación de Cundinamarca, siguiendo la normatividad nacional e internacional que alrespecto existe. _x000a_En el mes de diciembre de 2015 termina la ejecución del contrato mendiente el cua el Departamento da inicial proceso que permitirá implementar los estándares de Seguridad de la Información._x000a_Durante  todo el cuatrenio la Gobernación  contó con el servicio de Mesa de Ayuda."/>
    <n v="2000000000"/>
    <m/>
    <n v="15"/>
  </r>
  <r>
    <n v="572"/>
    <x v="3"/>
    <x v="0"/>
    <x v="30"/>
    <s v="INFRAESTRUTURA EN TIC"/>
    <s v="RENOVAR Y MODERNIZAR EL 71% DE LAS INSTITUCIONES DE LA RED HOSPITALARIA PÚBLICA DE CUNDINAMARCA, LA INFRAESTRUCTURA TECNOLÓGICA NECESARIA PARA LA PRESTACIÓN DE SERVICIOS DE SALUD SOPORTADOS EN TIC DURANTE EL PERIODO DE GOBIERNO."/>
    <s v="PORCENTAJE DE INSTITUCIONES DE LA RED HOSPITALARIA CON INFRAESTRUCTURA TECNOLÓGICA RENOVADA Y MODERNIZADA"/>
    <s v="PUNTOS PORCENTUALES"/>
    <s v="I"/>
    <n v="29"/>
    <n v="100"/>
    <n v="71"/>
    <n v="0.25"/>
    <n v="5.6338028169014086E-2"/>
    <n v="16"/>
    <n v="0.22535211267605634"/>
    <n v="25"/>
    <n v="25"/>
    <n v="156.25"/>
    <n v="100"/>
    <n v="5.6338028169014093E-2"/>
    <n v="100"/>
    <n v="0"/>
    <n v="0"/>
    <n v="0"/>
    <n v="0"/>
    <n v="0"/>
    <n v="0"/>
    <n v="0"/>
    <n v="0"/>
    <n v="0"/>
    <n v="0"/>
    <n v="0"/>
    <n v="0"/>
    <n v="0"/>
    <n v="0"/>
    <n v="0"/>
    <n v="0"/>
    <n v="0"/>
    <n v="0"/>
    <n v="0"/>
    <n v="7.0422535211267609E-2"/>
    <n v="20"/>
    <n v="0.28169014084507044"/>
    <n v="17"/>
    <n v="17"/>
    <n v="85"/>
    <n v="85"/>
    <n v="5.9859154929577468E-2"/>
    <n v="85"/>
    <n v="2102000000"/>
    <n v="2102000000"/>
    <n v="0"/>
    <n v="0"/>
    <n v="0"/>
    <n v="0"/>
    <n v="0"/>
    <n v="0"/>
    <n v="1649000000"/>
    <n v="1649000000"/>
    <n v="0"/>
    <n v="0"/>
    <n v="0"/>
    <n v="0"/>
    <n v="0"/>
    <n v="0"/>
    <n v="0"/>
    <n v="0"/>
    <n v="0"/>
    <n v="7.0422535211267609E-2"/>
    <n v="20"/>
    <n v="0.28169014084507044"/>
    <n v="50"/>
    <n v="10"/>
    <n v="22"/>
    <n v="22"/>
    <n v="110"/>
    <n v="100"/>
    <n v="7.0422535211267609E-2"/>
    <n v="100"/>
    <n v="7.7464788732394374E-2"/>
    <n v="5.2816901408450703E-2"/>
    <n v="15"/>
    <n v="0.21126760563380281"/>
    <n v="22"/>
    <n v="-7"/>
    <n v="22"/>
    <n v="146.66666666666666"/>
    <n v="100"/>
    <n v="5.2816901408450703E-2"/>
    <n v="7.746478873239436E-2"/>
    <n v="4850000000"/>
    <n v="0"/>
    <n v="4850000000"/>
    <n v="0"/>
    <n v="0"/>
    <n v="0"/>
    <n v="0"/>
    <n v="0"/>
    <n v="0"/>
    <n v="0"/>
    <n v="0"/>
    <n v="0"/>
    <n v="0"/>
    <n v="0"/>
    <n v="0"/>
    <n v="0"/>
    <n v="0"/>
    <n v="0"/>
    <n v="0"/>
    <n v="86"/>
    <n v="0.25"/>
    <n v="121.12676056338029"/>
    <n v="100"/>
    <n v="0.25"/>
    <n v="0.25"/>
    <n v="0.25"/>
    <n v="1"/>
    <n v="0"/>
    <n v="621"/>
    <s v="ALCANZAR EN CUNDINAMARCA EL PROMEDIO NACIONAL DE PENETRACIÓN DE INTERNET (12,8%)"/>
    <m/>
    <s v=""/>
    <m/>
    <m/>
    <m/>
    <m/>
    <s v="1. 86% DE LAS FORMAS DE PARTICIPACIÓN EN SALUD DEL DEPARTAMENTO ACTIVAS Y FUNCIONANDO._x000a_2. CREACIÓN DE LA FIGURA DEL DEFENSOR DEL USUARIO DE LA SECRETARIA DE SALUD DE CUNDINAMARCA._x000a_3. EMPODERAMIENTO DE LA COMUNIDAD FRENTE A LA PARTICIPACIÓN ACTIVA EN LA TOMA DE DECISIONES DEL SECTOR SALUD."/>
    <n v="15000000"/>
    <m/>
    <n v="4"/>
  </r>
  <r>
    <n v="573"/>
    <x v="3"/>
    <x v="26"/>
    <x v="30"/>
    <s v="INFRAESTRUTURA EN TIC"/>
    <s v="PASAR DEL 43% AL 70% DE ACTUALIZACIÓN DEL LICENCIAMIENTO CORPORATIVO DE SOFTWARE OFIMÁTICO Y COMUNICACIONES UNIFICADAS DURANTE EL PERIODO DE GOBIERNO."/>
    <s v="PORCENTAJE DE LICENCIAMIENTO DE SOFTWARE ACTUALIZADO"/>
    <s v="PUNTOS PORCENTUALES"/>
    <s v="I"/>
    <n v="43"/>
    <n v="70"/>
    <n v="27"/>
    <n v="0.16500000000000001"/>
    <n v="0"/>
    <n v="0"/>
    <n v="0"/>
    <n v="0"/>
    <n v="0"/>
    <n v="0"/>
    <n v="0"/>
    <n v="0"/>
    <n v="0"/>
    <n v="0"/>
    <n v="0"/>
    <n v="0"/>
    <n v="0"/>
    <n v="0"/>
    <n v="0"/>
    <n v="0"/>
    <n v="0"/>
    <n v="0"/>
    <n v="0"/>
    <n v="0"/>
    <n v="0"/>
    <n v="0"/>
    <n v="0"/>
    <n v="0"/>
    <n v="0"/>
    <n v="0"/>
    <n v="0"/>
    <n v="0"/>
    <n v="7.9444444444444443E-2"/>
    <n v="13"/>
    <n v="0.48148148148148145"/>
    <n v="12.9"/>
    <n v="12.9"/>
    <n v="99.230769230769226"/>
    <n v="99.230769230769226"/>
    <n v="7.8833333333333325E-2"/>
    <n v="99.230769230769226"/>
    <n v="300000000"/>
    <n v="0"/>
    <n v="300000000"/>
    <n v="0"/>
    <n v="0"/>
    <n v="0"/>
    <n v="0"/>
    <n v="0"/>
    <n v="0"/>
    <n v="0"/>
    <n v="0"/>
    <n v="0"/>
    <n v="0"/>
    <n v="0"/>
    <n v="0"/>
    <n v="0"/>
    <n v="0"/>
    <n v="0"/>
    <n v="0"/>
    <n v="8.5555555555555551E-2"/>
    <n v="14"/>
    <n v="0.51851851851851849"/>
    <n v="0"/>
    <n v="0"/>
    <n v="58.200000762939453"/>
    <n v="58.200000762939453"/>
    <n v="415.71429116385326"/>
    <n v="100"/>
    <n v="8.5555555555555551E-2"/>
    <n v="100"/>
    <n v="0.35566667132907442"/>
    <n v="0"/>
    <n v="0"/>
    <n v="0"/>
    <n v="0"/>
    <n v="0"/>
    <n v="0"/>
    <n v="0"/>
    <n v="0"/>
    <n v="0"/>
    <n v="0"/>
    <n v="0"/>
    <n v="0"/>
    <n v="0"/>
    <n v="0"/>
    <n v="0"/>
    <n v="0"/>
    <n v="0"/>
    <n v="0"/>
    <n v="0"/>
    <n v="0"/>
    <n v="0"/>
    <n v="0"/>
    <n v="0"/>
    <n v="0"/>
    <n v="0"/>
    <n v="0"/>
    <n v="0"/>
    <n v="0"/>
    <n v="0"/>
    <n v="71.100000762939459"/>
    <n v="0.16499999999999998"/>
    <n v="263.33333615903507"/>
    <n v="100"/>
    <n v="0.16500000000000001"/>
    <n v="0.16500000000000001"/>
    <n v="0.16500000000000001"/>
    <n v="1"/>
    <n v="1.3877787807814457E-17"/>
    <n v="623"/>
    <s v="100% ENTIDADES MEJORAN EL RESULTADO DE LA GESTIÓN CON HERRAMIENTAS GERENCIALES S Y E "/>
    <m/>
    <s v=""/>
    <m/>
    <m/>
    <m/>
    <m/>
    <s v="Se utilizó la metodología Software Asset Management (SAM)  considerada como una buena práctica  al incorporar un conjunto de procesos probados y procedimientos para la gestión y optimización de los activos de TI , con la cual, se logró cumplir la meta estabalecida premitiendo a la Gobernación estar actualizada en el licenciamiento de software utilizado. "/>
    <n v="542000000"/>
    <m/>
    <n v="2"/>
  </r>
  <r>
    <n v="575"/>
    <x v="3"/>
    <x v="3"/>
    <x v="30"/>
    <s v="INFRAESTRUTURA EN TIC"/>
    <s v="ASIGNAR ANUALMENTE COMPUTADORES A 13000 NIÑOS Y NIÑAS DE SEXTO GRADO DE LAS INSTITUCIONES EDUCATIVAS DEL DEPARTAMENTO COMO MECANISMO PARA MEJORAR LA CALIDAD EDUCATIVA DURANTE EL PERIODO DE GOBIERNO "/>
    <s v="NÚMERO COMPUTADORES ASIGNADOS A ALUMNOS DE SEXTO GRADO "/>
    <s v="COMPUTADORES"/>
    <s v="I"/>
    <n v="0"/>
    <n v="52000"/>
    <n v="52000"/>
    <n v="0.33"/>
    <n v="3.2308269230769238E-2"/>
    <n v="5091"/>
    <n v="9.7903846153846161E-2"/>
    <n v="5091"/>
    <n v="5091"/>
    <n v="100"/>
    <n v="100"/>
    <n v="3.2308269230769238E-2"/>
    <n v="100"/>
    <n v="5455000000"/>
    <n v="5455000000"/>
    <n v="0"/>
    <n v="0"/>
    <n v="0"/>
    <n v="0"/>
    <n v="0"/>
    <n v="0"/>
    <n v="0"/>
    <n v="0"/>
    <n v="0"/>
    <n v="0"/>
    <n v="0"/>
    <n v="0"/>
    <n v="0"/>
    <n v="0"/>
    <n v="0"/>
    <n v="0"/>
    <s v="-"/>
    <n v="0.10828442307692307"/>
    <n v="17063"/>
    <n v="0.32813461538461536"/>
    <n v="17063"/>
    <n v="17063"/>
    <n v="100"/>
    <n v="100"/>
    <n v="0.10828442307692306"/>
    <n v="100"/>
    <n v="14500000000"/>
    <n v="0"/>
    <n v="3900000000"/>
    <n v="0"/>
    <n v="0"/>
    <n v="0"/>
    <n v="0"/>
    <n v="10600000"/>
    <n v="5063709619"/>
    <n v="5063709619"/>
    <n v="0"/>
    <n v="0"/>
    <n v="0"/>
    <n v="0"/>
    <n v="0"/>
    <n v="0"/>
    <n v="0"/>
    <n v="5206393000"/>
    <s v="MinTIC-Computadores para educar"/>
    <n v="9.5192307692307687E-2"/>
    <n v="15000"/>
    <n v="0.28846153846153844"/>
    <n v="909"/>
    <n v="909"/>
    <n v="909"/>
    <n v="909"/>
    <n v="6.06"/>
    <n v="6.06"/>
    <n v="5.7686538461538452E-3"/>
    <n v="6.06"/>
    <n v="5.7686538461538452E-3"/>
    <n v="9.4214999999999993E-2"/>
    <n v="14846"/>
    <n v="0.28549999999999998"/>
    <n v="29136"/>
    <n v="-14290"/>
    <n v="29136"/>
    <n v="196.25488347029503"/>
    <n v="100"/>
    <n v="9.4214999999999993E-2"/>
    <n v="0.18490153846153845"/>
    <n v="19600000000"/>
    <n v="9000000000"/>
    <n v="0"/>
    <n v="0"/>
    <n v="0"/>
    <n v="0"/>
    <n v="0"/>
    <n v="10600000"/>
    <n v="0"/>
    <n v="0"/>
    <n v="0"/>
    <n v="0"/>
    <n v="0"/>
    <n v="0"/>
    <n v="0"/>
    <n v="0"/>
    <n v="0"/>
    <n v="0"/>
    <n v="0"/>
    <n v="52199"/>
    <n v="0.32999999999999996"/>
    <n v="100.38269230769231"/>
    <n v="100"/>
    <n v="0.33"/>
    <n v="0.33"/>
    <n v="0.33"/>
    <n v="0.99999999999999989"/>
    <n v="0"/>
    <n v="75"/>
    <s v="MEJORAR EN EL CUATRIENIO, EL PROMEDIO DE DESEMPEÑO DE LAS PRUEBAS SABER DEL GRADO NOVENO DE LAS INSTITUCIONES EDUCATIVAS OFICIALES EN 2 PUNTOS EN CADA ÁREA EVALUADA"/>
    <n v="76"/>
    <s v="MEJORAR EN EL CUATRIENIO EL RESULTADO DE LAS PRUEBAS SABER DE GRADO 11° EN 2 PUNTOS EN 6 DE LAS ÁREAS EVALUADAS"/>
    <n v="77"/>
    <m/>
    <m/>
    <m/>
    <s v="DURANTE LO CORRIDO DEL CUATRIENIO 2012-2015, SE HAN ADQUIRIDO 29.136 EQUIPOS DE CÓMPUTO PARA LOS NIÑOS DE GRADOS SEXTO, DE LAS INSTITUCIONES EDUCATIVAS DE LOS MUNICIPIOS NO CERTIFICADOS DEL DEPARTAMENTO DE CUNDINAMARCA. ESTOS 29.136 EQUIPOS CORRESPONDEN AL 56.03% DE LA META TOTAL, SEGÚN LO ESTABLECIDO EN EL PLAN DE DESARROLLO DEPARTAMENTAL. ASÍ MISMO, ANTES DE FINALIZAR EL CUATRIENIO LA SECRETARÍA DE EDUCACIÓN DE CUNDINAMARCA ENTREGARÁ COMO MÍNIMO 15.000 TABLETAS A LOS NIÑOS DE GRADO SEXTO, A TRAVÉS DE UNA SUBASTA INVERSA CON RECURSOS DEL FONDO NACIONAL DE REGALÍAS, QUE COADYUVEN PARA ALCANZAR APROXIMADAMENTE AL 85% DEL TOTAL DE EQUIPOS ESTABLECIDOS EN LA MENCIONADA META. EL 15% RESTANTE, SE ESTÁ TRAMITANDO ANTE CPE CON EL PROPÓSITO DE QUE ESTOS EQUIPOS SEAN ENTREGADOS ANTES DE FINALIZAR EL AÑO 2015 PARA ASI LOGRAR A LA META DEL 100%"/>
    <n v="0"/>
    <m/>
    <n v="0"/>
  </r>
  <r>
    <n v="576"/>
    <x v="3"/>
    <x v="24"/>
    <x v="30"/>
    <s v="INFRAESTRUTURA EN TIC"/>
    <s v="MODERNIZAR LA GESTIÓN FINANCIERA Y FISCAL DEL DEPARTAMENTO MEDIANTE EL FORTALECIMIENTO DEL 100 % DE LA INFRAESTRUCTURA TECNOLÓGICA A TRAVÉS DE UNA PLATAFORMA UNIFICADA Y LA ESPECIALIZACIÓN DEL RECURSO HUMANO DURANTE EL PERIODO DE GOBIERNO, PARA MEJORAR EL"/>
    <s v="PORCENTAJE DE INFRAESTRUCTURA TECNOLÓGICA FORTALECIDA"/>
    <s v="PUNTOS PORCENTUALES"/>
    <s v="I"/>
    <n v="55"/>
    <n v="100"/>
    <n v="45"/>
    <n v="0.16500000000000001"/>
    <n v="3.6666666666666667E-2"/>
    <n v="10"/>
    <n v="0.22222222222222221"/>
    <n v="13"/>
    <n v="13"/>
    <n v="130"/>
    <n v="100"/>
    <n v="3.6666666666666667E-2"/>
    <n v="100"/>
    <n v="0"/>
    <n v="0"/>
    <n v="0"/>
    <n v="0"/>
    <n v="0"/>
    <n v="0"/>
    <n v="0"/>
    <n v="0"/>
    <n v="7052000000"/>
    <n v="7052000000"/>
    <n v="0"/>
    <n v="0"/>
    <n v="0"/>
    <n v="0"/>
    <n v="0"/>
    <n v="0"/>
    <n v="0"/>
    <n v="0"/>
    <n v="0"/>
    <n v="4.4000000000000004E-2"/>
    <n v="12"/>
    <n v="0.26666666666666666"/>
    <n v="12"/>
    <n v="12"/>
    <n v="100"/>
    <n v="100"/>
    <n v="4.4000000000000004E-2"/>
    <n v="100"/>
    <n v="0"/>
    <n v="0"/>
    <n v="0"/>
    <n v="0"/>
    <n v="0"/>
    <n v="0"/>
    <n v="0"/>
    <n v="0"/>
    <n v="7180498445"/>
    <n v="7180498445"/>
    <n v="0"/>
    <n v="0"/>
    <n v="0"/>
    <n v="0"/>
    <n v="0"/>
    <n v="0"/>
    <n v="0"/>
    <n v="0"/>
    <n v="0"/>
    <n v="2.9333333333333336E-2"/>
    <n v="8"/>
    <n v="0.17777777777777778"/>
    <n v="4"/>
    <n v="6"/>
    <n v="8"/>
    <n v="8"/>
    <n v="100"/>
    <n v="100"/>
    <n v="2.9333333333333336E-2"/>
    <n v="100"/>
    <n v="2.9333333333333336E-2"/>
    <n v="5.5E-2"/>
    <n v="15"/>
    <n v="0.33333333333333331"/>
    <n v="14"/>
    <n v="1"/>
    <n v="14"/>
    <n v="93.333333333333329"/>
    <n v="93.333333333333329"/>
    <n v="5.1333333333333328E-2"/>
    <n v="5.1333333333333328E-2"/>
    <n v="0"/>
    <n v="0"/>
    <n v="0"/>
    <n v="0"/>
    <n v="0"/>
    <n v="0"/>
    <n v="0"/>
    <n v="0"/>
    <n v="0"/>
    <n v="0"/>
    <n v="0"/>
    <n v="0"/>
    <n v="0"/>
    <n v="0"/>
    <n v="0"/>
    <n v="0"/>
    <n v="0"/>
    <n v="0"/>
    <n v="0"/>
    <n v="47"/>
    <n v="0.16500000000000001"/>
    <n v="104.44444444444444"/>
    <n v="100"/>
    <n v="0.16500000000000001"/>
    <n v="0.16500000000000001"/>
    <n v="0.16500000000000001"/>
    <n v="1"/>
    <n v="0"/>
    <n v="612"/>
    <s v="ASCENDER DOS PUESTOS EN EL RANKING NACIONAL DE TRANSPARENCIA"/>
    <m/>
    <s v=""/>
    <m/>
    <m/>
    <m/>
    <m/>
    <s v="LA PLATAFORMA TECNOLÓGICA CON QUE HOY CUENTA LA SECRETARÍA DE HACIENDA HA PERMITIDO FORTALECER LA FISCALIZACIÓN PARA EL COBRO DE LOS IMPUESTOS DEL DEPARTAMENTO SON : QX – IMPUESTOS PLUS, UN SOFTWARE ARRENDADO (QUE INCLUYE SOPORTE Y MANTENIMIENTO), GEVIR ES PROPIO, PARA EL SOPORTE Y MANTENIMIENTO SE PACTA UNA BOLSA DE HORAS, HERRAMIENTAS SAS (PARA DEPURACIÓN Y CALIDAD DE LOS DATOS) ES DE TIPO REPOSITORIO UNIFICADO DE INFORMACIÓN (INICIALMENTE OPERA PARA VEHÍCULOS), LA LICENCIA TIENE RENOVACIÓN ANUAL, SERVICIOS INFORMÁTICOS DATA CENTER PRINCIPAL Y ALTERNO (REDES DE COMUNICACIÓN, SOPORTE Y MANTENIMIENTO MICRO INFORMÁTICO, SOPORTE BASIS SAP, BACK- UP (LOS SERVIDORES SON PROPIOS LOS ESPACIOS Y OTROS SERVICIOS SON RENTADOS). NUEVOS DESARROLLOS, SON APLICATIVOS PARA COBRO COACTIVO DE VEHÍCULOS, PENSIONES, EMPLEADOS, REGISTRO, ENTRE OTROS. PARA QUE LA SECRETARIA DE HACIENDA PUEDA DESARROLLAR SUS PROCESOS, ES INDISPENSABLE MANTENER, ACTUALIZAR Y DESARROLLAR O CONTRATAR NUEVOS APLICATIVOS TECNOLÓGICOS. POR CONSIGUIENTE SE ESTIMA QUE LA PROYECCIÓN PARA EL AÑO 2016 EN RELACIÓN CON LA META ESPERADA ES DEL 9%."/>
    <n v="2800000000"/>
    <m/>
    <n v="1"/>
  </r>
  <r>
    <n v="577"/>
    <x v="3"/>
    <x v="26"/>
    <x v="30"/>
    <s v="SERVICIOS Y APLICACIONES SOPORTADAS EN TICS"/>
    <s v="GARANTIZAR EL SERVICIO A INTERNET DE CALIDAD EN 1.800 INSTITUCIONES PÚBLICAS DEL DEPARTAMENTO, COMO INSTRUMENTO NECESARIO PARA EL ACCESO A LAS TIC DURANTE EL PERIODO DE GOBIERNO."/>
    <s v="NÚMERO DE INSTITUCIONES PÚBLICAS CON ACCESO A INTERNET"/>
    <s v="INSTITUCIONES"/>
    <s v="I"/>
    <n v="0"/>
    <n v="1800"/>
    <n v="1800"/>
    <n v="0.33"/>
    <n v="0"/>
    <n v="0"/>
    <n v="0"/>
    <n v="0"/>
    <n v="0"/>
    <n v="0"/>
    <n v="0"/>
    <n v="0"/>
    <n v="0"/>
    <n v="3000000000"/>
    <n v="600000000"/>
    <n v="2400000000"/>
    <n v="0"/>
    <n v="0"/>
    <n v="0"/>
    <n v="0"/>
    <n v="0"/>
    <n v="2844000000"/>
    <n v="579000000"/>
    <n v="2265000000"/>
    <n v="0"/>
    <n v="0"/>
    <n v="0"/>
    <n v="0"/>
    <n v="0"/>
    <n v="0"/>
    <n v="837000000"/>
    <s v="MINTIC"/>
    <n v="7.3333333333333334E-2"/>
    <n v="400"/>
    <n v="0.22222222222222221"/>
    <n v="407"/>
    <n v="407"/>
    <n v="101.75"/>
    <n v="100"/>
    <n v="7.3333333333333334E-2"/>
    <n v="100"/>
    <n v="24157000000"/>
    <n v="1209000000"/>
    <n v="4450000000"/>
    <n v="0"/>
    <n v="0"/>
    <n v="0"/>
    <n v="0"/>
    <n v="18498000"/>
    <n v="1768878793"/>
    <n v="1768878793"/>
    <n v="0"/>
    <n v="0"/>
    <n v="0"/>
    <n v="0"/>
    <n v="0"/>
    <n v="0"/>
    <n v="0"/>
    <n v="0"/>
    <n v="0"/>
    <n v="9.1666666666666674E-2"/>
    <n v="500"/>
    <n v="0.27777777777777779"/>
    <n v="513"/>
    <n v="760"/>
    <n v="100"/>
    <n v="100"/>
    <n v="20"/>
    <n v="20"/>
    <n v="1.8333333333333333E-2"/>
    <n v="100"/>
    <n v="1.8333333333333333E-2"/>
    <n v="0.16500000000000001"/>
    <n v="900"/>
    <n v="0.5"/>
    <n v="406"/>
    <n v="494"/>
    <n v="406"/>
    <n v="45.111111111111114"/>
    <n v="45.111111111111114"/>
    <n v="7.4433333333333337E-2"/>
    <n v="7.4433333333333337E-2"/>
    <n v="24287000000"/>
    <n v="4450000000"/>
    <n v="1337000000"/>
    <n v="0"/>
    <n v="0"/>
    <n v="0"/>
    <n v="0"/>
    <n v="18500000"/>
    <n v="0"/>
    <n v="0"/>
    <n v="0"/>
    <n v="0"/>
    <n v="0"/>
    <n v="0"/>
    <n v="0"/>
    <n v="0"/>
    <n v="0"/>
    <n v="0"/>
    <n v="0"/>
    <n v="913"/>
    <n v="0.33"/>
    <n v="50.722222222222221"/>
    <n v="50.722222222222221"/>
    <n v="0.16738333333333333"/>
    <n v="0.16738333333333333"/>
    <n v="0.16738333333333333"/>
    <n v="1"/>
    <n v="0"/>
    <n v="621"/>
    <s v="ALCANZAR EN CUNDINAMARCA EL PROMEDIO NACIONAL DE PENETRACIÓN DE INTERNET (12,8%)"/>
    <m/>
    <s v=""/>
    <m/>
    <m/>
    <m/>
    <m/>
    <s v="Se garantiza el servicio de Internet a 913 instituciones públicas  así: 521 entidades mediante Red Social de Datos, 143  Plan Nacional Fibra Óptica, 6 Puntos Vive Digital Plus, 51 Puntos Vive Digital; 192 Kioscos Vive Digital. Se indica que el acumulado de la meta bajó en sentido que terminó la  conectividad brindada a través  de operadores locales. "/>
    <n v="2574000000"/>
    <m/>
    <n v="2"/>
  </r>
  <r>
    <n v="578"/>
    <x v="3"/>
    <x v="26"/>
    <x v="30"/>
    <s v="SERVICIOS Y APLICACIONES SOPORTADAS EN TICS"/>
    <s v="AMPLIAR EL CUBRIMIENTO DE ZONAS WIFI DE 60 A 80 MUNICIPIOS PARA EL ACCESO GRATUITO A INTERNET PARA LA COMUNIDAD DURANTE EL PERIODO DE GOBIERNO."/>
    <s v="NÚMERO DE ZONAS WIFI IMPLEMENTADAS"/>
    <s v="MUNICIPIOS"/>
    <s v="I"/>
    <n v="0"/>
    <n v="20"/>
    <n v="20"/>
    <n v="0.25"/>
    <n v="6.25E-2"/>
    <n v="5"/>
    <n v="0.25"/>
    <n v="28"/>
    <n v="28"/>
    <n v="560"/>
    <n v="100"/>
    <n v="6.25E-2"/>
    <n v="100"/>
    <n v="150000000"/>
    <n v="150000000"/>
    <n v="0"/>
    <n v="0"/>
    <n v="0"/>
    <n v="0"/>
    <n v="0"/>
    <n v="0"/>
    <n v="150000000"/>
    <n v="150000000"/>
    <n v="0"/>
    <n v="0"/>
    <n v="0"/>
    <n v="0"/>
    <n v="0"/>
    <n v="0"/>
    <n v="0"/>
    <n v="690881000"/>
    <s v="MINTIC"/>
    <n v="6.25E-2"/>
    <n v="5"/>
    <n v="0.25"/>
    <n v="0"/>
    <n v="0"/>
    <n v="0"/>
    <n v="0"/>
    <n v="0"/>
    <n v="0"/>
    <n v="1110000000"/>
    <n v="0"/>
    <n v="500000000"/>
    <n v="0"/>
    <n v="0"/>
    <n v="0"/>
    <n v="0"/>
    <n v="610000000"/>
    <n v="0"/>
    <n v="0"/>
    <n v="0"/>
    <n v="0"/>
    <n v="0"/>
    <n v="0"/>
    <n v="0"/>
    <n v="0"/>
    <n v="0"/>
    <n v="0"/>
    <n v="0"/>
    <n v="6.25E-2"/>
    <n v="5"/>
    <n v="0.25"/>
    <n v="0"/>
    <n v="0"/>
    <n v="2"/>
    <n v="2"/>
    <n v="40"/>
    <n v="40"/>
    <n v="2.5000000000000001E-2"/>
    <n v="40"/>
    <n v="2.5000000000000001E-2"/>
    <n v="6.25E-2"/>
    <n v="5"/>
    <n v="0.25"/>
    <n v="0"/>
    <n v="5"/>
    <n v="0"/>
    <n v="0"/>
    <n v="0"/>
    <n v="0"/>
    <n v="0"/>
    <n v="1093000000"/>
    <n v="481000000"/>
    <n v="0"/>
    <n v="0"/>
    <n v="0"/>
    <n v="0"/>
    <n v="0"/>
    <n v="612000000"/>
    <n v="0"/>
    <n v="0"/>
    <n v="0"/>
    <n v="0"/>
    <n v="0"/>
    <n v="0"/>
    <n v="0"/>
    <n v="0"/>
    <n v="0"/>
    <n v="0"/>
    <n v="0"/>
    <n v="30"/>
    <n v="0.25"/>
    <n v="150"/>
    <n v="100"/>
    <n v="0.25"/>
    <n v="0.25"/>
    <n v="0.25"/>
    <n v="1"/>
    <n v="0"/>
    <n v="621"/>
    <s v="ALCANZAR EN CUNDINAMARCA EL PROMEDIO NACIONAL DE PENETRACIÓN DE INTERNET (12,8%)"/>
    <m/>
    <s v=""/>
    <m/>
    <m/>
    <m/>
    <m/>
    <s v="Se instalaron 80 zonas wifi en  23 municipios del Departamento. Con lo cual se logra proveer de una manera gratuita acceso a internet en lugares específicos de los municipios como los parques, permitiendo la navegación tanto a la población como a los visitantes y turistas."/>
    <n v="40000000"/>
    <m/>
    <n v="1"/>
  </r>
  <r>
    <n v="579"/>
    <x v="3"/>
    <x v="26"/>
    <x v="30"/>
    <s v="SERVICIOS Y APLICACIONES SOPORTADAS EN TICS"/>
    <s v="ACTUALIZAR EL PLAN ESTRATÉGICO DE SISTEMAS DE INFORMACIÓN Y LA ARQUITECTURA INSTITUCIONAL DE INFORMACIÓN EN EL DEPARTAMENTO, COMO INSTRUMENTO DE GESTIÓN GERENCIAL DURANTE EL PERIODO DE GOBIERNO."/>
    <s v="PLAN Y ARQUITECTURA DE INFORMACIÓN ACTUALIZADA Y DISPONIBLE"/>
    <s v="PLAN"/>
    <s v="I"/>
    <n v="0"/>
    <n v="1"/>
    <n v="1"/>
    <n v="8.8999999999999996E-2"/>
    <n v="1.78E-2"/>
    <n v="0.2"/>
    <n v="0.2"/>
    <n v="0"/>
    <n v="0"/>
    <n v="0"/>
    <n v="0"/>
    <n v="0"/>
    <n v="0"/>
    <n v="200000000"/>
    <n v="200000000"/>
    <n v="0"/>
    <n v="0"/>
    <n v="0"/>
    <n v="0"/>
    <n v="0"/>
    <n v="0"/>
    <n v="200000000"/>
    <n v="200000000"/>
    <n v="0"/>
    <n v="0"/>
    <n v="0"/>
    <n v="0"/>
    <n v="0"/>
    <n v="0"/>
    <n v="0"/>
    <n v="0"/>
    <n v="0"/>
    <n v="7.1199999999999999E-2"/>
    <n v="0.8"/>
    <n v="0.8"/>
    <n v="1"/>
    <n v="1"/>
    <n v="125"/>
    <n v="100"/>
    <n v="7.1199999999999999E-2"/>
    <n v="100"/>
    <n v="500000000"/>
    <n v="0"/>
    <n v="500000000"/>
    <n v="0"/>
    <n v="0"/>
    <n v="0"/>
    <n v="0"/>
    <n v="0"/>
    <n v="289656824"/>
    <n v="289656824"/>
    <n v="0"/>
    <n v="0"/>
    <n v="0"/>
    <n v="0"/>
    <n v="0"/>
    <n v="0"/>
    <n v="0"/>
    <n v="0"/>
    <n v="0"/>
    <n v="0"/>
    <n v="0"/>
    <n v="0"/>
    <n v="0"/>
    <n v="0"/>
    <n v="0"/>
    <n v="0"/>
    <n v="0"/>
    <n v="0"/>
    <n v="0"/>
    <n v="0"/>
    <n v="0"/>
    <n v="0"/>
    <n v="0"/>
    <n v="0"/>
    <n v="0"/>
    <n v="0"/>
    <n v="0"/>
    <n v="0"/>
    <n v="0"/>
    <n v="0"/>
    <n v="0"/>
    <n v="0"/>
    <n v="0"/>
    <n v="0"/>
    <n v="0"/>
    <n v="0"/>
    <n v="0"/>
    <n v="0"/>
    <n v="0"/>
    <n v="0"/>
    <n v="0"/>
    <n v="0"/>
    <n v="0"/>
    <n v="0"/>
    <n v="0"/>
    <n v="0"/>
    <n v="0"/>
    <n v="0"/>
    <n v="0"/>
    <n v="0"/>
    <n v="1"/>
    <n v="8.8999999999999996E-2"/>
    <n v="100"/>
    <n v="100"/>
    <n v="8.900000000000001E-2"/>
    <n v="8.8999999999999996E-2"/>
    <n v="8.8999999999999996E-2"/>
    <n v="1"/>
    <n v="0"/>
    <n v="621"/>
    <s v="ALCANZAR EN CUNDINAMARCA EL PROMEDIO NACIONAL DE PENETRACIÓN DE INTERNET (12,8%)"/>
    <m/>
    <s v=""/>
    <m/>
    <m/>
    <m/>
    <m/>
    <s v="El Departamento cuenta con el Plan de Tecnologías de la Información para el Departamento, como herramienta de navegación, que permite alinear, y estandarizar. En ejecución de la implemanción del plan se cuenta ya con un avance en la implementación de  proyectos habilitadores que hoy permiten contar con: Portal corporativo (IBM WebSphere), Bus de integración (Message Broker), GIS (SAGA- ARGIS), BPM (Bizagi), se hicieron mejoras al Datacenter de Gobernación, Hay un avance en Red Social de Datos. Componentes que ya se han utilizado en proyectos como: HCU, Sistema de seguimiento al PDD, Trámites, entre otros.  "/>
    <n v="59000000"/>
    <m/>
    <n v="0"/>
  </r>
  <r>
    <n v="580"/>
    <x v="3"/>
    <x v="26"/>
    <x v="30"/>
    <s v="SERVICIOS Y APLICACIONES SOPORTADAS EN TICS"/>
    <s v="HABILITAR 8 TRÁMITES EN LÍNEA EN EL PORTAL WEB DEL DEPARTAMENTO, SOPORTADOS EN 5 NUEVOS SISTEMAS DE INFORMACIÓN PRIORIZADOS E IMPLEMENTADOS."/>
    <s v="NÚMERO DE TRAMITES EN LÍNEA HABILITADOS"/>
    <s v="TRAMITES EN LINEA"/>
    <s v="I"/>
    <n v="0"/>
    <n v="8"/>
    <n v="8"/>
    <n v="0.25"/>
    <n v="3.125E-2"/>
    <n v="1"/>
    <n v="0.125"/>
    <n v="2"/>
    <n v="2"/>
    <n v="200"/>
    <n v="100"/>
    <n v="3.125E-2"/>
    <n v="100"/>
    <n v="700000000"/>
    <n v="700000000"/>
    <n v="0"/>
    <n v="0"/>
    <n v="0"/>
    <n v="0"/>
    <n v="0"/>
    <n v="0"/>
    <n v="200000000"/>
    <n v="200000000"/>
    <n v="0"/>
    <n v="0"/>
    <n v="0"/>
    <n v="0"/>
    <n v="0"/>
    <n v="0"/>
    <n v="0"/>
    <n v="0"/>
    <n v="0"/>
    <n v="9.375E-2"/>
    <n v="3"/>
    <n v="0.375"/>
    <n v="6"/>
    <n v="6"/>
    <n v="200"/>
    <n v="100"/>
    <n v="9.375E-2"/>
    <n v="100"/>
    <n v="0"/>
    <n v="0"/>
    <n v="0"/>
    <n v="0"/>
    <n v="0"/>
    <n v="0"/>
    <n v="0"/>
    <n v="0"/>
    <n v="0"/>
    <n v="0"/>
    <n v="0"/>
    <n v="0"/>
    <n v="0"/>
    <n v="0"/>
    <n v="0"/>
    <n v="0"/>
    <n v="0"/>
    <n v="0"/>
    <n v="0"/>
    <n v="6.25E-2"/>
    <n v="2"/>
    <n v="0.25"/>
    <n v="0"/>
    <n v="0"/>
    <s v="2"/>
    <s v="2"/>
    <n v="100"/>
    <n v="100"/>
    <n v="6.25E-2"/>
    <n v="100"/>
    <n v="6.25E-2"/>
    <n v="6.25E-2"/>
    <n v="2"/>
    <n v="0.25"/>
    <n v="0"/>
    <n v="2"/>
    <n v="0"/>
    <n v="0"/>
    <n v="0"/>
    <n v="0"/>
    <n v="0"/>
    <n v="0"/>
    <n v="0"/>
    <n v="0"/>
    <n v="0"/>
    <n v="0"/>
    <n v="0"/>
    <n v="0"/>
    <n v="0"/>
    <n v="0"/>
    <n v="0"/>
    <n v="0"/>
    <n v="0"/>
    <n v="0"/>
    <n v="0"/>
    <n v="0"/>
    <n v="0"/>
    <n v="0"/>
    <n v="0"/>
    <n v="0"/>
    <n v="10"/>
    <n v="0.25"/>
    <n v="125"/>
    <n v="100"/>
    <n v="0.25"/>
    <n v="0.25"/>
    <n v="0.25"/>
    <n v="1"/>
    <n v="0"/>
    <n v="621"/>
    <s v="ALCANZAR EN CUNDINAMARCA EL PROMEDIO NACIONAL DE PENETRACIÓN DE INTERNET (12,8%)"/>
    <m/>
    <s v=""/>
    <m/>
    <m/>
    <m/>
    <m/>
    <s v="De acuerdo con los recursos existentes se ha dado continuidad a la labor de identificación e implementación de soluciones que permita ofrecer a los ciudadanos nuevos trámites.  Los trámites que se han puesto en producción son los siguientes: _x000a_-Inscripción de profesionales del área de la salud del Dpto de Cundinamarca_x000a_-Implementación de PQR a través de mercurio para la secretaría de salud_x000a_-Registro de profesionales del área de salud._x000a_-Implementación de PQR a través de mercurio para el nivel central de la Gobernación_x000a_-Implementación de módulo de devoluciones. _x000a_-Inscripción en el registro especial de prestadores de salud como instituciones _x000a_-Notificaciones por la WEB - Secretaría jurídica_x000a_Y en proceso de implementación se encuentra: _x000a_-Tiempo de servicio de docentes (En diciembre sale en productivo)_x000a_-Otorgamiento y renovación de licencias de salud ocupacional modelados (En diciembre sale en productivo)_x000a_-Pago electrónico impuesto sobre vehículos (Cronograma en ajuste por resultados pruebas)_x000a_-Integración con CCB liquidación y recaudo de Impuesto de Registro Mercantil (Por cronograma la salida en productivo se estima en marzo 2016)_x000a__x000a_"/>
    <n v="24000000"/>
    <m/>
    <n v="10"/>
  </r>
  <r>
    <n v="581"/>
    <x v="3"/>
    <x v="26"/>
    <x v="30"/>
    <s v="SERVICIOS Y APLICACIONES SOPORTADAS EN TICS"/>
    <s v="ACTUALIZAR, MANTENER Y AMPLIAR LA FUNCIONALIDAD DE 32 SISTEMAS DE INFORMACIÓN Y APLICATIVOS EXISTENTES EN LAS DIFERENTES DEPENDENCIAS DEL DEPARTAMENTO, DURANTE EL PERIODO DE GOBIERNO PARA FACILITAR LA GESTIÓN DE LA ADMINISTRACIÓN DEPARTAMENTAL. "/>
    <s v="SISTEMAS EXISTENTES ACTUALIZADOS"/>
    <s v="SISTEMAS"/>
    <s v="M"/>
    <n v="0"/>
    <n v="32"/>
    <n v="32"/>
    <n v="0.25"/>
    <n v="6.25E-2"/>
    <n v="32"/>
    <n v="0.25"/>
    <n v="32"/>
    <n v="8"/>
    <n v="100"/>
    <n v="100"/>
    <n v="6.25E-2"/>
    <n v="100"/>
    <n v="0"/>
    <n v="0"/>
    <n v="0"/>
    <n v="0"/>
    <n v="0"/>
    <n v="0"/>
    <n v="0"/>
    <n v="0"/>
    <n v="667880000"/>
    <n v="667880000"/>
    <n v="0"/>
    <n v="0"/>
    <n v="0"/>
    <n v="0"/>
    <n v="0"/>
    <n v="0"/>
    <n v="0"/>
    <n v="0"/>
    <n v="0"/>
    <n v="6.25E-2"/>
    <n v="32"/>
    <n v="0.25"/>
    <n v="32"/>
    <n v="8"/>
    <n v="100"/>
    <n v="100"/>
    <n v="6.25E-2"/>
    <n v="100"/>
    <n v="1384000000"/>
    <n v="0"/>
    <n v="1384000000"/>
    <n v="0"/>
    <n v="0"/>
    <n v="0"/>
    <n v="0"/>
    <n v="0"/>
    <n v="2207116789"/>
    <n v="2207116789"/>
    <n v="0"/>
    <n v="0"/>
    <n v="0"/>
    <n v="0"/>
    <n v="0"/>
    <n v="0"/>
    <n v="0"/>
    <n v="0"/>
    <n v="0"/>
    <n v="6.25E-2"/>
    <n v="32"/>
    <n v="0.25"/>
    <n v="30"/>
    <n v="32"/>
    <n v="32"/>
    <n v="8"/>
    <n v="100"/>
    <n v="100"/>
    <n v="6.25E-2"/>
    <n v="100"/>
    <n v="6.25E-2"/>
    <n v="6.25E-2"/>
    <n v="32"/>
    <n v="0.25"/>
    <n v="32"/>
    <n v="0"/>
    <n v="8"/>
    <n v="100"/>
    <n v="100"/>
    <n v="6.25E-2"/>
    <n v="6.25E-2"/>
    <n v="1384000000"/>
    <n v="1384000000"/>
    <n v="0"/>
    <n v="0"/>
    <n v="0"/>
    <n v="0"/>
    <n v="0"/>
    <n v="0"/>
    <n v="0"/>
    <n v="0"/>
    <n v="0"/>
    <n v="0"/>
    <n v="0"/>
    <n v="0"/>
    <n v="0"/>
    <n v="0"/>
    <n v="0"/>
    <n v="0"/>
    <n v="0"/>
    <n v="32"/>
    <n v="0.25"/>
    <n v="100"/>
    <n v="100"/>
    <n v="0.25"/>
    <n v="0.25"/>
    <n v="0.25"/>
    <n v="1"/>
    <n v="0"/>
    <n v="621"/>
    <s v="ALCANZAR EN CUNDINAMARCA EL PROMEDIO NACIONAL DE PENETRACIÓN DE INTERNET (12,8%)"/>
    <m/>
    <s v=""/>
    <m/>
    <m/>
    <m/>
    <m/>
    <s v="Se ha mantenido disponible el servicio de soporte y mantenimiento para los sistemas de información incluidos dentro del alcance, de acuerdo con las condiciones particulares de cada uno. Se evidencia la existencia de más sistemas de información en uso en el Departamento, por lo que se continúa a partir del PETIC en la actualización del inventario así como en la ejecución de actividades tendientes a determinar la situación de obsolescencia que permita posteriormente configurar estrategias alineadas a PETIC para mejorar las condiciones y garantizar la continuidad en los servicios soportados a través de sistemas de información en el Departamento."/>
    <n v="150000000"/>
    <m/>
    <n v="1"/>
  </r>
  <r>
    <n v="582"/>
    <x v="3"/>
    <x v="26"/>
    <x v="30"/>
    <s v="SERVICIOS Y APLICACIONES SOPORTADAS EN TICS"/>
    <s v="ASEGURAR LA IMPLEMENTACIÓN Y CUMPLIMIENTO DE LAS FASES DE GOBIERNO EN LÍNEA EN CUNDINAMARCA DE TRANSACCIÓN, TRANSFORMACIÓN Y E-DEMOCRACIA, MEDIANTE EL FORTALECIMIENTO Y UNIFICACIÓN DEL 100% DEL PORTAL WEB DEL DEPARTAMENTO."/>
    <s v="PORCENTAJE FORTALECIDO E INTEGRADO DEL PORTAL"/>
    <s v="PORTAL"/>
    <s v="I"/>
    <n v="0"/>
    <n v="80"/>
    <n v="80"/>
    <n v="0.25"/>
    <n v="6.25E-2"/>
    <n v="20"/>
    <n v="0.25"/>
    <n v="67"/>
    <n v="67"/>
    <n v="335"/>
    <n v="100"/>
    <n v="6.25E-2"/>
    <n v="100"/>
    <n v="0"/>
    <n v="0"/>
    <n v="0"/>
    <n v="0"/>
    <n v="0"/>
    <n v="0"/>
    <n v="0"/>
    <n v="0"/>
    <n v="0"/>
    <n v="0"/>
    <n v="0"/>
    <n v="0"/>
    <n v="0"/>
    <n v="0"/>
    <n v="0"/>
    <n v="0"/>
    <n v="0"/>
    <n v="0"/>
    <n v="0"/>
    <n v="6.25E-2"/>
    <n v="20"/>
    <n v="0.25"/>
    <n v="12"/>
    <n v="12"/>
    <n v="60"/>
    <n v="60"/>
    <n v="3.7499999999999999E-2"/>
    <n v="60"/>
    <n v="546000000"/>
    <n v="0"/>
    <n v="546000000"/>
    <n v="0"/>
    <n v="0"/>
    <n v="0"/>
    <n v="0"/>
    <n v="0"/>
    <n v="644084880"/>
    <n v="644084880"/>
    <n v="0"/>
    <n v="0"/>
    <n v="0"/>
    <n v="0"/>
    <n v="0"/>
    <n v="0"/>
    <n v="0"/>
    <n v="0"/>
    <n v="0"/>
    <n v="6.25E-2"/>
    <n v="20"/>
    <n v="0.25"/>
    <n v="0"/>
    <n v="0"/>
    <n v="0"/>
    <n v="0"/>
    <n v="0"/>
    <n v="0"/>
    <n v="0"/>
    <n v="0"/>
    <n v="0"/>
    <n v="6.25E-2"/>
    <n v="20"/>
    <n v="0.25"/>
    <n v="1"/>
    <n v="19"/>
    <n v="1"/>
    <n v="5"/>
    <n v="5"/>
    <n v="3.1250000000000002E-3"/>
    <n v="3.1250000000000002E-3"/>
    <n v="0"/>
    <n v="0"/>
    <n v="0"/>
    <n v="0"/>
    <n v="0"/>
    <n v="0"/>
    <n v="0"/>
    <n v="0"/>
    <n v="0"/>
    <n v="0"/>
    <n v="0"/>
    <n v="0"/>
    <n v="0"/>
    <n v="0"/>
    <n v="0"/>
    <n v="0"/>
    <n v="0"/>
    <n v="0"/>
    <n v="0"/>
    <n v="80"/>
    <n v="0.25"/>
    <n v="100"/>
    <n v="100"/>
    <n v="0.25"/>
    <n v="0.25"/>
    <n v="0.25"/>
    <n v="1"/>
    <n v="0"/>
    <n v="621"/>
    <s v="ALCANZAR EN CUNDINAMARCA EL PROMEDIO NACIONAL DE PENETRACIÓN DE INTERNET (12,8%)"/>
    <m/>
    <s v=""/>
    <m/>
    <m/>
    <m/>
    <m/>
    <s v="Los principales logros del cuatrenio, fue la  implementación un nuevo portal web corporativo con una nueva plataforma estándar y amigable que facilita la interacción de los ciudadanos con la administración departamental, elevando la capacidad de visibilidad la información de 21 entidades a través de micrositios. Con el nuevo portal la gobernación pudo implementar un procedimiento Peticiones, Quejas y Reclamos – PQRS centralizado y de fácil acceso. Adicionalmente se cuenta con una plataforma para la generación de comunidades virtuales, donde se han implementado 10 espacios para la construcción de conocimiento colaborativo entre administración y ciudadanía."/>
    <n v="30000000"/>
    <m/>
    <n v="0"/>
  </r>
  <r>
    <n v="583"/>
    <x v="3"/>
    <x v="26"/>
    <x v="30"/>
    <s v="SERVICIOS Y APLICACIONES SOPORTADAS EN TICS"/>
    <s v="FACILITAR LA COMUNICACIÓN ENTRE LA SEDE ADMINISTRATIVA Y LAS INSTITUCIONES PÚBLICAS DE LOS 116 MUNICIPIOS, LLEVANDO LOS SERVICIOS DE MENSAJERÍA INSTANTÁNEA, VIDEO LLAMADA Y TELEFONÍA DURANTE EL PERIODO DE GOBIERNO."/>
    <s v="NÚMERO DE INSTITUCIONES PÚBLICAS BENEFICIADAS"/>
    <s v="INSTITUCIONES"/>
    <s v="I"/>
    <n v="0"/>
    <n v="153"/>
    <n v="153"/>
    <n v="0.25"/>
    <n v="0"/>
    <n v="0"/>
    <n v="0"/>
    <n v="0"/>
    <n v="0"/>
    <n v="0"/>
    <n v="0"/>
    <n v="0"/>
    <n v="0"/>
    <n v="100000000"/>
    <n v="100000000"/>
    <n v="0"/>
    <n v="0"/>
    <n v="0"/>
    <n v="0"/>
    <n v="0"/>
    <n v="0"/>
    <n v="100000000"/>
    <n v="100000000"/>
    <n v="0"/>
    <n v="0"/>
    <n v="0"/>
    <n v="0"/>
    <n v="0"/>
    <n v="0"/>
    <n v="0"/>
    <n v="0"/>
    <n v="0"/>
    <n v="8.3333333333333329E-2"/>
    <n v="51"/>
    <n v="0.33333333333333331"/>
    <n v="13"/>
    <n v="13"/>
    <n v="25.490196078431371"/>
    <n v="25.490196078431371"/>
    <n v="2.1241830065359471E-2"/>
    <n v="25.490196078431371"/>
    <n v="1265000000"/>
    <n v="0"/>
    <n v="1265000000"/>
    <n v="0"/>
    <n v="0"/>
    <n v="0"/>
    <n v="0"/>
    <n v="0"/>
    <n v="1264941797"/>
    <n v="1264941797"/>
    <n v="0"/>
    <n v="0"/>
    <n v="0"/>
    <n v="0"/>
    <n v="0"/>
    <n v="0"/>
    <n v="0"/>
    <n v="0"/>
    <n v="0"/>
    <n v="8.3333333333333329E-2"/>
    <n v="51"/>
    <n v="0.33333333333333331"/>
    <n v="51"/>
    <n v="51"/>
    <n v="79"/>
    <n v="79"/>
    <n v="154.90196078431373"/>
    <n v="100"/>
    <n v="8.3333333333333315E-2"/>
    <n v="100"/>
    <n v="0.12908496732026145"/>
    <n v="8.3333333333333329E-2"/>
    <n v="51"/>
    <n v="0.33333333333333331"/>
    <n v="56"/>
    <n v="-5"/>
    <n v="56"/>
    <n v="109.80392156862744"/>
    <n v="100"/>
    <n v="8.3333333333333315E-2"/>
    <n v="9.1503267973856203E-2"/>
    <n v="0"/>
    <n v="0"/>
    <n v="0"/>
    <n v="0"/>
    <n v="0"/>
    <n v="0"/>
    <n v="0"/>
    <n v="0"/>
    <n v="0"/>
    <n v="0"/>
    <n v="0"/>
    <n v="0"/>
    <n v="0"/>
    <n v="0"/>
    <n v="0"/>
    <n v="0"/>
    <n v="0"/>
    <n v="0"/>
    <n v="0"/>
    <n v="148"/>
    <n v="0.25"/>
    <n v="96.732026143790847"/>
    <n v="96.732026143790847"/>
    <n v="0.24183006535947713"/>
    <n v="0.24183006535947713"/>
    <n v="0.24183006535947713"/>
    <n v="1"/>
    <n v="0"/>
    <n v="621"/>
    <s v="ALCANZAR EN CUNDINAMARCA EL PROMEDIO NACIONAL DE PENETRACIÓN DE INTERNET (12,8%)"/>
    <m/>
    <s v=""/>
    <m/>
    <m/>
    <m/>
    <m/>
    <s v="Se instalaron 148 instituciones (114 municipios) con infraestructura de telefonía IP._x000a_51 municipios además de contar con la plataforma de Telefonía IP, tienen licenciamiento para cuatro usuarios para realizar mensajería instantánea y viedo conferencia por la herramienta Lync._x000a_Se instaló equipos de videoconferencia (plataforma polycom, tv de 60 &quot; ) en 5 municipios (La Palma, Yacopí, Viotá , Macheta y San Juan de RioSeco). "/>
    <n v="0"/>
    <m/>
    <n v="0"/>
  </r>
  <r>
    <n v="584"/>
    <x v="3"/>
    <x v="0"/>
    <x v="30"/>
    <s v="SERVICIOS Y APLICACIONES SOPORTADAS EN TICS"/>
    <s v="IMPLEMENTAR EN EL 100% DE LAS IPS DE BAJA COMPLEJIDAD DE LA RED HOSPITALARIA PÚBLICA DE CUNDINAMARCA LOS SERVICIOS DE DIAGNÓSTICO, CONSULTA Y RADIOLOGÍA BAJO LA MODALIDAD DE TELEMEDICINA."/>
    <s v="PORCENTAJE DE IPS DE BAJA COMPLEJIDAD CON SERVICIOS BAJO LA MODALIDAD DE TELEMEDICINA"/>
    <s v="PORCENTAJE"/>
    <s v="I"/>
    <n v="0"/>
    <n v="100"/>
    <n v="100"/>
    <n v="0.33"/>
    <n v="0"/>
    <n v="0"/>
    <n v="0"/>
    <n v="0"/>
    <n v="0"/>
    <n v="0"/>
    <n v="0"/>
    <n v="0"/>
    <n v="0"/>
    <n v="500000000"/>
    <n v="500000000"/>
    <n v="0"/>
    <n v="0"/>
    <n v="0"/>
    <n v="0"/>
    <n v="0"/>
    <n v="0"/>
    <n v="456576000"/>
    <n v="456576000"/>
    <n v="0"/>
    <n v="0"/>
    <n v="0"/>
    <n v="0"/>
    <n v="0"/>
    <n v="0"/>
    <n v="0"/>
    <n v="0"/>
    <n v="0"/>
    <n v="8.2500000000000004E-2"/>
    <n v="25"/>
    <n v="0.25"/>
    <n v="31"/>
    <n v="31"/>
    <n v="124"/>
    <n v="100"/>
    <n v="8.2500000000000004E-2"/>
    <n v="100"/>
    <n v="5000000000"/>
    <n v="5000000000"/>
    <n v="0"/>
    <n v="0"/>
    <n v="0"/>
    <n v="0"/>
    <n v="0"/>
    <n v="0"/>
    <n v="3000000000"/>
    <n v="3000000000"/>
    <n v="0"/>
    <n v="0"/>
    <n v="0"/>
    <n v="0"/>
    <n v="0"/>
    <n v="0"/>
    <n v="0"/>
    <n v="0"/>
    <n v="0"/>
    <n v="0.11549999999999999"/>
    <n v="35"/>
    <n v="0.35"/>
    <n v="0"/>
    <n v="28"/>
    <n v="35"/>
    <n v="35"/>
    <n v="100"/>
    <n v="100"/>
    <n v="0.11549999999999999"/>
    <n v="100"/>
    <n v="0.11549999999999999"/>
    <n v="0.13200000000000001"/>
    <n v="40"/>
    <n v="0.4"/>
    <n v="34"/>
    <n v="6"/>
    <n v="34"/>
    <n v="85"/>
    <n v="85"/>
    <n v="0.11220000000000001"/>
    <n v="0.11220000000000001"/>
    <n v="0"/>
    <n v="0"/>
    <n v="0"/>
    <n v="0"/>
    <n v="0"/>
    <n v="0"/>
    <n v="0"/>
    <n v="0"/>
    <n v="0"/>
    <n v="0"/>
    <n v="0"/>
    <n v="0"/>
    <n v="0"/>
    <n v="0"/>
    <n v="0"/>
    <n v="0"/>
    <n v="0"/>
    <n v="0"/>
    <n v="0"/>
    <n v="100"/>
    <n v="0.33"/>
    <n v="100"/>
    <n v="100"/>
    <n v="0.33"/>
    <n v="0.33"/>
    <n v="0.33"/>
    <n v="1"/>
    <n v="0"/>
    <n v="621"/>
    <s v="ALCANZAR EN CUNDINAMARCA EL PROMEDIO NACIONAL DE PENETRACIÓN DE INTERNET (12,8%)"/>
    <m/>
    <s v=""/>
    <m/>
    <m/>
    <m/>
    <m/>
    <s v="SE DIO CONTINUIDAD AL FORTALECIMIENTO TECNOLÓGICO A LOS 47 CONVENIOS QUE SE SUSCRIBIERON EN EL AÑO 2014, DE LOS CUALES 21 ESES YA ADQUIRIERON Y EJECUTARON SUS RECURSOS PARA LA RENOVACIÓN, ADECUACIÓN Y MODERNIZACIÓN DE INFRAESTRUCTURA TECNOLÓGICA Y COMUNICACIONES (EQUIPOS DE CÓMPUTO, IMPRESORAS, CABLEADO ESTRUCTURADO, UPS, ANTENAS DE COMUNICACIONES, SCANNER, VIDEO BEAM, ETC.) A LAS SIGUIENTES ESES: HOSPITAL SAN MARTIN DE PORRES DE CHOCONTA, HOSPITAL DE GACHETA, HOSPITAL SAN JOSE DE GUACHETA, HOSPITAL SANTA MATILDE DE MADRID, HOSPITAL SANTA ROSA DE TENJO, HOSPITAL DIOGENES TRONCOSO DE PUERTO SALGAR, HOSPITAL SAN VICENTE DE PAUL DE SAN JUAN DE RIOSECO, HOSPITAL SAN JOSE DE GUADUAS, HOSPITAL SAN ANTONIO DE SESQUILE, HOSPITAL HABACUC CALDERON DE CARMEN DE CARUPA, CENTRO DE SALUD DE TAUSA, HOSPITAL HILARIO LUGO DE SASAIMA, HOSPITAL EL SALVADOR DE UBATE, HOSPITAL SAN FRANCISCO DE VIOTA, HOSPITAL SAN VICENTE DE PAUL NEMOCON, HOSPITAL SAN ANTONIO DE GUATAVITA, HOSPITAL NTRA SRA. DEL PILAR MEDINA, HOSPITAL NTRA SRA. DEL CARMEN EL COLEGIO, HOSPITAL DIVINO SALVADOR DE SOPÓ, HOSPITAL SAN ANTONIO ANOLAIMA, HOSPITAL NTRA. SRA. DEL ROSARIO SUESCA, HOSPITAL NTRA SRA. DEL CARMEN DE TABIO, HOSPITAL SALAZAR VILLETA, HOSPITAL PEDRO LEON ALVAREZ DE LA MESA, HOSPITAL MARIO GAITAN YANGUAS DE SOACHA, HOSPITAL SAN RAFAEL DE CAQUEZA, HOSPITAL UNIVERSITARIO DE LA SAMARITANA, HOSPITAL SAN RAFAEL DE FACATATIVA, HOSPITAL SAN RAFAEL DE PACHO,CENTRO DE SALUD TIMOTEO CUBILLOS RIVERO DE UNE, CENTRO DE SALUD DEL TEQUENDAMA, HOSPITAL SANTA ROSA DE TENJO, CENTRO DE SALUD DE RICAURTE, CENTRO DE SAN FRANCISCO DE SALES, CAYETANO MARIA DE ROJAS, CENTRO DE SALUD DE CUCUNUBA"/>
    <n v="29000000"/>
    <m/>
    <n v="2"/>
  </r>
  <r>
    <n v="585"/>
    <x v="3"/>
    <x v="0"/>
    <x v="30"/>
    <s v="SERVICIOS Y APLICACIONES SOPORTADAS EN TICS"/>
    <s v="IMPLEMENTAR EN UN 100% LA HISTORIA CLÍNICA ELECTRÓNICA UNIFICADA, MEDIANTE UN SISTEMA INTEGRADO DE INFORMACIÓN DURANTE EL PERIODO DE GOBIERNO COMO MECANISMO PARA MEJORAR LA PRESTACIÓN DEL SERVICIO."/>
    <s v="% DE HOSPITALES CON HISTORIA CLÍNICA ÚNICA ELECTRÓNICA EN SERVICIO"/>
    <s v="PORCENTAJE DE HOSPITALES"/>
    <s v="I"/>
    <n v="16"/>
    <n v="100"/>
    <n v="84"/>
    <n v="0.33"/>
    <n v="0"/>
    <n v="0"/>
    <n v="0"/>
    <n v="7"/>
    <n v="7"/>
    <n v="0"/>
    <n v="0"/>
    <n v="0"/>
    <n v="100"/>
    <n v="1276000000"/>
    <n v="1276000000"/>
    <n v="0"/>
    <n v="0"/>
    <n v="0"/>
    <n v="0"/>
    <n v="0"/>
    <n v="0"/>
    <n v="0"/>
    <n v="0"/>
    <n v="0"/>
    <n v="0"/>
    <n v="0"/>
    <n v="0"/>
    <n v="0"/>
    <n v="0"/>
    <n v="0"/>
    <n v="0"/>
    <n v="0"/>
    <n v="7.857142857142857E-2"/>
    <n v="20"/>
    <n v="0.23809523809523808"/>
    <n v="16"/>
    <n v="16"/>
    <n v="80"/>
    <n v="80"/>
    <n v="6.2857142857142861E-2"/>
    <n v="80"/>
    <n v="2000000000"/>
    <n v="2000000000"/>
    <n v="0"/>
    <n v="0"/>
    <n v="0"/>
    <n v="0"/>
    <n v="0"/>
    <n v="0"/>
    <n v="1400991000"/>
    <n v="1400991000"/>
    <n v="0"/>
    <n v="0"/>
    <n v="0"/>
    <n v="0"/>
    <n v="0"/>
    <n v="0"/>
    <n v="0"/>
    <n v="0"/>
    <n v="0"/>
    <n v="0.11785714285714287"/>
    <n v="30"/>
    <n v="0.35714285714285715"/>
    <n v="22"/>
    <n v="34.840000000000003"/>
    <n v="30"/>
    <n v="30"/>
    <n v="100"/>
    <n v="100"/>
    <n v="0.11785714285714287"/>
    <n v="100"/>
    <n v="0.11785714285714287"/>
    <n v="0.13357142857142859"/>
    <n v="34"/>
    <n v="0.40476190476190477"/>
    <n v="31"/>
    <n v="3"/>
    <n v="31"/>
    <n v="91.17647058823529"/>
    <n v="91.17647058823529"/>
    <n v="0.1217857142857143"/>
    <n v="0.1217857142857143"/>
    <n v="4500000000"/>
    <n v="0"/>
    <n v="4500000000"/>
    <n v="0"/>
    <n v="0"/>
    <n v="0"/>
    <n v="0"/>
    <n v="0"/>
    <n v="0"/>
    <n v="0"/>
    <n v="0"/>
    <n v="0"/>
    <n v="0"/>
    <n v="0"/>
    <n v="0"/>
    <n v="0"/>
    <n v="0"/>
    <n v="0"/>
    <n v="0"/>
    <n v="84"/>
    <n v="0.33000000000000007"/>
    <n v="100"/>
    <n v="100"/>
    <n v="0.33"/>
    <n v="0.33"/>
    <n v="0.33"/>
    <n v="1"/>
    <n v="0"/>
    <n v="621"/>
    <s v="ALCANZAR EN CUNDINAMARCA EL PROMEDIO NACIONAL DE PENETRACIÓN DE INTERNET (12,8%)"/>
    <m/>
    <s v=""/>
    <m/>
    <m/>
    <m/>
    <m/>
    <s v="SE APALANCÓ FINANCIERAMENTE A LAS SIGUIENTES ESES EN EL AÑO 2015, PARA LA ADQUISICIÓN DE EQUIPOS MÉDICOS PARA PRESTAR EL SERVICIO DE TELE-DIAGNOSTICO, TELE-CONSULTA Y TELE-RADIOLOGÍA BAJO LA MODALIDAD DE TELEMEDICINA, BENEFICIANDO AL: HOSPITAL DE SAN ANTONIO DE ARBELAEZ, HOSPITAL SAN JOSE DE GUADUAS, HOSPITAL SALAZAR VILLETA, HOSPITAL PEDRO LEON ALVAREZ DIAZ DE LA MESA, HOSPITAL SAN RAFAEL DE CAQUEZA, UNIDAD FUNCIONAL DE ZIPAQUIRA-HUS HOSPITAL SANTA MATILDE DE MADRID. _x000a_A LA FECHA LAS 53 ESES PUBLICAS ESTÁN PRESTANDO SERVICIOS DE SALUD MEDIANTE LA MODALIDAD DE TELEMEDICINA (TELEDIAGNOSTICO, TELECONSULTA Y TELERADIOLOGIA) PRESTANDO 106.948 SERVICIOS DE SALUD EN EL DEPARTAMENMTO DE 2012 A 2015."/>
    <n v="15000000"/>
    <m/>
    <n v="2"/>
  </r>
  <r>
    <n v="586"/>
    <x v="3"/>
    <x v="26"/>
    <x v="30"/>
    <s v="USO Y APROPIACIÓN DE TICS"/>
    <s v="LLEGAR A 100.000 CIUDADANOS INCLUIDOS GRUPOS ÉTNICOS, POBLACIÓN EN CONDICIÓN ESPECIAL Y EN CONDICIÓN DE DISCAPACIDAD, PREPARADOS EN EL USO Y APLICACIÓN RESPONSABLE DE LAS TIC COMO MECANISMO PARA FORTALECER LA CAPACIDAD PRODUCTIVA Y PROPICIAR EL USO SANO DEL TIEMPO LIBRE, AMPLIANDO LA PRESENCIA DE CENTROS INTERACTIVOS DE 60 A 116 MUNICIPIOS DEL DEPARTAMENTO."/>
    <s v="CIUDADANOS CAPACITADOS EN TIC"/>
    <s v="PERSONAS"/>
    <s v="I"/>
    <n v="0"/>
    <n v="100000"/>
    <n v="100000"/>
    <n v="0.33"/>
    <n v="9.9000000000000005E-2"/>
    <n v="30000"/>
    <n v="0.3"/>
    <n v="55690"/>
    <n v="55690"/>
    <n v="185.63333333333333"/>
    <n v="100"/>
    <n v="9.9000000000000005E-2"/>
    <n v="100"/>
    <n v="150000000"/>
    <n v="150000000"/>
    <n v="0"/>
    <n v="0"/>
    <n v="0"/>
    <n v="0"/>
    <n v="0"/>
    <n v="0"/>
    <n v="150000000"/>
    <n v="150000000"/>
    <n v="0"/>
    <n v="0"/>
    <n v="0"/>
    <n v="0"/>
    <n v="0"/>
    <n v="0"/>
    <n v="0"/>
    <n v="1520000000"/>
    <s v="MINTIC"/>
    <n v="3.3000000000000002E-2"/>
    <n v="10000"/>
    <n v="0.1"/>
    <n v="6140"/>
    <n v="6140"/>
    <n v="61.4"/>
    <n v="61.4"/>
    <n v="2.0262000000000002E-2"/>
    <n v="61.4"/>
    <n v="14415000000"/>
    <n v="0"/>
    <n v="0"/>
    <n v="0"/>
    <n v="0"/>
    <n v="0"/>
    <n v="0"/>
    <n v="14415000"/>
    <n v="0"/>
    <n v="0"/>
    <n v="0"/>
    <n v="0"/>
    <n v="0"/>
    <n v="0"/>
    <n v="0"/>
    <n v="0"/>
    <n v="0"/>
    <n v="830000000"/>
    <s v="MINTIC"/>
    <n v="4.9500000000000002E-2"/>
    <n v="15000"/>
    <n v="0.15"/>
    <n v="9845"/>
    <n v="10789"/>
    <n v="50810"/>
    <n v="50810"/>
    <n v="338.73333333333335"/>
    <n v="100"/>
    <n v="4.9500000000000002E-2"/>
    <n v="100"/>
    <n v="0.16767300000000002"/>
    <n v="0.14850000000000002"/>
    <n v="45000"/>
    <n v="0.45"/>
    <n v="950"/>
    <n v="44050"/>
    <n v="950"/>
    <n v="2.1111111111111112"/>
    <n v="2.1111111111111112"/>
    <n v="3.1350000000000006E-3"/>
    <n v="3.1350000000000006E-3"/>
    <n v="14415000000"/>
    <n v="0"/>
    <n v="0"/>
    <n v="0"/>
    <n v="0"/>
    <n v="0"/>
    <n v="0"/>
    <n v="14415000"/>
    <n v="0"/>
    <n v="0"/>
    <n v="0"/>
    <n v="0"/>
    <n v="0"/>
    <n v="0"/>
    <n v="0"/>
    <n v="0"/>
    <n v="0"/>
    <n v="0"/>
    <n v="0"/>
    <n v="113590"/>
    <n v="0.33"/>
    <n v="113.59"/>
    <n v="100"/>
    <n v="0.33"/>
    <n v="0.33"/>
    <n v="0.33"/>
    <n v="1"/>
    <n v="0"/>
    <n v="621"/>
    <s v="ALCANZAR EN CUNDINAMARCA EL PROMEDIO NACIONAL DE PENETRACIÓN DE INTERNET (12,8%)"/>
    <m/>
    <s v=""/>
    <m/>
    <m/>
    <m/>
    <m/>
    <s v="Se lograron alianzas estratégicas con entidades como el SENA, E-TRUST de las Américas, Vive Digital Regional, entre otras, con el fin de avanzar en el logro de la meta a cuatro años. En desarrollo de las actividades de formación se prestó el servicio de acompañamiento a los municipios en la implementación de la Estrategia de Gobierno en Línea, en cada uno de los modelos expuestos por el gobierno nacional. De esta manera se pudo llegar a todas las provincias del Departamento, no solo en materia de gobierno en línea, sino tambien en cualquier tema TIC. Adicionalmente, se realizaron capacitaciones a las entidades del sector central y descentralizado de la Gobernación de Cundinamarca y asociaciones departamentales en diferentes temas TIC, asi como socialización y sensibilización en procesos como el de Gestión Tecnológica, Residuos Electrónicos, SAP, KACTUS, SWIM, WSUS y ofimática."/>
    <n v="100000000"/>
    <m/>
    <n v="2"/>
  </r>
  <r>
    <n v="587"/>
    <x v="3"/>
    <x v="26"/>
    <x v="30"/>
    <s v="USO Y APROPIACIÓN DE TICS"/>
    <s v="LLEGAR A 300.000 CIUDADANOS INCLUIDOS GRUPOS ÉTNICOS, POBLACIÓN EN CONDICIÓN ESPECIAL Y EN CONDICIÓN DE DISCAPACIDAD, PREPARADOS EN EL USO Y APLICACIÓN RESPONSABLE DE LAS TIC COMO MECANISMO PARA FORTALECER LA CAPACIDAD PRODUCTIVA Y PROPICIAR EL USO SANO D"/>
    <s v="NÚMERO DE CENTROS IMPLEMENTADOS"/>
    <s v="CENTROS"/>
    <s v="I"/>
    <n v="0"/>
    <n v="56"/>
    <n v="56"/>
    <n v="0.33"/>
    <n v="1.7678571428571429E-2"/>
    <n v="3"/>
    <n v="5.3571428571428568E-2"/>
    <n v="4"/>
    <n v="4"/>
    <n v="133.33333333333334"/>
    <n v="100"/>
    <n v="1.7678571428571429E-2"/>
    <n v="100"/>
    <n v="150000000"/>
    <n v="150000000"/>
    <n v="0"/>
    <n v="0"/>
    <n v="0"/>
    <n v="0"/>
    <n v="0"/>
    <n v="0"/>
    <n v="0"/>
    <n v="0"/>
    <n v="0"/>
    <n v="0"/>
    <n v="0"/>
    <n v="0"/>
    <n v="0"/>
    <n v="0"/>
    <n v="0"/>
    <n v="587978000"/>
    <s v="MINTIC"/>
    <n v="9.4285714285714278E-2"/>
    <n v="16"/>
    <n v="0.2857142857142857"/>
    <n v="5"/>
    <n v="5"/>
    <n v="31.25"/>
    <n v="31.25"/>
    <n v="2.946428571428571E-2"/>
    <n v="31.25"/>
    <n v="1222000000"/>
    <n v="0"/>
    <n v="312000000"/>
    <n v="0"/>
    <n v="0"/>
    <n v="0"/>
    <n v="0"/>
    <n v="910000000"/>
    <n v="436406759"/>
    <n v="436406759"/>
    <n v="0"/>
    <n v="0"/>
    <n v="0"/>
    <n v="0"/>
    <n v="0"/>
    <n v="0"/>
    <n v="0"/>
    <n v="122000000"/>
    <s v="ETB"/>
    <n v="0.10607142857142858"/>
    <n v="18"/>
    <n v="0.32142857142857145"/>
    <n v="6"/>
    <n v="6"/>
    <n v="22"/>
    <n v="22"/>
    <n v="122.22222222222223"/>
    <n v="100"/>
    <n v="0.10607142857142858"/>
    <n v="100"/>
    <n v="0.12964285714285714"/>
    <n v="0.11196428571428572"/>
    <n v="19"/>
    <n v="0.3392857142857143"/>
    <n v="20"/>
    <n v="-1"/>
    <n v="20"/>
    <n v="105.26315789473684"/>
    <n v="100"/>
    <n v="0.11196428571428572"/>
    <n v="0.11785714285714287"/>
    <n v="2410000000"/>
    <n v="1500000000"/>
    <n v="0"/>
    <n v="0"/>
    <n v="0"/>
    <n v="0"/>
    <n v="0"/>
    <n v="910000000"/>
    <n v="0"/>
    <n v="0"/>
    <n v="0"/>
    <n v="0"/>
    <n v="0"/>
    <n v="0"/>
    <n v="0"/>
    <n v="0"/>
    <n v="0"/>
    <n v="0"/>
    <n v="0"/>
    <n v="51"/>
    <n v="0.33"/>
    <n v="91.071428571428569"/>
    <n v="91.071428571428569"/>
    <n v="0.30053571428571429"/>
    <n v="0.30053571428571429"/>
    <n v="0.30053571428571429"/>
    <n v="1"/>
    <n v="0"/>
    <n v="621"/>
    <s v="ALCANZAR EN CUNDINAMARCA EL PROMEDIO NACIONAL DE PENETRACIÓN DE INTERNET (12,8%)"/>
    <m/>
    <s v=""/>
    <m/>
    <m/>
    <m/>
    <m/>
    <s v="En Convenio con ETB se implementaron 18 Centros Interactivos en los municipios de: Chaguaní, Albán, Yacopí, Topaipí, El Peñón, Granada, Paime, Tena, Jerusalén, Agua de Dios, Cabrera, Gachetá, Tibirita, La Palma, Machetá, San Cayetano, Gutiérrez, Fosca; Gracias a gestión adelantada por la Dirección de Gobierno en Línea se lograron implementar 20 Puntos Vive Digital en: Girardot, Chía, Sopó, Quetame, Cáqueza, Chipaque, Nilo, Tenjo, Viotá, Guachetá, Nemocón, Tibacuy, Vianí, Pasca, Chocontá, Gachalá, Gama, Ubaque, Carmen de Carupa, Gachancipá y  15 Kioscos Vive Digital en: Apulo, Beltrán, Bituima, Caparrapí, Fúquene, Guataquí, Guayabetal, Junín, Nariño, Puerto Salgar, Pulí, Simijaca, Suesca, Sutatausa y Tabio, para un total de 53 municipios beneficiados, dando un cumplimiento del 94,6 % de la meta."/>
    <n v="0"/>
    <m/>
    <n v="0"/>
  </r>
  <r>
    <n v="588"/>
    <x v="3"/>
    <x v="26"/>
    <x v="30"/>
    <s v="USO Y APROPIACIÓN DE TICS"/>
    <s v="AMPLIAR LA COBERTURA DEL SERVICIO DE NÚMERO DE ATENCIÓN DE EMERGENCIA EN CUNDINAMARCA DE 16 A 116 MUNICIPIOS, MEJORANDO LA PRESTACIÓN DEL SERVICIO DURANTE EL PERIODO DE GOBIERNO."/>
    <s v="NÚMERO DE MUNICIPIOS CON SERVICIO DE ATENCIÓN DE EMERGENCIA"/>
    <s v="MUNICIPIOS"/>
    <s v="I"/>
    <n v="0"/>
    <n v="100"/>
    <n v="100"/>
    <n v="0.25"/>
    <n v="0"/>
    <n v="0"/>
    <n v="0"/>
    <n v="0"/>
    <n v="0"/>
    <n v="0"/>
    <n v="0"/>
    <n v="0"/>
    <n v="0"/>
    <n v="0"/>
    <n v="0"/>
    <n v="0"/>
    <n v="0"/>
    <n v="0"/>
    <n v="0"/>
    <n v="0"/>
    <n v="0"/>
    <n v="0"/>
    <n v="0"/>
    <n v="0"/>
    <n v="0"/>
    <n v="0"/>
    <n v="0"/>
    <n v="0"/>
    <n v="0"/>
    <n v="0"/>
    <n v="0"/>
    <n v="0"/>
    <n v="0.25"/>
    <n v="100"/>
    <n v="1"/>
    <n v="116"/>
    <n v="116"/>
    <n v="116"/>
    <n v="100"/>
    <n v="0.25"/>
    <n v="100"/>
    <n v="1907000000"/>
    <n v="0"/>
    <n v="633000000"/>
    <n v="0"/>
    <n v="0"/>
    <n v="0"/>
    <n v="0"/>
    <n v="1274000000"/>
    <n v="0"/>
    <n v="0"/>
    <n v="0"/>
    <n v="0"/>
    <n v="0"/>
    <n v="0"/>
    <n v="0"/>
    <n v="0"/>
    <n v="0"/>
    <n v="0"/>
    <n v="0"/>
    <n v="0"/>
    <n v="0"/>
    <n v="0"/>
    <n v="0"/>
    <n v="0"/>
    <n v="0"/>
    <n v="0"/>
    <n v="0"/>
    <n v="0"/>
    <n v="0"/>
    <n v="0"/>
    <n v="0"/>
    <n v="0"/>
    <n v="0"/>
    <n v="0"/>
    <n v="0"/>
    <n v="0"/>
    <n v="0"/>
    <n v="0"/>
    <n v="0"/>
    <n v="0"/>
    <n v="0"/>
    <n v="1324000000"/>
    <n v="50000000"/>
    <n v="0"/>
    <n v="0"/>
    <n v="0"/>
    <n v="0"/>
    <n v="0"/>
    <n v="1274000000"/>
    <n v="0"/>
    <n v="0"/>
    <n v="0"/>
    <n v="0"/>
    <n v="0"/>
    <n v="0"/>
    <n v="0"/>
    <n v="0"/>
    <n v="0"/>
    <n v="0"/>
    <n v="0"/>
    <n v="116"/>
    <n v="0.25"/>
    <n v="116"/>
    <n v="100"/>
    <n v="0.25"/>
    <n v="0.25"/>
    <n v="0.25"/>
    <n v="1"/>
    <n v="0"/>
    <n v="611"/>
    <s v="REDUCIR EN UN 20% LA FRECUENCIA DE LOS DELITOS QUE ATENTEN LA SEGURIDAD CIUDADANA Y DEMOCRÁTICA, EN EL DEPARTAMENTO DURANTE EL PERIODO DE GOBIERNO. "/>
    <m/>
    <s v=""/>
    <m/>
    <m/>
    <m/>
    <m/>
    <s v="Con el apoyo del Ministerio del interior se implementó la línea de seguridad y emergencias del departamento, dando cobertura a la recepción de llamadas a los 116 Municipios, además el sistema de monitoreo de los medios de comunicación del servicio de policía del departamento y el monitoreo de la ubicación de emisión de llamadas de los disponsitivos móviles de Claro y Movistar a la línea de emergencia"/>
    <n v="80000000"/>
    <m/>
    <n v="116"/>
  </r>
  <r>
    <n v="589"/>
    <x v="3"/>
    <x v="26"/>
    <x v="30"/>
    <s v="USO Y APROPIACIÓN DE TICS"/>
    <s v="AMPLIAR LA COBERTURA DEL SERVICIO DE NÚMERO DE ATENCIÓN DE EMERGENCIA EN CUNDINAMARCA DE 16 A 116 MUNICIPIOS, MEJORANDO LA PRESTACIÓN DEL SERVICIO DURANTE EL PERIODO DE GOBIERNO."/>
    <s v="LLAMADAS ATENDIDAS DIARIAMENTE"/>
    <s v="LLAMADAS"/>
    <s v="I"/>
    <n v="0"/>
    <n v="20000"/>
    <n v="20000"/>
    <n v="0.16500000000000001"/>
    <n v="0"/>
    <n v="0"/>
    <n v="0"/>
    <n v="0"/>
    <n v="0"/>
    <n v="0"/>
    <n v="0"/>
    <n v="0"/>
    <n v="0"/>
    <n v="0"/>
    <n v="0"/>
    <n v="0"/>
    <n v="0"/>
    <n v="0"/>
    <n v="0"/>
    <n v="0"/>
    <n v="0"/>
    <n v="0"/>
    <n v="0"/>
    <n v="0"/>
    <n v="0"/>
    <n v="0"/>
    <n v="0"/>
    <n v="0"/>
    <n v="0"/>
    <n v="0"/>
    <n v="0"/>
    <n v="0"/>
    <n v="4.1250000000000002E-2"/>
    <n v="5000"/>
    <n v="0.25"/>
    <n v="1000"/>
    <n v="1000"/>
    <n v="20"/>
    <n v="20"/>
    <n v="8.2500000000000004E-3"/>
    <n v="20"/>
    <n v="0"/>
    <n v="0"/>
    <n v="0"/>
    <n v="0"/>
    <n v="0"/>
    <n v="0"/>
    <n v="0"/>
    <n v="0"/>
    <n v="0"/>
    <n v="0"/>
    <n v="0"/>
    <n v="0"/>
    <n v="0"/>
    <n v="0"/>
    <n v="0"/>
    <n v="0"/>
    <n v="0"/>
    <n v="0"/>
    <n v="0"/>
    <n v="4.1250000000000002E-2"/>
    <n v="5000"/>
    <n v="0.25"/>
    <n v="5000"/>
    <n v="4000"/>
    <n v="1000"/>
    <n v="1000"/>
    <n v="20"/>
    <n v="20"/>
    <n v="8.2500000000000004E-3"/>
    <n v="20"/>
    <n v="8.2500000000000004E-3"/>
    <n v="8.2500000000000004E-2"/>
    <n v="10000"/>
    <n v="0.5"/>
    <n v="2000"/>
    <n v="8000"/>
    <n v="2000"/>
    <n v="20"/>
    <n v="20"/>
    <n v="1.6500000000000001E-2"/>
    <n v="1.6500000000000001E-2"/>
    <n v="0"/>
    <n v="0"/>
    <n v="0"/>
    <n v="0"/>
    <n v="0"/>
    <n v="0"/>
    <n v="0"/>
    <n v="0"/>
    <n v="0"/>
    <n v="0"/>
    <n v="0"/>
    <n v="0"/>
    <n v="0"/>
    <n v="0"/>
    <n v="0"/>
    <n v="0"/>
    <n v="0"/>
    <n v="0"/>
    <n v="0"/>
    <n v="4000"/>
    <n v="0.16500000000000001"/>
    <n v="20"/>
    <n v="20"/>
    <n v="3.3000000000000002E-2"/>
    <n v="3.3000000000000002E-2"/>
    <n v="3.3000000000000002E-2"/>
    <n v="1"/>
    <n v="0"/>
    <n v="611"/>
    <s v="REDUCIR EN UN 20% LA FRECUENCIA DE LOS DELITOS QUE ATENTEN LA SEGURIDAD CIUDADANA Y DEMOCRÁTICA, EN EL DEPARTAMENTO DURANTE EL PERIODO DE GOBIERNO. "/>
    <m/>
    <s v=""/>
    <m/>
    <m/>
    <m/>
    <m/>
    <s v="atención de la totalidad de las llamadas recepcionadas en la línea de seguridad y emergencias del departamento - 123 "/>
    <n v="90000000"/>
    <m/>
    <n v="116"/>
  </r>
  <r>
    <n v="590"/>
    <x v="3"/>
    <x v="26"/>
    <x v="30"/>
    <s v="USO Y APROPIACIÓN DE TICS"/>
    <s v="ASEGURAR LA IMPLEMENTACIÓN DE 3 FASES DE GOBIERNO EN LÍNEA (INFORMACIÓN, INTERACCIÓN, TRANSACCIÓN) EN 60 MUNICIPIOS CON EL APOYO DEL GOBIERNO NACIONAL DURANTE EL PERIODO DE GOBIERNO. "/>
    <s v="MUNICIPIOS IMPLEMENTADOS EN 3 FASES DE GOBIERNO EN LÍNEA"/>
    <s v="MUNICIPIOS"/>
    <s v="I"/>
    <n v="0"/>
    <n v="60"/>
    <n v="60"/>
    <n v="0.16500000000000001"/>
    <n v="4.9500000000000002E-2"/>
    <n v="18"/>
    <n v="0.3"/>
    <n v="18"/>
    <n v="18"/>
    <n v="100"/>
    <n v="100"/>
    <n v="4.9500000000000002E-2"/>
    <n v="100"/>
    <n v="0"/>
    <n v="0"/>
    <n v="0"/>
    <n v="0"/>
    <n v="0"/>
    <n v="0"/>
    <n v="0"/>
    <n v="0"/>
    <n v="0"/>
    <n v="0"/>
    <n v="0"/>
    <n v="0"/>
    <n v="0"/>
    <n v="0"/>
    <n v="0"/>
    <n v="0"/>
    <n v="0"/>
    <n v="181312000"/>
    <s v="MINTIC"/>
    <n v="3.85E-2"/>
    <n v="14"/>
    <n v="0.23333333333333334"/>
    <n v="0"/>
    <n v="0"/>
    <n v="0"/>
    <n v="0"/>
    <n v="0"/>
    <n v="0"/>
    <n v="0"/>
    <n v="0"/>
    <n v="0"/>
    <n v="0"/>
    <n v="0"/>
    <n v="0"/>
    <n v="0"/>
    <n v="0"/>
    <n v="1252372484"/>
    <n v="1252372484"/>
    <n v="0"/>
    <n v="0"/>
    <n v="0"/>
    <n v="0"/>
    <n v="0"/>
    <n v="0"/>
    <n v="0"/>
    <n v="0"/>
    <n v="0"/>
    <n v="3.85E-2"/>
    <n v="14"/>
    <n v="0.23333333333333334"/>
    <n v="60"/>
    <n v="60"/>
    <n v="50"/>
    <n v="50"/>
    <n v="357.14285714285717"/>
    <n v="100"/>
    <n v="3.85E-2"/>
    <n v="100"/>
    <n v="0.13750000000000001"/>
    <n v="3.85E-2"/>
    <n v="14"/>
    <n v="0.23333333333333334"/>
    <n v="0"/>
    <n v="14"/>
    <n v="0"/>
    <n v="0"/>
    <n v="0"/>
    <n v="0"/>
    <n v="0"/>
    <n v="0"/>
    <n v="0"/>
    <n v="0"/>
    <n v="0"/>
    <n v="0"/>
    <n v="0"/>
    <n v="0"/>
    <n v="0"/>
    <n v="0"/>
    <n v="0"/>
    <n v="0"/>
    <n v="0"/>
    <n v="0"/>
    <n v="0"/>
    <n v="0"/>
    <n v="0"/>
    <n v="0"/>
    <n v="0"/>
    <n v="0"/>
    <n v="68"/>
    <n v="0.16500000000000001"/>
    <n v="113.33333333333333"/>
    <n v="100"/>
    <n v="0.16500000000000001"/>
    <n v="0.16500000000000001"/>
    <n v="0.16500000000000001"/>
    <n v="1"/>
    <n v="0"/>
    <n v="621"/>
    <s v="ALCANZAR EN CUNDINAMARCA EL PROMEDIO NACIONAL DE PENETRACIÓN DE INTERNET (12,8%)"/>
    <m/>
    <s v=""/>
    <m/>
    <m/>
    <m/>
    <m/>
    <s v="Se trabajó con los municipios en el acompañamiento, seguimiento e implementación de la estrategia de gobierno en línea, logrando:_x000a__x000a_- Asistencia a los 116 municipios_x000a_- Acompañamiento de Gestores TIC distribuidos por provincias_x000a_- Realización de 21 encuentros regionales llevados a cabo en diferentes municipios._x000a_- Funcionarios capacitados 2394 aprox. de los municipios_x000a_- Participación ciudadana en las obras de teatro, inscribiéndose 42 escuelas teatrales de 36 municipios  _x000a_- Se impulsó la Escuela virtual de gobierno en línea participando 79 personas _x000a_- Instalación de punto de atención en la Gobernación de Cundinamarca para dar asesoría a los municipios sobre gobierno en línea._x000a_- Estrategias de apropiación: Difusión de 20 cuñas radiales por las emisoras, 10 infografías y 14 videos por las páginas web municipales._x000a_"/>
    <n v="0"/>
    <m/>
    <n v="0"/>
  </r>
  <r>
    <n v="591"/>
    <x v="3"/>
    <x v="26"/>
    <x v="30"/>
    <s v="USO Y APROPIACIÓN DE TICS"/>
    <s v="ASEGURAR LA IMPLEMENTACIÓN DE 3 FASES DE GOBIERNO EN LÍNEA (INFORMACIÓN, INTERACCIÓN, TRANSACCIÓN) EN 60 MUNICIPIOS CON EL APOYO DEL GOBIERNO NACIONAL DURANTE EL PERIODO DE GOBIERNO. "/>
    <s v="PORCENTAJE DE AVANCE DE IMPLEMENTACIÓN DE LAS FASES DE GOBIERNO EN LÍNEA "/>
    <s v="PORCENTAJE"/>
    <s v="I"/>
    <n v="0"/>
    <n v="100"/>
    <n v="100"/>
    <n v="0.16500000000000001"/>
    <n v="4.1250000000000002E-2"/>
    <n v="25"/>
    <n v="0.25"/>
    <n v="80.7"/>
    <n v="80.7"/>
    <n v="322.8"/>
    <n v="100"/>
    <n v="4.1250000000000002E-2"/>
    <n v="100"/>
    <n v="0"/>
    <n v="0"/>
    <n v="0"/>
    <n v="0"/>
    <n v="0"/>
    <n v="0"/>
    <n v="0"/>
    <n v="0"/>
    <n v="0"/>
    <n v="0"/>
    <n v="0"/>
    <n v="0"/>
    <n v="0"/>
    <n v="0"/>
    <n v="0"/>
    <n v="0"/>
    <n v="0"/>
    <n v="181312000"/>
    <s v="MINTIC"/>
    <n v="4.1250000000000002E-2"/>
    <n v="25"/>
    <n v="0.25"/>
    <n v="10"/>
    <n v="10"/>
    <n v="40"/>
    <n v="40"/>
    <n v="1.6500000000000001E-2"/>
    <n v="40"/>
    <n v="0"/>
    <n v="0"/>
    <n v="0"/>
    <n v="0"/>
    <n v="0"/>
    <n v="0"/>
    <n v="0"/>
    <n v="0"/>
    <n v="0"/>
    <n v="0"/>
    <n v="0"/>
    <n v="0"/>
    <n v="0"/>
    <n v="0"/>
    <n v="0"/>
    <n v="0"/>
    <n v="0"/>
    <n v="0"/>
    <n v="0"/>
    <n v="4.1250000000000002E-2"/>
    <n v="25"/>
    <n v="0.25"/>
    <n v="0"/>
    <n v="0"/>
    <n v="0"/>
    <n v="0"/>
    <n v="0"/>
    <n v="0"/>
    <n v="0"/>
    <n v="0"/>
    <n v="0"/>
    <n v="4.1250000000000002E-2"/>
    <n v="25"/>
    <n v="0.25"/>
    <n v="0"/>
    <n v="25"/>
    <n v="0"/>
    <n v="0"/>
    <n v="0"/>
    <n v="0"/>
    <n v="0"/>
    <n v="0"/>
    <n v="0"/>
    <n v="0"/>
    <n v="0"/>
    <n v="0"/>
    <n v="0"/>
    <n v="0"/>
    <n v="0"/>
    <n v="0"/>
    <n v="0"/>
    <n v="0"/>
    <n v="0"/>
    <n v="0"/>
    <n v="0"/>
    <n v="0"/>
    <n v="0"/>
    <n v="0"/>
    <n v="0"/>
    <n v="0"/>
    <n v="90.7"/>
    <n v="0.16500000000000001"/>
    <n v="90.7"/>
    <n v="90.7"/>
    <n v="0.14965500000000001"/>
    <n v="0.14965500000000001"/>
    <n v="0.14965500000000001"/>
    <n v="1"/>
    <n v="0"/>
    <n v="621"/>
    <s v="ALCANZAR EN CUNDINAMARCA EL PROMEDIO NACIONAL DE PENETRACIÓN DE INTERNET (12,8%)"/>
    <m/>
    <s v=""/>
    <m/>
    <m/>
    <m/>
    <m/>
    <s v="Se trabajó con los municipios en el acompañamiento, seguimiento y socialización de la estrategia de gobierno en línea, logrando:_x000a__x000a_- Curso de la Escuela Virtual GEL (Moodle) participación de los servidores públicos y los ciudadanos. Un total de 78 participantes._x000a_- Dinamización de la plataforma cundinet.cundinamarca.gov.co con la comunidad “Cundinamarca en Línea” realizando el cargue del material de ayudas audiovisuales._x000a_- Realización del primer taller de ideación y prototipado para el desarrollo de app Móviles con contenido social, contó con la participación de 30 Jóvenes cundinamarqueses._x000a_- Se realizó piloto de georreferenciación en 17 municipios NBI de los establecimientos de industria y comercio, por medio del sistema SAGA “Sistema de Análisis Geográfico Avanzado” donde se logró el ingreso de 2056 datos._x000a_- Organización, convocatoria y socialización de la ley 1712 sobre transparencia y acceso a la información, asistencia de 144 personas entre funcionarios y ciudadanos._x000a_- Realización de mesas técnicas y temáticas con la participación de 396 funcionarios de los municipios_x000a_"/>
    <n v="30000000"/>
    <m/>
    <n v="116"/>
  </r>
  <r>
    <n v="592"/>
    <x v="3"/>
    <x v="26"/>
    <x v="30"/>
    <s v="USO Y APROPIACIÓN DE TICS"/>
    <s v="DEFINIR E IMPLEMENTAR LA POLÍTICA DE MANEJO DE RESIDUOS ELECTRÓNICOS Y PROMOVER EL USO DE TECNOLOGÍAS QUE CUMPLAN NORMAS DE PRESERVACIÓN DEL AMBIENTE."/>
    <s v="POLÍTICA IMPLEMENTADA"/>
    <s v="POLITICA"/>
    <s v="I"/>
    <n v="0"/>
    <n v="1"/>
    <n v="1"/>
    <n v="0.16500000000000001"/>
    <n v="4.9500000000000002E-2"/>
    <n v="0.3"/>
    <n v="0.3"/>
    <n v="0"/>
    <n v="0"/>
    <n v="0"/>
    <n v="0"/>
    <n v="0"/>
    <n v="0"/>
    <n v="0"/>
    <n v="0"/>
    <n v="0"/>
    <n v="0"/>
    <n v="0"/>
    <n v="0"/>
    <n v="0"/>
    <n v="0"/>
    <n v="0"/>
    <n v="0"/>
    <n v="0"/>
    <n v="0"/>
    <n v="0"/>
    <n v="0"/>
    <n v="0"/>
    <n v="0"/>
    <n v="0"/>
    <n v="0"/>
    <n v="0"/>
    <n v="0.11549999999999999"/>
    <n v="0.7"/>
    <n v="0.7"/>
    <n v="0.1"/>
    <n v="0.1"/>
    <n v="14.285714285714286"/>
    <n v="14.285714285714286"/>
    <n v="1.6500000000000001E-2"/>
    <n v="14.285714285714286"/>
    <n v="0"/>
    <n v="0"/>
    <n v="0"/>
    <n v="0"/>
    <n v="0"/>
    <n v="0"/>
    <n v="0"/>
    <n v="0"/>
    <n v="0"/>
    <n v="0"/>
    <n v="0"/>
    <n v="0"/>
    <n v="0"/>
    <n v="0"/>
    <n v="0"/>
    <n v="0"/>
    <n v="0"/>
    <n v="0"/>
    <n v="0"/>
    <n v="0"/>
    <n v="0"/>
    <n v="0"/>
    <n v="0.2"/>
    <n v="0.20000000298023224"/>
    <n v="0.2"/>
    <n v="0.2"/>
    <n v="0"/>
    <n v="0"/>
    <n v="0"/>
    <n v="100"/>
    <n v="0"/>
    <n v="0"/>
    <n v="0"/>
    <n v="0"/>
    <n v="0.5"/>
    <n v="-0.5"/>
    <n v="0.5"/>
    <n v="0"/>
    <n v="0"/>
    <n v="0"/>
    <n v="0"/>
    <n v="0"/>
    <n v="0"/>
    <n v="0"/>
    <n v="0"/>
    <n v="0"/>
    <n v="0"/>
    <n v="0"/>
    <n v="0"/>
    <n v="0"/>
    <n v="0"/>
    <n v="0"/>
    <n v="0"/>
    <n v="0"/>
    <n v="0"/>
    <n v="0"/>
    <n v="0"/>
    <n v="0"/>
    <n v="0"/>
    <n v="0"/>
    <n v="0.8"/>
    <n v="0.16499999999999998"/>
    <n v="80"/>
    <n v="80"/>
    <n v="0.13200000000000001"/>
    <n v="0.13200000000000001"/>
    <n v="0.13200000000000001"/>
    <n v="1"/>
    <n v="1.3877787807814457E-17"/>
    <n v="621"/>
    <s v="ALCANZAR EN CUNDINAMARCA EL PROMEDIO NACIONAL DE PENETRACIÓN DE INTERNET (12,8%)"/>
    <m/>
    <s v=""/>
    <m/>
    <m/>
    <m/>
    <m/>
    <s v="A comienzos del cuatrenio se estableció como meta formular los lineamientos que harían parte de la política pública sobre el manejo responsable de residuos electrónicos, teniendo en cuenta que ya existe una política nacional sobre el tema, la administración departamental, trabajó en el documento por medio del cual se adoptaba la política nacional y los lineamientos específicos para la entidad. Dicho documento fue formulado y revisado por la Secretaría de Ambiente, General y Planeación, con el fin de establecer los parámetros de implementación de la política, por lo que se proyectó un memorando de entendimiento con la firma ECOCOMPUTO, el cual fue revisado por la Unidad de Contratación. Paralelamente se llevó a cabo una socialización del Decreto 0312 de 2015 ante el comité de Gobierno en Línea y se dió a conocer la pieza publicitaria que acompaña el proyecto de recolección de Residuos Electrónicos, para el 12 de agosto de 2015 se firmó el Decreto 0312, por medio del cual se crea el Comité de Gestión Intregral de Residuos Electrónicos-computadores y/o periféricos, el cual tiene función realizar entre otras, promover campañas de sensibilización, buscar alianzas estratégicas que permitan un tratamiento responsable de los residuos electrónicos y adicionalmente es el encargado de aprobar y socializar los lineamientos la gestión intregral de residuos electrónicos-computadores y/o periféricos. Al finalizar el cuatrenio, los lineamientos ya están aprobados por parte del Comité de Residuos Electrónicos y está pendiente de revisión jurídica para la firma del gobernador."/>
    <n v="35000000"/>
    <m/>
    <n v="1"/>
  </r>
  <r>
    <n v="593"/>
    <x v="3"/>
    <x v="14"/>
    <x v="31"/>
    <s v="DESARROLLOS INFORMÁTICOS PARA LA GESTIÓN"/>
    <s v="FORTALECER EL SISTEMA DE INFORMACIÓN GEOGRÁFICA REGIONAL (SIG R) COMO PLATAFORMA TECNOLÓGICA CORPORATIVA CON VARIABLES DE INFORMACIÓN DE ENTIDADES DEL NIVEL CENTRAL, DESCONCENTRADO Y MUNICIPAL."/>
    <s v="NO SISTEMA DE INFORMACIÓN GEOGRÁFICA REGIONAL (SIG R) IMPLEMENTADO COMO PLATAFORMA TECNOLÓGICA CORPORATIVA"/>
    <s v="SISTEMAS"/>
    <s v="M"/>
    <n v="0"/>
    <n v="1"/>
    <n v="1"/>
    <n v="0.16500000000000001"/>
    <n v="4.1250000000000002E-2"/>
    <n v="1"/>
    <n v="0.25"/>
    <n v="1"/>
    <n v="0.25"/>
    <n v="100"/>
    <n v="100"/>
    <n v="4.1250000000000002E-2"/>
    <n v="100"/>
    <n v="159000000"/>
    <n v="159000000"/>
    <n v="0"/>
    <n v="0"/>
    <n v="0"/>
    <n v="0"/>
    <n v="0"/>
    <n v="0"/>
    <n v="84429000"/>
    <n v="84429000"/>
    <n v="0"/>
    <n v="0"/>
    <n v="0"/>
    <n v="0"/>
    <n v="0"/>
    <n v="0"/>
    <n v="0"/>
    <n v="0"/>
    <n v="0"/>
    <n v="4.1250000000000002E-2"/>
    <n v="1"/>
    <n v="0.25"/>
    <n v="1"/>
    <n v="0.25"/>
    <n v="100"/>
    <n v="100"/>
    <n v="4.1250000000000002E-2"/>
    <n v="100"/>
    <n v="85000000"/>
    <n v="0"/>
    <n v="85000000"/>
    <n v="0"/>
    <n v="0"/>
    <n v="0"/>
    <n v="0"/>
    <n v="0"/>
    <n v="15000000"/>
    <n v="15000000"/>
    <n v="0"/>
    <n v="0"/>
    <n v="0"/>
    <n v="0"/>
    <n v="0"/>
    <n v="0"/>
    <n v="0"/>
    <n v="0"/>
    <n v="0"/>
    <n v="4.1250000000000002E-2"/>
    <n v="1"/>
    <n v="0.25"/>
    <n v="0.25"/>
    <n v="0.64999997615814209"/>
    <n v="1"/>
    <n v="0.25"/>
    <n v="100"/>
    <n v="100"/>
    <n v="4.1250000000000002E-2"/>
    <n v="100"/>
    <n v="4.1250000000000002E-2"/>
    <n v="4.1250000000000002E-2"/>
    <n v="1"/>
    <n v="0.25"/>
    <n v="1"/>
    <n v="0"/>
    <n v="0.25"/>
    <n v="100"/>
    <n v="100"/>
    <n v="4.1250000000000002E-2"/>
    <n v="4.1250000000000002E-2"/>
    <n v="195000000"/>
    <n v="195000000"/>
    <n v="0"/>
    <n v="0"/>
    <n v="0"/>
    <n v="0"/>
    <n v="0"/>
    <n v="0"/>
    <n v="0"/>
    <n v="0"/>
    <n v="0"/>
    <n v="0"/>
    <n v="0"/>
    <n v="0"/>
    <n v="0"/>
    <n v="0"/>
    <n v="0"/>
    <n v="0"/>
    <n v="0"/>
    <n v="1"/>
    <n v="0.16500000000000001"/>
    <n v="100"/>
    <n v="100"/>
    <n v="0.16500000000000001"/>
    <n v="0.16500000000000001"/>
    <n v="0.16500000000000001"/>
    <n v="1"/>
    <n v="0"/>
    <n v="622"/>
    <s v="INFORMACIÓN PARA LA TOMA DE DECISIONES DISPONIBLE Y CONFIABLE EN CUALQUIER MOMENTO A TRAVÉS DE UNA PLATAFORMA TECNOLÓGICA"/>
    <m/>
    <s v=""/>
    <m/>
    <m/>
    <m/>
    <m/>
    <s v="CONTACTO CON EL IGAC PARA EL INTERCAMBIO DE CONOCIMIENTO EN EL PROCEDIMIENTO PARA ELABORAR EL MAPA DE COBERTURA VEGETAL EN EL MARCO DEL CONVENIO INTERADMINSITRATIVO NO. 06 DE 2008"/>
    <n v="400000000"/>
    <m/>
    <n v="25"/>
  </r>
  <r>
    <n v="594"/>
    <x v="3"/>
    <x v="14"/>
    <x v="31"/>
    <s v="DESARROLLOS INFORMÁTICOS PARA LA GESTIÓN"/>
    <s v="GENERAR INDICADORES E INFORMACIÓN GEOGRÁFICA Y ESTADÍSTICA A NIVEL DEPARTAMENTAL Y MUNICIPAL, A TRAVÉS DE PUBLICACIONES ANÁLOGAS Y/O DIGITALES COMO MATERIAL DE SOPORTE PARA LA TOMA DE DECISIONES EN LOS PROCESOS DE PLANIFICACIÓN Y ORDENAMIENTO DEL TERRITOR"/>
    <s v="NO PUBLICACIONES ANÁLOGAS Y/O DIGITALES DE INDICADORES E INFORMACIÓN REALIZADAS"/>
    <s v="PUBLICACIONES"/>
    <s v="I"/>
    <n v="1"/>
    <n v="4"/>
    <n v="3"/>
    <n v="0.16500000000000001"/>
    <n v="5.5E-2"/>
    <n v="1"/>
    <n v="0.33333333333333331"/>
    <n v="1"/>
    <n v="1"/>
    <n v="100"/>
    <n v="100"/>
    <n v="5.5E-2"/>
    <n v="100"/>
    <n v="40000000"/>
    <n v="40000000"/>
    <n v="0"/>
    <n v="0"/>
    <n v="0"/>
    <n v="0"/>
    <n v="0"/>
    <n v="0"/>
    <n v="40000000"/>
    <n v="40000000"/>
    <n v="0"/>
    <n v="0"/>
    <n v="0"/>
    <n v="0"/>
    <n v="0"/>
    <n v="0"/>
    <n v="0"/>
    <n v="0"/>
    <n v="0"/>
    <n v="5.5E-2"/>
    <n v="1"/>
    <n v="0.33333333333333331"/>
    <n v="4"/>
    <n v="4"/>
    <n v="400"/>
    <n v="100"/>
    <n v="5.5E-2"/>
    <n v="100"/>
    <n v="14000000"/>
    <n v="0"/>
    <n v="14000000"/>
    <n v="0"/>
    <n v="0"/>
    <n v="0"/>
    <n v="0"/>
    <n v="0"/>
    <n v="167517156"/>
    <n v="167517156"/>
    <n v="0"/>
    <n v="0"/>
    <n v="0"/>
    <n v="0"/>
    <n v="0"/>
    <n v="0"/>
    <n v="0"/>
    <n v="175673600"/>
    <s v="DANE"/>
    <n v="0"/>
    <n v="0"/>
    <n v="0"/>
    <n v="0"/>
    <n v="0"/>
    <n v="1"/>
    <n v="1"/>
    <n v="0"/>
    <n v="0"/>
    <n v="0"/>
    <n v="0"/>
    <n v="0"/>
    <n v="5.5E-2"/>
    <n v="1"/>
    <n v="0.33333333333333331"/>
    <n v="2"/>
    <n v="-1"/>
    <n v="2"/>
    <n v="200"/>
    <n v="100"/>
    <n v="5.5E-2"/>
    <n v="0.11"/>
    <n v="33000000"/>
    <n v="33000000"/>
    <n v="0"/>
    <n v="0"/>
    <n v="0"/>
    <n v="0"/>
    <n v="0"/>
    <n v="0"/>
    <n v="0"/>
    <n v="0"/>
    <n v="0"/>
    <n v="0"/>
    <n v="0"/>
    <n v="0"/>
    <n v="0"/>
    <n v="0"/>
    <n v="0"/>
    <n v="0"/>
    <n v="0"/>
    <n v="8"/>
    <n v="0.16500000000000001"/>
    <n v="266.66666666666669"/>
    <n v="100"/>
    <n v="0.16500000000000001"/>
    <n v="0.16500000000000001"/>
    <n v="0.16500000000000001"/>
    <n v="1"/>
    <n v="0"/>
    <n v="622"/>
    <s v="INFORMACIÓN PARA LA TOMA DE DECISIONES DISPONIBLE Y CONFIABLE EN CUALQUIER MOMENTO A TRAVÉS DE UNA PLATAFORMA TECNOLÓGICA"/>
    <m/>
    <s v=""/>
    <m/>
    <m/>
    <m/>
    <m/>
    <s v="SE GENERARON 4 PUBLICACIONES:"/>
    <n v="9000000"/>
    <m/>
    <n v="0"/>
  </r>
  <r>
    <n v="595"/>
    <x v="3"/>
    <x v="26"/>
    <x v="31"/>
    <s v="DESARROLLOS INFORMÁTICOS PARA LA GESTIÓN"/>
    <s v="IMPLEMENTAR (1) BODEGA DE DATOS Y ARTICULAR E INTEGRAR EL SISTEMA DE INFORMACIÓN, OBSERVATORIOS E INFORMACIÓN Y DATOS Y CIFRAS SECTORIALES,"/>
    <s v="NO HERRAMIENTA TECNOLÓGICA INTEGRADA"/>
    <s v="BODEGA DE DATOS"/>
    <s v="I"/>
    <n v="0"/>
    <n v="1"/>
    <n v="1"/>
    <n v="0.16500000000000001"/>
    <n v="0"/>
    <n v="0"/>
    <n v="0"/>
    <n v="0"/>
    <n v="0"/>
    <n v="0"/>
    <n v="0"/>
    <n v="0"/>
    <n v="0"/>
    <n v="62000000"/>
    <n v="62000000"/>
    <n v="0"/>
    <n v="0"/>
    <n v="0"/>
    <n v="0"/>
    <n v="0"/>
    <n v="0"/>
    <n v="0"/>
    <n v="0"/>
    <n v="0"/>
    <n v="0"/>
    <n v="0"/>
    <n v="0"/>
    <n v="0"/>
    <n v="0"/>
    <n v="0"/>
    <n v="0"/>
    <n v="0"/>
    <n v="0"/>
    <n v="0"/>
    <n v="0"/>
    <n v="0"/>
    <n v="0"/>
    <n v="0"/>
    <n v="0"/>
    <n v="0"/>
    <n v="0"/>
    <n v="39000000"/>
    <n v="0"/>
    <n v="39000000"/>
    <n v="0"/>
    <n v="0"/>
    <n v="0"/>
    <n v="0"/>
    <n v="0"/>
    <n v="0"/>
    <n v="0"/>
    <n v="0"/>
    <n v="0"/>
    <n v="0"/>
    <n v="0"/>
    <n v="0"/>
    <n v="0"/>
    <n v="0"/>
    <n v="0"/>
    <n v="0"/>
    <n v="6.6000000000000003E-2"/>
    <n v="0.4"/>
    <n v="0.4"/>
    <n v="0"/>
    <n v="0"/>
    <n v="0.4"/>
    <n v="0.4"/>
    <n v="100"/>
    <n v="100"/>
    <n v="6.6000000000000003E-2"/>
    <n v="100"/>
    <n v="6.6000000000000003E-2"/>
    <n v="9.9000000000000005E-2"/>
    <n v="0.6"/>
    <n v="0.6"/>
    <n v="100"/>
    <n v="-99.4"/>
    <n v="100"/>
    <n v="16666.666666666668"/>
    <n v="100"/>
    <n v="9.9000000000000005E-2"/>
    <n v="16.500000000000004"/>
    <n v="90000000"/>
    <n v="90000000"/>
    <n v="0"/>
    <n v="0"/>
    <n v="0"/>
    <n v="0"/>
    <n v="0"/>
    <n v="0"/>
    <n v="0"/>
    <n v="0"/>
    <n v="0"/>
    <n v="0"/>
    <n v="0"/>
    <n v="0"/>
    <n v="0"/>
    <n v="0"/>
    <n v="0"/>
    <n v="0"/>
    <n v="0"/>
    <n v="100.4"/>
    <n v="0.16500000000000001"/>
    <n v="10040"/>
    <n v="100"/>
    <n v="0.16500000000000001"/>
    <n v="0.16500000000000001"/>
    <n v="0.16500000000000001"/>
    <n v="1"/>
    <n v="0"/>
    <n v="622"/>
    <s v="INFORMACIÓN PARA LA TOMA DE DECISIONES DISPONIBLE Y CONFIABLE EN CUALQUIER MOMENTO A TRAVÉS DE UNA PLATAFORMA TECNOLÓGICA"/>
    <m/>
    <s v=""/>
    <m/>
    <m/>
    <m/>
    <m/>
    <s v="Se cuenta con una instalación que permite ofrecer el servicio de bodega de datos, sobre SQLServer 2014, el cual se encuentra amparado con el soporte del fabricante en la modalidad de Assurance."/>
    <n v="0"/>
    <m/>
    <n v="1"/>
  </r>
  <r>
    <n v="597"/>
    <x v="3"/>
    <x v="0"/>
    <x v="31"/>
    <s v="DESARROLLOS INFORMÁTICOS PARA LA GESTIÓN"/>
    <s v="PROMOVER UN SISTEMA DE INFORMACIÓN INTEGRADO PARA LOS NIVELES DE GOBIERNO QUE SE INTEGREN EN UNA PLATAFORMA ÚNICA EN EL NIVEL CENTRAL Y DESCENTRALIZADO DEL DEPARTAMENTO, DURANTE EL CUATRIENIO"/>
    <s v="NO SISTEMA EN SALUD PÚBLICA, VIGILANCIA Y CONTROL, CENTRO REGULADOR DE URGENCIAS, ASEGURAMIENTO, LABORATORIO, IMPLEMENTADO"/>
    <s v="SISTEMAS"/>
    <s v="I"/>
    <n v="0"/>
    <n v="1"/>
    <n v="1"/>
    <n v="0.16500000000000001"/>
    <n v="2.6400000000000003E-2"/>
    <n v="0.16"/>
    <n v="0.16"/>
    <n v="0.15"/>
    <n v="0.15"/>
    <n v="93.75"/>
    <n v="93.75"/>
    <n v="2.4750000000000005E-2"/>
    <n v="93.75"/>
    <n v="0"/>
    <n v="0"/>
    <n v="0"/>
    <n v="0"/>
    <n v="0"/>
    <n v="0"/>
    <n v="0"/>
    <n v="0"/>
    <n v="0"/>
    <n v="0"/>
    <n v="0"/>
    <n v="0"/>
    <n v="0"/>
    <n v="0"/>
    <n v="0"/>
    <n v="0"/>
    <n v="0"/>
    <n v="0"/>
    <n v="0"/>
    <n v="4.9500000000000002E-2"/>
    <n v="0.3"/>
    <n v="0.3"/>
    <n v="0.3"/>
    <n v="0.3"/>
    <n v="100"/>
    <n v="100"/>
    <n v="4.9500000000000002E-2"/>
    <n v="100"/>
    <n v="0"/>
    <n v="0"/>
    <n v="0"/>
    <n v="0"/>
    <n v="0"/>
    <n v="0"/>
    <n v="0"/>
    <n v="0"/>
    <n v="0"/>
    <n v="0"/>
    <n v="0"/>
    <n v="0"/>
    <n v="0"/>
    <n v="0"/>
    <n v="0"/>
    <n v="0"/>
    <n v="0"/>
    <n v="0"/>
    <n v="0"/>
    <n v="4.9500000000000002E-2"/>
    <n v="0.3"/>
    <n v="0.3"/>
    <n v="0.10000000149011612"/>
    <n v="0.20000000298023224"/>
    <n v="0.30000001192092896"/>
    <n v="0.30000001192092896"/>
    <n v="100.00000397364299"/>
    <n v="100"/>
    <n v="4.9500000000000002E-2"/>
    <n v="100"/>
    <n v="4.9500001966953283E-2"/>
    <n v="3.9600000000000003E-2"/>
    <n v="0.24"/>
    <n v="0.24"/>
    <n v="0.25"/>
    <n v="-1.0000000000000009E-2"/>
    <n v="0.25"/>
    <n v="104.16666666666667"/>
    <n v="100"/>
    <n v="3.9600000000000003E-2"/>
    <n v="4.1250000000000009E-2"/>
    <n v="0"/>
    <n v="0"/>
    <n v="0"/>
    <n v="0"/>
    <n v="0"/>
    <n v="0"/>
    <n v="0"/>
    <n v="0"/>
    <n v="0"/>
    <n v="0"/>
    <n v="0"/>
    <n v="0"/>
    <n v="0"/>
    <n v="0"/>
    <n v="0"/>
    <n v="0"/>
    <n v="0"/>
    <n v="0"/>
    <n v="0"/>
    <n v="1.0000000119209289"/>
    <n v="0.16500000000000001"/>
    <n v="100.0000011920929"/>
    <n v="100"/>
    <n v="0.16500000000000001"/>
    <n v="0.16500000000000001"/>
    <n v="0.16500000000000001"/>
    <n v="1"/>
    <n v="0"/>
    <n v="622"/>
    <s v="INFORMACIÓN PARA LA TOMA DE DECISIONES DISPONIBLE Y CONFIABLE EN CUALQUIER MOMENTO A TRAVÉS DE UNA PLATAFORMA TECNOLÓGICA"/>
    <m/>
    <s v=""/>
    <m/>
    <m/>
    <m/>
    <m/>
    <s v="LA SECRETARIA DE SALUD, TENIENDO EN CUENTA QUE LA RED HOSPITALARIA DEL DEPARTAMENTO CARECE DE RECURSOS PARA CONTRATAR EL MANTENIMIENTO DE LOS SISTEMAS DE INFORMACIÓN HOSPITALARIOS Y EN CONOCIMIENTO DE QUE SI ESTOS SISTEMAS DE INFORMACIÓN EN SALUD DEJAN DE OPERAR EN LAS ESES POR NO CONTAR CON EL SERVICIO DE MANTENIMIENTO Y SOPORTE TÉCNICO, NO PODRÁN HACER PARTE DEL PROYECTO DE INTEGRALIDAD DE LOS SISTEMAS DE INFORMACIÓN A PARTIR DEL CUAL SE GENERARÁ LA HCEU (HISTORIA CLÍNICA ELECTRÓNICA UNIFICADA), LA SECRETARIA DE SALUD A LOGRADO FORTALECER A LAS ESES MANTENIENDO LA CONTRATACIÓN DEL MANTENIMIENTO Y SPORTE TÉCNICO CON EL FIN DE QUE LAS ESES MANTENGAN EL SISTEMA DE INFORMACIÓN INTEGRAL EN SALUD A SU CARGO OPERANDO Y EN PRODUCCIÓN EN LAS SIGUIENTES ESES: MARCO FELIPE AFANADOR DE TOCAIMA, SAN ANTONIO DE CHIA, PEDRO LEON ALVAREZ DE LA MESA, MARIO GAITAN YANGUAS DE SOACHA, SAN RAFAEL DE CAQUEZA, UNIVERSITARIO LA SAMARITANA, SAN RAFAEL DE FACATATIVA, SAN RAFAEL DE PACHO Y SAN RAFAEL DE FUSAGASUGA, SANTA MATILDE DE MADRID, SAN MARTIN DE PORRES DE CHOCONTA, SAN FRANCISCO DE GACHETA, SANTA ROSA DE TENJO, SAN JOSE DE GUACHETA, SAN ANTONIO DE SESQUILE, SAN ANTONIO DE ARBELAEZ, SAN JOSE DE GUADUAS, HABACUC CALDERON DE CARUPA, NUESTRA SEÑORA DE LAS MERCEDES DE FUNZA Y CENTRO DE SALUD DE TAUSA, EL SALVADOR DE UBATE, SAN FRANCISCO DE VIOTA, SAN VICENTE DE PAUL NEMOCON, SAN ANTONIO DE GUATAVITA, DIOGENES TRONCOSO PUERTO SALGAR, SAN JOSE LA PALMA, SAN VICENTE DE PAUL FOMEQUE , NTRA SRA. DEL PILAR MEDINA, NTRA SRA. DEL CARMEN EL COLEGIO, DIVINO SALVADOR DE SOPÓ, S.JUAN DE RIO SECO, HILARIO LUGO SASAIMA, SANTA BARBARA DE VERGARA, SAN ANTONIO ANOLAIMA, NTRA. SRA. DEL ROSARIO SUESCA, NTRA SRA. DEL CARMEN DE TABIO, SALAZAR VILLETA."/>
    <n v="30000000"/>
    <m/>
    <n v="1"/>
  </r>
  <r>
    <n v="599"/>
    <x v="3"/>
    <x v="14"/>
    <x v="31"/>
    <s v="DESARROLLOS INFORMÁTICOS PARA LA GESTIÓN"/>
    <s v="DEFINIR LOS LINEAMIENTOS Y/O ESTÁNDARES PARA LA CAPTURA Y ALMACENAMIENTO DE INFORMACIÓN "/>
    <s v="NO DE ESTÁNDARES DEFINIDOS"/>
    <s v="ESTANDARES"/>
    <s v="I"/>
    <n v="0"/>
    <n v="2"/>
    <n v="2"/>
    <n v="0.16500000000000001"/>
    <n v="8.2500000000000004E-2"/>
    <n v="1"/>
    <n v="0.5"/>
    <n v="0.5"/>
    <n v="0.5"/>
    <n v="50"/>
    <n v="50"/>
    <n v="4.1250000000000002E-2"/>
    <n v="50"/>
    <n v="0"/>
    <n v="0"/>
    <n v="0"/>
    <n v="0"/>
    <n v="0"/>
    <n v="0"/>
    <n v="0"/>
    <n v="0"/>
    <n v="0"/>
    <n v="0"/>
    <n v="0"/>
    <n v="0"/>
    <n v="0"/>
    <n v="0"/>
    <n v="0"/>
    <n v="0"/>
    <n v="0"/>
    <n v="0"/>
    <n v="0"/>
    <n v="8.2500000000000004E-2"/>
    <n v="1"/>
    <n v="0.5"/>
    <n v="1"/>
    <n v="1"/>
    <n v="100"/>
    <n v="100"/>
    <n v="8.2500000000000004E-2"/>
    <n v="100"/>
    <n v="0"/>
    <n v="0"/>
    <n v="0"/>
    <n v="0"/>
    <n v="0"/>
    <n v="0"/>
    <n v="0"/>
    <n v="0"/>
    <n v="0"/>
    <n v="0"/>
    <n v="0"/>
    <n v="0"/>
    <n v="0"/>
    <n v="0"/>
    <n v="0"/>
    <n v="0"/>
    <n v="0"/>
    <n v="0"/>
    <n v="0"/>
    <n v="0"/>
    <n v="0"/>
    <n v="0"/>
    <n v="0"/>
    <n v="0"/>
    <n v="0"/>
    <n v="0"/>
    <n v="0"/>
    <n v="0"/>
    <n v="0"/>
    <n v="0"/>
    <n v="0"/>
    <n v="0"/>
    <n v="0"/>
    <n v="0"/>
    <n v="0.5"/>
    <n v="-0.5"/>
    <n v="0.5"/>
    <n v="0"/>
    <n v="0"/>
    <n v="0"/>
    <n v="0"/>
    <n v="0"/>
    <n v="0"/>
    <n v="0"/>
    <n v="0"/>
    <n v="0"/>
    <n v="0"/>
    <n v="0"/>
    <n v="0"/>
    <n v="0"/>
    <n v="0"/>
    <n v="0"/>
    <n v="0"/>
    <n v="0"/>
    <n v="0"/>
    <n v="0"/>
    <n v="0"/>
    <n v="0"/>
    <n v="0"/>
    <n v="0"/>
    <n v="2"/>
    <n v="0.16500000000000001"/>
    <n v="100"/>
    <n v="100"/>
    <n v="0.16500000000000001"/>
    <n v="0.16500000000000001"/>
    <n v="0.16500000000000001"/>
    <n v="1"/>
    <n v="0"/>
    <n v="622"/>
    <s v="INFORMACIÓN PARA LA TOMA DE DECISIONES DISPONIBLE Y CONFIABLE EN CUALQUIER MOMENTO A TRAVÉS DE UNA PLATAFORMA TECNOLÓGICA"/>
    <m/>
    <s v=""/>
    <m/>
    <m/>
    <m/>
    <m/>
    <s v="DOCUMENTO DE LINEAMIENTOS PARA LA GENERACIÓN DE CARTOGRAFÍA PARA POT"/>
    <n v="200000000"/>
    <m/>
    <n v="0"/>
  </r>
  <r>
    <n v="600"/>
    <x v="3"/>
    <x v="26"/>
    <x v="32"/>
    <s v="SEGUIMIENTO Y EVALUACIÓN PARA EL MEJORAMIENTO DE LA GESTIÓN PÚBLICA"/>
    <s v="IMPLEMENTAR 100% SISTEMA SEGER EN EL CUATRENIO PARA CONSULTA Y DECISIÓN OPORTUNA"/>
    <s v="% IMPLEMENTACIÓN SEGER (PLAN DE TRABAJO)"/>
    <s v="PUNTOS PORCENTUALES"/>
    <s v="I"/>
    <n v="0"/>
    <n v="100"/>
    <n v="100"/>
    <n v="0.16500000000000001"/>
    <n v="0"/>
    <n v="0"/>
    <n v="0"/>
    <n v="0"/>
    <n v="0"/>
    <n v="0"/>
    <n v="0"/>
    <n v="0"/>
    <n v="0"/>
    <n v="40000000"/>
    <n v="40000000"/>
    <n v="0"/>
    <n v="0"/>
    <n v="0"/>
    <n v="0"/>
    <n v="0"/>
    <n v="0"/>
    <n v="40000000"/>
    <n v="40000000"/>
    <n v="0"/>
    <n v="0"/>
    <n v="0"/>
    <n v="0"/>
    <n v="0"/>
    <n v="0"/>
    <n v="0"/>
    <n v="0"/>
    <n v="0"/>
    <n v="0"/>
    <n v="0"/>
    <n v="0"/>
    <n v="0"/>
    <n v="0"/>
    <n v="0"/>
    <n v="0"/>
    <n v="0"/>
    <n v="0"/>
    <n v="0"/>
    <n v="0"/>
    <n v="0"/>
    <n v="0"/>
    <n v="0"/>
    <n v="0"/>
    <n v="0"/>
    <n v="0"/>
    <n v="34000000"/>
    <n v="34000000"/>
    <n v="0"/>
    <n v="0"/>
    <n v="0"/>
    <n v="0"/>
    <n v="0"/>
    <n v="0"/>
    <n v="0"/>
    <n v="0"/>
    <n v="0"/>
    <n v="1.6500000000000001E-2"/>
    <n v="10"/>
    <n v="0.1"/>
    <n v="18"/>
    <n v="10"/>
    <n v="10"/>
    <n v="10"/>
    <n v="100"/>
    <n v="100"/>
    <n v="1.6500000000000001E-2"/>
    <n v="100"/>
    <n v="1.6500000000000001E-2"/>
    <n v="0.14850000000000002"/>
    <n v="90"/>
    <n v="0.9"/>
    <n v="80"/>
    <n v="10"/>
    <n v="80"/>
    <n v="88.888888888888886"/>
    <n v="88.888888888888886"/>
    <n v="0.13200000000000001"/>
    <n v="0.13200000000000001"/>
    <n v="0"/>
    <n v="0"/>
    <n v="0"/>
    <n v="0"/>
    <n v="0"/>
    <n v="0"/>
    <n v="0"/>
    <n v="0"/>
    <n v="0"/>
    <n v="0"/>
    <n v="0"/>
    <n v="0"/>
    <n v="0"/>
    <n v="0"/>
    <n v="0"/>
    <n v="0"/>
    <n v="0"/>
    <n v="0"/>
    <n v="0"/>
    <n v="90"/>
    <n v="0.16500000000000004"/>
    <n v="90"/>
    <n v="90"/>
    <n v="0.14850000000000002"/>
    <n v="0.14850000000000002"/>
    <n v="0.14850000000000002"/>
    <n v="1"/>
    <n v="0"/>
    <n v="623"/>
    <s v="100% ENTIDADES MEJORAN EL RESULTADO DE LA GESTIÓN CON HERRAMIENTAS GERENCIALES S Y E "/>
    <m/>
    <s v=""/>
    <m/>
    <m/>
    <m/>
    <m/>
    <s v="De acuerdo con el alcance definido y la dinámica del proceso de planificación en el Departamento, se ha atendido oportunamente las actividades de: estructura de plan de desarrollo, plan indicativo, POAI, Plan de Acción y seguimiento. Durante el primer semestre de 2016,  según esta misma dinámica se soportará las actividades de banco de proyectos, reportes especiales de seguimiento y soporte configuración del nuevo plan de desarrollo_x000a__x000a_"/>
    <n v="60000000"/>
    <m/>
    <n v="0.2"/>
  </r>
  <r>
    <n v="601"/>
    <x v="3"/>
    <x v="14"/>
    <x v="32"/>
    <s v="SEGUIMIENTO Y EVALUACIÓN PARA EL MEJORAMIENTO DE LA GESTIÓN PÚBLICA"/>
    <s v="GENERAR EN 100% MUNICIPIOS Y ENTIDADES DEPARTAMENTALES EN EL CUATRIENIO MAYORES CAPACIDADES DE S Y E "/>
    <s v="% MUNICIPIOS Y ENTIDADES CON CAPACIDADES S Y E"/>
    <s v="PORCENTAJE DE MUNICIPIOS"/>
    <s v="I"/>
    <n v="10"/>
    <n v="110"/>
    <n v="100"/>
    <n v="0.16500000000000001"/>
    <n v="3.1350000000000003E-2"/>
    <n v="19"/>
    <n v="0.19"/>
    <n v="19"/>
    <n v="19"/>
    <n v="100"/>
    <n v="100"/>
    <n v="3.1350000000000003E-2"/>
    <n v="100"/>
    <n v="425000000"/>
    <n v="425000000"/>
    <n v="0"/>
    <n v="0"/>
    <n v="0"/>
    <n v="0"/>
    <n v="0"/>
    <n v="0"/>
    <n v="337484000"/>
    <n v="337484000"/>
    <n v="0"/>
    <n v="0"/>
    <n v="0"/>
    <n v="0"/>
    <n v="0"/>
    <n v="0"/>
    <n v="0"/>
    <n v="0"/>
    <n v="0"/>
    <n v="3.465E-2"/>
    <n v="21"/>
    <n v="0.21"/>
    <n v="21"/>
    <n v="21"/>
    <n v="100"/>
    <n v="100"/>
    <n v="3.465E-2"/>
    <n v="100"/>
    <n v="0"/>
    <n v="0"/>
    <n v="0"/>
    <n v="0"/>
    <n v="0"/>
    <n v="0"/>
    <n v="0"/>
    <n v="0"/>
    <n v="136000000"/>
    <n v="136000000"/>
    <n v="0"/>
    <n v="0"/>
    <n v="0"/>
    <n v="0"/>
    <n v="0"/>
    <n v="0"/>
    <n v="0"/>
    <n v="0"/>
    <n v="0"/>
    <n v="4.9500000000000002E-2"/>
    <n v="30"/>
    <n v="0.3"/>
    <n v="65"/>
    <n v="20"/>
    <n v="60"/>
    <n v="60"/>
    <n v="200"/>
    <n v="100"/>
    <n v="4.9500000000000002E-2"/>
    <n v="100"/>
    <n v="9.9000000000000005E-2"/>
    <n v="4.9500000000000002E-2"/>
    <n v="30"/>
    <n v="0.3"/>
    <n v="0"/>
    <n v="30"/>
    <n v="0"/>
    <n v="0"/>
    <n v="0"/>
    <n v="0"/>
    <n v="0"/>
    <n v="0"/>
    <n v="0"/>
    <n v="0"/>
    <n v="0"/>
    <n v="0"/>
    <n v="0"/>
    <n v="0"/>
    <n v="0"/>
    <n v="0"/>
    <n v="0"/>
    <n v="0"/>
    <n v="0"/>
    <n v="0"/>
    <n v="0"/>
    <n v="0"/>
    <n v="0"/>
    <n v="0"/>
    <n v="0"/>
    <n v="0"/>
    <n v="100"/>
    <n v="0.16500000000000001"/>
    <n v="100"/>
    <n v="100"/>
    <n v="0.16500000000000001"/>
    <n v="0.16500000000000001"/>
    <n v="0.16500000000000001"/>
    <n v="1"/>
    <n v="0"/>
    <n v="623"/>
    <s v="100% ENTIDADES MEJORAN EL RESULTADO DE LA GESTIÓN CON HERRAMIENTAS GERENCIALES S Y E "/>
    <m/>
    <s v=""/>
    <m/>
    <m/>
    <m/>
    <m/>
    <s v="SE ADELANTA ACOMPAÑAMIENTO TÉCNICO A LOS 116 MUNICIPIOS EN EL USO Y ANÁLISIS DE INSTRUMENTOS DE SY E (PLAN INDICATIVO, PLAN DE ACCIÓN, POAI, SICEP) LOS CUALES PROCESAN Y REPORTAN LA INFORMACIÓN DE AVANCE ESTRATÉGICO Y FINANCIERO EN EL SICEP."/>
    <n v="6000000000"/>
    <m/>
    <n v="10"/>
  </r>
  <r>
    <n v="602"/>
    <x v="3"/>
    <x v="14"/>
    <x v="32"/>
    <s v="SEGUIMIENTO Y EVALUACIÓN PARA EL MEJORAMIENTO DE LA GESTIÓN PÚBLICA"/>
    <s v="EJECUTAR 8 PLANES DE MEJORAMIENTO EN EL CUATRIENIO POR PREVIO S Y E"/>
    <s v="NO DE PLANES DE MEJORAMIENTO EN EJECUCIÓN POR S Y E"/>
    <s v="PLANES"/>
    <s v="I"/>
    <n v="0"/>
    <n v="8"/>
    <n v="8"/>
    <n v="0.16500000000000001"/>
    <n v="2.0625000000000001E-2"/>
    <n v="1"/>
    <n v="0.125"/>
    <n v="1"/>
    <n v="1"/>
    <n v="100"/>
    <n v="100"/>
    <n v="2.0625000000000001E-2"/>
    <n v="100"/>
    <n v="0"/>
    <n v="0"/>
    <n v="0"/>
    <n v="0"/>
    <n v="0"/>
    <n v="0"/>
    <n v="0"/>
    <n v="0"/>
    <n v="0"/>
    <n v="0"/>
    <n v="0"/>
    <n v="0"/>
    <n v="0"/>
    <n v="0"/>
    <n v="0"/>
    <n v="0"/>
    <n v="0"/>
    <n v="0"/>
    <n v="0"/>
    <n v="4.1250000000000002E-2"/>
    <n v="2"/>
    <n v="0.25"/>
    <n v="2"/>
    <n v="2"/>
    <n v="100"/>
    <n v="100"/>
    <n v="4.1250000000000002E-2"/>
    <n v="100"/>
    <n v="0"/>
    <n v="0"/>
    <n v="0"/>
    <n v="0"/>
    <n v="0"/>
    <n v="0"/>
    <n v="0"/>
    <n v="0"/>
    <n v="0"/>
    <n v="0"/>
    <n v="0"/>
    <n v="0"/>
    <n v="0"/>
    <n v="0"/>
    <n v="0"/>
    <n v="0"/>
    <n v="0"/>
    <n v="0"/>
    <n v="0"/>
    <n v="6.1874999999999999E-2"/>
    <n v="3"/>
    <n v="0.375"/>
    <n v="0"/>
    <n v="1"/>
    <n v="2"/>
    <n v="2"/>
    <n v="66.666666666666671"/>
    <n v="66.666666666666671"/>
    <n v="4.1250000000000002E-2"/>
    <n v="66.666666666666671"/>
    <n v="4.1250000000000002E-2"/>
    <n v="4.1250000000000002E-2"/>
    <n v="2"/>
    <n v="0.25"/>
    <n v="1"/>
    <n v="1"/>
    <n v="1"/>
    <n v="50"/>
    <n v="50"/>
    <n v="2.0625000000000001E-2"/>
    <n v="2.0625000000000001E-2"/>
    <n v="0"/>
    <n v="0"/>
    <n v="0"/>
    <n v="0"/>
    <n v="0"/>
    <n v="0"/>
    <n v="0"/>
    <n v="0"/>
    <n v="0"/>
    <n v="0"/>
    <n v="0"/>
    <n v="0"/>
    <n v="0"/>
    <n v="0"/>
    <n v="0"/>
    <n v="0"/>
    <n v="0"/>
    <n v="0"/>
    <n v="0"/>
    <n v="6"/>
    <n v="0.16500000000000001"/>
    <n v="75"/>
    <n v="75"/>
    <n v="0.12375"/>
    <n v="0.12375"/>
    <n v="0.12375"/>
    <n v="1"/>
    <n v="0"/>
    <n v="623"/>
    <s v="100% ENTIDADES MEJORAN EL RESULTADO DE LA GESTIÓN CON HERRAMIENTAS GERENCIALES S Y E "/>
    <m/>
    <s v=""/>
    <m/>
    <m/>
    <m/>
    <m/>
    <s v="2012: PLAN DE MEJORAMIENTO CIERRE RENDICIÓN DE CUENTAS 2012 EN LA WEB_x000a_2014: 2 SEGUIMIENTO AL PLAN DE MEJORAMIENTO ESTABLECIDOS SEGÚN INFORME DE GESTION DE LAS ENTIDADES_x000a_2015: 2 SEGUIMIENTO AL PLAN DE MEJORAMIENTO ESTABLECIDOS SEGÚN INFORME DE GESTION DE LAS ENTIDADES "/>
    <n v="267000000"/>
    <m/>
    <n v="4"/>
  </r>
  <r>
    <n v="603"/>
    <x v="3"/>
    <x v="14"/>
    <x v="32"/>
    <s v="SEGUIMIENTO Y EVALUACIÓN PARA EL MEJORAMIENTO DE LA GESTIÓN PÚBLICA"/>
    <s v="IMPLEMENTAR UNA RUTA METODOLÓGICA ANUAL DE RENDICIÓN DE CUENTAS PARA SOMETER EL AVANCE DE LA GESTIÓN TRIMESTRALMENTE , AL DEBATE, ARGUMENTACIÓN Y APORTE DEL CONSEJO DE GOBIERNO PARA EL MEJORAMIENTO DE LOS RESULTADOS DE LA GESTIÓN"/>
    <s v="NO DE RENDICIONES DE CUENTAS TRIMESTRALES CONSEJO DE GOBIERNO PARA MEJORAMIENTO GESTIÓN"/>
    <s v="RENDICIONES DE CUENTAS INTERNAS"/>
    <s v="I"/>
    <n v="0"/>
    <n v="14"/>
    <n v="14"/>
    <n v="0.16500000000000001"/>
    <n v="2.357142857142857E-2"/>
    <n v="2"/>
    <n v="0.14285714285714285"/>
    <n v="2"/>
    <n v="2"/>
    <n v="100"/>
    <n v="100"/>
    <n v="2.3571428571428566E-2"/>
    <n v="100"/>
    <n v="10000000"/>
    <n v="10000000"/>
    <n v="0"/>
    <n v="0"/>
    <n v="0"/>
    <n v="0"/>
    <n v="0"/>
    <n v="0"/>
    <n v="57768000"/>
    <n v="57768000"/>
    <n v="0"/>
    <n v="0"/>
    <n v="0"/>
    <n v="0"/>
    <n v="0"/>
    <n v="0"/>
    <n v="0"/>
    <n v="0"/>
    <n v="0"/>
    <n v="4.7142857142857139E-2"/>
    <n v="4"/>
    <n v="0.2857142857142857"/>
    <n v="4"/>
    <n v="4"/>
    <n v="100"/>
    <n v="100"/>
    <n v="4.7142857142857132E-2"/>
    <n v="100"/>
    <n v="13000000"/>
    <n v="0"/>
    <n v="13000000"/>
    <n v="0"/>
    <n v="0"/>
    <n v="0"/>
    <n v="0"/>
    <n v="0"/>
    <n v="50000000"/>
    <n v="50000000"/>
    <n v="0"/>
    <n v="0"/>
    <n v="0"/>
    <n v="0"/>
    <n v="0"/>
    <n v="0"/>
    <n v="0"/>
    <n v="0"/>
    <n v="0"/>
    <n v="4.7142857142857139E-2"/>
    <n v="4"/>
    <n v="0.2857142857142857"/>
    <n v="4"/>
    <n v="4"/>
    <n v="4"/>
    <n v="4"/>
    <n v="100"/>
    <n v="100"/>
    <n v="4.7142857142857132E-2"/>
    <n v="100"/>
    <n v="4.7142857142857132E-2"/>
    <n v="4.7142857142857139E-2"/>
    <n v="4"/>
    <n v="0.2857142857142857"/>
    <n v="3"/>
    <n v="1"/>
    <n v="0"/>
    <n v="75"/>
    <n v="75"/>
    <n v="3.5357142857142858E-2"/>
    <n v="3.5357142857142858E-2"/>
    <n v="15000000"/>
    <n v="15000000"/>
    <n v="0"/>
    <n v="0"/>
    <n v="0"/>
    <n v="0"/>
    <n v="0"/>
    <n v="0"/>
    <n v="0"/>
    <n v="0"/>
    <n v="0"/>
    <n v="0"/>
    <n v="0"/>
    <n v="0"/>
    <n v="0"/>
    <n v="0"/>
    <n v="0"/>
    <n v="0"/>
    <n v="0"/>
    <n v="13"/>
    <n v="0.16499999999999998"/>
    <n v="92.857142857142861"/>
    <n v="92.857142857142861"/>
    <n v="0.15321428571428572"/>
    <n v="0.15321428571428572"/>
    <n v="0.15321428571428572"/>
    <n v="0.99999999999999989"/>
    <n v="0"/>
    <n v="623"/>
    <s v="100% ENTIDADES MEJORAN EL RESULTADO DE LA GESTIÓN CON HERRAMIENTAS GERENCIALES S Y E "/>
    <m/>
    <s v=""/>
    <m/>
    <m/>
    <m/>
    <m/>
    <s v="SE DIO CUMPLIMIENTO A LOS 5 MOMENTOS DE LA RUTA RENDICIÓN DE CUENTAS 2012 CON LA PARTICIPACIÓN DE DIRECTIVOS Y FUNCIONARIOS EN EL DISEÑO E IMPLEMENTACIÓN. SE INSTITUCIONALIZÓ EN EL PLAN ANTICORRUPCIÓN_x000a__x000a_SE IMPLEMENTO UNA RUTA METODOLOGICA Y SE REALIZARON RENDICIONES DE CUENTAS TRIMESTRALES ANTE CONSEJO DE GOBIERNO, CON EL PROPOSITO DE EVALUAR Y MEJORAR LA GESTIÓN"/>
    <n v="0"/>
    <m/>
    <n v="1"/>
  </r>
  <r>
    <n v="604"/>
    <x v="3"/>
    <x v="14"/>
    <x v="32"/>
    <s v="SEGUIMIENTO Y EVALUACIÓN PARA EL MEJORAMIENTO DE LA GESTIÓN PÚBLICA"/>
    <s v="IMPLEMENTAR UNA RUTA METODOLÓGICA ANUAL DE RENDICIÓN DE CUENTAS PARA SOMETER EL AVANCE DE LA GESTIÓN SEMESTRAL, AL DEBATE, ARGUMENTACIÓN Y APORTE DE ASAMBLEA DEPARTAMENTAL, CIUDADANÍA Y CONSEJO DE PLANEACIÓN DEPARTAMENTAL PARA EL MEJORAMIENTO DE LOS RESUL"/>
    <s v="NO DE RENDICIONES DE CUENTAS SEMESTRALES A LA ASAMBLEA, CIUDADANÍA Y CONSEJO TERRITORIAL DE PLANEACIÓN"/>
    <s v="RENDICIONES DE CUENTAS EXTERNAS"/>
    <s v="I"/>
    <n v="4"/>
    <n v="11"/>
    <n v="7"/>
    <n v="0.16500000000000001"/>
    <n v="2.357142857142857E-2"/>
    <n v="1"/>
    <n v="0.14285714285714285"/>
    <n v="0"/>
    <n v="0"/>
    <n v="0"/>
    <n v="0"/>
    <n v="0"/>
    <n v="0"/>
    <n v="0"/>
    <n v="0"/>
    <n v="0"/>
    <n v="0"/>
    <n v="0"/>
    <n v="0"/>
    <n v="0"/>
    <n v="0"/>
    <n v="0"/>
    <n v="0"/>
    <n v="0"/>
    <n v="0"/>
    <n v="0"/>
    <n v="0"/>
    <n v="0"/>
    <n v="0"/>
    <n v="0"/>
    <n v="0"/>
    <n v="0"/>
    <n v="4.7142857142857139E-2"/>
    <n v="2"/>
    <n v="0.2857142857142857"/>
    <n v="6"/>
    <n v="6"/>
    <n v="300"/>
    <n v="100"/>
    <n v="4.7142857142857132E-2"/>
    <n v="100"/>
    <n v="29000000"/>
    <n v="0"/>
    <n v="29000000"/>
    <n v="0"/>
    <n v="0"/>
    <n v="0"/>
    <n v="0"/>
    <n v="0"/>
    <n v="67720000"/>
    <n v="67720000"/>
    <n v="0"/>
    <n v="0"/>
    <n v="0"/>
    <n v="0"/>
    <n v="0"/>
    <n v="0"/>
    <n v="0"/>
    <n v="0"/>
    <n v="0"/>
    <n v="4.7142857142857139E-2"/>
    <n v="2"/>
    <n v="0.2857142857142857"/>
    <n v="5"/>
    <n v="5"/>
    <n v="5"/>
    <n v="5"/>
    <n v="250"/>
    <n v="100"/>
    <n v="4.7142857142857132E-2"/>
    <n v="100"/>
    <n v="0.11785714285714284"/>
    <n v="4.7142857142857139E-2"/>
    <n v="2"/>
    <n v="0.2857142857142857"/>
    <n v="4"/>
    <n v="-2"/>
    <n v="0"/>
    <n v="200"/>
    <n v="100"/>
    <n v="4.7142857142857132E-2"/>
    <n v="9.4285714285714264E-2"/>
    <n v="31000000"/>
    <n v="31000000"/>
    <n v="0"/>
    <n v="0"/>
    <n v="0"/>
    <n v="0"/>
    <n v="0"/>
    <n v="0"/>
    <n v="0"/>
    <n v="0"/>
    <n v="0"/>
    <n v="0"/>
    <n v="0"/>
    <n v="0"/>
    <n v="0"/>
    <n v="0"/>
    <n v="0"/>
    <n v="0"/>
    <n v="0"/>
    <n v="15"/>
    <n v="0.16499999999999998"/>
    <n v="214.28571428571428"/>
    <n v="100"/>
    <n v="0.16500000000000001"/>
    <n v="0.16500000000000001"/>
    <n v="0.16500000000000001"/>
    <n v="0.99999999999999989"/>
    <n v="0"/>
    <n v="623"/>
    <s v="100% ENTIDADES MEJORAN EL RESULTADO DE LA GESTIÓN CON HERRAMIENTAS GERENCIALES S Y E "/>
    <m/>
    <s v=""/>
    <m/>
    <m/>
    <m/>
    <m/>
    <s v="SE IMPLEMENTÓ LA RUTA METODOLÓGICA Y SE PRESENTO EL AVANCE EN RENDICION DE CUENTAS A CADA UNA DE LAS INSTANCIAS"/>
    <n v="0"/>
    <m/>
    <n v="0"/>
  </r>
  <r>
    <n v="605"/>
    <x v="3"/>
    <x v="14"/>
    <x v="32"/>
    <s v="SEGUIMIENTO Y EVALUACIÓN PARA EL MEJORAMIENTO DE LA GESTIÓN PÚBLICA"/>
    <s v="IMPLEMENTAR UNA RUTA METODOLÓGICA ANUAL DE RENDICIÓN DE CUENTAS PARA SOMETER EL AVANCE DE LA GESTIÓN ANUAL, INFANCIA Y ADOLESCENCIA EN EL ACCESO A DERECHOS, AL DEBATE, ARGUMENTACIÓN Y APORTE DE CONSEJO DE POLÍTICA SOCIAL, ASAMBLEA, CIUDADANÍA Y MUNICIPIO"/>
    <s v="NO DE RENDICIONES DE CUENTAS ANUAL DE INFANCIA Y ADOLESCENCIA PARA MEJORAMIENTO GESTIÓN."/>
    <s v="RENDICIONES DE CUENTAS DE INFANCIA Y ADOLESCENCIA"/>
    <s v="I"/>
    <n v="1"/>
    <n v="5"/>
    <n v="4"/>
    <n v="0.16500000000000001"/>
    <n v="4.1250000000000002E-2"/>
    <n v="1"/>
    <n v="0.25"/>
    <n v="0"/>
    <n v="0"/>
    <n v="0"/>
    <n v="0"/>
    <n v="0"/>
    <n v="0"/>
    <n v="0"/>
    <n v="0"/>
    <n v="0"/>
    <n v="0"/>
    <n v="0"/>
    <n v="0"/>
    <n v="0"/>
    <n v="0"/>
    <n v="0"/>
    <n v="0"/>
    <n v="0"/>
    <n v="0"/>
    <n v="0"/>
    <n v="0"/>
    <n v="0"/>
    <n v="0"/>
    <n v="0"/>
    <n v="0"/>
    <n v="0"/>
    <n v="4.1250000000000002E-2"/>
    <n v="1"/>
    <n v="0.25"/>
    <n v="0"/>
    <n v="0"/>
    <n v="0"/>
    <n v="0"/>
    <n v="0"/>
    <n v="0"/>
    <n v="15000000"/>
    <n v="0"/>
    <n v="15000000"/>
    <n v="0"/>
    <n v="0"/>
    <n v="0"/>
    <n v="0"/>
    <n v="0"/>
    <n v="10800000"/>
    <n v="10800000"/>
    <n v="0"/>
    <n v="0"/>
    <n v="0"/>
    <n v="0"/>
    <n v="0"/>
    <n v="0"/>
    <n v="0"/>
    <n v="0"/>
    <n v="0"/>
    <n v="4.1250000000000002E-2"/>
    <n v="1"/>
    <n v="0.25"/>
    <n v="5.000000074505806E-2"/>
    <n v="0.8"/>
    <n v="0.95"/>
    <n v="0.95"/>
    <n v="95"/>
    <n v="95"/>
    <n v="3.91875E-2"/>
    <n v="95"/>
    <n v="3.91875E-2"/>
    <n v="4.1250000000000002E-2"/>
    <n v="1"/>
    <n v="0.25"/>
    <n v="6"/>
    <n v="-5"/>
    <n v="0"/>
    <n v="600"/>
    <n v="100"/>
    <n v="4.1250000000000002E-2"/>
    <n v="0.2475"/>
    <n v="15000000"/>
    <n v="15000000"/>
    <n v="0"/>
    <n v="0"/>
    <n v="0"/>
    <n v="0"/>
    <n v="0"/>
    <n v="0"/>
    <n v="0"/>
    <n v="0"/>
    <n v="0"/>
    <n v="0"/>
    <n v="0"/>
    <n v="0"/>
    <n v="0"/>
    <n v="0"/>
    <n v="0"/>
    <n v="0"/>
    <n v="0"/>
    <n v="6.95"/>
    <n v="0.16500000000000001"/>
    <n v="173.75"/>
    <n v="100"/>
    <n v="0.16500000000000001"/>
    <n v="0.16500000000000001"/>
    <n v="0.16500000000000001"/>
    <n v="1"/>
    <n v="0"/>
    <n v="619"/>
    <s v="LA INSTITUCIÓN DEPARTAMENTAL, LOS GOBIERNOS TERRITORIALES Y LA COMUNIDAD INVOLUCRAN AL 100% DE LAS DIFERENTES INSTANCIAS DE PARTICIPACIÓN EN EL DESARROLLO DE SUS PROGRAMAS Y PROYECTOS GENERANDO CORRESPONSABILIDAD CON PARTICIPACIÓN REAL Y ACTIVA."/>
    <n v="622"/>
    <s v="INFORMACIÓN PARA LA TOMA DE DECISIONES DISPONIBLE Y CONFIABLE EN CUALQUIER MOMENTO A TRAVÉS DE UNA PLATAFORMA TECNOLÓGICA"/>
    <n v="623"/>
    <m/>
    <m/>
    <m/>
    <s v="SE IMPLEMENTO Y DIO A CONOCER LA RUTA METODOLÓGICA PARA LA RENDICIÓN PUBLICA DE CUENTAS DE NNAJ_x000a_1)  RENDICIÓN PUBLICA DE CUENTAS DE PRIMERA INFANCIA _x000a_2) RENDICIÓN PUBLICA DE CUENTAS DE INFANCIA_x000a_3) RENDICIÓN PUBLICA DE CUENTAS DE ADOLESCENCIA_x000a_4) RENDICIÓN PUBLICA DE CUENTAS DE JUVENTUD _x000a_5) RENDICIÓN PUBLICA DE CUENTAS DE CUIDADORES "/>
    <n v="500000000"/>
    <m/>
    <n v="5"/>
  </r>
  <r>
    <n v="606"/>
    <x v="3"/>
    <x v="14"/>
    <x v="32"/>
    <s v="SEGUIMIENTO Y EVALUACIÓN PARA EL MEJORAMIENTO DE LA GESTIÓN PÚBLICA"/>
    <s v="REALIZAR 8 PUBLICACIONES EN EL CUATRIENIO PARA DIVULGAR MEJORES PRÁCTICAS DE S Y E."/>
    <s v="NO PUBLICACIONES QUE DIVULGAN BUENAS PRÁCTICAS DE SEGUIMIENTO Y EVALUACIÓN."/>
    <s v="PUBLICACIONES"/>
    <s v="I"/>
    <n v="0"/>
    <n v="8"/>
    <n v="8"/>
    <n v="0.16500000000000001"/>
    <n v="2.0625000000000001E-2"/>
    <n v="1"/>
    <n v="0.125"/>
    <n v="1"/>
    <n v="1"/>
    <n v="100"/>
    <n v="100"/>
    <n v="2.0625000000000001E-2"/>
    <n v="100"/>
    <n v="0"/>
    <n v="0"/>
    <n v="0"/>
    <n v="0"/>
    <n v="0"/>
    <n v="0"/>
    <n v="0"/>
    <n v="0"/>
    <n v="39715000"/>
    <n v="39715000"/>
    <n v="0"/>
    <n v="0"/>
    <n v="0"/>
    <n v="0"/>
    <n v="0"/>
    <n v="0"/>
    <n v="0"/>
    <n v="0"/>
    <n v="0"/>
    <n v="4.1250000000000002E-2"/>
    <n v="2"/>
    <n v="0.25"/>
    <n v="2"/>
    <n v="2"/>
    <n v="100"/>
    <n v="100"/>
    <n v="4.1250000000000002E-2"/>
    <n v="100"/>
    <n v="30000000"/>
    <n v="0"/>
    <n v="30000000"/>
    <n v="0"/>
    <n v="0"/>
    <n v="0"/>
    <n v="0"/>
    <n v="0"/>
    <n v="0"/>
    <n v="0"/>
    <n v="0"/>
    <n v="0"/>
    <n v="0"/>
    <n v="0"/>
    <n v="0"/>
    <n v="0"/>
    <n v="0"/>
    <n v="0"/>
    <n v="0"/>
    <n v="6.1874999999999999E-2"/>
    <n v="3"/>
    <n v="0.375"/>
    <n v="0"/>
    <n v="0"/>
    <n v="3"/>
    <n v="3"/>
    <n v="100"/>
    <n v="100"/>
    <n v="6.1874999999999999E-2"/>
    <n v="100"/>
    <n v="6.1874999999999999E-2"/>
    <n v="4.1250000000000002E-2"/>
    <n v="2"/>
    <n v="0.25"/>
    <n v="4"/>
    <n v="-2"/>
    <n v="4"/>
    <n v="200"/>
    <n v="100"/>
    <n v="4.1250000000000002E-2"/>
    <n v="8.2500000000000004E-2"/>
    <n v="30000000"/>
    <n v="30000000"/>
    <n v="0"/>
    <n v="0"/>
    <n v="0"/>
    <n v="0"/>
    <n v="0"/>
    <n v="0"/>
    <n v="0"/>
    <n v="0"/>
    <n v="0"/>
    <n v="0"/>
    <n v="0"/>
    <n v="0"/>
    <n v="0"/>
    <n v="0"/>
    <n v="0"/>
    <n v="0"/>
    <n v="0"/>
    <n v="10"/>
    <n v="0.16500000000000001"/>
    <n v="125"/>
    <n v="100"/>
    <n v="0.16500000000000001"/>
    <n v="0.16500000000000001"/>
    <n v="0.16500000000000001"/>
    <n v="1"/>
    <n v="0"/>
    <n v="623"/>
    <s v="100% ENTIDADES MEJORAN EL RESULTADO DE LA GESTIÓN CON HERRAMIENTAS GERENCIALES S Y E "/>
    <m/>
    <s v=""/>
    <m/>
    <m/>
    <m/>
    <m/>
    <s v="EN TODAS LAS VIGENCIAS SE PUBLICARON VIA WEB, LA RUTA DE RENDICION DE CUENTAS,  TODOS LOS INFORMES DE RENDICION DE CUENTAS Y LOS AVANCES TRIMESTRALES, EN 2015 Y COMO RESULTADO DE LA SENSIBILIZÁCIÓN  DE LA RUTA METODOLÓGICA DE NNAJ SE HIZO LA PUBLICACIÓN WEB DE LOS PRINCIPALES RESULTADO DE LA RENDICIÓN DE CUENTAS 2015. POR OTRA PARTE  SE PUBLICO  EN FISICO:_x000a_1) ODM SE REALIZARON LAS PUBLICACIONES DE LOS AVANCES TANTO DEL DEPARTAMENTO COMO EN SUS 15 PROVINCIAS._x000a_2) IMPACTO DEL PLAN DE DESARROLLO EN LA COMUNIDAD CUNDINAMARQUESA_x000a_3) PUBLICACION DEL INFORME DE GESTION 2012-2015 DEL PLAN DE DESARROLLO &quot;CUNDIANAMARCA, CALIDAD DE VIDA&quot;_x000a__x000a__x000a_"/>
    <n v="96000000"/>
    <m/>
    <n v="1"/>
  </r>
  <r>
    <n v="607"/>
    <x v="3"/>
    <x v="14"/>
    <x v="32"/>
    <s v="SEGUIMIENTO Y EVALUACIÓN PARA EL MEJORAMIENTO DE LA GESTIÓN PÚBLICA"/>
    <s v="REALIZAR 4 EVALUACIONES EXTERNAS DE RESULTADOS DE LA GESTIÓN."/>
    <s v="NO EVALUACIONES EXTERNAS."/>
    <s v="EVALUACIONES"/>
    <s v="I"/>
    <n v="0"/>
    <n v="4"/>
    <n v="4"/>
    <n v="0.16500000000000001"/>
    <n v="0"/>
    <n v="0"/>
    <n v="0"/>
    <n v="0"/>
    <n v="0"/>
    <n v="0"/>
    <n v="0"/>
    <n v="0"/>
    <n v="0"/>
    <n v="0"/>
    <n v="0"/>
    <n v="0"/>
    <n v="0"/>
    <n v="0"/>
    <n v="0"/>
    <n v="0"/>
    <n v="0"/>
    <n v="0"/>
    <n v="0"/>
    <n v="0"/>
    <n v="0"/>
    <n v="0"/>
    <n v="0"/>
    <n v="0"/>
    <n v="0"/>
    <n v="0"/>
    <n v="0"/>
    <n v="0"/>
    <n v="4.1250000000000002E-2"/>
    <n v="1"/>
    <n v="0.25"/>
    <n v="0"/>
    <n v="0"/>
    <n v="0"/>
    <n v="0"/>
    <n v="0"/>
    <n v="0"/>
    <n v="20000000"/>
    <n v="0"/>
    <n v="20000000"/>
    <n v="0"/>
    <n v="0"/>
    <n v="0"/>
    <n v="0"/>
    <n v="0"/>
    <n v="0"/>
    <n v="0"/>
    <n v="0"/>
    <n v="0"/>
    <n v="0"/>
    <n v="0"/>
    <n v="0"/>
    <n v="0"/>
    <n v="0"/>
    <n v="0"/>
    <n v="0"/>
    <n v="4.1250000000000002E-2"/>
    <n v="1"/>
    <n v="0.25"/>
    <n v="5.000000074505806E-2"/>
    <n v="0.05"/>
    <n v="0"/>
    <n v="0"/>
    <n v="0"/>
    <n v="0"/>
    <n v="0"/>
    <n v="0"/>
    <n v="0"/>
    <n v="8.2500000000000004E-2"/>
    <n v="2"/>
    <n v="0.5"/>
    <n v="3"/>
    <n v="-1"/>
    <n v="3"/>
    <n v="150"/>
    <n v="100"/>
    <n v="8.2500000000000004E-2"/>
    <n v="0.12375"/>
    <n v="20000000"/>
    <n v="20000000"/>
    <n v="0"/>
    <n v="0"/>
    <n v="0"/>
    <n v="0"/>
    <n v="0"/>
    <n v="0"/>
    <n v="0"/>
    <n v="0"/>
    <n v="0"/>
    <n v="0"/>
    <n v="0"/>
    <n v="0"/>
    <n v="0"/>
    <n v="0"/>
    <n v="0"/>
    <n v="0"/>
    <n v="0"/>
    <n v="3"/>
    <n v="0.16500000000000001"/>
    <n v="75"/>
    <n v="75"/>
    <n v="0.12375"/>
    <n v="0.12375"/>
    <n v="0.12375"/>
    <n v="1"/>
    <n v="0"/>
    <n v="623"/>
    <s v="100% ENTIDADES MEJORAN EL RESULTADO DE LA GESTIÓN CON HERRAMIENTAS GERENCIALES S Y E "/>
    <m/>
    <s v=""/>
    <m/>
    <m/>
    <m/>
    <m/>
    <s v="1) CON LA FIRMA CIFRAS  CONCEPTOS SE REALIZO ENCUESTA DE AVANCES DE GESTIÓN._x000a_2)  LA FIRMA CIFRAS Y CONCEPTOS, PRESENTO EL ANÁLISIS DE PERCEPCIÓN CIUDADANA ANTE CEL CONSEJO DE GOBIERNO_x000a_3) CON EL PROPÓSITO DE HACER SEGUIMIENTO A LAS PRINCIPALES ACTIVIDADES DE GESTIÓN Y RESULTADOS DEL PDD CUNDINAMARCA, CALIDAD DE VIDA, SE REALIZO LA EVALUACION DE RESULTADOS, CUMPLIMIENTO DE METAS Y EJECUCIÓN DE RECURSOS ."/>
    <n v="30000000"/>
    <m/>
    <n v="20"/>
  </r>
  <r>
    <n v="608"/>
    <x v="3"/>
    <x v="14"/>
    <x v="32"/>
    <s v="SEGUIMIENTO Y EVALUACIÓN PARA EL MEJORAMIENTO DE LA GESTIÓN PÚBLICA"/>
    <s v="REALIZAR POR LO MENOS 8 ENCUESTAS EN EL CUATRIENIO DE PERCEPCIÓN CIUDADANA SOBRE GESTIÓN PÚBLICA"/>
    <s v="NO ENCUESTAS DE PERCEPCIÓN CIUDADANA SOBRE GESTIÓN PÚBLICA"/>
    <s v="ENCUESTAS"/>
    <s v="I"/>
    <n v="0"/>
    <n v="8"/>
    <n v="8"/>
    <n v="0.16500000000000001"/>
    <n v="2.0625000000000001E-2"/>
    <n v="1"/>
    <n v="0.125"/>
    <n v="1"/>
    <n v="1"/>
    <n v="100"/>
    <n v="100"/>
    <n v="2.0625000000000001E-2"/>
    <n v="100"/>
    <n v="0"/>
    <n v="0"/>
    <n v="0"/>
    <n v="0"/>
    <n v="0"/>
    <n v="0"/>
    <n v="0"/>
    <n v="0"/>
    <n v="0"/>
    <n v="0"/>
    <n v="0"/>
    <n v="0"/>
    <n v="0"/>
    <n v="0"/>
    <n v="0"/>
    <n v="0"/>
    <n v="0"/>
    <n v="0"/>
    <n v="0"/>
    <n v="6.1874999999999999E-2"/>
    <n v="3"/>
    <n v="0.375"/>
    <n v="5"/>
    <n v="5"/>
    <n v="166.66666666666666"/>
    <n v="100"/>
    <n v="6.1874999999999999E-2"/>
    <n v="100"/>
    <n v="12000000"/>
    <n v="0"/>
    <n v="12000000"/>
    <n v="0"/>
    <n v="0"/>
    <n v="0"/>
    <n v="0"/>
    <n v="0"/>
    <n v="20000000"/>
    <n v="20000000"/>
    <n v="0"/>
    <n v="0"/>
    <n v="0"/>
    <n v="0"/>
    <n v="0"/>
    <n v="0"/>
    <n v="0"/>
    <n v="0"/>
    <n v="0"/>
    <n v="6.1874999999999999E-2"/>
    <n v="3"/>
    <n v="0.375"/>
    <n v="1"/>
    <n v="1"/>
    <n v="1"/>
    <n v="1"/>
    <n v="33.333333333333336"/>
    <n v="33.333333333333336"/>
    <n v="2.0625000000000001E-2"/>
    <n v="33.333333333333336"/>
    <n v="2.0625000000000001E-2"/>
    <n v="2.0625000000000001E-2"/>
    <n v="1"/>
    <n v="0.125"/>
    <n v="1"/>
    <n v="0"/>
    <n v="1"/>
    <n v="100"/>
    <n v="100"/>
    <n v="2.0625000000000001E-2"/>
    <n v="2.0625000000000001E-2"/>
    <n v="12000000"/>
    <n v="12000000"/>
    <n v="0"/>
    <n v="0"/>
    <n v="0"/>
    <n v="0"/>
    <n v="0"/>
    <n v="0"/>
    <n v="0"/>
    <n v="0"/>
    <n v="0"/>
    <n v="0"/>
    <n v="0"/>
    <n v="0"/>
    <n v="0"/>
    <n v="0"/>
    <n v="0"/>
    <n v="0"/>
    <n v="0"/>
    <n v="8"/>
    <n v="0.16500000000000001"/>
    <n v="100"/>
    <n v="100"/>
    <n v="0.16500000000000001"/>
    <n v="0.16500000000000001"/>
    <n v="0.16500000000000001"/>
    <n v="1"/>
    <n v="0"/>
    <n v="623"/>
    <s v="100% ENTIDADES MEJORAN EL RESULTADO DE LA GESTIÓN CON HERRAMIENTAS GERENCIALES S Y E "/>
    <m/>
    <s v=""/>
    <m/>
    <m/>
    <m/>
    <m/>
    <s v="4 ENCUESTAS: 3 DE PERCEPCIÓN CIUDADANA RENDICIÓN DE CUENTAS, 1 MUESTRA DE PERCEPCION GESTION"/>
    <n v="0"/>
    <m/>
    <n v="30"/>
  </r>
  <r>
    <n v="624"/>
    <x v="0"/>
    <x v="1"/>
    <x v="5"/>
    <s v="PROTECCIÓN "/>
    <s v="ATENCIÓN INTEGRAL A LOS ADULTOS MAYORES QUE LO REQUIERAN EN EL MARCO DE LA LEY 687 DE 2001, MODIFICADA POR LA LEY 1276 DE 2009 Y LAS DEMÁS QUE LAS MODIFIQUEN."/>
    <s v="NUMERO DE ADULTOS MAYORES ATENDIDOS"/>
    <s v="ADULTOS"/>
    <s v="I"/>
    <n v="0"/>
    <n v="6000"/>
    <n v="6000"/>
    <n v="0.22264"/>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22264"/>
    <n v="6000"/>
    <n v="1"/>
    <n v="6000"/>
    <n v="0"/>
    <n v="6000"/>
    <n v="100"/>
    <n v="100"/>
    <n v="0.22264"/>
    <n v="0.22264"/>
    <n v="0"/>
    <n v="0"/>
    <n v="0"/>
    <n v="0"/>
    <n v="0"/>
    <n v="0"/>
    <n v="0"/>
    <n v="0"/>
    <n v="0"/>
    <n v="0"/>
    <n v="0"/>
    <n v="0"/>
    <n v="0"/>
    <n v="0"/>
    <n v="0"/>
    <n v="0"/>
    <n v="0"/>
    <n v="0"/>
    <n v="0"/>
    <n v="6000"/>
    <n v="0.22264"/>
    <n v="100"/>
    <n v="100"/>
    <n v="0.22264"/>
    <n v="0.22264"/>
    <n v="0.22264"/>
    <n v="1"/>
    <n v="0"/>
    <m/>
    <m/>
    <m/>
    <m/>
    <m/>
    <m/>
    <m/>
    <m/>
    <s v="SE REALIZÓ EL GIRO DE LOS RECURSOS CORRESPONDIENTE A LA ESTAMPILLA DE ADULTO MAYOR A LOS MUNICIPIOS QUIENES CERTIFICARON PARA EL CASO DE LOS CENTROS DIA UNA POBLACION ATENDIDA DE 18,507 ADULTOS MAYORES Y PARA EL CASO DE LOS CENTROS DE BIENESTAR 1,700 ADULTOS MAYORES. SE ESTIMA QUE A DICIEMBRE DE 2015, MÁS DE 20 MIL ADULTOS MAYORES TENDRÁN ATENCIÓN INTEGRAL (ALIMENTACIÓN, ORIENTACIÓN SICOSOCIAL, ATENCIÓN EN SALUD, CAPACITACIÓN ACTIVIDADES PRODUCTIVAS, ENCUENTROS INTERGENERACIONALES, ENTRE OTROS TEMAS) "/>
    <n v="250000000"/>
    <m/>
    <n v="0"/>
  </r>
  <r>
    <n v="625"/>
    <x v="0"/>
    <x v="10"/>
    <x v="8"/>
    <s v="INFRAESTRUCTURA SOCIAL"/>
    <s v="APOYAR TÉCNICA Y FINANCIERAMENTE LA ELABORACIÓN DE LOS ESTUDIOS PARA LA REUBICACIÓN PARCIAL DE VIVIENDAS Y EQUIPAMIENTOS AFECTADOS POR LA QUEBRADA LA NEGRA EN EL MUNICIPIO DE UTICA"/>
    <s v="NUMERO DE ESTUDIOS REALIZADOS"/>
    <s v="ESTUDIOS"/>
    <s v="I"/>
    <n v="0"/>
    <n v="5"/>
    <n v="5"/>
    <n v="0.22264"/>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22264"/>
    <n v="5"/>
    <n v="1"/>
    <n v="2"/>
    <n v="3"/>
    <n v="2"/>
    <n v="40"/>
    <n v="40"/>
    <n v="8.9055999999999996E-2"/>
    <n v="8.9055999999999996E-2"/>
    <n v="0"/>
    <n v="0"/>
    <n v="0"/>
    <n v="0"/>
    <n v="0"/>
    <n v="0"/>
    <n v="0"/>
    <n v="0"/>
    <n v="0"/>
    <n v="0"/>
    <n v="0"/>
    <n v="0"/>
    <n v="0"/>
    <n v="0"/>
    <n v="0"/>
    <n v="0"/>
    <n v="0"/>
    <n v="0"/>
    <n v="0"/>
    <n v="0"/>
    <n v="0.22264"/>
    <n v="0"/>
    <n v="0"/>
    <n v="0"/>
    <n v="0"/>
    <n v="0"/>
    <n v="1"/>
    <n v="0"/>
    <m/>
    <m/>
    <m/>
    <m/>
    <m/>
    <m/>
    <m/>
    <m/>
    <s v="EN PROCESO LA ELABORACIÓN DE LOS ESTUDIOS QUE PERMITAN LA REUBICACIÓN PARCIAL DE VIVIENDAS Y EQUIPAMIENTOS AFECTADOS POR LA ANTERIOR OLA INVERNAL"/>
    <n v="6000000000"/>
    <m/>
    <n v="52"/>
  </r>
  <r>
    <n v="626"/>
    <x v="0"/>
    <x v="10"/>
    <x v="8"/>
    <s v="INFRAESTRUCTURA SOCIAL"/>
    <s v="CONSTRUCCIÓN DE 5 PROYECTOS DEL PROCESO DE REUBICACIÓN PARCIAL POR RIESGO EN EL MUNICIPIO DE UTICA, (1. OBRAS URBANISMO, 2. SERVICIOS PÚBLICOS, 3. VIVIENDA, 4. CENTRO DE SALUD Y 5. UNIDAD EDUCATIVA)"/>
    <s v="NUMERO DE PROYECTOS"/>
    <s v="PROYECTOS"/>
    <s v="I"/>
    <n v="0"/>
    <n v="5"/>
    <n v="5"/>
    <n v="0.22264"/>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22264"/>
    <n v="5"/>
    <n v="1"/>
    <n v="0"/>
    <n v="5"/>
    <n v="0"/>
    <n v="0"/>
    <n v="0"/>
    <n v="0"/>
    <n v="0"/>
    <n v="0"/>
    <n v="0"/>
    <n v="0"/>
    <n v="0"/>
    <n v="0"/>
    <n v="0"/>
    <n v="0"/>
    <n v="0"/>
    <n v="0"/>
    <n v="0"/>
    <n v="0"/>
    <n v="0"/>
    <n v="0"/>
    <n v="0"/>
    <n v="0"/>
    <n v="0"/>
    <n v="0"/>
    <n v="0"/>
    <n v="0"/>
    <n v="0"/>
    <n v="0.22264"/>
    <n v="0"/>
    <n v="0"/>
    <n v="0"/>
    <n v="0"/>
    <n v="0"/>
    <n v="1"/>
    <n v="0"/>
    <m/>
    <m/>
    <m/>
    <m/>
    <m/>
    <m/>
    <m/>
    <m/>
    <s v=""/>
    <n v="248670000000"/>
    <m/>
    <n v="1"/>
  </r>
  <r>
    <n v="627"/>
    <x v="2"/>
    <x v="10"/>
    <x v="21"/>
    <s v="INFRAESTRUCTURA LOGÍSTICA PARA LA PRODUCTIVIDAD"/>
    <s v="APOYAR A LOS 116 MUNICIPIOS PARA EL MEJORAMIENTO DE 5.000 METROS CUADRADOS DE VIAS PEATONALES Y ANDENES DE LA RED VIAL URBANA, DURANTE EL PERIODO DE GOBIERNO."/>
    <s v="NUMERO DE METROS CUADRADOS DE VIAS PEATONALES Y ANDENES DE LA RED VIAL URBANA."/>
    <s v="METROS CUADRADOS"/>
    <s v="I"/>
    <n v="0"/>
    <n v="5000"/>
    <n v="5000"/>
    <n v="0.22264"/>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22264"/>
    <n v="5000"/>
    <n v="1"/>
    <n v="5000"/>
    <n v="0"/>
    <n v="5000"/>
    <n v="100"/>
    <n v="100"/>
    <n v="0.22264"/>
    <n v="0.22264"/>
    <n v="0"/>
    <n v="0"/>
    <n v="0"/>
    <n v="0"/>
    <n v="0"/>
    <n v="0"/>
    <n v="0"/>
    <n v="0"/>
    <n v="0"/>
    <n v="0"/>
    <n v="0"/>
    <n v="0"/>
    <n v="0"/>
    <n v="0"/>
    <n v="0"/>
    <n v="0"/>
    <n v="0"/>
    <n v="0"/>
    <n v="0"/>
    <n v="5000"/>
    <n v="0.22264"/>
    <n v="100"/>
    <n v="100"/>
    <n v="0.22264"/>
    <n v="0.22264"/>
    <n v="0.22264"/>
    <n v="1"/>
    <n v="0"/>
    <m/>
    <m/>
    <m/>
    <m/>
    <m/>
    <m/>
    <m/>
    <m/>
    <s v="LA INTERVENCIÓN DE LOS ANDENES QUE MEJORARÍAN LA MOVILIDAD Y AUMENTARIAN LOS NIVELES DE SEGURIDAD EN SUS DESPLAZAMIENTOS DE LOS PEATONES, SE HAN REALIZADO EN LOS MUNICIPIOS DONDE LOS RESPECTIVOS PROYECTOS HAN SIDO APROBADOS POR EL BANCO DE PROYECTOS DEPARTAMENTAL. VALE RECORDAR QUE EL ICCU RECIBIÓ ESTA NUEVA META A INICIOS DE LA PRESENTE VIGENCIA, POR LO QUE LA META SOLO SE PUEDE REPRESENTAR EN 1500 METROS INTERVENIDOS HASTA EL MOMENTO."/>
    <n v="59000000000"/>
    <m/>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1" cacheId="0" applyNumberFormats="0" applyBorderFormats="0" applyFontFormats="0" applyPatternFormats="0" applyAlignmentFormats="0" applyWidthHeightFormats="1" dataCaption="Valores" updatedVersion="5" minRefreshableVersion="3" useAutoFormatting="1" itemPrintTitles="1" createdVersion="1" indent="0" outline="1" outlineData="1" multipleFieldFilters="0" rowHeaderCaption="OBJETIVOS" fieldListSortAscending="1">
  <location ref="A4:K10" firstHeaderRow="1" firstDataRow="2" firstDataCol="1"/>
  <pivotFields count="131">
    <pivotField showAll="0" includeNewItemsInFilter="1" defaultSubtotal="0"/>
    <pivotField axis="axisRow" showAll="0" includeNewItemsInFilter="1" defaultSubtotal="0">
      <items count="4">
        <item x="0"/>
        <item x="1"/>
        <item x="2"/>
        <item x="3"/>
      </items>
    </pivotField>
    <pivotField showAll="0" includeNewItemsInFilter="1" defaultSubtotal="0"/>
    <pivotField showAll="0" defaultSubtotal="0"/>
    <pivotField showAll="0" includeNewItemsInFilter="1" defaultSubtotal="0"/>
    <pivotField showAll="0" defaultSubtotal="0"/>
    <pivotField showAll="0" defaultSubtotal="0"/>
    <pivotField showAll="0" includeNewItemsInFilter="1" defaultSubtotal="0"/>
    <pivotField showAll="0" defaultSubtotal="0"/>
    <pivotField showAll="0" includeNewItemsInFilter="1" defaultSubtotal="0"/>
    <pivotField showAll="0" includeNewItemsInFilter="1" defaultSubtotal="0"/>
    <pivotField showAll="0" includeNewItemsInFilter="1" defaultSubtotal="0"/>
    <pivotField dataField="1" showAll="0" defaultSubtotal="0"/>
    <pivotField dataField="1" showAll="0" defaultSubtotal="0"/>
    <pivotField showAll="0" includeNewItemsInFilter="1" defaultSubtotal="0"/>
    <pivotField showAll="0" defaultSubtotal="0"/>
    <pivotField showAll="0" includeNewItemsInFilter="1" defaultSubtotal="0"/>
    <pivotField showAll="0" includeNewItemsInFilter="1" defaultSubtotal="0"/>
    <pivotField showAll="0" defaultSubtotal="0"/>
    <pivotField showAll="0" defaultSubtotal="0"/>
    <pivotField dataField="1" showAll="0" includeNewItemsInFilter="1" defaultSubtotal="0"/>
    <pivotField showAll="0" includeNewItemsInFilter="1" defaultSubtotal="0"/>
    <pivotField showAll="0" includeNewItemsInFilter="1" defaultSubtotal="0"/>
    <pivotField showAll="0" defaultSubtotal="0"/>
    <pivotField showAll="0" includeNewItemsInFilter="1" defaultSubtotal="0"/>
    <pivotField numFmtId="174" showAll="0" defaultSubtotal="0"/>
    <pivotField showAll="0" includeNewItemsInFilter="1" defaultSubtotal="0"/>
    <pivotField showAll="0" defaultSubtotal="0"/>
    <pivotField showAll="0" includeNewItemsInFilter="1" defaultSubtotal="0"/>
    <pivotField numFmtId="174" showAll="0" defaultSubtotal="0"/>
    <pivotField showAll="0" includeNewItemsInFilter="1" defaultSubtotal="0"/>
    <pivotField showAll="0" defaultSubtotal="0"/>
    <pivotField showAll="0" includeNewItemsInFilter="1" defaultSubtotal="0"/>
    <pivotField showAll="0" defaultSubtotal="0"/>
    <pivotField showAll="0" includeNewItemsInFilter="1" defaultSubtotal="0"/>
    <pivotField showAll="0" defaultSubtotal="0"/>
    <pivotField showAll="0" includeNewItemsInFilter="1" defaultSubtotal="0"/>
    <pivotField showAll="0" defaultSubtotal="0"/>
    <pivotField showAll="0" defaultSubtotal="0"/>
    <pivotField showAll="0" defaultSubtotal="0"/>
    <pivotField showAll="0" includeNewItemsInFilter="1" defaultSubtotal="0"/>
    <pivotField dataField="1" showAll="0" defaultSubtotal="0"/>
    <pivotField showAll="0" includeNewItemsInFilter="1" defaultSubtotal="0"/>
    <pivotField showAll="0" includeNewItemsInFilter="1" defaultSubtotal="0"/>
    <pivotField showAll="0" includeNewItemsInFilter="1" defaultSubtotal="0"/>
    <pivotField showAll="0" includeNewItemsInFilter="1" defaultSubtotal="0"/>
    <pivotField showAll="0" includeNewItemsInFilter="1" defaultSubtotal="0"/>
    <pivotField showAll="0" includeNewItemsInFilter="1" defaultSubtotal="0"/>
    <pivotField dataField="1" showAll="0" includeNewItemsInFilter="1" defaultSubtotal="0"/>
    <pivotField showAll="0" includeNewItemsInFilter="1" defaultSubtotal="0"/>
    <pivotField showAll="0" includeNewItemsInFilter="1" defaultSubtotal="0"/>
    <pivotField showAll="0" defaultSubtotal="0"/>
    <pivotField showAll="0" includeNewItemsInFilter="1" defaultSubtotal="0"/>
    <pivotField showAll="0" defaultSubtotal="0"/>
    <pivotField showAll="0" includeNewItemsInFilter="1" defaultSubtotal="0"/>
    <pivotField showAll="0" defaultSubtotal="0"/>
    <pivotField showAll="0" includeNewItemsInFilter="1" defaultSubtotal="0"/>
    <pivotField showAll="0" defaultSubtotal="0"/>
    <pivotField showAll="0" includeNewItemsInFilter="1" defaultSubtotal="0"/>
    <pivotField showAll="0" defaultSubtotal="0"/>
    <pivotField showAll="0" includeNewItemsInFilter="1" defaultSubtotal="0"/>
    <pivotField showAll="0" defaultSubtotal="0"/>
    <pivotField showAll="0" includeNewItemsInFilter="1" defaultSubtotal="0"/>
    <pivotField showAll="0" defaultSubtotal="0"/>
    <pivotField showAll="0" includeNewItemsInFilter="1" defaultSubtotal="0"/>
    <pivotField showAll="0" defaultSubtotal="0"/>
    <pivotField showAll="0" includeNewItemsInFilter="1" defaultSubtotal="0"/>
    <pivotField showAll="0" defaultSubtotal="0"/>
    <pivotField showAll="0" includeNewItemsInFilter="1" defaultSubtotal="0"/>
    <pivotField dataField="1" numFmtId="2" showAll="0" defaultSubtotal="0"/>
    <pivotField showAll="0" includeNewItemsInFilter="1" defaultSubtotal="0"/>
    <pivotField numFmtId="9" showAll="0" includeNewItemsInFilter="1" defaultSubtotal="0"/>
    <pivotField showAll="0" includeNewItemsInFilter="1" defaultSubtotal="0"/>
    <pivotField showAll="0" includeNewItemsInFilter="1" defaultSubtotal="0"/>
    <pivotField showAll="0" includeNewItemsInFilter="1" defaultSubtotal="0"/>
    <pivotField showAll="0" includeNewItemsInFilter="1" defaultSubtotal="0"/>
    <pivotField showAll="0" includeNewItemsInFilter="1" defaultSubtotal="0"/>
    <pivotField numFmtId="174" showAll="0" includeNewItemsInFilter="1" defaultSubtotal="0"/>
    <pivotField dataField="1" numFmtId="180" showAll="0" includeNewItemsInFilter="1" defaultSubtotal="0"/>
    <pivotField numFmtId="176" showAll="0" includeNewItemsInFilter="1" defaultSubtotal="0"/>
    <pivotField showAll="0" includeNewItemsInFilter="1" defaultSubtotal="0"/>
    <pivotField dataField="1" numFmtId="2" showAll="0" defaultSubtotal="0"/>
    <pivotField showAll="0" includeNewItemsInFilter="1" defaultSubtotal="0"/>
    <pivotField showAll="0" includeNewItemsInFilter="1" defaultSubtotal="0"/>
    <pivotField showAll="0" includeNewItemsInFilter="1" defaultSubtotal="0"/>
    <pivotField numFmtId="2" showAll="0" includeNewItemsInFilter="1" defaultSubtotal="0"/>
    <pivotField showAll="0" includeNewItemsInFilter="1" defaultSubtotal="0"/>
    <pivotField showAll="0" includeNewItemsInFilter="1" defaultSubtotal="0"/>
    <pivotField numFmtId="2" showAll="0" includeNewItemsInFilter="1" defaultSubtotal="0"/>
    <pivotField dataField="1" showAll="0" includeNewItemsInFilter="1" defaultSubtotal="0"/>
    <pivotField showAll="0" includeNewItemsInFilter="1" defaultSubtotal="0"/>
    <pivotField showAll="0" includeNewItemsInFilter="1" defaultSubtotal="0"/>
    <pivotField showAll="0" defaultSubtotal="0"/>
    <pivotField showAll="0" includeNewItemsInFilter="1" defaultSubtotal="0"/>
    <pivotField showAll="0" defaultSubtotal="0"/>
    <pivotField showAll="0" includeNewItemsInFilter="1" defaultSubtotal="0"/>
    <pivotField showAll="0" defaultSubtotal="0"/>
    <pivotField showAll="0" includeNewItemsInFilter="1" defaultSubtotal="0"/>
    <pivotField showAll="0" defaultSubtotal="0"/>
    <pivotField showAll="0" includeNewItemsInFilter="1" defaultSubtotal="0"/>
    <pivotField showAll="0" defaultSubtotal="0"/>
    <pivotField showAll="0" includeNewItemsInFilter="1" defaultSubtotal="0"/>
    <pivotField showAll="0" defaultSubtotal="0"/>
    <pivotField showAll="0" includeNewItemsInFilter="1" defaultSubtotal="0"/>
    <pivotField showAll="0" defaultSubtotal="0"/>
    <pivotField showAll="0" includeNewItemsInFilter="1" defaultSubtotal="0"/>
    <pivotField showAll="0" defaultSubtotal="0"/>
    <pivotField showAll="0" includeNewItemsInFilter="1" defaultSubtotal="0"/>
    <pivotField showAll="0" includeNewItemsInFilter="1" defaultSubtotal="0"/>
    <pivotField showAll="0" defaultSubtotal="0"/>
    <pivotField showAll="0" includeNewItemsInFilter="1" defaultSubtotal="0"/>
    <pivotField numFmtId="169" showAll="0" includeNewItemsInFilter="1" defaultSubtotal="0"/>
    <pivotField numFmtId="2" showAll="0" includeNewItemsInFilter="1" defaultSubtotal="0"/>
    <pivotField showAll="0" defaultSubtotal="0"/>
    <pivotField dataField="1" numFmtId="169" showAll="0" includeNewItemsInFilter="1" defaultSubtotal="0"/>
    <pivotField numFmtId="169" showAll="0" includeNewItemsInFilter="1" defaultSubtotal="0"/>
    <pivotField numFmtId="169" showAll="0" includeNewItemsInFilter="1" defaultSubtotal="0"/>
    <pivotField showAll="0" includeNewItemsInFilter="1" defaultSubtotal="0"/>
    <pivotField numFmtId="175" showAll="0" includeNewItemsInFilter="1" defaultSubtotal="0"/>
    <pivotField showAll="0" includeNewItemsInFilter="1" defaultSubtotal="0"/>
    <pivotField showAll="0" includeNewItemsInFilter="1" defaultSubtotal="0"/>
    <pivotField showAll="0" includeNewItemsInFilter="1" defaultSubtotal="0"/>
    <pivotField showAll="0" includeNewItemsInFilter="1" defaultSubtotal="0"/>
    <pivotField showAll="0" includeNewItemsInFilter="1" defaultSubtotal="0"/>
    <pivotField showAll="0" includeNewItemsInFilter="1" defaultSubtotal="0"/>
    <pivotField showAll="0" includeNewItemsInFilter="1" defaultSubtotal="0"/>
    <pivotField showAll="0" includeNewItemsInFilter="1" defaultSubtotal="0"/>
    <pivotField showAll="0" includeNewItemsInFilter="1" defaultSubtotal="0"/>
    <pivotField numFmtId="3" showAll="0" includeNewItemsInFilter="1" defaultSubtotal="0"/>
    <pivotField showAll="0" includeNewItemsInFilter="1" defaultSubtotal="0"/>
    <pivotField showAll="0" includeNewItemsInFilter="1" defaultSubtotal="0"/>
  </pivotFields>
  <rowFields count="1">
    <field x="1"/>
  </rowFields>
  <rowItems count="5">
    <i>
      <x/>
    </i>
    <i>
      <x v="1"/>
    </i>
    <i>
      <x v="2"/>
    </i>
    <i>
      <x v="3"/>
    </i>
    <i t="grand">
      <x/>
    </i>
  </rowItems>
  <colFields count="1">
    <field x="-2"/>
  </colFields>
  <colItems count="10">
    <i>
      <x/>
    </i>
    <i i="1">
      <x v="1"/>
    </i>
    <i i="2">
      <x v="2"/>
    </i>
    <i i="3">
      <x v="3"/>
    </i>
    <i i="4">
      <x v="4"/>
    </i>
    <i i="5">
      <x v="5"/>
    </i>
    <i i="6">
      <x v="6"/>
    </i>
    <i i="7">
      <x v="7"/>
    </i>
    <i i="8">
      <x v="8"/>
    </i>
    <i i="9">
      <x v="9"/>
    </i>
  </colItems>
  <dataFields count="10">
    <dataField name="Suma de PONDERADOR META DE PRODUCTO CUATRIENIO (%)" fld="12" baseField="2" baseItem="3" numFmtId="2"/>
    <dataField name="Suma de PONDERADOR META DE PRODUCTO 2012 (%)" fld="13" baseField="1" baseItem="2" numFmtId="2"/>
    <dataField name="Suma de AVANCE PONDERADO 2012" fld="20" baseField="1" baseItem="0" numFmtId="2"/>
    <dataField name="Suma de PONDERADOR META DE PRODUCTO 2013 (%)" fld="41" baseField="1" baseItem="0" numFmtId="2"/>
    <dataField name="Suma de AVANCE PONDERADO 2013" fld="48" baseField="1" baseItem="0" numFmtId="2"/>
    <dataField name="Suma de PONDERADOR META DE PRODUCTO 2014 (%)" fld="69" baseField="0" baseItem="0" numFmtId="2"/>
    <dataField name="Suma de AVANCE PONDERADO 2014" fld="78" baseField="0" baseItem="0" numFmtId="2"/>
    <dataField name="Suma de PONDERADOR META DE PRODUCTO 2015 (%)" fld="81" baseField="0" baseItem="0" numFmtId="2"/>
    <dataField name="Suma de AVANCE PONDERADO 2015" fld="89" baseField="0" baseItem="0" numFmtId="2"/>
    <dataField name="Suma de AVANCE PONDERADO DEL CUATRENIO" fld="114" baseField="0" baseItem="0" numFmtId="2"/>
  </dataFields>
  <formats count="18">
    <format dxfId="52">
      <pivotArea dataOnly="0" labelOnly="1" outline="0" fieldPosition="0">
        <references count="1">
          <reference field="4294967294" count="1">
            <x v="0"/>
          </reference>
        </references>
      </pivotArea>
    </format>
    <format dxfId="51">
      <pivotArea outline="0" fieldPosition="0">
        <references count="1">
          <reference field="4294967294" count="1">
            <x v="0"/>
          </reference>
        </references>
      </pivotArea>
    </format>
    <format dxfId="50">
      <pivotArea dataOnly="0" labelOnly="1" outline="0" fieldPosition="0">
        <references count="1">
          <reference field="4294967294" count="1">
            <x v="0"/>
          </reference>
        </references>
      </pivotArea>
    </format>
    <format dxfId="49">
      <pivotArea outline="0" fieldPosition="0">
        <references count="1">
          <reference field="4294967294" count="1">
            <x v="1"/>
          </reference>
        </references>
      </pivotArea>
    </format>
    <format dxfId="48">
      <pivotArea outline="0" fieldPosition="0">
        <references count="1">
          <reference field="4294967294" count="1">
            <x v="2"/>
          </reference>
        </references>
      </pivotArea>
    </format>
    <format dxfId="47">
      <pivotArea outline="0" fieldPosition="0">
        <references count="1">
          <reference field="4294967294" count="1">
            <x v="3"/>
          </reference>
        </references>
      </pivotArea>
    </format>
    <format dxfId="46">
      <pivotArea outline="0" fieldPosition="0">
        <references count="1">
          <reference field="4294967294" count="1">
            <x v="4"/>
          </reference>
        </references>
      </pivotArea>
    </format>
    <format dxfId="45">
      <pivotArea field="1" grandRow="1" outline="0" axis="axisRow" fieldPosition="0">
        <references count="1">
          <reference field="4294967294" count="1" selected="0">
            <x v="0"/>
          </reference>
        </references>
      </pivotArea>
    </format>
    <format dxfId="44">
      <pivotArea outline="0" fieldPosition="0">
        <references count="1">
          <reference field="4294967294" count="5" selected="0">
            <x v="5"/>
            <x v="6"/>
            <x v="7"/>
            <x v="8"/>
            <x v="9"/>
          </reference>
        </references>
      </pivotArea>
    </format>
    <format dxfId="43">
      <pivotArea field="1" type="button" dataOnly="0" labelOnly="1" outline="0" axis="axisRow" fieldPosition="0"/>
    </format>
    <format dxfId="42">
      <pivotArea dataOnly="0" labelOnly="1" outline="0" fieldPosition="0">
        <references count="1">
          <reference field="4294967294" count="10">
            <x v="0"/>
            <x v="1"/>
            <x v="2"/>
            <x v="3"/>
            <x v="4"/>
            <x v="5"/>
            <x v="6"/>
            <x v="7"/>
            <x v="8"/>
            <x v="9"/>
          </reference>
        </references>
      </pivotArea>
    </format>
    <format dxfId="41">
      <pivotArea dataOnly="0" labelOnly="1" fieldPosition="0">
        <references count="1">
          <reference field="1" count="1">
            <x v="0"/>
          </reference>
        </references>
      </pivotArea>
    </format>
    <format dxfId="40">
      <pivotArea type="all" dataOnly="0" outline="0" fieldPosition="0"/>
    </format>
    <format dxfId="39">
      <pivotArea outline="0" fieldPosition="0"/>
    </format>
    <format dxfId="38">
      <pivotArea dataOnly="0" labelOnly="1" outline="0" fieldPosition="0">
        <references count="1">
          <reference field="4294967294" count="10">
            <x v="0"/>
            <x v="1"/>
            <x v="2"/>
            <x v="3"/>
            <x v="4"/>
            <x v="5"/>
            <x v="6"/>
            <x v="7"/>
            <x v="8"/>
            <x v="9"/>
          </reference>
        </references>
      </pivotArea>
    </format>
    <format dxfId="37">
      <pivotArea type="all" dataOnly="0" outline="0" fieldPosition="0"/>
    </format>
    <format dxfId="36">
      <pivotArea outline="0" fieldPosition="0"/>
    </format>
    <format dxfId="35">
      <pivotArea dataOnly="0" labelOnly="1" outline="0" fieldPosition="0">
        <references count="1">
          <reference field="4294967294" count="10">
            <x v="0"/>
            <x v="1"/>
            <x v="2"/>
            <x v="3"/>
            <x v="4"/>
            <x v="5"/>
            <x v="6"/>
            <x v="7"/>
            <x v="8"/>
            <x v="9"/>
          </reference>
        </references>
      </pivotArea>
    </format>
  </formats>
  <pivotTableStyleInfo name="PivotStyleLight16" showRowHeaders="1" showColHeaders="1" showRowStripes="0" showColStripes="0" showLastColumn="1"/>
</pivotTableDefinition>
</file>

<file path=xl/pivotTables/pivotTable2.xml><?xml version="1.0" encoding="utf-8"?>
<pivotTableDefinition xmlns="http://schemas.openxmlformats.org/spreadsheetml/2006/main" name="Tabla dinámica2" cacheId="0" applyNumberFormats="0" applyBorderFormats="0" applyFontFormats="0" applyPatternFormats="0" applyAlignmentFormats="0" applyWidthHeightFormats="1" dataCaption="Valores" updatedVersion="5" minRefreshableVersion="3" useAutoFormatting="1" itemPrintTitles="1" createdVersion="1" indent="0" outline="1" outlineData="1" multipleFieldFilters="0" rowHeaderCaption="ENTIDADES">
  <location ref="A65:K94" firstHeaderRow="1" firstDataRow="2" firstDataCol="1"/>
  <pivotFields count="131">
    <pivotField showAll="0" includeNewItemsInFilter="1" defaultSubtotal="0"/>
    <pivotField showAll="0" includeNewItemsInFilter="1" defaultSubtotal="0"/>
    <pivotField axis="axisRow" showAll="0" includeNewItemsInFilter="1" defaultSubtotal="0">
      <items count="28">
        <item x="6"/>
        <item m="1" x="27"/>
        <item x="22"/>
        <item x="13"/>
        <item x="10"/>
        <item x="5"/>
        <item x="4"/>
        <item x="7"/>
        <item x="9"/>
        <item x="12"/>
        <item x="8"/>
        <item x="19"/>
        <item x="11"/>
        <item x="25"/>
        <item x="1"/>
        <item x="3"/>
        <item x="20"/>
        <item x="21"/>
        <item x="2"/>
        <item x="24"/>
        <item x="15"/>
        <item x="26"/>
        <item x="17"/>
        <item x="18"/>
        <item x="14"/>
        <item x="23"/>
        <item x="0"/>
        <item x="16"/>
      </items>
    </pivotField>
    <pivotField showAll="0" defaultSubtotal="0"/>
    <pivotField showAll="0" includeNewItemsInFilter="1" defaultSubtotal="0"/>
    <pivotField showAll="0" defaultSubtotal="0"/>
    <pivotField showAll="0" defaultSubtotal="0"/>
    <pivotField showAll="0" includeNewItemsInFilter="1" defaultSubtotal="0"/>
    <pivotField showAll="0" defaultSubtotal="0"/>
    <pivotField showAll="0" includeNewItemsInFilter="1" defaultSubtotal="0"/>
    <pivotField showAll="0" includeNewItemsInFilter="1" defaultSubtotal="0"/>
    <pivotField showAll="0" includeNewItemsInFilter="1" defaultSubtotal="0"/>
    <pivotField dataField="1" showAll="0" defaultSubtotal="0"/>
    <pivotField dataField="1" showAll="0" defaultSubtotal="0"/>
    <pivotField showAll="0" includeNewItemsInFilter="1" defaultSubtotal="0"/>
    <pivotField showAll="0" defaultSubtotal="0"/>
    <pivotField showAll="0" includeNewItemsInFilter="1" defaultSubtotal="0"/>
    <pivotField showAll="0" includeNewItemsInFilter="1" defaultSubtotal="0"/>
    <pivotField showAll="0" defaultSubtotal="0"/>
    <pivotField showAll="0" defaultSubtotal="0"/>
    <pivotField dataField="1" showAll="0" includeNewItemsInFilter="1" defaultSubtotal="0"/>
    <pivotField showAll="0" includeNewItemsInFilter="1" defaultSubtotal="0"/>
    <pivotField showAll="0" includeNewItemsInFilter="1" defaultSubtotal="0"/>
    <pivotField showAll="0" defaultSubtotal="0"/>
    <pivotField showAll="0" includeNewItemsInFilter="1" defaultSubtotal="0"/>
    <pivotField numFmtId="174" showAll="0" defaultSubtotal="0"/>
    <pivotField showAll="0" includeNewItemsInFilter="1" defaultSubtotal="0"/>
    <pivotField showAll="0" defaultSubtotal="0"/>
    <pivotField showAll="0" includeNewItemsInFilter="1" defaultSubtotal="0"/>
    <pivotField numFmtId="174" showAll="0" defaultSubtotal="0"/>
    <pivotField showAll="0" includeNewItemsInFilter="1" defaultSubtotal="0"/>
    <pivotField showAll="0" defaultSubtotal="0"/>
    <pivotField showAll="0" includeNewItemsInFilter="1" defaultSubtotal="0"/>
    <pivotField showAll="0" defaultSubtotal="0"/>
    <pivotField showAll="0" includeNewItemsInFilter="1" defaultSubtotal="0"/>
    <pivotField showAll="0" defaultSubtotal="0"/>
    <pivotField showAll="0" includeNewItemsInFilter="1" defaultSubtotal="0"/>
    <pivotField showAll="0" defaultSubtotal="0"/>
    <pivotField showAll="0" defaultSubtotal="0"/>
    <pivotField showAll="0" defaultSubtotal="0"/>
    <pivotField showAll="0" includeNewItemsInFilter="1" defaultSubtotal="0"/>
    <pivotField dataField="1" showAll="0" defaultSubtotal="0"/>
    <pivotField showAll="0" includeNewItemsInFilter="1" defaultSubtotal="0"/>
    <pivotField showAll="0" includeNewItemsInFilter="1" defaultSubtotal="0"/>
    <pivotField showAll="0" includeNewItemsInFilter="1" defaultSubtotal="0"/>
    <pivotField showAll="0" includeNewItemsInFilter="1" defaultSubtotal="0"/>
    <pivotField showAll="0" includeNewItemsInFilter="1" defaultSubtotal="0"/>
    <pivotField showAll="0" includeNewItemsInFilter="1" defaultSubtotal="0"/>
    <pivotField dataField="1" showAll="0" includeNewItemsInFilter="1" defaultSubtotal="0"/>
    <pivotField showAll="0" includeNewItemsInFilter="1" defaultSubtotal="0"/>
    <pivotField showAll="0" includeNewItemsInFilter="1" defaultSubtotal="0"/>
    <pivotField showAll="0" defaultSubtotal="0"/>
    <pivotField showAll="0" includeNewItemsInFilter="1" defaultSubtotal="0"/>
    <pivotField showAll="0" defaultSubtotal="0"/>
    <pivotField showAll="0" includeNewItemsInFilter="1" defaultSubtotal="0"/>
    <pivotField showAll="0" defaultSubtotal="0"/>
    <pivotField showAll="0" includeNewItemsInFilter="1" defaultSubtotal="0"/>
    <pivotField showAll="0" defaultSubtotal="0"/>
    <pivotField showAll="0" includeNewItemsInFilter="1" defaultSubtotal="0"/>
    <pivotField showAll="0" defaultSubtotal="0"/>
    <pivotField showAll="0" includeNewItemsInFilter="1" defaultSubtotal="0"/>
    <pivotField showAll="0" defaultSubtotal="0"/>
    <pivotField showAll="0" includeNewItemsInFilter="1" defaultSubtotal="0"/>
    <pivotField showAll="0" defaultSubtotal="0"/>
    <pivotField showAll="0" includeNewItemsInFilter="1" defaultSubtotal="0"/>
    <pivotField showAll="0" defaultSubtotal="0"/>
    <pivotField showAll="0" includeNewItemsInFilter="1" defaultSubtotal="0"/>
    <pivotField showAll="0" defaultSubtotal="0"/>
    <pivotField showAll="0" includeNewItemsInFilter="1" defaultSubtotal="0"/>
    <pivotField dataField="1" numFmtId="2" showAll="0" defaultSubtotal="0"/>
    <pivotField showAll="0" includeNewItemsInFilter="1" defaultSubtotal="0"/>
    <pivotField numFmtId="9" showAll="0" includeNewItemsInFilter="1" defaultSubtotal="0"/>
    <pivotField showAll="0" includeNewItemsInFilter="1" defaultSubtotal="0"/>
    <pivotField showAll="0" includeNewItemsInFilter="1" defaultSubtotal="0"/>
    <pivotField showAll="0" includeNewItemsInFilter="1" defaultSubtotal="0"/>
    <pivotField showAll="0" includeNewItemsInFilter="1" defaultSubtotal="0"/>
    <pivotField showAll="0" includeNewItemsInFilter="1" defaultSubtotal="0"/>
    <pivotField numFmtId="174" showAll="0" includeNewItemsInFilter="1" defaultSubtotal="0"/>
    <pivotField dataField="1" numFmtId="180" showAll="0" includeNewItemsInFilter="1" defaultSubtotal="0"/>
    <pivotField numFmtId="176" showAll="0" includeNewItemsInFilter="1" defaultSubtotal="0"/>
    <pivotField showAll="0" includeNewItemsInFilter="1" defaultSubtotal="0"/>
    <pivotField dataField="1" numFmtId="2" showAll="0" defaultSubtotal="0"/>
    <pivotField showAll="0" includeNewItemsInFilter="1" defaultSubtotal="0"/>
    <pivotField showAll="0" includeNewItemsInFilter="1" defaultSubtotal="0"/>
    <pivotField showAll="0" includeNewItemsInFilter="1" defaultSubtotal="0"/>
    <pivotField numFmtId="2" showAll="0" includeNewItemsInFilter="1" defaultSubtotal="0"/>
    <pivotField showAll="0" includeNewItemsInFilter="1" defaultSubtotal="0"/>
    <pivotField showAll="0" includeNewItemsInFilter="1" defaultSubtotal="0"/>
    <pivotField numFmtId="2" showAll="0" includeNewItemsInFilter="1" defaultSubtotal="0"/>
    <pivotField dataField="1" showAll="0" includeNewItemsInFilter="1" defaultSubtotal="0"/>
    <pivotField showAll="0" includeNewItemsInFilter="1" defaultSubtotal="0"/>
    <pivotField showAll="0" includeNewItemsInFilter="1" defaultSubtotal="0"/>
    <pivotField showAll="0" defaultSubtotal="0"/>
    <pivotField showAll="0" includeNewItemsInFilter="1" defaultSubtotal="0"/>
    <pivotField showAll="0" defaultSubtotal="0"/>
    <pivotField showAll="0" includeNewItemsInFilter="1" defaultSubtotal="0"/>
    <pivotField showAll="0" defaultSubtotal="0"/>
    <pivotField showAll="0" includeNewItemsInFilter="1" defaultSubtotal="0"/>
    <pivotField showAll="0" defaultSubtotal="0"/>
    <pivotField showAll="0" includeNewItemsInFilter="1" defaultSubtotal="0"/>
    <pivotField showAll="0" defaultSubtotal="0"/>
    <pivotField showAll="0" includeNewItemsInFilter="1" defaultSubtotal="0"/>
    <pivotField showAll="0" defaultSubtotal="0"/>
    <pivotField showAll="0" includeNewItemsInFilter="1" defaultSubtotal="0"/>
    <pivotField showAll="0" defaultSubtotal="0"/>
    <pivotField showAll="0" includeNewItemsInFilter="1" defaultSubtotal="0"/>
    <pivotField showAll="0" defaultSubtotal="0"/>
    <pivotField showAll="0" includeNewItemsInFilter="1" defaultSubtotal="0"/>
    <pivotField showAll="0" includeNewItemsInFilter="1" defaultSubtotal="0"/>
    <pivotField showAll="0" defaultSubtotal="0"/>
    <pivotField showAll="0" includeNewItemsInFilter="1" defaultSubtotal="0"/>
    <pivotField numFmtId="169" showAll="0" includeNewItemsInFilter="1" defaultSubtotal="0"/>
    <pivotField numFmtId="2" showAll="0" includeNewItemsInFilter="1" defaultSubtotal="0"/>
    <pivotField showAll="0" defaultSubtotal="0"/>
    <pivotField dataField="1" numFmtId="169" showAll="0" includeNewItemsInFilter="1" defaultSubtotal="0"/>
    <pivotField numFmtId="169" showAll="0" includeNewItemsInFilter="1" defaultSubtotal="0"/>
    <pivotField numFmtId="169" showAll="0" includeNewItemsInFilter="1" defaultSubtotal="0"/>
    <pivotField showAll="0" includeNewItemsInFilter="1" defaultSubtotal="0"/>
    <pivotField numFmtId="175" showAll="0" includeNewItemsInFilter="1" defaultSubtotal="0"/>
    <pivotField showAll="0" includeNewItemsInFilter="1" defaultSubtotal="0"/>
    <pivotField showAll="0" includeNewItemsInFilter="1" defaultSubtotal="0"/>
    <pivotField showAll="0" includeNewItemsInFilter="1" defaultSubtotal="0"/>
    <pivotField showAll="0" includeNewItemsInFilter="1" defaultSubtotal="0"/>
    <pivotField showAll="0" includeNewItemsInFilter="1" defaultSubtotal="0"/>
    <pivotField showAll="0" includeNewItemsInFilter="1" defaultSubtotal="0"/>
    <pivotField showAll="0" includeNewItemsInFilter="1" defaultSubtotal="0"/>
    <pivotField showAll="0" includeNewItemsInFilter="1" defaultSubtotal="0"/>
    <pivotField showAll="0" includeNewItemsInFilter="1" defaultSubtotal="0"/>
    <pivotField numFmtId="3" showAll="0" includeNewItemsInFilter="1" defaultSubtotal="0"/>
    <pivotField showAll="0" includeNewItemsInFilter="1" defaultSubtotal="0"/>
    <pivotField showAll="0" includeNewItemsInFilter="1" defaultSubtotal="0"/>
  </pivotFields>
  <rowFields count="1">
    <field x="2"/>
  </rowFields>
  <rowItems count="28">
    <i>
      <x/>
    </i>
    <i>
      <x v="2"/>
    </i>
    <i>
      <x v="3"/>
    </i>
    <i>
      <x v="4"/>
    </i>
    <i>
      <x v="5"/>
    </i>
    <i>
      <x v="6"/>
    </i>
    <i>
      <x v="7"/>
    </i>
    <i>
      <x v="8"/>
    </i>
    <i>
      <x v="9"/>
    </i>
    <i>
      <x v="10"/>
    </i>
    <i>
      <x v="11"/>
    </i>
    <i>
      <x v="12"/>
    </i>
    <i>
      <x v="13"/>
    </i>
    <i>
      <x v="14"/>
    </i>
    <i>
      <x v="15"/>
    </i>
    <i>
      <x v="16"/>
    </i>
    <i>
      <x v="17"/>
    </i>
    <i>
      <x v="18"/>
    </i>
    <i>
      <x v="19"/>
    </i>
    <i>
      <x v="20"/>
    </i>
    <i>
      <x v="21"/>
    </i>
    <i>
      <x v="22"/>
    </i>
    <i>
      <x v="23"/>
    </i>
    <i>
      <x v="24"/>
    </i>
    <i>
      <x v="25"/>
    </i>
    <i>
      <x v="26"/>
    </i>
    <i>
      <x v="27"/>
    </i>
    <i t="grand">
      <x/>
    </i>
  </rowItems>
  <colFields count="1">
    <field x="-2"/>
  </colFields>
  <colItems count="10">
    <i>
      <x/>
    </i>
    <i i="1">
      <x v="1"/>
    </i>
    <i i="2">
      <x v="2"/>
    </i>
    <i i="3">
      <x v="3"/>
    </i>
    <i i="4">
      <x v="4"/>
    </i>
    <i i="5">
      <x v="5"/>
    </i>
    <i i="6">
      <x v="6"/>
    </i>
    <i i="7">
      <x v="7"/>
    </i>
    <i i="8">
      <x v="8"/>
    </i>
    <i i="9">
      <x v="9"/>
    </i>
  </colItems>
  <dataFields count="10">
    <dataField name="Suma de PONDERADOR META DE PRODUCTO CUATRIENIO (%)" fld="12" baseField="2" baseItem="3" numFmtId="2"/>
    <dataField name="Suma de PONDERADOR META DE PRODUCTO 2012 (%)" fld="13" baseField="0" baseItem="0" numFmtId="2"/>
    <dataField name="Suma de AVANCE PONDERADO 2012" fld="20" baseField="0" baseItem="0" numFmtId="2"/>
    <dataField name="Suma de PONDERADOR META DE PRODUCTO 2013 (%)" fld="41" baseField="3" baseItem="4" numFmtId="2"/>
    <dataField name="Suma de AVANCE PONDERADO 2013" fld="48" baseField="3" baseItem="4" numFmtId="2"/>
    <dataField name="Suma de PONDERADOR META DE PRODUCTO 2014 (%)" fld="69" baseField="3" baseItem="4" numFmtId="2"/>
    <dataField name="Suma de AVANCE PONDERADO 2014" fld="78" baseField="3" baseItem="4" numFmtId="2"/>
    <dataField name="Suma de PONDERADOR META DE PRODUCTO 2015 (%)" fld="81" baseField="3" baseItem="4" numFmtId="2"/>
    <dataField name="Suma de AVANCE PONDERADO 2015" fld="89" baseField="3" baseItem="4" numFmtId="2"/>
    <dataField name="Suma de AVANCE PONDERADO DEL CUATRENIO" fld="114" baseField="3" baseItem="4" numFmtId="2"/>
  </dataFields>
  <formats count="18">
    <format dxfId="70">
      <pivotArea dataOnly="0" labelOnly="1" outline="0" fieldPosition="0">
        <references count="1">
          <reference field="4294967294" count="1">
            <x v="0"/>
          </reference>
        </references>
      </pivotArea>
    </format>
    <format dxfId="69">
      <pivotArea outline="0" fieldPosition="0">
        <references count="1">
          <reference field="4294967294" count="1">
            <x v="0"/>
          </reference>
        </references>
      </pivotArea>
    </format>
    <format dxfId="68">
      <pivotArea dataOnly="0" labelOnly="1" outline="0" fieldPosition="0">
        <references count="1">
          <reference field="4294967294" count="1">
            <x v="0"/>
          </reference>
        </references>
      </pivotArea>
    </format>
    <format dxfId="67">
      <pivotArea type="all" dataOnly="0" outline="0" fieldPosition="0"/>
    </format>
    <format dxfId="66">
      <pivotArea outline="0" fieldPosition="0"/>
    </format>
    <format dxfId="65">
      <pivotArea dataOnly="0" labelOnly="1" outline="0" fieldPosition="0">
        <references count="1">
          <reference field="4294967294" count="1">
            <x v="0"/>
          </reference>
        </references>
      </pivotArea>
    </format>
    <format dxfId="64">
      <pivotArea type="all" dataOnly="0" outline="0" fieldPosition="0"/>
    </format>
    <format dxfId="63">
      <pivotArea outline="0" fieldPosition="0"/>
    </format>
    <format dxfId="62">
      <pivotArea dataOnly="0" labelOnly="1" outline="0" fieldPosition="0">
        <references count="1">
          <reference field="4294967294" count="1">
            <x v="0"/>
          </reference>
        </references>
      </pivotArea>
    </format>
    <format dxfId="61">
      <pivotArea field="3" grandRow="1" outline="0">
        <references count="1">
          <reference field="4294967294" count="1" selected="0">
            <x v="0"/>
          </reference>
        </references>
      </pivotArea>
    </format>
    <format dxfId="60">
      <pivotArea outline="0" fieldPosition="0">
        <references count="1">
          <reference field="4294967294" count="2" selected="0">
            <x v="1"/>
            <x v="2"/>
          </reference>
        </references>
      </pivotArea>
    </format>
    <format dxfId="59">
      <pivotArea outline="0" fieldPosition="0">
        <references count="1">
          <reference field="4294967294" count="1">
            <x v="3"/>
          </reference>
        </references>
      </pivotArea>
    </format>
    <format dxfId="58">
      <pivotArea outline="0" fieldPosition="0">
        <references count="1">
          <reference field="4294967294" count="1">
            <x v="4"/>
          </reference>
        </references>
      </pivotArea>
    </format>
    <format dxfId="57">
      <pivotArea outline="0" fieldPosition="0">
        <references count="1">
          <reference field="4294967294" count="1">
            <x v="5"/>
          </reference>
        </references>
      </pivotArea>
    </format>
    <format dxfId="56">
      <pivotArea outline="0" fieldPosition="0">
        <references count="1">
          <reference field="4294967294" count="1">
            <x v="6"/>
          </reference>
        </references>
      </pivotArea>
    </format>
    <format dxfId="55">
      <pivotArea outline="0" fieldPosition="0">
        <references count="1">
          <reference field="4294967294" count="1">
            <x v="7"/>
          </reference>
        </references>
      </pivotArea>
    </format>
    <format dxfId="54">
      <pivotArea outline="0" fieldPosition="0">
        <references count="1">
          <reference field="4294967294" count="1">
            <x v="8"/>
          </reference>
        </references>
      </pivotArea>
    </format>
    <format dxfId="53">
      <pivotArea outline="0" fieldPosition="0">
        <references count="1">
          <reference field="4294967294" count="1">
            <x v="9"/>
          </reference>
        </references>
      </pivotArea>
    </format>
  </formats>
  <pivotTableStyleInfo name="PivotStyleLight16" showRowHeaders="1" showColHeaders="1" showRowStripes="0" showColStripes="0" showLastColumn="1"/>
</pivotTableDefinition>
</file>

<file path=xl/pivotTables/pivotTable3.xml><?xml version="1.0" encoding="utf-8"?>
<pivotTableDefinition xmlns="http://schemas.openxmlformats.org/spreadsheetml/2006/main" name="Tabla dinámica3" cacheId="0" applyNumberFormats="0" applyBorderFormats="0" applyFontFormats="0" applyPatternFormats="0" applyAlignmentFormats="0" applyWidthHeightFormats="1" dataCaption="Valores" updatedVersion="5" minRefreshableVersion="3" useAutoFormatting="1" itemPrintTitles="1" createdVersion="1" indent="0" outline="1" outlineData="1" multipleFieldFilters="0" rowHeaderCaption="PROGRAMAS">
  <location ref="A18:K53" firstHeaderRow="1" firstDataRow="2" firstDataCol="1"/>
  <pivotFields count="131">
    <pivotField showAll="0" includeNewItemsInFilter="1" defaultSubtotal="0"/>
    <pivotField showAll="0" includeNewItemsInFilter="1" defaultSubtotal="0"/>
    <pivotField showAll="0" includeNewItemsInFilter="1" defaultSubtotal="0"/>
    <pivotField axis="axisRow" showAll="0" defaultSubtotal="0">
      <items count="67">
        <item m="1" x="54"/>
        <item m="1" x="45"/>
        <item m="1" x="46"/>
        <item m="1" x="50"/>
        <item x="0"/>
        <item x="1"/>
        <item x="2"/>
        <item x="3"/>
        <item x="4"/>
        <item x="5"/>
        <item x="9"/>
        <item x="6"/>
        <item x="7"/>
        <item x="8"/>
        <item m="1" x="64"/>
        <item m="1" x="62"/>
        <item m="1" x="55"/>
        <item m="1" x="60"/>
        <item m="1" x="56"/>
        <item x="10"/>
        <item x="11"/>
        <item x="12"/>
        <item x="13"/>
        <item x="14"/>
        <item x="15"/>
        <item x="16"/>
        <item x="17"/>
        <item m="1" x="43"/>
        <item m="1" x="40"/>
        <item m="1" x="39"/>
        <item m="1" x="37"/>
        <item x="18"/>
        <item x="19"/>
        <item m="1" x="38"/>
        <item x="20"/>
        <item x="21"/>
        <item x="22"/>
        <item x="23"/>
        <item x="24"/>
        <item m="1" x="47"/>
        <item m="1" x="34"/>
        <item m="1" x="61"/>
        <item m="1" x="57"/>
        <item x="25"/>
        <item x="26"/>
        <item x="27"/>
        <item x="28"/>
        <item x="29"/>
        <item x="30"/>
        <item x="31"/>
        <item x="32"/>
        <item m="1" x="58"/>
        <item m="1" x="42"/>
        <item m="1" x="41"/>
        <item m="1" x="48"/>
        <item m="1" x="66"/>
        <item m="1" x="52"/>
        <item m="1" x="51"/>
        <item m="1" x="63"/>
        <item m="1" x="53"/>
        <item m="1" x="35"/>
        <item m="1" x="33"/>
        <item m="1" x="44"/>
        <item m="1" x="59"/>
        <item m="1" x="65"/>
        <item m="1" x="49"/>
        <item m="1" x="36"/>
      </items>
    </pivotField>
    <pivotField showAll="0" includeNewItemsInFilter="1" defaultSubtotal="0"/>
    <pivotField showAll="0" defaultSubtotal="0"/>
    <pivotField showAll="0" defaultSubtotal="0"/>
    <pivotField showAll="0" includeNewItemsInFilter="1" defaultSubtotal="0"/>
    <pivotField showAll="0" defaultSubtotal="0"/>
    <pivotField showAll="0" includeNewItemsInFilter="1" defaultSubtotal="0"/>
    <pivotField showAll="0" includeNewItemsInFilter="1" defaultSubtotal="0"/>
    <pivotField showAll="0" includeNewItemsInFilter="1" defaultSubtotal="0"/>
    <pivotField dataField="1" showAll="0" defaultSubtotal="0"/>
    <pivotField dataField="1" showAll="0" defaultSubtotal="0"/>
    <pivotField showAll="0" includeNewItemsInFilter="1" defaultSubtotal="0"/>
    <pivotField showAll="0" defaultSubtotal="0"/>
    <pivotField showAll="0" includeNewItemsInFilter="1" defaultSubtotal="0"/>
    <pivotField showAll="0" includeNewItemsInFilter="1" defaultSubtotal="0"/>
    <pivotField showAll="0" defaultSubtotal="0"/>
    <pivotField showAll="0" defaultSubtotal="0"/>
    <pivotField dataField="1" showAll="0" includeNewItemsInFilter="1" defaultSubtotal="0"/>
    <pivotField showAll="0" includeNewItemsInFilter="1" defaultSubtotal="0"/>
    <pivotField showAll="0" includeNewItemsInFilter="1" defaultSubtotal="0"/>
    <pivotField showAll="0" defaultSubtotal="0"/>
    <pivotField showAll="0" includeNewItemsInFilter="1" defaultSubtotal="0"/>
    <pivotField numFmtId="174" showAll="0" defaultSubtotal="0"/>
    <pivotField showAll="0" includeNewItemsInFilter="1" defaultSubtotal="0"/>
    <pivotField showAll="0" defaultSubtotal="0"/>
    <pivotField showAll="0" includeNewItemsInFilter="1" defaultSubtotal="0"/>
    <pivotField numFmtId="174" showAll="0" defaultSubtotal="0"/>
    <pivotField showAll="0" includeNewItemsInFilter="1" defaultSubtotal="0"/>
    <pivotField showAll="0" defaultSubtotal="0"/>
    <pivotField showAll="0" includeNewItemsInFilter="1" defaultSubtotal="0"/>
    <pivotField showAll="0" defaultSubtotal="0"/>
    <pivotField showAll="0" includeNewItemsInFilter="1" defaultSubtotal="0"/>
    <pivotField showAll="0" defaultSubtotal="0"/>
    <pivotField showAll="0" includeNewItemsInFilter="1" defaultSubtotal="0"/>
    <pivotField showAll="0" defaultSubtotal="0"/>
    <pivotField showAll="0" defaultSubtotal="0"/>
    <pivotField showAll="0" defaultSubtotal="0"/>
    <pivotField showAll="0" includeNewItemsInFilter="1" defaultSubtotal="0"/>
    <pivotField dataField="1" showAll="0" defaultSubtotal="0"/>
    <pivotField showAll="0" includeNewItemsInFilter="1" defaultSubtotal="0"/>
    <pivotField showAll="0" includeNewItemsInFilter="1" defaultSubtotal="0"/>
    <pivotField showAll="0" includeNewItemsInFilter="1" defaultSubtotal="0"/>
    <pivotField showAll="0" includeNewItemsInFilter="1" defaultSubtotal="0"/>
    <pivotField showAll="0" includeNewItemsInFilter="1" defaultSubtotal="0"/>
    <pivotField showAll="0" includeNewItemsInFilter="1" defaultSubtotal="0"/>
    <pivotField dataField="1" showAll="0" includeNewItemsInFilter="1" defaultSubtotal="0"/>
    <pivotField showAll="0" includeNewItemsInFilter="1" defaultSubtotal="0"/>
    <pivotField showAll="0" includeNewItemsInFilter="1" defaultSubtotal="0"/>
    <pivotField showAll="0" defaultSubtotal="0"/>
    <pivotField showAll="0" includeNewItemsInFilter="1" defaultSubtotal="0"/>
    <pivotField showAll="0" defaultSubtotal="0"/>
    <pivotField showAll="0" includeNewItemsInFilter="1" defaultSubtotal="0"/>
    <pivotField showAll="0" defaultSubtotal="0"/>
    <pivotField showAll="0" includeNewItemsInFilter="1" defaultSubtotal="0"/>
    <pivotField showAll="0" defaultSubtotal="0"/>
    <pivotField showAll="0" includeNewItemsInFilter="1" defaultSubtotal="0"/>
    <pivotField showAll="0" defaultSubtotal="0"/>
    <pivotField showAll="0" includeNewItemsInFilter="1" defaultSubtotal="0"/>
    <pivotField showAll="0" defaultSubtotal="0"/>
    <pivotField showAll="0" includeNewItemsInFilter="1" defaultSubtotal="0"/>
    <pivotField showAll="0" defaultSubtotal="0"/>
    <pivotField showAll="0" includeNewItemsInFilter="1" defaultSubtotal="0"/>
    <pivotField showAll="0" defaultSubtotal="0"/>
    <pivotField showAll="0" includeNewItemsInFilter="1" defaultSubtotal="0"/>
    <pivotField showAll="0" defaultSubtotal="0"/>
    <pivotField showAll="0" includeNewItemsInFilter="1" defaultSubtotal="0"/>
    <pivotField dataField="1" numFmtId="2" showAll="0" defaultSubtotal="0"/>
    <pivotField showAll="0" includeNewItemsInFilter="1" defaultSubtotal="0"/>
    <pivotField numFmtId="9" showAll="0" includeNewItemsInFilter="1" defaultSubtotal="0"/>
    <pivotField showAll="0" includeNewItemsInFilter="1" defaultSubtotal="0"/>
    <pivotField showAll="0" includeNewItemsInFilter="1" defaultSubtotal="0"/>
    <pivotField showAll="0" includeNewItemsInFilter="1" defaultSubtotal="0"/>
    <pivotField showAll="0" includeNewItemsInFilter="1" defaultSubtotal="0"/>
    <pivotField showAll="0" includeNewItemsInFilter="1" defaultSubtotal="0"/>
    <pivotField numFmtId="174" showAll="0" includeNewItemsInFilter="1" defaultSubtotal="0"/>
    <pivotField dataField="1" numFmtId="180" showAll="0" includeNewItemsInFilter="1" defaultSubtotal="0"/>
    <pivotField numFmtId="176" showAll="0" includeNewItemsInFilter="1" defaultSubtotal="0"/>
    <pivotField showAll="0" includeNewItemsInFilter="1" defaultSubtotal="0"/>
    <pivotField dataField="1" numFmtId="2" showAll="0" defaultSubtotal="0"/>
    <pivotField showAll="0" includeNewItemsInFilter="1" defaultSubtotal="0"/>
    <pivotField showAll="0" includeNewItemsInFilter="1" defaultSubtotal="0"/>
    <pivotField showAll="0" includeNewItemsInFilter="1" defaultSubtotal="0"/>
    <pivotField numFmtId="2" showAll="0" includeNewItemsInFilter="1" defaultSubtotal="0"/>
    <pivotField showAll="0" includeNewItemsInFilter="1" defaultSubtotal="0"/>
    <pivotField showAll="0" includeNewItemsInFilter="1" defaultSubtotal="0"/>
    <pivotField numFmtId="2" showAll="0" includeNewItemsInFilter="1" defaultSubtotal="0"/>
    <pivotField dataField="1" showAll="0" includeNewItemsInFilter="1" defaultSubtotal="0"/>
    <pivotField showAll="0" includeNewItemsInFilter="1" defaultSubtotal="0"/>
    <pivotField showAll="0" includeNewItemsInFilter="1" defaultSubtotal="0"/>
    <pivotField showAll="0" defaultSubtotal="0"/>
    <pivotField showAll="0" includeNewItemsInFilter="1" defaultSubtotal="0"/>
    <pivotField showAll="0" defaultSubtotal="0"/>
    <pivotField showAll="0" includeNewItemsInFilter="1" defaultSubtotal="0"/>
    <pivotField showAll="0" defaultSubtotal="0"/>
    <pivotField showAll="0" includeNewItemsInFilter="1" defaultSubtotal="0"/>
    <pivotField showAll="0" defaultSubtotal="0"/>
    <pivotField showAll="0" includeNewItemsInFilter="1" defaultSubtotal="0"/>
    <pivotField showAll="0" defaultSubtotal="0"/>
    <pivotField showAll="0" includeNewItemsInFilter="1" defaultSubtotal="0"/>
    <pivotField showAll="0" defaultSubtotal="0"/>
    <pivotField showAll="0" includeNewItemsInFilter="1" defaultSubtotal="0"/>
    <pivotField showAll="0" defaultSubtotal="0"/>
    <pivotField showAll="0" includeNewItemsInFilter="1" defaultSubtotal="0"/>
    <pivotField showAll="0" defaultSubtotal="0"/>
    <pivotField showAll="0" includeNewItemsInFilter="1" defaultSubtotal="0"/>
    <pivotField showAll="0" includeNewItemsInFilter="1" defaultSubtotal="0"/>
    <pivotField showAll="0" defaultSubtotal="0"/>
    <pivotField showAll="0" includeNewItemsInFilter="1" defaultSubtotal="0"/>
    <pivotField numFmtId="169" showAll="0" includeNewItemsInFilter="1" defaultSubtotal="0"/>
    <pivotField numFmtId="2" showAll="0" includeNewItemsInFilter="1" defaultSubtotal="0"/>
    <pivotField showAll="0" defaultSubtotal="0"/>
    <pivotField dataField="1" numFmtId="169" showAll="0" includeNewItemsInFilter="1" defaultSubtotal="0"/>
    <pivotField numFmtId="169" showAll="0" includeNewItemsInFilter="1" defaultSubtotal="0"/>
    <pivotField numFmtId="169" showAll="0" includeNewItemsInFilter="1" defaultSubtotal="0"/>
    <pivotField showAll="0" includeNewItemsInFilter="1" defaultSubtotal="0"/>
    <pivotField numFmtId="175" showAll="0" includeNewItemsInFilter="1" defaultSubtotal="0"/>
    <pivotField showAll="0" includeNewItemsInFilter="1" defaultSubtotal="0"/>
    <pivotField showAll="0" includeNewItemsInFilter="1" defaultSubtotal="0"/>
    <pivotField showAll="0" includeNewItemsInFilter="1" defaultSubtotal="0"/>
    <pivotField showAll="0" includeNewItemsInFilter="1" defaultSubtotal="0"/>
    <pivotField showAll="0" includeNewItemsInFilter="1" defaultSubtotal="0"/>
    <pivotField showAll="0" includeNewItemsInFilter="1" defaultSubtotal="0"/>
    <pivotField showAll="0" includeNewItemsInFilter="1" defaultSubtotal="0"/>
    <pivotField showAll="0" includeNewItemsInFilter="1" defaultSubtotal="0"/>
    <pivotField showAll="0" includeNewItemsInFilter="1" defaultSubtotal="0"/>
    <pivotField numFmtId="3" showAll="0" includeNewItemsInFilter="1" defaultSubtotal="0"/>
    <pivotField showAll="0" includeNewItemsInFilter="1" defaultSubtotal="0"/>
    <pivotField showAll="0" includeNewItemsInFilter="1" defaultSubtotal="0"/>
  </pivotFields>
  <rowFields count="1">
    <field x="3"/>
  </rowFields>
  <rowItems count="34">
    <i>
      <x v="4"/>
    </i>
    <i>
      <x v="5"/>
    </i>
    <i>
      <x v="6"/>
    </i>
    <i>
      <x v="7"/>
    </i>
    <i>
      <x v="8"/>
    </i>
    <i>
      <x v="9"/>
    </i>
    <i>
      <x v="10"/>
    </i>
    <i>
      <x v="11"/>
    </i>
    <i>
      <x v="12"/>
    </i>
    <i>
      <x v="13"/>
    </i>
    <i>
      <x v="19"/>
    </i>
    <i>
      <x v="20"/>
    </i>
    <i>
      <x v="21"/>
    </i>
    <i>
      <x v="22"/>
    </i>
    <i>
      <x v="23"/>
    </i>
    <i>
      <x v="24"/>
    </i>
    <i>
      <x v="25"/>
    </i>
    <i>
      <x v="26"/>
    </i>
    <i>
      <x v="31"/>
    </i>
    <i>
      <x v="32"/>
    </i>
    <i>
      <x v="34"/>
    </i>
    <i>
      <x v="35"/>
    </i>
    <i>
      <x v="36"/>
    </i>
    <i>
      <x v="37"/>
    </i>
    <i>
      <x v="38"/>
    </i>
    <i>
      <x v="43"/>
    </i>
    <i>
      <x v="44"/>
    </i>
    <i>
      <x v="45"/>
    </i>
    <i>
      <x v="46"/>
    </i>
    <i>
      <x v="47"/>
    </i>
    <i>
      <x v="48"/>
    </i>
    <i>
      <x v="49"/>
    </i>
    <i>
      <x v="50"/>
    </i>
    <i t="grand">
      <x/>
    </i>
  </rowItems>
  <colFields count="1">
    <field x="-2"/>
  </colFields>
  <colItems count="10">
    <i>
      <x/>
    </i>
    <i i="1">
      <x v="1"/>
    </i>
    <i i="2">
      <x v="2"/>
    </i>
    <i i="3">
      <x v="3"/>
    </i>
    <i i="4">
      <x v="4"/>
    </i>
    <i i="5">
      <x v="5"/>
    </i>
    <i i="6">
      <x v="6"/>
    </i>
    <i i="7">
      <x v="7"/>
    </i>
    <i i="8">
      <x v="8"/>
    </i>
    <i i="9">
      <x v="9"/>
    </i>
  </colItems>
  <dataFields count="10">
    <dataField name="Suma de PONDERADOR META DE PRODUCTO CUATRIENIO (%)" fld="12" baseField="2" baseItem="3" numFmtId="2"/>
    <dataField name="Suma de PONDERADOR META DE PRODUCTO 2012 (%)" fld="13" baseField="0" baseItem="0" numFmtId="2"/>
    <dataField name="Suma de AVANCE PONDERADO 2012" fld="20" baseField="0" baseItem="0" numFmtId="2"/>
    <dataField name="Suma de PONDERADOR META DE PRODUCTO 2013 (%)" fld="41" baseField="3" baseItem="4" numFmtId="2"/>
    <dataField name="Suma de AVANCE PONDERADO 2013" fld="48" baseField="3" baseItem="4" numFmtId="2"/>
    <dataField name="Suma de PONDERADOR META DE PRODUCTO 2014 (%)" fld="69" baseField="3" baseItem="4" numFmtId="2"/>
    <dataField name="Suma de AVANCE PONDERADO 2014" fld="78" baseField="3" baseItem="4" numFmtId="2"/>
    <dataField name="Suma de PONDERADOR META DE PRODUCTO 2015 (%)" fld="81" baseField="3" baseItem="4" numFmtId="2"/>
    <dataField name="Suma de AVANCE PONDERADO 2015" fld="89" baseField="3" baseItem="4" numFmtId="2"/>
    <dataField name="Suma de AVANCE PONDERADO DEL CUATRENIO" fld="114" baseField="3" baseItem="4" numFmtId="2"/>
  </dataFields>
  <formats count="19">
    <format dxfId="89">
      <pivotArea dataOnly="0" labelOnly="1" outline="0" fieldPosition="0">
        <references count="1">
          <reference field="4294967294" count="1">
            <x v="0"/>
          </reference>
        </references>
      </pivotArea>
    </format>
    <format dxfId="88">
      <pivotArea outline="0" fieldPosition="0">
        <references count="1">
          <reference field="4294967294" count="1">
            <x v="0"/>
          </reference>
        </references>
      </pivotArea>
    </format>
    <format dxfId="87">
      <pivotArea dataOnly="0" labelOnly="1" outline="0" fieldPosition="0">
        <references count="1">
          <reference field="4294967294" count="1">
            <x v="0"/>
          </reference>
        </references>
      </pivotArea>
    </format>
    <format dxfId="86">
      <pivotArea type="all" dataOnly="0" outline="0" fieldPosition="0"/>
    </format>
    <format dxfId="85">
      <pivotArea outline="0" fieldPosition="0"/>
    </format>
    <format dxfId="84">
      <pivotArea dataOnly="0" labelOnly="1" outline="0" fieldPosition="0">
        <references count="1">
          <reference field="4294967294" count="1">
            <x v="0"/>
          </reference>
        </references>
      </pivotArea>
    </format>
    <format dxfId="83">
      <pivotArea type="all" dataOnly="0" outline="0" fieldPosition="0"/>
    </format>
    <format dxfId="82">
      <pivotArea outline="0" fieldPosition="0"/>
    </format>
    <format dxfId="81">
      <pivotArea dataOnly="0" labelOnly="1" outline="0" fieldPosition="0">
        <references count="1">
          <reference field="4294967294" count="1">
            <x v="0"/>
          </reference>
        </references>
      </pivotArea>
    </format>
    <format dxfId="80">
      <pivotArea field="3" grandRow="1" outline="0" axis="axisRow" fieldPosition="0">
        <references count="1">
          <reference field="4294967294" count="1" selected="0">
            <x v="0"/>
          </reference>
        </references>
      </pivotArea>
    </format>
    <format dxfId="79">
      <pivotArea outline="0" fieldPosition="0">
        <references count="1">
          <reference field="4294967294" count="2" selected="0">
            <x v="1"/>
            <x v="2"/>
          </reference>
        </references>
      </pivotArea>
    </format>
    <format dxfId="78">
      <pivotArea outline="0" fieldPosition="0">
        <references count="1">
          <reference field="4294967294" count="1">
            <x v="3"/>
          </reference>
        </references>
      </pivotArea>
    </format>
    <format dxfId="77">
      <pivotArea outline="0" fieldPosition="0">
        <references count="1">
          <reference field="4294967294" count="1">
            <x v="4"/>
          </reference>
        </references>
      </pivotArea>
    </format>
    <format dxfId="76">
      <pivotArea outline="0" fieldPosition="0">
        <references count="1">
          <reference field="4294967294" count="1">
            <x v="5"/>
          </reference>
        </references>
      </pivotArea>
    </format>
    <format dxfId="75">
      <pivotArea outline="0" fieldPosition="0">
        <references count="1">
          <reference field="4294967294" count="1">
            <x v="6"/>
          </reference>
        </references>
      </pivotArea>
    </format>
    <format dxfId="74">
      <pivotArea outline="0" fieldPosition="0">
        <references count="1">
          <reference field="4294967294" count="1">
            <x v="7"/>
          </reference>
        </references>
      </pivotArea>
    </format>
    <format dxfId="73">
      <pivotArea outline="0" fieldPosition="0">
        <references count="1">
          <reference field="4294967294" count="1">
            <x v="8"/>
          </reference>
        </references>
      </pivotArea>
    </format>
    <format dxfId="72">
      <pivotArea outline="0" fieldPosition="0">
        <references count="1">
          <reference field="4294967294" count="1">
            <x v="9"/>
          </reference>
        </references>
      </pivotArea>
    </format>
    <format dxfId="71">
      <pivotArea fieldPosition="0">
        <references count="1">
          <reference field="3" count="8">
            <x v="19"/>
            <x v="20"/>
            <x v="21"/>
            <x v="22"/>
            <x v="23"/>
            <x v="24"/>
            <x v="25"/>
            <x v="26"/>
          </reference>
        </references>
      </pivotArea>
    </format>
  </formats>
  <pivotTableStyleInfo name="PivotStyleLight16" showRowHeaders="1" showColHeaders="1" showRowStripes="0" showColStripes="0" showLastColumn="1"/>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hyperlink" Target="mailto:NI&#209;@S" TargetMode="External"/><Relationship Id="rId2" Type="http://schemas.openxmlformats.org/officeDocument/2006/relationships/hyperlink" Target="mailto:NI&#209;@S" TargetMode="External"/><Relationship Id="rId1" Type="http://schemas.openxmlformats.org/officeDocument/2006/relationships/hyperlink" Target="mailto:NI&#209;@S" TargetMode="External"/><Relationship Id="rId4"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IU222"/>
  <sheetViews>
    <sheetView tabSelected="1" workbookViewId="0">
      <selection activeCell="B15" sqref="B15"/>
    </sheetView>
  </sheetViews>
  <sheetFormatPr baseColWidth="10" defaultColWidth="0" defaultRowHeight="12.75" zeroHeight="1"/>
  <cols>
    <col min="1" max="1" width="11.42578125" style="778" customWidth="1"/>
    <col min="2" max="7" width="11.42578125" style="780" customWidth="1"/>
    <col min="8" max="9" width="10.28515625" style="780" bestFit="1" customWidth="1"/>
    <col min="10" max="12" width="11.42578125" style="780" customWidth="1"/>
    <col min="13" max="13" width="15.7109375" style="779" customWidth="1"/>
    <col min="14" max="14" width="8.5703125" style="778" customWidth="1"/>
    <col min="15" max="19" width="0" hidden="1" customWidth="1"/>
    <col min="20" max="20" width="14.5703125" hidden="1" customWidth="1"/>
    <col min="21" max="253" width="0" hidden="1" customWidth="1"/>
    <col min="254" max="254" width="4.42578125" hidden="1" customWidth="1"/>
    <col min="255" max="255" width="7.42578125" hidden="1" customWidth="1"/>
    <col min="256" max="16384" width="4.85546875" hidden="1"/>
  </cols>
  <sheetData>
    <row r="1" spans="1:23" ht="8.25" customHeight="1">
      <c r="A1" s="791"/>
      <c r="B1" s="791"/>
      <c r="C1" s="791"/>
      <c r="D1" s="791"/>
      <c r="E1" s="791"/>
      <c r="F1" s="791"/>
      <c r="G1" s="791"/>
      <c r="H1" s="791"/>
      <c r="I1" s="791"/>
      <c r="J1" s="791"/>
      <c r="K1" s="791"/>
      <c r="L1" s="791"/>
      <c r="M1" s="791"/>
      <c r="N1" s="791"/>
      <c r="O1" s="789"/>
      <c r="P1" s="789"/>
      <c r="Q1" s="789"/>
      <c r="R1" s="789"/>
      <c r="S1" s="789"/>
      <c r="T1" s="789"/>
      <c r="U1" s="789"/>
      <c r="V1" s="789"/>
      <c r="W1" s="789"/>
    </row>
    <row r="2" spans="1:23" ht="17.25" customHeight="1">
      <c r="A2" s="791"/>
      <c r="B2" s="791"/>
      <c r="C2" s="791"/>
      <c r="D2" s="1419" t="s">
        <v>2643</v>
      </c>
      <c r="E2" s="1419"/>
      <c r="F2" s="1419"/>
      <c r="G2" s="1419"/>
      <c r="H2" s="1419"/>
      <c r="I2" s="1419"/>
      <c r="J2" s="1419"/>
      <c r="K2" s="791"/>
      <c r="L2" s="791"/>
      <c r="M2" s="791"/>
      <c r="N2" s="791"/>
      <c r="O2" s="789"/>
      <c r="P2" s="789"/>
      <c r="Q2" s="789"/>
      <c r="R2" s="789"/>
      <c r="S2" s="789"/>
      <c r="T2" s="789"/>
      <c r="U2" s="789"/>
      <c r="V2" s="789"/>
      <c r="W2" s="789"/>
    </row>
    <row r="3" spans="1:23" ht="17.25" customHeight="1">
      <c r="A3" s="791"/>
      <c r="B3" s="791"/>
      <c r="C3" s="791"/>
      <c r="D3" s="1420" t="s">
        <v>19</v>
      </c>
      <c r="E3" s="1420"/>
      <c r="F3" s="1420"/>
      <c r="G3" s="1420"/>
      <c r="H3" s="1420"/>
      <c r="I3" s="1420"/>
      <c r="J3" s="1420"/>
      <c r="K3" s="791"/>
      <c r="L3" s="791"/>
      <c r="M3" s="791"/>
      <c r="N3" s="791"/>
      <c r="O3" s="789"/>
      <c r="P3" s="789"/>
      <c r="Q3" s="789"/>
      <c r="R3" s="789"/>
      <c r="S3" s="789"/>
      <c r="T3" s="789"/>
      <c r="U3" s="789"/>
      <c r="V3" s="789"/>
      <c r="W3" s="789"/>
    </row>
    <row r="4" spans="1:23">
      <c r="A4" s="791"/>
      <c r="B4" s="791"/>
      <c r="C4" s="791"/>
      <c r="D4" s="791"/>
      <c r="E4" s="791"/>
      <c r="F4" s="791"/>
      <c r="G4" s="791"/>
      <c r="H4" s="791"/>
      <c r="I4" s="791"/>
      <c r="J4" s="791"/>
      <c r="K4" s="791"/>
      <c r="L4" s="791"/>
      <c r="M4" s="791"/>
      <c r="N4" s="791"/>
      <c r="O4" s="789"/>
      <c r="P4" s="789"/>
      <c r="Q4" s="789"/>
      <c r="R4" s="789"/>
      <c r="S4" s="789"/>
      <c r="T4" s="789"/>
      <c r="U4" s="789"/>
      <c r="V4" s="789"/>
      <c r="W4" s="789"/>
    </row>
    <row r="5" spans="1:23">
      <c r="A5" s="791"/>
      <c r="B5" s="791"/>
      <c r="C5" s="791"/>
      <c r="D5" s="791"/>
      <c r="E5" s="791"/>
      <c r="F5" s="791"/>
      <c r="G5" s="791"/>
      <c r="H5" s="791"/>
      <c r="I5" s="791"/>
      <c r="J5" s="791"/>
      <c r="K5" s="791"/>
      <c r="L5" s="791"/>
      <c r="M5" s="791"/>
      <c r="N5" s="791"/>
      <c r="O5" s="789"/>
      <c r="P5" s="789"/>
      <c r="Q5" s="789"/>
      <c r="R5" s="789"/>
      <c r="S5" s="789"/>
      <c r="T5" s="789"/>
      <c r="U5" s="789"/>
      <c r="V5" s="789"/>
      <c r="W5" s="789"/>
    </row>
    <row r="6" spans="1:23">
      <c r="A6" s="791"/>
      <c r="B6" s="791"/>
      <c r="C6" s="791"/>
      <c r="D6" s="791"/>
      <c r="E6" s="791"/>
      <c r="F6" s="791"/>
      <c r="G6" s="791"/>
      <c r="H6" s="791"/>
      <c r="I6" s="791"/>
      <c r="J6" s="791"/>
      <c r="K6" s="791"/>
      <c r="L6" s="791"/>
      <c r="M6" s="791"/>
      <c r="N6" s="791"/>
      <c r="O6" s="789"/>
      <c r="P6" s="789"/>
      <c r="Q6" s="789"/>
      <c r="R6" s="789"/>
      <c r="S6" s="789"/>
      <c r="T6" s="789"/>
      <c r="U6" s="789"/>
      <c r="V6" s="789"/>
      <c r="W6" s="789"/>
    </row>
    <row r="7" spans="1:23">
      <c r="A7" s="791"/>
      <c r="B7" s="791"/>
      <c r="C7" s="791"/>
      <c r="D7" s="791"/>
      <c r="E7" s="791"/>
      <c r="F7" s="791"/>
      <c r="G7" s="791"/>
      <c r="H7" s="791"/>
      <c r="I7" s="791"/>
      <c r="J7" s="791"/>
      <c r="K7" s="791"/>
      <c r="L7" s="791"/>
      <c r="M7" s="791"/>
      <c r="N7" s="791"/>
      <c r="O7" s="789"/>
      <c r="P7" s="789"/>
      <c r="Q7" s="789"/>
      <c r="R7" s="789"/>
      <c r="S7" s="789"/>
      <c r="T7" s="789"/>
      <c r="U7" s="789"/>
      <c r="V7" s="789"/>
      <c r="W7" s="789"/>
    </row>
    <row r="8" spans="1:23">
      <c r="A8" s="791"/>
      <c r="B8" s="791"/>
      <c r="C8" s="791"/>
      <c r="D8" s="791"/>
      <c r="E8" s="791"/>
      <c r="F8" s="791"/>
      <c r="G8" s="791"/>
      <c r="H8" s="791"/>
      <c r="I8" s="791"/>
      <c r="J8" s="791"/>
      <c r="K8" s="791"/>
      <c r="L8" s="791"/>
      <c r="M8" s="791"/>
      <c r="N8" s="791"/>
      <c r="O8" s="789"/>
      <c r="P8" s="789"/>
      <c r="Q8" s="789"/>
      <c r="R8" s="789"/>
      <c r="S8" s="789"/>
      <c r="T8" s="789"/>
      <c r="U8" s="789"/>
      <c r="V8" s="789"/>
      <c r="W8" s="789"/>
    </row>
    <row r="9" spans="1:23">
      <c r="A9" s="791"/>
      <c r="B9" s="791"/>
      <c r="C9" s="791"/>
      <c r="D9" s="795"/>
      <c r="E9" s="791"/>
      <c r="F9" s="791"/>
      <c r="G9" s="791"/>
      <c r="H9" s="791"/>
      <c r="I9" s="791"/>
      <c r="J9" s="791"/>
      <c r="K9" s="791"/>
      <c r="L9" s="791"/>
      <c r="M9" s="791"/>
      <c r="N9" s="791"/>
      <c r="O9" s="789"/>
      <c r="P9" s="789"/>
      <c r="Q9" s="789"/>
      <c r="R9" s="789"/>
      <c r="S9" s="789"/>
      <c r="T9" s="789"/>
      <c r="U9" s="789"/>
      <c r="V9" s="789"/>
      <c r="W9" s="789"/>
    </row>
    <row r="10" spans="1:23">
      <c r="A10" s="791"/>
      <c r="B10" s="782"/>
      <c r="C10" s="782"/>
      <c r="D10" s="1421"/>
      <c r="E10" s="1421"/>
      <c r="F10" s="791"/>
      <c r="G10" s="791"/>
      <c r="H10" s="791"/>
      <c r="I10" s="791"/>
      <c r="J10" s="791"/>
      <c r="K10" s="791"/>
      <c r="L10" s="791"/>
      <c r="M10" s="791"/>
      <c r="N10" s="791"/>
      <c r="O10" s="789"/>
      <c r="P10" s="789"/>
      <c r="Q10" s="789"/>
      <c r="R10" s="789"/>
      <c r="S10" s="789"/>
      <c r="T10" s="789"/>
      <c r="U10" s="789"/>
      <c r="V10" s="789"/>
      <c r="W10" s="789"/>
    </row>
    <row r="11" spans="1:23">
      <c r="A11" s="791"/>
      <c r="B11" s="782"/>
      <c r="C11" s="782"/>
      <c r="D11" s="782"/>
      <c r="E11" s="791"/>
      <c r="F11" s="791"/>
      <c r="G11" s="791"/>
      <c r="H11" s="791"/>
      <c r="I11" s="791"/>
      <c r="J11" s="791"/>
      <c r="K11" s="791"/>
      <c r="L11" s="791"/>
      <c r="M11" s="791"/>
      <c r="N11" s="791"/>
      <c r="O11" s="789"/>
      <c r="P11" s="789"/>
      <c r="Q11" s="789"/>
      <c r="R11" s="789"/>
      <c r="S11" s="789"/>
      <c r="T11" s="789"/>
      <c r="U11" s="789"/>
      <c r="V11" s="789"/>
      <c r="W11" s="789"/>
    </row>
    <row r="12" spans="1:23">
      <c r="A12" s="791"/>
      <c r="B12" s="791"/>
      <c r="C12" s="791"/>
      <c r="D12" s="791"/>
      <c r="E12" s="791"/>
      <c r="F12" s="791"/>
      <c r="G12" s="791"/>
      <c r="H12" s="791"/>
      <c r="I12" s="791"/>
      <c r="J12" s="791"/>
      <c r="K12" s="791"/>
      <c r="L12" s="791"/>
      <c r="M12" s="791"/>
      <c r="N12" s="791"/>
      <c r="O12" s="789"/>
      <c r="P12" s="789"/>
      <c r="Q12" s="789"/>
      <c r="R12" s="789"/>
      <c r="S12" s="789"/>
      <c r="T12" s="789"/>
      <c r="U12" s="789"/>
      <c r="V12" s="789"/>
      <c r="W12" s="789"/>
    </row>
    <row r="13" spans="1:23">
      <c r="A13" s="791"/>
      <c r="B13" s="791"/>
      <c r="C13" s="791"/>
      <c r="D13" s="791"/>
      <c r="E13" s="791"/>
      <c r="F13" s="791"/>
      <c r="G13" s="791"/>
      <c r="H13" s="791"/>
      <c r="I13" s="791"/>
      <c r="J13" s="791"/>
      <c r="K13" s="791"/>
      <c r="L13" s="791"/>
      <c r="M13" s="791"/>
      <c r="N13" s="791"/>
      <c r="O13" s="789"/>
      <c r="P13" s="789"/>
      <c r="Q13" s="789"/>
      <c r="R13" s="789"/>
      <c r="S13" s="789"/>
      <c r="T13" s="789"/>
      <c r="U13" s="789"/>
      <c r="V13" s="789"/>
      <c r="W13" s="789"/>
    </row>
    <row r="14" spans="1:23">
      <c r="A14" s="791"/>
      <c r="B14" s="791"/>
      <c r="C14" s="791"/>
      <c r="D14" s="791"/>
      <c r="E14" s="791"/>
      <c r="F14" s="791"/>
      <c r="G14" s="791"/>
      <c r="H14" s="791"/>
      <c r="I14" s="791"/>
      <c r="J14" s="791"/>
      <c r="K14" s="791"/>
      <c r="L14" s="791"/>
      <c r="M14" s="791"/>
      <c r="N14" s="791"/>
      <c r="O14" s="789"/>
      <c r="P14" s="789"/>
      <c r="Q14" s="789"/>
      <c r="R14" s="789"/>
      <c r="S14" s="789"/>
      <c r="T14" s="789"/>
      <c r="U14" s="789"/>
      <c r="V14" s="789"/>
      <c r="W14" s="789"/>
    </row>
    <row r="15" spans="1:23" ht="17.25">
      <c r="A15" s="791"/>
      <c r="B15" s="791"/>
      <c r="C15" s="791"/>
      <c r="D15" s="791"/>
      <c r="E15" s="791"/>
      <c r="F15" s="791"/>
      <c r="G15" s="791"/>
      <c r="H15" s="791"/>
      <c r="I15" s="791"/>
      <c r="J15" s="791"/>
      <c r="K15" s="791"/>
      <c r="L15" s="782"/>
      <c r="M15" s="1031" t="s">
        <v>2626</v>
      </c>
      <c r="N15" s="794"/>
      <c r="O15" s="789"/>
      <c r="P15" s="789"/>
      <c r="Q15" s="789"/>
      <c r="R15" s="789"/>
      <c r="S15" s="789"/>
      <c r="T15" s="789"/>
      <c r="U15" s="789"/>
      <c r="V15" s="789"/>
      <c r="W15" s="789"/>
    </row>
    <row r="16" spans="1:23">
      <c r="A16" s="791"/>
      <c r="B16" s="791"/>
      <c r="C16" s="791"/>
      <c r="D16" s="791"/>
      <c r="E16" s="791"/>
      <c r="F16" s="791"/>
      <c r="G16" s="791"/>
      <c r="H16" s="791"/>
      <c r="I16" s="791"/>
      <c r="J16" s="791"/>
      <c r="K16" s="791"/>
      <c r="L16" s="791"/>
      <c r="M16" s="793"/>
      <c r="N16" s="791"/>
      <c r="O16" s="789"/>
      <c r="P16" s="789"/>
      <c r="Q16" s="789"/>
      <c r="R16" s="789"/>
      <c r="S16" s="789"/>
      <c r="T16" s="789"/>
      <c r="U16" s="789"/>
      <c r="V16" s="789"/>
      <c r="W16" s="789"/>
    </row>
    <row r="17" spans="1:23">
      <c r="A17" s="791"/>
      <c r="B17" s="791"/>
      <c r="C17" s="791"/>
      <c r="D17" s="791"/>
      <c r="E17" s="791"/>
      <c r="F17" s="791"/>
      <c r="G17" s="791"/>
      <c r="H17" s="791"/>
      <c r="I17" s="791"/>
      <c r="J17" s="791"/>
      <c r="K17" s="791"/>
      <c r="L17" s="791"/>
      <c r="M17" s="1316" t="s">
        <v>2</v>
      </c>
      <c r="N17" s="791"/>
      <c r="O17" s="789"/>
      <c r="P17" s="789"/>
      <c r="Q17" s="789"/>
      <c r="R17" s="789"/>
      <c r="S17" s="789"/>
      <c r="T17" s="789"/>
      <c r="U17" s="789"/>
      <c r="V17" s="789"/>
      <c r="W17" s="789"/>
    </row>
    <row r="18" spans="1:23">
      <c r="A18" s="791"/>
      <c r="B18" s="791"/>
      <c r="C18" s="791"/>
      <c r="D18" s="791"/>
      <c r="E18" s="791"/>
      <c r="F18" s="791"/>
      <c r="G18" s="791"/>
      <c r="H18" s="791"/>
      <c r="I18" s="791"/>
      <c r="J18" s="791"/>
      <c r="K18" s="791"/>
      <c r="L18" s="791"/>
      <c r="M18" s="1316" t="s">
        <v>2625</v>
      </c>
      <c r="N18" s="791"/>
      <c r="O18" s="789"/>
      <c r="P18" s="789"/>
      <c r="Q18" s="789"/>
      <c r="R18" s="789"/>
      <c r="S18" s="789"/>
      <c r="T18" s="789"/>
      <c r="U18" s="789"/>
      <c r="V18" s="789"/>
      <c r="W18" s="789"/>
    </row>
    <row r="19" spans="1:23">
      <c r="A19" s="791"/>
      <c r="B19" s="791"/>
      <c r="C19" s="791"/>
      <c r="D19" s="791"/>
      <c r="E19" s="791"/>
      <c r="F19" s="791"/>
      <c r="G19" s="791"/>
      <c r="H19" s="791"/>
      <c r="I19" s="791"/>
      <c r="J19" s="791"/>
      <c r="K19" s="791"/>
      <c r="L19" s="791"/>
      <c r="M19" s="1316" t="s">
        <v>1828</v>
      </c>
      <c r="N19" s="791"/>
      <c r="O19" s="789"/>
      <c r="P19" s="789"/>
      <c r="Q19" s="789"/>
      <c r="R19" s="789"/>
      <c r="S19" s="789"/>
      <c r="T19" s="789"/>
      <c r="U19" s="789"/>
      <c r="V19" s="789"/>
      <c r="W19" s="789"/>
    </row>
    <row r="20" spans="1:23">
      <c r="A20" s="791"/>
      <c r="B20" s="791"/>
      <c r="C20" s="791"/>
      <c r="D20" s="791"/>
      <c r="E20" s="791"/>
      <c r="F20" s="791"/>
      <c r="G20" s="791"/>
      <c r="H20" s="791"/>
      <c r="I20" s="791"/>
      <c r="J20" s="791"/>
      <c r="K20" s="791"/>
      <c r="L20" s="791"/>
      <c r="M20" s="1316" t="s">
        <v>2624</v>
      </c>
      <c r="N20" s="791"/>
      <c r="O20" s="789"/>
      <c r="P20" s="789"/>
      <c r="Q20" s="789"/>
      <c r="R20" s="789"/>
      <c r="S20" s="789"/>
      <c r="T20" s="789"/>
      <c r="U20" s="789"/>
      <c r="V20" s="789"/>
      <c r="W20" s="789"/>
    </row>
    <row r="21" spans="1:23">
      <c r="A21" s="791"/>
      <c r="B21" s="791"/>
      <c r="C21" s="791"/>
      <c r="D21" s="791"/>
      <c r="E21" s="791"/>
      <c r="F21" s="791"/>
      <c r="G21" s="791"/>
      <c r="H21" s="791"/>
      <c r="I21" s="791"/>
      <c r="J21" s="791"/>
      <c r="K21" s="791"/>
      <c r="L21" s="791"/>
      <c r="M21" s="1316" t="s">
        <v>2623</v>
      </c>
      <c r="N21" s="791"/>
      <c r="O21" s="789"/>
      <c r="P21" s="789"/>
      <c r="Q21" s="789"/>
      <c r="R21" s="789"/>
      <c r="S21" s="789"/>
      <c r="T21" s="789"/>
      <c r="U21" s="789"/>
      <c r="V21" s="789"/>
      <c r="W21" s="789"/>
    </row>
    <row r="22" spans="1:23">
      <c r="A22" s="791"/>
      <c r="B22" s="791"/>
      <c r="C22" s="791"/>
      <c r="D22" s="791"/>
      <c r="E22" s="791"/>
      <c r="F22" s="791"/>
      <c r="G22" s="791"/>
      <c r="H22" s="791"/>
      <c r="I22" s="791"/>
      <c r="J22" s="791"/>
      <c r="K22" s="791"/>
      <c r="L22" s="791"/>
      <c r="M22" s="793"/>
      <c r="N22" s="791"/>
      <c r="O22" s="789"/>
      <c r="P22" s="789"/>
      <c r="Q22" s="789"/>
      <c r="R22" s="789"/>
      <c r="S22" s="789"/>
      <c r="T22" s="789"/>
      <c r="U22" s="789"/>
      <c r="V22" s="789"/>
      <c r="W22" s="789"/>
    </row>
    <row r="23" spans="1:23">
      <c r="A23" s="791"/>
      <c r="B23" s="791"/>
      <c r="C23" s="791"/>
      <c r="D23" s="791"/>
      <c r="E23" s="791"/>
      <c r="F23" s="791"/>
      <c r="G23" s="791"/>
      <c r="H23" s="791"/>
      <c r="I23" s="791"/>
      <c r="J23" s="791"/>
      <c r="K23" s="791"/>
      <c r="L23" s="791"/>
      <c r="M23" s="791"/>
      <c r="N23" s="791"/>
      <c r="O23" s="789"/>
      <c r="P23" s="789"/>
      <c r="Q23" s="789"/>
      <c r="R23" s="789"/>
      <c r="S23" s="789"/>
      <c r="T23" s="789"/>
      <c r="U23" s="789"/>
      <c r="V23" s="789"/>
      <c r="W23" s="789"/>
    </row>
    <row r="24" spans="1:23">
      <c r="A24" s="791"/>
      <c r="B24" s="791"/>
      <c r="C24" s="791"/>
      <c r="D24" s="791"/>
      <c r="E24" s="791"/>
      <c r="F24" s="791"/>
      <c r="G24" s="791"/>
      <c r="H24" s="791"/>
      <c r="I24" s="791"/>
      <c r="J24" s="791"/>
      <c r="K24" s="791"/>
      <c r="L24" s="791"/>
      <c r="M24" s="791"/>
      <c r="N24" s="791"/>
      <c r="O24" s="789"/>
      <c r="P24" s="789"/>
      <c r="Q24" s="789"/>
      <c r="R24" s="789"/>
      <c r="S24" s="789"/>
      <c r="T24" s="789"/>
      <c r="U24" s="789"/>
      <c r="V24" s="789"/>
      <c r="W24" s="789"/>
    </row>
    <row r="25" spans="1:23">
      <c r="A25" s="791"/>
      <c r="B25" s="791"/>
      <c r="C25" s="791"/>
      <c r="D25" s="791"/>
      <c r="E25" s="791"/>
      <c r="F25" s="791"/>
      <c r="G25" s="792"/>
      <c r="H25" s="791"/>
      <c r="I25" s="791"/>
      <c r="J25" s="791"/>
      <c r="K25" s="791"/>
      <c r="L25" s="791"/>
      <c r="M25" s="791"/>
      <c r="N25" s="791"/>
      <c r="O25" s="789"/>
      <c r="P25" s="789"/>
      <c r="Q25" s="789"/>
      <c r="R25" s="789"/>
      <c r="S25" s="789"/>
      <c r="T25" s="789"/>
      <c r="U25" s="789"/>
      <c r="V25" s="789"/>
      <c r="W25" s="789"/>
    </row>
    <row r="26" spans="1:23">
      <c r="A26" s="791"/>
      <c r="B26" s="791"/>
      <c r="C26" s="791"/>
      <c r="D26" s="791"/>
      <c r="E26" s="1098" t="s">
        <v>2804</v>
      </c>
      <c r="F26" s="791"/>
      <c r="G26" s="791"/>
      <c r="H26" s="791"/>
      <c r="I26" s="791"/>
      <c r="J26" s="791"/>
      <c r="K26" s="791"/>
      <c r="L26" s="791"/>
      <c r="M26" s="791"/>
      <c r="N26" s="791"/>
      <c r="O26" s="789"/>
      <c r="P26" s="789"/>
      <c r="Q26" s="789"/>
      <c r="R26" s="789"/>
      <c r="S26" s="789"/>
      <c r="T26" s="789"/>
      <c r="U26" s="789"/>
      <c r="V26" s="789"/>
      <c r="W26" s="789"/>
    </row>
    <row r="27" spans="1:23">
      <c r="A27" s="791"/>
      <c r="B27" s="791"/>
      <c r="C27" s="791"/>
      <c r="D27" s="791"/>
      <c r="E27" s="791"/>
      <c r="F27" s="791"/>
      <c r="G27" s="791"/>
      <c r="H27" s="791"/>
      <c r="I27" s="791"/>
      <c r="J27" s="791"/>
      <c r="K27" s="791"/>
      <c r="L27" s="791"/>
      <c r="M27" s="791"/>
      <c r="N27" s="791"/>
      <c r="O27" s="789"/>
      <c r="P27" s="789"/>
      <c r="Q27" s="789"/>
      <c r="R27" s="789"/>
      <c r="S27" s="789"/>
      <c r="T27" s="789"/>
      <c r="U27" s="789"/>
      <c r="V27" s="789"/>
      <c r="W27" s="789"/>
    </row>
    <row r="28" spans="1:23">
      <c r="A28" s="791"/>
      <c r="B28" s="791"/>
      <c r="C28" s="791"/>
      <c r="D28" s="791"/>
      <c r="E28" s="791"/>
      <c r="F28" s="791"/>
      <c r="G28" s="791"/>
      <c r="H28" s="791"/>
      <c r="I28" s="791"/>
      <c r="J28" s="791"/>
      <c r="K28" s="791"/>
      <c r="L28" s="791"/>
      <c r="M28" s="791"/>
      <c r="N28" s="791"/>
      <c r="O28" s="789"/>
      <c r="P28" s="789"/>
      <c r="Q28" s="789"/>
      <c r="R28" s="789"/>
      <c r="S28" s="789"/>
      <c r="T28" s="789"/>
      <c r="U28" s="789"/>
      <c r="V28" s="789"/>
      <c r="W28" s="789"/>
    </row>
    <row r="29" spans="1:23">
      <c r="A29" s="791"/>
      <c r="B29" s="791"/>
      <c r="C29" s="791"/>
      <c r="D29" s="791"/>
      <c r="E29" s="791"/>
      <c r="F29" s="791"/>
      <c r="G29" s="791"/>
      <c r="H29" s="791"/>
      <c r="I29" s="791"/>
      <c r="J29" s="791"/>
      <c r="K29" s="791"/>
      <c r="L29" s="791"/>
      <c r="M29" s="791"/>
      <c r="N29" s="791"/>
      <c r="O29" s="789"/>
      <c r="P29" s="789"/>
      <c r="Q29" s="789"/>
      <c r="R29" s="789"/>
      <c r="S29" s="789"/>
      <c r="T29" s="789"/>
      <c r="U29" s="789"/>
      <c r="V29" s="789"/>
      <c r="W29" s="789"/>
    </row>
    <row r="30" spans="1:23">
      <c r="A30" s="791"/>
      <c r="B30" s="791"/>
      <c r="C30" s="791"/>
      <c r="D30" s="791"/>
      <c r="E30" s="791"/>
      <c r="F30" s="791"/>
      <c r="G30" s="791"/>
      <c r="H30" s="791"/>
      <c r="I30" s="791"/>
      <c r="J30" s="791"/>
      <c r="K30" s="791"/>
      <c r="L30" s="791"/>
      <c r="M30" s="791"/>
      <c r="N30" s="791"/>
      <c r="O30" s="789"/>
      <c r="P30" s="789"/>
      <c r="Q30" s="789"/>
      <c r="R30" s="789"/>
      <c r="S30" s="789"/>
      <c r="T30" s="789"/>
      <c r="U30" s="789"/>
      <c r="V30" s="789"/>
      <c r="W30" s="789"/>
    </row>
    <row r="31" spans="1:23">
      <c r="A31" s="791"/>
      <c r="B31" s="791"/>
      <c r="C31" s="791"/>
      <c r="D31" s="791"/>
      <c r="E31" s="791"/>
      <c r="F31" s="791"/>
      <c r="G31" s="791"/>
      <c r="H31" s="791"/>
      <c r="I31" s="791"/>
      <c r="J31" s="791"/>
      <c r="K31" s="791"/>
      <c r="L31" s="791"/>
      <c r="M31" s="791"/>
      <c r="N31" s="791"/>
      <c r="O31" s="789"/>
      <c r="P31" s="789"/>
      <c r="Q31" s="789"/>
      <c r="R31" s="789"/>
      <c r="S31" s="789"/>
      <c r="T31" s="789"/>
      <c r="U31" s="789"/>
      <c r="V31" s="789"/>
      <c r="W31" s="789"/>
    </row>
    <row r="32" spans="1:23">
      <c r="A32" s="791"/>
      <c r="B32" s="791"/>
      <c r="C32" s="791"/>
      <c r="D32" s="791"/>
      <c r="E32" s="791"/>
      <c r="F32" s="791"/>
      <c r="G32" s="791"/>
      <c r="H32" s="791"/>
      <c r="I32" s="791"/>
      <c r="J32" s="791"/>
      <c r="K32" s="791"/>
      <c r="L32" s="791"/>
      <c r="M32" s="791"/>
      <c r="N32" s="791"/>
      <c r="O32" s="789"/>
      <c r="P32" s="789"/>
      <c r="Q32" s="789"/>
      <c r="R32" s="789"/>
      <c r="S32" s="789"/>
      <c r="T32" s="789"/>
      <c r="U32" s="789"/>
      <c r="V32" s="789"/>
      <c r="W32" s="789"/>
    </row>
    <row r="33" spans="1:23">
      <c r="A33" s="791"/>
      <c r="B33" s="791"/>
      <c r="C33" s="791"/>
      <c r="D33" s="791"/>
      <c r="E33" s="791"/>
      <c r="F33" s="791"/>
      <c r="G33" s="791"/>
      <c r="H33" s="791"/>
      <c r="I33" s="791"/>
      <c r="J33" s="791"/>
      <c r="K33" s="791"/>
      <c r="L33" s="791"/>
      <c r="M33" s="791"/>
      <c r="N33" s="791"/>
      <c r="O33" s="789"/>
      <c r="P33" s="789"/>
      <c r="Q33" s="789"/>
      <c r="R33" s="789"/>
      <c r="S33" s="789"/>
      <c r="T33" s="789"/>
      <c r="U33" s="789"/>
      <c r="V33" s="789"/>
      <c r="W33" s="789"/>
    </row>
    <row r="34" spans="1:23">
      <c r="A34" s="791"/>
      <c r="B34" s="791"/>
      <c r="C34" s="791"/>
      <c r="D34" s="791"/>
      <c r="E34" s="791"/>
      <c r="F34" s="791"/>
      <c r="G34" s="791"/>
      <c r="H34" s="791"/>
      <c r="I34" s="791"/>
      <c r="J34" s="791"/>
      <c r="K34" s="791"/>
      <c r="L34" s="791"/>
      <c r="M34" s="791"/>
      <c r="N34" s="791"/>
      <c r="O34" s="789"/>
      <c r="P34" s="789"/>
      <c r="Q34" s="789"/>
      <c r="R34" s="789"/>
      <c r="S34" s="789"/>
      <c r="T34" s="789"/>
      <c r="U34" s="789"/>
      <c r="V34" s="789"/>
      <c r="W34" s="789"/>
    </row>
    <row r="35" spans="1:23">
      <c r="A35" s="791"/>
      <c r="B35" s="791"/>
      <c r="C35" s="791"/>
      <c r="D35" s="791"/>
      <c r="E35" s="791"/>
      <c r="F35" s="791"/>
      <c r="G35" s="791"/>
      <c r="H35" s="791"/>
      <c r="I35" s="791"/>
      <c r="J35" s="791"/>
      <c r="K35" s="791"/>
      <c r="L35" s="791"/>
      <c r="M35" s="791"/>
      <c r="N35" s="791"/>
      <c r="O35" s="789"/>
      <c r="P35" s="789"/>
      <c r="Q35" s="789"/>
      <c r="R35" s="789"/>
      <c r="S35" s="789"/>
      <c r="T35" s="789"/>
      <c r="U35" s="789"/>
      <c r="V35" s="789"/>
      <c r="W35" s="789"/>
    </row>
    <row r="36" spans="1:23">
      <c r="A36" s="791"/>
      <c r="B36" s="791"/>
      <c r="C36" s="791"/>
      <c r="D36" s="791"/>
      <c r="E36" s="791"/>
      <c r="F36" s="791"/>
      <c r="G36" s="791"/>
      <c r="H36" s="791"/>
      <c r="I36" s="791"/>
      <c r="J36" s="791"/>
      <c r="K36" s="791"/>
      <c r="L36" s="791"/>
      <c r="M36" s="791"/>
      <c r="N36" s="782"/>
      <c r="O36" s="789"/>
      <c r="P36" s="789"/>
      <c r="Q36" s="789"/>
      <c r="R36" s="789"/>
      <c r="S36" s="789"/>
      <c r="T36" s="789"/>
      <c r="U36" s="789"/>
      <c r="V36" s="789"/>
      <c r="W36" s="789"/>
    </row>
    <row r="37" spans="1:23">
      <c r="A37" s="791"/>
      <c r="B37" s="791"/>
      <c r="C37" s="791"/>
      <c r="D37" s="791"/>
      <c r="E37" s="791"/>
      <c r="F37" s="791"/>
      <c r="G37" s="791"/>
      <c r="H37" s="791"/>
      <c r="I37" s="791"/>
      <c r="J37" s="791"/>
      <c r="K37" s="791"/>
      <c r="L37" s="791"/>
      <c r="M37" s="791"/>
      <c r="N37" s="791"/>
      <c r="O37" s="789"/>
      <c r="P37" s="789"/>
      <c r="Q37" s="789"/>
      <c r="R37" s="789"/>
      <c r="S37" s="789"/>
      <c r="T37" s="789"/>
      <c r="U37" s="789"/>
      <c r="V37" s="789"/>
      <c r="W37" s="789"/>
    </row>
    <row r="38" spans="1:23">
      <c r="A38" s="791"/>
      <c r="B38" s="791"/>
      <c r="C38" s="791"/>
      <c r="D38" s="791"/>
      <c r="E38" s="791"/>
      <c r="F38" s="791"/>
      <c r="G38" s="791"/>
      <c r="H38" s="791"/>
      <c r="I38" s="791"/>
      <c r="J38" s="791"/>
      <c r="K38" s="791"/>
      <c r="L38" s="791"/>
      <c r="M38" s="791"/>
      <c r="N38" s="791"/>
      <c r="O38" s="789"/>
      <c r="P38" s="789"/>
      <c r="Q38" s="789"/>
      <c r="R38" s="789"/>
      <c r="S38" s="789"/>
      <c r="T38" s="789"/>
      <c r="U38" s="789"/>
      <c r="V38" s="789"/>
      <c r="W38" s="789"/>
    </row>
    <row r="39" spans="1:23">
      <c r="A39" s="791"/>
      <c r="B39" s="791"/>
      <c r="C39" s="791"/>
      <c r="D39" s="791"/>
      <c r="E39" s="791"/>
      <c r="F39" s="791"/>
      <c r="G39" s="791"/>
      <c r="H39" s="791"/>
      <c r="I39" s="791"/>
      <c r="J39" s="791"/>
      <c r="K39" s="791"/>
      <c r="L39" s="791"/>
      <c r="M39" s="791"/>
      <c r="N39" s="791"/>
      <c r="O39" s="789"/>
      <c r="P39" s="789"/>
      <c r="Q39" s="789"/>
      <c r="R39" s="789"/>
      <c r="S39" s="789"/>
      <c r="T39" s="789"/>
      <c r="U39" s="789"/>
      <c r="V39" s="789"/>
      <c r="W39" s="789"/>
    </row>
    <row r="40" spans="1:23">
      <c r="A40" s="791"/>
      <c r="B40" s="791"/>
      <c r="C40" s="791"/>
      <c r="D40" s="791"/>
      <c r="E40" s="1098"/>
      <c r="F40" s="791"/>
      <c r="G40" s="791"/>
      <c r="H40" s="791"/>
      <c r="I40" s="791"/>
      <c r="J40" s="791"/>
      <c r="K40" s="791"/>
      <c r="L40" s="791"/>
      <c r="M40" s="791"/>
      <c r="N40" s="791"/>
      <c r="O40" s="789"/>
      <c r="P40" s="789"/>
      <c r="Q40" s="789"/>
      <c r="R40" s="789"/>
      <c r="S40" s="789"/>
      <c r="T40" s="789"/>
      <c r="U40" s="789"/>
      <c r="V40" s="789"/>
      <c r="W40" s="789"/>
    </row>
    <row r="41" spans="1:23">
      <c r="A41" s="791"/>
      <c r="B41" s="791"/>
      <c r="C41" s="791"/>
      <c r="D41" s="791"/>
      <c r="E41" s="791"/>
      <c r="F41" s="791"/>
      <c r="G41" s="791"/>
      <c r="H41" s="791"/>
      <c r="I41" s="791"/>
      <c r="J41" s="791"/>
      <c r="K41" s="791"/>
      <c r="L41" s="791"/>
      <c r="M41" s="791"/>
      <c r="N41" s="791"/>
      <c r="O41" s="789"/>
      <c r="P41" s="789"/>
      <c r="Q41" s="789"/>
      <c r="R41" s="789"/>
      <c r="S41" s="789"/>
      <c r="T41" s="789"/>
      <c r="U41" s="789"/>
      <c r="V41" s="789"/>
      <c r="W41" s="789"/>
    </row>
    <row r="42" spans="1:23" ht="8.25" customHeight="1">
      <c r="A42" s="791"/>
      <c r="B42" s="791"/>
      <c r="C42" s="791"/>
      <c r="D42" s="791"/>
      <c r="E42" s="791"/>
      <c r="F42" s="791"/>
      <c r="G42" s="791"/>
      <c r="H42" s="791"/>
      <c r="I42" s="791"/>
      <c r="J42" s="791"/>
      <c r="K42" s="791"/>
      <c r="L42" s="791"/>
      <c r="M42" s="791"/>
      <c r="N42" s="791"/>
      <c r="O42" s="789"/>
      <c r="P42" s="789"/>
      <c r="Q42" s="789"/>
      <c r="R42" s="789"/>
      <c r="S42" s="789"/>
      <c r="T42" s="789"/>
      <c r="U42" s="789"/>
      <c r="V42" s="789"/>
      <c r="W42" s="789"/>
    </row>
    <row r="43" spans="1:23">
      <c r="A43" s="781"/>
      <c r="B43" s="781"/>
      <c r="C43" s="781"/>
      <c r="D43" s="781"/>
      <c r="E43" s="1099" t="s">
        <v>3088</v>
      </c>
      <c r="F43" s="1099"/>
      <c r="G43" s="1099"/>
      <c r="H43" s="782"/>
      <c r="I43" s="782"/>
      <c r="J43" s="782"/>
      <c r="K43" s="782"/>
      <c r="L43" s="782"/>
      <c r="M43" s="1151"/>
      <c r="N43" s="790"/>
      <c r="O43" s="789"/>
      <c r="P43" s="789"/>
      <c r="Q43" s="789"/>
      <c r="R43" s="789"/>
      <c r="S43" s="789"/>
      <c r="T43" s="789"/>
      <c r="U43" s="789"/>
      <c r="V43" s="789"/>
      <c r="W43" s="789"/>
    </row>
    <row r="44" spans="1:23" ht="8.25" customHeight="1">
      <c r="A44" s="781"/>
      <c r="B44" s="781"/>
      <c r="C44" s="781"/>
      <c r="D44" s="781"/>
      <c r="E44" s="1099" t="s">
        <v>2805</v>
      </c>
      <c r="F44" s="1099"/>
      <c r="G44" s="1099"/>
      <c r="H44" s="782"/>
      <c r="I44" s="782"/>
      <c r="J44" s="782"/>
      <c r="K44" s="782"/>
      <c r="L44" s="782"/>
      <c r="M44" s="1151"/>
      <c r="N44" s="790"/>
      <c r="O44" s="789"/>
      <c r="P44" s="789"/>
      <c r="Q44" s="789"/>
      <c r="R44" s="789"/>
      <c r="S44" s="789"/>
      <c r="T44" s="789"/>
      <c r="U44" s="789"/>
      <c r="V44" s="789"/>
      <c r="W44" s="789"/>
    </row>
    <row r="45" spans="1:23">
      <c r="A45" s="781"/>
      <c r="B45" s="783"/>
      <c r="C45" s="783"/>
      <c r="D45" s="783"/>
      <c r="E45" s="783"/>
      <c r="F45" s="783"/>
      <c r="G45" s="783"/>
      <c r="H45" s="782"/>
      <c r="I45" s="782"/>
      <c r="J45" s="782"/>
      <c r="K45" s="782"/>
      <c r="L45" s="782"/>
      <c r="M45" s="1151"/>
      <c r="N45" s="790"/>
      <c r="O45" s="789"/>
      <c r="P45" s="789"/>
      <c r="Q45" s="789"/>
      <c r="R45" s="789"/>
      <c r="S45" s="789"/>
      <c r="T45" s="789"/>
      <c r="U45" s="789"/>
      <c r="V45" s="789"/>
      <c r="W45" s="789"/>
    </row>
    <row r="46" spans="1:23" s="784" customFormat="1">
      <c r="A46" s="781"/>
      <c r="B46" s="783"/>
      <c r="C46" s="783"/>
      <c r="D46" s="783"/>
      <c r="E46" s="783"/>
      <c r="F46" s="783"/>
      <c r="G46" s="783"/>
      <c r="H46" s="782"/>
      <c r="I46" s="782"/>
      <c r="J46" s="782"/>
      <c r="K46" s="782"/>
      <c r="L46" s="782"/>
      <c r="M46" s="782"/>
      <c r="N46" s="782"/>
      <c r="O46" s="786"/>
      <c r="P46" s="786"/>
      <c r="Q46" s="786"/>
      <c r="R46" s="786"/>
      <c r="S46" s="786"/>
      <c r="T46" s="786"/>
      <c r="U46" s="786"/>
      <c r="V46" s="786"/>
      <c r="W46" s="786"/>
    </row>
    <row r="47" spans="1:23" s="784" customFormat="1">
      <c r="A47" s="781"/>
      <c r="B47" s="783"/>
      <c r="C47" s="783"/>
      <c r="D47" s="783"/>
      <c r="E47" s="783"/>
      <c r="F47" s="783"/>
      <c r="G47" s="783"/>
      <c r="H47" s="782"/>
      <c r="I47" s="782"/>
      <c r="J47" s="782"/>
      <c r="K47" s="782"/>
      <c r="L47" s="782"/>
      <c r="M47" s="782"/>
      <c r="N47" s="782"/>
      <c r="O47" s="786"/>
      <c r="P47" s="786"/>
      <c r="Q47" s="786"/>
      <c r="R47" s="786"/>
      <c r="S47" s="786"/>
      <c r="T47" s="786"/>
      <c r="U47" s="786"/>
      <c r="V47" s="786"/>
      <c r="W47" s="786"/>
    </row>
    <row r="48" spans="1:23" s="784" customFormat="1">
      <c r="A48" s="781"/>
      <c r="B48" s="783"/>
      <c r="C48" s="783"/>
      <c r="D48" s="783"/>
      <c r="E48" s="783"/>
      <c r="F48" s="783"/>
      <c r="G48" s="783"/>
      <c r="H48" s="782"/>
      <c r="I48" s="782"/>
      <c r="J48" s="782"/>
      <c r="K48" s="782"/>
      <c r="L48" s="782"/>
      <c r="M48" s="782"/>
      <c r="N48" s="782"/>
      <c r="O48" s="786"/>
      <c r="P48" s="786"/>
      <c r="Q48" s="786"/>
      <c r="R48" s="786"/>
      <c r="S48" s="786"/>
      <c r="T48" s="786"/>
      <c r="U48" s="786"/>
      <c r="V48" s="786"/>
      <c r="W48" s="786"/>
    </row>
    <row r="49" spans="1:23" s="784" customFormat="1">
      <c r="A49" s="781"/>
      <c r="B49" s="783"/>
      <c r="C49" s="783"/>
      <c r="D49" s="783"/>
      <c r="E49" s="783"/>
      <c r="F49" s="783"/>
      <c r="G49" s="783"/>
      <c r="H49" s="782"/>
      <c r="I49" s="782"/>
      <c r="J49" s="782"/>
      <c r="K49" s="782"/>
      <c r="L49" s="782"/>
      <c r="M49" s="782"/>
      <c r="N49" s="782"/>
      <c r="O49" s="786"/>
      <c r="P49" s="786"/>
      <c r="Q49" s="786"/>
      <c r="R49" s="786"/>
      <c r="S49" s="786"/>
      <c r="T49" s="786"/>
      <c r="U49" s="786"/>
      <c r="V49" s="786"/>
      <c r="W49" s="786"/>
    </row>
    <row r="50" spans="1:23" s="784" customFormat="1">
      <c r="A50" s="785"/>
      <c r="B50" s="783"/>
      <c r="C50" s="783"/>
      <c r="D50" s="783"/>
      <c r="E50" s="783"/>
      <c r="F50" s="783"/>
      <c r="G50" s="783"/>
      <c r="H50" s="782"/>
      <c r="I50" s="782"/>
      <c r="J50" s="782"/>
      <c r="K50" s="782"/>
      <c r="L50" s="782"/>
      <c r="M50" s="782"/>
      <c r="N50" s="782"/>
      <c r="O50" s="786"/>
      <c r="P50" s="786"/>
      <c r="Q50" s="786"/>
      <c r="R50" s="786"/>
      <c r="S50" s="786"/>
      <c r="T50" s="786"/>
      <c r="U50" s="786"/>
      <c r="V50" s="786"/>
      <c r="W50" s="786"/>
    </row>
    <row r="51" spans="1:23" s="784" customFormat="1">
      <c r="A51" s="785"/>
      <c r="B51" s="783"/>
      <c r="C51" s="783"/>
      <c r="D51" s="783"/>
      <c r="E51" s="783"/>
      <c r="F51" s="783"/>
      <c r="G51" s="783"/>
      <c r="H51" s="782"/>
      <c r="I51" s="782"/>
      <c r="J51" s="782"/>
      <c r="K51" s="782"/>
      <c r="L51" s="782"/>
      <c r="M51" s="782"/>
      <c r="N51" s="782"/>
      <c r="O51" s="786"/>
      <c r="P51" s="786"/>
      <c r="Q51" s="786"/>
      <c r="R51" s="786"/>
      <c r="S51" s="786"/>
      <c r="T51" s="786"/>
      <c r="U51" s="786"/>
      <c r="V51" s="786"/>
      <c r="W51" s="786"/>
    </row>
    <row r="52" spans="1:23" s="784" customFormat="1">
      <c r="A52" s="785"/>
      <c r="B52" s="1068"/>
      <c r="C52" s="1068"/>
      <c r="D52" s="1068"/>
      <c r="E52" s="1068"/>
      <c r="F52" s="1068"/>
      <c r="G52" s="1068"/>
      <c r="H52" s="787"/>
      <c r="I52" s="787"/>
      <c r="J52" s="787"/>
      <c r="K52" s="787"/>
      <c r="L52" s="787"/>
      <c r="M52" s="782"/>
      <c r="N52" s="782"/>
      <c r="O52" s="786"/>
      <c r="P52" s="786"/>
      <c r="Q52" s="786"/>
      <c r="R52" s="786"/>
      <c r="S52" s="786"/>
      <c r="T52" s="786"/>
      <c r="U52" s="786"/>
      <c r="V52" s="786"/>
      <c r="W52" s="786"/>
    </row>
    <row r="53" spans="1:23" s="784" customFormat="1">
      <c r="A53" s="785"/>
      <c r="B53" s="1068"/>
      <c r="C53" s="1068"/>
      <c r="D53" s="1068"/>
      <c r="E53" s="1068"/>
      <c r="F53" s="1068"/>
      <c r="G53" s="1068"/>
      <c r="H53" s="787"/>
      <c r="I53" s="787"/>
      <c r="J53" s="787"/>
      <c r="K53" s="787"/>
      <c r="L53" s="787"/>
      <c r="M53" s="782"/>
      <c r="N53" s="782"/>
      <c r="O53" s="786"/>
      <c r="P53" s="786"/>
      <c r="Q53" s="786"/>
      <c r="R53" s="786"/>
      <c r="S53" s="786"/>
      <c r="T53" s="786"/>
      <c r="U53" s="786"/>
      <c r="V53" s="786"/>
      <c r="W53" s="786"/>
    </row>
    <row r="54" spans="1:23" s="784" customFormat="1">
      <c r="A54" s="788"/>
      <c r="B54" s="1068"/>
      <c r="C54" s="1068"/>
      <c r="D54" s="1068"/>
      <c r="E54" s="1068"/>
      <c r="F54" s="1068"/>
      <c r="G54" s="1068"/>
      <c r="H54" s="787"/>
      <c r="I54" s="787"/>
      <c r="J54" s="787"/>
      <c r="K54" s="787"/>
      <c r="L54" s="787"/>
      <c r="M54" s="787"/>
      <c r="N54" s="787"/>
      <c r="O54" s="786"/>
      <c r="P54" s="786"/>
      <c r="Q54" s="786"/>
      <c r="R54" s="786"/>
      <c r="S54" s="786"/>
      <c r="T54" s="786"/>
      <c r="U54" s="786"/>
      <c r="V54" s="786"/>
      <c r="W54" s="786"/>
    </row>
    <row r="55" spans="1:23" s="784" customFormat="1">
      <c r="A55" s="788"/>
      <c r="B55" s="1068"/>
      <c r="C55" s="1068"/>
      <c r="D55" s="1068"/>
      <c r="E55" s="1068"/>
      <c r="F55" s="1068"/>
      <c r="G55" s="1068"/>
      <c r="H55" s="787"/>
      <c r="I55" s="787"/>
      <c r="J55" s="787"/>
      <c r="K55" s="787"/>
      <c r="L55" s="787"/>
      <c r="M55" s="787"/>
      <c r="N55" s="787"/>
      <c r="O55" s="786"/>
      <c r="P55" s="786"/>
      <c r="Q55" s="786"/>
      <c r="R55" s="786"/>
      <c r="S55" s="786"/>
      <c r="T55" s="786"/>
      <c r="U55" s="786"/>
      <c r="V55" s="786"/>
      <c r="W55" s="786"/>
    </row>
    <row r="56" spans="1:23" s="784" customFormat="1">
      <c r="A56" s="788"/>
      <c r="B56" s="1068"/>
      <c r="C56" s="1069"/>
      <c r="D56" s="1070"/>
      <c r="E56" s="1070"/>
      <c r="F56" s="1070"/>
      <c r="G56" s="1070"/>
      <c r="H56" s="1152"/>
      <c r="I56" s="1152"/>
      <c r="J56" s="1152"/>
      <c r="K56" s="787"/>
      <c r="L56" s="787"/>
      <c r="M56" s="787"/>
      <c r="N56" s="787"/>
      <c r="O56" s="786"/>
      <c r="P56" s="786"/>
      <c r="Q56" s="786"/>
      <c r="R56" s="786"/>
      <c r="S56" s="786"/>
      <c r="T56" s="786"/>
      <c r="U56" s="786"/>
      <c r="V56" s="786"/>
      <c r="W56" s="786"/>
    </row>
    <row r="57" spans="1:23" s="784" customFormat="1">
      <c r="A57" s="788"/>
      <c r="B57" s="1068"/>
      <c r="C57" s="1071"/>
      <c r="D57" s="1072"/>
      <c r="E57" s="1072"/>
      <c r="F57" s="1072"/>
      <c r="G57" s="1072"/>
      <c r="H57" s="1153"/>
      <c r="I57" s="1153"/>
      <c r="J57" s="1154"/>
      <c r="K57" s="787"/>
      <c r="L57" s="787"/>
      <c r="M57" s="787"/>
      <c r="N57" s="787"/>
      <c r="O57" s="786"/>
      <c r="P57" s="786"/>
      <c r="Q57" s="786"/>
      <c r="R57" s="786"/>
      <c r="S57" s="786"/>
      <c r="T57" s="786"/>
      <c r="U57" s="786"/>
      <c r="V57" s="786"/>
      <c r="W57" s="786"/>
    </row>
    <row r="58" spans="1:23" s="784" customFormat="1">
      <c r="A58" s="788"/>
      <c r="B58" s="1068"/>
      <c r="C58" s="1071"/>
      <c r="D58" s="1072"/>
      <c r="E58" s="1072"/>
      <c r="F58" s="1072"/>
      <c r="G58" s="1072"/>
      <c r="H58" s="1153"/>
      <c r="I58" s="1153"/>
      <c r="J58" s="1154"/>
      <c r="K58" s="787"/>
      <c r="L58" s="787"/>
      <c r="M58" s="787"/>
      <c r="N58" s="787"/>
      <c r="O58" s="786"/>
      <c r="P58" s="786"/>
      <c r="Q58" s="786"/>
      <c r="R58" s="786"/>
      <c r="S58" s="786"/>
      <c r="T58" s="786"/>
      <c r="U58" s="786"/>
      <c r="V58" s="786"/>
      <c r="W58" s="786"/>
    </row>
    <row r="59" spans="1:23" s="784" customFormat="1">
      <c r="A59" s="788"/>
      <c r="B59" s="1068"/>
      <c r="C59" s="1071"/>
      <c r="D59" s="1072"/>
      <c r="E59" s="1073"/>
      <c r="F59" s="1072"/>
      <c r="G59" s="1072"/>
      <c r="H59" s="1153"/>
      <c r="I59" s="1153"/>
      <c r="J59" s="1154"/>
      <c r="K59" s="787"/>
      <c r="L59" s="787"/>
      <c r="M59" s="787"/>
      <c r="N59" s="787"/>
      <c r="O59" s="786"/>
      <c r="P59" s="786"/>
      <c r="Q59" s="786"/>
      <c r="R59" s="786"/>
      <c r="S59" s="786"/>
      <c r="T59" s="786"/>
      <c r="U59" s="786"/>
      <c r="V59" s="786"/>
      <c r="W59" s="786"/>
    </row>
    <row r="60" spans="1:23" s="784" customFormat="1">
      <c r="A60" s="788"/>
      <c r="B60" s="1068"/>
      <c r="C60" s="1071"/>
      <c r="D60" s="1072"/>
      <c r="E60" s="1072"/>
      <c r="F60" s="1072"/>
      <c r="G60" s="1072"/>
      <c r="H60" s="1153"/>
      <c r="I60" s="1153"/>
      <c r="J60" s="1154"/>
      <c r="K60" s="787"/>
      <c r="L60" s="787"/>
      <c r="M60" s="787"/>
      <c r="N60" s="787"/>
      <c r="O60" s="786"/>
      <c r="P60" s="786"/>
      <c r="Q60" s="786"/>
      <c r="R60" s="786"/>
      <c r="S60" s="786"/>
      <c r="T60" s="786"/>
      <c r="U60" s="786"/>
      <c r="V60" s="786"/>
      <c r="W60" s="786"/>
    </row>
    <row r="61" spans="1:23" s="784" customFormat="1">
      <c r="A61" s="788"/>
      <c r="B61" s="1068"/>
      <c r="C61" s="1074"/>
      <c r="D61" s="1075"/>
      <c r="E61" s="1076"/>
      <c r="F61" s="1076"/>
      <c r="G61" s="1077"/>
      <c r="H61" s="1155"/>
      <c r="I61" s="1155"/>
      <c r="J61" s="1156"/>
      <c r="K61" s="787"/>
      <c r="L61" s="787"/>
      <c r="M61" s="787"/>
      <c r="N61" s="787"/>
      <c r="O61" s="786"/>
      <c r="P61" s="786"/>
      <c r="Q61" s="786"/>
      <c r="R61" s="786"/>
      <c r="S61" s="786"/>
      <c r="T61" s="786"/>
      <c r="U61" s="786"/>
      <c r="V61" s="786"/>
      <c r="W61" s="786"/>
    </row>
    <row r="62" spans="1:23" s="784" customFormat="1">
      <c r="A62" s="788"/>
      <c r="B62" s="787"/>
      <c r="C62" s="787"/>
      <c r="D62" s="787"/>
      <c r="E62" s="787"/>
      <c r="F62" s="1068"/>
      <c r="G62" s="1068"/>
      <c r="H62" s="787"/>
      <c r="I62" s="787"/>
      <c r="J62" s="787"/>
      <c r="K62" s="787"/>
      <c r="L62" s="787"/>
      <c r="M62" s="787"/>
      <c r="N62" s="787"/>
      <c r="O62" s="786"/>
      <c r="P62" s="786"/>
      <c r="Q62" s="786"/>
      <c r="R62" s="786"/>
      <c r="S62" s="786"/>
      <c r="T62" s="786"/>
      <c r="U62" s="786"/>
      <c r="V62" s="786"/>
      <c r="W62" s="786"/>
    </row>
    <row r="63" spans="1:23" s="784" customFormat="1" hidden="1">
      <c r="A63" s="788"/>
      <c r="B63" s="787"/>
      <c r="C63" s="787"/>
      <c r="D63" s="787"/>
      <c r="E63" s="787"/>
      <c r="F63" s="1068"/>
      <c r="G63" s="1068"/>
      <c r="H63" s="787"/>
      <c r="I63" s="787"/>
      <c r="J63" s="787"/>
      <c r="K63" s="787"/>
      <c r="L63" s="787"/>
      <c r="M63" s="787"/>
      <c r="N63" s="787"/>
      <c r="O63" s="786"/>
      <c r="P63" s="786"/>
      <c r="Q63" s="786"/>
      <c r="R63" s="786"/>
      <c r="S63" s="786"/>
      <c r="T63" s="786"/>
      <c r="U63" s="786"/>
      <c r="V63" s="786"/>
      <c r="W63" s="786"/>
    </row>
    <row r="64" spans="1:23" s="784" customFormat="1" hidden="1">
      <c r="A64" s="785"/>
      <c r="B64" s="782"/>
      <c r="C64" s="782"/>
      <c r="D64" s="782"/>
      <c r="E64" s="782"/>
      <c r="F64" s="783"/>
      <c r="G64" s="783"/>
      <c r="H64" s="782"/>
      <c r="I64" s="782"/>
      <c r="J64" s="782"/>
      <c r="K64" s="782"/>
      <c r="L64" s="782"/>
      <c r="M64" s="782"/>
      <c r="N64" s="782"/>
      <c r="O64" s="786"/>
      <c r="P64" s="786"/>
      <c r="Q64" s="786"/>
      <c r="R64" s="786"/>
      <c r="S64" s="786"/>
      <c r="T64" s="786"/>
      <c r="U64" s="786"/>
      <c r="V64" s="786"/>
      <c r="W64" s="786"/>
    </row>
    <row r="65" spans="1:23" s="784" customFormat="1" hidden="1">
      <c r="A65" s="785"/>
      <c r="B65" s="782"/>
      <c r="C65" s="782"/>
      <c r="D65" s="782"/>
      <c r="E65" s="782"/>
      <c r="F65" s="783"/>
      <c r="G65" s="783"/>
      <c r="H65" s="782"/>
      <c r="I65" s="782"/>
      <c r="J65" s="782"/>
      <c r="K65" s="782"/>
      <c r="L65" s="782"/>
      <c r="M65" s="782"/>
      <c r="N65" s="782"/>
      <c r="O65" s="786"/>
      <c r="P65" s="786"/>
      <c r="Q65" s="786"/>
      <c r="R65" s="786"/>
      <c r="S65" s="786"/>
      <c r="T65" s="786"/>
      <c r="U65" s="786"/>
      <c r="V65" s="786"/>
      <c r="W65" s="786"/>
    </row>
    <row r="66" spans="1:23" s="784" customFormat="1" hidden="1">
      <c r="A66" s="785"/>
      <c r="B66" s="782"/>
      <c r="C66" s="782"/>
      <c r="D66" s="782"/>
      <c r="E66" s="782"/>
      <c r="F66" s="783"/>
      <c r="G66" s="783"/>
      <c r="H66" s="782"/>
      <c r="I66" s="782"/>
      <c r="J66" s="782"/>
      <c r="K66" s="782"/>
      <c r="L66" s="782"/>
      <c r="M66" s="782"/>
      <c r="N66" s="782"/>
      <c r="O66" s="786"/>
      <c r="P66" s="786"/>
      <c r="Q66" s="786"/>
      <c r="R66" s="786"/>
      <c r="S66" s="786"/>
      <c r="T66" s="786"/>
      <c r="U66" s="786"/>
      <c r="V66" s="786"/>
      <c r="W66" s="786"/>
    </row>
    <row r="67" spans="1:23" s="784" customFormat="1" hidden="1">
      <c r="A67" s="785"/>
      <c r="B67" s="782"/>
      <c r="C67" s="782"/>
      <c r="D67" s="782"/>
      <c r="E67" s="782"/>
      <c r="F67" s="783"/>
      <c r="G67" s="783"/>
      <c r="H67" s="782"/>
      <c r="I67" s="782"/>
      <c r="J67" s="782"/>
      <c r="K67" s="782"/>
      <c r="L67" s="782"/>
      <c r="M67" s="782"/>
      <c r="N67" s="782"/>
      <c r="O67" s="786"/>
      <c r="P67" s="786"/>
      <c r="Q67" s="786"/>
      <c r="R67" s="786"/>
      <c r="S67" s="786"/>
      <c r="T67" s="786"/>
      <c r="U67" s="786"/>
      <c r="V67" s="786"/>
      <c r="W67" s="786"/>
    </row>
    <row r="68" spans="1:23" s="784" customFormat="1" hidden="1">
      <c r="A68" s="785"/>
      <c r="B68" s="782"/>
      <c r="C68" s="782"/>
      <c r="D68" s="782"/>
      <c r="E68" s="782"/>
      <c r="F68" s="783"/>
      <c r="G68" s="783"/>
      <c r="H68" s="782"/>
      <c r="I68" s="782"/>
      <c r="J68" s="782"/>
      <c r="K68" s="782"/>
      <c r="L68" s="782"/>
      <c r="M68" s="782"/>
      <c r="N68" s="782"/>
      <c r="O68" s="786"/>
      <c r="P68" s="786"/>
      <c r="Q68" s="786"/>
      <c r="R68" s="786"/>
      <c r="S68" s="786"/>
      <c r="T68" s="786"/>
      <c r="U68" s="786"/>
      <c r="V68" s="786"/>
      <c r="W68" s="786"/>
    </row>
    <row r="69" spans="1:23" s="784" customFormat="1" hidden="1">
      <c r="A69" s="785"/>
      <c r="B69" s="782"/>
      <c r="C69" s="782"/>
      <c r="D69" s="782"/>
      <c r="E69" s="782"/>
      <c r="F69" s="783"/>
      <c r="G69" s="783"/>
      <c r="H69" s="782"/>
      <c r="I69" s="782"/>
      <c r="J69" s="782"/>
      <c r="K69" s="782"/>
      <c r="L69" s="782"/>
      <c r="M69" s="782"/>
      <c r="N69" s="782"/>
      <c r="O69" s="786"/>
      <c r="P69" s="786"/>
      <c r="Q69" s="786"/>
      <c r="R69" s="786"/>
      <c r="S69" s="786"/>
      <c r="T69" s="786"/>
      <c r="U69" s="786"/>
      <c r="V69" s="786"/>
      <c r="W69" s="786"/>
    </row>
    <row r="70" spans="1:23" s="784" customFormat="1" hidden="1">
      <c r="A70" s="785"/>
      <c r="B70" s="782"/>
      <c r="C70" s="782"/>
      <c r="D70" s="782"/>
      <c r="E70" s="782"/>
      <c r="F70" s="783"/>
      <c r="G70" s="783"/>
      <c r="H70" s="782"/>
      <c r="I70" s="782"/>
      <c r="J70" s="782"/>
      <c r="K70" s="782"/>
      <c r="L70" s="782"/>
      <c r="M70" s="782"/>
      <c r="N70" s="782"/>
      <c r="O70" s="786"/>
      <c r="P70" s="786"/>
      <c r="Q70" s="786"/>
      <c r="R70" s="786"/>
      <c r="S70" s="786"/>
      <c r="T70" s="786"/>
      <c r="U70" s="786"/>
      <c r="V70" s="786"/>
      <c r="W70" s="786"/>
    </row>
    <row r="71" spans="1:23" s="784" customFormat="1" hidden="1">
      <c r="A71" s="785"/>
      <c r="B71" s="782"/>
      <c r="C71" s="782"/>
      <c r="D71" s="782"/>
      <c r="E71" s="782"/>
      <c r="F71" s="783"/>
      <c r="G71" s="783"/>
      <c r="H71" s="782"/>
      <c r="I71" s="782"/>
      <c r="J71" s="782"/>
      <c r="K71" s="782"/>
      <c r="L71" s="782"/>
      <c r="M71" s="782"/>
      <c r="N71" s="782"/>
      <c r="O71" s="786"/>
      <c r="P71" s="786"/>
      <c r="Q71" s="786"/>
      <c r="R71" s="786"/>
      <c r="S71" s="786"/>
      <c r="T71" s="786"/>
      <c r="U71" s="786"/>
      <c r="V71" s="786"/>
      <c r="W71" s="786"/>
    </row>
    <row r="72" spans="1:23" s="784" customFormat="1" hidden="1">
      <c r="A72" s="785"/>
      <c r="B72" s="782"/>
      <c r="C72" s="782"/>
      <c r="D72" s="782"/>
      <c r="E72" s="782"/>
      <c r="F72" s="783"/>
      <c r="G72" s="783"/>
      <c r="H72" s="782"/>
      <c r="I72" s="782"/>
      <c r="J72" s="782"/>
      <c r="K72" s="782"/>
      <c r="L72" s="782"/>
      <c r="M72" s="782"/>
      <c r="N72" s="782"/>
      <c r="O72" s="786"/>
      <c r="P72" s="786"/>
      <c r="Q72" s="786"/>
      <c r="R72" s="786"/>
      <c r="S72" s="786"/>
      <c r="T72" s="786"/>
      <c r="U72" s="786"/>
      <c r="V72" s="786"/>
      <c r="W72" s="786"/>
    </row>
    <row r="73" spans="1:23" s="784" customFormat="1" hidden="1">
      <c r="A73" s="785"/>
      <c r="B73" s="782"/>
      <c r="C73" s="782"/>
      <c r="D73" s="782"/>
      <c r="E73" s="782"/>
      <c r="F73" s="783"/>
      <c r="G73" s="783"/>
      <c r="H73" s="782"/>
      <c r="I73" s="782"/>
      <c r="J73" s="782"/>
      <c r="K73" s="782"/>
      <c r="L73" s="782"/>
      <c r="M73" s="782"/>
      <c r="N73" s="782"/>
      <c r="O73" s="786"/>
      <c r="P73" s="786"/>
      <c r="Q73" s="786"/>
      <c r="R73" s="786"/>
      <c r="S73" s="786"/>
      <c r="T73" s="786"/>
      <c r="U73" s="786"/>
      <c r="V73" s="786"/>
      <c r="W73" s="786"/>
    </row>
    <row r="74" spans="1:23" s="784" customFormat="1" hidden="1">
      <c r="A74" s="785"/>
      <c r="B74" s="782"/>
      <c r="C74" s="782"/>
      <c r="D74" s="782"/>
      <c r="E74" s="782"/>
      <c r="F74" s="783"/>
      <c r="G74" s="783"/>
      <c r="H74" s="782"/>
      <c r="I74" s="782"/>
      <c r="J74" s="782"/>
      <c r="K74" s="782"/>
      <c r="L74" s="782"/>
      <c r="M74" s="782"/>
      <c r="N74" s="782"/>
      <c r="O74" s="786"/>
      <c r="P74" s="786"/>
      <c r="Q74" s="786"/>
      <c r="R74" s="786"/>
      <c r="S74" s="786"/>
      <c r="T74" s="786"/>
      <c r="U74" s="786"/>
      <c r="V74" s="786"/>
      <c r="W74" s="786"/>
    </row>
    <row r="75" spans="1:23" s="784" customFormat="1" hidden="1">
      <c r="A75" s="785"/>
      <c r="B75" s="782"/>
      <c r="C75" s="782"/>
      <c r="D75" s="782"/>
      <c r="E75" s="782"/>
      <c r="F75" s="783"/>
      <c r="G75" s="783"/>
      <c r="H75" s="782"/>
      <c r="I75" s="782"/>
      <c r="J75" s="782"/>
      <c r="K75" s="782"/>
      <c r="L75" s="782"/>
      <c r="M75" s="782"/>
      <c r="N75" s="782"/>
      <c r="O75" s="786"/>
      <c r="P75" s="786"/>
      <c r="Q75" s="786"/>
      <c r="R75" s="786"/>
      <c r="S75" s="786"/>
      <c r="T75" s="786"/>
      <c r="U75" s="786"/>
      <c r="V75" s="786"/>
      <c r="W75" s="786"/>
    </row>
    <row r="76" spans="1:23" s="784" customFormat="1" hidden="1">
      <c r="A76" s="785"/>
      <c r="B76" s="782"/>
      <c r="C76" s="782"/>
      <c r="D76" s="782"/>
      <c r="E76" s="782"/>
      <c r="F76" s="783"/>
      <c r="G76" s="783"/>
      <c r="H76" s="782"/>
      <c r="I76" s="782"/>
      <c r="J76" s="782"/>
      <c r="K76" s="782"/>
      <c r="L76" s="782"/>
      <c r="M76" s="782"/>
      <c r="N76" s="782"/>
      <c r="O76" s="786"/>
      <c r="P76" s="786"/>
      <c r="Q76" s="786"/>
      <c r="R76" s="786"/>
      <c r="S76" s="786"/>
      <c r="T76" s="786"/>
      <c r="U76" s="786"/>
      <c r="V76" s="786"/>
      <c r="W76" s="786"/>
    </row>
    <row r="77" spans="1:23" s="784" customFormat="1" hidden="1">
      <c r="A77" s="785"/>
      <c r="B77" s="782"/>
      <c r="C77" s="782"/>
      <c r="D77" s="782"/>
      <c r="E77" s="782"/>
      <c r="F77" s="783"/>
      <c r="G77" s="783"/>
      <c r="H77" s="782"/>
      <c r="I77" s="782"/>
      <c r="J77" s="782"/>
      <c r="K77" s="782"/>
      <c r="L77" s="782"/>
      <c r="M77" s="782"/>
      <c r="N77" s="782"/>
      <c r="O77" s="786"/>
      <c r="P77" s="786"/>
      <c r="Q77" s="786"/>
      <c r="R77" s="786"/>
      <c r="S77" s="786"/>
      <c r="T77" s="786"/>
      <c r="U77" s="786"/>
      <c r="V77" s="786"/>
      <c r="W77" s="786"/>
    </row>
    <row r="78" spans="1:23" s="784" customFormat="1" hidden="1">
      <c r="A78" s="785"/>
      <c r="B78" s="782"/>
      <c r="C78" s="782"/>
      <c r="D78" s="782"/>
      <c r="E78" s="782"/>
      <c r="F78" s="783"/>
      <c r="G78" s="783"/>
      <c r="H78" s="782"/>
      <c r="I78" s="782"/>
      <c r="J78" s="782"/>
      <c r="K78" s="782"/>
      <c r="L78" s="782"/>
      <c r="M78" s="782"/>
      <c r="N78" s="782"/>
      <c r="O78" s="786"/>
      <c r="P78" s="786"/>
      <c r="Q78" s="786"/>
      <c r="R78" s="786"/>
      <c r="S78" s="786"/>
      <c r="T78" s="786"/>
      <c r="U78" s="786"/>
      <c r="V78" s="786"/>
      <c r="W78" s="786"/>
    </row>
    <row r="79" spans="1:23" s="784" customFormat="1" hidden="1">
      <c r="A79" s="785"/>
      <c r="B79" s="782"/>
      <c r="C79" s="782"/>
      <c r="D79" s="782"/>
      <c r="E79" s="782"/>
      <c r="F79" s="783"/>
      <c r="G79" s="783"/>
      <c r="H79" s="782"/>
      <c r="I79" s="782"/>
      <c r="J79" s="782"/>
      <c r="K79" s="782"/>
      <c r="L79" s="782"/>
      <c r="M79" s="782"/>
      <c r="N79" s="782"/>
      <c r="O79" s="786"/>
      <c r="P79" s="786"/>
      <c r="Q79" s="786"/>
      <c r="R79" s="786"/>
      <c r="S79" s="786"/>
      <c r="T79" s="786"/>
      <c r="U79" s="786"/>
      <c r="V79" s="786"/>
      <c r="W79" s="786"/>
    </row>
    <row r="80" spans="1:23" s="784" customFormat="1" hidden="1">
      <c r="A80" s="785"/>
      <c r="B80" s="782"/>
      <c r="C80" s="782"/>
      <c r="D80" s="782"/>
      <c r="E80" s="782"/>
      <c r="F80" s="783"/>
      <c r="G80" s="783"/>
      <c r="H80" s="782"/>
      <c r="I80" s="782"/>
      <c r="J80" s="782"/>
      <c r="K80" s="782"/>
      <c r="L80" s="782"/>
      <c r="M80" s="782"/>
      <c r="N80" s="782"/>
      <c r="O80" s="786"/>
      <c r="P80" s="786"/>
      <c r="Q80" s="786"/>
      <c r="R80" s="786"/>
      <c r="S80" s="786"/>
      <c r="T80" s="786"/>
      <c r="U80" s="786"/>
      <c r="V80" s="786"/>
      <c r="W80" s="786"/>
    </row>
    <row r="81" spans="1:26" s="784" customFormat="1" hidden="1">
      <c r="A81" s="785"/>
      <c r="B81" s="782"/>
      <c r="C81" s="782"/>
      <c r="D81" s="782"/>
      <c r="E81" s="782"/>
      <c r="F81" s="783"/>
      <c r="G81" s="783"/>
      <c r="H81" s="782"/>
      <c r="I81" s="782"/>
      <c r="J81" s="782"/>
      <c r="K81" s="782"/>
      <c r="L81" s="782"/>
      <c r="M81" s="782"/>
      <c r="N81" s="782"/>
      <c r="O81" s="786"/>
      <c r="P81" s="786"/>
      <c r="Q81" s="786"/>
      <c r="R81" s="786"/>
      <c r="S81" s="786"/>
      <c r="T81" s="786"/>
      <c r="U81" s="786"/>
      <c r="V81" s="786"/>
      <c r="W81" s="786"/>
    </row>
    <row r="82" spans="1:26" s="784" customFormat="1" hidden="1">
      <c r="A82" s="785"/>
      <c r="B82" s="782"/>
      <c r="C82" s="782"/>
      <c r="D82" s="782"/>
      <c r="E82" s="782"/>
      <c r="F82" s="783"/>
      <c r="G82" s="783"/>
      <c r="H82" s="782"/>
      <c r="I82" s="782"/>
      <c r="J82" s="782"/>
      <c r="K82" s="782"/>
      <c r="L82" s="782"/>
      <c r="M82" s="782"/>
      <c r="N82" s="782"/>
      <c r="O82" s="786"/>
      <c r="P82" s="786"/>
      <c r="Q82" s="786"/>
      <c r="R82" s="786"/>
      <c r="S82" s="786"/>
      <c r="T82" s="786"/>
      <c r="U82" s="786"/>
      <c r="V82" s="786"/>
      <c r="W82" s="786"/>
    </row>
    <row r="83" spans="1:26" s="784" customFormat="1" hidden="1">
      <c r="A83" s="785"/>
      <c r="B83" s="782"/>
      <c r="C83" s="782"/>
      <c r="D83" s="782"/>
      <c r="E83" s="782"/>
      <c r="F83" s="783"/>
      <c r="G83" s="783"/>
      <c r="H83" s="782"/>
      <c r="I83" s="782"/>
      <c r="J83" s="782"/>
      <c r="K83" s="782"/>
      <c r="L83" s="782"/>
      <c r="M83" s="782"/>
      <c r="N83" s="782"/>
      <c r="O83" s="786"/>
      <c r="P83" s="786"/>
      <c r="Q83" s="786"/>
      <c r="R83" s="786"/>
      <c r="S83" s="786"/>
      <c r="T83" s="786"/>
      <c r="U83" s="786"/>
      <c r="V83" s="786"/>
      <c r="W83" s="786"/>
    </row>
    <row r="84" spans="1:26" s="784" customFormat="1" hidden="1">
      <c r="A84" s="785"/>
      <c r="B84" s="782"/>
      <c r="C84" s="782"/>
      <c r="D84" s="782"/>
      <c r="E84" s="782"/>
      <c r="F84" s="783"/>
      <c r="G84" s="783"/>
      <c r="H84" s="782"/>
      <c r="I84" s="782"/>
      <c r="J84" s="782"/>
      <c r="K84" s="782"/>
      <c r="L84" s="782"/>
      <c r="M84" s="782"/>
      <c r="N84" s="782"/>
      <c r="O84" s="786"/>
      <c r="P84" s="786"/>
      <c r="Q84" s="786"/>
      <c r="R84" s="786"/>
      <c r="S84" s="786"/>
      <c r="T84" s="786"/>
      <c r="U84" s="786"/>
      <c r="V84" s="786"/>
      <c r="W84" s="786"/>
    </row>
    <row r="85" spans="1:26" s="784" customFormat="1" hidden="1">
      <c r="A85" s="785"/>
      <c r="B85" s="782"/>
      <c r="C85" s="782"/>
      <c r="D85" s="782"/>
      <c r="E85" s="782"/>
      <c r="F85" s="783"/>
      <c r="G85" s="783"/>
      <c r="H85" s="782"/>
      <c r="I85" s="782"/>
      <c r="J85" s="782"/>
      <c r="K85" s="782"/>
      <c r="L85" s="782"/>
      <c r="M85" s="782"/>
      <c r="N85" s="782"/>
      <c r="O85" s="786"/>
      <c r="P85" s="786"/>
      <c r="Q85" s="786"/>
      <c r="R85" s="786"/>
      <c r="S85" s="786"/>
      <c r="T85" s="786"/>
      <c r="U85" s="786"/>
      <c r="V85" s="786"/>
      <c r="W85" s="786"/>
    </row>
    <row r="86" spans="1:26" s="784" customFormat="1" hidden="1">
      <c r="A86" s="785"/>
      <c r="B86" s="782"/>
      <c r="C86" s="782"/>
      <c r="D86" s="782"/>
      <c r="E86" s="782"/>
      <c r="F86" s="783"/>
      <c r="G86" s="783"/>
      <c r="H86" s="782"/>
      <c r="I86" s="782"/>
      <c r="J86" s="782"/>
      <c r="K86" s="782"/>
      <c r="L86" s="782"/>
      <c r="M86" s="782"/>
      <c r="N86" s="782"/>
      <c r="O86" s="786"/>
      <c r="P86" s="786"/>
      <c r="Q86" s="786"/>
      <c r="R86" s="786"/>
      <c r="S86" s="786"/>
      <c r="T86" s="786"/>
      <c r="U86" s="786"/>
      <c r="V86" s="786"/>
      <c r="W86" s="786"/>
    </row>
    <row r="87" spans="1:26" s="784" customFormat="1" hidden="1">
      <c r="A87" s="785"/>
      <c r="B87" s="782"/>
      <c r="C87" s="782"/>
      <c r="D87" s="782"/>
      <c r="E87" s="782"/>
      <c r="F87" s="783"/>
      <c r="G87" s="783"/>
      <c r="H87" s="782"/>
      <c r="I87" s="782"/>
      <c r="J87" s="782"/>
      <c r="K87" s="782"/>
      <c r="L87" s="782"/>
      <c r="M87" s="782"/>
      <c r="N87" s="782"/>
      <c r="O87" s="786"/>
      <c r="P87" s="786"/>
      <c r="Q87" s="786"/>
      <c r="R87" s="786"/>
      <c r="S87" s="786"/>
      <c r="T87" s="786"/>
      <c r="U87" s="786"/>
      <c r="V87" s="786"/>
      <c r="W87" s="786"/>
    </row>
    <row r="88" spans="1:26" s="784" customFormat="1" hidden="1">
      <c r="A88" s="785"/>
      <c r="B88" s="782"/>
      <c r="C88" s="782"/>
      <c r="D88" s="782"/>
      <c r="E88" s="782"/>
      <c r="F88" s="783"/>
      <c r="G88" s="783"/>
      <c r="H88" s="782"/>
      <c r="I88" s="782"/>
      <c r="J88" s="782"/>
      <c r="K88" s="782"/>
      <c r="L88" s="782"/>
      <c r="M88" s="782"/>
      <c r="N88" s="782"/>
      <c r="O88" s="786"/>
      <c r="P88" s="786"/>
      <c r="Q88" s="786"/>
      <c r="R88" s="786"/>
      <c r="S88" s="786"/>
      <c r="T88" s="786"/>
      <c r="U88" s="786"/>
      <c r="V88" s="786"/>
      <c r="W88" s="786"/>
    </row>
    <row r="89" spans="1:26" s="784" customFormat="1" hidden="1">
      <c r="A89" s="785"/>
      <c r="B89" s="782"/>
      <c r="C89" s="782"/>
      <c r="D89" s="782"/>
      <c r="E89" s="782"/>
      <c r="F89" s="783"/>
      <c r="G89" s="783"/>
      <c r="H89" s="782"/>
      <c r="I89" s="782"/>
      <c r="J89" s="782"/>
      <c r="K89" s="782"/>
      <c r="L89" s="782"/>
      <c r="M89" s="782"/>
      <c r="N89" s="782"/>
      <c r="O89" s="786"/>
      <c r="P89" s="786"/>
      <c r="Q89" s="786"/>
      <c r="R89" s="786"/>
      <c r="S89" s="786"/>
      <c r="T89" s="786"/>
      <c r="U89" s="786"/>
      <c r="V89" s="786"/>
      <c r="W89" s="786"/>
    </row>
    <row r="90" spans="1:26" s="784" customFormat="1" hidden="1">
      <c r="A90" s="785"/>
      <c r="B90" s="782"/>
      <c r="C90" s="782"/>
      <c r="D90" s="782"/>
      <c r="E90" s="782"/>
      <c r="F90" s="783"/>
      <c r="G90" s="783"/>
      <c r="H90" s="782"/>
      <c r="I90" s="782"/>
      <c r="J90" s="782"/>
      <c r="K90" s="782"/>
      <c r="L90" s="782"/>
      <c r="M90" s="782"/>
      <c r="N90" s="782"/>
      <c r="O90" s="786"/>
      <c r="P90" s="786"/>
      <c r="Q90" s="786"/>
      <c r="R90" s="786"/>
      <c r="S90" s="786"/>
      <c r="T90" s="786"/>
      <c r="U90" s="786"/>
      <c r="V90" s="786"/>
      <c r="W90" s="786"/>
      <c r="X90" s="786"/>
      <c r="Y90" s="786"/>
      <c r="Z90" s="786"/>
    </row>
    <row r="91" spans="1:26" s="784" customFormat="1" hidden="1">
      <c r="A91" s="785"/>
      <c r="B91" s="782"/>
      <c r="C91" s="782"/>
      <c r="D91" s="782"/>
      <c r="E91" s="782"/>
      <c r="F91" s="783"/>
      <c r="G91" s="783"/>
      <c r="H91" s="782"/>
      <c r="I91" s="782"/>
      <c r="J91" s="782"/>
      <c r="K91" s="782"/>
      <c r="L91" s="782"/>
      <c r="M91" s="782"/>
      <c r="N91" s="782"/>
      <c r="O91" s="786"/>
      <c r="P91" s="786"/>
      <c r="Q91" s="786"/>
      <c r="R91" s="786"/>
      <c r="S91" s="786"/>
      <c r="T91" s="786"/>
      <c r="U91" s="786"/>
      <c r="V91" s="786"/>
      <c r="W91" s="786"/>
      <c r="X91" s="786"/>
      <c r="Y91" s="786"/>
      <c r="Z91" s="786"/>
    </row>
    <row r="92" spans="1:26" s="784" customFormat="1" hidden="1">
      <c r="A92" s="785"/>
      <c r="B92" s="782"/>
      <c r="C92" s="782"/>
      <c r="D92" s="782"/>
      <c r="E92" s="782"/>
      <c r="F92" s="783"/>
      <c r="G92" s="783"/>
      <c r="H92" s="782"/>
      <c r="I92" s="782"/>
      <c r="J92" s="782"/>
      <c r="K92" s="782"/>
      <c r="L92" s="782"/>
      <c r="M92" s="782"/>
      <c r="N92" s="782"/>
      <c r="O92" s="786"/>
      <c r="P92" s="786"/>
      <c r="Q92" s="786"/>
      <c r="R92" s="786"/>
      <c r="S92" s="786"/>
      <c r="T92" s="786"/>
      <c r="U92" s="786"/>
      <c r="V92" s="786"/>
      <c r="W92" s="786"/>
      <c r="X92" s="786"/>
      <c r="Y92" s="786"/>
      <c r="Z92" s="786"/>
    </row>
    <row r="93" spans="1:26" s="784" customFormat="1" hidden="1">
      <c r="A93" s="785"/>
      <c r="B93" s="782"/>
      <c r="C93" s="782"/>
      <c r="D93" s="782"/>
      <c r="E93" s="782"/>
      <c r="F93" s="783"/>
      <c r="G93" s="783"/>
      <c r="H93" s="782"/>
      <c r="I93" s="782"/>
      <c r="J93" s="782"/>
      <c r="K93" s="782"/>
      <c r="L93" s="782"/>
      <c r="M93" s="782"/>
      <c r="N93" s="782"/>
      <c r="O93" s="786"/>
      <c r="P93" s="786"/>
      <c r="Q93" s="786"/>
      <c r="R93" s="786"/>
      <c r="S93" s="786"/>
      <c r="T93" s="786"/>
      <c r="U93" s="786"/>
      <c r="V93" s="786"/>
      <c r="W93" s="786"/>
      <c r="X93" s="786"/>
      <c r="Y93" s="786"/>
      <c r="Z93" s="786"/>
    </row>
    <row r="94" spans="1:26" s="784" customFormat="1" hidden="1">
      <c r="A94" s="785"/>
      <c r="B94" s="782"/>
      <c r="C94" s="782"/>
      <c r="D94" s="782"/>
      <c r="E94" s="782"/>
      <c r="F94" s="783"/>
      <c r="G94" s="783"/>
      <c r="H94" s="782"/>
      <c r="I94" s="782"/>
      <c r="J94" s="782"/>
      <c r="K94" s="782"/>
      <c r="L94" s="782"/>
      <c r="M94" s="782"/>
      <c r="N94" s="782"/>
      <c r="O94" s="786"/>
      <c r="P94" s="786"/>
      <c r="Q94" s="786"/>
      <c r="R94" s="786"/>
      <c r="S94" s="786"/>
      <c r="T94" s="786"/>
      <c r="U94" s="786"/>
      <c r="V94" s="786"/>
      <c r="W94" s="786"/>
      <c r="X94" s="786"/>
      <c r="Y94" s="786"/>
      <c r="Z94" s="786"/>
    </row>
    <row r="95" spans="1:26" s="784" customFormat="1" hidden="1">
      <c r="A95" s="785"/>
      <c r="B95" s="782"/>
      <c r="C95" s="782"/>
      <c r="D95" s="782"/>
      <c r="E95" s="782"/>
      <c r="F95" s="783"/>
      <c r="G95" s="783"/>
      <c r="H95" s="782"/>
      <c r="I95" s="782"/>
      <c r="J95" s="782"/>
      <c r="K95" s="782"/>
      <c r="L95" s="782"/>
      <c r="M95" s="782"/>
      <c r="N95" s="782"/>
      <c r="O95" s="786"/>
      <c r="P95" s="786"/>
      <c r="Q95" s="786"/>
      <c r="R95" s="786"/>
      <c r="S95" s="786"/>
      <c r="T95" s="786"/>
      <c r="U95" s="786"/>
      <c r="V95" s="786"/>
      <c r="W95" s="786"/>
      <c r="X95" s="786"/>
      <c r="Y95" s="786"/>
      <c r="Z95" s="786"/>
    </row>
    <row r="96" spans="1:26" s="784" customFormat="1" hidden="1">
      <c r="A96" s="785"/>
      <c r="B96" s="782"/>
      <c r="C96" s="782"/>
      <c r="D96" s="782"/>
      <c r="E96" s="782"/>
      <c r="F96" s="783"/>
      <c r="G96" s="783"/>
      <c r="H96" s="782"/>
      <c r="I96" s="782"/>
      <c r="J96" s="782"/>
      <c r="K96" s="782"/>
      <c r="L96" s="782"/>
      <c r="M96" s="782"/>
      <c r="N96" s="782"/>
      <c r="O96" s="786"/>
      <c r="P96" s="786"/>
      <c r="Q96" s="786"/>
      <c r="R96" s="786"/>
      <c r="S96" s="786"/>
      <c r="T96" s="786"/>
      <c r="U96" s="786"/>
      <c r="V96" s="786"/>
      <c r="W96" s="786"/>
      <c r="X96" s="786"/>
      <c r="Y96" s="786"/>
      <c r="Z96" s="786"/>
    </row>
    <row r="97" spans="1:26" s="784" customFormat="1" hidden="1">
      <c r="A97" s="785"/>
      <c r="B97" s="782"/>
      <c r="C97" s="782"/>
      <c r="D97" s="782"/>
      <c r="E97" s="782"/>
      <c r="F97" s="783"/>
      <c r="G97" s="783"/>
      <c r="H97" s="782"/>
      <c r="I97" s="782"/>
      <c r="J97" s="782"/>
      <c r="K97" s="782"/>
      <c r="L97" s="782"/>
      <c r="M97" s="782"/>
      <c r="N97" s="782"/>
      <c r="O97" s="786"/>
      <c r="P97" s="786"/>
      <c r="Q97" s="786"/>
      <c r="R97" s="786"/>
      <c r="S97" s="786"/>
      <c r="T97" s="786"/>
      <c r="U97" s="786"/>
      <c r="V97" s="786"/>
      <c r="W97" s="786"/>
      <c r="X97" s="786"/>
      <c r="Y97" s="786"/>
      <c r="Z97" s="786"/>
    </row>
    <row r="98" spans="1:26" s="784" customFormat="1" hidden="1">
      <c r="A98" s="785"/>
      <c r="B98" s="782"/>
      <c r="C98" s="782"/>
      <c r="D98" s="782"/>
      <c r="E98" s="782"/>
      <c r="F98" s="783"/>
      <c r="G98" s="783"/>
      <c r="H98" s="782"/>
      <c r="I98" s="782"/>
      <c r="J98" s="782"/>
      <c r="K98" s="782"/>
      <c r="L98" s="782"/>
      <c r="M98" s="782"/>
      <c r="N98" s="782"/>
      <c r="O98" s="786"/>
      <c r="P98" s="786"/>
      <c r="Q98" s="786"/>
      <c r="R98" s="786"/>
      <c r="S98" s="786"/>
      <c r="T98" s="786"/>
      <c r="U98" s="786"/>
      <c r="V98" s="786"/>
      <c r="W98" s="786"/>
      <c r="X98" s="786"/>
      <c r="Y98" s="786"/>
      <c r="Z98" s="786"/>
    </row>
    <row r="99" spans="1:26" s="784" customFormat="1" hidden="1">
      <c r="A99" s="785"/>
      <c r="B99" s="782"/>
      <c r="C99" s="782"/>
      <c r="D99" s="782"/>
      <c r="E99" s="782"/>
      <c r="F99" s="783"/>
      <c r="G99" s="783"/>
      <c r="H99" s="782"/>
      <c r="I99" s="782"/>
      <c r="J99" s="782"/>
      <c r="K99" s="782"/>
      <c r="L99" s="782"/>
      <c r="M99" s="782"/>
      <c r="N99" s="782"/>
      <c r="O99" s="786"/>
      <c r="P99" s="786"/>
      <c r="Q99" s="786"/>
      <c r="R99" s="786"/>
      <c r="S99" s="786"/>
      <c r="T99" s="786"/>
      <c r="U99" s="786"/>
      <c r="V99" s="786"/>
      <c r="W99" s="786"/>
      <c r="X99" s="786"/>
      <c r="Y99" s="786"/>
      <c r="Z99" s="786"/>
    </row>
    <row r="100" spans="1:26" s="784" customFormat="1" hidden="1">
      <c r="A100" s="785"/>
      <c r="B100" s="782"/>
      <c r="C100" s="782"/>
      <c r="D100" s="782"/>
      <c r="E100" s="782"/>
      <c r="F100" s="783"/>
      <c r="G100" s="783"/>
      <c r="H100" s="782"/>
      <c r="I100" s="782"/>
      <c r="J100" s="782"/>
      <c r="K100" s="782"/>
      <c r="L100" s="782"/>
      <c r="M100" s="782"/>
      <c r="N100" s="782"/>
      <c r="O100" s="786"/>
      <c r="P100" s="786"/>
      <c r="Q100" s="786"/>
      <c r="R100" s="786"/>
      <c r="S100" s="786"/>
      <c r="T100" s="786"/>
      <c r="U100" s="786"/>
      <c r="V100" s="786"/>
      <c r="W100" s="786"/>
      <c r="X100" s="786"/>
      <c r="Y100" s="786"/>
      <c r="Z100" s="786"/>
    </row>
    <row r="101" spans="1:26" s="784" customFormat="1" hidden="1">
      <c r="A101" s="785"/>
      <c r="B101" s="782"/>
      <c r="C101" s="782"/>
      <c r="D101" s="782"/>
      <c r="E101" s="782"/>
      <c r="F101" s="783"/>
      <c r="G101" s="783"/>
      <c r="H101" s="782"/>
      <c r="I101" s="782"/>
      <c r="J101" s="782"/>
      <c r="K101" s="782"/>
      <c r="L101" s="782"/>
      <c r="M101" s="782"/>
      <c r="N101" s="782"/>
      <c r="O101" s="786"/>
      <c r="P101" s="786"/>
      <c r="Q101" s="786"/>
      <c r="R101" s="786"/>
      <c r="S101" s="786"/>
      <c r="T101" s="786"/>
      <c r="U101" s="786"/>
      <c r="V101" s="786"/>
      <c r="W101" s="786"/>
      <c r="X101" s="786"/>
      <c r="Y101" s="786"/>
      <c r="Z101" s="786"/>
    </row>
    <row r="102" spans="1:26" s="784" customFormat="1" hidden="1">
      <c r="A102" s="785"/>
      <c r="B102" s="782"/>
      <c r="C102" s="782"/>
      <c r="D102" s="782"/>
      <c r="E102" s="782"/>
      <c r="F102" s="783"/>
      <c r="G102" s="783"/>
      <c r="H102" s="782"/>
      <c r="I102" s="782"/>
      <c r="J102" s="782"/>
      <c r="K102" s="782"/>
      <c r="L102" s="782"/>
      <c r="M102" s="782"/>
      <c r="N102" s="782"/>
      <c r="O102" s="786"/>
      <c r="P102" s="786"/>
      <c r="Q102" s="786"/>
      <c r="R102" s="786"/>
      <c r="S102" s="786"/>
      <c r="T102" s="786"/>
      <c r="U102" s="786"/>
      <c r="V102" s="786"/>
      <c r="W102" s="786"/>
      <c r="X102" s="786"/>
      <c r="Y102" s="786"/>
      <c r="Z102" s="786"/>
    </row>
    <row r="103" spans="1:26" s="784" customFormat="1" hidden="1">
      <c r="A103" s="785"/>
      <c r="B103" s="782"/>
      <c r="C103" s="782"/>
      <c r="D103" s="782"/>
      <c r="E103" s="782"/>
      <c r="F103" s="783"/>
      <c r="G103" s="783"/>
      <c r="H103" s="782"/>
      <c r="I103" s="782"/>
      <c r="J103" s="782"/>
      <c r="K103" s="782"/>
      <c r="L103" s="782"/>
      <c r="M103" s="782"/>
      <c r="N103" s="782"/>
      <c r="O103" s="786"/>
      <c r="P103" s="786"/>
      <c r="Q103" s="786"/>
      <c r="R103" s="786"/>
      <c r="S103" s="786"/>
      <c r="T103" s="786"/>
      <c r="U103" s="786"/>
      <c r="V103" s="786"/>
      <c r="W103" s="786"/>
      <c r="X103" s="786"/>
      <c r="Y103" s="786"/>
      <c r="Z103" s="786"/>
    </row>
    <row r="104" spans="1:26" s="784" customFormat="1" hidden="1">
      <c r="A104" s="785"/>
      <c r="B104" s="782"/>
      <c r="C104" s="782"/>
      <c r="D104" s="782"/>
      <c r="E104" s="782"/>
      <c r="F104" s="783"/>
      <c r="G104" s="783"/>
      <c r="H104" s="782"/>
      <c r="I104" s="782"/>
      <c r="J104" s="782"/>
      <c r="K104" s="782"/>
      <c r="L104" s="782"/>
      <c r="M104" s="782"/>
      <c r="N104" s="782"/>
      <c r="O104" s="786"/>
      <c r="P104" s="786"/>
      <c r="Q104" s="786"/>
      <c r="R104" s="786"/>
      <c r="S104" s="786"/>
      <c r="T104" s="786"/>
      <c r="U104" s="786"/>
      <c r="V104" s="786"/>
      <c r="W104" s="786"/>
      <c r="X104" s="786"/>
      <c r="Y104" s="786"/>
      <c r="Z104" s="786"/>
    </row>
    <row r="105" spans="1:26" s="784" customFormat="1" hidden="1">
      <c r="A105" s="785"/>
      <c r="B105" s="782"/>
      <c r="C105" s="782"/>
      <c r="D105" s="782"/>
      <c r="E105" s="782"/>
      <c r="F105" s="783"/>
      <c r="G105" s="783"/>
      <c r="H105" s="782"/>
      <c r="I105" s="782"/>
      <c r="J105" s="782"/>
      <c r="K105" s="782"/>
      <c r="L105" s="782"/>
      <c r="M105" s="782"/>
      <c r="N105" s="782"/>
      <c r="O105" s="786"/>
      <c r="P105" s="786"/>
      <c r="Q105" s="786"/>
      <c r="R105" s="786"/>
      <c r="S105" s="786"/>
      <c r="T105" s="786"/>
      <c r="U105" s="786"/>
      <c r="V105" s="786"/>
      <c r="W105" s="786"/>
      <c r="X105" s="786"/>
      <c r="Y105" s="786"/>
      <c r="Z105" s="786"/>
    </row>
    <row r="106" spans="1:26" s="784" customFormat="1" hidden="1">
      <c r="A106" s="785"/>
      <c r="B106" s="782"/>
      <c r="C106" s="782"/>
      <c r="D106" s="782"/>
      <c r="E106" s="782"/>
      <c r="F106" s="783"/>
      <c r="G106" s="783"/>
      <c r="H106" s="782"/>
      <c r="I106" s="782"/>
      <c r="J106" s="782"/>
      <c r="K106" s="782"/>
      <c r="L106" s="782"/>
      <c r="M106" s="782"/>
      <c r="N106" s="782"/>
      <c r="O106" s="786"/>
      <c r="P106" s="786"/>
      <c r="Q106" s="786"/>
      <c r="R106" s="786"/>
      <c r="S106" s="786"/>
      <c r="T106" s="786"/>
      <c r="U106" s="786"/>
      <c r="V106" s="786"/>
      <c r="W106" s="786"/>
      <c r="X106" s="786"/>
      <c r="Y106" s="786"/>
      <c r="Z106" s="786"/>
    </row>
    <row r="107" spans="1:26" s="784" customFormat="1" hidden="1">
      <c r="A107" s="785"/>
      <c r="B107" s="782"/>
      <c r="C107" s="782"/>
      <c r="D107" s="782"/>
      <c r="E107" s="782"/>
      <c r="F107" s="783"/>
      <c r="G107" s="783"/>
      <c r="H107" s="782"/>
      <c r="I107" s="782"/>
      <c r="J107" s="782"/>
      <c r="K107" s="782"/>
      <c r="L107" s="782"/>
      <c r="M107" s="782"/>
      <c r="N107" s="782"/>
      <c r="O107" s="786"/>
      <c r="P107" s="786"/>
      <c r="Q107" s="786"/>
      <c r="R107" s="786"/>
      <c r="S107" s="786"/>
      <c r="T107" s="786"/>
      <c r="U107" s="786"/>
      <c r="V107" s="786"/>
      <c r="W107" s="786"/>
      <c r="X107" s="786"/>
      <c r="Y107" s="786"/>
      <c r="Z107" s="786"/>
    </row>
    <row r="108" spans="1:26" s="784" customFormat="1" hidden="1">
      <c r="A108" s="785"/>
      <c r="B108" s="782"/>
      <c r="C108" s="782"/>
      <c r="D108" s="782"/>
      <c r="E108" s="782"/>
      <c r="F108" s="783"/>
      <c r="G108" s="783"/>
      <c r="H108" s="782"/>
      <c r="I108" s="782"/>
      <c r="J108" s="782"/>
      <c r="K108" s="782"/>
      <c r="L108" s="782"/>
      <c r="M108" s="782"/>
      <c r="N108" s="782"/>
      <c r="O108" s="786"/>
      <c r="P108" s="786"/>
      <c r="Q108" s="786"/>
      <c r="R108" s="786"/>
      <c r="S108" s="786"/>
      <c r="T108" s="786"/>
      <c r="U108" s="786"/>
      <c r="V108" s="786"/>
      <c r="W108" s="786"/>
      <c r="X108" s="786"/>
      <c r="Y108" s="786"/>
      <c r="Z108" s="786"/>
    </row>
    <row r="109" spans="1:26" s="784" customFormat="1" hidden="1">
      <c r="A109" s="785"/>
      <c r="B109" s="782"/>
      <c r="C109" s="782"/>
      <c r="D109" s="782"/>
      <c r="E109" s="782"/>
      <c r="F109" s="783"/>
      <c r="G109" s="783"/>
      <c r="H109" s="782"/>
      <c r="I109" s="782"/>
      <c r="J109" s="782"/>
      <c r="K109" s="782"/>
      <c r="L109" s="782"/>
      <c r="M109" s="782"/>
      <c r="N109" s="782"/>
      <c r="O109" s="786"/>
      <c r="P109" s="786"/>
      <c r="Q109" s="786"/>
      <c r="R109" s="786"/>
      <c r="S109" s="786"/>
      <c r="T109" s="786"/>
      <c r="U109" s="786"/>
      <c r="V109" s="786"/>
      <c r="W109" s="786"/>
      <c r="X109" s="786"/>
      <c r="Y109" s="786"/>
      <c r="Z109" s="786"/>
    </row>
    <row r="110" spans="1:26" s="784" customFormat="1" hidden="1">
      <c r="A110" s="785"/>
      <c r="B110" s="782"/>
      <c r="C110" s="782"/>
      <c r="D110" s="782"/>
      <c r="E110" s="782"/>
      <c r="F110" s="783"/>
      <c r="G110" s="783"/>
      <c r="H110" s="782"/>
      <c r="I110" s="782"/>
      <c r="J110" s="782"/>
      <c r="K110" s="782"/>
      <c r="L110" s="782"/>
      <c r="M110" s="782"/>
      <c r="N110" s="782"/>
      <c r="O110" s="786"/>
      <c r="P110" s="786"/>
      <c r="Q110" s="786"/>
      <c r="R110" s="786"/>
      <c r="S110" s="786"/>
      <c r="T110" s="786"/>
      <c r="U110" s="786"/>
      <c r="V110" s="786"/>
      <c r="W110" s="786"/>
      <c r="X110" s="786"/>
      <c r="Y110" s="786"/>
      <c r="Z110" s="786"/>
    </row>
    <row r="111" spans="1:26" s="784" customFormat="1" hidden="1">
      <c r="A111" s="785"/>
      <c r="B111" s="782"/>
      <c r="C111" s="782"/>
      <c r="D111" s="782"/>
      <c r="E111" s="782"/>
      <c r="F111" s="783"/>
      <c r="G111" s="783"/>
      <c r="H111" s="782"/>
      <c r="I111" s="782"/>
      <c r="J111" s="782"/>
      <c r="K111" s="782"/>
      <c r="L111" s="782"/>
      <c r="M111" s="782"/>
      <c r="N111" s="782"/>
      <c r="O111" s="786"/>
      <c r="P111" s="786"/>
      <c r="Q111" s="786"/>
      <c r="R111" s="786"/>
      <c r="S111" s="786"/>
      <c r="T111" s="786"/>
      <c r="U111" s="786"/>
      <c r="V111" s="786"/>
      <c r="W111" s="786"/>
      <c r="X111" s="786"/>
      <c r="Y111" s="786"/>
      <c r="Z111" s="786"/>
    </row>
    <row r="112" spans="1:26" s="784" customFormat="1" hidden="1">
      <c r="A112" s="785"/>
      <c r="B112" s="782"/>
      <c r="C112" s="782"/>
      <c r="D112" s="782"/>
      <c r="E112" s="782"/>
      <c r="F112" s="783"/>
      <c r="G112" s="783"/>
      <c r="H112" s="782"/>
      <c r="I112" s="782"/>
      <c r="J112" s="782"/>
      <c r="K112" s="782"/>
      <c r="L112" s="782"/>
      <c r="M112" s="782"/>
      <c r="N112" s="782"/>
      <c r="O112" s="786"/>
      <c r="P112" s="786"/>
      <c r="Q112" s="786"/>
      <c r="R112" s="786"/>
      <c r="S112" s="786"/>
      <c r="T112" s="786"/>
      <c r="U112" s="786"/>
      <c r="V112" s="786"/>
      <c r="W112" s="786"/>
      <c r="X112" s="786"/>
      <c r="Y112" s="786"/>
      <c r="Z112" s="786"/>
    </row>
    <row r="113" spans="1:26" s="784" customFormat="1" hidden="1">
      <c r="A113" s="785"/>
      <c r="B113" s="782"/>
      <c r="C113" s="782"/>
      <c r="D113" s="782"/>
      <c r="E113" s="782"/>
      <c r="F113" s="783"/>
      <c r="G113" s="783"/>
      <c r="H113" s="782"/>
      <c r="I113" s="782"/>
      <c r="J113" s="782"/>
      <c r="K113" s="782"/>
      <c r="L113" s="782"/>
      <c r="M113" s="782"/>
      <c r="N113" s="782"/>
      <c r="O113" s="786"/>
      <c r="P113" s="786"/>
      <c r="Q113" s="786"/>
      <c r="R113" s="786"/>
      <c r="S113" s="786"/>
      <c r="T113" s="786"/>
      <c r="U113" s="786"/>
      <c r="V113" s="786"/>
      <c r="W113" s="786"/>
      <c r="X113" s="786"/>
      <c r="Y113" s="786"/>
      <c r="Z113" s="786"/>
    </row>
    <row r="114" spans="1:26" s="784" customFormat="1" hidden="1">
      <c r="A114" s="785"/>
      <c r="B114" s="782"/>
      <c r="C114" s="782"/>
      <c r="D114" s="782"/>
      <c r="E114" s="782"/>
      <c r="F114" s="783"/>
      <c r="G114" s="783"/>
      <c r="H114" s="782"/>
      <c r="I114" s="782"/>
      <c r="J114" s="782"/>
      <c r="K114" s="782"/>
      <c r="L114" s="782"/>
      <c r="M114" s="782"/>
      <c r="N114" s="782"/>
      <c r="O114" s="786"/>
      <c r="P114" s="786"/>
      <c r="Q114" s="786"/>
      <c r="R114" s="786"/>
      <c r="S114" s="786"/>
      <c r="T114" s="786"/>
      <c r="U114" s="786"/>
      <c r="V114" s="786"/>
      <c r="W114" s="786"/>
      <c r="X114" s="786"/>
      <c r="Y114" s="786"/>
      <c r="Z114" s="786"/>
    </row>
    <row r="115" spans="1:26" s="784" customFormat="1" hidden="1">
      <c r="A115" s="785"/>
      <c r="B115" s="782"/>
      <c r="C115" s="782"/>
      <c r="D115" s="782"/>
      <c r="E115" s="782"/>
      <c r="F115" s="783"/>
      <c r="G115" s="783"/>
      <c r="H115" s="782"/>
      <c r="I115" s="782"/>
      <c r="J115" s="782"/>
      <c r="K115" s="782"/>
      <c r="L115" s="782"/>
      <c r="M115" s="782"/>
      <c r="N115" s="782"/>
      <c r="O115" s="786"/>
      <c r="P115" s="786"/>
      <c r="Q115" s="786"/>
      <c r="R115" s="786"/>
      <c r="S115" s="786"/>
      <c r="T115" s="786"/>
      <c r="U115" s="786"/>
      <c r="V115" s="786"/>
      <c r="W115" s="786"/>
      <c r="X115" s="786"/>
      <c r="Y115" s="786"/>
      <c r="Z115" s="786"/>
    </row>
    <row r="116" spans="1:26" s="784" customFormat="1" hidden="1">
      <c r="A116" s="785"/>
      <c r="B116" s="782"/>
      <c r="C116" s="782"/>
      <c r="D116" s="782"/>
      <c r="E116" s="782"/>
      <c r="F116" s="783"/>
      <c r="G116" s="783"/>
      <c r="H116" s="782"/>
      <c r="I116" s="782"/>
      <c r="J116" s="782"/>
      <c r="K116" s="782"/>
      <c r="L116" s="782"/>
      <c r="M116" s="782"/>
      <c r="N116" s="782"/>
      <c r="O116" s="786"/>
      <c r="P116" s="786"/>
      <c r="Q116" s="786"/>
      <c r="R116" s="786"/>
      <c r="S116" s="786"/>
      <c r="T116" s="786"/>
      <c r="U116" s="786"/>
      <c r="V116" s="786"/>
      <c r="W116" s="786"/>
      <c r="X116" s="786"/>
      <c r="Y116" s="786"/>
      <c r="Z116" s="786"/>
    </row>
    <row r="117" spans="1:26" s="784" customFormat="1" hidden="1">
      <c r="A117" s="785"/>
      <c r="B117" s="782"/>
      <c r="C117" s="782"/>
      <c r="D117" s="782"/>
      <c r="E117" s="782"/>
      <c r="F117" s="783"/>
      <c r="G117" s="783"/>
      <c r="H117" s="782"/>
      <c r="I117" s="782"/>
      <c r="J117" s="782"/>
      <c r="K117" s="782"/>
      <c r="L117" s="782"/>
      <c r="M117" s="782"/>
      <c r="N117" s="782"/>
      <c r="O117" s="786"/>
      <c r="P117" s="786"/>
      <c r="Q117" s="786"/>
      <c r="R117" s="786"/>
      <c r="S117" s="786"/>
      <c r="T117" s="786"/>
      <c r="U117" s="786"/>
      <c r="V117" s="786"/>
      <c r="W117" s="786"/>
      <c r="X117" s="786"/>
      <c r="Y117" s="786"/>
      <c r="Z117" s="786"/>
    </row>
    <row r="118" spans="1:26" s="784" customFormat="1" hidden="1">
      <c r="A118" s="785"/>
      <c r="B118" s="782"/>
      <c r="C118" s="782"/>
      <c r="D118" s="782"/>
      <c r="E118" s="782"/>
      <c r="F118" s="783"/>
      <c r="G118" s="783"/>
      <c r="H118" s="782"/>
      <c r="I118" s="782"/>
      <c r="J118" s="782"/>
      <c r="K118" s="782"/>
      <c r="L118" s="782"/>
      <c r="M118" s="782"/>
      <c r="N118" s="782"/>
      <c r="O118" s="786"/>
      <c r="P118" s="786"/>
      <c r="Q118" s="786"/>
      <c r="R118" s="786"/>
      <c r="S118" s="786"/>
      <c r="T118" s="786"/>
      <c r="U118" s="786"/>
      <c r="V118" s="786"/>
      <c r="W118" s="786"/>
      <c r="X118" s="786"/>
      <c r="Y118" s="786"/>
      <c r="Z118" s="786"/>
    </row>
    <row r="119" spans="1:26" s="784" customFormat="1" hidden="1">
      <c r="A119" s="785"/>
      <c r="B119" s="782"/>
      <c r="C119" s="782"/>
      <c r="D119" s="782"/>
      <c r="E119" s="782"/>
      <c r="F119" s="783"/>
      <c r="G119" s="783"/>
      <c r="H119" s="782"/>
      <c r="I119" s="782"/>
      <c r="J119" s="782"/>
      <c r="K119" s="782"/>
      <c r="L119" s="782"/>
      <c r="M119" s="782"/>
      <c r="N119" s="782"/>
      <c r="O119" s="786"/>
      <c r="P119" s="786"/>
      <c r="Q119" s="786"/>
      <c r="R119" s="786"/>
      <c r="S119" s="786"/>
      <c r="T119" s="786"/>
      <c r="U119" s="786"/>
      <c r="V119" s="786"/>
      <c r="W119" s="786"/>
      <c r="X119" s="786"/>
      <c r="Y119" s="786"/>
      <c r="Z119" s="786"/>
    </row>
    <row r="120" spans="1:26" s="784" customFormat="1" hidden="1">
      <c r="A120" s="785"/>
      <c r="B120" s="782"/>
      <c r="C120" s="782"/>
      <c r="D120" s="782"/>
      <c r="E120" s="782"/>
      <c r="F120" s="783"/>
      <c r="G120" s="783"/>
      <c r="H120" s="782"/>
      <c r="I120" s="782"/>
      <c r="J120" s="782"/>
      <c r="K120" s="782"/>
      <c r="L120" s="782"/>
      <c r="M120" s="782"/>
      <c r="N120" s="782"/>
      <c r="O120" s="786"/>
      <c r="P120" s="786"/>
      <c r="Q120" s="786"/>
      <c r="R120" s="786"/>
      <c r="S120" s="786"/>
      <c r="T120" s="786"/>
      <c r="U120" s="786"/>
      <c r="V120" s="786"/>
      <c r="W120" s="786"/>
      <c r="X120" s="786"/>
      <c r="Y120" s="786"/>
      <c r="Z120" s="786"/>
    </row>
    <row r="121" spans="1:26" s="784" customFormat="1" hidden="1">
      <c r="A121" s="785"/>
      <c r="B121" s="782"/>
      <c r="C121" s="782"/>
      <c r="D121" s="782"/>
      <c r="E121" s="782"/>
      <c r="F121" s="783"/>
      <c r="G121" s="783"/>
      <c r="H121" s="782"/>
      <c r="I121" s="782"/>
      <c r="J121" s="782"/>
      <c r="K121" s="782"/>
      <c r="L121" s="782"/>
      <c r="M121" s="782"/>
      <c r="N121" s="782"/>
      <c r="O121" s="786"/>
      <c r="P121" s="786"/>
      <c r="Q121" s="786"/>
      <c r="R121" s="786"/>
      <c r="S121" s="786"/>
      <c r="T121" s="786"/>
      <c r="U121" s="786"/>
      <c r="V121" s="786"/>
      <c r="W121" s="786"/>
      <c r="X121" s="786"/>
      <c r="Y121" s="786"/>
      <c r="Z121" s="786"/>
    </row>
    <row r="122" spans="1:26" s="784" customFormat="1" hidden="1">
      <c r="A122" s="785"/>
      <c r="B122" s="782"/>
      <c r="C122" s="782"/>
      <c r="D122" s="782"/>
      <c r="E122" s="782"/>
      <c r="F122" s="783"/>
      <c r="G122" s="783"/>
      <c r="H122" s="782"/>
      <c r="I122" s="782"/>
      <c r="J122" s="782"/>
      <c r="K122" s="782"/>
      <c r="L122" s="782"/>
      <c r="M122" s="782"/>
      <c r="N122" s="782"/>
      <c r="O122" s="786"/>
      <c r="P122" s="786"/>
      <c r="Q122" s="786"/>
      <c r="R122" s="786"/>
      <c r="S122" s="786"/>
      <c r="T122" s="786"/>
      <c r="U122" s="786"/>
      <c r="V122" s="786"/>
      <c r="W122" s="786"/>
      <c r="X122" s="786"/>
      <c r="Y122" s="786"/>
      <c r="Z122" s="786"/>
    </row>
    <row r="123" spans="1:26" s="784" customFormat="1" hidden="1">
      <c r="A123" s="785"/>
      <c r="B123" s="782"/>
      <c r="C123" s="782"/>
      <c r="D123" s="782"/>
      <c r="E123" s="782"/>
      <c r="F123" s="783"/>
      <c r="G123" s="783"/>
      <c r="H123" s="782"/>
      <c r="I123" s="782"/>
      <c r="J123" s="782"/>
      <c r="K123" s="782"/>
      <c r="L123" s="782"/>
      <c r="M123" s="782"/>
      <c r="N123" s="782"/>
      <c r="O123" s="786"/>
      <c r="P123" s="786"/>
      <c r="Q123" s="786"/>
      <c r="R123" s="786"/>
      <c r="S123" s="786"/>
      <c r="T123" s="786"/>
      <c r="U123" s="786"/>
      <c r="V123" s="786"/>
      <c r="W123" s="786"/>
      <c r="X123" s="786"/>
      <c r="Y123" s="786"/>
      <c r="Z123" s="786"/>
    </row>
    <row r="124" spans="1:26" s="784" customFormat="1" hidden="1">
      <c r="A124" s="785"/>
      <c r="B124" s="782"/>
      <c r="C124" s="782"/>
      <c r="D124" s="782"/>
      <c r="E124" s="782"/>
      <c r="F124" s="783"/>
      <c r="G124" s="783"/>
      <c r="H124" s="782"/>
      <c r="I124" s="782"/>
      <c r="J124" s="782"/>
      <c r="K124" s="782"/>
      <c r="L124" s="782"/>
      <c r="M124" s="782"/>
      <c r="N124" s="782"/>
      <c r="O124" s="786"/>
      <c r="P124" s="786"/>
      <c r="Q124" s="786"/>
      <c r="R124" s="786"/>
      <c r="S124" s="786"/>
      <c r="T124" s="786"/>
      <c r="U124" s="786"/>
      <c r="V124" s="786"/>
      <c r="W124" s="786"/>
      <c r="X124" s="786"/>
      <c r="Y124" s="786"/>
      <c r="Z124" s="786"/>
    </row>
    <row r="125" spans="1:26" s="784" customFormat="1" hidden="1">
      <c r="A125" s="785"/>
      <c r="B125" s="782"/>
      <c r="C125" s="782"/>
      <c r="D125" s="782"/>
      <c r="E125" s="782"/>
      <c r="F125" s="783"/>
      <c r="G125" s="783"/>
      <c r="H125" s="782"/>
      <c r="I125" s="782"/>
      <c r="J125" s="782"/>
      <c r="K125" s="782"/>
      <c r="L125" s="782"/>
      <c r="M125" s="782"/>
      <c r="N125" s="782"/>
      <c r="O125" s="786"/>
      <c r="P125" s="786"/>
      <c r="Q125" s="786"/>
      <c r="R125" s="786"/>
      <c r="S125" s="786"/>
      <c r="T125" s="786"/>
      <c r="U125" s="786"/>
      <c r="V125" s="786"/>
      <c r="W125" s="786"/>
      <c r="X125" s="786"/>
      <c r="Y125" s="786"/>
      <c r="Z125" s="786"/>
    </row>
    <row r="126" spans="1:26" s="784" customFormat="1" hidden="1">
      <c r="A126" s="785"/>
      <c r="B126" s="782"/>
      <c r="C126" s="782"/>
      <c r="D126" s="782"/>
      <c r="E126" s="782"/>
      <c r="F126" s="783"/>
      <c r="G126" s="783"/>
      <c r="H126" s="782"/>
      <c r="I126" s="782"/>
      <c r="J126" s="782"/>
      <c r="K126" s="782"/>
      <c r="L126" s="782"/>
      <c r="M126" s="782"/>
      <c r="N126" s="782"/>
      <c r="O126" s="786"/>
      <c r="P126" s="786"/>
      <c r="Q126" s="786"/>
      <c r="R126" s="786"/>
      <c r="S126" s="786"/>
      <c r="T126" s="786"/>
      <c r="U126" s="786"/>
      <c r="V126" s="786"/>
      <c r="W126" s="786"/>
      <c r="X126" s="786"/>
      <c r="Y126" s="786"/>
      <c r="Z126" s="786"/>
    </row>
    <row r="127" spans="1:26" s="784" customFormat="1" hidden="1">
      <c r="A127" s="785"/>
      <c r="B127" s="782"/>
      <c r="C127" s="782"/>
      <c r="D127" s="782"/>
      <c r="E127" s="782"/>
      <c r="F127" s="783"/>
      <c r="G127" s="783"/>
      <c r="H127" s="782"/>
      <c r="I127" s="782"/>
      <c r="J127" s="782"/>
      <c r="K127" s="782"/>
      <c r="L127" s="782"/>
      <c r="M127" s="782"/>
      <c r="N127" s="782"/>
      <c r="O127" s="786"/>
      <c r="P127" s="786"/>
      <c r="Q127" s="786"/>
      <c r="R127" s="786"/>
      <c r="S127" s="786"/>
      <c r="T127" s="786"/>
      <c r="U127" s="786"/>
      <c r="V127" s="786"/>
      <c r="W127" s="786"/>
      <c r="X127" s="786"/>
      <c r="Y127" s="786"/>
      <c r="Z127" s="786"/>
    </row>
    <row r="128" spans="1:26" s="784" customFormat="1" hidden="1">
      <c r="A128" s="785"/>
      <c r="B128" s="782"/>
      <c r="C128" s="782"/>
      <c r="D128" s="782"/>
      <c r="E128" s="782"/>
      <c r="F128" s="783"/>
      <c r="G128" s="783"/>
      <c r="H128" s="782"/>
      <c r="I128" s="782"/>
      <c r="J128" s="782"/>
      <c r="K128" s="782"/>
      <c r="L128" s="782"/>
      <c r="M128" s="782"/>
      <c r="N128" s="782"/>
      <c r="O128" s="786"/>
      <c r="P128" s="786"/>
      <c r="Q128" s="786"/>
      <c r="R128" s="786"/>
      <c r="S128" s="786"/>
      <c r="T128" s="786"/>
      <c r="U128" s="786"/>
      <c r="V128" s="786"/>
      <c r="W128" s="786"/>
      <c r="X128" s="786"/>
      <c r="Y128" s="786"/>
      <c r="Z128" s="786"/>
    </row>
    <row r="129" spans="1:26" s="784" customFormat="1" hidden="1">
      <c r="A129" s="785"/>
      <c r="B129" s="782"/>
      <c r="C129" s="782"/>
      <c r="D129" s="782"/>
      <c r="E129" s="782"/>
      <c r="F129" s="783"/>
      <c r="G129" s="783"/>
      <c r="H129" s="782"/>
      <c r="I129" s="782"/>
      <c r="J129" s="782"/>
      <c r="K129" s="782"/>
      <c r="L129" s="782"/>
      <c r="M129" s="782"/>
      <c r="N129" s="782"/>
      <c r="O129" s="786"/>
      <c r="P129" s="786"/>
      <c r="Q129" s="786"/>
      <c r="R129" s="786"/>
      <c r="S129" s="786"/>
      <c r="T129" s="786"/>
      <c r="U129" s="786"/>
      <c r="V129" s="786"/>
      <c r="W129" s="786"/>
      <c r="X129" s="786"/>
      <c r="Y129" s="786"/>
      <c r="Z129" s="786"/>
    </row>
    <row r="130" spans="1:26" s="784" customFormat="1" hidden="1">
      <c r="A130" s="785"/>
      <c r="B130" s="782"/>
      <c r="C130" s="782"/>
      <c r="D130" s="782"/>
      <c r="E130" s="782"/>
      <c r="F130" s="783"/>
      <c r="G130" s="783"/>
      <c r="H130" s="782"/>
      <c r="I130" s="782"/>
      <c r="J130" s="782"/>
      <c r="K130" s="782"/>
      <c r="L130" s="782"/>
      <c r="M130" s="782"/>
      <c r="N130" s="782"/>
      <c r="O130" s="786"/>
      <c r="P130" s="786"/>
      <c r="Q130" s="786"/>
      <c r="R130" s="786"/>
      <c r="S130" s="786"/>
      <c r="T130" s="786"/>
      <c r="U130" s="786"/>
      <c r="V130" s="786"/>
      <c r="W130" s="786"/>
      <c r="X130" s="786"/>
      <c r="Y130" s="786"/>
      <c r="Z130" s="786"/>
    </row>
    <row r="131" spans="1:26" s="784" customFormat="1" hidden="1">
      <c r="A131" s="785"/>
      <c r="B131" s="782"/>
      <c r="C131" s="782"/>
      <c r="D131" s="782"/>
      <c r="E131" s="782"/>
      <c r="F131" s="783"/>
      <c r="G131" s="783"/>
      <c r="H131" s="782"/>
      <c r="I131" s="782"/>
      <c r="J131" s="782"/>
      <c r="K131" s="782"/>
      <c r="L131" s="782"/>
      <c r="M131" s="782"/>
      <c r="N131" s="782"/>
      <c r="O131" s="786"/>
      <c r="P131" s="786"/>
      <c r="Q131" s="786"/>
      <c r="R131" s="786"/>
      <c r="S131" s="786"/>
      <c r="T131" s="786"/>
      <c r="U131" s="786"/>
      <c r="V131" s="786"/>
      <c r="W131" s="786"/>
      <c r="X131" s="786"/>
      <c r="Y131" s="786"/>
      <c r="Z131" s="786"/>
    </row>
    <row r="132" spans="1:26" s="784" customFormat="1" hidden="1">
      <c r="A132" s="785"/>
      <c r="B132" s="782"/>
      <c r="C132" s="782"/>
      <c r="D132" s="782"/>
      <c r="E132" s="782"/>
      <c r="F132" s="783"/>
      <c r="G132" s="783"/>
      <c r="H132" s="782"/>
      <c r="I132" s="782"/>
      <c r="J132" s="782"/>
      <c r="K132" s="782"/>
      <c r="L132" s="782"/>
      <c r="M132" s="782"/>
      <c r="N132" s="782"/>
      <c r="O132" s="786"/>
      <c r="P132" s="786"/>
      <c r="Q132" s="786"/>
      <c r="R132" s="786"/>
      <c r="S132" s="786"/>
      <c r="T132" s="786"/>
      <c r="U132" s="786"/>
      <c r="V132" s="786"/>
      <c r="W132" s="786"/>
      <c r="X132" s="786"/>
      <c r="Y132" s="786"/>
      <c r="Z132" s="786"/>
    </row>
    <row r="133" spans="1:26" s="784" customFormat="1" hidden="1">
      <c r="A133" s="785"/>
      <c r="B133" s="782"/>
      <c r="C133" s="782"/>
      <c r="D133" s="782"/>
      <c r="E133" s="782"/>
      <c r="F133" s="783"/>
      <c r="G133" s="783"/>
      <c r="H133" s="782"/>
      <c r="I133" s="782"/>
      <c r="J133" s="782"/>
      <c r="K133" s="782"/>
      <c r="L133" s="782"/>
      <c r="M133" s="782"/>
      <c r="N133" s="782"/>
      <c r="O133" s="786"/>
      <c r="P133" s="786"/>
      <c r="Q133" s="786"/>
      <c r="R133" s="786"/>
      <c r="S133" s="786"/>
      <c r="T133" s="786"/>
      <c r="U133" s="786"/>
      <c r="V133" s="786"/>
      <c r="W133" s="786"/>
      <c r="X133" s="786"/>
      <c r="Y133" s="786"/>
      <c r="Z133" s="786"/>
    </row>
    <row r="134" spans="1:26" s="784" customFormat="1" hidden="1">
      <c r="A134" s="785"/>
      <c r="B134" s="782"/>
      <c r="C134" s="782"/>
      <c r="D134" s="782"/>
      <c r="E134" s="782"/>
      <c r="F134" s="783"/>
      <c r="G134" s="783"/>
      <c r="H134" s="782"/>
      <c r="I134" s="782"/>
      <c r="J134" s="782"/>
      <c r="K134" s="782"/>
      <c r="L134" s="782"/>
      <c r="M134" s="782"/>
      <c r="N134" s="782"/>
      <c r="O134" s="786"/>
      <c r="P134" s="786"/>
      <c r="Q134" s="786"/>
      <c r="R134" s="786"/>
      <c r="S134" s="786"/>
      <c r="T134" s="786"/>
      <c r="U134" s="786"/>
      <c r="V134" s="786"/>
      <c r="W134" s="786"/>
      <c r="X134" s="786"/>
      <c r="Y134" s="786"/>
      <c r="Z134" s="786"/>
    </row>
    <row r="135" spans="1:26" s="784" customFormat="1" hidden="1">
      <c r="A135" s="785"/>
      <c r="B135" s="782"/>
      <c r="C135" s="782"/>
      <c r="D135" s="782"/>
      <c r="E135" s="782"/>
      <c r="F135" s="783"/>
      <c r="G135" s="783"/>
      <c r="H135" s="782"/>
      <c r="I135" s="782"/>
      <c r="J135" s="782"/>
      <c r="K135" s="782"/>
      <c r="L135" s="782"/>
      <c r="M135" s="782"/>
      <c r="N135" s="782"/>
      <c r="O135" s="786"/>
      <c r="P135" s="786"/>
      <c r="Q135" s="786"/>
      <c r="R135" s="786"/>
      <c r="S135" s="786"/>
      <c r="T135" s="786"/>
      <c r="U135" s="786"/>
      <c r="V135" s="786"/>
      <c r="W135" s="786"/>
      <c r="X135" s="786"/>
      <c r="Y135" s="786"/>
      <c r="Z135" s="786"/>
    </row>
    <row r="136" spans="1:26" s="784" customFormat="1" hidden="1">
      <c r="A136" s="785"/>
      <c r="B136" s="782"/>
      <c r="C136" s="782"/>
      <c r="D136" s="782"/>
      <c r="E136" s="782"/>
      <c r="F136" s="783"/>
      <c r="G136" s="783"/>
      <c r="H136" s="782"/>
      <c r="I136" s="782"/>
      <c r="J136" s="782"/>
      <c r="K136" s="782"/>
      <c r="L136" s="782"/>
      <c r="M136" s="782"/>
      <c r="N136" s="782"/>
      <c r="O136" s="786"/>
      <c r="P136" s="786"/>
      <c r="Q136" s="786"/>
      <c r="R136" s="786"/>
      <c r="S136" s="786"/>
      <c r="T136" s="786"/>
      <c r="U136" s="786"/>
      <c r="V136" s="786"/>
      <c r="W136" s="786"/>
      <c r="X136" s="786"/>
      <c r="Y136" s="786"/>
      <c r="Z136" s="786"/>
    </row>
    <row r="137" spans="1:26" s="784" customFormat="1" hidden="1">
      <c r="A137" s="785"/>
      <c r="B137" s="782"/>
      <c r="C137" s="782"/>
      <c r="D137" s="782"/>
      <c r="E137" s="782"/>
      <c r="F137" s="783"/>
      <c r="G137" s="783"/>
      <c r="H137" s="782"/>
      <c r="I137" s="782"/>
      <c r="J137" s="782"/>
      <c r="K137" s="782"/>
      <c r="L137" s="782"/>
      <c r="M137" s="782"/>
      <c r="N137" s="782"/>
      <c r="O137" s="786"/>
      <c r="P137" s="786"/>
      <c r="Q137" s="786"/>
      <c r="R137" s="786"/>
      <c r="S137" s="786"/>
      <c r="T137" s="786"/>
      <c r="U137" s="786"/>
      <c r="V137" s="786"/>
      <c r="W137" s="786"/>
      <c r="X137" s="786"/>
      <c r="Y137" s="786"/>
      <c r="Z137" s="786"/>
    </row>
    <row r="138" spans="1:26" s="784" customFormat="1" hidden="1">
      <c r="A138" s="785"/>
      <c r="B138" s="782"/>
      <c r="C138" s="782"/>
      <c r="D138" s="782"/>
      <c r="E138" s="782"/>
      <c r="F138" s="783"/>
      <c r="G138" s="783"/>
      <c r="H138" s="782"/>
      <c r="I138" s="782"/>
      <c r="J138" s="782"/>
      <c r="K138" s="782"/>
      <c r="L138" s="782"/>
      <c r="M138" s="782"/>
      <c r="N138" s="782"/>
      <c r="O138" s="786"/>
      <c r="P138" s="786"/>
      <c r="Q138" s="786"/>
      <c r="R138" s="786"/>
      <c r="S138" s="786"/>
      <c r="T138" s="786"/>
      <c r="U138" s="786"/>
      <c r="V138" s="786"/>
      <c r="W138" s="786"/>
      <c r="X138" s="786"/>
      <c r="Y138" s="786"/>
      <c r="Z138" s="786"/>
    </row>
    <row r="139" spans="1:26" s="784" customFormat="1" hidden="1">
      <c r="A139" s="785"/>
      <c r="B139" s="782"/>
      <c r="C139" s="782"/>
      <c r="D139" s="782"/>
      <c r="E139" s="782"/>
      <c r="F139" s="783"/>
      <c r="G139" s="783"/>
      <c r="H139" s="782"/>
      <c r="I139" s="782"/>
      <c r="J139" s="782"/>
      <c r="K139" s="782"/>
      <c r="L139" s="782"/>
      <c r="M139" s="782"/>
      <c r="N139" s="782"/>
      <c r="O139" s="786"/>
    </row>
    <row r="140" spans="1:26" s="784" customFormat="1" hidden="1">
      <c r="A140" s="785"/>
      <c r="B140" s="782"/>
      <c r="C140" s="782"/>
      <c r="D140" s="782"/>
      <c r="E140" s="782"/>
      <c r="F140" s="783"/>
      <c r="G140" s="783"/>
      <c r="H140" s="782"/>
      <c r="I140" s="782"/>
      <c r="J140" s="782"/>
      <c r="K140" s="782"/>
      <c r="L140" s="782"/>
      <c r="M140" s="782"/>
      <c r="N140" s="782"/>
      <c r="O140" s="786"/>
    </row>
    <row r="141" spans="1:26" s="784" customFormat="1" hidden="1">
      <c r="A141" s="785"/>
      <c r="B141" s="782"/>
      <c r="C141" s="782"/>
      <c r="D141" s="782"/>
      <c r="E141" s="782"/>
      <c r="F141" s="783"/>
      <c r="G141" s="783"/>
      <c r="H141" s="782"/>
      <c r="I141" s="782"/>
      <c r="J141" s="782"/>
      <c r="K141" s="782"/>
      <c r="L141" s="782"/>
      <c r="M141" s="782"/>
      <c r="N141" s="782"/>
      <c r="O141" s="786"/>
    </row>
    <row r="142" spans="1:26" s="784" customFormat="1" hidden="1">
      <c r="A142" s="785"/>
      <c r="B142" s="782"/>
      <c r="C142" s="782"/>
      <c r="D142" s="782"/>
      <c r="E142" s="782"/>
      <c r="F142" s="783"/>
      <c r="G142" s="783"/>
      <c r="H142" s="782"/>
      <c r="I142" s="782"/>
      <c r="J142" s="782"/>
      <c r="K142" s="782"/>
      <c r="L142" s="782"/>
      <c r="M142" s="782"/>
      <c r="N142" s="782"/>
      <c r="O142" s="786"/>
    </row>
    <row r="143" spans="1:26" s="784" customFormat="1" hidden="1">
      <c r="A143" s="785"/>
      <c r="B143" s="782"/>
      <c r="C143" s="782"/>
      <c r="D143" s="782"/>
      <c r="E143" s="782"/>
      <c r="F143" s="783"/>
      <c r="G143" s="783"/>
      <c r="H143" s="782"/>
      <c r="I143" s="782"/>
      <c r="J143" s="782"/>
      <c r="K143" s="782"/>
      <c r="L143" s="782"/>
      <c r="M143" s="782"/>
      <c r="N143" s="782"/>
      <c r="O143" s="786"/>
    </row>
    <row r="144" spans="1:26" s="784" customFormat="1" hidden="1">
      <c r="A144" s="785"/>
      <c r="B144" s="782"/>
      <c r="C144" s="782"/>
      <c r="D144" s="782"/>
      <c r="E144" s="782"/>
      <c r="F144" s="783"/>
      <c r="G144" s="783"/>
      <c r="H144" s="782"/>
      <c r="I144" s="782"/>
      <c r="J144" s="782"/>
      <c r="K144" s="782"/>
      <c r="L144" s="782"/>
      <c r="M144" s="782"/>
      <c r="N144" s="782"/>
      <c r="O144" s="786"/>
    </row>
    <row r="145" spans="1:15" s="784" customFormat="1" hidden="1">
      <c r="A145" s="785"/>
      <c r="B145" s="782"/>
      <c r="C145" s="782"/>
      <c r="D145" s="782"/>
      <c r="E145" s="782"/>
      <c r="F145" s="783"/>
      <c r="G145" s="783"/>
      <c r="H145" s="782"/>
      <c r="I145" s="782"/>
      <c r="J145" s="782"/>
      <c r="K145" s="782"/>
      <c r="L145" s="782"/>
      <c r="M145" s="782"/>
      <c r="N145" s="782"/>
      <c r="O145" s="786"/>
    </row>
    <row r="146" spans="1:15" s="784" customFormat="1" hidden="1">
      <c r="A146" s="785"/>
      <c r="B146" s="782"/>
      <c r="C146" s="782"/>
      <c r="D146" s="782"/>
      <c r="E146" s="782"/>
      <c r="F146" s="783"/>
      <c r="G146" s="783"/>
      <c r="H146" s="782"/>
      <c r="I146" s="782"/>
      <c r="J146" s="782"/>
      <c r="K146" s="782"/>
      <c r="L146" s="782"/>
      <c r="M146" s="782"/>
      <c r="N146" s="782"/>
      <c r="O146" s="786"/>
    </row>
    <row r="147" spans="1:15" s="784" customFormat="1" hidden="1">
      <c r="A147" s="785"/>
      <c r="B147" s="782"/>
      <c r="C147" s="782"/>
      <c r="D147" s="782"/>
      <c r="E147" s="782"/>
      <c r="F147" s="783"/>
      <c r="G147" s="783"/>
      <c r="H147" s="782"/>
      <c r="I147" s="782"/>
      <c r="J147" s="782"/>
      <c r="K147" s="782"/>
      <c r="L147" s="782"/>
      <c r="M147" s="782"/>
      <c r="N147" s="782"/>
      <c r="O147" s="786"/>
    </row>
    <row r="148" spans="1:15" s="784" customFormat="1" hidden="1">
      <c r="A148" s="785"/>
      <c r="B148" s="782"/>
      <c r="C148" s="782"/>
      <c r="D148" s="782"/>
      <c r="E148" s="782"/>
      <c r="F148" s="783"/>
      <c r="G148" s="783"/>
      <c r="H148" s="782"/>
      <c r="I148" s="782"/>
      <c r="J148" s="782"/>
      <c r="K148" s="782"/>
      <c r="L148" s="782"/>
      <c r="M148" s="782"/>
      <c r="N148" s="782"/>
      <c r="O148" s="786"/>
    </row>
    <row r="149" spans="1:15" s="784" customFormat="1" hidden="1">
      <c r="A149" s="785"/>
      <c r="B149" s="782"/>
      <c r="C149" s="782"/>
      <c r="D149" s="782"/>
      <c r="E149" s="782"/>
      <c r="F149" s="783"/>
      <c r="G149" s="783"/>
      <c r="H149" s="782"/>
      <c r="I149" s="782"/>
      <c r="J149" s="782"/>
      <c r="K149" s="782"/>
      <c r="L149" s="782"/>
      <c r="M149" s="782"/>
      <c r="N149" s="782"/>
      <c r="O149" s="786"/>
    </row>
    <row r="150" spans="1:15" s="784" customFormat="1" hidden="1">
      <c r="A150" s="785"/>
      <c r="B150" s="782"/>
      <c r="C150" s="782"/>
      <c r="D150" s="782"/>
      <c r="E150" s="782"/>
      <c r="F150" s="783"/>
      <c r="G150" s="783"/>
      <c r="H150" s="782"/>
      <c r="I150" s="782"/>
      <c r="J150" s="782"/>
      <c r="K150" s="782"/>
      <c r="L150" s="782"/>
      <c r="M150" s="782"/>
      <c r="N150" s="782"/>
      <c r="O150" s="786"/>
    </row>
    <row r="151" spans="1:15" s="784" customFormat="1" hidden="1">
      <c r="A151" s="785"/>
      <c r="B151" s="782"/>
      <c r="C151" s="782"/>
      <c r="D151" s="782"/>
      <c r="E151" s="782"/>
      <c r="F151" s="783"/>
      <c r="G151" s="783"/>
      <c r="H151" s="782"/>
      <c r="I151" s="782"/>
      <c r="J151" s="782"/>
      <c r="K151" s="782"/>
      <c r="L151" s="782"/>
      <c r="M151" s="782"/>
      <c r="N151" s="782"/>
      <c r="O151" s="786"/>
    </row>
    <row r="152" spans="1:15" s="784" customFormat="1" hidden="1">
      <c r="A152" s="785"/>
      <c r="B152" s="782"/>
      <c r="C152" s="782"/>
      <c r="D152" s="782"/>
      <c r="E152" s="782"/>
      <c r="F152" s="783"/>
      <c r="G152" s="783"/>
      <c r="H152" s="782"/>
      <c r="I152" s="782"/>
      <c r="J152" s="782"/>
      <c r="K152" s="782"/>
      <c r="L152" s="782"/>
      <c r="M152" s="782"/>
      <c r="N152" s="782"/>
      <c r="O152" s="786"/>
    </row>
    <row r="153" spans="1:15" s="784" customFormat="1" hidden="1">
      <c r="A153" s="785"/>
      <c r="B153" s="782"/>
      <c r="C153" s="782"/>
      <c r="D153" s="782"/>
      <c r="E153" s="782"/>
      <c r="F153" s="783"/>
      <c r="G153" s="783"/>
      <c r="H153" s="782"/>
      <c r="I153" s="782"/>
      <c r="J153" s="782"/>
      <c r="K153" s="782"/>
      <c r="L153" s="782"/>
      <c r="M153" s="782"/>
      <c r="N153" s="782"/>
      <c r="O153" s="786"/>
    </row>
    <row r="154" spans="1:15" s="784" customFormat="1" hidden="1">
      <c r="A154" s="785"/>
      <c r="B154" s="782"/>
      <c r="C154" s="782"/>
      <c r="D154" s="782"/>
      <c r="E154" s="782"/>
      <c r="F154" s="783"/>
      <c r="G154" s="783"/>
      <c r="H154" s="782"/>
      <c r="I154" s="782"/>
      <c r="J154" s="782"/>
      <c r="K154" s="782"/>
      <c r="L154" s="782"/>
      <c r="M154" s="782"/>
      <c r="N154" s="782"/>
      <c r="O154" s="786"/>
    </row>
    <row r="155" spans="1:15" s="784" customFormat="1" hidden="1">
      <c r="A155" s="785"/>
      <c r="B155" s="782"/>
      <c r="C155" s="782"/>
      <c r="D155" s="782"/>
      <c r="E155" s="782"/>
      <c r="F155" s="783"/>
      <c r="G155" s="783"/>
      <c r="H155" s="782"/>
      <c r="I155" s="782"/>
      <c r="J155" s="782"/>
      <c r="K155" s="782"/>
      <c r="L155" s="782"/>
      <c r="M155" s="782"/>
      <c r="N155" s="782"/>
      <c r="O155" s="786"/>
    </row>
    <row r="156" spans="1:15" s="784" customFormat="1" hidden="1">
      <c r="A156" s="785"/>
      <c r="B156" s="782"/>
      <c r="C156" s="782"/>
      <c r="D156" s="782"/>
      <c r="E156" s="782"/>
      <c r="F156" s="783"/>
      <c r="G156" s="783"/>
      <c r="H156" s="782"/>
      <c r="I156" s="782"/>
      <c r="J156" s="782"/>
      <c r="K156" s="782"/>
      <c r="L156" s="782"/>
      <c r="M156" s="782"/>
      <c r="N156" s="782"/>
      <c r="O156" s="786"/>
    </row>
    <row r="157" spans="1:15" s="784" customFormat="1" hidden="1">
      <c r="A157" s="785"/>
      <c r="B157" s="782"/>
      <c r="C157" s="782"/>
      <c r="D157" s="782"/>
      <c r="E157" s="782"/>
      <c r="F157" s="783"/>
      <c r="G157" s="783"/>
      <c r="H157" s="782"/>
      <c r="I157" s="782"/>
      <c r="J157" s="782"/>
      <c r="K157" s="782"/>
      <c r="L157" s="782"/>
      <c r="M157" s="782"/>
      <c r="N157" s="782"/>
      <c r="O157" s="786"/>
    </row>
    <row r="158" spans="1:15" s="784" customFormat="1" hidden="1">
      <c r="A158" s="785"/>
      <c r="B158" s="782"/>
      <c r="C158" s="782"/>
      <c r="D158" s="782"/>
      <c r="E158" s="782"/>
      <c r="F158" s="783"/>
      <c r="G158" s="783"/>
      <c r="H158" s="782"/>
      <c r="I158" s="782"/>
      <c r="J158" s="782"/>
      <c r="K158" s="782"/>
      <c r="L158" s="782"/>
      <c r="M158" s="782"/>
      <c r="N158" s="782"/>
      <c r="O158" s="786"/>
    </row>
    <row r="159" spans="1:15" s="784" customFormat="1" hidden="1">
      <c r="A159" s="785"/>
      <c r="B159" s="782"/>
      <c r="C159" s="782"/>
      <c r="D159" s="782"/>
      <c r="E159" s="782"/>
      <c r="F159" s="783"/>
      <c r="G159" s="783"/>
      <c r="H159" s="782"/>
      <c r="I159" s="782"/>
      <c r="J159" s="782"/>
      <c r="K159" s="782"/>
      <c r="L159" s="782"/>
      <c r="M159" s="782"/>
      <c r="N159" s="782"/>
      <c r="O159" s="786"/>
    </row>
    <row r="160" spans="1:15" s="784" customFormat="1" hidden="1">
      <c r="A160" s="785"/>
      <c r="B160" s="782"/>
      <c r="C160" s="782"/>
      <c r="D160" s="782"/>
      <c r="E160" s="782"/>
      <c r="F160" s="783"/>
      <c r="G160" s="783"/>
      <c r="H160" s="782"/>
      <c r="I160" s="782"/>
      <c r="J160" s="782"/>
      <c r="K160" s="782"/>
      <c r="L160" s="782"/>
      <c r="M160" s="782"/>
      <c r="N160" s="782"/>
      <c r="O160" s="786"/>
    </row>
    <row r="161" spans="1:15" s="784" customFormat="1" hidden="1">
      <c r="A161" s="785"/>
      <c r="B161" s="782"/>
      <c r="C161" s="782"/>
      <c r="D161" s="782"/>
      <c r="E161" s="782"/>
      <c r="F161" s="783"/>
      <c r="G161" s="783"/>
      <c r="H161" s="782"/>
      <c r="I161" s="782"/>
      <c r="J161" s="782"/>
      <c r="K161" s="782"/>
      <c r="L161" s="782"/>
      <c r="M161" s="782"/>
      <c r="N161" s="782"/>
      <c r="O161" s="786"/>
    </row>
    <row r="162" spans="1:15" s="784" customFormat="1" hidden="1">
      <c r="A162" s="785"/>
      <c r="B162" s="782"/>
      <c r="C162" s="782"/>
      <c r="D162" s="782"/>
      <c r="E162" s="782"/>
      <c r="F162" s="783"/>
      <c r="G162" s="783"/>
      <c r="H162" s="782"/>
      <c r="I162" s="782"/>
      <c r="J162" s="782"/>
      <c r="K162" s="782"/>
      <c r="L162" s="782"/>
      <c r="M162" s="782"/>
      <c r="N162" s="782"/>
      <c r="O162" s="786"/>
    </row>
    <row r="163" spans="1:15" s="784" customFormat="1" hidden="1">
      <c r="A163" s="785"/>
      <c r="B163" s="782"/>
      <c r="C163" s="782"/>
      <c r="D163" s="782"/>
      <c r="E163" s="782"/>
      <c r="F163" s="783"/>
      <c r="G163" s="783"/>
      <c r="H163" s="782"/>
      <c r="I163" s="782"/>
      <c r="J163" s="782"/>
      <c r="K163" s="782"/>
      <c r="L163" s="782"/>
      <c r="M163" s="782"/>
      <c r="N163" s="782"/>
      <c r="O163" s="786"/>
    </row>
    <row r="164" spans="1:15" s="784" customFormat="1" hidden="1">
      <c r="A164" s="785"/>
      <c r="B164" s="782"/>
      <c r="C164" s="782"/>
      <c r="D164" s="782"/>
      <c r="E164" s="782"/>
      <c r="F164" s="783"/>
      <c r="G164" s="783"/>
      <c r="H164" s="782"/>
      <c r="I164" s="782"/>
      <c r="J164" s="782"/>
      <c r="K164" s="782"/>
      <c r="L164" s="782"/>
      <c r="M164" s="782"/>
      <c r="N164" s="782"/>
      <c r="O164" s="786"/>
    </row>
    <row r="165" spans="1:15" s="784" customFormat="1" hidden="1">
      <c r="A165" s="785"/>
      <c r="B165" s="782"/>
      <c r="C165" s="782"/>
      <c r="D165" s="782"/>
      <c r="E165" s="782"/>
      <c r="F165" s="783"/>
      <c r="G165" s="783"/>
      <c r="H165" s="782"/>
      <c r="I165" s="782"/>
      <c r="J165" s="782"/>
      <c r="K165" s="782"/>
      <c r="L165" s="782"/>
      <c r="M165" s="782"/>
      <c r="N165" s="782"/>
      <c r="O165" s="786"/>
    </row>
    <row r="166" spans="1:15" s="784" customFormat="1" hidden="1">
      <c r="A166" s="785"/>
      <c r="B166" s="782"/>
      <c r="C166" s="782"/>
      <c r="D166" s="782"/>
      <c r="E166" s="782"/>
      <c r="F166" s="783"/>
      <c r="G166" s="783"/>
      <c r="H166" s="782"/>
      <c r="I166" s="782"/>
      <c r="J166" s="782"/>
      <c r="K166" s="782"/>
      <c r="L166" s="782"/>
      <c r="M166" s="782"/>
      <c r="N166" s="782"/>
      <c r="O166" s="786"/>
    </row>
    <row r="167" spans="1:15" s="784" customFormat="1" hidden="1">
      <c r="A167" s="785"/>
      <c r="B167" s="782"/>
      <c r="C167" s="782"/>
      <c r="D167" s="782"/>
      <c r="E167" s="782"/>
      <c r="F167" s="783"/>
      <c r="G167" s="783"/>
      <c r="H167" s="782"/>
      <c r="I167" s="782"/>
      <c r="J167" s="782"/>
      <c r="K167" s="782"/>
      <c r="L167" s="782"/>
      <c r="M167" s="782"/>
      <c r="N167" s="782"/>
      <c r="O167" s="786"/>
    </row>
    <row r="168" spans="1:15" s="784" customFormat="1" hidden="1">
      <c r="A168" s="785"/>
      <c r="B168" s="782"/>
      <c r="C168" s="782"/>
      <c r="D168" s="782"/>
      <c r="E168" s="782"/>
      <c r="F168" s="783"/>
      <c r="G168" s="783"/>
      <c r="H168" s="782"/>
      <c r="I168" s="782"/>
      <c r="J168" s="782"/>
      <c r="K168" s="782"/>
      <c r="L168" s="782"/>
      <c r="M168" s="782"/>
      <c r="N168" s="782"/>
      <c r="O168" s="786"/>
    </row>
    <row r="169" spans="1:15" s="784" customFormat="1" hidden="1">
      <c r="A169" s="785"/>
      <c r="B169" s="782"/>
      <c r="C169" s="782"/>
      <c r="D169" s="782"/>
      <c r="E169" s="782"/>
      <c r="F169" s="783"/>
      <c r="G169" s="783"/>
      <c r="H169" s="782"/>
      <c r="I169" s="782"/>
      <c r="J169" s="782"/>
      <c r="K169" s="782"/>
      <c r="L169" s="782"/>
      <c r="M169" s="782"/>
      <c r="N169" s="782"/>
      <c r="O169" s="786"/>
    </row>
    <row r="170" spans="1:15" s="784" customFormat="1" hidden="1">
      <c r="A170" s="785"/>
      <c r="B170" s="782"/>
      <c r="C170" s="782"/>
      <c r="D170" s="782"/>
      <c r="E170" s="782"/>
      <c r="F170" s="783"/>
      <c r="G170" s="783"/>
      <c r="H170" s="782"/>
      <c r="I170" s="782"/>
      <c r="J170" s="782"/>
      <c r="K170" s="782"/>
      <c r="L170" s="782"/>
      <c r="M170" s="782"/>
      <c r="N170" s="782"/>
      <c r="O170" s="786"/>
    </row>
    <row r="171" spans="1:15" s="784" customFormat="1" hidden="1">
      <c r="A171" s="785"/>
      <c r="B171" s="782"/>
      <c r="C171" s="782"/>
      <c r="D171" s="782"/>
      <c r="E171" s="782"/>
      <c r="F171" s="783"/>
      <c r="G171" s="783"/>
      <c r="H171" s="782"/>
      <c r="I171" s="782"/>
      <c r="J171" s="782"/>
      <c r="K171" s="782"/>
      <c r="L171" s="782"/>
      <c r="M171" s="782"/>
      <c r="N171" s="782"/>
      <c r="O171" s="786"/>
    </row>
    <row r="172" spans="1:15" s="784" customFormat="1" hidden="1">
      <c r="A172" s="785"/>
      <c r="B172" s="782"/>
      <c r="C172" s="782"/>
      <c r="D172" s="782"/>
      <c r="E172" s="782"/>
      <c r="F172" s="783"/>
      <c r="G172" s="783"/>
      <c r="H172" s="782"/>
      <c r="I172" s="782"/>
      <c r="J172" s="782"/>
      <c r="K172" s="782"/>
      <c r="L172" s="782"/>
      <c r="M172" s="782"/>
      <c r="N172" s="782"/>
      <c r="O172" s="786"/>
    </row>
    <row r="173" spans="1:15" s="784" customFormat="1" hidden="1">
      <c r="A173" s="785"/>
      <c r="B173" s="782"/>
      <c r="C173" s="782"/>
      <c r="D173" s="782"/>
      <c r="E173" s="782"/>
      <c r="F173" s="783"/>
      <c r="G173" s="783"/>
      <c r="H173" s="782"/>
      <c r="I173" s="782"/>
      <c r="J173" s="782"/>
      <c r="K173" s="782"/>
      <c r="L173" s="782"/>
      <c r="M173" s="782"/>
      <c r="N173" s="782"/>
      <c r="O173" s="786"/>
    </row>
    <row r="174" spans="1:15" s="784" customFormat="1" hidden="1">
      <c r="A174" s="785"/>
      <c r="B174" s="782"/>
      <c r="C174" s="782"/>
      <c r="D174" s="782"/>
      <c r="E174" s="782"/>
      <c r="F174" s="783"/>
      <c r="G174" s="783"/>
      <c r="H174" s="782"/>
      <c r="I174" s="782"/>
      <c r="J174" s="782"/>
      <c r="K174" s="782"/>
      <c r="L174" s="782"/>
      <c r="M174" s="782"/>
      <c r="N174" s="782"/>
      <c r="O174" s="786"/>
    </row>
    <row r="175" spans="1:15" s="784" customFormat="1" hidden="1">
      <c r="A175" s="785"/>
      <c r="B175" s="782"/>
      <c r="C175" s="782"/>
      <c r="D175" s="782"/>
      <c r="E175" s="782"/>
      <c r="F175" s="783"/>
      <c r="G175" s="783"/>
      <c r="H175" s="782"/>
      <c r="I175" s="782"/>
      <c r="J175" s="782"/>
      <c r="K175" s="782"/>
      <c r="L175" s="782"/>
      <c r="M175" s="782"/>
      <c r="N175" s="782"/>
      <c r="O175" s="786"/>
    </row>
    <row r="176" spans="1:15" s="784" customFormat="1" hidden="1">
      <c r="A176" s="785"/>
      <c r="B176" s="782"/>
      <c r="C176" s="782"/>
      <c r="D176" s="782"/>
      <c r="E176" s="782"/>
      <c r="F176" s="783"/>
      <c r="G176" s="783"/>
      <c r="H176" s="782"/>
      <c r="I176" s="782"/>
      <c r="J176" s="782"/>
      <c r="K176" s="782"/>
      <c r="L176" s="782"/>
      <c r="M176" s="782"/>
      <c r="N176" s="782"/>
      <c r="O176" s="786"/>
    </row>
    <row r="177" spans="1:15" s="784" customFormat="1" hidden="1">
      <c r="A177" s="785"/>
      <c r="B177" s="782"/>
      <c r="C177" s="782"/>
      <c r="D177" s="782"/>
      <c r="E177" s="782"/>
      <c r="F177" s="783"/>
      <c r="G177" s="783"/>
      <c r="H177" s="782"/>
      <c r="I177" s="782"/>
      <c r="J177" s="782"/>
      <c r="K177" s="782"/>
      <c r="L177" s="782"/>
      <c r="M177" s="782"/>
      <c r="N177" s="782"/>
      <c r="O177" s="786"/>
    </row>
    <row r="178" spans="1:15" s="784" customFormat="1" hidden="1">
      <c r="A178" s="785"/>
      <c r="B178" s="782"/>
      <c r="C178" s="782"/>
      <c r="D178" s="782"/>
      <c r="E178" s="782"/>
      <c r="F178" s="783"/>
      <c r="G178" s="783"/>
      <c r="H178" s="782"/>
      <c r="I178" s="782"/>
      <c r="J178" s="782"/>
      <c r="K178" s="782"/>
      <c r="L178" s="782"/>
      <c r="M178" s="782"/>
      <c r="N178" s="782"/>
      <c r="O178" s="786"/>
    </row>
    <row r="179" spans="1:15" s="784" customFormat="1" hidden="1">
      <c r="A179" s="785"/>
      <c r="B179" s="782"/>
      <c r="C179" s="782"/>
      <c r="D179" s="782"/>
      <c r="E179" s="782"/>
      <c r="F179" s="783"/>
      <c r="G179" s="783"/>
      <c r="H179" s="782"/>
      <c r="I179" s="782"/>
      <c r="J179" s="782"/>
      <c r="K179" s="782"/>
      <c r="L179" s="782"/>
      <c r="M179" s="782"/>
      <c r="N179" s="782"/>
      <c r="O179" s="786"/>
    </row>
    <row r="180" spans="1:15" s="784" customFormat="1" hidden="1">
      <c r="A180" s="785"/>
      <c r="B180" s="782"/>
      <c r="C180" s="782"/>
      <c r="D180" s="782"/>
      <c r="E180" s="782"/>
      <c r="F180" s="783"/>
      <c r="G180" s="783"/>
      <c r="H180" s="782"/>
      <c r="I180" s="782"/>
      <c r="J180" s="782"/>
      <c r="K180" s="782"/>
      <c r="L180" s="782"/>
      <c r="M180" s="782"/>
      <c r="N180" s="782"/>
      <c r="O180" s="786"/>
    </row>
    <row r="181" spans="1:15" s="784" customFormat="1" hidden="1">
      <c r="A181" s="785"/>
      <c r="B181" s="782"/>
      <c r="C181" s="782"/>
      <c r="D181" s="782"/>
      <c r="E181" s="782"/>
      <c r="F181" s="783"/>
      <c r="G181" s="783"/>
      <c r="H181" s="782"/>
      <c r="I181" s="782"/>
      <c r="J181" s="782"/>
      <c r="K181" s="782"/>
      <c r="L181" s="782"/>
      <c r="M181" s="782"/>
      <c r="N181" s="782"/>
      <c r="O181" s="786"/>
    </row>
    <row r="182" spans="1:15" s="784" customFormat="1" hidden="1">
      <c r="A182" s="785"/>
      <c r="B182" s="782"/>
      <c r="C182" s="782"/>
      <c r="D182" s="782"/>
      <c r="E182" s="782"/>
      <c r="F182" s="783"/>
      <c r="G182" s="783"/>
      <c r="H182" s="782"/>
      <c r="I182" s="782"/>
      <c r="J182" s="782"/>
      <c r="K182" s="782"/>
      <c r="L182" s="782"/>
      <c r="M182" s="782"/>
      <c r="N182" s="782"/>
      <c r="O182" s="786"/>
    </row>
    <row r="183" spans="1:15" s="784" customFormat="1" hidden="1">
      <c r="A183" s="785"/>
      <c r="B183" s="782"/>
      <c r="C183" s="782"/>
      <c r="D183" s="782"/>
      <c r="E183" s="782"/>
      <c r="F183" s="783"/>
      <c r="G183" s="783"/>
      <c r="H183" s="782"/>
      <c r="I183" s="782"/>
      <c r="J183" s="782"/>
      <c r="K183" s="782"/>
      <c r="L183" s="782"/>
      <c r="M183" s="782"/>
      <c r="N183" s="782"/>
      <c r="O183" s="786"/>
    </row>
    <row r="184" spans="1:15" s="784" customFormat="1" hidden="1">
      <c r="A184" s="785"/>
      <c r="B184" s="782"/>
      <c r="C184" s="782"/>
      <c r="D184" s="782"/>
      <c r="E184" s="782"/>
      <c r="F184" s="783"/>
      <c r="G184" s="783"/>
      <c r="H184" s="782"/>
      <c r="I184" s="782"/>
      <c r="J184" s="782"/>
      <c r="K184" s="782"/>
      <c r="L184" s="782"/>
      <c r="M184" s="782"/>
      <c r="N184" s="782"/>
      <c r="O184" s="786"/>
    </row>
    <row r="185" spans="1:15" s="784" customFormat="1" hidden="1">
      <c r="A185" s="785"/>
      <c r="B185" s="782"/>
      <c r="C185" s="782"/>
      <c r="D185" s="782"/>
      <c r="E185" s="782"/>
      <c r="F185" s="783"/>
      <c r="G185" s="783"/>
      <c r="H185" s="782"/>
      <c r="I185" s="782"/>
      <c r="J185" s="782"/>
      <c r="K185" s="782"/>
      <c r="L185" s="782"/>
      <c r="M185" s="782"/>
      <c r="N185" s="782"/>
      <c r="O185" s="786"/>
    </row>
    <row r="186" spans="1:15" s="784" customFormat="1" hidden="1">
      <c r="A186" s="785"/>
      <c r="B186" s="782"/>
      <c r="C186" s="782"/>
      <c r="D186" s="782"/>
      <c r="E186" s="782"/>
      <c r="F186" s="783"/>
      <c r="G186" s="783"/>
      <c r="H186" s="782"/>
      <c r="I186" s="782"/>
      <c r="J186" s="782"/>
      <c r="K186" s="782"/>
      <c r="L186" s="782"/>
      <c r="M186" s="782"/>
      <c r="N186" s="782"/>
      <c r="O186" s="786"/>
    </row>
    <row r="187" spans="1:15" s="784" customFormat="1" hidden="1">
      <c r="A187" s="785"/>
      <c r="B187" s="782"/>
      <c r="C187" s="782"/>
      <c r="D187" s="782"/>
      <c r="E187" s="782"/>
      <c r="F187" s="783"/>
      <c r="G187" s="783"/>
      <c r="H187" s="782"/>
      <c r="I187" s="782"/>
      <c r="J187" s="782"/>
      <c r="K187" s="782"/>
      <c r="L187" s="782"/>
      <c r="M187" s="782"/>
      <c r="N187" s="782"/>
      <c r="O187" s="786"/>
    </row>
    <row r="188" spans="1:15" s="784" customFormat="1" hidden="1">
      <c r="A188" s="785"/>
      <c r="B188" s="782"/>
      <c r="C188" s="782"/>
      <c r="D188" s="782"/>
      <c r="E188" s="782"/>
      <c r="F188" s="783"/>
      <c r="G188" s="783"/>
      <c r="H188" s="782"/>
      <c r="I188" s="782"/>
      <c r="J188" s="782"/>
      <c r="K188" s="782"/>
      <c r="L188" s="782"/>
      <c r="M188" s="782"/>
      <c r="N188" s="782"/>
      <c r="O188" s="786"/>
    </row>
    <row r="189" spans="1:15" s="784" customFormat="1" hidden="1">
      <c r="A189" s="785"/>
      <c r="B189" s="782"/>
      <c r="C189" s="782"/>
      <c r="D189" s="782"/>
      <c r="E189" s="782"/>
      <c r="F189" s="783"/>
      <c r="G189" s="783"/>
      <c r="H189" s="782"/>
      <c r="I189" s="782"/>
      <c r="J189" s="782"/>
      <c r="K189" s="782"/>
      <c r="L189" s="782"/>
      <c r="M189" s="782"/>
      <c r="N189" s="782"/>
      <c r="O189" s="786"/>
    </row>
    <row r="190" spans="1:15" s="784" customFormat="1" hidden="1">
      <c r="A190" s="785"/>
      <c r="B190" s="782"/>
      <c r="C190" s="782"/>
      <c r="D190" s="782"/>
      <c r="E190" s="782"/>
      <c r="F190" s="783"/>
      <c r="G190" s="783"/>
      <c r="H190" s="782"/>
      <c r="I190" s="782"/>
      <c r="J190" s="782"/>
      <c r="K190" s="782"/>
      <c r="L190" s="782"/>
      <c r="M190" s="782"/>
      <c r="N190" s="782"/>
      <c r="O190" s="786"/>
    </row>
    <row r="191" spans="1:15" s="784" customFormat="1" hidden="1">
      <c r="A191" s="785"/>
      <c r="B191" s="782"/>
      <c r="C191" s="782"/>
      <c r="D191" s="782"/>
      <c r="E191" s="782"/>
      <c r="F191" s="783"/>
      <c r="G191" s="783"/>
      <c r="H191" s="782"/>
      <c r="I191" s="782"/>
      <c r="J191" s="782"/>
      <c r="K191" s="782"/>
      <c r="L191" s="782"/>
      <c r="M191" s="782"/>
      <c r="N191" s="782"/>
      <c r="O191" s="786"/>
    </row>
    <row r="192" spans="1:15" s="784" customFormat="1" hidden="1">
      <c r="A192" s="785"/>
      <c r="B192" s="782"/>
      <c r="C192" s="782"/>
      <c r="D192" s="782"/>
      <c r="E192" s="782"/>
      <c r="F192" s="783"/>
      <c r="G192" s="783"/>
      <c r="H192" s="782"/>
      <c r="I192" s="782"/>
      <c r="J192" s="782"/>
      <c r="K192" s="782"/>
      <c r="L192" s="782"/>
      <c r="M192" s="782"/>
      <c r="N192" s="782"/>
      <c r="O192" s="786"/>
    </row>
    <row r="193" spans="1:15" s="784" customFormat="1" hidden="1">
      <c r="A193" s="785"/>
      <c r="B193" s="782"/>
      <c r="C193" s="782"/>
      <c r="D193" s="782"/>
      <c r="E193" s="782"/>
      <c r="F193" s="783"/>
      <c r="G193" s="783"/>
      <c r="H193" s="782"/>
      <c r="I193" s="782"/>
      <c r="J193" s="782"/>
      <c r="K193" s="782"/>
      <c r="L193" s="782"/>
      <c r="M193" s="782"/>
      <c r="N193" s="782"/>
      <c r="O193" s="786"/>
    </row>
    <row r="194" spans="1:15" s="784" customFormat="1" hidden="1">
      <c r="A194" s="785"/>
      <c r="B194" s="782"/>
      <c r="C194" s="782"/>
      <c r="D194" s="782"/>
      <c r="E194" s="782"/>
      <c r="F194" s="783"/>
      <c r="G194" s="783"/>
      <c r="H194" s="782"/>
      <c r="I194" s="782"/>
      <c r="J194" s="782"/>
      <c r="K194" s="782"/>
      <c r="L194" s="782"/>
      <c r="M194" s="782"/>
      <c r="N194" s="782"/>
      <c r="O194" s="786"/>
    </row>
    <row r="195" spans="1:15" s="784" customFormat="1" hidden="1">
      <c r="A195" s="785"/>
      <c r="B195" s="782"/>
      <c r="C195" s="782"/>
      <c r="D195" s="782"/>
      <c r="E195" s="782"/>
      <c r="F195" s="783"/>
      <c r="G195" s="783"/>
      <c r="H195" s="782"/>
      <c r="I195" s="782"/>
      <c r="J195" s="782"/>
      <c r="K195" s="782"/>
      <c r="L195" s="782"/>
      <c r="M195" s="782"/>
      <c r="N195" s="782"/>
      <c r="O195" s="786"/>
    </row>
    <row r="196" spans="1:15" s="784" customFormat="1" hidden="1">
      <c r="A196" s="785"/>
      <c r="B196" s="782"/>
      <c r="C196" s="782"/>
      <c r="D196" s="782"/>
      <c r="E196" s="782"/>
      <c r="F196" s="783"/>
      <c r="G196" s="783"/>
      <c r="H196" s="782"/>
      <c r="I196" s="782"/>
      <c r="J196" s="782"/>
      <c r="K196" s="782"/>
      <c r="L196" s="782"/>
      <c r="M196" s="782"/>
      <c r="N196" s="782"/>
      <c r="O196" s="786"/>
    </row>
    <row r="197" spans="1:15" s="784" customFormat="1" hidden="1">
      <c r="A197" s="785"/>
      <c r="B197" s="782"/>
      <c r="C197" s="782"/>
      <c r="D197" s="782"/>
      <c r="E197" s="782"/>
      <c r="F197" s="783"/>
      <c r="G197" s="783"/>
      <c r="H197" s="782"/>
      <c r="I197" s="782"/>
      <c r="J197" s="782"/>
      <c r="K197" s="782"/>
      <c r="L197" s="782"/>
      <c r="M197" s="782"/>
      <c r="N197" s="782"/>
      <c r="O197" s="786"/>
    </row>
    <row r="198" spans="1:15" s="784" customFormat="1" hidden="1">
      <c r="A198" s="785"/>
      <c r="B198" s="782"/>
      <c r="C198" s="782"/>
      <c r="D198" s="782"/>
      <c r="E198" s="782"/>
      <c r="F198" s="783"/>
      <c r="G198" s="783"/>
      <c r="H198" s="782"/>
      <c r="I198" s="782"/>
      <c r="J198" s="782"/>
      <c r="K198" s="782"/>
      <c r="L198" s="782"/>
      <c r="M198" s="782"/>
      <c r="N198" s="782"/>
      <c r="O198" s="786"/>
    </row>
    <row r="199" spans="1:15" s="784" customFormat="1" hidden="1">
      <c r="A199" s="785"/>
      <c r="B199" s="782"/>
      <c r="C199" s="782"/>
      <c r="D199" s="782"/>
      <c r="E199" s="782"/>
      <c r="F199" s="783"/>
      <c r="G199" s="783"/>
      <c r="H199" s="782"/>
      <c r="I199" s="782"/>
      <c r="J199" s="782"/>
      <c r="K199" s="782"/>
      <c r="L199" s="782"/>
      <c r="M199" s="782"/>
      <c r="N199" s="782"/>
      <c r="O199" s="786"/>
    </row>
    <row r="200" spans="1:15" s="784" customFormat="1" hidden="1">
      <c r="A200" s="785"/>
      <c r="B200" s="782"/>
      <c r="C200" s="782"/>
      <c r="D200" s="782"/>
      <c r="E200" s="782"/>
      <c r="F200" s="783"/>
      <c r="G200" s="783"/>
      <c r="H200" s="782"/>
      <c r="I200" s="782"/>
      <c r="J200" s="782"/>
      <c r="K200" s="782"/>
      <c r="L200" s="782"/>
      <c r="M200" s="782"/>
      <c r="N200" s="782"/>
      <c r="O200" s="786"/>
    </row>
    <row r="201" spans="1:15" s="784" customFormat="1" hidden="1">
      <c r="A201" s="785"/>
      <c r="B201" s="782"/>
      <c r="C201" s="782"/>
      <c r="D201" s="782"/>
      <c r="E201" s="782"/>
      <c r="F201" s="783"/>
      <c r="G201" s="783"/>
      <c r="H201" s="782"/>
      <c r="I201" s="782"/>
      <c r="J201" s="782"/>
      <c r="K201" s="782"/>
      <c r="L201" s="782"/>
      <c r="M201" s="782"/>
      <c r="N201" s="782"/>
      <c r="O201" s="786"/>
    </row>
    <row r="202" spans="1:15" s="784" customFormat="1">
      <c r="A202" s="785"/>
      <c r="B202" s="782"/>
      <c r="C202" s="782"/>
      <c r="D202" s="782"/>
      <c r="E202" s="782"/>
      <c r="F202" s="783"/>
      <c r="G202" s="783"/>
      <c r="H202" s="782"/>
      <c r="I202" s="782"/>
      <c r="J202" s="782"/>
      <c r="K202" s="782"/>
      <c r="L202" s="782"/>
      <c r="M202" s="782"/>
      <c r="N202" s="782"/>
    </row>
    <row r="203" spans="1:15" s="784" customFormat="1">
      <c r="A203" s="785"/>
      <c r="B203" s="782"/>
      <c r="C203" s="782"/>
      <c r="D203" s="782"/>
      <c r="E203" s="782"/>
      <c r="F203" s="783"/>
      <c r="G203" s="783"/>
      <c r="H203" s="782"/>
      <c r="I203" s="782"/>
      <c r="J203" s="782"/>
      <c r="K203" s="782"/>
      <c r="L203" s="782"/>
      <c r="M203" s="782"/>
      <c r="N203" s="782"/>
    </row>
    <row r="204" spans="1:15" s="784" customFormat="1">
      <c r="A204" s="785"/>
      <c r="B204" s="782"/>
      <c r="C204" s="782"/>
      <c r="D204" s="782"/>
      <c r="E204" s="782"/>
      <c r="F204" s="783"/>
      <c r="G204" s="783"/>
      <c r="H204" s="782"/>
      <c r="I204" s="1157"/>
      <c r="J204" s="1157"/>
      <c r="K204" s="1157"/>
      <c r="L204" s="1157"/>
      <c r="M204" s="1157"/>
      <c r="N204" s="782"/>
    </row>
    <row r="205" spans="1:15" s="784" customFormat="1">
      <c r="A205" s="785"/>
      <c r="B205" s="782"/>
      <c r="C205" s="782"/>
      <c r="D205" s="782"/>
      <c r="E205" s="782"/>
      <c r="F205" s="783"/>
      <c r="G205" s="783"/>
      <c r="H205" s="782"/>
      <c r="I205" s="1157"/>
      <c r="J205" s="1157"/>
      <c r="K205" s="1157"/>
      <c r="L205" s="1157"/>
      <c r="M205" s="1157"/>
      <c r="N205" s="782"/>
    </row>
    <row r="206" spans="1:15" s="784" customFormat="1" ht="12.75" customHeight="1">
      <c r="A206" s="785"/>
      <c r="B206" s="782"/>
      <c r="C206" s="782"/>
      <c r="D206" s="782"/>
      <c r="E206" s="782"/>
      <c r="F206" s="783"/>
      <c r="G206" s="783"/>
      <c r="H206" s="783"/>
      <c r="I206" s="1140"/>
      <c r="J206" s="1140" t="s">
        <v>4</v>
      </c>
      <c r="K206" s="1140">
        <v>49.504519999999843</v>
      </c>
      <c r="L206" s="1140"/>
      <c r="M206" s="1140"/>
      <c r="N206" s="782"/>
    </row>
    <row r="207" spans="1:15" s="784" customFormat="1">
      <c r="A207" s="781"/>
      <c r="B207" s="782"/>
      <c r="C207" s="782"/>
      <c r="D207" s="782"/>
      <c r="E207" s="782"/>
      <c r="F207" s="782"/>
      <c r="G207" s="782"/>
      <c r="H207" s="782"/>
      <c r="I207" s="1157"/>
      <c r="J207" s="1140" t="s">
        <v>5</v>
      </c>
      <c r="K207" s="1330">
        <v>16.571999999999971</v>
      </c>
      <c r="L207" s="1140"/>
      <c r="M207" s="1157"/>
      <c r="N207" s="782"/>
    </row>
    <row r="208" spans="1:15" ht="12.75" customHeight="1">
      <c r="A208" s="781"/>
      <c r="B208" s="781"/>
      <c r="C208" s="781"/>
      <c r="D208" s="781"/>
      <c r="E208" s="782"/>
      <c r="F208" s="782"/>
      <c r="G208" s="782"/>
      <c r="H208" s="782"/>
      <c r="I208" s="1157"/>
      <c r="J208" s="1140" t="s">
        <v>37</v>
      </c>
      <c r="K208" s="1330">
        <v>15.166639999999989</v>
      </c>
      <c r="L208" s="1140"/>
      <c r="M208" s="1157"/>
      <c r="N208" s="783"/>
    </row>
    <row r="209" spans="1:15" ht="12.75" customHeight="1">
      <c r="A209" s="781"/>
      <c r="B209" s="781"/>
      <c r="C209" s="781"/>
      <c r="D209" s="781"/>
      <c r="E209" s="782"/>
      <c r="F209" s="782"/>
      <c r="G209" s="782"/>
      <c r="H209" s="782"/>
      <c r="I209" s="1157"/>
      <c r="J209" s="1140" t="s">
        <v>38</v>
      </c>
      <c r="K209" s="1330">
        <v>18.761639999999979</v>
      </c>
      <c r="L209" s="1140"/>
      <c r="M209" s="1157"/>
      <c r="N209" s="783"/>
    </row>
    <row r="210" spans="1:15" ht="12.75" customHeight="1">
      <c r="A210" s="781"/>
      <c r="B210" s="781"/>
      <c r="C210" s="781"/>
      <c r="D210" s="781"/>
      <c r="E210" s="782"/>
      <c r="F210" s="782"/>
      <c r="G210" s="782"/>
      <c r="H210" s="782"/>
      <c r="I210" s="1157"/>
      <c r="J210" s="1140" t="s">
        <v>2622</v>
      </c>
      <c r="K210" s="1330">
        <f>SUM(K206:K209)</f>
        <v>100.00479999999979</v>
      </c>
      <c r="L210" s="1140"/>
      <c r="M210" s="1157"/>
      <c r="N210" s="781"/>
    </row>
    <row r="211" spans="1:15">
      <c r="A211" s="781"/>
      <c r="B211" s="781"/>
      <c r="C211" s="781"/>
      <c r="D211" s="781"/>
      <c r="E211" s="782"/>
      <c r="F211" s="782"/>
      <c r="G211" s="782"/>
      <c r="H211" s="782"/>
      <c r="I211" s="1157"/>
      <c r="J211" s="1140"/>
      <c r="K211" s="1140"/>
      <c r="L211" s="1140"/>
      <c r="M211" s="1157"/>
      <c r="N211" s="781"/>
    </row>
    <row r="212" spans="1:15">
      <c r="A212" s="781"/>
      <c r="B212" s="781"/>
      <c r="C212" s="781"/>
      <c r="D212" s="781"/>
      <c r="E212" s="782"/>
      <c r="F212" s="782"/>
      <c r="G212" s="782"/>
      <c r="H212" s="782"/>
      <c r="I212" s="1157"/>
      <c r="J212" s="1140"/>
      <c r="K212" s="1140"/>
      <c r="L212" s="1140"/>
      <c r="M212" s="1157"/>
      <c r="N212" s="781"/>
    </row>
    <row r="213" spans="1:15">
      <c r="A213" s="781"/>
      <c r="B213" s="781"/>
      <c r="C213" s="781"/>
      <c r="D213" s="781"/>
      <c r="E213" s="782"/>
      <c r="F213" s="782"/>
      <c r="G213" s="782"/>
      <c r="H213" s="782"/>
      <c r="I213" s="1157"/>
      <c r="J213" s="1140"/>
      <c r="K213" s="1140"/>
      <c r="L213" s="1140"/>
      <c r="M213" s="1157"/>
      <c r="N213" s="781"/>
    </row>
    <row r="214" spans="1:15">
      <c r="A214" s="781"/>
      <c r="B214" s="781"/>
      <c r="C214" s="781"/>
      <c r="D214" s="781"/>
      <c r="E214" s="782"/>
      <c r="F214" s="782"/>
      <c r="G214" s="782"/>
      <c r="H214" s="782"/>
      <c r="I214" s="1157"/>
      <c r="J214" s="1140"/>
      <c r="K214" s="1140"/>
      <c r="L214" s="1140"/>
      <c r="M214" s="1157"/>
      <c r="N214" s="781"/>
    </row>
    <row r="215" spans="1:15">
      <c r="A215" s="781"/>
      <c r="B215" s="781"/>
      <c r="C215" s="781"/>
      <c r="D215" s="781"/>
      <c r="E215" s="782"/>
      <c r="F215" s="782"/>
      <c r="G215" s="782"/>
      <c r="H215" s="782"/>
      <c r="I215" s="782"/>
      <c r="J215" s="1331"/>
      <c r="K215" s="1331"/>
      <c r="L215" s="1331"/>
      <c r="M215" s="782"/>
      <c r="N215" s="781"/>
    </row>
    <row r="216" spans="1:15" ht="12.75" customHeight="1">
      <c r="A216" s="781"/>
      <c r="B216" s="781"/>
      <c r="C216" s="781"/>
      <c r="D216" s="781"/>
      <c r="E216" s="782"/>
      <c r="F216" s="782"/>
      <c r="G216" s="782"/>
      <c r="H216" s="782"/>
      <c r="I216" s="782"/>
      <c r="J216" s="1331"/>
      <c r="K216" s="1331"/>
      <c r="L216" s="1331"/>
      <c r="M216" s="782"/>
      <c r="N216" s="781"/>
      <c r="O216" s="867"/>
    </row>
    <row r="217" spans="1:15">
      <c r="A217" s="781"/>
      <c r="B217" s="781"/>
      <c r="C217" s="781"/>
      <c r="D217" s="781"/>
      <c r="E217" s="782"/>
      <c r="F217" s="782"/>
      <c r="G217" s="782"/>
      <c r="H217" s="782"/>
      <c r="I217" s="782"/>
      <c r="J217" s="782"/>
      <c r="K217" s="782"/>
      <c r="L217" s="782"/>
      <c r="M217" s="782"/>
      <c r="N217" s="781"/>
      <c r="O217" s="867"/>
    </row>
    <row r="218" spans="1:15" ht="12.75" customHeight="1">
      <c r="A218" s="781"/>
      <c r="B218" s="781"/>
      <c r="C218" s="781"/>
      <c r="D218" s="781"/>
      <c r="E218" s="782"/>
      <c r="F218" s="782"/>
      <c r="G218" s="782"/>
      <c r="H218" s="782"/>
      <c r="I218" s="782"/>
      <c r="J218" s="782"/>
      <c r="K218" s="782"/>
      <c r="L218" s="782"/>
      <c r="M218" s="782"/>
      <c r="N218" s="781"/>
      <c r="O218" s="862"/>
    </row>
    <row r="219" spans="1:15" ht="12.75" customHeight="1">
      <c r="A219" s="781"/>
      <c r="B219" s="781"/>
      <c r="C219" s="781"/>
      <c r="D219" s="781"/>
      <c r="E219" s="782"/>
      <c r="F219" s="782"/>
      <c r="G219" s="782"/>
      <c r="H219" s="782"/>
      <c r="I219" s="782"/>
      <c r="J219" s="782"/>
      <c r="K219" s="782"/>
      <c r="L219" s="782"/>
      <c r="M219" s="782"/>
      <c r="N219" s="781"/>
      <c r="O219" s="862"/>
    </row>
    <row r="220" spans="1:15" ht="12.75" customHeight="1">
      <c r="A220" s="781"/>
      <c r="B220" s="781"/>
      <c r="C220" s="781"/>
      <c r="D220" s="781"/>
      <c r="E220" s="782"/>
      <c r="F220" s="782"/>
      <c r="G220" s="782"/>
      <c r="H220" s="782"/>
      <c r="I220" s="782"/>
      <c r="J220" s="782"/>
      <c r="K220" s="782"/>
      <c r="L220" s="782"/>
      <c r="M220" s="782"/>
      <c r="N220" s="781"/>
      <c r="O220" s="981"/>
    </row>
    <row r="221" spans="1:15">
      <c r="A221" s="781"/>
      <c r="B221" s="781"/>
      <c r="C221" s="781"/>
      <c r="D221" s="781"/>
      <c r="E221" s="782"/>
      <c r="F221" s="782"/>
      <c r="G221" s="782"/>
      <c r="H221" s="782"/>
      <c r="I221" s="782"/>
      <c r="J221" s="782"/>
      <c r="K221" s="782"/>
      <c r="L221" s="782"/>
      <c r="M221" s="782"/>
      <c r="N221" s="781"/>
    </row>
    <row r="222" spans="1:15">
      <c r="A222" s="781"/>
      <c r="B222" s="781"/>
      <c r="C222" s="781"/>
      <c r="D222" s="781"/>
      <c r="E222" s="781"/>
      <c r="F222" s="781"/>
      <c r="G222" s="781"/>
      <c r="H222" s="781"/>
      <c r="I222" s="781"/>
      <c r="J222" s="781"/>
      <c r="K222" s="781"/>
      <c r="L222" s="781"/>
      <c r="M222" s="781"/>
      <c r="N222" s="781"/>
    </row>
  </sheetData>
  <sheetProtection algorithmName="SHA-512" hashValue="y/5fYQPfh9JCyw0GuTtAhjYyoeF/ucSmbaQ1jtodVahEB45cD0foGLsE8QnldG4MXv/XtKfgDcBwpEdCyGAI5A==" saltValue="uJPywPpkMxSXsVuCONbH1A==" spinCount="100000" sheet="1" objects="1" scenarios="1" formatCells="0" formatColumns="0" formatRows="0" insertColumns="0" insertRows="0"/>
  <mergeCells count="3">
    <mergeCell ref="D2:J2"/>
    <mergeCell ref="D3:J3"/>
    <mergeCell ref="D10:E10"/>
  </mergeCells>
  <hyperlinks>
    <hyperlink ref="M17" location="Objetivos!A1" display="OBJETIVO"/>
    <hyperlink ref="M18" location="Programas!A1" display="PROGRAMAS"/>
    <hyperlink ref="M20" location="'Meta de Producto'!A1" display="M. PRODUCTO"/>
    <hyperlink ref="M21" location="'Metas de Resultado'!A1" display="M. RESULTADO"/>
    <hyperlink ref="M19" location="Entidades!A1" display="ENTIDADES"/>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6:F11"/>
  <sheetViews>
    <sheetView topLeftCell="A4" workbookViewId="0">
      <selection activeCell="G20" sqref="G20"/>
    </sheetView>
  </sheetViews>
  <sheetFormatPr baseColWidth="10" defaultRowHeight="12.75"/>
  <cols>
    <col min="5" max="5" width="22.5703125" bestFit="1" customWidth="1"/>
  </cols>
  <sheetData>
    <row r="6" spans="5:6">
      <c r="E6" s="177" t="s">
        <v>3264</v>
      </c>
      <c r="F6" s="177">
        <v>4</v>
      </c>
    </row>
    <row r="7" spans="5:6">
      <c r="E7" s="177" t="s">
        <v>2625</v>
      </c>
      <c r="F7">
        <v>33</v>
      </c>
    </row>
    <row r="8" spans="5:6">
      <c r="E8" s="177" t="s">
        <v>3265</v>
      </c>
      <c r="F8">
        <v>90</v>
      </c>
    </row>
    <row r="9" spans="5:6">
      <c r="E9" s="177" t="s">
        <v>3266</v>
      </c>
      <c r="F9">
        <v>21</v>
      </c>
    </row>
    <row r="10" spans="5:6">
      <c r="E10" s="177" t="s">
        <v>2764</v>
      </c>
      <c r="F10">
        <v>81</v>
      </c>
    </row>
    <row r="11" spans="5:6">
      <c r="E11" s="177" t="s">
        <v>3267</v>
      </c>
      <c r="F11">
        <v>537</v>
      </c>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filterMode="1">
    <tabColor rgb="FF9900FF"/>
  </sheetPr>
  <dimension ref="A1:CK282"/>
  <sheetViews>
    <sheetView topLeftCell="D1" zoomScale="77" zoomScaleNormal="77" workbookViewId="0">
      <pane xSplit="1" ySplit="4" topLeftCell="E5" activePane="bottomRight" state="frozen"/>
      <selection activeCell="M327" sqref="M327"/>
      <selection pane="topRight" activeCell="M327" sqref="M327"/>
      <selection pane="bottomLeft" activeCell="M327" sqref="M327"/>
      <selection pane="bottomRight" activeCell="H45" sqref="H45"/>
    </sheetView>
  </sheetViews>
  <sheetFormatPr baseColWidth="10" defaultRowHeight="12.75"/>
  <cols>
    <col min="1" max="1" width="12.42578125" style="177" hidden="1" customWidth="1"/>
    <col min="2" max="2" width="0" style="177" hidden="1" customWidth="1"/>
    <col min="3" max="3" width="11.5703125" style="177" hidden="1" customWidth="1"/>
    <col min="4" max="4" width="11.5703125" style="177" bestFit="1" customWidth="1"/>
    <col min="5" max="5" width="18.140625" style="177" customWidth="1"/>
    <col min="6" max="6" width="25.140625" style="177" customWidth="1"/>
    <col min="7" max="7" width="18.42578125" style="177" customWidth="1"/>
    <col min="8" max="8" width="50.85546875" style="177" customWidth="1"/>
    <col min="9" max="9" width="13.140625" style="177" customWidth="1"/>
    <col min="10" max="10" width="39.85546875" style="177" customWidth="1"/>
    <col min="11" max="11" width="12.7109375" style="177" customWidth="1"/>
    <col min="12" max="12" width="14.5703125" style="177" customWidth="1"/>
    <col min="13" max="17" width="11.5703125" style="177" bestFit="1" customWidth="1"/>
    <col min="18" max="18" width="16.140625" style="177" customWidth="1"/>
    <col min="19" max="19" width="11.42578125" style="177"/>
    <col min="20" max="20" width="33" style="177" customWidth="1"/>
    <col min="21" max="21" width="18.140625" style="177" customWidth="1"/>
    <col min="22" max="22" width="31.85546875" style="177" customWidth="1"/>
    <col min="23" max="23" width="23.5703125" style="177" bestFit="1" customWidth="1"/>
    <col min="24" max="24" width="57.5703125" style="177" customWidth="1"/>
    <col min="25" max="25" width="88.140625" style="177" customWidth="1"/>
    <col min="26" max="28" width="11.5703125" style="177" bestFit="1" customWidth="1"/>
    <col min="29" max="29" width="11.42578125" style="177"/>
    <col min="30" max="32" width="11.5703125" style="177" bestFit="1" customWidth="1"/>
    <col min="33" max="33" width="11.42578125" style="177"/>
    <col min="34" max="36" width="11.5703125" style="177" bestFit="1" customWidth="1"/>
    <col min="37" max="37" width="11.42578125" style="177"/>
    <col min="38" max="40" width="11.5703125" style="177" bestFit="1" customWidth="1"/>
    <col min="41" max="41" width="11.42578125" style="177"/>
    <col min="42" max="44" width="11.5703125" style="177" bestFit="1" customWidth="1"/>
    <col min="45" max="45" width="11.42578125" style="177"/>
    <col min="46" max="48" width="11.5703125" style="177" bestFit="1" customWidth="1"/>
    <col min="49" max="49" width="11.42578125" style="177"/>
    <col min="50" max="52" width="11.5703125" style="177" bestFit="1" customWidth="1"/>
    <col min="53" max="53" width="11.42578125" style="177"/>
    <col min="54" max="79" width="11.5703125" style="177" customWidth="1"/>
    <col min="80" max="85" width="11.5703125" style="1355" customWidth="1"/>
    <col min="86" max="89" width="11.5703125" style="1355" bestFit="1" customWidth="1"/>
    <col min="90" max="16384" width="11.42578125" style="1355"/>
  </cols>
  <sheetData>
    <row r="1" spans="1:89" ht="26.25">
      <c r="C1" s="205"/>
      <c r="D1" s="544">
        <v>1</v>
      </c>
      <c r="E1" s="544">
        <v>2</v>
      </c>
      <c r="F1" s="544">
        <v>3</v>
      </c>
      <c r="G1" s="544">
        <v>4</v>
      </c>
      <c r="H1" s="544">
        <v>5</v>
      </c>
      <c r="I1" s="544">
        <v>6</v>
      </c>
      <c r="J1" s="544">
        <v>7</v>
      </c>
      <c r="K1" s="544">
        <v>8</v>
      </c>
      <c r="L1" s="544">
        <v>9</v>
      </c>
      <c r="M1" s="544">
        <v>10</v>
      </c>
      <c r="N1" s="544">
        <v>11</v>
      </c>
      <c r="O1" s="544">
        <v>12</v>
      </c>
      <c r="P1" s="544">
        <v>13</v>
      </c>
      <c r="Q1" s="544">
        <v>14</v>
      </c>
      <c r="R1" s="544">
        <v>15</v>
      </c>
      <c r="S1" s="544">
        <v>16</v>
      </c>
      <c r="T1" s="544">
        <v>17</v>
      </c>
      <c r="U1" s="544">
        <v>18</v>
      </c>
      <c r="V1" s="544">
        <v>19</v>
      </c>
      <c r="W1" s="544">
        <v>20</v>
      </c>
      <c r="X1" s="544">
        <v>21</v>
      </c>
      <c r="Y1" s="544">
        <v>22</v>
      </c>
      <c r="Z1" s="544">
        <v>23</v>
      </c>
      <c r="AA1" s="544">
        <v>24</v>
      </c>
      <c r="AB1" s="544">
        <v>25</v>
      </c>
      <c r="AC1" s="544">
        <v>26</v>
      </c>
      <c r="AD1" s="544">
        <v>27</v>
      </c>
      <c r="AE1" s="544">
        <v>28</v>
      </c>
      <c r="AF1" s="544">
        <v>29</v>
      </c>
      <c r="AG1" s="544">
        <v>30</v>
      </c>
      <c r="AH1" s="544">
        <v>31</v>
      </c>
      <c r="AI1" s="544">
        <v>32</v>
      </c>
      <c r="AJ1" s="544">
        <v>33</v>
      </c>
      <c r="AK1" s="544">
        <v>34</v>
      </c>
      <c r="AL1" s="544">
        <v>35</v>
      </c>
      <c r="AM1" s="544">
        <v>36</v>
      </c>
      <c r="AN1" s="544">
        <v>37</v>
      </c>
      <c r="AO1" s="544">
        <v>38</v>
      </c>
      <c r="AP1" s="544">
        <v>39</v>
      </c>
      <c r="AQ1" s="544">
        <v>40</v>
      </c>
      <c r="AR1" s="544">
        <v>41</v>
      </c>
      <c r="AS1" s="544">
        <v>42</v>
      </c>
      <c r="AT1" s="544">
        <v>43</v>
      </c>
      <c r="AU1" s="544">
        <v>44</v>
      </c>
      <c r="AV1" s="544">
        <v>45</v>
      </c>
      <c r="AW1" s="544">
        <v>46</v>
      </c>
      <c r="AX1" s="544">
        <v>47</v>
      </c>
      <c r="AY1" s="544">
        <v>48</v>
      </c>
      <c r="AZ1" s="544">
        <v>49</v>
      </c>
      <c r="BA1" s="544">
        <v>50</v>
      </c>
      <c r="BB1" s="228">
        <v>51</v>
      </c>
      <c r="BC1" s="228">
        <v>52</v>
      </c>
      <c r="BD1" s="228">
        <v>53</v>
      </c>
      <c r="BE1" s="228">
        <v>54</v>
      </c>
      <c r="BF1" s="228">
        <v>55</v>
      </c>
      <c r="BG1" s="228">
        <v>56</v>
      </c>
      <c r="BH1" s="228">
        <v>57</v>
      </c>
      <c r="BI1" s="228">
        <v>58</v>
      </c>
      <c r="BJ1" s="228">
        <v>59</v>
      </c>
      <c r="BK1" s="228">
        <v>60</v>
      </c>
      <c r="BL1" s="228">
        <v>61</v>
      </c>
      <c r="BM1" s="228">
        <v>62</v>
      </c>
      <c r="BN1" s="228">
        <v>63</v>
      </c>
      <c r="BO1" s="228">
        <v>64</v>
      </c>
      <c r="BP1" s="228">
        <v>65</v>
      </c>
      <c r="BQ1" s="228">
        <v>66</v>
      </c>
      <c r="BR1" s="228">
        <v>67</v>
      </c>
      <c r="BS1" s="61">
        <v>68</v>
      </c>
      <c r="BT1" s="228">
        <v>69</v>
      </c>
      <c r="BU1" s="61">
        <v>70</v>
      </c>
      <c r="BV1" s="228">
        <v>71</v>
      </c>
      <c r="BW1" s="61">
        <v>72</v>
      </c>
      <c r="BX1" s="228">
        <v>73</v>
      </c>
      <c r="BY1" s="61">
        <v>74</v>
      </c>
      <c r="BZ1" s="228">
        <v>75</v>
      </c>
      <c r="CA1" s="61">
        <v>76</v>
      </c>
      <c r="CB1" s="61"/>
      <c r="CC1" s="61"/>
      <c r="CD1" s="61"/>
      <c r="CE1" s="61"/>
      <c r="CF1" s="61"/>
      <c r="CG1" s="61"/>
      <c r="CH1" s="61"/>
      <c r="CI1" s="61"/>
      <c r="CJ1" s="61"/>
      <c r="CK1" s="61"/>
    </row>
    <row r="2" spans="1:89">
      <c r="C2" s="205"/>
      <c r="D2" s="228"/>
      <c r="E2" s="228"/>
      <c r="F2" s="228"/>
      <c r="G2" s="228"/>
      <c r="H2" s="228"/>
      <c r="I2" s="228"/>
      <c r="J2" s="228"/>
      <c r="K2" s="228"/>
      <c r="L2" s="228"/>
      <c r="M2" s="228"/>
      <c r="N2" s="228"/>
      <c r="O2" s="228"/>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28"/>
      <c r="BJ2" s="228"/>
      <c r="BK2" s="228"/>
      <c r="BL2" s="228"/>
      <c r="BM2" s="228"/>
      <c r="BN2" s="228"/>
      <c r="BO2" s="228"/>
      <c r="BP2" s="228"/>
      <c r="BQ2" s="228"/>
      <c r="BR2" s="228"/>
      <c r="BS2" s="61"/>
      <c r="BT2" s="228"/>
      <c r="BU2" s="61"/>
      <c r="BV2" s="228"/>
      <c r="BW2" s="61"/>
      <c r="BX2" s="228"/>
      <c r="BY2" s="61"/>
      <c r="BZ2" s="228"/>
      <c r="CA2" s="61"/>
      <c r="CB2" s="61"/>
      <c r="CC2" s="61"/>
      <c r="CD2" s="61"/>
      <c r="CE2" s="61"/>
      <c r="CF2" s="61"/>
      <c r="CG2" s="61"/>
      <c r="CH2" s="61"/>
      <c r="CI2" s="61"/>
      <c r="CJ2" s="61"/>
      <c r="CK2" s="61"/>
    </row>
    <row r="3" spans="1:89" ht="18.75">
      <c r="C3" s="205"/>
      <c r="D3" s="61"/>
      <c r="E3" s="61"/>
      <c r="F3" s="61"/>
      <c r="G3" s="61"/>
      <c r="H3" s="61"/>
      <c r="I3" s="61"/>
      <c r="J3" s="61"/>
      <c r="K3" s="61"/>
      <c r="L3" s="61"/>
      <c r="M3" s="61"/>
      <c r="N3" s="61"/>
      <c r="O3" s="61"/>
      <c r="P3" s="1641" t="s">
        <v>3091</v>
      </c>
      <c r="Q3" s="1641"/>
      <c r="R3" s="1641"/>
      <c r="S3" s="1641"/>
      <c r="T3" s="1641"/>
      <c r="U3" s="1641"/>
      <c r="V3" s="1641"/>
      <c r="W3" s="1641"/>
      <c r="X3" s="1641"/>
      <c r="Y3" s="61"/>
      <c r="Z3" s="1643" t="s">
        <v>3090</v>
      </c>
      <c r="AA3" s="1643"/>
      <c r="AB3" s="1643"/>
      <c r="AC3" s="1643"/>
      <c r="AD3" s="1643"/>
      <c r="AE3" s="1643"/>
      <c r="AF3" s="1643"/>
      <c r="AG3" s="1643"/>
      <c r="AH3" s="1643"/>
      <c r="AI3" s="1643"/>
      <c r="AJ3" s="1643"/>
      <c r="AK3" s="1643"/>
      <c r="AL3" s="1643"/>
      <c r="AM3" s="1643"/>
      <c r="AN3" s="1643"/>
      <c r="AO3" s="1643"/>
      <c r="AP3" s="1643"/>
      <c r="AQ3" s="1643"/>
      <c r="AR3" s="1643"/>
      <c r="AS3" s="1643"/>
      <c r="AT3" s="1643"/>
      <c r="AU3" s="1643"/>
      <c r="AV3" s="1643"/>
      <c r="AW3" s="1643"/>
      <c r="AX3" s="1643"/>
      <c r="AY3" s="1643"/>
      <c r="AZ3" s="1643"/>
      <c r="BA3" s="1643"/>
      <c r="BB3" s="61"/>
      <c r="BC3" s="61"/>
      <c r="BD3" s="61"/>
      <c r="BE3" s="61"/>
      <c r="BF3" s="61"/>
      <c r="BG3" s="61"/>
      <c r="BH3" s="61"/>
      <c r="BI3" s="61"/>
      <c r="BJ3" s="61"/>
      <c r="BK3" s="61"/>
      <c r="BL3" s="61"/>
      <c r="BM3" s="61"/>
      <c r="BN3" s="61"/>
      <c r="BO3" s="61"/>
      <c r="BP3" s="61"/>
      <c r="BQ3" s="61"/>
      <c r="BR3" s="61"/>
      <c r="BS3" s="61"/>
      <c r="BT3" s="1642" t="s">
        <v>1729</v>
      </c>
      <c r="BU3" s="1642"/>
      <c r="BV3" s="1642"/>
      <c r="BW3" s="1642"/>
      <c r="BX3" s="1642"/>
      <c r="BY3" s="1642"/>
      <c r="BZ3" s="1642"/>
      <c r="CA3" s="1642"/>
      <c r="CB3" s="61"/>
      <c r="CC3" s="61"/>
      <c r="CD3" s="61"/>
      <c r="CE3" s="61"/>
      <c r="CF3" s="61"/>
      <c r="CG3" s="61"/>
      <c r="CH3" s="61"/>
      <c r="CI3" s="61"/>
      <c r="CJ3" s="61"/>
      <c r="CK3" s="61"/>
    </row>
    <row r="4" spans="1:89" ht="37.5">
      <c r="C4" s="229">
        <v>1</v>
      </c>
      <c r="D4" s="543" t="s">
        <v>147</v>
      </c>
      <c r="E4" s="216" t="s">
        <v>146</v>
      </c>
      <c r="F4" s="230" t="s">
        <v>2</v>
      </c>
      <c r="G4" s="216" t="s">
        <v>1</v>
      </c>
      <c r="H4" s="216" t="s">
        <v>1690</v>
      </c>
      <c r="I4" s="216" t="s">
        <v>1689</v>
      </c>
      <c r="J4" s="216" t="s">
        <v>1688</v>
      </c>
      <c r="K4" s="216" t="s">
        <v>1687</v>
      </c>
      <c r="L4" s="216" t="s">
        <v>1686</v>
      </c>
      <c r="M4" s="216" t="s">
        <v>1685</v>
      </c>
      <c r="N4" s="216" t="s">
        <v>1684</v>
      </c>
      <c r="O4" s="216" t="s">
        <v>1683</v>
      </c>
      <c r="P4" s="539" t="s">
        <v>1682</v>
      </c>
      <c r="Q4" s="539" t="s">
        <v>1681</v>
      </c>
      <c r="R4" s="539" t="s">
        <v>1680</v>
      </c>
      <c r="S4" s="540" t="s">
        <v>1679</v>
      </c>
      <c r="T4" s="539" t="s">
        <v>1678</v>
      </c>
      <c r="U4" s="539" t="s">
        <v>1677</v>
      </c>
      <c r="V4" s="539" t="s">
        <v>1676</v>
      </c>
      <c r="W4" s="539" t="s">
        <v>1675</v>
      </c>
      <c r="X4" s="539" t="s">
        <v>1674</v>
      </c>
      <c r="Y4" s="215" t="s">
        <v>1673</v>
      </c>
      <c r="Z4" s="1278" t="s">
        <v>1672</v>
      </c>
      <c r="AA4" s="1278" t="s">
        <v>1671</v>
      </c>
      <c r="AB4" s="1278" t="s">
        <v>1670</v>
      </c>
      <c r="AC4" s="1278" t="s">
        <v>1669</v>
      </c>
      <c r="AD4" s="1279" t="s">
        <v>1668</v>
      </c>
      <c r="AE4" s="1279" t="s">
        <v>1667</v>
      </c>
      <c r="AF4" s="1279" t="s">
        <v>1666</v>
      </c>
      <c r="AG4" s="1279" t="s">
        <v>1665</v>
      </c>
      <c r="AH4" s="1278" t="s">
        <v>1664</v>
      </c>
      <c r="AI4" s="1278" t="s">
        <v>1663</v>
      </c>
      <c r="AJ4" s="1278" t="s">
        <v>1662</v>
      </c>
      <c r="AK4" s="1278" t="s">
        <v>1661</v>
      </c>
      <c r="AL4" s="1278" t="s">
        <v>1660</v>
      </c>
      <c r="AM4" s="1278" t="s">
        <v>1659</v>
      </c>
      <c r="AN4" s="1278" t="s">
        <v>1658</v>
      </c>
      <c r="AO4" s="1278" t="s">
        <v>1657</v>
      </c>
      <c r="AP4" s="1278" t="s">
        <v>1656</v>
      </c>
      <c r="AQ4" s="1278" t="s">
        <v>1655</v>
      </c>
      <c r="AR4" s="1278" t="s">
        <v>1654</v>
      </c>
      <c r="AS4" s="1278" t="s">
        <v>1653</v>
      </c>
      <c r="AT4" s="1278" t="s">
        <v>1652</v>
      </c>
      <c r="AU4" s="1278" t="s">
        <v>1651</v>
      </c>
      <c r="AV4" s="1278" t="s">
        <v>1650</v>
      </c>
      <c r="AW4" s="1278" t="s">
        <v>1649</v>
      </c>
      <c r="AX4" s="1279" t="s">
        <v>1648</v>
      </c>
      <c r="AY4" s="1279" t="s">
        <v>1647</v>
      </c>
      <c r="AZ4" s="1279" t="s">
        <v>1646</v>
      </c>
      <c r="BA4" s="1279" t="s">
        <v>1645</v>
      </c>
      <c r="BB4" s="214" t="s">
        <v>1644</v>
      </c>
      <c r="BC4" s="214" t="s">
        <v>1643</v>
      </c>
      <c r="BD4" s="214" t="s">
        <v>1642</v>
      </c>
      <c r="BE4" s="214" t="s">
        <v>1641</v>
      </c>
      <c r="BF4" s="214" t="s">
        <v>1640</v>
      </c>
      <c r="BG4" s="214" t="s">
        <v>1639</v>
      </c>
      <c r="BH4" s="214" t="s">
        <v>1638</v>
      </c>
      <c r="BI4" s="214" t="s">
        <v>1637</v>
      </c>
      <c r="BJ4" s="214" t="s">
        <v>1636</v>
      </c>
      <c r="BK4" s="214" t="s">
        <v>1635</v>
      </c>
      <c r="BL4" s="214" t="s">
        <v>1634</v>
      </c>
      <c r="BM4" s="214" t="s">
        <v>1633</v>
      </c>
      <c r="BN4" s="214" t="s">
        <v>1632</v>
      </c>
      <c r="BO4" s="214" t="s">
        <v>1631</v>
      </c>
      <c r="BP4" s="214" t="s">
        <v>1630</v>
      </c>
      <c r="BQ4" s="214" t="s">
        <v>1629</v>
      </c>
      <c r="BR4" s="214" t="s">
        <v>1628</v>
      </c>
      <c r="BS4" s="214" t="s">
        <v>1627</v>
      </c>
      <c r="BT4" s="241" t="s">
        <v>1721</v>
      </c>
      <c r="BU4" s="268" t="s">
        <v>1722</v>
      </c>
      <c r="BV4" s="241" t="s">
        <v>1723</v>
      </c>
      <c r="BW4" s="241" t="s">
        <v>1724</v>
      </c>
      <c r="BX4" s="241" t="s">
        <v>1725</v>
      </c>
      <c r="BY4" s="241" t="s">
        <v>1726</v>
      </c>
      <c r="BZ4" s="241" t="s">
        <v>1727</v>
      </c>
      <c r="CA4" s="1337" t="s">
        <v>1728</v>
      </c>
      <c r="CB4" s="61"/>
      <c r="CC4" s="61"/>
      <c r="CD4" s="61"/>
      <c r="CE4" s="61"/>
      <c r="CF4" s="61"/>
      <c r="CG4" s="61"/>
      <c r="CH4" s="61"/>
      <c r="CI4" s="61"/>
      <c r="CJ4" s="61"/>
      <c r="CK4" s="61"/>
    </row>
    <row r="5" spans="1:89" s="1357" customFormat="1" ht="42" customHeight="1">
      <c r="A5" s="196"/>
      <c r="B5" s="269"/>
      <c r="C5" s="231">
        <v>78</v>
      </c>
      <c r="D5" s="541">
        <v>619</v>
      </c>
      <c r="E5" s="236" t="s">
        <v>1413</v>
      </c>
      <c r="F5" s="232" t="s">
        <v>1358</v>
      </c>
      <c r="G5" s="236" t="s">
        <v>1412</v>
      </c>
      <c r="H5" s="236" t="s">
        <v>1411</v>
      </c>
      <c r="I5" s="236" t="s">
        <v>1398</v>
      </c>
      <c r="J5" s="236" t="s">
        <v>2167</v>
      </c>
      <c r="K5" s="236" t="s">
        <v>1410</v>
      </c>
      <c r="L5" s="237" t="s">
        <v>85</v>
      </c>
      <c r="M5" s="237">
        <v>0</v>
      </c>
      <c r="N5" s="237">
        <v>2011</v>
      </c>
      <c r="O5" s="237">
        <v>4993</v>
      </c>
      <c r="P5" s="1178">
        <v>4993</v>
      </c>
      <c r="Q5" s="1193">
        <v>4993</v>
      </c>
      <c r="R5" s="1180">
        <v>4993</v>
      </c>
      <c r="S5" s="1180">
        <v>6042</v>
      </c>
      <c r="T5" s="1194" t="s">
        <v>3149</v>
      </c>
      <c r="U5" s="1182" t="s">
        <v>1350</v>
      </c>
      <c r="V5" s="1183" t="s">
        <v>3150</v>
      </c>
      <c r="W5" s="1184">
        <v>42338</v>
      </c>
      <c r="X5" s="1185"/>
      <c r="Y5" s="1264" t="s">
        <v>3151</v>
      </c>
      <c r="Z5" s="1280"/>
      <c r="AA5" s="1280"/>
      <c r="AB5" s="1281"/>
      <c r="AC5" s="1282"/>
      <c r="AD5" s="1283"/>
      <c r="AE5" s="1281"/>
      <c r="AF5" s="1280"/>
      <c r="AG5" s="1280"/>
      <c r="AH5" s="1280"/>
      <c r="AI5" s="1280"/>
      <c r="AJ5" s="1280"/>
      <c r="AK5" s="1280"/>
      <c r="AL5" s="1280"/>
      <c r="AM5" s="1280"/>
      <c r="AN5" s="1280"/>
      <c r="AO5" s="1280"/>
      <c r="AP5" s="1280"/>
      <c r="AQ5" s="1280"/>
      <c r="AR5" s="1280"/>
      <c r="AS5" s="1280"/>
      <c r="AT5" s="1284"/>
      <c r="AU5" s="1285"/>
      <c r="AV5" s="1286"/>
      <c r="AW5" s="1286"/>
      <c r="AX5" s="1286"/>
      <c r="AY5" s="1286"/>
      <c r="AZ5" s="1287"/>
      <c r="BA5" s="1287"/>
      <c r="BB5" s="1276">
        <v>605</v>
      </c>
      <c r="BC5" s="233">
        <v>67</v>
      </c>
      <c r="BD5" s="233">
        <v>68</v>
      </c>
      <c r="BE5" s="233">
        <v>108</v>
      </c>
      <c r="BF5" s="233">
        <v>150</v>
      </c>
      <c r="BG5" s="233">
        <v>173</v>
      </c>
      <c r="BH5" s="233">
        <v>251</v>
      </c>
      <c r="BI5" s="233">
        <v>323</v>
      </c>
      <c r="BJ5" s="233">
        <v>554</v>
      </c>
      <c r="BK5" s="233">
        <v>555</v>
      </c>
      <c r="BL5" s="233">
        <v>556</v>
      </c>
      <c r="BM5" s="233">
        <v>557</v>
      </c>
      <c r="BN5" s="233">
        <v>558</v>
      </c>
      <c r="BO5" s="233">
        <v>559</v>
      </c>
      <c r="BP5" s="233">
        <v>560</v>
      </c>
      <c r="BQ5" s="233">
        <v>561</v>
      </c>
      <c r="BR5" s="233">
        <v>562</v>
      </c>
      <c r="BS5" s="233">
        <v>563</v>
      </c>
      <c r="BT5" s="241">
        <v>749</v>
      </c>
      <c r="BU5" s="241">
        <v>749</v>
      </c>
      <c r="BV5" s="241">
        <v>1248</v>
      </c>
      <c r="BW5" s="241">
        <v>1997</v>
      </c>
      <c r="BX5" s="241">
        <v>1498</v>
      </c>
      <c r="BY5" s="241">
        <v>3495</v>
      </c>
      <c r="BZ5" s="241">
        <v>1498</v>
      </c>
      <c r="CA5" s="1337">
        <v>4993</v>
      </c>
      <c r="CB5" s="1356"/>
      <c r="CC5" s="1356"/>
      <c r="CD5" s="1356"/>
      <c r="CE5" s="1356"/>
      <c r="CF5" s="1356"/>
      <c r="CG5" s="1356"/>
      <c r="CH5" s="1356"/>
      <c r="CI5" s="1356"/>
      <c r="CJ5" s="1356"/>
      <c r="CK5" s="1356"/>
    </row>
    <row r="6" spans="1:89" s="1357" customFormat="1" ht="60" hidden="1">
      <c r="A6" s="196"/>
      <c r="B6" s="269"/>
      <c r="C6" s="231">
        <v>52</v>
      </c>
      <c r="D6" s="541">
        <v>359</v>
      </c>
      <c r="E6" s="236" t="s">
        <v>1347</v>
      </c>
      <c r="F6" s="232" t="s">
        <v>5</v>
      </c>
      <c r="G6" s="236" t="s">
        <v>1497</v>
      </c>
      <c r="H6" s="236" t="s">
        <v>111</v>
      </c>
      <c r="I6" s="236" t="s">
        <v>1398</v>
      </c>
      <c r="J6" s="236" t="s">
        <v>1498</v>
      </c>
      <c r="K6" s="236" t="s">
        <v>1480</v>
      </c>
      <c r="L6" s="237" t="s">
        <v>85</v>
      </c>
      <c r="M6" s="237">
        <v>30000</v>
      </c>
      <c r="N6" s="237">
        <v>2011</v>
      </c>
      <c r="O6" s="237">
        <v>43200</v>
      </c>
      <c r="P6" s="1187">
        <v>32230</v>
      </c>
      <c r="Q6" s="1188">
        <v>35458</v>
      </c>
      <c r="R6" s="1188">
        <v>35458</v>
      </c>
      <c r="S6" s="1188">
        <v>43275</v>
      </c>
      <c r="T6" s="1180" t="s">
        <v>1495</v>
      </c>
      <c r="U6" s="1183" t="s">
        <v>1352</v>
      </c>
      <c r="V6" s="1183" t="s">
        <v>1495</v>
      </c>
      <c r="W6" s="1184" t="s">
        <v>3194</v>
      </c>
      <c r="X6" s="1189"/>
      <c r="Y6" s="1264" t="s">
        <v>1756</v>
      </c>
      <c r="Z6" s="1280"/>
      <c r="AA6" s="1280"/>
      <c r="AB6" s="1281"/>
      <c r="AC6" s="1282"/>
      <c r="AD6" s="1283"/>
      <c r="AE6" s="1281"/>
      <c r="AF6" s="1280"/>
      <c r="AG6" s="1280"/>
      <c r="AH6" s="1280"/>
      <c r="AI6" s="1280"/>
      <c r="AJ6" s="1280"/>
      <c r="AK6" s="1280"/>
      <c r="AL6" s="1280"/>
      <c r="AM6" s="1280"/>
      <c r="AN6" s="1280"/>
      <c r="AO6" s="1280"/>
      <c r="AP6" s="1280"/>
      <c r="AQ6" s="1280"/>
      <c r="AR6" s="1280"/>
      <c r="AS6" s="1280"/>
      <c r="AT6" s="1284"/>
      <c r="AU6" s="1285"/>
      <c r="AV6" s="1286"/>
      <c r="AW6" s="1286"/>
      <c r="AX6" s="1286"/>
      <c r="AY6" s="1286"/>
      <c r="AZ6" s="1287"/>
      <c r="BA6" s="1287"/>
      <c r="BB6" s="1276">
        <v>365</v>
      </c>
      <c r="BC6" s="233">
        <v>361</v>
      </c>
      <c r="BD6" s="233">
        <v>362</v>
      </c>
      <c r="BE6" s="233">
        <v>363</v>
      </c>
      <c r="BF6" s="233">
        <v>364</v>
      </c>
      <c r="BG6" s="233">
        <v>366</v>
      </c>
      <c r="BH6" s="233">
        <v>367</v>
      </c>
      <c r="BI6" s="233">
        <v>370</v>
      </c>
      <c r="BJ6" s="233">
        <v>371</v>
      </c>
      <c r="BK6" s="233">
        <v>382</v>
      </c>
      <c r="BL6" s="233">
        <v>384</v>
      </c>
      <c r="BM6" s="233">
        <v>383</v>
      </c>
      <c r="BN6" s="233">
        <v>369</v>
      </c>
      <c r="BO6" s="233">
        <v>372</v>
      </c>
      <c r="BP6" s="233">
        <v>373</v>
      </c>
      <c r="BQ6" s="233">
        <v>374</v>
      </c>
      <c r="BR6" s="233">
        <v>386</v>
      </c>
      <c r="BS6" s="233">
        <v>387</v>
      </c>
      <c r="BT6" s="280">
        <v>2000</v>
      </c>
      <c r="BU6" s="281">
        <v>32000</v>
      </c>
      <c r="BV6" s="272">
        <v>3700</v>
      </c>
      <c r="BW6" s="283">
        <v>35700</v>
      </c>
      <c r="BX6" s="280">
        <v>3700</v>
      </c>
      <c r="BY6" s="283">
        <v>39400</v>
      </c>
      <c r="BZ6" s="280">
        <v>3800</v>
      </c>
      <c r="CA6" s="1338">
        <v>43200</v>
      </c>
      <c r="CB6" s="1356"/>
      <c r="CC6" s="1356"/>
      <c r="CD6" s="1356"/>
      <c r="CE6" s="1356"/>
      <c r="CF6" s="1356"/>
      <c r="CG6" s="1356"/>
      <c r="CH6" s="1356"/>
      <c r="CI6" s="1356"/>
      <c r="CJ6" s="1356"/>
      <c r="CK6" s="1356"/>
    </row>
    <row r="7" spans="1:89" s="1357" customFormat="1" ht="48" hidden="1">
      <c r="A7" s="196"/>
      <c r="B7" s="269"/>
      <c r="C7" s="235">
        <v>53</v>
      </c>
      <c r="D7" s="541">
        <v>360</v>
      </c>
      <c r="E7" s="236" t="s">
        <v>1347</v>
      </c>
      <c r="F7" s="232" t="s">
        <v>5</v>
      </c>
      <c r="G7" s="236" t="s">
        <v>1497</v>
      </c>
      <c r="H7" s="236" t="s">
        <v>110</v>
      </c>
      <c r="I7" s="236" t="s">
        <v>1398</v>
      </c>
      <c r="J7" s="236" t="s">
        <v>1496</v>
      </c>
      <c r="K7" s="236" t="s">
        <v>1489</v>
      </c>
      <c r="L7" s="237" t="s">
        <v>85</v>
      </c>
      <c r="M7" s="237">
        <v>4000000</v>
      </c>
      <c r="N7" s="237">
        <v>2011</v>
      </c>
      <c r="O7" s="237">
        <v>4400000</v>
      </c>
      <c r="P7" s="1188">
        <v>4559639</v>
      </c>
      <c r="Q7" s="1188">
        <v>4634981</v>
      </c>
      <c r="R7" s="1188">
        <v>4634981</v>
      </c>
      <c r="S7" s="1188">
        <v>4699368</v>
      </c>
      <c r="T7" s="1180" t="s">
        <v>1495</v>
      </c>
      <c r="U7" s="1183" t="s">
        <v>1352</v>
      </c>
      <c r="V7" s="1183" t="s">
        <v>1495</v>
      </c>
      <c r="W7" s="1184" t="s">
        <v>3194</v>
      </c>
      <c r="X7" s="1189"/>
      <c r="Y7" s="1264" t="s">
        <v>1764</v>
      </c>
      <c r="Z7" s="1280"/>
      <c r="AA7" s="1280"/>
      <c r="AB7" s="1281"/>
      <c r="AC7" s="1282"/>
      <c r="AD7" s="1283"/>
      <c r="AE7" s="1281"/>
      <c r="AF7" s="1280"/>
      <c r="AG7" s="1280"/>
      <c r="AH7" s="1280"/>
      <c r="AI7" s="1280"/>
      <c r="AJ7" s="1280"/>
      <c r="AK7" s="1280"/>
      <c r="AL7" s="1280"/>
      <c r="AM7" s="1280"/>
      <c r="AN7" s="1280"/>
      <c r="AO7" s="1280"/>
      <c r="AP7" s="1280"/>
      <c r="AQ7" s="1280"/>
      <c r="AR7" s="1280"/>
      <c r="AS7" s="1280"/>
      <c r="AT7" s="1284"/>
      <c r="AU7" s="1285"/>
      <c r="AV7" s="1286"/>
      <c r="AW7" s="1286"/>
      <c r="AX7" s="1286"/>
      <c r="AY7" s="1286"/>
      <c r="AZ7" s="1287"/>
      <c r="BA7" s="1287"/>
      <c r="BB7" s="1276">
        <v>368</v>
      </c>
      <c r="BC7" s="233">
        <v>379</v>
      </c>
      <c r="BD7" s="219"/>
      <c r="BE7" s="219"/>
      <c r="BF7" s="219"/>
      <c r="BG7" s="219"/>
      <c r="BH7" s="219"/>
      <c r="BI7" s="219"/>
      <c r="BJ7" s="219"/>
      <c r="BK7" s="219"/>
      <c r="BL7" s="219"/>
      <c r="BM7" s="219"/>
      <c r="BN7" s="219"/>
      <c r="BO7" s="219"/>
      <c r="BP7" s="219"/>
      <c r="BQ7" s="219"/>
      <c r="BR7" s="219"/>
      <c r="BS7" s="219"/>
      <c r="BT7" s="201">
        <v>50000</v>
      </c>
      <c r="BU7" s="281">
        <v>4050000</v>
      </c>
      <c r="BV7" s="241">
        <v>120000</v>
      </c>
      <c r="BW7" s="283">
        <v>4170000</v>
      </c>
      <c r="BX7" s="201">
        <v>120000</v>
      </c>
      <c r="BY7" s="283">
        <v>4290000</v>
      </c>
      <c r="BZ7" s="201">
        <v>110000</v>
      </c>
      <c r="CA7" s="1338">
        <v>4400000</v>
      </c>
      <c r="CB7" s="1356"/>
      <c r="CC7" s="1356"/>
      <c r="CD7" s="1356"/>
      <c r="CE7" s="1356"/>
      <c r="CF7" s="1356"/>
      <c r="CG7" s="1356"/>
      <c r="CH7" s="1356"/>
      <c r="CI7" s="1356"/>
      <c r="CJ7" s="1356"/>
      <c r="CK7" s="1356"/>
    </row>
    <row r="8" spans="1:89" s="1357" customFormat="1" ht="36" hidden="1">
      <c r="A8" s="196"/>
      <c r="B8" s="269"/>
      <c r="C8" s="231">
        <v>54</v>
      </c>
      <c r="D8" s="541">
        <v>375</v>
      </c>
      <c r="E8" s="236" t="s">
        <v>1347</v>
      </c>
      <c r="F8" s="232" t="s">
        <v>5</v>
      </c>
      <c r="G8" s="236" t="s">
        <v>1494</v>
      </c>
      <c r="H8" s="236" t="s">
        <v>109</v>
      </c>
      <c r="I8" s="236" t="s">
        <v>1398</v>
      </c>
      <c r="J8" s="236" t="s">
        <v>1493</v>
      </c>
      <c r="K8" s="236" t="s">
        <v>1463</v>
      </c>
      <c r="L8" s="237" t="s">
        <v>85</v>
      </c>
      <c r="M8" s="237">
        <v>13926</v>
      </c>
      <c r="N8" s="237">
        <v>2011</v>
      </c>
      <c r="O8" s="237">
        <v>19041</v>
      </c>
      <c r="P8" s="1187">
        <v>15413</v>
      </c>
      <c r="Q8" s="1188">
        <v>19580</v>
      </c>
      <c r="R8" s="1188">
        <v>23368</v>
      </c>
      <c r="S8" s="1188">
        <v>24948</v>
      </c>
      <c r="T8" s="1180" t="s">
        <v>1492</v>
      </c>
      <c r="U8" s="1183" t="s">
        <v>1352</v>
      </c>
      <c r="V8" s="1180" t="s">
        <v>1492</v>
      </c>
      <c r="W8" s="1184" t="s">
        <v>2198</v>
      </c>
      <c r="X8" s="1189"/>
      <c r="Y8" s="1264" t="s">
        <v>2197</v>
      </c>
      <c r="Z8" s="1280"/>
      <c r="AA8" s="1280"/>
      <c r="AB8" s="1281"/>
      <c r="AC8" s="1282"/>
      <c r="AD8" s="1283"/>
      <c r="AE8" s="1281"/>
      <c r="AF8" s="1280"/>
      <c r="AG8" s="1280"/>
      <c r="AH8" s="1280"/>
      <c r="AI8" s="1280"/>
      <c r="AJ8" s="1280"/>
      <c r="AK8" s="1280"/>
      <c r="AL8" s="1280"/>
      <c r="AM8" s="1280"/>
      <c r="AN8" s="1280"/>
      <c r="AO8" s="1280"/>
      <c r="AP8" s="1280"/>
      <c r="AQ8" s="1280"/>
      <c r="AR8" s="1280"/>
      <c r="AS8" s="1280"/>
      <c r="AT8" s="1284"/>
      <c r="AU8" s="1285"/>
      <c r="AV8" s="1286"/>
      <c r="AW8" s="1286"/>
      <c r="AX8" s="1286"/>
      <c r="AY8" s="1286"/>
      <c r="AZ8" s="1287"/>
      <c r="BA8" s="1287"/>
      <c r="BB8" s="1276">
        <v>376</v>
      </c>
      <c r="BC8" s="233">
        <v>377</v>
      </c>
      <c r="BD8" s="233">
        <v>378</v>
      </c>
      <c r="BE8" s="233">
        <v>380</v>
      </c>
      <c r="BF8" s="233">
        <v>381</v>
      </c>
      <c r="BG8" s="233">
        <v>385</v>
      </c>
      <c r="BH8" s="219"/>
      <c r="BI8" s="219"/>
      <c r="BJ8" s="219"/>
      <c r="BK8" s="219"/>
      <c r="BL8" s="219"/>
      <c r="BM8" s="219"/>
      <c r="BN8" s="219"/>
      <c r="BO8" s="219"/>
      <c r="BP8" s="219"/>
      <c r="BQ8" s="219"/>
      <c r="BR8" s="219"/>
      <c r="BS8" s="219"/>
      <c r="BT8" s="280">
        <v>600</v>
      </c>
      <c r="BU8" s="281">
        <v>14526</v>
      </c>
      <c r="BV8" s="272">
        <v>2000</v>
      </c>
      <c r="BW8" s="283">
        <v>16526</v>
      </c>
      <c r="BX8" s="280">
        <v>1500</v>
      </c>
      <c r="BY8" s="283">
        <v>18026</v>
      </c>
      <c r="BZ8" s="280">
        <v>1015</v>
      </c>
      <c r="CA8" s="1338">
        <v>19041</v>
      </c>
      <c r="CB8" s="1356"/>
      <c r="CC8" s="1356"/>
      <c r="CD8" s="1356"/>
      <c r="CE8" s="1356"/>
      <c r="CF8" s="1356"/>
      <c r="CG8" s="1356"/>
      <c r="CH8" s="1356"/>
      <c r="CI8" s="1356"/>
      <c r="CJ8" s="1356"/>
      <c r="CK8" s="1356"/>
    </row>
    <row r="9" spans="1:89" s="1357" customFormat="1" ht="84" hidden="1">
      <c r="A9" s="196"/>
      <c r="B9" s="269"/>
      <c r="C9" s="231">
        <v>48</v>
      </c>
      <c r="D9" s="541">
        <v>334</v>
      </c>
      <c r="E9" s="236" t="s">
        <v>1346</v>
      </c>
      <c r="F9" s="232" t="s">
        <v>5</v>
      </c>
      <c r="G9" s="236" t="s">
        <v>1507</v>
      </c>
      <c r="H9" s="236" t="s">
        <v>115</v>
      </c>
      <c r="I9" s="236" t="s">
        <v>1398</v>
      </c>
      <c r="J9" s="236" t="s">
        <v>1508</v>
      </c>
      <c r="K9" s="236" t="s">
        <v>1480</v>
      </c>
      <c r="L9" s="237" t="s">
        <v>85</v>
      </c>
      <c r="M9" s="237">
        <v>27000</v>
      </c>
      <c r="N9" s="237">
        <v>2011</v>
      </c>
      <c r="O9" s="237">
        <v>31000</v>
      </c>
      <c r="P9" s="1187">
        <v>27555</v>
      </c>
      <c r="Q9" s="1190">
        <v>31460</v>
      </c>
      <c r="R9" s="1190">
        <v>33552</v>
      </c>
      <c r="S9" s="1237">
        <v>38698</v>
      </c>
      <c r="T9" s="1180" t="s">
        <v>39</v>
      </c>
      <c r="U9" s="1182" t="s">
        <v>1353</v>
      </c>
      <c r="V9" s="1183" t="s">
        <v>1505</v>
      </c>
      <c r="W9" s="1184" t="s">
        <v>3099</v>
      </c>
      <c r="X9" s="1186"/>
      <c r="Y9" s="1264" t="s">
        <v>3100</v>
      </c>
      <c r="Z9" s="1280"/>
      <c r="AA9" s="1280"/>
      <c r="AB9" s="1281"/>
      <c r="AC9" s="1282"/>
      <c r="AD9" s="1283"/>
      <c r="AE9" s="1281"/>
      <c r="AF9" s="1280"/>
      <c r="AG9" s="1280"/>
      <c r="AH9" s="1280"/>
      <c r="AI9" s="1280"/>
      <c r="AJ9" s="1280"/>
      <c r="AK9" s="1280"/>
      <c r="AL9" s="1280"/>
      <c r="AM9" s="1280"/>
      <c r="AN9" s="1280"/>
      <c r="AO9" s="1280"/>
      <c r="AP9" s="1280"/>
      <c r="AQ9" s="1280"/>
      <c r="AR9" s="1280"/>
      <c r="AS9" s="1280"/>
      <c r="AT9" s="1284"/>
      <c r="AU9" s="1285"/>
      <c r="AV9" s="1286"/>
      <c r="AW9" s="1286"/>
      <c r="AX9" s="1286"/>
      <c r="AY9" s="1286"/>
      <c r="AZ9" s="1287"/>
      <c r="BA9" s="1287"/>
      <c r="BB9" s="1276">
        <v>336</v>
      </c>
      <c r="BC9" s="233">
        <v>338</v>
      </c>
      <c r="BD9" s="233">
        <v>340</v>
      </c>
      <c r="BE9" s="233">
        <v>345</v>
      </c>
      <c r="BF9" s="219"/>
      <c r="BG9" s="219"/>
      <c r="BH9" s="219"/>
      <c r="BI9" s="219"/>
      <c r="BJ9" s="219"/>
      <c r="BK9" s="219"/>
      <c r="BL9" s="219"/>
      <c r="BM9" s="219"/>
      <c r="BN9" s="219"/>
      <c r="BO9" s="219"/>
      <c r="BP9" s="219"/>
      <c r="BQ9" s="219"/>
      <c r="BR9" s="219"/>
      <c r="BS9" s="219"/>
      <c r="BT9" s="280">
        <v>750</v>
      </c>
      <c r="BU9" s="281">
        <v>27750</v>
      </c>
      <c r="BV9" s="241">
        <v>1250</v>
      </c>
      <c r="BW9" s="272">
        <v>29000</v>
      </c>
      <c r="BX9" s="280">
        <v>1000</v>
      </c>
      <c r="BY9" s="272">
        <v>30000</v>
      </c>
      <c r="BZ9" s="280">
        <v>1000</v>
      </c>
      <c r="CA9" s="1339">
        <v>31000</v>
      </c>
      <c r="CB9" s="1356"/>
      <c r="CC9" s="1356"/>
      <c r="CD9" s="1356"/>
      <c r="CE9" s="1356"/>
      <c r="CF9" s="1356"/>
      <c r="CG9" s="1356"/>
      <c r="CH9" s="1356"/>
      <c r="CI9" s="1356"/>
      <c r="CJ9" s="1356"/>
      <c r="CK9" s="1356"/>
    </row>
    <row r="10" spans="1:89" s="1357" customFormat="1" ht="84" hidden="1">
      <c r="A10" s="196"/>
      <c r="B10" s="269"/>
      <c r="C10" s="235">
        <v>49</v>
      </c>
      <c r="D10" s="541">
        <v>335</v>
      </c>
      <c r="E10" s="236" t="s">
        <v>1346</v>
      </c>
      <c r="F10" s="232" t="s">
        <v>5</v>
      </c>
      <c r="G10" s="236" t="s">
        <v>1507</v>
      </c>
      <c r="H10" s="236" t="s">
        <v>114</v>
      </c>
      <c r="I10" s="236" t="s">
        <v>1398</v>
      </c>
      <c r="J10" s="236" t="s">
        <v>1506</v>
      </c>
      <c r="K10" s="236" t="s">
        <v>1489</v>
      </c>
      <c r="L10" s="237" t="s">
        <v>85</v>
      </c>
      <c r="M10" s="237">
        <v>0</v>
      </c>
      <c r="N10" s="237">
        <v>2011</v>
      </c>
      <c r="O10" s="237">
        <v>10000</v>
      </c>
      <c r="P10" s="1187">
        <v>1500</v>
      </c>
      <c r="Q10" s="1188">
        <v>5690</v>
      </c>
      <c r="R10" s="1188">
        <v>7500</v>
      </c>
      <c r="S10" s="1237">
        <v>46925</v>
      </c>
      <c r="T10" s="1180" t="s">
        <v>39</v>
      </c>
      <c r="U10" s="1183" t="s">
        <v>1352</v>
      </c>
      <c r="V10" s="1183" t="s">
        <v>1505</v>
      </c>
      <c r="W10" s="1184" t="s">
        <v>3099</v>
      </c>
      <c r="X10" s="1186"/>
      <c r="Y10" s="1264" t="s">
        <v>3101</v>
      </c>
      <c r="Z10" s="1280"/>
      <c r="AA10" s="1280"/>
      <c r="AB10" s="1281"/>
      <c r="AC10" s="1282"/>
      <c r="AD10" s="1283"/>
      <c r="AE10" s="1281"/>
      <c r="AF10" s="1280"/>
      <c r="AG10" s="1280"/>
      <c r="AH10" s="1280"/>
      <c r="AI10" s="1280"/>
      <c r="AJ10" s="1280"/>
      <c r="AK10" s="1280"/>
      <c r="AL10" s="1280"/>
      <c r="AM10" s="1280"/>
      <c r="AN10" s="1280"/>
      <c r="AO10" s="1280"/>
      <c r="AP10" s="1280"/>
      <c r="AQ10" s="1280"/>
      <c r="AR10" s="1280"/>
      <c r="AS10" s="1280"/>
      <c r="AT10" s="1284"/>
      <c r="AU10" s="1285"/>
      <c r="AV10" s="1286"/>
      <c r="AW10" s="1286"/>
      <c r="AX10" s="1286"/>
      <c r="AY10" s="1286"/>
      <c r="AZ10" s="1287"/>
      <c r="BA10" s="1287"/>
      <c r="BB10" s="1276">
        <v>337</v>
      </c>
      <c r="BC10" s="233">
        <v>339</v>
      </c>
      <c r="BD10" s="233">
        <v>341</v>
      </c>
      <c r="BE10" s="233">
        <v>342</v>
      </c>
      <c r="BF10" s="233">
        <v>343</v>
      </c>
      <c r="BG10" s="233">
        <v>344</v>
      </c>
      <c r="BH10" s="233">
        <v>346</v>
      </c>
      <c r="BI10" s="219"/>
      <c r="BJ10" s="219"/>
      <c r="BK10" s="219"/>
      <c r="BL10" s="219"/>
      <c r="BM10" s="219"/>
      <c r="BN10" s="219"/>
      <c r="BO10" s="219"/>
      <c r="BP10" s="219"/>
      <c r="BQ10" s="219"/>
      <c r="BR10" s="219"/>
      <c r="BS10" s="219"/>
      <c r="BT10" s="280">
        <v>1500</v>
      </c>
      <c r="BU10" s="272">
        <v>1500</v>
      </c>
      <c r="BV10" s="272">
        <v>3000</v>
      </c>
      <c r="BW10" s="272">
        <v>4500</v>
      </c>
      <c r="BX10" s="280">
        <v>3000</v>
      </c>
      <c r="BY10" s="272">
        <v>7500</v>
      </c>
      <c r="BZ10" s="280">
        <v>2500</v>
      </c>
      <c r="CA10" s="1339">
        <v>10000</v>
      </c>
      <c r="CB10" s="1356"/>
      <c r="CC10" s="1356"/>
      <c r="CD10" s="1356"/>
      <c r="CE10" s="1356"/>
      <c r="CF10" s="1356"/>
      <c r="CG10" s="1356"/>
      <c r="CH10" s="1356"/>
      <c r="CI10" s="1356"/>
      <c r="CJ10" s="1356"/>
      <c r="CK10" s="1356"/>
    </row>
    <row r="11" spans="1:89" s="1357" customFormat="1" ht="108" hidden="1">
      <c r="A11" s="196"/>
      <c r="B11" s="269"/>
      <c r="C11" s="235">
        <v>55</v>
      </c>
      <c r="D11" s="541">
        <v>388</v>
      </c>
      <c r="E11" s="236" t="s">
        <v>1346</v>
      </c>
      <c r="F11" s="232" t="s">
        <v>5</v>
      </c>
      <c r="G11" s="236" t="s">
        <v>1491</v>
      </c>
      <c r="H11" s="236" t="s">
        <v>108</v>
      </c>
      <c r="I11" s="236" t="s">
        <v>1398</v>
      </c>
      <c r="J11" s="236" t="s">
        <v>1490</v>
      </c>
      <c r="K11" s="236" t="s">
        <v>1489</v>
      </c>
      <c r="L11" s="237" t="s">
        <v>1369</v>
      </c>
      <c r="M11" s="237">
        <v>1200</v>
      </c>
      <c r="N11" s="237">
        <v>2011</v>
      </c>
      <c r="O11" s="237">
        <v>1150</v>
      </c>
      <c r="P11" s="1191">
        <v>1010</v>
      </c>
      <c r="Q11" s="1179">
        <v>1098</v>
      </c>
      <c r="R11" s="1180">
        <v>1125</v>
      </c>
      <c r="S11" s="1251">
        <v>1197</v>
      </c>
      <c r="T11" s="1192" t="s">
        <v>1488</v>
      </c>
      <c r="U11" s="1183" t="s">
        <v>1352</v>
      </c>
      <c r="V11" s="1183" t="s">
        <v>1487</v>
      </c>
      <c r="W11" s="1184" t="s">
        <v>3099</v>
      </c>
      <c r="X11" s="1186"/>
      <c r="Y11" s="1264" t="s">
        <v>3102</v>
      </c>
      <c r="Z11" s="1280"/>
      <c r="AA11" s="1280"/>
      <c r="AB11" s="1281"/>
      <c r="AC11" s="1282"/>
      <c r="AD11" s="1283"/>
      <c r="AE11" s="1281"/>
      <c r="AF11" s="1280"/>
      <c r="AG11" s="1280"/>
      <c r="AH11" s="1280"/>
      <c r="AI11" s="1280"/>
      <c r="AJ11" s="1280"/>
      <c r="AK11" s="1280"/>
      <c r="AL11" s="1280"/>
      <c r="AM11" s="1280"/>
      <c r="AN11" s="1280"/>
      <c r="AO11" s="1280"/>
      <c r="AP11" s="1280"/>
      <c r="AQ11" s="1280"/>
      <c r="AR11" s="1280"/>
      <c r="AS11" s="1280"/>
      <c r="AT11" s="1284"/>
      <c r="AU11" s="1285"/>
      <c r="AV11" s="1286"/>
      <c r="AW11" s="1286"/>
      <c r="AX11" s="1286"/>
      <c r="AY11" s="1286"/>
      <c r="AZ11" s="1287"/>
      <c r="BA11" s="1287"/>
      <c r="BB11" s="1276">
        <v>389</v>
      </c>
      <c r="BC11" s="233">
        <v>390</v>
      </c>
      <c r="BD11" s="233">
        <v>391</v>
      </c>
      <c r="BE11" s="233">
        <v>392</v>
      </c>
      <c r="BF11" s="233">
        <v>393</v>
      </c>
      <c r="BG11" s="233">
        <v>394</v>
      </c>
      <c r="BH11" s="233">
        <v>395</v>
      </c>
      <c r="BI11" s="233">
        <v>396</v>
      </c>
      <c r="BJ11" s="219"/>
      <c r="BK11" s="219"/>
      <c r="BL11" s="219"/>
      <c r="BM11" s="219"/>
      <c r="BN11" s="219"/>
      <c r="BO11" s="219"/>
      <c r="BP11" s="219"/>
      <c r="BQ11" s="219"/>
      <c r="BR11" s="219"/>
      <c r="BS11" s="219"/>
      <c r="BT11" s="280">
        <v>0</v>
      </c>
      <c r="BU11" s="281">
        <v>1200</v>
      </c>
      <c r="BV11" s="241">
        <v>0</v>
      </c>
      <c r="BW11" s="283">
        <v>1200</v>
      </c>
      <c r="BX11" s="280">
        <v>25</v>
      </c>
      <c r="BY11" s="283">
        <v>1175</v>
      </c>
      <c r="BZ11" s="280">
        <v>25</v>
      </c>
      <c r="CA11" s="1338">
        <v>1150</v>
      </c>
      <c r="CB11" s="1356"/>
      <c r="CC11" s="1356"/>
      <c r="CD11" s="1356"/>
      <c r="CE11" s="1356"/>
      <c r="CF11" s="1356"/>
      <c r="CG11" s="1356"/>
      <c r="CH11" s="1356"/>
      <c r="CI11" s="1356"/>
      <c r="CJ11" s="1356"/>
      <c r="CK11" s="1356"/>
    </row>
    <row r="12" spans="1:89" s="1357" customFormat="1" ht="36" hidden="1">
      <c r="A12" s="196"/>
      <c r="B12" s="269"/>
      <c r="C12" s="231">
        <v>58</v>
      </c>
      <c r="D12" s="541">
        <v>411</v>
      </c>
      <c r="E12" s="236" t="s">
        <v>1345</v>
      </c>
      <c r="F12" s="232" t="s">
        <v>5</v>
      </c>
      <c r="G12" s="236" t="s">
        <v>1482</v>
      </c>
      <c r="H12" s="236" t="s">
        <v>105</v>
      </c>
      <c r="I12" s="236" t="s">
        <v>1398</v>
      </c>
      <c r="J12" s="236" t="s">
        <v>1481</v>
      </c>
      <c r="K12" s="236" t="s">
        <v>1480</v>
      </c>
      <c r="L12" s="237" t="s">
        <v>85</v>
      </c>
      <c r="M12" s="237">
        <v>7732</v>
      </c>
      <c r="N12" s="237">
        <v>2011</v>
      </c>
      <c r="O12" s="237">
        <v>10132</v>
      </c>
      <c r="P12" s="1178">
        <v>7782</v>
      </c>
      <c r="Q12" s="1193">
        <v>8232</v>
      </c>
      <c r="R12" s="1193">
        <v>9254</v>
      </c>
      <c r="S12" s="1181"/>
      <c r="T12" s="1180" t="s">
        <v>1479</v>
      </c>
      <c r="U12" s="1182" t="s">
        <v>1352</v>
      </c>
      <c r="V12" s="1183"/>
      <c r="W12" s="1184"/>
      <c r="X12" s="1186" t="s">
        <v>1757</v>
      </c>
      <c r="Y12" s="1264"/>
      <c r="Z12" s="1280"/>
      <c r="AA12" s="1280"/>
      <c r="AB12" s="1281"/>
      <c r="AC12" s="1282"/>
      <c r="AD12" s="1283"/>
      <c r="AE12" s="1281"/>
      <c r="AF12" s="1280"/>
      <c r="AG12" s="1280"/>
      <c r="AH12" s="1280"/>
      <c r="AI12" s="1280"/>
      <c r="AJ12" s="1280"/>
      <c r="AK12" s="1280"/>
      <c r="AL12" s="1280"/>
      <c r="AM12" s="1280"/>
      <c r="AN12" s="1280"/>
      <c r="AO12" s="1280"/>
      <c r="AP12" s="1280"/>
      <c r="AQ12" s="1280"/>
      <c r="AR12" s="1280"/>
      <c r="AS12" s="1280"/>
      <c r="AT12" s="1284"/>
      <c r="AU12" s="1285"/>
      <c r="AV12" s="1286"/>
      <c r="AW12" s="1286"/>
      <c r="AX12" s="1286"/>
      <c r="AY12" s="1286"/>
      <c r="AZ12" s="1287"/>
      <c r="BA12" s="1287"/>
      <c r="BB12" s="1276">
        <v>412</v>
      </c>
      <c r="BC12" s="233">
        <v>413</v>
      </c>
      <c r="BD12" s="233">
        <v>414</v>
      </c>
      <c r="BE12" s="233">
        <v>415</v>
      </c>
      <c r="BF12" s="233">
        <v>416</v>
      </c>
      <c r="BG12" s="233">
        <v>417</v>
      </c>
      <c r="BH12" s="233">
        <v>418</v>
      </c>
      <c r="BI12" s="233">
        <v>419</v>
      </c>
      <c r="BJ12" s="233">
        <v>420</v>
      </c>
      <c r="BK12" s="233">
        <v>421</v>
      </c>
      <c r="BL12" s="219"/>
      <c r="BM12" s="219"/>
      <c r="BN12" s="219"/>
      <c r="BO12" s="219"/>
      <c r="BP12" s="219"/>
      <c r="BQ12" s="219"/>
      <c r="BR12" s="219"/>
      <c r="BS12" s="219"/>
      <c r="BT12" s="282">
        <v>100</v>
      </c>
      <c r="BU12" s="281">
        <v>7832</v>
      </c>
      <c r="BV12" s="272">
        <v>300</v>
      </c>
      <c r="BW12" s="283">
        <v>8132</v>
      </c>
      <c r="BX12" s="282">
        <v>1000</v>
      </c>
      <c r="BY12" s="283">
        <v>9132</v>
      </c>
      <c r="BZ12" s="282">
        <v>1000</v>
      </c>
      <c r="CA12" s="1338">
        <v>10132</v>
      </c>
      <c r="CB12" s="1356"/>
      <c r="CC12" s="1356"/>
      <c r="CD12" s="1356"/>
      <c r="CE12" s="1356"/>
      <c r="CF12" s="1356"/>
      <c r="CG12" s="1356"/>
      <c r="CH12" s="1356"/>
      <c r="CI12" s="1356"/>
      <c r="CJ12" s="1356"/>
      <c r="CK12" s="1356"/>
    </row>
    <row r="13" spans="1:89" s="1357" customFormat="1" ht="48" hidden="1">
      <c r="A13" s="196"/>
      <c r="B13" s="269"/>
      <c r="C13" s="231">
        <v>66</v>
      </c>
      <c r="D13" s="541">
        <v>468</v>
      </c>
      <c r="E13" s="236" t="s">
        <v>1454</v>
      </c>
      <c r="F13" s="232" t="s">
        <v>1376</v>
      </c>
      <c r="G13" s="236" t="s">
        <v>1453</v>
      </c>
      <c r="H13" s="236" t="s">
        <v>102</v>
      </c>
      <c r="I13" s="236" t="s">
        <v>1398</v>
      </c>
      <c r="J13" s="236" t="s">
        <v>1452</v>
      </c>
      <c r="K13" s="236" t="s">
        <v>1451</v>
      </c>
      <c r="L13" s="237" t="s">
        <v>1369</v>
      </c>
      <c r="M13" s="237">
        <v>10</v>
      </c>
      <c r="N13" s="237">
        <v>2011</v>
      </c>
      <c r="O13" s="243">
        <v>9</v>
      </c>
      <c r="P13" s="1178">
        <v>10</v>
      </c>
      <c r="Q13" s="1193">
        <v>7</v>
      </c>
      <c r="R13" s="1180">
        <v>7</v>
      </c>
      <c r="S13" s="1180">
        <v>7</v>
      </c>
      <c r="T13" s="1194" t="s">
        <v>1705</v>
      </c>
      <c r="U13" s="1182" t="s">
        <v>1352</v>
      </c>
      <c r="V13" s="1183" t="s">
        <v>1706</v>
      </c>
      <c r="W13" s="1184" t="s">
        <v>1707</v>
      </c>
      <c r="X13" s="1185"/>
      <c r="Y13" s="1264" t="s">
        <v>1708</v>
      </c>
      <c r="Z13" s="1280"/>
      <c r="AA13" s="1280"/>
      <c r="AB13" s="1281"/>
      <c r="AC13" s="1282"/>
      <c r="AD13" s="1283"/>
      <c r="AE13" s="1281"/>
      <c r="AF13" s="1280"/>
      <c r="AG13" s="1280"/>
      <c r="AH13" s="1280"/>
      <c r="AI13" s="1280"/>
      <c r="AJ13" s="1280"/>
      <c r="AK13" s="1280"/>
      <c r="AL13" s="1280"/>
      <c r="AM13" s="1280"/>
      <c r="AN13" s="1280"/>
      <c r="AO13" s="1280"/>
      <c r="AP13" s="1280"/>
      <c r="AQ13" s="1280"/>
      <c r="AR13" s="1280"/>
      <c r="AS13" s="1280"/>
      <c r="AT13" s="1284"/>
      <c r="AU13" s="1285"/>
      <c r="AV13" s="1286"/>
      <c r="AW13" s="1286"/>
      <c r="AX13" s="1286"/>
      <c r="AY13" s="1286"/>
      <c r="AZ13" s="1287"/>
      <c r="BA13" s="1287"/>
      <c r="BB13" s="1276">
        <v>469</v>
      </c>
      <c r="BC13" s="233">
        <v>470</v>
      </c>
      <c r="BD13" s="233">
        <v>471</v>
      </c>
      <c r="BE13" s="233">
        <v>472</v>
      </c>
      <c r="BF13" s="233">
        <v>473</v>
      </c>
      <c r="BG13" s="233">
        <v>474</v>
      </c>
      <c r="BH13" s="233">
        <v>475</v>
      </c>
      <c r="BI13" s="233">
        <v>476</v>
      </c>
      <c r="BJ13" s="233">
        <v>477</v>
      </c>
      <c r="BK13" s="233">
        <v>478</v>
      </c>
      <c r="BL13" s="233">
        <v>479</v>
      </c>
      <c r="BM13" s="233">
        <v>480</v>
      </c>
      <c r="BN13" s="233">
        <v>481</v>
      </c>
      <c r="BO13" s="233">
        <v>482</v>
      </c>
      <c r="BP13" s="233">
        <v>483</v>
      </c>
      <c r="BQ13" s="233">
        <v>484</v>
      </c>
      <c r="BR13" s="233">
        <v>485</v>
      </c>
      <c r="BS13" s="219"/>
      <c r="BT13" s="287">
        <v>0</v>
      </c>
      <c r="BU13" s="272">
        <v>0</v>
      </c>
      <c r="BV13" s="241">
        <v>0</v>
      </c>
      <c r="BW13" s="272">
        <v>0</v>
      </c>
      <c r="BX13" s="287">
        <v>0</v>
      </c>
      <c r="BY13" s="272">
        <v>0</v>
      </c>
      <c r="BZ13" s="287">
        <v>1</v>
      </c>
      <c r="CA13" s="1340">
        <v>9</v>
      </c>
      <c r="CB13" s="1356"/>
      <c r="CC13" s="1356"/>
      <c r="CD13" s="1356"/>
      <c r="CE13" s="1356"/>
      <c r="CF13" s="1356"/>
      <c r="CG13" s="1356"/>
      <c r="CH13" s="1356"/>
      <c r="CI13" s="1356"/>
      <c r="CJ13" s="1356"/>
      <c r="CK13" s="1356"/>
    </row>
    <row r="14" spans="1:89" s="1357" customFormat="1" ht="48" hidden="1">
      <c r="A14" s="196"/>
      <c r="B14" s="269"/>
      <c r="C14" s="235">
        <v>59</v>
      </c>
      <c r="D14" s="541">
        <v>422</v>
      </c>
      <c r="E14" s="236" t="s">
        <v>1343</v>
      </c>
      <c r="F14" s="232" t="s">
        <v>1376</v>
      </c>
      <c r="G14" s="236" t="s">
        <v>1478</v>
      </c>
      <c r="H14" s="236" t="s">
        <v>104</v>
      </c>
      <c r="I14" s="236" t="s">
        <v>1398</v>
      </c>
      <c r="J14" s="236" t="s">
        <v>1477</v>
      </c>
      <c r="K14" s="236" t="s">
        <v>1451</v>
      </c>
      <c r="L14" s="237" t="s">
        <v>1369</v>
      </c>
      <c r="M14" s="237">
        <v>6</v>
      </c>
      <c r="N14" s="237">
        <v>2011</v>
      </c>
      <c r="O14" s="237">
        <v>5</v>
      </c>
      <c r="P14" s="1178">
        <v>6</v>
      </c>
      <c r="Q14" s="1193">
        <v>6</v>
      </c>
      <c r="R14" s="1180">
        <v>6</v>
      </c>
      <c r="S14" s="1180">
        <v>6</v>
      </c>
      <c r="T14" s="1194" t="s">
        <v>1476</v>
      </c>
      <c r="U14" s="1195" t="s">
        <v>1352</v>
      </c>
      <c r="V14" s="1195" t="s">
        <v>1475</v>
      </c>
      <c r="W14" s="1196">
        <v>41639</v>
      </c>
      <c r="X14" s="1189" t="s">
        <v>2209</v>
      </c>
      <c r="Y14" s="1264" t="s">
        <v>2210</v>
      </c>
      <c r="Z14" s="1280"/>
      <c r="AA14" s="1280"/>
      <c r="AB14" s="1281"/>
      <c r="AC14" s="1282"/>
      <c r="AD14" s="1283"/>
      <c r="AE14" s="1281"/>
      <c r="AF14" s="1280"/>
      <c r="AG14" s="1280">
        <v>2</v>
      </c>
      <c r="AH14" s="1280"/>
      <c r="AI14" s="1280"/>
      <c r="AJ14" s="1280"/>
      <c r="AK14" s="1280">
        <v>5</v>
      </c>
      <c r="AL14" s="1280"/>
      <c r="AM14" s="1280"/>
      <c r="AN14" s="1280"/>
      <c r="AO14" s="1280">
        <v>1</v>
      </c>
      <c r="AP14" s="1280"/>
      <c r="AQ14" s="1280"/>
      <c r="AR14" s="1280"/>
      <c r="AS14" s="1280"/>
      <c r="AT14" s="1284"/>
      <c r="AU14" s="1285"/>
      <c r="AV14" s="1286"/>
      <c r="AW14" s="1286">
        <v>4</v>
      </c>
      <c r="AX14" s="1286"/>
      <c r="AY14" s="1286"/>
      <c r="AZ14" s="1287"/>
      <c r="BA14" s="1287">
        <v>3</v>
      </c>
      <c r="BB14" s="1276">
        <v>426</v>
      </c>
      <c r="BC14" s="233">
        <v>540</v>
      </c>
      <c r="BD14" s="233">
        <v>424</v>
      </c>
      <c r="BE14" s="233">
        <v>425</v>
      </c>
      <c r="BF14" s="233">
        <v>427</v>
      </c>
      <c r="BG14" s="233">
        <v>428</v>
      </c>
      <c r="BH14" s="233">
        <v>429</v>
      </c>
      <c r="BI14" s="233">
        <v>430</v>
      </c>
      <c r="BJ14" s="233">
        <v>431</v>
      </c>
      <c r="BK14" s="233">
        <v>432</v>
      </c>
      <c r="BL14" s="233">
        <v>433</v>
      </c>
      <c r="BM14" s="219"/>
      <c r="BN14" s="219"/>
      <c r="BO14" s="219"/>
      <c r="BP14" s="219"/>
      <c r="BQ14" s="219"/>
      <c r="BR14" s="219"/>
      <c r="BS14" s="219"/>
      <c r="BT14" s="287">
        <v>0</v>
      </c>
      <c r="BU14" s="287">
        <v>0</v>
      </c>
      <c r="BV14" s="241">
        <v>0</v>
      </c>
      <c r="BW14" s="287">
        <v>0</v>
      </c>
      <c r="BX14" s="287">
        <v>0</v>
      </c>
      <c r="BY14" s="287">
        <v>0</v>
      </c>
      <c r="BZ14" s="287">
        <v>1</v>
      </c>
      <c r="CA14" s="1341">
        <v>5</v>
      </c>
      <c r="CB14" s="1356"/>
      <c r="CC14" s="1356"/>
      <c r="CD14" s="1356"/>
      <c r="CE14" s="1356"/>
      <c r="CF14" s="1356"/>
      <c r="CG14" s="1356"/>
      <c r="CH14" s="1356"/>
      <c r="CI14" s="1356"/>
      <c r="CJ14" s="1356"/>
      <c r="CK14" s="1356"/>
    </row>
    <row r="15" spans="1:89" s="1357" customFormat="1" ht="132" hidden="1">
      <c r="A15" s="196"/>
      <c r="B15" s="269"/>
      <c r="C15" s="231">
        <v>60</v>
      </c>
      <c r="D15" s="541">
        <v>434</v>
      </c>
      <c r="E15" s="236" t="s">
        <v>1343</v>
      </c>
      <c r="F15" s="232" t="s">
        <v>1376</v>
      </c>
      <c r="G15" s="236" t="s">
        <v>1474</v>
      </c>
      <c r="H15" s="236" t="s">
        <v>103</v>
      </c>
      <c r="I15" s="236" t="s">
        <v>1398</v>
      </c>
      <c r="J15" s="236" t="s">
        <v>1473</v>
      </c>
      <c r="K15" s="236" t="s">
        <v>1472</v>
      </c>
      <c r="L15" s="237" t="s">
        <v>85</v>
      </c>
      <c r="M15" s="237">
        <v>1763</v>
      </c>
      <c r="N15" s="237">
        <v>2011</v>
      </c>
      <c r="O15" s="237">
        <v>2500</v>
      </c>
      <c r="P15" s="1197">
        <v>1745</v>
      </c>
      <c r="Q15" s="1197">
        <v>1689</v>
      </c>
      <c r="R15" s="1185">
        <v>1442</v>
      </c>
      <c r="S15" s="1185">
        <v>228</v>
      </c>
      <c r="T15" s="1194" t="s">
        <v>1471</v>
      </c>
      <c r="U15" s="1195" t="s">
        <v>1352</v>
      </c>
      <c r="V15" s="1195" t="s">
        <v>1700</v>
      </c>
      <c r="W15" s="1196">
        <v>42024</v>
      </c>
      <c r="X15" s="1189" t="s">
        <v>2211</v>
      </c>
      <c r="Y15" s="1264" t="s">
        <v>2212</v>
      </c>
      <c r="Z15" s="1280">
        <v>60125</v>
      </c>
      <c r="AA15" s="1285">
        <v>58823</v>
      </c>
      <c r="AB15" s="1281">
        <v>51061</v>
      </c>
      <c r="AC15" s="1282"/>
      <c r="AD15" s="1282">
        <v>6708</v>
      </c>
      <c r="AE15" s="1282">
        <v>5830</v>
      </c>
      <c r="AF15" s="1280">
        <v>4647</v>
      </c>
      <c r="AG15" s="1280"/>
      <c r="AH15" s="1285">
        <v>1242</v>
      </c>
      <c r="AI15" s="1285">
        <v>1421</v>
      </c>
      <c r="AJ15" s="1280">
        <v>1227</v>
      </c>
      <c r="AK15" s="1280"/>
      <c r="AL15" s="1285">
        <v>3290</v>
      </c>
      <c r="AM15" s="1285">
        <v>3232</v>
      </c>
      <c r="AN15" s="1280">
        <v>2834</v>
      </c>
      <c r="AO15" s="1280"/>
      <c r="AP15" s="1282">
        <v>389</v>
      </c>
      <c r="AQ15" s="1282">
        <v>341</v>
      </c>
      <c r="AR15" s="1280">
        <v>310</v>
      </c>
      <c r="AS15" s="1280"/>
      <c r="AT15" s="1282">
        <v>714</v>
      </c>
      <c r="AU15" s="1282">
        <v>1118</v>
      </c>
      <c r="AV15" s="1288">
        <v>1065</v>
      </c>
      <c r="AW15" s="1288"/>
      <c r="AX15" s="1282">
        <v>2283</v>
      </c>
      <c r="AY15" s="1288">
        <v>2112</v>
      </c>
      <c r="AZ15" s="1285">
        <v>2022</v>
      </c>
      <c r="BA15" s="1285"/>
      <c r="BB15" s="1276">
        <v>435</v>
      </c>
      <c r="BC15" s="233">
        <v>436</v>
      </c>
      <c r="BD15" s="233">
        <v>437</v>
      </c>
      <c r="BE15" s="233">
        <v>438</v>
      </c>
      <c r="BF15" s="233">
        <v>439</v>
      </c>
      <c r="BG15" s="219"/>
      <c r="BH15" s="219"/>
      <c r="BI15" s="219"/>
      <c r="BJ15" s="219"/>
      <c r="BK15" s="219"/>
      <c r="BL15" s="219"/>
      <c r="BM15" s="219"/>
      <c r="BN15" s="219"/>
      <c r="BO15" s="219"/>
      <c r="BP15" s="219"/>
      <c r="BQ15" s="219"/>
      <c r="BR15" s="219"/>
      <c r="BS15" s="219"/>
      <c r="BT15" s="287">
        <v>75</v>
      </c>
      <c r="BU15" s="288">
        <v>1838</v>
      </c>
      <c r="BV15" s="241">
        <v>100</v>
      </c>
      <c r="BW15" s="288">
        <v>1938</v>
      </c>
      <c r="BX15" s="287">
        <v>100</v>
      </c>
      <c r="BY15" s="289">
        <v>2038</v>
      </c>
      <c r="BZ15" s="287">
        <v>462</v>
      </c>
      <c r="CA15" s="1342">
        <v>2500</v>
      </c>
      <c r="CB15" s="1356"/>
      <c r="CC15" s="1356"/>
      <c r="CD15" s="1356"/>
      <c r="CE15" s="1356"/>
      <c r="CF15" s="1356"/>
      <c r="CG15" s="1356"/>
      <c r="CH15" s="1356"/>
      <c r="CI15" s="1356"/>
      <c r="CJ15" s="1356"/>
      <c r="CK15" s="1356"/>
    </row>
    <row r="16" spans="1:89" s="1357" customFormat="1" ht="96" hidden="1">
      <c r="A16" s="196"/>
      <c r="B16" s="269"/>
      <c r="C16" s="235">
        <v>71</v>
      </c>
      <c r="D16" s="541">
        <v>612</v>
      </c>
      <c r="E16" s="236" t="s">
        <v>1430</v>
      </c>
      <c r="F16" s="232" t="s">
        <v>1358</v>
      </c>
      <c r="G16" s="236" t="s">
        <v>1425</v>
      </c>
      <c r="H16" s="236" t="s">
        <v>97</v>
      </c>
      <c r="I16" s="236" t="s">
        <v>1398</v>
      </c>
      <c r="J16" s="236" t="s">
        <v>1429</v>
      </c>
      <c r="K16" s="236" t="s">
        <v>1423</v>
      </c>
      <c r="L16" s="237" t="s">
        <v>1369</v>
      </c>
      <c r="M16" s="237">
        <v>6</v>
      </c>
      <c r="N16" s="237">
        <v>2011</v>
      </c>
      <c r="O16" s="243">
        <v>4</v>
      </c>
      <c r="P16" s="1178">
        <v>6</v>
      </c>
      <c r="Q16" s="1180">
        <v>9</v>
      </c>
      <c r="R16" s="1180">
        <v>9</v>
      </c>
      <c r="S16" s="1180">
        <v>9</v>
      </c>
      <c r="T16" s="1194" t="s">
        <v>3125</v>
      </c>
      <c r="U16" s="1212"/>
      <c r="V16" s="1195" t="s">
        <v>3126</v>
      </c>
      <c r="W16" s="1196">
        <v>42093</v>
      </c>
      <c r="X16" s="1189" t="s">
        <v>3127</v>
      </c>
      <c r="Y16" s="1264" t="s">
        <v>3128</v>
      </c>
      <c r="Z16" s="1280"/>
      <c r="AA16" s="1280"/>
      <c r="AB16" s="1283"/>
      <c r="AC16" s="1280"/>
      <c r="AD16" s="1283"/>
      <c r="AE16" s="1283">
        <v>1</v>
      </c>
      <c r="AF16" s="1280">
        <v>1</v>
      </c>
      <c r="AG16" s="1280">
        <v>1</v>
      </c>
      <c r="AH16" s="1280"/>
      <c r="AI16" s="1280">
        <v>19</v>
      </c>
      <c r="AJ16" s="1280">
        <v>19</v>
      </c>
      <c r="AK16" s="1280">
        <v>19</v>
      </c>
      <c r="AL16" s="1280"/>
      <c r="AM16" s="1280"/>
      <c r="AN16" s="1280"/>
      <c r="AO16" s="1280"/>
      <c r="AP16" s="1280"/>
      <c r="AQ16" s="1280">
        <v>10</v>
      </c>
      <c r="AR16" s="1280">
        <v>10</v>
      </c>
      <c r="AS16" s="1280">
        <v>10</v>
      </c>
      <c r="AT16" s="1284"/>
      <c r="AU16" s="1288">
        <v>2</v>
      </c>
      <c r="AV16" s="1286">
        <v>2</v>
      </c>
      <c r="AW16" s="1286">
        <v>2</v>
      </c>
      <c r="AX16" s="1286"/>
      <c r="AY16" s="1286">
        <v>5</v>
      </c>
      <c r="AZ16" s="1332">
        <v>5</v>
      </c>
      <c r="BA16" s="1332">
        <v>5</v>
      </c>
      <c r="BB16" s="1276">
        <v>520</v>
      </c>
      <c r="BC16" s="233">
        <v>523</v>
      </c>
      <c r="BD16" s="233">
        <v>527</v>
      </c>
      <c r="BE16" s="233">
        <v>528</v>
      </c>
      <c r="BF16" s="233">
        <v>529</v>
      </c>
      <c r="BG16" s="233">
        <v>530</v>
      </c>
      <c r="BH16" s="233">
        <v>576</v>
      </c>
      <c r="BI16" s="219"/>
      <c r="BJ16" s="219"/>
      <c r="BK16" s="219"/>
      <c r="BL16" s="219"/>
      <c r="BM16" s="219"/>
      <c r="BN16" s="219"/>
      <c r="BO16" s="219"/>
      <c r="BP16" s="219"/>
      <c r="BQ16" s="219"/>
      <c r="BR16" s="219"/>
      <c r="BS16" s="219"/>
      <c r="BT16" s="241">
        <v>0</v>
      </c>
      <c r="BU16" s="241">
        <v>0</v>
      </c>
      <c r="BV16" s="272">
        <v>0</v>
      </c>
      <c r="BW16" s="241">
        <v>0</v>
      </c>
      <c r="BX16" s="241">
        <v>0</v>
      </c>
      <c r="BY16" s="241">
        <v>0</v>
      </c>
      <c r="BZ16" s="241">
        <v>2</v>
      </c>
      <c r="CA16" s="1337">
        <v>2</v>
      </c>
      <c r="CB16" s="1356"/>
      <c r="CC16" s="1356"/>
      <c r="CD16" s="1356"/>
      <c r="CE16" s="1356"/>
      <c r="CF16" s="1356"/>
      <c r="CG16" s="1356"/>
      <c r="CH16" s="1356"/>
      <c r="CI16" s="1356"/>
      <c r="CJ16" s="1356"/>
      <c r="CK16" s="1356"/>
    </row>
    <row r="17" spans="1:89" s="1357" customFormat="1" ht="48" hidden="1">
      <c r="A17" s="196"/>
      <c r="B17" s="269"/>
      <c r="C17" s="231">
        <v>8</v>
      </c>
      <c r="D17" s="541">
        <v>7</v>
      </c>
      <c r="E17" s="236" t="s">
        <v>1522</v>
      </c>
      <c r="F17" s="232" t="s">
        <v>4</v>
      </c>
      <c r="G17" s="236" t="s">
        <v>1608</v>
      </c>
      <c r="H17" s="236" t="s">
        <v>142</v>
      </c>
      <c r="I17" s="236" t="s">
        <v>1398</v>
      </c>
      <c r="J17" s="236" t="s">
        <v>1613</v>
      </c>
      <c r="K17" s="236" t="s">
        <v>1404</v>
      </c>
      <c r="L17" s="237" t="s">
        <v>1369</v>
      </c>
      <c r="M17" s="237">
        <v>6</v>
      </c>
      <c r="N17" s="237">
        <v>2011</v>
      </c>
      <c r="O17" s="237">
        <v>3.5</v>
      </c>
      <c r="P17" s="1203">
        <v>5.9</v>
      </c>
      <c r="Q17" s="1203">
        <v>5.2</v>
      </c>
      <c r="R17" s="1203">
        <v>5.2</v>
      </c>
      <c r="S17" s="1206">
        <v>4.1700000000000001E-2</v>
      </c>
      <c r="T17" s="1200" t="s">
        <v>7</v>
      </c>
      <c r="U17" s="1195" t="s">
        <v>1352</v>
      </c>
      <c r="V17" s="1195" t="s">
        <v>1611</v>
      </c>
      <c r="W17" s="1201" t="s">
        <v>3197</v>
      </c>
      <c r="X17" s="1202" t="s">
        <v>3198</v>
      </c>
      <c r="Y17" s="1265" t="s">
        <v>3199</v>
      </c>
      <c r="Z17" s="1280"/>
      <c r="AA17" s="1280"/>
      <c r="AB17" s="1281"/>
      <c r="AC17" s="1282"/>
      <c r="AD17" s="1283"/>
      <c r="AE17" s="1281"/>
      <c r="AF17" s="1280"/>
      <c r="AG17" s="1280"/>
      <c r="AH17" s="1280"/>
      <c r="AI17" s="1280"/>
      <c r="AJ17" s="1280"/>
      <c r="AK17" s="1280"/>
      <c r="AL17" s="1280"/>
      <c r="AM17" s="1280"/>
      <c r="AN17" s="1280"/>
      <c r="AO17" s="1280"/>
      <c r="AP17" s="1280"/>
      <c r="AQ17" s="1280"/>
      <c r="AR17" s="1280"/>
      <c r="AS17" s="1280"/>
      <c r="AT17" s="1284"/>
      <c r="AU17" s="1285"/>
      <c r="AV17" s="1286"/>
      <c r="AW17" s="1286"/>
      <c r="AX17" s="1286"/>
      <c r="AY17" s="1286"/>
      <c r="AZ17" s="1287"/>
      <c r="BA17" s="1287"/>
      <c r="BB17" s="1276">
        <v>283</v>
      </c>
      <c r="BC17" s="233">
        <v>284</v>
      </c>
      <c r="BD17" s="233">
        <v>15</v>
      </c>
      <c r="BE17" s="233">
        <v>16</v>
      </c>
      <c r="BF17" s="219"/>
      <c r="BG17" s="219"/>
      <c r="BH17" s="219"/>
      <c r="BI17" s="219"/>
      <c r="BJ17" s="219"/>
      <c r="BK17" s="219"/>
      <c r="BL17" s="219"/>
      <c r="BM17" s="219"/>
      <c r="BN17" s="219"/>
      <c r="BO17" s="219"/>
      <c r="BP17" s="219"/>
      <c r="BQ17" s="219"/>
      <c r="BR17" s="219"/>
      <c r="BS17" s="219"/>
      <c r="BT17" s="272">
        <v>0.125</v>
      </c>
      <c r="BU17" s="276">
        <v>5.8749999999999997E-2</v>
      </c>
      <c r="BV17" s="272">
        <v>0.625</v>
      </c>
      <c r="BW17" s="276">
        <v>5.2499999999999998E-2</v>
      </c>
      <c r="BX17" s="272">
        <v>0.75</v>
      </c>
      <c r="BY17" s="276">
        <v>4.4999999999999998E-2</v>
      </c>
      <c r="BZ17" s="272">
        <v>1</v>
      </c>
      <c r="CA17" s="1344">
        <v>3.4999999999999996E-2</v>
      </c>
      <c r="CB17" s="1356"/>
      <c r="CC17" s="1356"/>
      <c r="CD17" s="1356"/>
      <c r="CE17" s="1356"/>
      <c r="CF17" s="1356"/>
      <c r="CG17" s="1356"/>
      <c r="CH17" s="1356"/>
      <c r="CI17" s="1356"/>
      <c r="CJ17" s="1356"/>
      <c r="CK17" s="1356"/>
    </row>
    <row r="18" spans="1:89" s="1357" customFormat="1" ht="48" hidden="1">
      <c r="A18" s="196"/>
      <c r="B18" s="269"/>
      <c r="C18" s="235">
        <v>9</v>
      </c>
      <c r="D18" s="541">
        <v>8</v>
      </c>
      <c r="E18" s="236" t="s">
        <v>1522</v>
      </c>
      <c r="F18" s="232" t="s">
        <v>4</v>
      </c>
      <c r="G18" s="236" t="s">
        <v>1608</v>
      </c>
      <c r="H18" s="236" t="s">
        <v>141</v>
      </c>
      <c r="I18" s="236" t="s">
        <v>1398</v>
      </c>
      <c r="J18" s="236" t="s">
        <v>1612</v>
      </c>
      <c r="K18" s="236" t="s">
        <v>1404</v>
      </c>
      <c r="L18" s="237" t="s">
        <v>1369</v>
      </c>
      <c r="M18" s="237">
        <v>13</v>
      </c>
      <c r="N18" s="237">
        <v>2011</v>
      </c>
      <c r="O18" s="237">
        <v>9.5</v>
      </c>
      <c r="P18" s="1203">
        <v>11.1</v>
      </c>
      <c r="Q18" s="1207">
        <v>9.76</v>
      </c>
      <c r="R18" s="1205">
        <v>9.76</v>
      </c>
      <c r="S18" s="1206" t="s">
        <v>3200</v>
      </c>
      <c r="T18" s="1200" t="s">
        <v>7</v>
      </c>
      <c r="U18" s="1195" t="s">
        <v>1352</v>
      </c>
      <c r="V18" s="1195" t="s">
        <v>1611</v>
      </c>
      <c r="W18" s="1201" t="s">
        <v>3197</v>
      </c>
      <c r="X18" s="1202" t="s">
        <v>1692</v>
      </c>
      <c r="Y18" s="1265" t="s">
        <v>3201</v>
      </c>
      <c r="Z18" s="1280"/>
      <c r="AA18" s="1280"/>
      <c r="AB18" s="1281"/>
      <c r="AC18" s="1282"/>
      <c r="AD18" s="1283"/>
      <c r="AE18" s="1281"/>
      <c r="AF18" s="1280"/>
      <c r="AG18" s="1280"/>
      <c r="AH18" s="1280"/>
      <c r="AI18" s="1280"/>
      <c r="AJ18" s="1280"/>
      <c r="AK18" s="1280"/>
      <c r="AL18" s="1280"/>
      <c r="AM18" s="1280"/>
      <c r="AN18" s="1280"/>
      <c r="AO18" s="1280"/>
      <c r="AP18" s="1280"/>
      <c r="AQ18" s="1280"/>
      <c r="AR18" s="1280"/>
      <c r="AS18" s="1280"/>
      <c r="AT18" s="1284"/>
      <c r="AU18" s="1285"/>
      <c r="AV18" s="1286"/>
      <c r="AW18" s="1286"/>
      <c r="AX18" s="1286"/>
      <c r="AY18" s="1286"/>
      <c r="AZ18" s="1287"/>
      <c r="BA18" s="1287"/>
      <c r="BB18" s="1276">
        <v>283</v>
      </c>
      <c r="BC18" s="233">
        <v>284</v>
      </c>
      <c r="BD18" s="233">
        <v>15</v>
      </c>
      <c r="BE18" s="233">
        <v>16</v>
      </c>
      <c r="BF18" s="219"/>
      <c r="BG18" s="219"/>
      <c r="BH18" s="219"/>
      <c r="BI18" s="219"/>
      <c r="BJ18" s="219"/>
      <c r="BK18" s="219"/>
      <c r="BL18" s="219"/>
      <c r="BM18" s="219"/>
      <c r="BN18" s="219"/>
      <c r="BO18" s="219"/>
      <c r="BP18" s="219"/>
      <c r="BQ18" s="219"/>
      <c r="BR18" s="219"/>
      <c r="BS18" s="219"/>
      <c r="BT18" s="272">
        <v>0.18</v>
      </c>
      <c r="BU18" s="276">
        <v>0.12820000000000001</v>
      </c>
      <c r="BV18" s="272">
        <v>0.82000000000000006</v>
      </c>
      <c r="BW18" s="275">
        <v>0.12</v>
      </c>
      <c r="BX18" s="272">
        <v>1</v>
      </c>
      <c r="BY18" s="275">
        <v>0.11</v>
      </c>
      <c r="BZ18" s="272">
        <v>1.5</v>
      </c>
      <c r="CA18" s="1344">
        <v>9.5000000000000001E-2</v>
      </c>
      <c r="CB18" s="1356"/>
      <c r="CC18" s="1356"/>
      <c r="CD18" s="1356"/>
      <c r="CE18" s="1356"/>
      <c r="CF18" s="1356"/>
      <c r="CG18" s="1356"/>
      <c r="CH18" s="1356"/>
      <c r="CI18" s="1356"/>
      <c r="CJ18" s="1356"/>
      <c r="CK18" s="1356"/>
    </row>
    <row r="19" spans="1:89" s="1357" customFormat="1" ht="48" hidden="1">
      <c r="A19" s="196"/>
      <c r="B19" s="269"/>
      <c r="C19" s="235">
        <v>11</v>
      </c>
      <c r="D19" s="541">
        <v>10</v>
      </c>
      <c r="E19" s="236" t="s">
        <v>1522</v>
      </c>
      <c r="F19" s="232" t="s">
        <v>4</v>
      </c>
      <c r="G19" s="236" t="s">
        <v>1608</v>
      </c>
      <c r="H19" s="236" t="s">
        <v>140</v>
      </c>
      <c r="I19" s="236" t="s">
        <v>1398</v>
      </c>
      <c r="J19" s="236" t="s">
        <v>1607</v>
      </c>
      <c r="K19" s="236" t="s">
        <v>1573</v>
      </c>
      <c r="L19" s="237" t="s">
        <v>86</v>
      </c>
      <c r="M19" s="237">
        <v>0</v>
      </c>
      <c r="N19" s="237">
        <v>2011</v>
      </c>
      <c r="O19" s="237">
        <v>100</v>
      </c>
      <c r="P19" s="1198">
        <v>100</v>
      </c>
      <c r="Q19" s="1198">
        <v>100</v>
      </c>
      <c r="R19" s="1199">
        <v>25</v>
      </c>
      <c r="S19" s="1181">
        <v>100</v>
      </c>
      <c r="T19" s="1200" t="s">
        <v>7</v>
      </c>
      <c r="U19" s="1195" t="s">
        <v>1352</v>
      </c>
      <c r="V19" s="1195" t="s">
        <v>1572</v>
      </c>
      <c r="W19" s="1201" t="s">
        <v>3197</v>
      </c>
      <c r="X19" s="1202" t="s">
        <v>1737</v>
      </c>
      <c r="Y19" s="1265" t="s">
        <v>3202</v>
      </c>
      <c r="Z19" s="1280"/>
      <c r="AA19" s="1280"/>
      <c r="AB19" s="1281"/>
      <c r="AC19" s="1281"/>
      <c r="AD19" s="1283"/>
      <c r="AE19" s="1281"/>
      <c r="AF19" s="1280"/>
      <c r="AG19" s="1280"/>
      <c r="AH19" s="1280"/>
      <c r="AI19" s="1280"/>
      <c r="AJ19" s="1280"/>
      <c r="AK19" s="1280"/>
      <c r="AL19" s="1280"/>
      <c r="AM19" s="1280"/>
      <c r="AN19" s="1280"/>
      <c r="AO19" s="1280"/>
      <c r="AP19" s="1280"/>
      <c r="AQ19" s="1280"/>
      <c r="AR19" s="1280"/>
      <c r="AS19" s="1280"/>
      <c r="AT19" s="1284"/>
      <c r="AU19" s="1285"/>
      <c r="AV19" s="1286"/>
      <c r="AW19" s="1286"/>
      <c r="AX19" s="1286"/>
      <c r="AY19" s="1286"/>
      <c r="AZ19" s="1287"/>
      <c r="BA19" s="1287"/>
      <c r="BB19" s="1276">
        <v>29</v>
      </c>
      <c r="BC19" s="219"/>
      <c r="BD19" s="219"/>
      <c r="BE19" s="219"/>
      <c r="BF19" s="219"/>
      <c r="BG19" s="219"/>
      <c r="BH19" s="219"/>
      <c r="BI19" s="219"/>
      <c r="BJ19" s="219"/>
      <c r="BK19" s="219"/>
      <c r="BL19" s="219"/>
      <c r="BM19" s="219"/>
      <c r="BN19" s="219"/>
      <c r="BO19" s="219"/>
      <c r="BP19" s="219"/>
      <c r="BQ19" s="219"/>
      <c r="BR19" s="219"/>
      <c r="BS19" s="219"/>
      <c r="BT19" s="275">
        <v>1</v>
      </c>
      <c r="BU19" s="275">
        <v>1</v>
      </c>
      <c r="BV19" s="275">
        <v>1</v>
      </c>
      <c r="BW19" s="275">
        <v>1</v>
      </c>
      <c r="BX19" s="275">
        <v>1</v>
      </c>
      <c r="BY19" s="275">
        <v>1</v>
      </c>
      <c r="BZ19" s="275">
        <v>1</v>
      </c>
      <c r="CA19" s="1343">
        <v>1</v>
      </c>
      <c r="CB19" s="1356"/>
      <c r="CC19" s="1356"/>
      <c r="CD19" s="1356"/>
      <c r="CE19" s="1356"/>
      <c r="CF19" s="1356"/>
      <c r="CG19" s="1356"/>
      <c r="CH19" s="1356"/>
      <c r="CI19" s="1356"/>
      <c r="CJ19" s="1356"/>
      <c r="CK19" s="1356"/>
    </row>
    <row r="20" spans="1:89" s="1357" customFormat="1" ht="48" hidden="1">
      <c r="A20" s="196"/>
      <c r="B20" s="269"/>
      <c r="C20" s="235">
        <v>19</v>
      </c>
      <c r="D20" s="541">
        <v>40</v>
      </c>
      <c r="E20" s="236" t="s">
        <v>1522</v>
      </c>
      <c r="F20" s="232" t="s">
        <v>4</v>
      </c>
      <c r="G20" s="236" t="s">
        <v>1594</v>
      </c>
      <c r="H20" s="236" t="s">
        <v>134</v>
      </c>
      <c r="I20" s="236" t="s">
        <v>1398</v>
      </c>
      <c r="J20" s="236" t="s">
        <v>1593</v>
      </c>
      <c r="K20" s="236" t="s">
        <v>1573</v>
      </c>
      <c r="L20" s="237" t="s">
        <v>86</v>
      </c>
      <c r="M20" s="237">
        <v>0</v>
      </c>
      <c r="N20" s="237">
        <v>2011</v>
      </c>
      <c r="O20" s="237">
        <v>100</v>
      </c>
      <c r="P20" s="1198">
        <v>100</v>
      </c>
      <c r="Q20" s="1198">
        <v>100</v>
      </c>
      <c r="R20" s="1199">
        <v>25</v>
      </c>
      <c r="S20" s="1181">
        <v>100</v>
      </c>
      <c r="T20" s="1200" t="s">
        <v>7</v>
      </c>
      <c r="U20" s="1195" t="s">
        <v>1352</v>
      </c>
      <c r="V20" s="1195" t="s">
        <v>1572</v>
      </c>
      <c r="W20" s="1201" t="s">
        <v>3197</v>
      </c>
      <c r="X20" s="1202" t="s">
        <v>1744</v>
      </c>
      <c r="Y20" s="1208" t="s">
        <v>3202</v>
      </c>
      <c r="Z20" s="1280"/>
      <c r="AA20" s="1280"/>
      <c r="AB20" s="1281"/>
      <c r="AC20" s="1282"/>
      <c r="AD20" s="1283"/>
      <c r="AE20" s="1281"/>
      <c r="AF20" s="1280"/>
      <c r="AG20" s="1280"/>
      <c r="AH20" s="1280"/>
      <c r="AI20" s="1280"/>
      <c r="AJ20" s="1280"/>
      <c r="AK20" s="1280"/>
      <c r="AL20" s="1280"/>
      <c r="AM20" s="1280"/>
      <c r="AN20" s="1280"/>
      <c r="AO20" s="1280"/>
      <c r="AP20" s="1280"/>
      <c r="AQ20" s="1280"/>
      <c r="AR20" s="1280"/>
      <c r="AS20" s="1280"/>
      <c r="AT20" s="1284"/>
      <c r="AU20" s="1285"/>
      <c r="AV20" s="1286"/>
      <c r="AW20" s="1286"/>
      <c r="AX20" s="1286"/>
      <c r="AY20" s="1286"/>
      <c r="AZ20" s="1287"/>
      <c r="BA20" s="1287"/>
      <c r="BB20" s="1276">
        <v>65</v>
      </c>
      <c r="BC20" s="233"/>
      <c r="BD20" s="219"/>
      <c r="BE20" s="219"/>
      <c r="BF20" s="219"/>
      <c r="BG20" s="219"/>
      <c r="BH20" s="219"/>
      <c r="BI20" s="219"/>
      <c r="BJ20" s="219"/>
      <c r="BK20" s="219"/>
      <c r="BL20" s="219"/>
      <c r="BM20" s="219"/>
      <c r="BN20" s="219"/>
      <c r="BO20" s="219"/>
      <c r="BP20" s="219"/>
      <c r="BQ20" s="219"/>
      <c r="BR20" s="219"/>
      <c r="BS20" s="219"/>
      <c r="BT20" s="275">
        <v>1</v>
      </c>
      <c r="BU20" s="275">
        <v>1</v>
      </c>
      <c r="BV20" s="275">
        <v>1</v>
      </c>
      <c r="BW20" s="275">
        <v>1</v>
      </c>
      <c r="BX20" s="275">
        <v>1</v>
      </c>
      <c r="BY20" s="275">
        <v>1</v>
      </c>
      <c r="BZ20" s="275">
        <v>1</v>
      </c>
      <c r="CA20" s="1343">
        <v>1</v>
      </c>
      <c r="CB20" s="1356"/>
      <c r="CC20" s="1356"/>
      <c r="CD20" s="1356"/>
      <c r="CE20" s="1356"/>
      <c r="CF20" s="1356"/>
      <c r="CG20" s="1356"/>
      <c r="CH20" s="1356"/>
      <c r="CI20" s="1356"/>
      <c r="CJ20" s="1356"/>
      <c r="CK20" s="1356"/>
    </row>
    <row r="21" spans="1:89" s="1357" customFormat="1" ht="48" hidden="1">
      <c r="A21" s="196"/>
      <c r="B21" s="269"/>
      <c r="C21" s="235">
        <v>27</v>
      </c>
      <c r="D21" s="541">
        <v>79</v>
      </c>
      <c r="E21" s="236" t="s">
        <v>1368</v>
      </c>
      <c r="F21" s="232" t="s">
        <v>4</v>
      </c>
      <c r="G21" s="236" t="s">
        <v>1575</v>
      </c>
      <c r="H21" s="236" t="s">
        <v>128</v>
      </c>
      <c r="I21" s="236" t="s">
        <v>1398</v>
      </c>
      <c r="J21" s="236" t="s">
        <v>1574</v>
      </c>
      <c r="K21" s="236" t="s">
        <v>1573</v>
      </c>
      <c r="L21" s="237" t="s">
        <v>86</v>
      </c>
      <c r="M21" s="237">
        <v>0</v>
      </c>
      <c r="N21" s="237">
        <v>2011</v>
      </c>
      <c r="O21" s="237">
        <v>100</v>
      </c>
      <c r="P21" s="1198">
        <v>100</v>
      </c>
      <c r="Q21" s="1198">
        <v>100</v>
      </c>
      <c r="R21" s="1199">
        <v>25</v>
      </c>
      <c r="S21" s="1181">
        <v>100</v>
      </c>
      <c r="T21" s="1200" t="s">
        <v>7</v>
      </c>
      <c r="U21" s="1195" t="s">
        <v>1352</v>
      </c>
      <c r="V21" s="1195" t="s">
        <v>1572</v>
      </c>
      <c r="W21" s="1201" t="s">
        <v>3203</v>
      </c>
      <c r="X21" s="1202" t="s">
        <v>1748</v>
      </c>
      <c r="Y21" s="1265" t="s">
        <v>3202</v>
      </c>
      <c r="Z21" s="1280"/>
      <c r="AA21" s="1280"/>
      <c r="AB21" s="1281"/>
      <c r="AC21" s="1282"/>
      <c r="AD21" s="1283"/>
      <c r="AE21" s="1281"/>
      <c r="AF21" s="1280"/>
      <c r="AG21" s="1280"/>
      <c r="AH21" s="1280"/>
      <c r="AI21" s="1280"/>
      <c r="AJ21" s="1280"/>
      <c r="AK21" s="1280"/>
      <c r="AL21" s="1280"/>
      <c r="AM21" s="1280"/>
      <c r="AN21" s="1280"/>
      <c r="AO21" s="1280"/>
      <c r="AP21" s="1280"/>
      <c r="AQ21" s="1280"/>
      <c r="AR21" s="1280"/>
      <c r="AS21" s="1280"/>
      <c r="AT21" s="1284"/>
      <c r="AU21" s="1285"/>
      <c r="AV21" s="1286"/>
      <c r="AW21" s="1286"/>
      <c r="AX21" s="1286"/>
      <c r="AY21" s="1286"/>
      <c r="AZ21" s="1287"/>
      <c r="BA21" s="1287"/>
      <c r="BB21" s="1276">
        <v>148</v>
      </c>
      <c r="BC21" s="233"/>
      <c r="BD21" s="219"/>
      <c r="BE21" s="219"/>
      <c r="BF21" s="219"/>
      <c r="BG21" s="219"/>
      <c r="BH21" s="219"/>
      <c r="BI21" s="219"/>
      <c r="BJ21" s="219"/>
      <c r="BK21" s="219"/>
      <c r="BL21" s="219"/>
      <c r="BM21" s="219"/>
      <c r="BN21" s="219"/>
      <c r="BO21" s="219"/>
      <c r="BP21" s="219"/>
      <c r="BQ21" s="219"/>
      <c r="BR21" s="219"/>
      <c r="BS21" s="219"/>
      <c r="BT21" s="275">
        <v>1</v>
      </c>
      <c r="BU21" s="275">
        <v>1</v>
      </c>
      <c r="BV21" s="275">
        <v>1</v>
      </c>
      <c r="BW21" s="275">
        <v>1</v>
      </c>
      <c r="BX21" s="275">
        <v>1</v>
      </c>
      <c r="BY21" s="275">
        <v>1</v>
      </c>
      <c r="BZ21" s="275">
        <v>1</v>
      </c>
      <c r="CA21" s="1343">
        <v>1</v>
      </c>
      <c r="CB21" s="1356"/>
      <c r="CC21" s="1356"/>
      <c r="CD21" s="1356"/>
      <c r="CE21" s="1356"/>
      <c r="CF21" s="1356"/>
      <c r="CG21" s="1356"/>
      <c r="CH21" s="1356"/>
      <c r="CI21" s="1356"/>
      <c r="CJ21" s="1356"/>
      <c r="CK21" s="1356"/>
    </row>
    <row r="22" spans="1:89" s="1357" customFormat="1" ht="48" hidden="1">
      <c r="A22" s="196"/>
      <c r="B22" s="269"/>
      <c r="C22" s="231">
        <v>30</v>
      </c>
      <c r="D22" s="541">
        <v>117</v>
      </c>
      <c r="E22" s="236" t="s">
        <v>1368</v>
      </c>
      <c r="F22" s="232" t="s">
        <v>4</v>
      </c>
      <c r="G22" s="236" t="s">
        <v>1560</v>
      </c>
      <c r="H22" s="236" t="s">
        <v>126</v>
      </c>
      <c r="I22" s="236" t="s">
        <v>1398</v>
      </c>
      <c r="J22" s="236" t="s">
        <v>1565</v>
      </c>
      <c r="K22" s="236" t="s">
        <v>1485</v>
      </c>
      <c r="L22" s="237" t="s">
        <v>85</v>
      </c>
      <c r="M22" s="237">
        <v>0</v>
      </c>
      <c r="N22" s="237">
        <v>2011</v>
      </c>
      <c r="O22" s="237">
        <v>15</v>
      </c>
      <c r="P22" s="1203">
        <v>0</v>
      </c>
      <c r="Q22" s="1204">
        <v>8</v>
      </c>
      <c r="R22" s="1205">
        <v>12</v>
      </c>
      <c r="S22" s="1181">
        <v>14</v>
      </c>
      <c r="T22" s="1200" t="s">
        <v>7</v>
      </c>
      <c r="U22" s="1195" t="s">
        <v>1352</v>
      </c>
      <c r="V22" s="1195" t="s">
        <v>1558</v>
      </c>
      <c r="W22" s="1201" t="s">
        <v>3197</v>
      </c>
      <c r="X22" s="1202" t="s">
        <v>1749</v>
      </c>
      <c r="Y22" s="1265" t="s">
        <v>3204</v>
      </c>
      <c r="Z22" s="1280"/>
      <c r="AA22" s="1280"/>
      <c r="AB22" s="1281"/>
      <c r="AC22" s="1282"/>
      <c r="AD22" s="1283"/>
      <c r="AE22" s="1281"/>
      <c r="AF22" s="1280"/>
      <c r="AG22" s="1280"/>
      <c r="AH22" s="1280"/>
      <c r="AI22" s="1280"/>
      <c r="AJ22" s="1280"/>
      <c r="AK22" s="1280"/>
      <c r="AL22" s="1280"/>
      <c r="AM22" s="1280"/>
      <c r="AN22" s="1280"/>
      <c r="AO22" s="1280"/>
      <c r="AP22" s="1280"/>
      <c r="AQ22" s="1280"/>
      <c r="AR22" s="1280"/>
      <c r="AS22" s="1280"/>
      <c r="AT22" s="1284"/>
      <c r="AU22" s="1285"/>
      <c r="AV22" s="1286"/>
      <c r="AW22" s="1286"/>
      <c r="AX22" s="1286"/>
      <c r="AY22" s="1286"/>
      <c r="AZ22" s="1287"/>
      <c r="BA22" s="1287"/>
      <c r="BB22" s="1276">
        <v>139</v>
      </c>
      <c r="BC22" s="233">
        <v>141</v>
      </c>
      <c r="BD22" s="233">
        <v>143</v>
      </c>
      <c r="BE22" s="233">
        <v>145</v>
      </c>
      <c r="BF22" s="233">
        <v>125</v>
      </c>
      <c r="BG22" s="233">
        <v>127</v>
      </c>
      <c r="BH22" s="233">
        <v>140</v>
      </c>
      <c r="BI22" s="219"/>
      <c r="BJ22" s="219"/>
      <c r="BK22" s="219"/>
      <c r="BL22" s="219"/>
      <c r="BM22" s="219"/>
      <c r="BN22" s="219"/>
      <c r="BO22" s="219"/>
      <c r="BP22" s="219"/>
      <c r="BQ22" s="219"/>
      <c r="BR22" s="219"/>
      <c r="BS22" s="219"/>
      <c r="BT22" s="272">
        <v>2</v>
      </c>
      <c r="BU22" s="272">
        <v>2</v>
      </c>
      <c r="BV22" s="272">
        <v>2</v>
      </c>
      <c r="BW22" s="272">
        <v>4</v>
      </c>
      <c r="BX22" s="272">
        <v>5</v>
      </c>
      <c r="BY22" s="272">
        <v>9</v>
      </c>
      <c r="BZ22" s="272">
        <v>6</v>
      </c>
      <c r="CA22" s="1339">
        <v>15</v>
      </c>
      <c r="CB22" s="1356"/>
      <c r="CC22" s="1356"/>
      <c r="CD22" s="1356"/>
      <c r="CE22" s="1356"/>
      <c r="CF22" s="1356"/>
      <c r="CG22" s="1356"/>
      <c r="CH22" s="1356"/>
      <c r="CI22" s="1356"/>
      <c r="CJ22" s="1356"/>
      <c r="CK22" s="1356"/>
    </row>
    <row r="23" spans="1:89" s="1357" customFormat="1" ht="72" hidden="1">
      <c r="A23" s="196"/>
      <c r="B23" s="269"/>
      <c r="C23" s="231">
        <v>32</v>
      </c>
      <c r="D23" s="541">
        <v>119</v>
      </c>
      <c r="E23" s="236" t="s">
        <v>1522</v>
      </c>
      <c r="F23" s="232" t="s">
        <v>4</v>
      </c>
      <c r="G23" s="236" t="s">
        <v>1560</v>
      </c>
      <c r="H23" s="236" t="s">
        <v>125</v>
      </c>
      <c r="I23" s="236" t="s">
        <v>1398</v>
      </c>
      <c r="J23" s="236" t="s">
        <v>1559</v>
      </c>
      <c r="K23" s="236" t="s">
        <v>1404</v>
      </c>
      <c r="L23" s="237" t="s">
        <v>85</v>
      </c>
      <c r="M23" s="237">
        <v>33.299999999999997</v>
      </c>
      <c r="N23" s="237">
        <v>2011</v>
      </c>
      <c r="O23" s="237">
        <v>38</v>
      </c>
      <c r="P23" s="1203">
        <v>33.299999999999997</v>
      </c>
      <c r="Q23" s="1207">
        <v>0</v>
      </c>
      <c r="R23" s="1205">
        <v>0</v>
      </c>
      <c r="S23" s="1181">
        <v>0</v>
      </c>
      <c r="T23" s="1200" t="s">
        <v>7</v>
      </c>
      <c r="U23" s="1195" t="s">
        <v>1352</v>
      </c>
      <c r="V23" s="1195" t="s">
        <v>1558</v>
      </c>
      <c r="W23" s="1201" t="s">
        <v>3197</v>
      </c>
      <c r="X23" s="1202" t="s">
        <v>1750</v>
      </c>
      <c r="Y23" s="1265" t="s">
        <v>3205</v>
      </c>
      <c r="Z23" s="1280"/>
      <c r="AA23" s="1280"/>
      <c r="AB23" s="1281"/>
      <c r="AC23" s="1282"/>
      <c r="AD23" s="1283"/>
      <c r="AE23" s="1281"/>
      <c r="AF23" s="1280"/>
      <c r="AG23" s="1280"/>
      <c r="AH23" s="1280"/>
      <c r="AI23" s="1280"/>
      <c r="AJ23" s="1280"/>
      <c r="AK23" s="1280"/>
      <c r="AL23" s="1280"/>
      <c r="AM23" s="1280"/>
      <c r="AN23" s="1280"/>
      <c r="AO23" s="1280"/>
      <c r="AP23" s="1280"/>
      <c r="AQ23" s="1280"/>
      <c r="AR23" s="1280"/>
      <c r="AS23" s="1280"/>
      <c r="AT23" s="1284"/>
      <c r="AU23" s="1285"/>
      <c r="AV23" s="1286"/>
      <c r="AW23" s="1286"/>
      <c r="AX23" s="1286"/>
      <c r="AY23" s="1286"/>
      <c r="AZ23" s="1287"/>
      <c r="BA23" s="1287"/>
      <c r="BB23" s="1276">
        <v>144</v>
      </c>
      <c r="BC23" s="219"/>
      <c r="BD23" s="219"/>
      <c r="BE23" s="219"/>
      <c r="BF23" s="219"/>
      <c r="BG23" s="219"/>
      <c r="BH23" s="219"/>
      <c r="BI23" s="219"/>
      <c r="BJ23" s="219"/>
      <c r="BK23" s="219"/>
      <c r="BL23" s="219"/>
      <c r="BM23" s="219"/>
      <c r="BN23" s="219"/>
      <c r="BO23" s="219"/>
      <c r="BP23" s="219"/>
      <c r="BQ23" s="219"/>
      <c r="BR23" s="219"/>
      <c r="BS23" s="219"/>
      <c r="BT23" s="272">
        <v>0</v>
      </c>
      <c r="BU23" s="274">
        <v>0</v>
      </c>
      <c r="BV23" s="272">
        <v>0.7</v>
      </c>
      <c r="BW23" s="274">
        <v>6.9999999999999993E-3</v>
      </c>
      <c r="BX23" s="272">
        <v>2</v>
      </c>
      <c r="BY23" s="275">
        <v>2.7E-2</v>
      </c>
      <c r="BZ23" s="272">
        <v>2</v>
      </c>
      <c r="CA23" s="1345">
        <v>4.7E-2</v>
      </c>
      <c r="CB23" s="1356"/>
      <c r="CC23" s="1356"/>
      <c r="CD23" s="1356"/>
      <c r="CE23" s="1356"/>
      <c r="CF23" s="1356"/>
      <c r="CG23" s="1356"/>
      <c r="CH23" s="1356"/>
      <c r="CI23" s="1356"/>
      <c r="CJ23" s="1356"/>
      <c r="CK23" s="1356"/>
    </row>
    <row r="24" spans="1:89" s="1357" customFormat="1" ht="48" hidden="1">
      <c r="A24" s="196"/>
      <c r="B24" s="269"/>
      <c r="C24" s="231">
        <v>40</v>
      </c>
      <c r="D24" s="541">
        <v>200</v>
      </c>
      <c r="E24" s="236" t="s">
        <v>1522</v>
      </c>
      <c r="F24" s="232" t="s">
        <v>4</v>
      </c>
      <c r="G24" s="232" t="s">
        <v>1525</v>
      </c>
      <c r="H24" s="232" t="s">
        <v>1533</v>
      </c>
      <c r="I24" s="236" t="s">
        <v>1398</v>
      </c>
      <c r="J24" s="232" t="s">
        <v>1532</v>
      </c>
      <c r="K24" s="236" t="s">
        <v>1463</v>
      </c>
      <c r="L24" s="237" t="s">
        <v>85</v>
      </c>
      <c r="M24" s="245">
        <v>0</v>
      </c>
      <c r="N24" s="237">
        <v>2011</v>
      </c>
      <c r="O24" s="237">
        <v>21000</v>
      </c>
      <c r="P24" s="1209">
        <v>3475</v>
      </c>
      <c r="Q24" s="1209">
        <v>6146</v>
      </c>
      <c r="R24" s="1209">
        <v>15000</v>
      </c>
      <c r="S24" s="1210">
        <v>7322</v>
      </c>
      <c r="T24" s="1200" t="s">
        <v>7</v>
      </c>
      <c r="U24" s="1195" t="s">
        <v>1352</v>
      </c>
      <c r="V24" s="1195" t="s">
        <v>1526</v>
      </c>
      <c r="W24" s="1201" t="s">
        <v>3197</v>
      </c>
      <c r="X24" s="1211"/>
      <c r="Y24" s="1266" t="s">
        <v>3206</v>
      </c>
      <c r="Z24" s="1287"/>
      <c r="AA24" s="1287"/>
      <c r="AB24" s="1287"/>
      <c r="AC24" s="1287"/>
      <c r="AD24" s="1287"/>
      <c r="AE24" s="1287"/>
      <c r="AF24" s="1287"/>
      <c r="AG24" s="1287"/>
      <c r="AH24" s="1287"/>
      <c r="AI24" s="1287"/>
      <c r="AJ24" s="1287"/>
      <c r="AK24" s="1287"/>
      <c r="AL24" s="1287"/>
      <c r="AM24" s="1287"/>
      <c r="AN24" s="1287"/>
      <c r="AO24" s="1287"/>
      <c r="AP24" s="1287"/>
      <c r="AQ24" s="1287"/>
      <c r="AR24" s="1287"/>
      <c r="AS24" s="1287"/>
      <c r="AT24" s="1287"/>
      <c r="AU24" s="1287"/>
      <c r="AV24" s="1287"/>
      <c r="AW24" s="1286"/>
      <c r="AX24" s="1286"/>
      <c r="AY24" s="1286"/>
      <c r="AZ24" s="1287"/>
      <c r="BA24" s="1287"/>
      <c r="BB24" s="1276">
        <v>266</v>
      </c>
      <c r="BC24" s="233">
        <v>281</v>
      </c>
      <c r="BD24" s="233">
        <v>213</v>
      </c>
      <c r="BE24" s="233">
        <v>216</v>
      </c>
      <c r="BF24" s="233">
        <v>231</v>
      </c>
      <c r="BG24" s="233">
        <v>233</v>
      </c>
      <c r="BH24" s="233">
        <v>236</v>
      </c>
      <c r="BI24" s="233">
        <v>237</v>
      </c>
      <c r="BJ24" s="233">
        <v>280</v>
      </c>
      <c r="BK24" s="233">
        <v>149</v>
      </c>
      <c r="BL24" s="219"/>
      <c r="BM24" s="219"/>
      <c r="BN24" s="219"/>
      <c r="BO24" s="219"/>
      <c r="BP24" s="219"/>
      <c r="BQ24" s="219"/>
      <c r="BR24" s="219"/>
      <c r="BS24" s="219"/>
      <c r="BT24" s="272">
        <v>1000</v>
      </c>
      <c r="BU24" s="272">
        <v>1000</v>
      </c>
      <c r="BV24" s="272">
        <v>7000</v>
      </c>
      <c r="BW24" s="272">
        <v>8000</v>
      </c>
      <c r="BX24" s="272">
        <v>6000</v>
      </c>
      <c r="BY24" s="272">
        <v>14000</v>
      </c>
      <c r="BZ24" s="272">
        <v>7000</v>
      </c>
      <c r="CA24" s="1339">
        <v>21000</v>
      </c>
      <c r="CB24" s="1356"/>
      <c r="CC24" s="1356"/>
      <c r="CD24" s="1356"/>
      <c r="CE24" s="1356"/>
      <c r="CF24" s="1356"/>
      <c r="CG24" s="1356"/>
      <c r="CH24" s="1356"/>
      <c r="CI24" s="1356"/>
      <c r="CJ24" s="1356"/>
      <c r="CK24" s="1356"/>
    </row>
    <row r="25" spans="1:89" s="1357" customFormat="1" ht="72" hidden="1">
      <c r="A25" s="196"/>
      <c r="B25" s="269"/>
      <c r="C25" s="231">
        <v>42</v>
      </c>
      <c r="D25" s="541">
        <v>202</v>
      </c>
      <c r="E25" s="236" t="s">
        <v>1522</v>
      </c>
      <c r="F25" s="232" t="s">
        <v>4</v>
      </c>
      <c r="G25" s="236" t="s">
        <v>1525</v>
      </c>
      <c r="H25" s="236" t="s">
        <v>121</v>
      </c>
      <c r="I25" s="236" t="s">
        <v>1398</v>
      </c>
      <c r="J25" s="236" t="s">
        <v>1527</v>
      </c>
      <c r="K25" s="236" t="s">
        <v>1463</v>
      </c>
      <c r="L25" s="237" t="s">
        <v>85</v>
      </c>
      <c r="M25" s="237">
        <v>0</v>
      </c>
      <c r="N25" s="237">
        <v>2011</v>
      </c>
      <c r="O25" s="237">
        <v>30000</v>
      </c>
      <c r="P25" s="1209">
        <v>200</v>
      </c>
      <c r="Q25" s="1209">
        <v>6766</v>
      </c>
      <c r="R25" s="1209">
        <v>2656</v>
      </c>
      <c r="S25" s="1181">
        <v>21088</v>
      </c>
      <c r="T25" s="1200" t="s">
        <v>7</v>
      </c>
      <c r="U25" s="1195" t="s">
        <v>1352</v>
      </c>
      <c r="V25" s="1195" t="s">
        <v>1526</v>
      </c>
      <c r="W25" s="1201" t="s">
        <v>3197</v>
      </c>
      <c r="X25" s="1211"/>
      <c r="Y25" s="1267" t="s">
        <v>3207</v>
      </c>
      <c r="Z25" s="1280"/>
      <c r="AA25" s="1280"/>
      <c r="AB25" s="1281"/>
      <c r="AC25" s="1282"/>
      <c r="AD25" s="1283"/>
      <c r="AE25" s="1281"/>
      <c r="AF25" s="1280"/>
      <c r="AG25" s="1280"/>
      <c r="AH25" s="1280"/>
      <c r="AI25" s="1280"/>
      <c r="AJ25" s="1280"/>
      <c r="AK25" s="1280"/>
      <c r="AL25" s="1280"/>
      <c r="AM25" s="1280"/>
      <c r="AN25" s="1280"/>
      <c r="AO25" s="1280"/>
      <c r="AP25" s="1280"/>
      <c r="AQ25" s="1280"/>
      <c r="AR25" s="1280"/>
      <c r="AS25" s="1280"/>
      <c r="AT25" s="1284"/>
      <c r="AU25" s="1285"/>
      <c r="AV25" s="1286"/>
      <c r="AW25" s="1286"/>
      <c r="AX25" s="1286"/>
      <c r="AY25" s="1286"/>
      <c r="AZ25" s="1287"/>
      <c r="BA25" s="1287"/>
      <c r="BB25" s="1276">
        <v>220</v>
      </c>
      <c r="BC25" s="233">
        <v>222</v>
      </c>
      <c r="BD25" s="233">
        <v>181</v>
      </c>
      <c r="BE25" s="233">
        <v>214</v>
      </c>
      <c r="BF25" s="233">
        <v>215</v>
      </c>
      <c r="BG25" s="233">
        <v>217</v>
      </c>
      <c r="BH25" s="233">
        <v>218</v>
      </c>
      <c r="BI25" s="233">
        <v>221</v>
      </c>
      <c r="BJ25" s="233">
        <v>223</v>
      </c>
      <c r="BK25" s="233">
        <v>225</v>
      </c>
      <c r="BL25" s="233">
        <v>226</v>
      </c>
      <c r="BM25" s="233">
        <v>227</v>
      </c>
      <c r="BN25" s="233">
        <v>228</v>
      </c>
      <c r="BO25" s="233">
        <v>229</v>
      </c>
      <c r="BP25" s="233">
        <v>230</v>
      </c>
      <c r="BQ25" s="233">
        <v>232</v>
      </c>
      <c r="BR25" s="233">
        <v>235</v>
      </c>
      <c r="BS25" s="219"/>
      <c r="BT25" s="272">
        <v>1000</v>
      </c>
      <c r="BU25" s="272">
        <v>1000</v>
      </c>
      <c r="BV25" s="272">
        <v>7000</v>
      </c>
      <c r="BW25" s="272">
        <v>8000</v>
      </c>
      <c r="BX25" s="272">
        <v>9000</v>
      </c>
      <c r="BY25" s="272">
        <v>17000</v>
      </c>
      <c r="BZ25" s="272">
        <v>13000</v>
      </c>
      <c r="CA25" s="1339">
        <v>30000</v>
      </c>
      <c r="CB25" s="1356"/>
      <c r="CC25" s="1356"/>
      <c r="CD25" s="1356"/>
      <c r="CE25" s="1356"/>
      <c r="CF25" s="1356"/>
      <c r="CG25" s="1356"/>
      <c r="CH25" s="1356"/>
      <c r="CI25" s="1356"/>
      <c r="CJ25" s="1356"/>
      <c r="CK25" s="1356"/>
    </row>
    <row r="26" spans="1:89" s="1357" customFormat="1" ht="144" hidden="1">
      <c r="A26" s="196"/>
      <c r="B26" s="269"/>
      <c r="C26" s="231">
        <v>44</v>
      </c>
      <c r="D26" s="541">
        <v>247</v>
      </c>
      <c r="E26" s="236" t="s">
        <v>1522</v>
      </c>
      <c r="F26" s="232" t="s">
        <v>4</v>
      </c>
      <c r="G26" s="236" t="s">
        <v>1521</v>
      </c>
      <c r="H26" s="236" t="s">
        <v>119</v>
      </c>
      <c r="I26" s="236" t="s">
        <v>1398</v>
      </c>
      <c r="J26" s="236" t="s">
        <v>1520</v>
      </c>
      <c r="K26" s="236" t="s">
        <v>1404</v>
      </c>
      <c r="L26" s="237" t="s">
        <v>85</v>
      </c>
      <c r="M26" s="237">
        <v>0</v>
      </c>
      <c r="N26" s="237">
        <v>2011</v>
      </c>
      <c r="O26" s="237">
        <v>10</v>
      </c>
      <c r="P26" s="1178">
        <v>4.7300000000000004</v>
      </c>
      <c r="Q26" s="1179">
        <v>10.8</v>
      </c>
      <c r="R26" s="1180">
        <v>19.600000000000001</v>
      </c>
      <c r="S26" s="1181">
        <v>3.2000000000000002E-3</v>
      </c>
      <c r="T26" s="1200" t="s">
        <v>7</v>
      </c>
      <c r="U26" s="1195" t="s">
        <v>1352</v>
      </c>
      <c r="V26" s="1195" t="s">
        <v>1519</v>
      </c>
      <c r="W26" s="1201" t="s">
        <v>3197</v>
      </c>
      <c r="X26" s="1202" t="s">
        <v>3208</v>
      </c>
      <c r="Y26" s="1265" t="s">
        <v>3209</v>
      </c>
      <c r="Z26" s="1280"/>
      <c r="AA26" s="1280"/>
      <c r="AB26" s="1281"/>
      <c r="AC26" s="1282"/>
      <c r="AD26" s="1283"/>
      <c r="AE26" s="1281"/>
      <c r="AF26" s="1280"/>
      <c r="AG26" s="1280"/>
      <c r="AH26" s="1280"/>
      <c r="AI26" s="1280"/>
      <c r="AJ26" s="1280"/>
      <c r="AK26" s="1280"/>
      <c r="AL26" s="1280"/>
      <c r="AM26" s="1280"/>
      <c r="AN26" s="1280"/>
      <c r="AO26" s="1280"/>
      <c r="AP26" s="1280"/>
      <c r="AQ26" s="1280"/>
      <c r="AR26" s="1280"/>
      <c r="AS26" s="1280"/>
      <c r="AT26" s="1284"/>
      <c r="AU26" s="1285"/>
      <c r="AV26" s="1286"/>
      <c r="AW26" s="1286"/>
      <c r="AX26" s="1286"/>
      <c r="AY26" s="1286"/>
      <c r="AZ26" s="1287"/>
      <c r="BA26" s="1287"/>
      <c r="BB26" s="1276">
        <v>248</v>
      </c>
      <c r="BC26" s="233">
        <v>249</v>
      </c>
      <c r="BD26" s="233">
        <v>250</v>
      </c>
      <c r="BE26" s="233">
        <v>252</v>
      </c>
      <c r="BF26" s="233">
        <v>253</v>
      </c>
      <c r="BG26" s="233">
        <v>254</v>
      </c>
      <c r="BH26" s="233">
        <v>255</v>
      </c>
      <c r="BI26" s="233">
        <v>256</v>
      </c>
      <c r="BJ26" s="219"/>
      <c r="BK26" s="219"/>
      <c r="BL26" s="219"/>
      <c r="BM26" s="219"/>
      <c r="BN26" s="219"/>
      <c r="BO26" s="219"/>
      <c r="BP26" s="219"/>
      <c r="BQ26" s="219"/>
      <c r="BR26" s="219"/>
      <c r="BS26" s="219"/>
      <c r="BT26" s="272">
        <v>2</v>
      </c>
      <c r="BU26" s="272">
        <v>2</v>
      </c>
      <c r="BV26" s="272">
        <v>1</v>
      </c>
      <c r="BW26" s="272">
        <v>3</v>
      </c>
      <c r="BX26" s="272">
        <v>3</v>
      </c>
      <c r="BY26" s="272">
        <v>6</v>
      </c>
      <c r="BZ26" s="272">
        <v>4</v>
      </c>
      <c r="CA26" s="1339">
        <v>10</v>
      </c>
      <c r="CB26" s="1356"/>
      <c r="CC26" s="1356"/>
      <c r="CD26" s="1356"/>
      <c r="CE26" s="1356"/>
      <c r="CF26" s="1356"/>
      <c r="CG26" s="1356"/>
      <c r="CH26" s="1356"/>
      <c r="CI26" s="1356"/>
      <c r="CJ26" s="1356"/>
      <c r="CK26" s="1356"/>
    </row>
    <row r="27" spans="1:89" s="1357" customFormat="1" ht="180" hidden="1">
      <c r="A27" s="196"/>
      <c r="B27" s="269"/>
      <c r="C27" s="231">
        <v>14</v>
      </c>
      <c r="D27" s="541">
        <v>35</v>
      </c>
      <c r="E27" s="236" t="s">
        <v>1340</v>
      </c>
      <c r="F27" s="232" t="s">
        <v>4</v>
      </c>
      <c r="G27" s="236" t="s">
        <v>1594</v>
      </c>
      <c r="H27" s="236" t="s">
        <v>137</v>
      </c>
      <c r="I27" s="236" t="s">
        <v>1398</v>
      </c>
      <c r="J27" s="236" t="s">
        <v>1604</v>
      </c>
      <c r="K27" s="236" t="s">
        <v>1404</v>
      </c>
      <c r="L27" s="237" t="s">
        <v>85</v>
      </c>
      <c r="M27" s="237">
        <v>85</v>
      </c>
      <c r="N27" s="237">
        <v>2011</v>
      </c>
      <c r="O27" s="237">
        <v>86.95</v>
      </c>
      <c r="P27" s="1178">
        <v>84.67</v>
      </c>
      <c r="Q27" s="1179">
        <v>88.81</v>
      </c>
      <c r="R27" s="1180">
        <v>90.35</v>
      </c>
      <c r="S27" s="1180"/>
      <c r="T27" s="1194" t="s">
        <v>1441</v>
      </c>
      <c r="U27" s="1195" t="s">
        <v>1352</v>
      </c>
      <c r="V27" s="1195" t="s">
        <v>1576</v>
      </c>
      <c r="W27" s="1196" t="s">
        <v>1693</v>
      </c>
      <c r="X27" s="1189" t="s">
        <v>1439</v>
      </c>
      <c r="Y27" s="1264" t="s">
        <v>1738</v>
      </c>
      <c r="Z27" s="1280"/>
      <c r="AA27" s="1280"/>
      <c r="AB27" s="1281"/>
      <c r="AC27" s="1282"/>
      <c r="AD27" s="1283"/>
      <c r="AE27" s="1281"/>
      <c r="AF27" s="1280"/>
      <c r="AG27" s="1280"/>
      <c r="AH27" s="1280"/>
      <c r="AI27" s="1280"/>
      <c r="AJ27" s="1280"/>
      <c r="AK27" s="1280"/>
      <c r="AL27" s="1280"/>
      <c r="AM27" s="1280"/>
      <c r="AN27" s="1280"/>
      <c r="AO27" s="1280"/>
      <c r="AP27" s="1280"/>
      <c r="AQ27" s="1280"/>
      <c r="AR27" s="1280"/>
      <c r="AS27" s="1280"/>
      <c r="AT27" s="1284"/>
      <c r="AU27" s="1285"/>
      <c r="AV27" s="1286"/>
      <c r="AW27" s="1286"/>
      <c r="AX27" s="1286"/>
      <c r="AY27" s="1286"/>
      <c r="AZ27" s="1287"/>
      <c r="BA27" s="1287"/>
      <c r="BB27" s="1276">
        <v>294</v>
      </c>
      <c r="BC27" s="233">
        <v>296</v>
      </c>
      <c r="BD27" s="233">
        <v>43</v>
      </c>
      <c r="BE27" s="233">
        <v>46</v>
      </c>
      <c r="BF27" s="233">
        <v>295</v>
      </c>
      <c r="BG27" s="233">
        <v>18</v>
      </c>
      <c r="BH27" s="233">
        <v>19</v>
      </c>
      <c r="BI27" s="219"/>
      <c r="BJ27" s="219"/>
      <c r="BK27" s="219"/>
      <c r="BL27" s="219"/>
      <c r="BM27" s="219"/>
      <c r="BN27" s="219"/>
      <c r="BO27" s="219"/>
      <c r="BP27" s="219"/>
      <c r="BQ27" s="219"/>
      <c r="BR27" s="219"/>
      <c r="BS27" s="219"/>
      <c r="BT27" s="276">
        <v>0</v>
      </c>
      <c r="BU27" s="276">
        <v>0.85</v>
      </c>
      <c r="BV27" s="276">
        <v>6.4999999999999997E-3</v>
      </c>
      <c r="BW27" s="276">
        <v>0.85649999999999993</v>
      </c>
      <c r="BX27" s="276">
        <v>6.4999999999999997E-3</v>
      </c>
      <c r="BY27" s="276">
        <v>0.86299999999999988</v>
      </c>
      <c r="BZ27" s="276">
        <v>6.4999999999999997E-3</v>
      </c>
      <c r="CA27" s="1346">
        <v>0.86949999999999983</v>
      </c>
      <c r="CB27" s="1356"/>
      <c r="CC27" s="1356"/>
      <c r="CD27" s="1356"/>
      <c r="CE27" s="1356"/>
      <c r="CF27" s="1356"/>
      <c r="CG27" s="1356"/>
      <c r="CH27" s="1356"/>
      <c r="CI27" s="1356"/>
      <c r="CJ27" s="1356"/>
      <c r="CK27" s="1356"/>
    </row>
    <row r="28" spans="1:89" s="1357" customFormat="1" ht="156" hidden="1">
      <c r="A28" s="196"/>
      <c r="B28" s="269"/>
      <c r="C28" s="235">
        <v>15</v>
      </c>
      <c r="D28" s="541">
        <v>36</v>
      </c>
      <c r="E28" s="236" t="s">
        <v>1340</v>
      </c>
      <c r="F28" s="232" t="s">
        <v>4</v>
      </c>
      <c r="G28" s="236" t="s">
        <v>1594</v>
      </c>
      <c r="H28" s="236" t="s">
        <v>136</v>
      </c>
      <c r="I28" s="236" t="s">
        <v>1398</v>
      </c>
      <c r="J28" s="236" t="s">
        <v>1603</v>
      </c>
      <c r="K28" s="236" t="s">
        <v>1602</v>
      </c>
      <c r="L28" s="237" t="s">
        <v>86</v>
      </c>
      <c r="M28" s="237">
        <v>100</v>
      </c>
      <c r="N28" s="237">
        <v>2011</v>
      </c>
      <c r="O28" s="237">
        <v>100</v>
      </c>
      <c r="P28" s="1178">
        <v>99.71</v>
      </c>
      <c r="Q28" s="1179">
        <v>101.27</v>
      </c>
      <c r="R28" s="1180">
        <v>100.59</v>
      </c>
      <c r="S28" s="1180"/>
      <c r="T28" s="1194" t="s">
        <v>1441</v>
      </c>
      <c r="U28" s="1195" t="s">
        <v>1352</v>
      </c>
      <c r="V28" s="1195" t="s">
        <v>1576</v>
      </c>
      <c r="W28" s="1196" t="s">
        <v>1693</v>
      </c>
      <c r="X28" s="1189" t="s">
        <v>1439</v>
      </c>
      <c r="Y28" s="1264" t="s">
        <v>1739</v>
      </c>
      <c r="Z28" s="1280"/>
      <c r="AA28" s="1280"/>
      <c r="AB28" s="1281"/>
      <c r="AC28" s="1282"/>
      <c r="AD28" s="1283"/>
      <c r="AE28" s="1281"/>
      <c r="AF28" s="1280"/>
      <c r="AG28" s="1280"/>
      <c r="AH28" s="1280"/>
      <c r="AI28" s="1280"/>
      <c r="AJ28" s="1280"/>
      <c r="AK28" s="1280"/>
      <c r="AL28" s="1280"/>
      <c r="AM28" s="1280"/>
      <c r="AN28" s="1280"/>
      <c r="AO28" s="1280"/>
      <c r="AP28" s="1280"/>
      <c r="AQ28" s="1280"/>
      <c r="AR28" s="1280"/>
      <c r="AS28" s="1280"/>
      <c r="AT28" s="1284"/>
      <c r="AU28" s="1285"/>
      <c r="AV28" s="1286"/>
      <c r="AW28" s="1286"/>
      <c r="AX28" s="1286"/>
      <c r="AY28" s="1286"/>
      <c r="AZ28" s="1287"/>
      <c r="BA28" s="1287"/>
      <c r="BB28" s="1276">
        <v>45</v>
      </c>
      <c r="BC28" s="233">
        <v>70</v>
      </c>
      <c r="BD28" s="233">
        <v>124</v>
      </c>
      <c r="BE28" s="233">
        <v>163</v>
      </c>
      <c r="BF28" s="233">
        <v>183</v>
      </c>
      <c r="BG28" s="233">
        <v>48</v>
      </c>
      <c r="BH28" s="219"/>
      <c r="BI28" s="219"/>
      <c r="BJ28" s="219"/>
      <c r="BK28" s="219"/>
      <c r="BL28" s="219"/>
      <c r="BM28" s="219"/>
      <c r="BN28" s="219"/>
      <c r="BO28" s="219"/>
      <c r="BP28" s="219"/>
      <c r="BQ28" s="219"/>
      <c r="BR28" s="219"/>
      <c r="BS28" s="219"/>
      <c r="BT28" s="275">
        <v>1</v>
      </c>
      <c r="BU28" s="275">
        <v>1</v>
      </c>
      <c r="BV28" s="275">
        <v>1</v>
      </c>
      <c r="BW28" s="275">
        <v>1</v>
      </c>
      <c r="BX28" s="275">
        <v>1</v>
      </c>
      <c r="BY28" s="275">
        <v>1</v>
      </c>
      <c r="BZ28" s="275">
        <v>1</v>
      </c>
      <c r="CA28" s="1343">
        <v>1</v>
      </c>
      <c r="CB28" s="1356"/>
      <c r="CC28" s="1356"/>
      <c r="CD28" s="1356"/>
      <c r="CE28" s="1356"/>
      <c r="CF28" s="1356"/>
      <c r="CG28" s="1356"/>
      <c r="CH28" s="1356"/>
      <c r="CI28" s="1356"/>
      <c r="CJ28" s="1356"/>
      <c r="CK28" s="1356"/>
    </row>
    <row r="29" spans="1:89" s="1357" customFormat="1" ht="192" hidden="1">
      <c r="A29" s="196"/>
      <c r="B29" s="269"/>
      <c r="C29" s="231">
        <v>16</v>
      </c>
      <c r="D29" s="541">
        <v>37</v>
      </c>
      <c r="E29" s="236" t="s">
        <v>1340</v>
      </c>
      <c r="F29" s="232" t="s">
        <v>4</v>
      </c>
      <c r="G29" s="236" t="s">
        <v>1594</v>
      </c>
      <c r="H29" s="236" t="s">
        <v>135</v>
      </c>
      <c r="I29" s="236" t="s">
        <v>1398</v>
      </c>
      <c r="J29" s="236" t="s">
        <v>1601</v>
      </c>
      <c r="K29" s="236" t="s">
        <v>1404</v>
      </c>
      <c r="L29" s="237" t="s">
        <v>1369</v>
      </c>
      <c r="M29" s="237">
        <v>5.61</v>
      </c>
      <c r="N29" s="237">
        <v>2011</v>
      </c>
      <c r="O29" s="237">
        <v>5.15</v>
      </c>
      <c r="P29" s="1178">
        <v>2.64</v>
      </c>
      <c r="Q29" s="1179">
        <v>2.42</v>
      </c>
      <c r="R29" s="1179">
        <v>2.42</v>
      </c>
      <c r="S29" s="1180"/>
      <c r="T29" s="1194" t="s">
        <v>1600</v>
      </c>
      <c r="U29" s="1195" t="s">
        <v>1352</v>
      </c>
      <c r="V29" s="1195" t="s">
        <v>1576</v>
      </c>
      <c r="W29" s="1196">
        <v>41890</v>
      </c>
      <c r="X29" s="1189" t="s">
        <v>1439</v>
      </c>
      <c r="Y29" s="1264" t="s">
        <v>1740</v>
      </c>
      <c r="Z29" s="1289">
        <v>3.74</v>
      </c>
      <c r="AA29" s="1289">
        <v>3.62</v>
      </c>
      <c r="AB29" s="1289"/>
      <c r="AC29" s="1282"/>
      <c r="AD29" s="1290">
        <v>4.71</v>
      </c>
      <c r="AE29" s="1290">
        <v>3.84</v>
      </c>
      <c r="AF29" s="1290"/>
      <c r="AG29" s="1280"/>
      <c r="AH29" s="1289">
        <v>2.0499999999999998</v>
      </c>
      <c r="AI29" s="1289">
        <v>1.7</v>
      </c>
      <c r="AJ29" s="1289"/>
      <c r="AK29" s="1280"/>
      <c r="AL29" s="1289">
        <v>3.89</v>
      </c>
      <c r="AM29" s="1289">
        <v>3.68</v>
      </c>
      <c r="AN29" s="1289"/>
      <c r="AO29" s="1280"/>
      <c r="AP29" s="1289">
        <v>3.64</v>
      </c>
      <c r="AQ29" s="1289">
        <v>2.68</v>
      </c>
      <c r="AR29" s="1289"/>
      <c r="AS29" s="1280"/>
      <c r="AT29" s="1289">
        <v>4.49</v>
      </c>
      <c r="AU29" s="1289">
        <v>3.14</v>
      </c>
      <c r="AV29" s="1289"/>
      <c r="AW29" s="1286"/>
      <c r="AX29" s="1289">
        <v>4.17</v>
      </c>
      <c r="AY29" s="1289">
        <v>3.01</v>
      </c>
      <c r="AZ29" s="1289"/>
      <c r="BA29" s="1287"/>
      <c r="BB29" s="1276">
        <v>50</v>
      </c>
      <c r="BC29" s="233">
        <v>84</v>
      </c>
      <c r="BD29" s="233">
        <v>91</v>
      </c>
      <c r="BE29" s="233">
        <v>49</v>
      </c>
      <c r="BF29" s="233">
        <v>94</v>
      </c>
      <c r="BG29" s="233">
        <v>95</v>
      </c>
      <c r="BH29" s="233">
        <v>121</v>
      </c>
      <c r="BI29" s="219"/>
      <c r="BJ29" s="219"/>
      <c r="BK29" s="219"/>
      <c r="BL29" s="219"/>
      <c r="BM29" s="219"/>
      <c r="BN29" s="219"/>
      <c r="BO29" s="219"/>
      <c r="BP29" s="219"/>
      <c r="BQ29" s="219"/>
      <c r="BR29" s="219"/>
      <c r="BS29" s="219"/>
      <c r="BT29" s="277">
        <v>1.15E-3</v>
      </c>
      <c r="BU29" s="278">
        <v>5.4949999999999999E-2</v>
      </c>
      <c r="BV29" s="278">
        <v>1.15E-3</v>
      </c>
      <c r="BW29" s="278">
        <v>5.3800000000000001E-2</v>
      </c>
      <c r="BX29" s="278">
        <v>1.15E-3</v>
      </c>
      <c r="BY29" s="278">
        <v>5.2650000000000002E-2</v>
      </c>
      <c r="BZ29" s="277">
        <v>1.15E-3</v>
      </c>
      <c r="CA29" s="1346">
        <v>5.1500000000000004E-2</v>
      </c>
      <c r="CB29" s="1356"/>
      <c r="CC29" s="1356"/>
      <c r="CD29" s="1356"/>
      <c r="CE29" s="1356"/>
      <c r="CF29" s="1356"/>
      <c r="CG29" s="1356"/>
      <c r="CH29" s="1356"/>
      <c r="CI29" s="1356"/>
      <c r="CJ29" s="1356"/>
      <c r="CK29" s="1356"/>
    </row>
    <row r="30" spans="1:89" s="1357" customFormat="1" ht="192" hidden="1">
      <c r="A30" s="196"/>
      <c r="B30" s="269"/>
      <c r="C30" s="235">
        <v>17</v>
      </c>
      <c r="D30" s="541">
        <v>38</v>
      </c>
      <c r="E30" s="236" t="s">
        <v>1340</v>
      </c>
      <c r="F30" s="232" t="s">
        <v>4</v>
      </c>
      <c r="G30" s="236" t="s">
        <v>1594</v>
      </c>
      <c r="H30" s="236" t="s">
        <v>1599</v>
      </c>
      <c r="I30" s="236" t="s">
        <v>1398</v>
      </c>
      <c r="J30" s="236" t="s">
        <v>1598</v>
      </c>
      <c r="K30" s="236" t="s">
        <v>1583</v>
      </c>
      <c r="L30" s="237" t="s">
        <v>85</v>
      </c>
      <c r="M30" s="237">
        <v>0</v>
      </c>
      <c r="N30" s="237">
        <v>2011</v>
      </c>
      <c r="O30" s="237">
        <v>3</v>
      </c>
      <c r="P30" s="1178">
        <v>0</v>
      </c>
      <c r="Q30" s="1179">
        <v>2</v>
      </c>
      <c r="R30" s="1179">
        <v>2.42</v>
      </c>
      <c r="S30" s="1181"/>
      <c r="T30" s="1194"/>
      <c r="U30" s="1212"/>
      <c r="V30" s="1195"/>
      <c r="W30" s="1196"/>
      <c r="X30" s="1189"/>
      <c r="Y30" s="1268" t="s">
        <v>1741</v>
      </c>
      <c r="Z30" s="1280"/>
      <c r="AA30" s="1280"/>
      <c r="AB30" s="1281"/>
      <c r="AC30" s="1282"/>
      <c r="AD30" s="1283"/>
      <c r="AE30" s="1281"/>
      <c r="AF30" s="1280"/>
      <c r="AG30" s="1280"/>
      <c r="AH30" s="1280"/>
      <c r="AI30" s="1280"/>
      <c r="AJ30" s="1280"/>
      <c r="AK30" s="1280"/>
      <c r="AL30" s="1280"/>
      <c r="AM30" s="1280"/>
      <c r="AN30" s="1280"/>
      <c r="AO30" s="1280"/>
      <c r="AP30" s="1280"/>
      <c r="AQ30" s="1280"/>
      <c r="AR30" s="1280"/>
      <c r="AS30" s="1280"/>
      <c r="AT30" s="1284"/>
      <c r="AU30" s="1285"/>
      <c r="AV30" s="1286"/>
      <c r="AW30" s="1286"/>
      <c r="AX30" s="1286"/>
      <c r="AY30" s="1286"/>
      <c r="AZ30" s="1287"/>
      <c r="BA30" s="1287"/>
      <c r="BB30" s="1276">
        <v>47</v>
      </c>
      <c r="BC30" s="233">
        <v>86</v>
      </c>
      <c r="BD30" s="219"/>
      <c r="BE30" s="219"/>
      <c r="BF30" s="219"/>
      <c r="BG30" s="219"/>
      <c r="BH30" s="219"/>
      <c r="BI30" s="219"/>
      <c r="BJ30" s="219"/>
      <c r="BK30" s="219"/>
      <c r="BL30" s="219"/>
      <c r="BM30" s="219"/>
      <c r="BN30" s="219"/>
      <c r="BO30" s="219"/>
      <c r="BP30" s="219"/>
      <c r="BQ30" s="219"/>
      <c r="BR30" s="219"/>
      <c r="BS30" s="219"/>
      <c r="BT30" s="272">
        <v>0</v>
      </c>
      <c r="BU30" s="272">
        <v>0</v>
      </c>
      <c r="BV30" s="272">
        <v>1</v>
      </c>
      <c r="BW30" s="272">
        <v>1</v>
      </c>
      <c r="BX30" s="272">
        <v>1</v>
      </c>
      <c r="BY30" s="272">
        <v>2</v>
      </c>
      <c r="BZ30" s="272">
        <v>1</v>
      </c>
      <c r="CA30" s="1339">
        <v>3</v>
      </c>
      <c r="CB30" s="1356"/>
      <c r="CC30" s="1356"/>
      <c r="CD30" s="1356"/>
      <c r="CE30" s="1356"/>
      <c r="CF30" s="1356"/>
      <c r="CG30" s="1356"/>
      <c r="CH30" s="1356"/>
      <c r="CI30" s="1356"/>
      <c r="CJ30" s="1356"/>
      <c r="CK30" s="1356"/>
    </row>
    <row r="31" spans="1:89" s="1357" customFormat="1" ht="192" hidden="1">
      <c r="A31" s="196"/>
      <c r="B31" s="269"/>
      <c r="C31" s="235">
        <v>23</v>
      </c>
      <c r="D31" s="541">
        <v>75</v>
      </c>
      <c r="E31" s="236" t="s">
        <v>1340</v>
      </c>
      <c r="F31" s="232" t="s">
        <v>4</v>
      </c>
      <c r="G31" s="236" t="s">
        <v>1575</v>
      </c>
      <c r="H31" s="236" t="s">
        <v>1585</v>
      </c>
      <c r="I31" s="236" t="s">
        <v>1398</v>
      </c>
      <c r="J31" s="236" t="s">
        <v>1584</v>
      </c>
      <c r="K31" s="236" t="s">
        <v>1583</v>
      </c>
      <c r="L31" s="237" t="s">
        <v>85</v>
      </c>
      <c r="M31" s="237">
        <v>0</v>
      </c>
      <c r="N31" s="237">
        <v>2011</v>
      </c>
      <c r="O31" s="237">
        <v>3</v>
      </c>
      <c r="P31" s="1178">
        <v>0</v>
      </c>
      <c r="Q31" s="1179">
        <v>2</v>
      </c>
      <c r="R31" s="1180">
        <v>2</v>
      </c>
      <c r="S31" s="1181"/>
      <c r="T31" s="1194"/>
      <c r="U31" s="1212"/>
      <c r="V31" s="1195"/>
      <c r="W31" s="1196"/>
      <c r="X31" s="1189"/>
      <c r="Y31" s="1264" t="s">
        <v>1746</v>
      </c>
      <c r="Z31" s="1280"/>
      <c r="AA31" s="1280"/>
      <c r="AB31" s="1281"/>
      <c r="AC31" s="1282"/>
      <c r="AD31" s="1283"/>
      <c r="AE31" s="1281"/>
      <c r="AF31" s="1280"/>
      <c r="AG31" s="1280"/>
      <c r="AH31" s="1280"/>
      <c r="AI31" s="1280"/>
      <c r="AJ31" s="1280"/>
      <c r="AK31" s="1280"/>
      <c r="AL31" s="1280"/>
      <c r="AM31" s="1280"/>
      <c r="AN31" s="1280"/>
      <c r="AO31" s="1280"/>
      <c r="AP31" s="1280"/>
      <c r="AQ31" s="1280"/>
      <c r="AR31" s="1280"/>
      <c r="AS31" s="1280"/>
      <c r="AT31" s="1284"/>
      <c r="AU31" s="1285"/>
      <c r="AV31" s="1286"/>
      <c r="AW31" s="1286"/>
      <c r="AX31" s="1286"/>
      <c r="AY31" s="1286"/>
      <c r="AZ31" s="1287"/>
      <c r="BA31" s="1287"/>
      <c r="BB31" s="1276">
        <v>89</v>
      </c>
      <c r="BC31" s="233">
        <v>575</v>
      </c>
      <c r="BD31" s="233">
        <v>93</v>
      </c>
      <c r="BE31" s="219"/>
      <c r="BF31" s="219"/>
      <c r="BG31" s="219"/>
      <c r="BH31" s="219"/>
      <c r="BI31" s="219"/>
      <c r="BJ31" s="219"/>
      <c r="BK31" s="219"/>
      <c r="BL31" s="219"/>
      <c r="BM31" s="219"/>
      <c r="BN31" s="219"/>
      <c r="BO31" s="219"/>
      <c r="BP31" s="219"/>
      <c r="BQ31" s="219"/>
      <c r="BR31" s="219"/>
      <c r="BS31" s="219"/>
      <c r="BT31" s="272">
        <v>0</v>
      </c>
      <c r="BU31" s="272">
        <v>0</v>
      </c>
      <c r="BV31" s="272">
        <v>1</v>
      </c>
      <c r="BW31" s="272">
        <v>1</v>
      </c>
      <c r="BX31" s="272">
        <v>1</v>
      </c>
      <c r="BY31" s="272">
        <v>2</v>
      </c>
      <c r="BZ31" s="272">
        <v>1</v>
      </c>
      <c r="CA31" s="1339">
        <v>3</v>
      </c>
      <c r="CB31" s="1356"/>
      <c r="CC31" s="1356">
        <f>566-509</f>
        <v>57</v>
      </c>
      <c r="CD31" s="1356"/>
      <c r="CE31" s="1356"/>
      <c r="CF31" s="1356"/>
      <c r="CG31" s="1356"/>
      <c r="CH31" s="1356"/>
      <c r="CI31" s="1356"/>
      <c r="CJ31" s="1356"/>
      <c r="CK31" s="1356"/>
    </row>
    <row r="32" spans="1:89" s="1357" customFormat="1" ht="120" hidden="1">
      <c r="A32" s="196"/>
      <c r="B32" s="269"/>
      <c r="C32" s="231">
        <v>24</v>
      </c>
      <c r="D32" s="541">
        <v>76</v>
      </c>
      <c r="E32" s="236" t="s">
        <v>1340</v>
      </c>
      <c r="F32" s="232" t="s">
        <v>4</v>
      </c>
      <c r="G32" s="236" t="s">
        <v>1575</v>
      </c>
      <c r="H32" s="236" t="s">
        <v>131</v>
      </c>
      <c r="I32" s="236" t="s">
        <v>1398</v>
      </c>
      <c r="J32" s="236" t="s">
        <v>1584</v>
      </c>
      <c r="K32" s="236" t="s">
        <v>1583</v>
      </c>
      <c r="L32" s="237" t="s">
        <v>85</v>
      </c>
      <c r="M32" s="237">
        <v>0</v>
      </c>
      <c r="N32" s="237">
        <v>2011</v>
      </c>
      <c r="O32" s="237">
        <v>6</v>
      </c>
      <c r="P32" s="1178">
        <v>0</v>
      </c>
      <c r="Q32" s="1179">
        <v>1</v>
      </c>
      <c r="R32" s="1180">
        <v>1</v>
      </c>
      <c r="S32" s="1181"/>
      <c r="T32" s="1194" t="s">
        <v>1582</v>
      </c>
      <c r="U32" s="1195" t="s">
        <v>1352</v>
      </c>
      <c r="V32" s="1195" t="s">
        <v>1581</v>
      </c>
      <c r="W32" s="1196" t="s">
        <v>1580</v>
      </c>
      <c r="X32" s="1189" t="s">
        <v>1694</v>
      </c>
      <c r="Y32" s="1264" t="s">
        <v>1761</v>
      </c>
      <c r="Z32" s="1280"/>
      <c r="AA32" s="1280"/>
      <c r="AB32" s="1281"/>
      <c r="AC32" s="1282"/>
      <c r="AD32" s="1283"/>
      <c r="AE32" s="1281"/>
      <c r="AF32" s="1280"/>
      <c r="AG32" s="1280"/>
      <c r="AH32" s="1280"/>
      <c r="AI32" s="1280"/>
      <c r="AJ32" s="1280"/>
      <c r="AK32" s="1280"/>
      <c r="AL32" s="1280"/>
      <c r="AM32" s="1280"/>
      <c r="AN32" s="1280"/>
      <c r="AO32" s="1280"/>
      <c r="AP32" s="1280"/>
      <c r="AQ32" s="1280"/>
      <c r="AR32" s="1280"/>
      <c r="AS32" s="1280"/>
      <c r="AT32" s="1284"/>
      <c r="AU32" s="1285"/>
      <c r="AV32" s="1286"/>
      <c r="AW32" s="1286"/>
      <c r="AX32" s="1286"/>
      <c r="AY32" s="1286"/>
      <c r="AZ32" s="1287"/>
      <c r="BA32" s="1287"/>
      <c r="BB32" s="1276">
        <v>89</v>
      </c>
      <c r="BC32" s="233">
        <v>575</v>
      </c>
      <c r="BD32" s="233">
        <v>93</v>
      </c>
      <c r="BE32" s="219"/>
      <c r="BF32" s="219"/>
      <c r="BG32" s="219"/>
      <c r="BH32" s="219"/>
      <c r="BI32" s="219"/>
      <c r="BJ32" s="219"/>
      <c r="BK32" s="219"/>
      <c r="BL32" s="219"/>
      <c r="BM32" s="219"/>
      <c r="BN32" s="219"/>
      <c r="BO32" s="219"/>
      <c r="BP32" s="219"/>
      <c r="BQ32" s="219"/>
      <c r="BR32" s="219"/>
      <c r="BS32" s="219"/>
      <c r="BT32" s="272">
        <v>0</v>
      </c>
      <c r="BU32" s="272">
        <v>0</v>
      </c>
      <c r="BV32" s="272">
        <v>1</v>
      </c>
      <c r="BW32" s="272">
        <v>1</v>
      </c>
      <c r="BX32" s="272">
        <v>3</v>
      </c>
      <c r="BY32" s="272">
        <v>4</v>
      </c>
      <c r="BZ32" s="272">
        <v>2</v>
      </c>
      <c r="CA32" s="1339">
        <v>6</v>
      </c>
      <c r="CB32" s="1356"/>
      <c r="CC32" s="1356"/>
      <c r="CD32" s="1356"/>
      <c r="CE32" s="1356"/>
      <c r="CF32" s="1356"/>
      <c r="CG32" s="1356"/>
      <c r="CH32" s="1356"/>
      <c r="CI32" s="1356"/>
      <c r="CJ32" s="1356"/>
      <c r="CK32" s="1356"/>
    </row>
    <row r="33" spans="1:89" s="1357" customFormat="1" ht="48" hidden="1">
      <c r="A33" s="196"/>
      <c r="B33" s="269"/>
      <c r="C33" s="235">
        <v>25</v>
      </c>
      <c r="D33" s="541">
        <v>77</v>
      </c>
      <c r="E33" s="236" t="s">
        <v>1340</v>
      </c>
      <c r="F33" s="232" t="s">
        <v>4</v>
      </c>
      <c r="G33" s="236" t="s">
        <v>1575</v>
      </c>
      <c r="H33" s="236" t="s">
        <v>130</v>
      </c>
      <c r="I33" s="236" t="s">
        <v>1398</v>
      </c>
      <c r="J33" s="236" t="s">
        <v>1579</v>
      </c>
      <c r="K33" s="236" t="s">
        <v>1578</v>
      </c>
      <c r="L33" s="237" t="s">
        <v>85</v>
      </c>
      <c r="M33" s="237">
        <v>0</v>
      </c>
      <c r="N33" s="237">
        <v>2011</v>
      </c>
      <c r="O33" s="237">
        <v>100</v>
      </c>
      <c r="P33" s="1178">
        <v>0</v>
      </c>
      <c r="Q33" s="1179">
        <v>100</v>
      </c>
      <c r="R33" s="1180">
        <v>100</v>
      </c>
      <c r="S33" s="1181"/>
      <c r="T33" s="1194"/>
      <c r="U33" s="1195"/>
      <c r="V33" s="1195"/>
      <c r="W33" s="1196"/>
      <c r="X33" s="1189"/>
      <c r="Y33" s="1269"/>
      <c r="Z33" s="1280"/>
      <c r="AA33" s="1280"/>
      <c r="AB33" s="1281"/>
      <c r="AC33" s="1282"/>
      <c r="AD33" s="1283"/>
      <c r="AE33" s="1281"/>
      <c r="AF33" s="1280"/>
      <c r="AG33" s="1280"/>
      <c r="AH33" s="1280"/>
      <c r="AI33" s="1280"/>
      <c r="AJ33" s="1280"/>
      <c r="AK33" s="1280"/>
      <c r="AL33" s="1280"/>
      <c r="AM33" s="1280"/>
      <c r="AN33" s="1280"/>
      <c r="AO33" s="1280"/>
      <c r="AP33" s="1280"/>
      <c r="AQ33" s="1280"/>
      <c r="AR33" s="1280"/>
      <c r="AS33" s="1280"/>
      <c r="AT33" s="1284"/>
      <c r="AU33" s="1285"/>
      <c r="AV33" s="1286"/>
      <c r="AW33" s="1286"/>
      <c r="AX33" s="1286"/>
      <c r="AY33" s="1286"/>
      <c r="AZ33" s="1287"/>
      <c r="BA33" s="1287"/>
      <c r="BB33" s="1276">
        <v>51</v>
      </c>
      <c r="BC33" s="233">
        <v>60</v>
      </c>
      <c r="BD33" s="233">
        <v>61</v>
      </c>
      <c r="BE33" s="233">
        <v>62</v>
      </c>
      <c r="BF33" s="233">
        <v>63</v>
      </c>
      <c r="BG33" s="233">
        <v>64</v>
      </c>
      <c r="BH33" s="233">
        <v>87</v>
      </c>
      <c r="BI33" s="233">
        <v>88</v>
      </c>
      <c r="BJ33" s="233">
        <v>90</v>
      </c>
      <c r="BK33" s="233">
        <v>92</v>
      </c>
      <c r="BL33" s="233">
        <v>104</v>
      </c>
      <c r="BM33" s="233">
        <v>106</v>
      </c>
      <c r="BN33" s="233">
        <v>114</v>
      </c>
      <c r="BO33" s="233">
        <v>192</v>
      </c>
      <c r="BP33" s="219"/>
      <c r="BQ33" s="219"/>
      <c r="BR33" s="219"/>
      <c r="BS33" s="219"/>
      <c r="BT33" s="275">
        <v>0</v>
      </c>
      <c r="BU33" s="275">
        <v>0</v>
      </c>
      <c r="BV33" s="275">
        <v>0.4</v>
      </c>
      <c r="BW33" s="275">
        <v>0.4</v>
      </c>
      <c r="BX33" s="275">
        <v>0.3</v>
      </c>
      <c r="BY33" s="275">
        <v>0.7</v>
      </c>
      <c r="BZ33" s="275">
        <v>0.3</v>
      </c>
      <c r="CA33" s="1343">
        <v>1</v>
      </c>
      <c r="CB33" s="1356"/>
      <c r="CC33" s="1356"/>
      <c r="CD33" s="1356"/>
      <c r="CE33" s="1356"/>
      <c r="CF33" s="1356"/>
      <c r="CG33" s="1356"/>
      <c r="CH33" s="1356"/>
      <c r="CI33" s="1356"/>
      <c r="CJ33" s="1356"/>
      <c r="CK33" s="1356"/>
    </row>
    <row r="34" spans="1:89" s="1357" customFormat="1" ht="192" hidden="1">
      <c r="A34" s="196"/>
      <c r="B34" s="269"/>
      <c r="C34" s="231">
        <v>26</v>
      </c>
      <c r="D34" s="541">
        <v>78</v>
      </c>
      <c r="E34" s="236" t="s">
        <v>1340</v>
      </c>
      <c r="F34" s="232" t="s">
        <v>4</v>
      </c>
      <c r="G34" s="236" t="s">
        <v>1575</v>
      </c>
      <c r="H34" s="236" t="s">
        <v>129</v>
      </c>
      <c r="I34" s="236" t="s">
        <v>1398</v>
      </c>
      <c r="J34" s="236" t="s">
        <v>1577</v>
      </c>
      <c r="K34" s="236" t="s">
        <v>1404</v>
      </c>
      <c r="L34" s="237" t="s">
        <v>85</v>
      </c>
      <c r="M34" s="237">
        <v>76.95</v>
      </c>
      <c r="N34" s="237">
        <v>2011</v>
      </c>
      <c r="O34" s="237">
        <v>78.900000000000006</v>
      </c>
      <c r="P34" s="1178">
        <v>76.13</v>
      </c>
      <c r="Q34" s="1179">
        <v>78.97</v>
      </c>
      <c r="R34" s="1179">
        <v>79.989999999999995</v>
      </c>
      <c r="S34" s="1180"/>
      <c r="T34" s="1194" t="s">
        <v>1441</v>
      </c>
      <c r="U34" s="1195" t="s">
        <v>1352</v>
      </c>
      <c r="V34" s="1195" t="s">
        <v>1576</v>
      </c>
      <c r="W34" s="1196" t="s">
        <v>1693</v>
      </c>
      <c r="X34" s="1189" t="s">
        <v>1439</v>
      </c>
      <c r="Y34" s="1264" t="s">
        <v>1747</v>
      </c>
      <c r="Z34" s="1280"/>
      <c r="AA34" s="1280"/>
      <c r="AB34" s="1281"/>
      <c r="AC34" s="1282"/>
      <c r="AD34" s="1283"/>
      <c r="AE34" s="1281"/>
      <c r="AF34" s="1280"/>
      <c r="AG34" s="1280"/>
      <c r="AH34" s="1280"/>
      <c r="AI34" s="1280"/>
      <c r="AJ34" s="1280"/>
      <c r="AK34" s="1280"/>
      <c r="AL34" s="1280"/>
      <c r="AM34" s="1280"/>
      <c r="AN34" s="1280"/>
      <c r="AO34" s="1280"/>
      <c r="AP34" s="1280"/>
      <c r="AQ34" s="1280"/>
      <c r="AR34" s="1280"/>
      <c r="AS34" s="1280"/>
      <c r="AT34" s="1284"/>
      <c r="AU34" s="1285"/>
      <c r="AV34" s="1286"/>
      <c r="AW34" s="1286"/>
      <c r="AX34" s="1286"/>
      <c r="AY34" s="1286"/>
      <c r="AZ34" s="1287"/>
      <c r="BA34" s="1287"/>
      <c r="BB34" s="1276">
        <v>105</v>
      </c>
      <c r="BC34" s="219"/>
      <c r="BD34" s="219"/>
      <c r="BE34" s="219"/>
      <c r="BF34" s="219"/>
      <c r="BG34" s="219"/>
      <c r="BH34" s="219"/>
      <c r="BI34" s="219"/>
      <c r="BJ34" s="219"/>
      <c r="BK34" s="219"/>
      <c r="BL34" s="219"/>
      <c r="BM34" s="219"/>
      <c r="BN34" s="219"/>
      <c r="BO34" s="219"/>
      <c r="BP34" s="219"/>
      <c r="BQ34" s="219"/>
      <c r="BR34" s="219"/>
      <c r="BS34" s="219"/>
      <c r="BT34" s="272">
        <v>0</v>
      </c>
      <c r="BU34" s="276">
        <v>0</v>
      </c>
      <c r="BV34" s="272">
        <v>0.65</v>
      </c>
      <c r="BW34" s="276">
        <v>6.5000000000000006E-3</v>
      </c>
      <c r="BX34" s="272">
        <v>0.65</v>
      </c>
      <c r="BY34" s="276">
        <v>1.3000000000000001E-2</v>
      </c>
      <c r="BZ34" s="272">
        <v>0.65</v>
      </c>
      <c r="CA34" s="1347">
        <v>0.78900000000000003</v>
      </c>
      <c r="CB34" s="1356"/>
      <c r="CC34" s="1356"/>
      <c r="CD34" s="1356"/>
      <c r="CE34" s="1356"/>
      <c r="CF34" s="1356"/>
      <c r="CG34" s="1356"/>
      <c r="CH34" s="1356"/>
      <c r="CI34" s="1356"/>
      <c r="CJ34" s="1356"/>
      <c r="CK34" s="1356"/>
    </row>
    <row r="35" spans="1:89" s="1357" customFormat="1" ht="204" hidden="1">
      <c r="A35" s="196"/>
      <c r="B35" s="269"/>
      <c r="C35" s="235">
        <v>69</v>
      </c>
      <c r="D35" s="541">
        <v>574</v>
      </c>
      <c r="E35" s="236" t="s">
        <v>1340</v>
      </c>
      <c r="F35" s="232" t="s">
        <v>1358</v>
      </c>
      <c r="G35" s="236" t="s">
        <v>1406</v>
      </c>
      <c r="H35" s="236" t="s">
        <v>1711</v>
      </c>
      <c r="I35" s="236" t="s">
        <v>1398</v>
      </c>
      <c r="J35" s="236" t="s">
        <v>1442</v>
      </c>
      <c r="K35" s="236" t="s">
        <v>1404</v>
      </c>
      <c r="L35" s="237" t="s">
        <v>1369</v>
      </c>
      <c r="M35" s="237">
        <v>21</v>
      </c>
      <c r="N35" s="237">
        <v>2011</v>
      </c>
      <c r="O35" s="237">
        <v>10</v>
      </c>
      <c r="P35" s="1213">
        <v>17</v>
      </c>
      <c r="Q35" s="1193">
        <v>12</v>
      </c>
      <c r="R35" s="1193">
        <v>8</v>
      </c>
      <c r="S35" s="1193">
        <v>6</v>
      </c>
      <c r="T35" s="1180" t="s">
        <v>1441</v>
      </c>
      <c r="U35" s="1183" t="s">
        <v>1352</v>
      </c>
      <c r="V35" s="1183" t="s">
        <v>1440</v>
      </c>
      <c r="W35" s="1196" t="s">
        <v>1693</v>
      </c>
      <c r="X35" s="1185" t="s">
        <v>1439</v>
      </c>
      <c r="Y35" s="1264" t="s">
        <v>1758</v>
      </c>
      <c r="Z35" s="1280"/>
      <c r="AA35" s="1280"/>
      <c r="AB35" s="1281"/>
      <c r="AC35" s="1282"/>
      <c r="AD35" s="1283"/>
      <c r="AE35" s="1281"/>
      <c r="AF35" s="1281"/>
      <c r="AG35" s="1280"/>
      <c r="AH35" s="1280"/>
      <c r="AI35" s="1280"/>
      <c r="AJ35" s="1280"/>
      <c r="AK35" s="1280"/>
      <c r="AL35" s="1280"/>
      <c r="AM35" s="1280"/>
      <c r="AN35" s="1280"/>
      <c r="AO35" s="1280"/>
      <c r="AP35" s="1280"/>
      <c r="AQ35" s="1280"/>
      <c r="AR35" s="1280"/>
      <c r="AS35" s="1280"/>
      <c r="AT35" s="1284"/>
      <c r="AU35" s="1285"/>
      <c r="AV35" s="1286"/>
      <c r="AW35" s="1286"/>
      <c r="AX35" s="1286"/>
      <c r="AY35" s="1286"/>
      <c r="AZ35" s="1287"/>
      <c r="BA35" s="1287"/>
      <c r="BB35" s="1277"/>
      <c r="BC35" s="219"/>
      <c r="BD35" s="219"/>
      <c r="BE35" s="219"/>
      <c r="BF35" s="219"/>
      <c r="BG35" s="219"/>
      <c r="BH35" s="219"/>
      <c r="BI35" s="219"/>
      <c r="BJ35" s="219"/>
      <c r="BK35" s="219"/>
      <c r="BL35" s="219"/>
      <c r="BM35" s="219"/>
      <c r="BN35" s="219"/>
      <c r="BO35" s="219"/>
      <c r="BP35" s="219"/>
      <c r="BQ35" s="219"/>
      <c r="BR35" s="219"/>
      <c r="BS35" s="219"/>
      <c r="BT35" s="241">
        <v>3</v>
      </c>
      <c r="BU35" s="272">
        <v>18</v>
      </c>
      <c r="BV35" s="241">
        <v>1</v>
      </c>
      <c r="BW35" s="272">
        <v>17</v>
      </c>
      <c r="BX35" s="241">
        <v>1</v>
      </c>
      <c r="BY35" s="272">
        <v>16</v>
      </c>
      <c r="BZ35" s="241">
        <v>1</v>
      </c>
      <c r="CA35" s="1340">
        <v>15</v>
      </c>
      <c r="CB35" s="1356"/>
      <c r="CC35" s="1356"/>
      <c r="CD35" s="1356"/>
      <c r="CE35" s="1356"/>
      <c r="CF35" s="1356"/>
      <c r="CG35" s="1356"/>
      <c r="CH35" s="1356"/>
      <c r="CI35" s="1356"/>
      <c r="CJ35" s="1356"/>
      <c r="CK35" s="1356"/>
    </row>
    <row r="36" spans="1:89" s="1357" customFormat="1" ht="72" hidden="1">
      <c r="A36" s="196"/>
      <c r="B36" s="269"/>
      <c r="C36" s="231">
        <v>50</v>
      </c>
      <c r="D36" s="541">
        <v>347</v>
      </c>
      <c r="E36" s="236" t="s">
        <v>82</v>
      </c>
      <c r="F36" s="232" t="s">
        <v>5</v>
      </c>
      <c r="G36" s="236" t="s">
        <v>1503</v>
      </c>
      <c r="H36" s="236" t="s">
        <v>113</v>
      </c>
      <c r="I36" s="236" t="s">
        <v>1398</v>
      </c>
      <c r="J36" s="236" t="s">
        <v>1504</v>
      </c>
      <c r="K36" s="236" t="s">
        <v>1501</v>
      </c>
      <c r="L36" s="237" t="s">
        <v>85</v>
      </c>
      <c r="M36" s="237">
        <v>1625582</v>
      </c>
      <c r="N36" s="237">
        <v>2011</v>
      </c>
      <c r="O36" s="237">
        <v>1827582</v>
      </c>
      <c r="P36" s="1187">
        <v>1625582</v>
      </c>
      <c r="Q36" s="1188">
        <v>1726478</v>
      </c>
      <c r="R36" s="1188">
        <v>1780921</v>
      </c>
      <c r="S36" s="1181"/>
      <c r="T36" s="1180" t="s">
        <v>82</v>
      </c>
      <c r="U36" s="1183" t="s">
        <v>1353</v>
      </c>
      <c r="V36" s="1183" t="s">
        <v>1500</v>
      </c>
      <c r="W36" s="1184">
        <v>41820</v>
      </c>
      <c r="X36" s="1186" t="s">
        <v>1499</v>
      </c>
      <c r="Y36" s="1270" t="s">
        <v>1754</v>
      </c>
      <c r="Z36" s="1280"/>
      <c r="AA36" s="1280"/>
      <c r="AB36" s="1280"/>
      <c r="AC36" s="1282"/>
      <c r="AD36" s="1283"/>
      <c r="AE36" s="1281"/>
      <c r="AF36" s="1280"/>
      <c r="AG36" s="1280"/>
      <c r="AH36" s="1280"/>
      <c r="AI36" s="1280"/>
      <c r="AJ36" s="1280"/>
      <c r="AK36" s="1280"/>
      <c r="AL36" s="1280"/>
      <c r="AM36" s="1280"/>
      <c r="AN36" s="1280"/>
      <c r="AO36" s="1280"/>
      <c r="AP36" s="1280"/>
      <c r="AQ36" s="1280"/>
      <c r="AR36" s="1280"/>
      <c r="AS36" s="1280"/>
      <c r="AT36" s="1284"/>
      <c r="AU36" s="1285"/>
      <c r="AV36" s="1286"/>
      <c r="AW36" s="1286"/>
      <c r="AX36" s="1286"/>
      <c r="AY36" s="1286"/>
      <c r="AZ36" s="1287"/>
      <c r="BA36" s="1287"/>
      <c r="BB36" s="1276">
        <v>349</v>
      </c>
      <c r="BC36" s="233">
        <v>352</v>
      </c>
      <c r="BD36" s="233">
        <v>354</v>
      </c>
      <c r="BE36" s="233">
        <v>355</v>
      </c>
      <c r="BF36" s="233">
        <v>356</v>
      </c>
      <c r="BG36" s="233">
        <v>357</v>
      </c>
      <c r="BH36" s="233">
        <v>358</v>
      </c>
      <c r="BI36" s="219"/>
      <c r="BJ36" s="219"/>
      <c r="BK36" s="219"/>
      <c r="BL36" s="219"/>
      <c r="BM36" s="219"/>
      <c r="BN36" s="219"/>
      <c r="BO36" s="219"/>
      <c r="BP36" s="219"/>
      <c r="BQ36" s="219"/>
      <c r="BR36" s="219"/>
      <c r="BS36" s="219"/>
      <c r="BT36" s="282">
        <v>0</v>
      </c>
      <c r="BU36" s="281">
        <v>1625582</v>
      </c>
      <c r="BV36" s="272">
        <v>2000</v>
      </c>
      <c r="BW36" s="272">
        <v>1627582</v>
      </c>
      <c r="BX36" s="282">
        <v>50000</v>
      </c>
      <c r="BY36" s="283">
        <v>1677582</v>
      </c>
      <c r="BZ36" s="282">
        <v>150000</v>
      </c>
      <c r="CA36" s="1338">
        <v>1827582</v>
      </c>
      <c r="CB36" s="1356"/>
      <c r="CC36" s="1356"/>
      <c r="CD36" s="1356"/>
      <c r="CE36" s="1356"/>
      <c r="CF36" s="1356"/>
      <c r="CG36" s="1356"/>
      <c r="CH36" s="1356"/>
      <c r="CI36" s="1356"/>
      <c r="CJ36" s="1356"/>
      <c r="CK36" s="1356"/>
    </row>
    <row r="37" spans="1:89" s="1357" customFormat="1" ht="60" hidden="1">
      <c r="A37" s="196"/>
      <c r="B37" s="269"/>
      <c r="C37" s="235">
        <v>51</v>
      </c>
      <c r="D37" s="541">
        <v>348</v>
      </c>
      <c r="E37" s="236" t="s">
        <v>82</v>
      </c>
      <c r="F37" s="232" t="s">
        <v>5</v>
      </c>
      <c r="G37" s="236" t="s">
        <v>1503</v>
      </c>
      <c r="H37" s="236" t="s">
        <v>112</v>
      </c>
      <c r="I37" s="236" t="s">
        <v>1398</v>
      </c>
      <c r="J37" s="236" t="s">
        <v>1502</v>
      </c>
      <c r="K37" s="236" t="s">
        <v>1501</v>
      </c>
      <c r="L37" s="237" t="s">
        <v>85</v>
      </c>
      <c r="M37" s="237">
        <v>1139202</v>
      </c>
      <c r="N37" s="237">
        <v>2011</v>
      </c>
      <c r="O37" s="237">
        <v>1289202</v>
      </c>
      <c r="P37" s="1214">
        <v>1139202</v>
      </c>
      <c r="Q37" s="1215">
        <v>1172169</v>
      </c>
      <c r="R37" s="1215">
        <v>1201848</v>
      </c>
      <c r="S37" s="1181"/>
      <c r="T37" s="1180" t="s">
        <v>82</v>
      </c>
      <c r="U37" s="1183" t="s">
        <v>1353</v>
      </c>
      <c r="V37" s="1183" t="s">
        <v>1500</v>
      </c>
      <c r="W37" s="1184">
        <v>41820</v>
      </c>
      <c r="X37" s="1186" t="s">
        <v>1499</v>
      </c>
      <c r="Y37" s="1270" t="s">
        <v>1755</v>
      </c>
      <c r="Z37" s="1280"/>
      <c r="AA37" s="1280"/>
      <c r="AB37" s="1281"/>
      <c r="AC37" s="1282"/>
      <c r="AD37" s="1283"/>
      <c r="AE37" s="1281"/>
      <c r="AF37" s="1280"/>
      <c r="AG37" s="1280"/>
      <c r="AH37" s="1280"/>
      <c r="AI37" s="1280"/>
      <c r="AJ37" s="1280"/>
      <c r="AK37" s="1280"/>
      <c r="AL37" s="1280"/>
      <c r="AM37" s="1280"/>
      <c r="AN37" s="1280"/>
      <c r="AO37" s="1280"/>
      <c r="AP37" s="1280"/>
      <c r="AQ37" s="1280"/>
      <c r="AR37" s="1280"/>
      <c r="AS37" s="1280"/>
      <c r="AT37" s="1284"/>
      <c r="AU37" s="1285"/>
      <c r="AV37" s="1286"/>
      <c r="AW37" s="1286"/>
      <c r="AX37" s="1286"/>
      <c r="AY37" s="1286"/>
      <c r="AZ37" s="1287"/>
      <c r="BA37" s="1287"/>
      <c r="BB37" s="1276">
        <v>350</v>
      </c>
      <c r="BC37" s="233">
        <v>351</v>
      </c>
      <c r="BD37" s="233">
        <v>353</v>
      </c>
      <c r="BE37" s="219"/>
      <c r="BF37" s="219"/>
      <c r="BG37" s="219"/>
      <c r="BH37" s="219"/>
      <c r="BI37" s="219"/>
      <c r="BJ37" s="219"/>
      <c r="BK37" s="219"/>
      <c r="BL37" s="219"/>
      <c r="BM37" s="219"/>
      <c r="BN37" s="219"/>
      <c r="BO37" s="219"/>
      <c r="BP37" s="219"/>
      <c r="BQ37" s="219"/>
      <c r="BR37" s="219"/>
      <c r="BS37" s="219"/>
      <c r="BT37" s="282">
        <v>2000</v>
      </c>
      <c r="BU37" s="281">
        <v>1141202</v>
      </c>
      <c r="BV37" s="241">
        <v>8000</v>
      </c>
      <c r="BW37" s="283">
        <v>1149202</v>
      </c>
      <c r="BX37" s="283">
        <v>60000</v>
      </c>
      <c r="BY37" s="283">
        <v>1209202</v>
      </c>
      <c r="BZ37" s="283">
        <v>80000</v>
      </c>
      <c r="CA37" s="1338">
        <v>1289202</v>
      </c>
      <c r="CB37" s="1356"/>
      <c r="CC37" s="1356"/>
      <c r="CD37" s="1356"/>
      <c r="CE37" s="1356"/>
      <c r="CF37" s="1356"/>
      <c r="CG37" s="1356"/>
      <c r="CH37" s="1356"/>
      <c r="CI37" s="1356"/>
      <c r="CJ37" s="1356"/>
      <c r="CK37" s="1356"/>
    </row>
    <row r="38" spans="1:89" s="1357" customFormat="1" ht="69.75" customHeight="1">
      <c r="A38" s="196"/>
      <c r="B38" s="269"/>
      <c r="C38" s="231">
        <v>72</v>
      </c>
      <c r="D38" s="541">
        <v>613</v>
      </c>
      <c r="E38" s="236" t="s">
        <v>1339</v>
      </c>
      <c r="F38" s="232" t="s">
        <v>1358</v>
      </c>
      <c r="G38" s="236" t="s">
        <v>1425</v>
      </c>
      <c r="H38" s="236" t="s">
        <v>96</v>
      </c>
      <c r="I38" s="236" t="s">
        <v>1398</v>
      </c>
      <c r="J38" s="236" t="s">
        <v>1428</v>
      </c>
      <c r="K38" s="236" t="s">
        <v>1404</v>
      </c>
      <c r="L38" s="237" t="s">
        <v>85</v>
      </c>
      <c r="M38" s="237">
        <v>65</v>
      </c>
      <c r="N38" s="237">
        <v>2011</v>
      </c>
      <c r="O38" s="243">
        <v>80</v>
      </c>
      <c r="P38" s="1178">
        <v>65</v>
      </c>
      <c r="Q38" s="1179">
        <v>56</v>
      </c>
      <c r="R38" s="1180">
        <v>70</v>
      </c>
      <c r="S38" s="1181"/>
      <c r="T38" s="1180" t="s">
        <v>1734</v>
      </c>
      <c r="U38" s="1182" t="s">
        <v>1352</v>
      </c>
      <c r="V38" s="1183" t="s">
        <v>1735</v>
      </c>
      <c r="W38" s="1184">
        <v>41971</v>
      </c>
      <c r="X38" s="1185" t="s">
        <v>1733</v>
      </c>
      <c r="Y38" s="1264" t="s">
        <v>1736</v>
      </c>
      <c r="Z38" s="1280"/>
      <c r="AA38" s="1280"/>
      <c r="AB38" s="1281"/>
      <c r="AC38" s="1282"/>
      <c r="AD38" s="1283"/>
      <c r="AE38" s="1281"/>
      <c r="AF38" s="1280"/>
      <c r="AG38" s="1280"/>
      <c r="AH38" s="1280"/>
      <c r="AI38" s="1280"/>
      <c r="AJ38" s="1280"/>
      <c r="AK38" s="1280"/>
      <c r="AL38" s="1280"/>
      <c r="AM38" s="1280"/>
      <c r="AN38" s="1280"/>
      <c r="AO38" s="1280"/>
      <c r="AP38" s="1280"/>
      <c r="AQ38" s="1280"/>
      <c r="AR38" s="1280"/>
      <c r="AS38" s="1280"/>
      <c r="AT38" s="1284"/>
      <c r="AU38" s="1285"/>
      <c r="AV38" s="1286"/>
      <c r="AW38" s="1286"/>
      <c r="AX38" s="1286"/>
      <c r="AY38" s="1286"/>
      <c r="AZ38" s="1287"/>
      <c r="BA38" s="1287"/>
      <c r="BB38" s="1276">
        <v>519</v>
      </c>
      <c r="BC38" s="233">
        <v>522</v>
      </c>
      <c r="BD38" s="233">
        <v>526</v>
      </c>
      <c r="BE38" s="233">
        <v>531</v>
      </c>
      <c r="BF38" s="233">
        <v>532</v>
      </c>
      <c r="BG38" s="233">
        <v>533</v>
      </c>
      <c r="BH38" s="233">
        <v>534</v>
      </c>
      <c r="BI38" s="233">
        <v>535</v>
      </c>
      <c r="BJ38" s="233">
        <v>537</v>
      </c>
      <c r="BK38" s="219"/>
      <c r="BL38" s="219"/>
      <c r="BM38" s="219"/>
      <c r="BN38" s="219"/>
      <c r="BO38" s="219"/>
      <c r="BP38" s="219"/>
      <c r="BQ38" s="219"/>
      <c r="BR38" s="219"/>
      <c r="BS38" s="219"/>
      <c r="BT38" s="241">
        <v>0</v>
      </c>
      <c r="BU38" s="294">
        <v>0</v>
      </c>
      <c r="BV38" s="241">
        <v>5</v>
      </c>
      <c r="BW38" s="294">
        <v>0.7</v>
      </c>
      <c r="BX38" s="241">
        <v>5</v>
      </c>
      <c r="BY38" s="294">
        <v>0.75</v>
      </c>
      <c r="BZ38" s="241">
        <v>5</v>
      </c>
      <c r="CA38" s="1348">
        <v>0.8</v>
      </c>
      <c r="CB38" s="1356"/>
      <c r="CC38" s="1356"/>
      <c r="CD38" s="1356"/>
      <c r="CE38" s="1356"/>
      <c r="CF38" s="1356"/>
      <c r="CG38" s="1356"/>
      <c r="CH38" s="1356"/>
      <c r="CI38" s="1356"/>
      <c r="CJ38" s="1356"/>
      <c r="CK38" s="1356"/>
    </row>
    <row r="39" spans="1:89" s="1357" customFormat="1" ht="36">
      <c r="A39" s="196"/>
      <c r="B39" s="269"/>
      <c r="C39" s="231">
        <v>2</v>
      </c>
      <c r="D39" s="541">
        <v>1</v>
      </c>
      <c r="E39" s="232" t="s">
        <v>1338</v>
      </c>
      <c r="F39" s="232" t="s">
        <v>4</v>
      </c>
      <c r="G39" s="232" t="s">
        <v>1608</v>
      </c>
      <c r="H39" s="232" t="s">
        <v>1626</v>
      </c>
      <c r="I39" s="232" t="s">
        <v>1398</v>
      </c>
      <c r="J39" s="232" t="s">
        <v>1625</v>
      </c>
      <c r="K39" s="232" t="s">
        <v>1501</v>
      </c>
      <c r="L39" s="233" t="s">
        <v>1369</v>
      </c>
      <c r="M39" s="233">
        <v>8</v>
      </c>
      <c r="N39" s="233">
        <v>2011</v>
      </c>
      <c r="O39" s="233">
        <v>4</v>
      </c>
      <c r="P39" s="1178">
        <v>3</v>
      </c>
      <c r="Q39" s="1179">
        <v>2</v>
      </c>
      <c r="R39" s="1185">
        <v>2</v>
      </c>
      <c r="S39" s="1216"/>
      <c r="T39" s="1194" t="s">
        <v>1570</v>
      </c>
      <c r="U39" s="1183" t="s">
        <v>1353</v>
      </c>
      <c r="V39" s="1183" t="s">
        <v>1569</v>
      </c>
      <c r="W39" s="1184" t="s">
        <v>1433</v>
      </c>
      <c r="X39" s="1185" t="s">
        <v>1591</v>
      </c>
      <c r="Y39" s="1264" t="s">
        <v>1431</v>
      </c>
      <c r="Z39" s="1280"/>
      <c r="AA39" s="1280"/>
      <c r="AB39" s="1282"/>
      <c r="AC39" s="1282"/>
      <c r="AD39" s="1283"/>
      <c r="AE39" s="1281"/>
      <c r="AF39" s="1280"/>
      <c r="AG39" s="1280"/>
      <c r="AH39" s="1280"/>
      <c r="AI39" s="1280"/>
      <c r="AJ39" s="1280"/>
      <c r="AK39" s="1280"/>
      <c r="AL39" s="1280"/>
      <c r="AM39" s="1280"/>
      <c r="AN39" s="1280"/>
      <c r="AO39" s="1280"/>
      <c r="AP39" s="1280"/>
      <c r="AQ39" s="1280"/>
      <c r="AR39" s="1280"/>
      <c r="AS39" s="1280"/>
      <c r="AT39" s="1284"/>
      <c r="AU39" s="1285"/>
      <c r="AV39" s="1286"/>
      <c r="AW39" s="1286"/>
      <c r="AX39" s="1286"/>
      <c r="AY39" s="1286"/>
      <c r="AZ39" s="1287"/>
      <c r="BA39" s="1287"/>
      <c r="BB39" s="1276">
        <v>423</v>
      </c>
      <c r="BC39" s="233">
        <v>17</v>
      </c>
      <c r="BD39" s="233">
        <v>31</v>
      </c>
      <c r="BE39" s="233">
        <v>32</v>
      </c>
      <c r="BF39" s="233">
        <v>71</v>
      </c>
      <c r="BG39" s="219"/>
      <c r="BH39" s="219"/>
      <c r="BI39" s="219"/>
      <c r="BJ39" s="219"/>
      <c r="BK39" s="219"/>
      <c r="BL39" s="219"/>
      <c r="BM39" s="219"/>
      <c r="BN39" s="219"/>
      <c r="BO39" s="219"/>
      <c r="BP39" s="219"/>
      <c r="BQ39" s="219"/>
      <c r="BR39" s="219"/>
      <c r="BS39" s="219"/>
      <c r="BT39" s="272">
        <v>0</v>
      </c>
      <c r="BU39" s="272">
        <v>0</v>
      </c>
      <c r="BV39" s="272">
        <v>0</v>
      </c>
      <c r="BW39" s="272">
        <v>0</v>
      </c>
      <c r="BX39" s="272">
        <v>0</v>
      </c>
      <c r="BY39" s="272">
        <v>0</v>
      </c>
      <c r="BZ39" s="272">
        <v>4</v>
      </c>
      <c r="CA39" s="1339">
        <v>4</v>
      </c>
      <c r="CB39" s="1356"/>
      <c r="CC39" s="1356"/>
      <c r="CD39" s="1356"/>
      <c r="CE39" s="1356"/>
      <c r="CF39" s="1356"/>
      <c r="CG39" s="1356"/>
      <c r="CH39" s="1356"/>
      <c r="CI39" s="1356"/>
      <c r="CJ39" s="1356"/>
      <c r="CK39" s="1356"/>
    </row>
    <row r="40" spans="1:89" s="1357" customFormat="1" ht="36">
      <c r="A40" s="196"/>
      <c r="B40" s="269"/>
      <c r="C40" s="231">
        <v>12</v>
      </c>
      <c r="D40" s="541">
        <v>33</v>
      </c>
      <c r="E40" s="232" t="s">
        <v>1338</v>
      </c>
      <c r="F40" s="232" t="s">
        <v>4</v>
      </c>
      <c r="G40" s="232" t="s">
        <v>1594</v>
      </c>
      <c r="H40" s="232" t="s">
        <v>139</v>
      </c>
      <c r="I40" s="232" t="s">
        <v>1398</v>
      </c>
      <c r="J40" s="232" t="s">
        <v>1606</v>
      </c>
      <c r="K40" s="232" t="s">
        <v>1545</v>
      </c>
      <c r="L40" s="233" t="s">
        <v>1369</v>
      </c>
      <c r="M40" s="233">
        <v>13</v>
      </c>
      <c r="N40" s="233">
        <v>2011</v>
      </c>
      <c r="O40" s="233">
        <v>10</v>
      </c>
      <c r="P40" s="1178">
        <v>4</v>
      </c>
      <c r="Q40" s="1179">
        <v>0</v>
      </c>
      <c r="R40" s="1185">
        <v>2</v>
      </c>
      <c r="S40" s="1216"/>
      <c r="T40" s="1194" t="s">
        <v>1570</v>
      </c>
      <c r="U40" s="1183" t="s">
        <v>1353</v>
      </c>
      <c r="V40" s="1183" t="s">
        <v>1569</v>
      </c>
      <c r="W40" s="1184" t="s">
        <v>1433</v>
      </c>
      <c r="X40" s="1185" t="s">
        <v>1591</v>
      </c>
      <c r="Y40" s="1264" t="s">
        <v>1431</v>
      </c>
      <c r="Z40" s="1280"/>
      <c r="AA40" s="1280"/>
      <c r="AB40" s="1281"/>
      <c r="AC40" s="1282"/>
      <c r="AD40" s="1283"/>
      <c r="AE40" s="1281"/>
      <c r="AF40" s="1280"/>
      <c r="AG40" s="1280"/>
      <c r="AH40" s="1280"/>
      <c r="AI40" s="1280"/>
      <c r="AJ40" s="1280"/>
      <c r="AK40" s="1280"/>
      <c r="AL40" s="1280"/>
      <c r="AM40" s="1280"/>
      <c r="AN40" s="1280"/>
      <c r="AO40" s="1280"/>
      <c r="AP40" s="1280"/>
      <c r="AQ40" s="1280"/>
      <c r="AR40" s="1280"/>
      <c r="AS40" s="1280"/>
      <c r="AT40" s="1284"/>
      <c r="AU40" s="1285"/>
      <c r="AV40" s="1286"/>
      <c r="AW40" s="1286"/>
      <c r="AX40" s="1286"/>
      <c r="AY40" s="1286"/>
      <c r="AZ40" s="1287"/>
      <c r="BA40" s="1287"/>
      <c r="BB40" s="1276">
        <v>44</v>
      </c>
      <c r="BC40" s="233">
        <v>69</v>
      </c>
      <c r="BD40" s="219"/>
      <c r="BE40" s="219"/>
      <c r="BF40" s="219"/>
      <c r="BG40" s="219"/>
      <c r="BH40" s="219"/>
      <c r="BI40" s="219"/>
      <c r="BJ40" s="219"/>
      <c r="BK40" s="219"/>
      <c r="BL40" s="219"/>
      <c r="BM40" s="219"/>
      <c r="BN40" s="219"/>
      <c r="BO40" s="219"/>
      <c r="BP40" s="219"/>
      <c r="BQ40" s="219"/>
      <c r="BR40" s="219"/>
      <c r="BS40" s="219"/>
      <c r="BT40" s="272">
        <v>0</v>
      </c>
      <c r="BU40" s="272">
        <v>0</v>
      </c>
      <c r="BV40" s="272">
        <v>0</v>
      </c>
      <c r="BW40" s="272">
        <v>0</v>
      </c>
      <c r="BX40" s="272">
        <v>0</v>
      </c>
      <c r="BY40" s="272">
        <v>0</v>
      </c>
      <c r="BZ40" s="272">
        <v>10</v>
      </c>
      <c r="CA40" s="1349">
        <v>10</v>
      </c>
      <c r="CB40" s="1356"/>
      <c r="CC40" s="1356"/>
      <c r="CD40" s="1356"/>
      <c r="CE40" s="1356"/>
      <c r="CF40" s="1356"/>
      <c r="CG40" s="1356"/>
      <c r="CH40" s="1356"/>
      <c r="CI40" s="1356"/>
      <c r="CJ40" s="1356"/>
      <c r="CK40" s="1356"/>
    </row>
    <row r="41" spans="1:89" s="1357" customFormat="1" ht="36">
      <c r="A41" s="196"/>
      <c r="B41" s="269"/>
      <c r="C41" s="231">
        <v>20</v>
      </c>
      <c r="D41" s="541">
        <v>72</v>
      </c>
      <c r="E41" s="232" t="s">
        <v>1338</v>
      </c>
      <c r="F41" s="232" t="s">
        <v>4</v>
      </c>
      <c r="G41" s="232" t="s">
        <v>1575</v>
      </c>
      <c r="H41" s="232" t="s">
        <v>133</v>
      </c>
      <c r="I41" s="232" t="s">
        <v>1398</v>
      </c>
      <c r="J41" s="232" t="s">
        <v>1592</v>
      </c>
      <c r="K41" s="232" t="s">
        <v>1545</v>
      </c>
      <c r="L41" s="233" t="s">
        <v>1369</v>
      </c>
      <c r="M41" s="233">
        <v>93</v>
      </c>
      <c r="N41" s="233">
        <v>2011</v>
      </c>
      <c r="O41" s="233">
        <v>88</v>
      </c>
      <c r="P41" s="1178">
        <v>22</v>
      </c>
      <c r="Q41" s="1179">
        <v>30</v>
      </c>
      <c r="R41" s="1185">
        <v>26</v>
      </c>
      <c r="S41" s="1216"/>
      <c r="T41" s="1194" t="s">
        <v>1570</v>
      </c>
      <c r="U41" s="1183" t="s">
        <v>1353</v>
      </c>
      <c r="V41" s="1183" t="s">
        <v>1569</v>
      </c>
      <c r="W41" s="1184" t="s">
        <v>1433</v>
      </c>
      <c r="X41" s="1185" t="s">
        <v>1591</v>
      </c>
      <c r="Y41" s="1264" t="s">
        <v>1431</v>
      </c>
      <c r="Z41" s="1280"/>
      <c r="AA41" s="1280"/>
      <c r="AB41" s="1281"/>
      <c r="AC41" s="1282"/>
      <c r="AD41" s="1283"/>
      <c r="AE41" s="1281"/>
      <c r="AF41" s="1280"/>
      <c r="AG41" s="1280"/>
      <c r="AH41" s="1280"/>
      <c r="AI41" s="1280"/>
      <c r="AJ41" s="1280"/>
      <c r="AK41" s="1280"/>
      <c r="AL41" s="1280"/>
      <c r="AM41" s="1280"/>
      <c r="AN41" s="1280"/>
      <c r="AO41" s="1280"/>
      <c r="AP41" s="1280"/>
      <c r="AQ41" s="1280"/>
      <c r="AR41" s="1280"/>
      <c r="AS41" s="1280"/>
      <c r="AT41" s="1284"/>
      <c r="AU41" s="1285"/>
      <c r="AV41" s="1286"/>
      <c r="AW41" s="1286"/>
      <c r="AX41" s="1286"/>
      <c r="AY41" s="1286"/>
      <c r="AZ41" s="1287"/>
      <c r="BA41" s="1287"/>
      <c r="BB41" s="1276">
        <v>82</v>
      </c>
      <c r="BC41" s="233">
        <v>110</v>
      </c>
      <c r="BD41" s="233">
        <v>113</v>
      </c>
      <c r="BE41" s="219"/>
      <c r="BF41" s="219"/>
      <c r="BG41" s="219"/>
      <c r="BH41" s="219"/>
      <c r="BI41" s="219"/>
      <c r="BJ41" s="219"/>
      <c r="BK41" s="219"/>
      <c r="BL41" s="219"/>
      <c r="BM41" s="219"/>
      <c r="BN41" s="219"/>
      <c r="BO41" s="219"/>
      <c r="BP41" s="219"/>
      <c r="BQ41" s="219"/>
      <c r="BR41" s="219"/>
      <c r="BS41" s="219"/>
      <c r="BT41" s="272">
        <v>0</v>
      </c>
      <c r="BU41" s="272">
        <v>0</v>
      </c>
      <c r="BV41" s="272">
        <v>0</v>
      </c>
      <c r="BW41" s="272">
        <v>0</v>
      </c>
      <c r="BX41" s="272">
        <v>0</v>
      </c>
      <c r="BY41" s="272">
        <v>0</v>
      </c>
      <c r="BZ41" s="272">
        <v>5</v>
      </c>
      <c r="CA41" s="1339">
        <v>5</v>
      </c>
      <c r="CB41" s="1356"/>
      <c r="CC41" s="1356"/>
      <c r="CD41" s="1356"/>
      <c r="CE41" s="1356"/>
      <c r="CF41" s="1356"/>
      <c r="CG41" s="1356"/>
      <c r="CH41" s="1356"/>
      <c r="CI41" s="1356"/>
      <c r="CJ41" s="1356"/>
      <c r="CK41" s="1356"/>
    </row>
    <row r="42" spans="1:89" s="1357" customFormat="1" ht="36">
      <c r="A42" s="196"/>
      <c r="B42" s="269"/>
      <c r="C42" s="231">
        <v>28</v>
      </c>
      <c r="D42" s="541">
        <v>115</v>
      </c>
      <c r="E42" s="232" t="s">
        <v>1338</v>
      </c>
      <c r="F42" s="232" t="s">
        <v>4</v>
      </c>
      <c r="G42" s="232" t="s">
        <v>1560</v>
      </c>
      <c r="H42" s="232" t="s">
        <v>127</v>
      </c>
      <c r="I42" s="232" t="s">
        <v>1398</v>
      </c>
      <c r="J42" s="232" t="s">
        <v>1571</v>
      </c>
      <c r="K42" s="232" t="s">
        <v>1545</v>
      </c>
      <c r="L42" s="233" t="s">
        <v>1369</v>
      </c>
      <c r="M42" s="233">
        <v>566</v>
      </c>
      <c r="N42" s="233">
        <v>2011</v>
      </c>
      <c r="O42" s="233">
        <v>509</v>
      </c>
      <c r="P42" s="1178">
        <v>463</v>
      </c>
      <c r="Q42" s="1179">
        <v>430</v>
      </c>
      <c r="R42" s="1185">
        <v>495</v>
      </c>
      <c r="S42" s="1216">
        <v>495</v>
      </c>
      <c r="T42" s="1194" t="s">
        <v>1570</v>
      </c>
      <c r="U42" s="1183" t="s">
        <v>1353</v>
      </c>
      <c r="V42" s="1183" t="s">
        <v>1569</v>
      </c>
      <c r="W42" s="1184" t="s">
        <v>1433</v>
      </c>
      <c r="X42" s="1185" t="s">
        <v>1432</v>
      </c>
      <c r="Y42" s="1264" t="s">
        <v>1431</v>
      </c>
      <c r="Z42" s="1280"/>
      <c r="AA42" s="1280"/>
      <c r="AB42" s="1281"/>
      <c r="AC42" s="1282"/>
      <c r="AD42" s="1283"/>
      <c r="AE42" s="1281"/>
      <c r="AF42" s="1280"/>
      <c r="AG42" s="1280"/>
      <c r="AH42" s="1280"/>
      <c r="AI42" s="1280"/>
      <c r="AJ42" s="1280"/>
      <c r="AK42" s="1280"/>
      <c r="AL42" s="1280"/>
      <c r="AM42" s="1280"/>
      <c r="AN42" s="1280"/>
      <c r="AO42" s="1280"/>
      <c r="AP42" s="1280"/>
      <c r="AQ42" s="1280"/>
      <c r="AR42" s="1280"/>
      <c r="AS42" s="1280"/>
      <c r="AT42" s="1284"/>
      <c r="AU42" s="1285"/>
      <c r="AV42" s="1286"/>
      <c r="AW42" s="1286"/>
      <c r="AX42" s="1286"/>
      <c r="AY42" s="1286"/>
      <c r="AZ42" s="1287"/>
      <c r="BA42" s="1287"/>
      <c r="BB42" s="1276">
        <v>120</v>
      </c>
      <c r="BC42" s="233">
        <v>146</v>
      </c>
      <c r="BD42" s="233">
        <v>156</v>
      </c>
      <c r="BE42" s="233">
        <v>157</v>
      </c>
      <c r="BF42" s="219"/>
      <c r="BG42" s="219"/>
      <c r="BH42" s="219"/>
      <c r="BI42" s="219"/>
      <c r="BJ42" s="219"/>
      <c r="BK42" s="219"/>
      <c r="BL42" s="219"/>
      <c r="BM42" s="219"/>
      <c r="BN42" s="219"/>
      <c r="BO42" s="219"/>
      <c r="BP42" s="219"/>
      <c r="BQ42" s="219"/>
      <c r="BR42" s="219"/>
      <c r="BS42" s="219"/>
      <c r="BT42" s="272">
        <v>0</v>
      </c>
      <c r="BU42" s="272">
        <v>0</v>
      </c>
      <c r="BV42" s="272">
        <v>0</v>
      </c>
      <c r="BW42" s="272">
        <v>0</v>
      </c>
      <c r="BX42" s="272">
        <v>0</v>
      </c>
      <c r="BY42" s="272">
        <v>0</v>
      </c>
      <c r="BZ42" s="272">
        <v>57</v>
      </c>
      <c r="CA42" s="1339">
        <v>509</v>
      </c>
      <c r="CB42" s="1356"/>
      <c r="CC42" s="1356"/>
      <c r="CD42" s="1356"/>
      <c r="CE42" s="1356"/>
      <c r="CF42" s="1356"/>
      <c r="CG42" s="1356"/>
      <c r="CH42" s="1356"/>
      <c r="CI42" s="1356"/>
      <c r="CJ42" s="1356"/>
      <c r="CK42" s="1356"/>
    </row>
    <row r="43" spans="1:89" s="1357" customFormat="1" ht="36">
      <c r="A43" s="196"/>
      <c r="B43" s="269"/>
      <c r="C43" s="235">
        <v>33</v>
      </c>
      <c r="D43" s="541">
        <v>158</v>
      </c>
      <c r="E43" s="232" t="s">
        <v>1338</v>
      </c>
      <c r="F43" s="232" t="s">
        <v>4</v>
      </c>
      <c r="G43" s="232" t="s">
        <v>1557</v>
      </c>
      <c r="H43" s="232" t="s">
        <v>1556</v>
      </c>
      <c r="I43" s="232" t="s">
        <v>1398</v>
      </c>
      <c r="J43" s="232" t="s">
        <v>1555</v>
      </c>
      <c r="K43" s="232" t="s">
        <v>1548</v>
      </c>
      <c r="L43" s="233" t="s">
        <v>1369</v>
      </c>
      <c r="M43" s="231">
        <v>774</v>
      </c>
      <c r="N43" s="233">
        <v>2011</v>
      </c>
      <c r="O43" s="231">
        <v>697</v>
      </c>
      <c r="P43" s="1217">
        <v>533</v>
      </c>
      <c r="Q43" s="1217">
        <v>599</v>
      </c>
      <c r="R43" s="1218">
        <v>304</v>
      </c>
      <c r="S43" s="1219"/>
      <c r="T43" s="1194" t="s">
        <v>1435</v>
      </c>
      <c r="U43" s="1183" t="s">
        <v>1353</v>
      </c>
      <c r="V43" s="1183" t="s">
        <v>1434</v>
      </c>
      <c r="W43" s="1184" t="s">
        <v>1433</v>
      </c>
      <c r="X43" s="1185" t="s">
        <v>1432</v>
      </c>
      <c r="Y43" s="1264" t="s">
        <v>1431</v>
      </c>
      <c r="Z43" s="1287"/>
      <c r="AA43" s="1287"/>
      <c r="AB43" s="1287"/>
      <c r="AC43" s="1287"/>
      <c r="AD43" s="1287"/>
      <c r="AE43" s="1287"/>
      <c r="AF43" s="1287"/>
      <c r="AG43" s="1287"/>
      <c r="AH43" s="1287"/>
      <c r="AI43" s="1287"/>
      <c r="AJ43" s="1287"/>
      <c r="AK43" s="1287"/>
      <c r="AL43" s="1287"/>
      <c r="AM43" s="1287"/>
      <c r="AN43" s="1287"/>
      <c r="AO43" s="1287"/>
      <c r="AP43" s="1287"/>
      <c r="AQ43" s="1287"/>
      <c r="AR43" s="1287"/>
      <c r="AS43" s="1287"/>
      <c r="AT43" s="1287"/>
      <c r="AU43" s="1287"/>
      <c r="AV43" s="1287"/>
      <c r="AW43" s="1287"/>
      <c r="AX43" s="1287"/>
      <c r="AY43" s="1287"/>
      <c r="AZ43" s="1287"/>
      <c r="BA43" s="1287"/>
      <c r="BB43" s="1276">
        <v>174</v>
      </c>
      <c r="BC43" s="233">
        <v>175</v>
      </c>
      <c r="BD43" s="233">
        <v>176</v>
      </c>
      <c r="BE43" s="219"/>
      <c r="BF43" s="219"/>
      <c r="BG43" s="219"/>
      <c r="BH43" s="219"/>
      <c r="BI43" s="219"/>
      <c r="BJ43" s="219"/>
      <c r="BK43" s="219"/>
      <c r="BL43" s="219"/>
      <c r="BM43" s="219"/>
      <c r="BN43" s="219"/>
      <c r="BO43" s="219"/>
      <c r="BP43" s="219"/>
      <c r="BQ43" s="219"/>
      <c r="BR43" s="219"/>
      <c r="BS43" s="219"/>
      <c r="BT43" s="272">
        <v>0</v>
      </c>
      <c r="BU43" s="272">
        <v>0</v>
      </c>
      <c r="BV43" s="272">
        <v>0</v>
      </c>
      <c r="BW43" s="272">
        <v>0</v>
      </c>
      <c r="BX43" s="272">
        <v>0</v>
      </c>
      <c r="BY43" s="272">
        <v>0</v>
      </c>
      <c r="BZ43" s="272">
        <v>697</v>
      </c>
      <c r="CA43" s="1339">
        <v>697</v>
      </c>
      <c r="CB43" s="1356"/>
      <c r="CC43" s="1356"/>
      <c r="CD43" s="1356"/>
      <c r="CE43" s="1356"/>
      <c r="CF43" s="1356"/>
      <c r="CG43" s="1356"/>
      <c r="CH43" s="1356"/>
      <c r="CI43" s="1356"/>
      <c r="CJ43" s="1356"/>
      <c r="CK43" s="1356"/>
    </row>
    <row r="44" spans="1:89" s="1357" customFormat="1" ht="36">
      <c r="A44" s="196"/>
      <c r="B44" s="269"/>
      <c r="C44" s="231">
        <v>36</v>
      </c>
      <c r="D44" s="541">
        <v>177</v>
      </c>
      <c r="E44" s="232" t="s">
        <v>1338</v>
      </c>
      <c r="F44" s="232" t="s">
        <v>4</v>
      </c>
      <c r="G44" s="232" t="s">
        <v>1543</v>
      </c>
      <c r="H44" s="232" t="s">
        <v>124</v>
      </c>
      <c r="I44" s="232" t="s">
        <v>1398</v>
      </c>
      <c r="J44" s="232" t="s">
        <v>1549</v>
      </c>
      <c r="K44" s="232" t="s">
        <v>1548</v>
      </c>
      <c r="L44" s="233" t="s">
        <v>1369</v>
      </c>
      <c r="M44" s="233">
        <v>125</v>
      </c>
      <c r="N44" s="233">
        <v>2011</v>
      </c>
      <c r="O44" s="233">
        <v>113</v>
      </c>
      <c r="P44" s="1178">
        <v>101</v>
      </c>
      <c r="Q44" s="1179">
        <v>86</v>
      </c>
      <c r="R44" s="1185">
        <v>37</v>
      </c>
      <c r="S44" s="1216"/>
      <c r="T44" s="1194" t="s">
        <v>1435</v>
      </c>
      <c r="U44" s="1183" t="s">
        <v>1353</v>
      </c>
      <c r="V44" s="1183" t="s">
        <v>1434</v>
      </c>
      <c r="W44" s="1184" t="s">
        <v>1433</v>
      </c>
      <c r="X44" s="1185" t="s">
        <v>1432</v>
      </c>
      <c r="Y44" s="1264" t="s">
        <v>1431</v>
      </c>
      <c r="Z44" s="1280"/>
      <c r="AA44" s="1280"/>
      <c r="AB44" s="1281"/>
      <c r="AC44" s="1282"/>
      <c r="AD44" s="1283"/>
      <c r="AE44" s="1281"/>
      <c r="AF44" s="1280"/>
      <c r="AG44" s="1280"/>
      <c r="AH44" s="1280"/>
      <c r="AI44" s="1280"/>
      <c r="AJ44" s="1280"/>
      <c r="AK44" s="1280"/>
      <c r="AL44" s="1280"/>
      <c r="AM44" s="1280"/>
      <c r="AN44" s="1280"/>
      <c r="AO44" s="1280"/>
      <c r="AP44" s="1280"/>
      <c r="AQ44" s="1280"/>
      <c r="AR44" s="1280"/>
      <c r="AS44" s="1280"/>
      <c r="AT44" s="1284"/>
      <c r="AU44" s="1285"/>
      <c r="AV44" s="1286"/>
      <c r="AW44" s="1286"/>
      <c r="AX44" s="1286"/>
      <c r="AY44" s="1286"/>
      <c r="AZ44" s="1287"/>
      <c r="BA44" s="1287"/>
      <c r="BB44" s="1276">
        <v>196</v>
      </c>
      <c r="BC44" s="233">
        <v>198</v>
      </c>
      <c r="BD44" s="219"/>
      <c r="BE44" s="219"/>
      <c r="BF44" s="219"/>
      <c r="BG44" s="219"/>
      <c r="BH44" s="219"/>
      <c r="BI44" s="219"/>
      <c r="BJ44" s="219"/>
      <c r="BK44" s="219"/>
      <c r="BL44" s="219"/>
      <c r="BM44" s="219"/>
      <c r="BN44" s="219"/>
      <c r="BO44" s="219"/>
      <c r="BP44" s="219"/>
      <c r="BQ44" s="219"/>
      <c r="BR44" s="219"/>
      <c r="BS44" s="219"/>
      <c r="BT44" s="272">
        <v>0</v>
      </c>
      <c r="BU44" s="272">
        <v>0</v>
      </c>
      <c r="BV44" s="272">
        <v>0</v>
      </c>
      <c r="BW44" s="272">
        <v>0</v>
      </c>
      <c r="BX44" s="272">
        <v>0</v>
      </c>
      <c r="BY44" s="272">
        <v>0</v>
      </c>
      <c r="BZ44" s="272">
        <v>113</v>
      </c>
      <c r="CA44" s="1339">
        <v>113</v>
      </c>
      <c r="CB44" s="1356"/>
      <c r="CC44" s="1356"/>
      <c r="CD44" s="1356"/>
      <c r="CE44" s="1356"/>
      <c r="CF44" s="1356"/>
      <c r="CG44" s="1356"/>
      <c r="CH44" s="1356"/>
      <c r="CI44" s="1356"/>
      <c r="CJ44" s="1356"/>
      <c r="CK44" s="1356"/>
    </row>
    <row r="45" spans="1:89" s="1357" customFormat="1" ht="57.75" customHeight="1">
      <c r="A45" s="196"/>
      <c r="B45" s="269"/>
      <c r="C45" s="231">
        <v>46</v>
      </c>
      <c r="D45" s="541">
        <v>269</v>
      </c>
      <c r="E45" s="232" t="s">
        <v>1338</v>
      </c>
      <c r="F45" s="232" t="s">
        <v>4</v>
      </c>
      <c r="G45" s="232" t="s">
        <v>1516</v>
      </c>
      <c r="H45" s="232" t="s">
        <v>117</v>
      </c>
      <c r="I45" s="232" t="s">
        <v>1398</v>
      </c>
      <c r="J45" s="232" t="s">
        <v>1515</v>
      </c>
      <c r="K45" s="232" t="s">
        <v>1415</v>
      </c>
      <c r="L45" s="233" t="s">
        <v>85</v>
      </c>
      <c r="M45" s="233">
        <v>0</v>
      </c>
      <c r="N45" s="233">
        <v>2011</v>
      </c>
      <c r="O45" s="233">
        <v>116</v>
      </c>
      <c r="P45" s="1178">
        <v>18</v>
      </c>
      <c r="Q45" s="1179">
        <v>20</v>
      </c>
      <c r="R45" s="1185">
        <v>94</v>
      </c>
      <c r="S45" s="1216"/>
      <c r="T45" s="1194" t="s">
        <v>1435</v>
      </c>
      <c r="U45" s="1183" t="s">
        <v>1353</v>
      </c>
      <c r="V45" s="1183" t="s">
        <v>1514</v>
      </c>
      <c r="W45" s="1184" t="s">
        <v>1433</v>
      </c>
      <c r="X45" s="1186" t="s">
        <v>1513</v>
      </c>
      <c r="Y45" s="1264" t="s">
        <v>1512</v>
      </c>
      <c r="Z45" s="1280"/>
      <c r="AA45" s="1280"/>
      <c r="AB45" s="1281"/>
      <c r="AC45" s="1282"/>
      <c r="AD45" s="1283"/>
      <c r="AE45" s="1281"/>
      <c r="AF45" s="1280"/>
      <c r="AG45" s="1280"/>
      <c r="AH45" s="1280"/>
      <c r="AI45" s="1280"/>
      <c r="AJ45" s="1280"/>
      <c r="AK45" s="1280"/>
      <c r="AL45" s="1280"/>
      <c r="AM45" s="1280"/>
      <c r="AN45" s="1280"/>
      <c r="AO45" s="1280"/>
      <c r="AP45" s="1280"/>
      <c r="AQ45" s="1280"/>
      <c r="AR45" s="1280"/>
      <c r="AS45" s="1280"/>
      <c r="AT45" s="1284"/>
      <c r="AU45" s="1285"/>
      <c r="AV45" s="1286"/>
      <c r="AW45" s="1286"/>
      <c r="AX45" s="1286"/>
      <c r="AY45" s="1286"/>
      <c r="AZ45" s="1287"/>
      <c r="BA45" s="1287"/>
      <c r="BB45" s="1276">
        <v>270</v>
      </c>
      <c r="BC45" s="233">
        <v>271</v>
      </c>
      <c r="BD45" s="233">
        <v>272</v>
      </c>
      <c r="BE45" s="233">
        <v>273</v>
      </c>
      <c r="BF45" s="233">
        <v>274</v>
      </c>
      <c r="BG45" s="233">
        <v>275</v>
      </c>
      <c r="BH45" s="233">
        <v>276</v>
      </c>
      <c r="BI45" s="233">
        <v>277</v>
      </c>
      <c r="BJ45" s="233">
        <v>278</v>
      </c>
      <c r="BK45" s="233">
        <v>279</v>
      </c>
      <c r="BL45" s="233">
        <v>282</v>
      </c>
      <c r="BM45" s="233">
        <v>285</v>
      </c>
      <c r="BN45" s="233">
        <v>289</v>
      </c>
      <c r="BO45" s="233">
        <v>290</v>
      </c>
      <c r="BP45" s="233">
        <v>291</v>
      </c>
      <c r="BQ45" s="233">
        <v>292</v>
      </c>
      <c r="BR45" s="233">
        <v>293</v>
      </c>
      <c r="BS45" s="233">
        <v>297</v>
      </c>
      <c r="BT45" s="272">
        <v>0</v>
      </c>
      <c r="BU45" s="272">
        <v>0</v>
      </c>
      <c r="BV45" s="272">
        <v>58</v>
      </c>
      <c r="BW45" s="272">
        <v>58</v>
      </c>
      <c r="BX45" s="272">
        <v>58</v>
      </c>
      <c r="BY45" s="272">
        <v>116</v>
      </c>
      <c r="BZ45" s="272">
        <v>0</v>
      </c>
      <c r="CA45" s="1339">
        <v>116</v>
      </c>
      <c r="CB45" s="1356"/>
      <c r="CC45" s="1356"/>
      <c r="CD45" s="1356"/>
      <c r="CE45" s="1356"/>
      <c r="CF45" s="1356"/>
      <c r="CG45" s="1356"/>
      <c r="CH45" s="1356"/>
      <c r="CI45" s="1356"/>
      <c r="CJ45" s="1356"/>
      <c r="CK45" s="1356"/>
    </row>
    <row r="46" spans="1:89" s="1357" customFormat="1" ht="55.5" customHeight="1">
      <c r="A46" s="196"/>
      <c r="B46" s="269"/>
      <c r="C46" s="231">
        <v>70</v>
      </c>
      <c r="D46" s="541">
        <v>611</v>
      </c>
      <c r="E46" s="232" t="s">
        <v>1338</v>
      </c>
      <c r="F46" s="232" t="s">
        <v>1358</v>
      </c>
      <c r="G46" s="232" t="s">
        <v>1438</v>
      </c>
      <c r="H46" s="232" t="s">
        <v>98</v>
      </c>
      <c r="I46" s="232" t="s">
        <v>1398</v>
      </c>
      <c r="J46" s="232" t="s">
        <v>1437</v>
      </c>
      <c r="K46" s="232" t="s">
        <v>1436</v>
      </c>
      <c r="L46" s="233" t="s">
        <v>1369</v>
      </c>
      <c r="M46" s="221">
        <v>8313</v>
      </c>
      <c r="N46" s="233">
        <v>2011</v>
      </c>
      <c r="O46" s="247">
        <v>6650</v>
      </c>
      <c r="P46" s="1178">
        <v>6444</v>
      </c>
      <c r="Q46" s="1179">
        <v>6521</v>
      </c>
      <c r="R46" s="1185">
        <v>6150</v>
      </c>
      <c r="S46" s="1216"/>
      <c r="T46" s="1194" t="s">
        <v>1435</v>
      </c>
      <c r="U46" s="1183" t="s">
        <v>1353</v>
      </c>
      <c r="V46" s="1183" t="s">
        <v>1434</v>
      </c>
      <c r="W46" s="1184" t="s">
        <v>1433</v>
      </c>
      <c r="X46" s="1185" t="s">
        <v>1432</v>
      </c>
      <c r="Y46" s="1264" t="s">
        <v>1431</v>
      </c>
      <c r="Z46" s="1280"/>
      <c r="AA46" s="1280"/>
      <c r="AB46" s="1281"/>
      <c r="AC46" s="1282"/>
      <c r="AD46" s="1283"/>
      <c r="AE46" s="1281"/>
      <c r="AF46" s="1280"/>
      <c r="AG46" s="1280"/>
      <c r="AH46" s="1280"/>
      <c r="AI46" s="1280"/>
      <c r="AJ46" s="1280"/>
      <c r="AK46" s="1280"/>
      <c r="AL46" s="1280"/>
      <c r="AM46" s="1280"/>
      <c r="AN46" s="1280"/>
      <c r="AO46" s="1280"/>
      <c r="AP46" s="1280"/>
      <c r="AQ46" s="1280"/>
      <c r="AR46" s="1280"/>
      <c r="AS46" s="1280"/>
      <c r="AT46" s="1284"/>
      <c r="AU46" s="1285"/>
      <c r="AV46" s="1286"/>
      <c r="AW46" s="1286"/>
      <c r="AX46" s="1286"/>
      <c r="AY46" s="1286"/>
      <c r="AZ46" s="1287"/>
      <c r="BA46" s="1287"/>
      <c r="BB46" s="1276">
        <v>501</v>
      </c>
      <c r="BC46" s="233">
        <v>502</v>
      </c>
      <c r="BD46" s="233">
        <v>503</v>
      </c>
      <c r="BE46" s="233">
        <v>504</v>
      </c>
      <c r="BF46" s="233">
        <v>505</v>
      </c>
      <c r="BG46" s="233">
        <v>506</v>
      </c>
      <c r="BH46" s="233">
        <v>507</v>
      </c>
      <c r="BI46" s="233">
        <v>508</v>
      </c>
      <c r="BJ46" s="233">
        <v>509</v>
      </c>
      <c r="BK46" s="233">
        <v>510</v>
      </c>
      <c r="BL46" s="233">
        <v>511</v>
      </c>
      <c r="BM46" s="233">
        <v>512</v>
      </c>
      <c r="BN46" s="233">
        <v>513</v>
      </c>
      <c r="BO46" s="233">
        <v>514</v>
      </c>
      <c r="BP46" s="233">
        <v>515</v>
      </c>
      <c r="BQ46" s="233">
        <v>588</v>
      </c>
      <c r="BR46" s="233">
        <v>589</v>
      </c>
      <c r="BS46" s="219"/>
      <c r="BT46" s="287">
        <v>7845</v>
      </c>
      <c r="BU46" s="272">
        <v>7845</v>
      </c>
      <c r="BV46" s="241">
        <v>7453</v>
      </c>
      <c r="BW46" s="287">
        <v>7453</v>
      </c>
      <c r="BX46" s="292">
        <v>7080</v>
      </c>
      <c r="BY46" s="287">
        <v>7080</v>
      </c>
      <c r="BZ46" s="292">
        <v>6606</v>
      </c>
      <c r="CA46" s="1341">
        <v>6606</v>
      </c>
      <c r="CB46" s="1356"/>
      <c r="CC46" s="1356"/>
      <c r="CD46" s="1356"/>
      <c r="CE46" s="1356"/>
      <c r="CF46" s="1356"/>
      <c r="CG46" s="1356"/>
      <c r="CH46" s="1356"/>
      <c r="CI46" s="1356"/>
      <c r="CJ46" s="1356"/>
      <c r="CK46" s="1356"/>
    </row>
    <row r="47" spans="1:89" s="1357" customFormat="1" ht="132" hidden="1">
      <c r="A47" s="196"/>
      <c r="B47" s="269"/>
      <c r="C47" s="235">
        <v>45</v>
      </c>
      <c r="D47" s="541">
        <v>257</v>
      </c>
      <c r="E47" s="236" t="s">
        <v>15</v>
      </c>
      <c r="F47" s="232" t="s">
        <v>4</v>
      </c>
      <c r="G47" s="236" t="s">
        <v>1518</v>
      </c>
      <c r="H47" s="236" t="s">
        <v>118</v>
      </c>
      <c r="I47" s="236" t="s">
        <v>1398</v>
      </c>
      <c r="J47" s="236" t="s">
        <v>1517</v>
      </c>
      <c r="K47" s="236" t="s">
        <v>1415</v>
      </c>
      <c r="L47" s="237" t="s">
        <v>85</v>
      </c>
      <c r="M47" s="237">
        <v>0</v>
      </c>
      <c r="N47" s="237">
        <v>2011</v>
      </c>
      <c r="O47" s="237">
        <v>116</v>
      </c>
      <c r="P47" s="1178">
        <v>0</v>
      </c>
      <c r="Q47" s="1179">
        <v>116</v>
      </c>
      <c r="R47" s="1180">
        <v>116</v>
      </c>
      <c r="S47" s="1180">
        <v>116</v>
      </c>
      <c r="T47" s="1180" t="s">
        <v>15</v>
      </c>
      <c r="U47" s="1182" t="s">
        <v>1352</v>
      </c>
      <c r="V47" s="1183" t="s">
        <v>3152</v>
      </c>
      <c r="W47" s="1184" t="s">
        <v>3153</v>
      </c>
      <c r="X47" s="1186" t="s">
        <v>1753</v>
      </c>
      <c r="Y47" s="1264" t="s">
        <v>3154</v>
      </c>
      <c r="Z47" s="1280"/>
      <c r="AA47" s="1280"/>
      <c r="AB47" s="1281"/>
      <c r="AC47" s="1282"/>
      <c r="AD47" s="1283"/>
      <c r="AE47" s="1281"/>
      <c r="AF47" s="1280"/>
      <c r="AG47" s="1280"/>
      <c r="AH47" s="1280"/>
      <c r="AI47" s="1280"/>
      <c r="AJ47" s="1280"/>
      <c r="AK47" s="1280"/>
      <c r="AL47" s="1280"/>
      <c r="AM47" s="1280"/>
      <c r="AN47" s="1280"/>
      <c r="AO47" s="1280"/>
      <c r="AP47" s="1280"/>
      <c r="AQ47" s="1280"/>
      <c r="AR47" s="1280"/>
      <c r="AS47" s="1280"/>
      <c r="AT47" s="1284"/>
      <c r="AU47" s="1285"/>
      <c r="AV47" s="1286"/>
      <c r="AW47" s="1286"/>
      <c r="AX47" s="1286"/>
      <c r="AY47" s="1286"/>
      <c r="AZ47" s="1287"/>
      <c r="BA47" s="1287"/>
      <c r="BB47" s="1276">
        <v>258</v>
      </c>
      <c r="BC47" s="233">
        <v>259</v>
      </c>
      <c r="BD47" s="233">
        <v>261</v>
      </c>
      <c r="BE47" s="233">
        <v>262</v>
      </c>
      <c r="BF47" s="233">
        <v>263</v>
      </c>
      <c r="BG47" s="233">
        <v>264</v>
      </c>
      <c r="BH47" s="233">
        <v>265</v>
      </c>
      <c r="BI47" s="233">
        <v>267</v>
      </c>
      <c r="BJ47" s="233">
        <v>268</v>
      </c>
      <c r="BK47" s="233">
        <v>324</v>
      </c>
      <c r="BL47" s="233">
        <v>466</v>
      </c>
      <c r="BM47" s="233">
        <v>467</v>
      </c>
      <c r="BN47" s="233"/>
      <c r="BO47" s="219"/>
      <c r="BP47" s="219"/>
      <c r="BQ47" s="219"/>
      <c r="BR47" s="219"/>
      <c r="BS47" s="219"/>
      <c r="BT47" s="272">
        <v>35</v>
      </c>
      <c r="BU47" s="272">
        <v>35</v>
      </c>
      <c r="BV47" s="272">
        <v>25</v>
      </c>
      <c r="BW47" s="272">
        <v>60</v>
      </c>
      <c r="BX47" s="272">
        <v>28</v>
      </c>
      <c r="BY47" s="272">
        <v>88</v>
      </c>
      <c r="BZ47" s="272">
        <v>28</v>
      </c>
      <c r="CA47" s="1339">
        <v>116</v>
      </c>
      <c r="CB47" s="1356"/>
      <c r="CC47" s="1356"/>
      <c r="CD47" s="1356"/>
      <c r="CE47" s="1356"/>
      <c r="CF47" s="1356"/>
      <c r="CG47" s="1356"/>
      <c r="CH47" s="1356"/>
      <c r="CI47" s="1356"/>
      <c r="CJ47" s="1356"/>
      <c r="CK47" s="1356"/>
    </row>
    <row r="48" spans="1:89" s="1357" customFormat="1" ht="108" hidden="1">
      <c r="A48" s="196"/>
      <c r="B48" s="269"/>
      <c r="C48" s="231">
        <v>64</v>
      </c>
      <c r="D48" s="541">
        <v>449</v>
      </c>
      <c r="E48" s="236" t="s">
        <v>15</v>
      </c>
      <c r="F48" s="232" t="s">
        <v>1376</v>
      </c>
      <c r="G48" s="236" t="s">
        <v>1459</v>
      </c>
      <c r="H48" s="236" t="s">
        <v>1462</v>
      </c>
      <c r="I48" s="236" t="s">
        <v>1398</v>
      </c>
      <c r="J48" s="236" t="s">
        <v>1461</v>
      </c>
      <c r="K48" s="236" t="s">
        <v>1404</v>
      </c>
      <c r="L48" s="237" t="s">
        <v>85</v>
      </c>
      <c r="M48" s="237">
        <v>30</v>
      </c>
      <c r="N48" s="237">
        <v>2011</v>
      </c>
      <c r="O48" s="243">
        <v>50</v>
      </c>
      <c r="P48" s="1178">
        <v>0.35</v>
      </c>
      <c r="Q48" s="1334">
        <v>0.4</v>
      </c>
      <c r="R48" s="1334">
        <v>0.43</v>
      </c>
      <c r="S48" s="1181">
        <v>0.5</v>
      </c>
      <c r="T48" s="1180" t="s">
        <v>15</v>
      </c>
      <c r="U48" s="1182" t="s">
        <v>1352</v>
      </c>
      <c r="V48" s="1183" t="s">
        <v>1455</v>
      </c>
      <c r="W48" s="1184" t="s">
        <v>3153</v>
      </c>
      <c r="X48" s="1186" t="s">
        <v>1460</v>
      </c>
      <c r="Y48" s="1264" t="s">
        <v>3155</v>
      </c>
      <c r="Z48" s="1280"/>
      <c r="AA48" s="1280"/>
      <c r="AB48" s="1281"/>
      <c r="AC48" s="1291"/>
      <c r="AD48" s="1283"/>
      <c r="AE48" s="1281"/>
      <c r="AF48" s="1280"/>
      <c r="AG48" s="1280"/>
      <c r="AH48" s="1280"/>
      <c r="AI48" s="1280"/>
      <c r="AJ48" s="1280"/>
      <c r="AK48" s="1280"/>
      <c r="AL48" s="1280"/>
      <c r="AM48" s="1280"/>
      <c r="AN48" s="1280"/>
      <c r="AO48" s="1280"/>
      <c r="AP48" s="1280"/>
      <c r="AQ48" s="1280"/>
      <c r="AR48" s="1280"/>
      <c r="AS48" s="1280"/>
      <c r="AT48" s="1284"/>
      <c r="AU48" s="1285"/>
      <c r="AV48" s="1286"/>
      <c r="AW48" s="1286"/>
      <c r="AX48" s="1286"/>
      <c r="AY48" s="1286"/>
      <c r="AZ48" s="1287"/>
      <c r="BA48" s="1287"/>
      <c r="BB48" s="1276">
        <v>453</v>
      </c>
      <c r="BC48" s="233">
        <v>451</v>
      </c>
      <c r="BD48" s="233">
        <v>452</v>
      </c>
      <c r="BE48" s="233">
        <v>454</v>
      </c>
      <c r="BF48" s="233">
        <v>455</v>
      </c>
      <c r="BG48" s="233">
        <v>456</v>
      </c>
      <c r="BH48" s="233">
        <v>457</v>
      </c>
      <c r="BI48" s="233">
        <v>458</v>
      </c>
      <c r="BJ48" s="233">
        <v>460</v>
      </c>
      <c r="BK48" s="219"/>
      <c r="BL48" s="219"/>
      <c r="BM48" s="219"/>
      <c r="BN48" s="219"/>
      <c r="BO48" s="219"/>
      <c r="BP48" s="219"/>
      <c r="BQ48" s="219"/>
      <c r="BR48" s="219"/>
      <c r="BS48" s="219"/>
      <c r="BT48" s="287">
        <v>2</v>
      </c>
      <c r="BU48" s="293">
        <v>0.32</v>
      </c>
      <c r="BV48" s="241">
        <v>6</v>
      </c>
      <c r="BW48" s="293">
        <v>0.38</v>
      </c>
      <c r="BX48" s="287">
        <v>6</v>
      </c>
      <c r="BY48" s="293">
        <v>0.44</v>
      </c>
      <c r="BZ48" s="287">
        <v>6</v>
      </c>
      <c r="CA48" s="1350">
        <v>0.5</v>
      </c>
      <c r="CB48" s="1356"/>
      <c r="CC48" s="1356"/>
      <c r="CD48" s="1356"/>
      <c r="CE48" s="1356"/>
      <c r="CF48" s="1356"/>
      <c r="CG48" s="1356"/>
      <c r="CH48" s="1356"/>
      <c r="CI48" s="1356"/>
      <c r="CJ48" s="1356"/>
      <c r="CK48" s="1356"/>
    </row>
    <row r="49" spans="1:89" s="1357" customFormat="1" ht="180" hidden="1">
      <c r="A49" s="196"/>
      <c r="B49" s="269"/>
      <c r="C49" s="235">
        <v>65</v>
      </c>
      <c r="D49" s="541">
        <v>450</v>
      </c>
      <c r="E49" s="236" t="s">
        <v>15</v>
      </c>
      <c r="F49" s="232" t="s">
        <v>1376</v>
      </c>
      <c r="G49" s="236" t="s">
        <v>1459</v>
      </c>
      <c r="H49" s="236" t="s">
        <v>1458</v>
      </c>
      <c r="I49" s="236" t="s">
        <v>1398</v>
      </c>
      <c r="J49" s="236" t="s">
        <v>1457</v>
      </c>
      <c r="K49" s="236" t="s">
        <v>1456</v>
      </c>
      <c r="L49" s="237" t="s">
        <v>85</v>
      </c>
      <c r="M49" s="237">
        <v>0</v>
      </c>
      <c r="N49" s="237">
        <v>2011</v>
      </c>
      <c r="O49" s="243">
        <v>3</v>
      </c>
      <c r="P49" s="1178">
        <v>0</v>
      </c>
      <c r="Q49" s="1193">
        <v>1</v>
      </c>
      <c r="R49" s="1180">
        <v>2</v>
      </c>
      <c r="S49" s="1220">
        <v>3</v>
      </c>
      <c r="T49" s="1180" t="s">
        <v>15</v>
      </c>
      <c r="U49" s="1182" t="s">
        <v>1352</v>
      </c>
      <c r="V49" s="1183" t="s">
        <v>1455</v>
      </c>
      <c r="W49" s="1184" t="s">
        <v>3153</v>
      </c>
      <c r="X49" s="1186" t="s">
        <v>3156</v>
      </c>
      <c r="Y49" s="1264" t="s">
        <v>3157</v>
      </c>
      <c r="Z49" s="1280"/>
      <c r="AA49" s="1280"/>
      <c r="AB49" s="1281"/>
      <c r="AC49" s="1281"/>
      <c r="AD49" s="1283"/>
      <c r="AE49" s="1281"/>
      <c r="AF49" s="1280"/>
      <c r="AG49" s="1280"/>
      <c r="AH49" s="1280"/>
      <c r="AI49" s="1280"/>
      <c r="AJ49" s="1280"/>
      <c r="AK49" s="1280"/>
      <c r="AL49" s="1280"/>
      <c r="AM49" s="1280"/>
      <c r="AN49" s="1280"/>
      <c r="AO49" s="1280"/>
      <c r="AP49" s="1280"/>
      <c r="AQ49" s="1280"/>
      <c r="AR49" s="1280"/>
      <c r="AS49" s="1280"/>
      <c r="AT49" s="1284"/>
      <c r="AU49" s="1285"/>
      <c r="AV49" s="1286"/>
      <c r="AW49" s="1286"/>
      <c r="AX49" s="1286"/>
      <c r="AY49" s="1286"/>
      <c r="AZ49" s="1287"/>
      <c r="BA49" s="1287"/>
      <c r="BB49" s="1276">
        <v>459</v>
      </c>
      <c r="BC49" s="233">
        <v>461</v>
      </c>
      <c r="BD49" s="219"/>
      <c r="BE49" s="219"/>
      <c r="BF49" s="219"/>
      <c r="BG49" s="219"/>
      <c r="BH49" s="219"/>
      <c r="BI49" s="219"/>
      <c r="BJ49" s="219"/>
      <c r="BK49" s="219"/>
      <c r="BL49" s="219"/>
      <c r="BM49" s="219"/>
      <c r="BN49" s="219"/>
      <c r="BO49" s="219"/>
      <c r="BP49" s="219"/>
      <c r="BQ49" s="219"/>
      <c r="BR49" s="219"/>
      <c r="BS49" s="219"/>
      <c r="BT49" s="287">
        <v>0</v>
      </c>
      <c r="BU49" s="287">
        <v>0</v>
      </c>
      <c r="BV49" s="241">
        <v>0</v>
      </c>
      <c r="BW49" s="287">
        <v>0</v>
      </c>
      <c r="BX49" s="287">
        <v>1</v>
      </c>
      <c r="BY49" s="287">
        <v>1</v>
      </c>
      <c r="BZ49" s="287">
        <v>2</v>
      </c>
      <c r="CA49" s="1341">
        <v>3</v>
      </c>
      <c r="CB49" s="1358"/>
      <c r="CC49" s="1358"/>
      <c r="CD49" s="1358"/>
      <c r="CE49" s="1358"/>
      <c r="CF49" s="1358"/>
      <c r="CG49" s="1358"/>
      <c r="CH49" s="1358"/>
      <c r="CI49" s="1358"/>
      <c r="CJ49" s="1358"/>
      <c r="CK49" s="1358"/>
    </row>
    <row r="50" spans="1:89" s="1357" customFormat="1" ht="180" hidden="1">
      <c r="A50" s="196"/>
      <c r="B50" s="269"/>
      <c r="C50" s="235">
        <v>67</v>
      </c>
      <c r="D50" s="541">
        <v>486</v>
      </c>
      <c r="E50" s="236" t="s">
        <v>81</v>
      </c>
      <c r="F50" s="232" t="s">
        <v>1376</v>
      </c>
      <c r="G50" s="236" t="s">
        <v>1450</v>
      </c>
      <c r="H50" s="236" t="s">
        <v>101</v>
      </c>
      <c r="I50" s="236" t="s">
        <v>1398</v>
      </c>
      <c r="J50" s="236" t="s">
        <v>1449</v>
      </c>
      <c r="K50" s="236" t="s">
        <v>1448</v>
      </c>
      <c r="L50" s="237" t="s">
        <v>85</v>
      </c>
      <c r="M50" s="237">
        <v>0</v>
      </c>
      <c r="N50" s="237">
        <v>2011</v>
      </c>
      <c r="O50" s="237">
        <v>4</v>
      </c>
      <c r="P50" s="1178">
        <v>0</v>
      </c>
      <c r="Q50" s="1193">
        <v>0</v>
      </c>
      <c r="R50" s="1180">
        <v>2</v>
      </c>
      <c r="S50" s="1180">
        <v>2</v>
      </c>
      <c r="T50" s="1180" t="s">
        <v>81</v>
      </c>
      <c r="U50" s="1183" t="s">
        <v>1351</v>
      </c>
      <c r="V50" s="1183" t="s">
        <v>1447</v>
      </c>
      <c r="W50" s="1184" t="s">
        <v>3158</v>
      </c>
      <c r="X50" s="1189" t="s">
        <v>1446</v>
      </c>
      <c r="Y50" s="1264" t="s">
        <v>3159</v>
      </c>
      <c r="Z50" s="1280"/>
      <c r="AA50" s="1280"/>
      <c r="AB50" s="1281"/>
      <c r="AC50" s="1282"/>
      <c r="AD50" s="1283"/>
      <c r="AE50" s="1281"/>
      <c r="AF50" s="1280"/>
      <c r="AG50" s="1280"/>
      <c r="AH50" s="1280"/>
      <c r="AI50" s="1280"/>
      <c r="AJ50" s="1280"/>
      <c r="AK50" s="1280"/>
      <c r="AL50" s="1280"/>
      <c r="AM50" s="1280"/>
      <c r="AN50" s="1280"/>
      <c r="AO50" s="1280"/>
      <c r="AP50" s="1280"/>
      <c r="AQ50" s="1280"/>
      <c r="AR50" s="1280"/>
      <c r="AS50" s="1280"/>
      <c r="AT50" s="1284"/>
      <c r="AU50" s="1285"/>
      <c r="AV50" s="1286"/>
      <c r="AW50" s="1286"/>
      <c r="AX50" s="1286"/>
      <c r="AY50" s="1286"/>
      <c r="AZ50" s="1287"/>
      <c r="BA50" s="1287"/>
      <c r="BB50" s="1276">
        <v>487</v>
      </c>
      <c r="BC50" s="233">
        <v>488</v>
      </c>
      <c r="BD50" s="233">
        <v>489</v>
      </c>
      <c r="BE50" s="233">
        <v>490</v>
      </c>
      <c r="BF50" s="233">
        <v>491</v>
      </c>
      <c r="BG50" s="233">
        <v>492</v>
      </c>
      <c r="BH50" s="233">
        <v>493</v>
      </c>
      <c r="BI50" s="233">
        <v>494</v>
      </c>
      <c r="BJ50" s="233">
        <v>495</v>
      </c>
      <c r="BK50" s="233">
        <v>496</v>
      </c>
      <c r="BL50" s="219"/>
      <c r="BM50" s="219"/>
      <c r="BN50" s="219"/>
      <c r="BO50" s="219"/>
      <c r="BP50" s="219"/>
      <c r="BQ50" s="219"/>
      <c r="BR50" s="219"/>
      <c r="BS50" s="219"/>
      <c r="BT50" s="287">
        <v>0</v>
      </c>
      <c r="BU50" s="287">
        <v>0</v>
      </c>
      <c r="BV50" s="241">
        <v>0</v>
      </c>
      <c r="BW50" s="287">
        <v>0</v>
      </c>
      <c r="BX50" s="287">
        <v>2</v>
      </c>
      <c r="BY50" s="287">
        <v>2</v>
      </c>
      <c r="BZ50" s="287">
        <v>2</v>
      </c>
      <c r="CA50" s="1341">
        <v>4</v>
      </c>
      <c r="CB50" s="1356"/>
      <c r="CC50" s="1356"/>
      <c r="CD50" s="1356"/>
      <c r="CE50" s="1356"/>
      <c r="CF50" s="1356"/>
      <c r="CG50" s="1356"/>
      <c r="CH50" s="1356"/>
      <c r="CI50" s="1356"/>
      <c r="CJ50" s="1356"/>
      <c r="CK50" s="1356"/>
    </row>
    <row r="51" spans="1:89" s="1357" customFormat="1" ht="96" hidden="1">
      <c r="A51" s="196"/>
      <c r="B51" s="269"/>
      <c r="C51" s="235">
        <v>79</v>
      </c>
      <c r="D51" s="541">
        <v>620</v>
      </c>
      <c r="E51" s="236" t="s">
        <v>81</v>
      </c>
      <c r="F51" s="232" t="s">
        <v>1358</v>
      </c>
      <c r="G51" s="236" t="s">
        <v>1409</v>
      </c>
      <c r="H51" s="236" t="s">
        <v>90</v>
      </c>
      <c r="I51" s="236" t="s">
        <v>1398</v>
      </c>
      <c r="J51" s="236" t="s">
        <v>1408</v>
      </c>
      <c r="K51" s="236" t="s">
        <v>1404</v>
      </c>
      <c r="L51" s="237" t="s">
        <v>85</v>
      </c>
      <c r="M51" s="237">
        <v>0</v>
      </c>
      <c r="N51" s="237">
        <v>2011</v>
      </c>
      <c r="O51" s="237">
        <v>10</v>
      </c>
      <c r="P51" s="1178">
        <v>0</v>
      </c>
      <c r="Q51" s="1178">
        <v>7</v>
      </c>
      <c r="R51" s="1180">
        <v>17</v>
      </c>
      <c r="S51" s="1187">
        <v>29</v>
      </c>
      <c r="T51" s="1221" t="s">
        <v>1407</v>
      </c>
      <c r="U51" s="1183" t="s">
        <v>1352</v>
      </c>
      <c r="V51" s="1183" t="s">
        <v>1712</v>
      </c>
      <c r="W51" s="1184" t="s">
        <v>3158</v>
      </c>
      <c r="X51" s="1189" t="s">
        <v>1713</v>
      </c>
      <c r="Y51" s="1264" t="s">
        <v>3160</v>
      </c>
      <c r="Z51" s="1280"/>
      <c r="AA51" s="1280"/>
      <c r="AB51" s="1281"/>
      <c r="AC51" s="1282"/>
      <c r="AD51" s="1283"/>
      <c r="AE51" s="1281"/>
      <c r="AF51" s="1280"/>
      <c r="AG51" s="1280"/>
      <c r="AH51" s="1280"/>
      <c r="AI51" s="1280"/>
      <c r="AJ51" s="1280"/>
      <c r="AK51" s="1280"/>
      <c r="AL51" s="1280"/>
      <c r="AM51" s="1280"/>
      <c r="AN51" s="1280"/>
      <c r="AO51" s="1280"/>
      <c r="AP51" s="1280"/>
      <c r="AQ51" s="1280"/>
      <c r="AR51" s="1280"/>
      <c r="AS51" s="1280"/>
      <c r="AT51" s="1284"/>
      <c r="AU51" s="1285"/>
      <c r="AV51" s="1286"/>
      <c r="AW51" s="1286"/>
      <c r="AX51" s="1286"/>
      <c r="AY51" s="1286"/>
      <c r="AZ51" s="1287"/>
      <c r="BA51" s="1287"/>
      <c r="BB51" s="1276">
        <v>564</v>
      </c>
      <c r="BC51" s="233">
        <v>565</v>
      </c>
      <c r="BD51" s="233">
        <v>566</v>
      </c>
      <c r="BE51" s="233">
        <v>567</v>
      </c>
      <c r="BF51" s="219"/>
      <c r="BG51" s="219"/>
      <c r="BH51" s="219"/>
      <c r="BI51" s="219"/>
      <c r="BJ51" s="219"/>
      <c r="BK51" s="219"/>
      <c r="BL51" s="219"/>
      <c r="BM51" s="219"/>
      <c r="BN51" s="219"/>
      <c r="BO51" s="219"/>
      <c r="BP51" s="219"/>
      <c r="BQ51" s="219"/>
      <c r="BR51" s="219"/>
      <c r="BS51" s="219"/>
      <c r="BT51" s="267">
        <v>1</v>
      </c>
      <c r="BU51" s="294">
        <v>0.01</v>
      </c>
      <c r="BV51" s="241">
        <v>3</v>
      </c>
      <c r="BW51" s="294">
        <v>0.04</v>
      </c>
      <c r="BX51" s="241">
        <v>3</v>
      </c>
      <c r="BY51" s="294">
        <v>7.0000000000000007E-2</v>
      </c>
      <c r="BZ51" s="241">
        <v>3</v>
      </c>
      <c r="CA51" s="1348">
        <v>0.1</v>
      </c>
      <c r="CB51" s="1356"/>
      <c r="CC51" s="1356"/>
      <c r="CD51" s="1356"/>
      <c r="CE51" s="1356"/>
      <c r="CF51" s="1356"/>
      <c r="CG51" s="1356"/>
      <c r="CH51" s="1356"/>
      <c r="CI51" s="1356"/>
      <c r="CJ51" s="1356"/>
      <c r="CK51" s="1356"/>
    </row>
    <row r="52" spans="1:89" s="1357" customFormat="1" ht="36" hidden="1">
      <c r="A52" s="196"/>
      <c r="B52" s="269"/>
      <c r="C52" s="231">
        <v>10</v>
      </c>
      <c r="D52" s="541">
        <v>9</v>
      </c>
      <c r="E52" s="296" t="s">
        <v>3</v>
      </c>
      <c r="F52" s="295" t="s">
        <v>4</v>
      </c>
      <c r="G52" s="296" t="s">
        <v>1608</v>
      </c>
      <c r="H52" s="296" t="s">
        <v>1760</v>
      </c>
      <c r="I52" s="296" t="s">
        <v>1398</v>
      </c>
      <c r="J52" s="295" t="s">
        <v>1610</v>
      </c>
      <c r="K52" s="242" t="s">
        <v>1596</v>
      </c>
      <c r="L52" s="237" t="s">
        <v>86</v>
      </c>
      <c r="M52" s="237">
        <v>0</v>
      </c>
      <c r="N52" s="237"/>
      <c r="O52" s="237">
        <v>17472</v>
      </c>
      <c r="P52" s="1222">
        <v>4266</v>
      </c>
      <c r="Q52" s="1223">
        <v>14657</v>
      </c>
      <c r="R52" s="1223">
        <v>35523</v>
      </c>
      <c r="S52" s="1223">
        <v>12406</v>
      </c>
      <c r="T52" s="1221" t="s">
        <v>1530</v>
      </c>
      <c r="U52" s="1183" t="s">
        <v>1352</v>
      </c>
      <c r="V52" s="1183" t="s">
        <v>1539</v>
      </c>
      <c r="W52" s="1184">
        <v>41886</v>
      </c>
      <c r="X52" s="1224" t="s">
        <v>1528</v>
      </c>
      <c r="Y52" s="1264" t="s">
        <v>1609</v>
      </c>
      <c r="Z52" s="1280"/>
      <c r="AA52" s="1280"/>
      <c r="AB52" s="1281"/>
      <c r="AC52" s="1282"/>
      <c r="AD52" s="1283"/>
      <c r="AE52" s="1281"/>
      <c r="AF52" s="1280"/>
      <c r="AG52" s="1280"/>
      <c r="AH52" s="1280"/>
      <c r="AI52" s="1280"/>
      <c r="AJ52" s="1280"/>
      <c r="AK52" s="1280"/>
      <c r="AL52" s="1280"/>
      <c r="AM52" s="1280"/>
      <c r="AN52" s="1280"/>
      <c r="AO52" s="1280"/>
      <c r="AP52" s="1280"/>
      <c r="AQ52" s="1280"/>
      <c r="AR52" s="1280"/>
      <c r="AS52" s="1280"/>
      <c r="AT52" s="1284"/>
      <c r="AU52" s="1285"/>
      <c r="AV52" s="1286"/>
      <c r="AW52" s="1286"/>
      <c r="AX52" s="1286"/>
      <c r="AY52" s="1286"/>
      <c r="AZ52" s="1287"/>
      <c r="BA52" s="1287"/>
      <c r="BB52" s="1276">
        <v>553</v>
      </c>
      <c r="BC52" s="233">
        <v>28</v>
      </c>
      <c r="BD52" s="233">
        <v>66</v>
      </c>
      <c r="BE52" s="233">
        <v>20</v>
      </c>
      <c r="BF52" s="233">
        <v>21</v>
      </c>
      <c r="BG52" s="233">
        <v>22</v>
      </c>
      <c r="BH52" s="233">
        <v>23</v>
      </c>
      <c r="BI52" s="233">
        <v>24</v>
      </c>
      <c r="BJ52" s="233">
        <v>25</v>
      </c>
      <c r="BK52" s="233">
        <v>26</v>
      </c>
      <c r="BL52" s="233">
        <v>27</v>
      </c>
      <c r="BM52" s="219"/>
      <c r="BN52" s="219"/>
      <c r="BO52" s="219"/>
      <c r="BP52" s="219"/>
      <c r="BQ52" s="219"/>
      <c r="BR52" s="219"/>
      <c r="BS52" s="219"/>
      <c r="BT52" s="275">
        <v>0.15</v>
      </c>
      <c r="BU52" s="275">
        <v>0.15</v>
      </c>
      <c r="BV52" s="275">
        <v>0.15</v>
      </c>
      <c r="BW52" s="275">
        <v>0.15</v>
      </c>
      <c r="BX52" s="275">
        <v>0.15</v>
      </c>
      <c r="BY52" s="275">
        <v>0.15</v>
      </c>
      <c r="BZ52" s="275">
        <v>0.15</v>
      </c>
      <c r="CA52" s="1343">
        <v>0.15</v>
      </c>
      <c r="CB52" s="1356"/>
      <c r="CC52" s="1356"/>
      <c r="CD52" s="1356"/>
      <c r="CE52" s="1356"/>
      <c r="CF52" s="1356"/>
      <c r="CG52" s="1356"/>
      <c r="CH52" s="1356"/>
      <c r="CI52" s="1356"/>
      <c r="CJ52" s="1356"/>
      <c r="CK52" s="1356"/>
    </row>
    <row r="53" spans="1:89" s="1357" customFormat="1" ht="36" hidden="1">
      <c r="A53" s="196"/>
      <c r="B53" s="269"/>
      <c r="C53" s="231">
        <v>18</v>
      </c>
      <c r="D53" s="541">
        <v>39</v>
      </c>
      <c r="E53" s="296" t="s">
        <v>3</v>
      </c>
      <c r="F53" s="295" t="s">
        <v>4</v>
      </c>
      <c r="G53" s="296" t="s">
        <v>1594</v>
      </c>
      <c r="H53" s="296" t="s">
        <v>1597</v>
      </c>
      <c r="I53" s="296" t="s">
        <v>1398</v>
      </c>
      <c r="J53" s="296" t="s">
        <v>1742</v>
      </c>
      <c r="K53" s="242" t="s">
        <v>1596</v>
      </c>
      <c r="L53" s="237" t="s">
        <v>86</v>
      </c>
      <c r="M53" s="237">
        <v>0</v>
      </c>
      <c r="N53" s="237"/>
      <c r="O53" s="233">
        <v>81390</v>
      </c>
      <c r="P53" s="1222">
        <v>33506</v>
      </c>
      <c r="Q53" s="1223">
        <v>34335</v>
      </c>
      <c r="R53" s="1223">
        <v>64727</v>
      </c>
      <c r="S53" s="1223">
        <v>32221</v>
      </c>
      <c r="T53" s="1221" t="s">
        <v>1530</v>
      </c>
      <c r="U53" s="1183" t="s">
        <v>1352</v>
      </c>
      <c r="V53" s="1183" t="s">
        <v>1595</v>
      </c>
      <c r="W53" s="1184">
        <v>41886</v>
      </c>
      <c r="X53" s="1224" t="s">
        <v>1528</v>
      </c>
      <c r="Y53" s="1264" t="s">
        <v>1743</v>
      </c>
      <c r="Z53" s="1280"/>
      <c r="AA53" s="1280"/>
      <c r="AB53" s="1281"/>
      <c r="AC53" s="1282"/>
      <c r="AD53" s="1283"/>
      <c r="AE53" s="1281"/>
      <c r="AF53" s="1280"/>
      <c r="AG53" s="1280"/>
      <c r="AH53" s="1280"/>
      <c r="AI53" s="1280"/>
      <c r="AJ53" s="1280"/>
      <c r="AK53" s="1280"/>
      <c r="AL53" s="1280"/>
      <c r="AM53" s="1280"/>
      <c r="AN53" s="1280"/>
      <c r="AO53" s="1280"/>
      <c r="AP53" s="1280"/>
      <c r="AQ53" s="1280"/>
      <c r="AR53" s="1280"/>
      <c r="AS53" s="1280"/>
      <c r="AT53" s="1284"/>
      <c r="AU53" s="1285"/>
      <c r="AV53" s="1286"/>
      <c r="AW53" s="1286"/>
      <c r="AX53" s="1286"/>
      <c r="AY53" s="1286"/>
      <c r="AZ53" s="1287"/>
      <c r="BA53" s="1287"/>
      <c r="BB53" s="1276">
        <v>301</v>
      </c>
      <c r="BC53" s="233">
        <v>41</v>
      </c>
      <c r="BD53" s="233">
        <v>42</v>
      </c>
      <c r="BE53" s="233">
        <v>52</v>
      </c>
      <c r="BF53" s="233">
        <v>53</v>
      </c>
      <c r="BG53" s="233">
        <v>54</v>
      </c>
      <c r="BH53" s="233">
        <v>55</v>
      </c>
      <c r="BI53" s="233">
        <v>56</v>
      </c>
      <c r="BJ53" s="233">
        <v>57</v>
      </c>
      <c r="BK53" s="233">
        <v>58</v>
      </c>
      <c r="BL53" s="233">
        <v>59</v>
      </c>
      <c r="BM53" s="233">
        <v>299</v>
      </c>
      <c r="BN53" s="233">
        <v>300</v>
      </c>
      <c r="BO53" s="219"/>
      <c r="BP53" s="219"/>
      <c r="BQ53" s="219"/>
      <c r="BR53" s="219"/>
      <c r="BS53" s="219"/>
      <c r="BT53" s="275">
        <v>0.35</v>
      </c>
      <c r="BU53" s="275">
        <v>0.35</v>
      </c>
      <c r="BV53" s="275">
        <v>0.35</v>
      </c>
      <c r="BW53" s="275">
        <v>0.35</v>
      </c>
      <c r="BX53" s="275">
        <v>0.35</v>
      </c>
      <c r="BY53" s="275">
        <v>0.35</v>
      </c>
      <c r="BZ53" s="275">
        <v>0.35</v>
      </c>
      <c r="CA53" s="1343">
        <v>0.35</v>
      </c>
      <c r="CB53" s="1356"/>
      <c r="CC53" s="1356"/>
      <c r="CD53" s="1356"/>
      <c r="CE53" s="1356"/>
      <c r="CF53" s="1356"/>
      <c r="CG53" s="1356"/>
      <c r="CH53" s="1356"/>
      <c r="CI53" s="1356"/>
      <c r="CJ53" s="1356"/>
      <c r="CK53" s="1356"/>
    </row>
    <row r="54" spans="1:89" s="1357" customFormat="1" ht="36" hidden="1">
      <c r="A54" s="196"/>
      <c r="B54" s="269"/>
      <c r="C54" s="231">
        <v>22</v>
      </c>
      <c r="D54" s="541">
        <v>74</v>
      </c>
      <c r="E54" s="296" t="s">
        <v>3</v>
      </c>
      <c r="F54" s="295" t="s">
        <v>4</v>
      </c>
      <c r="G54" s="296" t="s">
        <v>1575</v>
      </c>
      <c r="H54" s="296" t="s">
        <v>1745</v>
      </c>
      <c r="I54" s="296" t="s">
        <v>1398</v>
      </c>
      <c r="J54" s="296" t="s">
        <v>1589</v>
      </c>
      <c r="K54" s="236" t="s">
        <v>1588</v>
      </c>
      <c r="L54" s="237" t="s">
        <v>86</v>
      </c>
      <c r="M54" s="237">
        <v>0</v>
      </c>
      <c r="N54" s="237"/>
      <c r="O54" s="244">
        <v>82355</v>
      </c>
      <c r="P54" s="1222">
        <v>112693</v>
      </c>
      <c r="Q54" s="1223">
        <v>95796</v>
      </c>
      <c r="R54" s="1223">
        <v>111397</v>
      </c>
      <c r="S54" s="1223">
        <v>125359</v>
      </c>
      <c r="T54" s="1221" t="s">
        <v>1530</v>
      </c>
      <c r="U54" s="1183" t="s">
        <v>1352</v>
      </c>
      <c r="V54" s="1183" t="s">
        <v>1587</v>
      </c>
      <c r="W54" s="1184">
        <v>41886</v>
      </c>
      <c r="X54" s="1224" t="s">
        <v>1528</v>
      </c>
      <c r="Y54" s="1264" t="s">
        <v>1586</v>
      </c>
      <c r="Z54" s="1280"/>
      <c r="AA54" s="1280"/>
      <c r="AB54" s="1281"/>
      <c r="AC54" s="1282"/>
      <c r="AD54" s="1283"/>
      <c r="AE54" s="1281"/>
      <c r="AF54" s="1280"/>
      <c r="AG54" s="1280"/>
      <c r="AH54" s="1280"/>
      <c r="AI54" s="1280"/>
      <c r="AJ54" s="1280"/>
      <c r="AK54" s="1280"/>
      <c r="AL54" s="1280"/>
      <c r="AM54" s="1280"/>
      <c r="AN54" s="1280"/>
      <c r="AO54" s="1280"/>
      <c r="AP54" s="1280"/>
      <c r="AQ54" s="1280"/>
      <c r="AR54" s="1280"/>
      <c r="AS54" s="1280"/>
      <c r="AT54" s="1284"/>
      <c r="AU54" s="1285"/>
      <c r="AV54" s="1286"/>
      <c r="AW54" s="1286"/>
      <c r="AX54" s="1286"/>
      <c r="AY54" s="1286"/>
      <c r="AZ54" s="1287"/>
      <c r="BA54" s="1287"/>
      <c r="BB54" s="1276">
        <v>109</v>
      </c>
      <c r="BC54" s="233">
        <v>111</v>
      </c>
      <c r="BD54" s="233">
        <v>112</v>
      </c>
      <c r="BE54" s="233">
        <v>99</v>
      </c>
      <c r="BF54" s="233">
        <v>80</v>
      </c>
      <c r="BG54" s="233">
        <v>81</v>
      </c>
      <c r="BH54" s="233">
        <v>85</v>
      </c>
      <c r="BI54" s="233">
        <v>96</v>
      </c>
      <c r="BJ54" s="233">
        <v>97</v>
      </c>
      <c r="BK54" s="233">
        <v>98</v>
      </c>
      <c r="BL54" s="233">
        <v>100</v>
      </c>
      <c r="BM54" s="233">
        <v>101</v>
      </c>
      <c r="BN54" s="233">
        <v>102</v>
      </c>
      <c r="BO54" s="233">
        <v>103</v>
      </c>
      <c r="BP54" s="233">
        <v>302</v>
      </c>
      <c r="BQ54" s="233">
        <v>303</v>
      </c>
      <c r="BR54" s="219"/>
      <c r="BS54" s="219"/>
      <c r="BT54" s="275">
        <v>0.6</v>
      </c>
      <c r="BU54" s="275">
        <v>0.6</v>
      </c>
      <c r="BV54" s="275">
        <v>0.6</v>
      </c>
      <c r="BW54" s="275">
        <v>0.6</v>
      </c>
      <c r="BX54" s="275">
        <v>0.6</v>
      </c>
      <c r="BY54" s="275">
        <v>0.6</v>
      </c>
      <c r="BZ54" s="275">
        <v>0.6</v>
      </c>
      <c r="CA54" s="1343">
        <v>0.6</v>
      </c>
      <c r="CB54" s="1356"/>
      <c r="CC54" s="1356"/>
      <c r="CD54" s="1356"/>
      <c r="CE54" s="1356"/>
      <c r="CF54" s="1356"/>
      <c r="CG54" s="1356"/>
      <c r="CH54" s="1356"/>
      <c r="CI54" s="1356"/>
      <c r="CJ54" s="1356"/>
      <c r="CK54" s="1356"/>
    </row>
    <row r="55" spans="1:89" s="1357" customFormat="1" ht="36" hidden="1">
      <c r="A55" s="196"/>
      <c r="B55" s="269"/>
      <c r="C55" s="235">
        <v>31</v>
      </c>
      <c r="D55" s="541">
        <v>118</v>
      </c>
      <c r="E55" s="296" t="s">
        <v>3</v>
      </c>
      <c r="F55" s="295" t="s">
        <v>4</v>
      </c>
      <c r="G55" s="296" t="s">
        <v>1560</v>
      </c>
      <c r="H55" s="296" t="s">
        <v>1564</v>
      </c>
      <c r="I55" s="296" t="s">
        <v>1398</v>
      </c>
      <c r="J55" s="296" t="s">
        <v>1563</v>
      </c>
      <c r="K55" s="236" t="s">
        <v>1562</v>
      </c>
      <c r="L55" s="237" t="s">
        <v>86</v>
      </c>
      <c r="M55" s="237">
        <v>0</v>
      </c>
      <c r="N55" s="237"/>
      <c r="O55" s="237">
        <v>78810</v>
      </c>
      <c r="P55" s="1222">
        <v>11344</v>
      </c>
      <c r="Q55" s="1223">
        <v>7124</v>
      </c>
      <c r="R55" s="1223">
        <v>7893</v>
      </c>
      <c r="S55" s="1223">
        <v>2326</v>
      </c>
      <c r="T55" s="1221" t="s">
        <v>1530</v>
      </c>
      <c r="U55" s="1183" t="s">
        <v>1352</v>
      </c>
      <c r="V55" s="1183" t="s">
        <v>1539</v>
      </c>
      <c r="W55" s="1184">
        <v>41886</v>
      </c>
      <c r="X55" s="1224" t="s">
        <v>1528</v>
      </c>
      <c r="Y55" s="1264" t="s">
        <v>1561</v>
      </c>
      <c r="Z55" s="1280"/>
      <c r="AA55" s="1280"/>
      <c r="AB55" s="1281"/>
      <c r="AC55" s="1282"/>
      <c r="AD55" s="1283"/>
      <c r="AE55" s="1281"/>
      <c r="AF55" s="1280"/>
      <c r="AG55" s="1280"/>
      <c r="AH55" s="1280"/>
      <c r="AI55" s="1280"/>
      <c r="AJ55" s="1280"/>
      <c r="AK55" s="1280"/>
      <c r="AL55" s="1280"/>
      <c r="AM55" s="1280"/>
      <c r="AN55" s="1280"/>
      <c r="AO55" s="1280"/>
      <c r="AP55" s="1280"/>
      <c r="AQ55" s="1280"/>
      <c r="AR55" s="1280"/>
      <c r="AS55" s="1280"/>
      <c r="AT55" s="1284"/>
      <c r="AU55" s="1285"/>
      <c r="AV55" s="1286"/>
      <c r="AW55" s="1286"/>
      <c r="AX55" s="1286"/>
      <c r="AY55" s="1286"/>
      <c r="AZ55" s="1287"/>
      <c r="BA55" s="1287"/>
      <c r="BB55" s="1276">
        <v>155</v>
      </c>
      <c r="BC55" s="233">
        <v>122</v>
      </c>
      <c r="BD55" s="233">
        <v>123</v>
      </c>
      <c r="BE55" s="233">
        <v>126</v>
      </c>
      <c r="BF55" s="233">
        <v>128</v>
      </c>
      <c r="BG55" s="233">
        <v>129</v>
      </c>
      <c r="BH55" s="233">
        <v>130</v>
      </c>
      <c r="BI55" s="233">
        <v>131</v>
      </c>
      <c r="BJ55" s="233">
        <v>132</v>
      </c>
      <c r="BK55" s="233">
        <v>133</v>
      </c>
      <c r="BL55" s="233">
        <v>134</v>
      </c>
      <c r="BM55" s="233">
        <v>135</v>
      </c>
      <c r="BN55" s="233">
        <v>136</v>
      </c>
      <c r="BO55" s="233">
        <v>137</v>
      </c>
      <c r="BP55" s="233">
        <v>138</v>
      </c>
      <c r="BQ55" s="233">
        <v>142</v>
      </c>
      <c r="BR55" s="233">
        <v>147</v>
      </c>
      <c r="BS55" s="233">
        <v>151</v>
      </c>
      <c r="BT55" s="275">
        <v>0.35</v>
      </c>
      <c r="BU55" s="275">
        <v>0.35</v>
      </c>
      <c r="BV55" s="275">
        <v>0.35</v>
      </c>
      <c r="BW55" s="275">
        <v>0.35</v>
      </c>
      <c r="BX55" s="275">
        <v>0.35</v>
      </c>
      <c r="BY55" s="275">
        <v>0.35</v>
      </c>
      <c r="BZ55" s="275">
        <v>0.35</v>
      </c>
      <c r="CA55" s="1343">
        <v>0.35</v>
      </c>
      <c r="CB55" s="1356"/>
      <c r="CC55" s="1356"/>
      <c r="CD55" s="1356"/>
      <c r="CE55" s="1356"/>
      <c r="CF55" s="1356"/>
      <c r="CG55" s="1356"/>
      <c r="CH55" s="1356"/>
      <c r="CI55" s="1356"/>
      <c r="CJ55" s="1356"/>
      <c r="CK55" s="1356"/>
    </row>
    <row r="56" spans="1:89" s="1357" customFormat="1" ht="36" hidden="1">
      <c r="A56" s="196"/>
      <c r="B56" s="269"/>
      <c r="C56" s="235">
        <v>35</v>
      </c>
      <c r="D56" s="541">
        <v>160</v>
      </c>
      <c r="E56" s="296" t="s">
        <v>3</v>
      </c>
      <c r="F56" s="295" t="s">
        <v>4</v>
      </c>
      <c r="G56" s="296" t="s">
        <v>1552</v>
      </c>
      <c r="H56" s="296" t="s">
        <v>1751</v>
      </c>
      <c r="I56" s="296" t="s">
        <v>1398</v>
      </c>
      <c r="J56" s="296" t="s">
        <v>1551</v>
      </c>
      <c r="K56" s="236" t="s">
        <v>1550</v>
      </c>
      <c r="L56" s="237" t="s">
        <v>86</v>
      </c>
      <c r="M56" s="237">
        <v>0</v>
      </c>
      <c r="N56" s="237"/>
      <c r="O56" s="240">
        <v>138456</v>
      </c>
      <c r="P56" s="1222">
        <v>68558</v>
      </c>
      <c r="Q56" s="1223">
        <v>64131</v>
      </c>
      <c r="R56" s="1223">
        <v>16917</v>
      </c>
      <c r="S56" s="1223">
        <v>18562</v>
      </c>
      <c r="T56" s="1221" t="s">
        <v>1530</v>
      </c>
      <c r="U56" s="1183" t="s">
        <v>1352</v>
      </c>
      <c r="V56" s="1183" t="s">
        <v>1529</v>
      </c>
      <c r="W56" s="1184">
        <v>41886</v>
      </c>
      <c r="X56" s="1224" t="s">
        <v>1528</v>
      </c>
      <c r="Y56" s="1264" t="s">
        <v>1752</v>
      </c>
      <c r="Z56" s="1280"/>
      <c r="AA56" s="1280"/>
      <c r="AB56" s="1281"/>
      <c r="AC56" s="1282"/>
      <c r="AD56" s="1283"/>
      <c r="AE56" s="1281"/>
      <c r="AF56" s="1280"/>
      <c r="AG56" s="1280"/>
      <c r="AH56" s="1280"/>
      <c r="AI56" s="1280"/>
      <c r="AJ56" s="1280"/>
      <c r="AK56" s="1280"/>
      <c r="AL56" s="1280"/>
      <c r="AM56" s="1280"/>
      <c r="AN56" s="1280"/>
      <c r="AO56" s="1280"/>
      <c r="AP56" s="1280"/>
      <c r="AQ56" s="1280"/>
      <c r="AR56" s="1280"/>
      <c r="AS56" s="1280"/>
      <c r="AT56" s="1284"/>
      <c r="AU56" s="1285"/>
      <c r="AV56" s="1286"/>
      <c r="AW56" s="1286"/>
      <c r="AX56" s="1286"/>
      <c r="AY56" s="1286"/>
      <c r="AZ56" s="1287"/>
      <c r="BA56" s="1287"/>
      <c r="BB56" s="1276">
        <v>161</v>
      </c>
      <c r="BC56" s="233">
        <v>162</v>
      </c>
      <c r="BD56" s="233">
        <v>164</v>
      </c>
      <c r="BE56" s="233">
        <v>165</v>
      </c>
      <c r="BF56" s="233">
        <v>166</v>
      </c>
      <c r="BG56" s="233">
        <v>167</v>
      </c>
      <c r="BH56" s="233">
        <v>168</v>
      </c>
      <c r="BI56" s="233">
        <v>169</v>
      </c>
      <c r="BJ56" s="233">
        <v>170</v>
      </c>
      <c r="BK56" s="233">
        <v>171</v>
      </c>
      <c r="BL56" s="233">
        <v>172</v>
      </c>
      <c r="BM56" s="233">
        <v>304</v>
      </c>
      <c r="BN56" s="233">
        <v>306</v>
      </c>
      <c r="BO56" s="219"/>
      <c r="BP56" s="219"/>
      <c r="BQ56" s="219"/>
      <c r="BR56" s="219"/>
      <c r="BS56" s="219"/>
      <c r="BT56" s="275">
        <v>0.3</v>
      </c>
      <c r="BU56" s="275">
        <v>0.3</v>
      </c>
      <c r="BV56" s="275">
        <v>0.3</v>
      </c>
      <c r="BW56" s="275">
        <v>0.3</v>
      </c>
      <c r="BX56" s="275">
        <v>0.3</v>
      </c>
      <c r="BY56" s="275">
        <v>0.3</v>
      </c>
      <c r="BZ56" s="275">
        <v>0.3</v>
      </c>
      <c r="CA56" s="1343">
        <v>0.3</v>
      </c>
      <c r="CB56" s="1356"/>
      <c r="CC56" s="1356"/>
      <c r="CD56" s="1356"/>
      <c r="CE56" s="1356"/>
      <c r="CF56" s="1356"/>
      <c r="CG56" s="1356"/>
      <c r="CH56" s="1356"/>
      <c r="CI56" s="1356"/>
      <c r="CJ56" s="1356"/>
      <c r="CK56" s="1356"/>
    </row>
    <row r="57" spans="1:89" s="1357" customFormat="1" ht="36" hidden="1">
      <c r="A57" s="196"/>
      <c r="B57" s="269"/>
      <c r="C57" s="231">
        <v>38</v>
      </c>
      <c r="D57" s="541">
        <v>179</v>
      </c>
      <c r="E57" s="296" t="s">
        <v>3</v>
      </c>
      <c r="F57" s="295" t="s">
        <v>4</v>
      </c>
      <c r="G57" s="296" t="s">
        <v>1543</v>
      </c>
      <c r="H57" s="296" t="s">
        <v>1542</v>
      </c>
      <c r="I57" s="296" t="s">
        <v>1398</v>
      </c>
      <c r="J57" s="296" t="s">
        <v>1541</v>
      </c>
      <c r="K57" s="236" t="s">
        <v>1540</v>
      </c>
      <c r="L57" s="237" t="s">
        <v>86</v>
      </c>
      <c r="M57" s="237">
        <v>0</v>
      </c>
      <c r="N57" s="237"/>
      <c r="O57" s="237">
        <v>7405</v>
      </c>
      <c r="P57" s="1222">
        <v>5359</v>
      </c>
      <c r="Q57" s="1223">
        <v>10342</v>
      </c>
      <c r="R57" s="1223">
        <v>13715</v>
      </c>
      <c r="S57" s="1223">
        <v>4710</v>
      </c>
      <c r="T57" s="1221" t="s">
        <v>1530</v>
      </c>
      <c r="U57" s="1183" t="s">
        <v>1352</v>
      </c>
      <c r="V57" s="1183" t="s">
        <v>1539</v>
      </c>
      <c r="W57" s="1184">
        <v>41886</v>
      </c>
      <c r="X57" s="1224" t="s">
        <v>1528</v>
      </c>
      <c r="Y57" s="1264" t="s">
        <v>1538</v>
      </c>
      <c r="Z57" s="1280"/>
      <c r="AA57" s="1280"/>
      <c r="AB57" s="1281"/>
      <c r="AC57" s="1282"/>
      <c r="AD57" s="1283"/>
      <c r="AE57" s="1281"/>
      <c r="AF57" s="1280"/>
      <c r="AG57" s="1280"/>
      <c r="AH57" s="1280"/>
      <c r="AI57" s="1280"/>
      <c r="AJ57" s="1280"/>
      <c r="AK57" s="1280"/>
      <c r="AL57" s="1280"/>
      <c r="AM57" s="1280"/>
      <c r="AN57" s="1280"/>
      <c r="AO57" s="1280"/>
      <c r="AP57" s="1280"/>
      <c r="AQ57" s="1280"/>
      <c r="AR57" s="1280"/>
      <c r="AS57" s="1280"/>
      <c r="AT57" s="1284"/>
      <c r="AU57" s="1285"/>
      <c r="AV57" s="1286"/>
      <c r="AW57" s="1286"/>
      <c r="AX57" s="1286"/>
      <c r="AY57" s="1286"/>
      <c r="AZ57" s="1287"/>
      <c r="BA57" s="1287"/>
      <c r="BB57" s="1276">
        <v>180</v>
      </c>
      <c r="BC57" s="233">
        <v>182</v>
      </c>
      <c r="BD57" s="233">
        <v>184</v>
      </c>
      <c r="BE57" s="233">
        <v>185</v>
      </c>
      <c r="BF57" s="233">
        <v>186</v>
      </c>
      <c r="BG57" s="233">
        <v>187</v>
      </c>
      <c r="BH57" s="233">
        <v>188</v>
      </c>
      <c r="BI57" s="233">
        <v>189</v>
      </c>
      <c r="BJ57" s="233">
        <v>190</v>
      </c>
      <c r="BK57" s="233">
        <v>191</v>
      </c>
      <c r="BL57" s="233">
        <v>193</v>
      </c>
      <c r="BM57" s="233">
        <v>194</v>
      </c>
      <c r="BN57" s="233">
        <v>195</v>
      </c>
      <c r="BO57" s="233">
        <v>197</v>
      </c>
      <c r="BP57" s="233">
        <v>307</v>
      </c>
      <c r="BQ57" s="233">
        <v>308</v>
      </c>
      <c r="BR57" s="219"/>
      <c r="BS57" s="219"/>
      <c r="BT57" s="275">
        <v>0.05</v>
      </c>
      <c r="BU57" s="275">
        <v>0.05</v>
      </c>
      <c r="BV57" s="275">
        <v>0.05</v>
      </c>
      <c r="BW57" s="275">
        <v>0.05</v>
      </c>
      <c r="BX57" s="275">
        <v>0.05</v>
      </c>
      <c r="BY57" s="275">
        <v>0.05</v>
      </c>
      <c r="BZ57" s="275">
        <v>0.05</v>
      </c>
      <c r="CA57" s="1343">
        <v>0.05</v>
      </c>
      <c r="CB57" s="1356"/>
      <c r="CC57" s="1356"/>
      <c r="CD57" s="1356"/>
      <c r="CE57" s="1356"/>
      <c r="CF57" s="1356"/>
      <c r="CG57" s="1356"/>
      <c r="CH57" s="1356"/>
      <c r="CI57" s="1356"/>
      <c r="CJ57" s="1356"/>
      <c r="CK57" s="1356"/>
    </row>
    <row r="58" spans="1:89" s="1357" customFormat="1" ht="36" hidden="1">
      <c r="A58" s="196"/>
      <c r="B58" s="269"/>
      <c r="C58" s="235">
        <v>41</v>
      </c>
      <c r="D58" s="541">
        <v>201</v>
      </c>
      <c r="E58" s="296" t="s">
        <v>3</v>
      </c>
      <c r="F58" s="295" t="s">
        <v>4</v>
      </c>
      <c r="G58" s="296" t="s">
        <v>1525</v>
      </c>
      <c r="H58" s="296" t="s">
        <v>122</v>
      </c>
      <c r="I58" s="296" t="s">
        <v>1398</v>
      </c>
      <c r="J58" s="296" t="s">
        <v>1531</v>
      </c>
      <c r="K58" s="236" t="s">
        <v>1463</v>
      </c>
      <c r="L58" s="237" t="s">
        <v>85</v>
      </c>
      <c r="M58" s="237">
        <v>0</v>
      </c>
      <c r="N58" s="237"/>
      <c r="O58" s="237">
        <v>45000</v>
      </c>
      <c r="P58" s="1222">
        <v>13945</v>
      </c>
      <c r="Q58" s="1223">
        <v>15450</v>
      </c>
      <c r="R58" s="1223">
        <v>16000</v>
      </c>
      <c r="S58" s="1223">
        <v>15577</v>
      </c>
      <c r="T58" s="1221" t="s">
        <v>1530</v>
      </c>
      <c r="U58" s="1183" t="s">
        <v>1352</v>
      </c>
      <c r="V58" s="1183" t="s">
        <v>1529</v>
      </c>
      <c r="W58" s="1184">
        <v>41886</v>
      </c>
      <c r="X58" s="1224" t="s">
        <v>1528</v>
      </c>
      <c r="Y58" s="1264"/>
      <c r="Z58" s="1280"/>
      <c r="AA58" s="1280"/>
      <c r="AB58" s="1281"/>
      <c r="AC58" s="1282"/>
      <c r="AD58" s="1283"/>
      <c r="AE58" s="1281"/>
      <c r="AF58" s="1280"/>
      <c r="AG58" s="1280"/>
      <c r="AH58" s="1280"/>
      <c r="AI58" s="1280"/>
      <c r="AJ58" s="1280"/>
      <c r="AK58" s="1280"/>
      <c r="AL58" s="1280"/>
      <c r="AM58" s="1280"/>
      <c r="AN58" s="1280"/>
      <c r="AO58" s="1280"/>
      <c r="AP58" s="1280"/>
      <c r="AQ58" s="1280"/>
      <c r="AR58" s="1280"/>
      <c r="AS58" s="1280"/>
      <c r="AT58" s="1284"/>
      <c r="AU58" s="1285"/>
      <c r="AV58" s="1286"/>
      <c r="AW58" s="1286"/>
      <c r="AX58" s="1286"/>
      <c r="AY58" s="1286"/>
      <c r="AZ58" s="1287"/>
      <c r="BA58" s="1287"/>
      <c r="BB58" s="1276">
        <v>243</v>
      </c>
      <c r="BC58" s="233">
        <v>234</v>
      </c>
      <c r="BD58" s="233">
        <v>241</v>
      </c>
      <c r="BE58" s="233">
        <v>242</v>
      </c>
      <c r="BF58" s="233">
        <v>244</v>
      </c>
      <c r="BG58" s="233">
        <v>305</v>
      </c>
      <c r="BH58" s="219"/>
      <c r="BI58" s="219"/>
      <c r="BJ58" s="219"/>
      <c r="BK58" s="219"/>
      <c r="BL58" s="219"/>
      <c r="BM58" s="219"/>
      <c r="BN58" s="219"/>
      <c r="BO58" s="219"/>
      <c r="BP58" s="219"/>
      <c r="BQ58" s="219"/>
      <c r="BR58" s="219"/>
      <c r="BS58" s="219"/>
      <c r="BT58" s="272">
        <v>11250</v>
      </c>
      <c r="BU58" s="272">
        <v>11250</v>
      </c>
      <c r="BV58" s="272">
        <v>11250</v>
      </c>
      <c r="BW58" s="272">
        <v>22500</v>
      </c>
      <c r="BX58" s="272">
        <v>11250</v>
      </c>
      <c r="BY58" s="272">
        <v>33750</v>
      </c>
      <c r="BZ58" s="272">
        <v>11250</v>
      </c>
      <c r="CA58" s="1339">
        <v>45000</v>
      </c>
      <c r="CB58" s="1356"/>
      <c r="CC58" s="1356"/>
      <c r="CD58" s="1356"/>
      <c r="CE58" s="1356"/>
      <c r="CF58" s="1356"/>
      <c r="CG58" s="1356"/>
      <c r="CH58" s="1356"/>
      <c r="CI58" s="1356"/>
      <c r="CJ58" s="1356"/>
      <c r="CK58" s="1356"/>
    </row>
    <row r="59" spans="1:89" s="1357" customFormat="1" ht="54" customHeight="1">
      <c r="A59" s="196"/>
      <c r="B59" s="269"/>
      <c r="C59" s="235">
        <v>57</v>
      </c>
      <c r="D59" s="541">
        <v>398</v>
      </c>
      <c r="E59" s="236" t="s">
        <v>1445</v>
      </c>
      <c r="F59" s="232" t="s">
        <v>5</v>
      </c>
      <c r="G59" s="236" t="s">
        <v>1484</v>
      </c>
      <c r="H59" s="236" t="s">
        <v>106</v>
      </c>
      <c r="I59" s="236" t="s">
        <v>1398</v>
      </c>
      <c r="J59" s="236" t="s">
        <v>1483</v>
      </c>
      <c r="K59" s="236" t="s">
        <v>1404</v>
      </c>
      <c r="L59" s="237" t="s">
        <v>85</v>
      </c>
      <c r="M59" s="237">
        <v>0</v>
      </c>
      <c r="N59" s="237">
        <v>2011</v>
      </c>
      <c r="O59" s="237">
        <v>10</v>
      </c>
      <c r="P59" s="1178">
        <v>0</v>
      </c>
      <c r="Q59" s="1193">
        <v>0</v>
      </c>
      <c r="R59" s="1180">
        <v>4</v>
      </c>
      <c r="S59" s="1180">
        <v>6</v>
      </c>
      <c r="T59" s="1180" t="s">
        <v>1698</v>
      </c>
      <c r="U59" s="1183" t="s">
        <v>1352</v>
      </c>
      <c r="V59" s="1183" t="s">
        <v>1699</v>
      </c>
      <c r="W59" s="1184">
        <v>42004</v>
      </c>
      <c r="X59" s="1186"/>
      <c r="Y59" s="1264" t="s">
        <v>3186</v>
      </c>
      <c r="Z59" s="1280"/>
      <c r="AA59" s="1280"/>
      <c r="AB59" s="1281"/>
      <c r="AC59" s="1282"/>
      <c r="AD59" s="1283"/>
      <c r="AE59" s="1281"/>
      <c r="AF59" s="1280"/>
      <c r="AG59" s="1280"/>
      <c r="AH59" s="1280"/>
      <c r="AI59" s="1280"/>
      <c r="AJ59" s="1280"/>
      <c r="AK59" s="1280"/>
      <c r="AL59" s="1280"/>
      <c r="AM59" s="1280"/>
      <c r="AN59" s="1280"/>
      <c r="AO59" s="1280"/>
      <c r="AP59" s="1280"/>
      <c r="AQ59" s="1280"/>
      <c r="AR59" s="1280"/>
      <c r="AS59" s="1280"/>
      <c r="AT59" s="1284"/>
      <c r="AU59" s="1285"/>
      <c r="AV59" s="1286"/>
      <c r="AW59" s="1286"/>
      <c r="AX59" s="1286"/>
      <c r="AY59" s="1286"/>
      <c r="AZ59" s="1287"/>
      <c r="BA59" s="1287"/>
      <c r="BB59" s="1276">
        <v>403</v>
      </c>
      <c r="BC59" s="233">
        <v>408</v>
      </c>
      <c r="BD59" s="233">
        <v>409</v>
      </c>
      <c r="BE59" s="233">
        <v>410</v>
      </c>
      <c r="BF59" s="219"/>
      <c r="BG59" s="219"/>
      <c r="BH59" s="219"/>
      <c r="BI59" s="219"/>
      <c r="BJ59" s="219"/>
      <c r="BK59" s="219"/>
      <c r="BL59" s="219"/>
      <c r="BM59" s="219"/>
      <c r="BN59" s="219"/>
      <c r="BO59" s="219"/>
      <c r="BP59" s="219"/>
      <c r="BQ59" s="219"/>
      <c r="BR59" s="219"/>
      <c r="BS59" s="219"/>
      <c r="BT59" s="284">
        <v>0</v>
      </c>
      <c r="BU59" s="285">
        <v>0</v>
      </c>
      <c r="BV59" s="241">
        <v>2</v>
      </c>
      <c r="BW59" s="285">
        <v>0.02</v>
      </c>
      <c r="BX59" s="286">
        <v>2</v>
      </c>
      <c r="BY59" s="285">
        <v>0.04</v>
      </c>
      <c r="BZ59" s="286">
        <v>6</v>
      </c>
      <c r="CA59" s="1351">
        <v>0.1</v>
      </c>
      <c r="CB59" s="1356"/>
      <c r="CC59" s="1356"/>
      <c r="CD59" s="1356"/>
      <c r="CE59" s="1356"/>
      <c r="CF59" s="1356"/>
      <c r="CG59" s="1356"/>
      <c r="CH59" s="1356"/>
      <c r="CI59" s="1356"/>
      <c r="CJ59" s="1356"/>
      <c r="CK59" s="1356"/>
    </row>
    <row r="60" spans="1:89" s="1357" customFormat="1" ht="84">
      <c r="A60" s="196"/>
      <c r="B60" s="269"/>
      <c r="C60" s="231">
        <v>68</v>
      </c>
      <c r="D60" s="541">
        <v>497</v>
      </c>
      <c r="E60" s="236" t="s">
        <v>1445</v>
      </c>
      <c r="F60" s="232" t="s">
        <v>1376</v>
      </c>
      <c r="G60" s="236" t="s">
        <v>1445</v>
      </c>
      <c r="H60" s="236" t="s">
        <v>100</v>
      </c>
      <c r="I60" s="236" t="s">
        <v>1398</v>
      </c>
      <c r="J60" s="236" t="s">
        <v>1444</v>
      </c>
      <c r="K60" s="236" t="s">
        <v>1443</v>
      </c>
      <c r="L60" s="237" t="s">
        <v>85</v>
      </c>
      <c r="M60" s="237">
        <v>0</v>
      </c>
      <c r="N60" s="237">
        <v>2011</v>
      </c>
      <c r="O60" s="236">
        <v>1</v>
      </c>
      <c r="P60" s="1178">
        <v>0</v>
      </c>
      <c r="Q60" s="1193">
        <v>0</v>
      </c>
      <c r="R60" s="1193">
        <v>1</v>
      </c>
      <c r="S60" s="1193">
        <v>1</v>
      </c>
      <c r="T60" s="1180" t="s">
        <v>1698</v>
      </c>
      <c r="U60" s="1183" t="s">
        <v>1352</v>
      </c>
      <c r="V60" s="1183" t="s">
        <v>1709</v>
      </c>
      <c r="W60" s="1184">
        <v>42004</v>
      </c>
      <c r="X60" s="1185"/>
      <c r="Y60" s="1264" t="s">
        <v>1710</v>
      </c>
      <c r="Z60" s="1280"/>
      <c r="AA60" s="1280"/>
      <c r="AB60" s="1281"/>
      <c r="AC60" s="1282"/>
      <c r="AD60" s="1283"/>
      <c r="AE60" s="1281"/>
      <c r="AF60" s="1280"/>
      <c r="AG60" s="1280"/>
      <c r="AH60" s="1280"/>
      <c r="AI60" s="1280"/>
      <c r="AJ60" s="1280"/>
      <c r="AK60" s="1280"/>
      <c r="AL60" s="1280"/>
      <c r="AM60" s="1280"/>
      <c r="AN60" s="1280"/>
      <c r="AO60" s="1280"/>
      <c r="AP60" s="1280"/>
      <c r="AQ60" s="1280"/>
      <c r="AR60" s="1280"/>
      <c r="AS60" s="1280"/>
      <c r="AT60" s="1284"/>
      <c r="AU60" s="1285"/>
      <c r="AV60" s="1286"/>
      <c r="AW60" s="1286"/>
      <c r="AX60" s="1286"/>
      <c r="AY60" s="1286"/>
      <c r="AZ60" s="1287"/>
      <c r="BA60" s="1287"/>
      <c r="BB60" s="1276">
        <v>498</v>
      </c>
      <c r="BC60" s="233">
        <v>499</v>
      </c>
      <c r="BD60" s="233">
        <v>500</v>
      </c>
      <c r="BE60" s="219"/>
      <c r="BF60" s="219"/>
      <c r="BG60" s="219"/>
      <c r="BH60" s="219"/>
      <c r="BI60" s="219"/>
      <c r="BJ60" s="219"/>
      <c r="BK60" s="219"/>
      <c r="BL60" s="219"/>
      <c r="BM60" s="219"/>
      <c r="BN60" s="219"/>
      <c r="BO60" s="219"/>
      <c r="BP60" s="219"/>
      <c r="BQ60" s="219"/>
      <c r="BR60" s="219"/>
      <c r="BS60" s="219"/>
      <c r="BT60" s="287">
        <v>0</v>
      </c>
      <c r="BU60" s="287">
        <v>0</v>
      </c>
      <c r="BV60" s="241">
        <v>0.3</v>
      </c>
      <c r="BW60" s="287">
        <v>0.3</v>
      </c>
      <c r="BX60" s="287">
        <v>0.5</v>
      </c>
      <c r="BY60" s="287">
        <v>0.8</v>
      </c>
      <c r="BZ60" s="287">
        <v>0.2</v>
      </c>
      <c r="CA60" s="1341">
        <v>1</v>
      </c>
      <c r="CB60" s="1356"/>
      <c r="CC60" s="1356"/>
      <c r="CD60" s="1356"/>
      <c r="CE60" s="1356"/>
      <c r="CF60" s="1356"/>
      <c r="CG60" s="1356"/>
      <c r="CH60" s="1356"/>
      <c r="CI60" s="1356"/>
      <c r="CJ60" s="1356"/>
      <c r="CK60" s="1356"/>
    </row>
    <row r="61" spans="1:89" s="1357" customFormat="1" ht="48" hidden="1">
      <c r="A61" s="196"/>
      <c r="B61" s="269"/>
      <c r="C61" s="235">
        <v>61</v>
      </c>
      <c r="D61" s="541">
        <v>440</v>
      </c>
      <c r="E61" s="236" t="s">
        <v>1336</v>
      </c>
      <c r="F61" s="232" t="s">
        <v>1376</v>
      </c>
      <c r="G61" s="236" t="s">
        <v>1465</v>
      </c>
      <c r="H61" s="236" t="s">
        <v>1470</v>
      </c>
      <c r="I61" s="236" t="s">
        <v>1398</v>
      </c>
      <c r="J61" s="236" t="s">
        <v>2165</v>
      </c>
      <c r="K61" s="236" t="s">
        <v>2164</v>
      </c>
      <c r="L61" s="237" t="s">
        <v>1369</v>
      </c>
      <c r="M61" s="237">
        <v>640</v>
      </c>
      <c r="N61" s="237">
        <v>2011</v>
      </c>
      <c r="O61" s="246">
        <v>538</v>
      </c>
      <c r="P61" s="1187">
        <v>233</v>
      </c>
      <c r="Q61" s="1188">
        <v>233</v>
      </c>
      <c r="R61" s="1188">
        <v>233</v>
      </c>
      <c r="S61" s="1188"/>
      <c r="T61" s="1194" t="s">
        <v>1701</v>
      </c>
      <c r="U61" s="1212" t="s">
        <v>1352</v>
      </c>
      <c r="V61" s="1195" t="s">
        <v>1702</v>
      </c>
      <c r="W61" s="1196"/>
      <c r="X61" s="1186" t="s">
        <v>1703</v>
      </c>
      <c r="Y61" s="1264"/>
      <c r="Z61" s="1280"/>
      <c r="AA61" s="1280"/>
      <c r="AB61" s="1281"/>
      <c r="AC61" s="1282"/>
      <c r="AD61" s="1283"/>
      <c r="AE61" s="1281"/>
      <c r="AF61" s="1280"/>
      <c r="AG61" s="1280"/>
      <c r="AH61" s="1280"/>
      <c r="AI61" s="1280"/>
      <c r="AJ61" s="1280"/>
      <c r="AK61" s="1280"/>
      <c r="AL61" s="1280"/>
      <c r="AM61" s="1280"/>
      <c r="AN61" s="1280"/>
      <c r="AO61" s="1280"/>
      <c r="AP61" s="1280"/>
      <c r="AQ61" s="1280"/>
      <c r="AR61" s="1280"/>
      <c r="AS61" s="1280"/>
      <c r="AT61" s="1284"/>
      <c r="AU61" s="1285"/>
      <c r="AV61" s="1286"/>
      <c r="AW61" s="1286"/>
      <c r="AX61" s="1286"/>
      <c r="AY61" s="1286"/>
      <c r="AZ61" s="1287"/>
      <c r="BA61" s="1287"/>
      <c r="BB61" s="1276">
        <v>443</v>
      </c>
      <c r="BC61" s="233">
        <v>444</v>
      </c>
      <c r="BD61" s="233">
        <v>445</v>
      </c>
      <c r="BE61" s="233">
        <v>446</v>
      </c>
      <c r="BF61" s="219"/>
      <c r="BG61" s="219"/>
      <c r="BH61" s="219"/>
      <c r="BI61" s="219"/>
      <c r="BJ61" s="219"/>
      <c r="BK61" s="219"/>
      <c r="BL61" s="219"/>
      <c r="BM61" s="219"/>
      <c r="BN61" s="219"/>
      <c r="BO61" s="219"/>
      <c r="BP61" s="219"/>
      <c r="BQ61" s="219"/>
      <c r="BR61" s="219"/>
      <c r="BS61" s="219"/>
      <c r="BT61" s="288">
        <v>7</v>
      </c>
      <c r="BU61" s="288">
        <v>233</v>
      </c>
      <c r="BV61" s="241">
        <v>8</v>
      </c>
      <c r="BW61" s="287">
        <v>225</v>
      </c>
      <c r="BX61" s="288">
        <v>10</v>
      </c>
      <c r="BY61" s="287">
        <v>215</v>
      </c>
      <c r="BZ61" s="288">
        <v>13</v>
      </c>
      <c r="CA61" s="1341">
        <v>202</v>
      </c>
      <c r="CB61" s="1356"/>
      <c r="CC61" s="1356"/>
      <c r="CD61" s="1356"/>
      <c r="CE61" s="1356"/>
      <c r="CF61" s="1356"/>
      <c r="CG61" s="1356"/>
      <c r="CH61" s="1356"/>
      <c r="CI61" s="1356"/>
      <c r="CJ61" s="1356"/>
      <c r="CK61" s="1356"/>
    </row>
    <row r="62" spans="1:89" s="1357" customFormat="1" ht="36" hidden="1">
      <c r="A62" s="196"/>
      <c r="B62" s="269"/>
      <c r="C62" s="235">
        <v>63</v>
      </c>
      <c r="D62" s="541">
        <v>442</v>
      </c>
      <c r="E62" s="236" t="s">
        <v>1336</v>
      </c>
      <c r="F62" s="232" t="s">
        <v>1376</v>
      </c>
      <c r="G62" s="236" t="s">
        <v>1465</v>
      </c>
      <c r="H62" s="236" t="s">
        <v>1464</v>
      </c>
      <c r="I62" s="236" t="s">
        <v>1398</v>
      </c>
      <c r="J62" s="236" t="s">
        <v>2166</v>
      </c>
      <c r="K62" s="236" t="s">
        <v>1463</v>
      </c>
      <c r="L62" s="237" t="s">
        <v>85</v>
      </c>
      <c r="M62" s="237">
        <v>0</v>
      </c>
      <c r="N62" s="237">
        <v>2011</v>
      </c>
      <c r="O62" s="246">
        <v>10000</v>
      </c>
      <c r="P62" s="1187">
        <v>11012</v>
      </c>
      <c r="Q62" s="1188">
        <v>12315</v>
      </c>
      <c r="R62" s="1188">
        <v>29248</v>
      </c>
      <c r="S62" s="1188"/>
      <c r="T62" s="1194" t="s">
        <v>1704</v>
      </c>
      <c r="U62" s="1212" t="s">
        <v>1354</v>
      </c>
      <c r="V62" s="1195" t="s">
        <v>1702</v>
      </c>
      <c r="W62" s="1196"/>
      <c r="X62" s="1186"/>
      <c r="Y62" s="1264"/>
      <c r="Z62" s="1280"/>
      <c r="AA62" s="1280"/>
      <c r="AB62" s="1281"/>
      <c r="AC62" s="1282"/>
      <c r="AD62" s="1283"/>
      <c r="AE62" s="1281"/>
      <c r="AF62" s="1280"/>
      <c r="AG62" s="1280"/>
      <c r="AH62" s="1280"/>
      <c r="AI62" s="1280"/>
      <c r="AJ62" s="1280"/>
      <c r="AK62" s="1280"/>
      <c r="AL62" s="1280"/>
      <c r="AM62" s="1280"/>
      <c r="AN62" s="1280"/>
      <c r="AO62" s="1280"/>
      <c r="AP62" s="1280"/>
      <c r="AQ62" s="1280"/>
      <c r="AR62" s="1280"/>
      <c r="AS62" s="1280"/>
      <c r="AT62" s="1284"/>
      <c r="AU62" s="1285"/>
      <c r="AV62" s="1286"/>
      <c r="AW62" s="1286"/>
      <c r="AX62" s="1286"/>
      <c r="AY62" s="1286"/>
      <c r="AZ62" s="1287"/>
      <c r="BA62" s="1287"/>
      <c r="BB62" s="1276">
        <v>447</v>
      </c>
      <c r="BC62" s="219"/>
      <c r="BD62" s="219"/>
      <c r="BE62" s="219"/>
      <c r="BF62" s="219"/>
      <c r="BG62" s="219"/>
      <c r="BH62" s="219"/>
      <c r="BI62" s="219"/>
      <c r="BJ62" s="219"/>
      <c r="BK62" s="219"/>
      <c r="BL62" s="219"/>
      <c r="BM62" s="219"/>
      <c r="BN62" s="219"/>
      <c r="BO62" s="219"/>
      <c r="BP62" s="219"/>
      <c r="BQ62" s="219"/>
      <c r="BR62" s="219"/>
      <c r="BS62" s="219"/>
      <c r="BT62" s="288">
        <v>1500</v>
      </c>
      <c r="BU62" s="288">
        <v>1500</v>
      </c>
      <c r="BV62" s="292">
        <v>5000</v>
      </c>
      <c r="BW62" s="272">
        <v>6500</v>
      </c>
      <c r="BX62" s="288">
        <v>2000</v>
      </c>
      <c r="BY62" s="288">
        <v>8500</v>
      </c>
      <c r="BZ62" s="288">
        <v>1500</v>
      </c>
      <c r="CA62" s="1352">
        <v>10000</v>
      </c>
      <c r="CB62" s="1356"/>
      <c r="CC62" s="1356"/>
      <c r="CD62" s="1356"/>
      <c r="CE62" s="1356"/>
      <c r="CF62" s="1356"/>
      <c r="CG62" s="1356"/>
      <c r="CH62" s="1356"/>
      <c r="CI62" s="1356"/>
      <c r="CJ62" s="1356"/>
      <c r="CK62" s="1356"/>
    </row>
    <row r="63" spans="1:89" s="1357" customFormat="1" ht="48" hidden="1">
      <c r="A63" s="196"/>
      <c r="B63" s="269"/>
      <c r="C63" s="231">
        <v>62</v>
      </c>
      <c r="D63" s="541">
        <v>441</v>
      </c>
      <c r="E63" s="236" t="s">
        <v>1469</v>
      </c>
      <c r="F63" s="232" t="s">
        <v>1376</v>
      </c>
      <c r="G63" s="236" t="s">
        <v>1465</v>
      </c>
      <c r="H63" s="236" t="s">
        <v>1468</v>
      </c>
      <c r="I63" s="236" t="s">
        <v>1398</v>
      </c>
      <c r="J63" s="236" t="s">
        <v>1467</v>
      </c>
      <c r="K63" s="236" t="s">
        <v>1466</v>
      </c>
      <c r="L63" s="237" t="s">
        <v>1369</v>
      </c>
      <c r="M63" s="237">
        <v>9979</v>
      </c>
      <c r="N63" s="237">
        <v>2011</v>
      </c>
      <c r="O63" s="246">
        <v>9779</v>
      </c>
      <c r="P63" s="1187">
        <v>9979</v>
      </c>
      <c r="Q63" s="1188">
        <v>9905</v>
      </c>
      <c r="R63" s="1188">
        <v>9782</v>
      </c>
      <c r="S63" s="1188"/>
      <c r="T63" s="1194" t="s">
        <v>1704</v>
      </c>
      <c r="U63" s="1212" t="s">
        <v>1354</v>
      </c>
      <c r="V63" s="1195" t="s">
        <v>1702</v>
      </c>
      <c r="W63" s="1196"/>
      <c r="X63" s="1186"/>
      <c r="Y63" s="1264"/>
      <c r="Z63" s="1280"/>
      <c r="AA63" s="1280"/>
      <c r="AB63" s="1281"/>
      <c r="AC63" s="1282"/>
      <c r="AD63" s="1283"/>
      <c r="AE63" s="1281"/>
      <c r="AF63" s="1280"/>
      <c r="AG63" s="1280"/>
      <c r="AH63" s="1280"/>
      <c r="AI63" s="1280"/>
      <c r="AJ63" s="1280"/>
      <c r="AK63" s="1280"/>
      <c r="AL63" s="1280"/>
      <c r="AM63" s="1280"/>
      <c r="AN63" s="1280"/>
      <c r="AO63" s="1280"/>
      <c r="AP63" s="1280"/>
      <c r="AQ63" s="1280"/>
      <c r="AR63" s="1280"/>
      <c r="AS63" s="1280"/>
      <c r="AT63" s="1284"/>
      <c r="AU63" s="1285"/>
      <c r="AV63" s="1286"/>
      <c r="AW63" s="1286"/>
      <c r="AX63" s="1286"/>
      <c r="AY63" s="1286"/>
      <c r="AZ63" s="1287"/>
      <c r="BA63" s="1287"/>
      <c r="BB63" s="1276">
        <v>448</v>
      </c>
      <c r="BC63" s="219"/>
      <c r="BD63" s="219"/>
      <c r="BE63" s="219"/>
      <c r="BF63" s="219"/>
      <c r="BG63" s="219"/>
      <c r="BH63" s="219"/>
      <c r="BI63" s="219"/>
      <c r="BJ63" s="219"/>
      <c r="BK63" s="219"/>
      <c r="BL63" s="219"/>
      <c r="BM63" s="219"/>
      <c r="BN63" s="219"/>
      <c r="BO63" s="219"/>
      <c r="BP63" s="219"/>
      <c r="BQ63" s="219"/>
      <c r="BR63" s="219"/>
      <c r="BS63" s="219"/>
      <c r="BT63" s="288">
        <v>50</v>
      </c>
      <c r="BU63" s="288">
        <v>9929</v>
      </c>
      <c r="BV63" s="241">
        <v>50</v>
      </c>
      <c r="BW63" s="289">
        <v>9879</v>
      </c>
      <c r="BX63" s="290">
        <v>50</v>
      </c>
      <c r="BY63" s="291">
        <v>9829</v>
      </c>
      <c r="BZ63" s="290">
        <v>50</v>
      </c>
      <c r="CA63" s="1353">
        <v>9779</v>
      </c>
      <c r="CB63" s="1356"/>
      <c r="CC63" s="1356"/>
      <c r="CD63" s="1356"/>
      <c r="CE63" s="1356"/>
      <c r="CF63" s="1356"/>
      <c r="CG63" s="1356"/>
      <c r="CH63" s="1356"/>
      <c r="CI63" s="1356"/>
      <c r="CJ63" s="1356"/>
      <c r="CK63" s="1356"/>
    </row>
    <row r="64" spans="1:89" s="1357" customFormat="1" ht="48" hidden="1">
      <c r="A64" s="196"/>
      <c r="B64" s="269"/>
      <c r="C64" s="235">
        <v>3</v>
      </c>
      <c r="D64" s="541">
        <v>2</v>
      </c>
      <c r="E64" s="236" t="s">
        <v>1335</v>
      </c>
      <c r="F64" s="232" t="s">
        <v>4</v>
      </c>
      <c r="G64" s="236" t="s">
        <v>1608</v>
      </c>
      <c r="H64" s="236" t="s">
        <v>1624</v>
      </c>
      <c r="I64" s="236" t="s">
        <v>1398</v>
      </c>
      <c r="J64" s="236" t="s">
        <v>1623</v>
      </c>
      <c r="K64" s="236" t="s">
        <v>1501</v>
      </c>
      <c r="L64" s="237" t="s">
        <v>1369</v>
      </c>
      <c r="M64" s="237">
        <v>16</v>
      </c>
      <c r="N64" s="237">
        <v>2011</v>
      </c>
      <c r="O64" s="237">
        <v>12</v>
      </c>
      <c r="P64" s="1178">
        <v>9</v>
      </c>
      <c r="Q64" s="1178">
        <v>9</v>
      </c>
      <c r="R64" s="1178">
        <v>10</v>
      </c>
      <c r="S64" s="1178">
        <v>6</v>
      </c>
      <c r="T64" s="1180" t="s">
        <v>1622</v>
      </c>
      <c r="U64" s="1183" t="s">
        <v>1353</v>
      </c>
      <c r="V64" s="1183" t="s">
        <v>1691</v>
      </c>
      <c r="W64" s="1184" t="s">
        <v>2239</v>
      </c>
      <c r="X64" s="1185" t="s">
        <v>1544</v>
      </c>
      <c r="Y64" s="1264" t="s">
        <v>2240</v>
      </c>
      <c r="Z64" s="1280">
        <v>86</v>
      </c>
      <c r="AA64" s="1280">
        <v>238</v>
      </c>
      <c r="AB64" s="1281">
        <v>9</v>
      </c>
      <c r="AC64" s="1282"/>
      <c r="AD64" s="1283"/>
      <c r="AE64" s="1281"/>
      <c r="AF64" s="1280"/>
      <c r="AG64" s="1280"/>
      <c r="AH64" s="1280"/>
      <c r="AI64" s="1280"/>
      <c r="AJ64" s="1280">
        <v>95</v>
      </c>
      <c r="AK64" s="1280"/>
      <c r="AL64" s="1280"/>
      <c r="AM64" s="1280"/>
      <c r="AN64" s="1280">
        <v>50</v>
      </c>
      <c r="AO64" s="1280"/>
      <c r="AP64" s="1280"/>
      <c r="AQ64" s="1280"/>
      <c r="AR64" s="1280">
        <v>60</v>
      </c>
      <c r="AS64" s="1280"/>
      <c r="AT64" s="1284"/>
      <c r="AU64" s="1285"/>
      <c r="AV64" s="1286">
        <v>70</v>
      </c>
      <c r="AW64" s="1286"/>
      <c r="AX64" s="1286"/>
      <c r="AY64" s="1286"/>
      <c r="AZ64" s="1287">
        <v>90</v>
      </c>
      <c r="BA64" s="1287"/>
      <c r="BB64" s="1276">
        <v>462</v>
      </c>
      <c r="BC64" s="233">
        <v>463</v>
      </c>
      <c r="BD64" s="233">
        <v>464</v>
      </c>
      <c r="BE64" s="233">
        <v>465</v>
      </c>
      <c r="BF64" s="219"/>
      <c r="BG64" s="219"/>
      <c r="BH64" s="219"/>
      <c r="BI64" s="219"/>
      <c r="BJ64" s="219"/>
      <c r="BK64" s="219"/>
      <c r="BL64" s="219"/>
      <c r="BM64" s="219"/>
      <c r="BN64" s="219"/>
      <c r="BO64" s="219"/>
      <c r="BP64" s="219"/>
      <c r="BQ64" s="219"/>
      <c r="BR64" s="219"/>
      <c r="BS64" s="219"/>
      <c r="BT64" s="272">
        <v>0</v>
      </c>
      <c r="BU64" s="272">
        <v>0</v>
      </c>
      <c r="BV64" s="272">
        <v>0</v>
      </c>
      <c r="BW64" s="272">
        <v>0</v>
      </c>
      <c r="BX64" s="272">
        <v>0</v>
      </c>
      <c r="BY64" s="272">
        <v>0</v>
      </c>
      <c r="BZ64" s="272">
        <v>4</v>
      </c>
      <c r="CA64" s="1339">
        <v>12</v>
      </c>
      <c r="CB64" s="1356"/>
      <c r="CC64" s="1356"/>
      <c r="CD64" s="1356"/>
      <c r="CE64" s="1356"/>
      <c r="CF64" s="1356"/>
      <c r="CG64" s="1356"/>
      <c r="CH64" s="1356"/>
      <c r="CI64" s="1356"/>
      <c r="CJ64" s="1356"/>
      <c r="CK64" s="1356"/>
    </row>
    <row r="65" spans="1:89" s="1357" customFormat="1" ht="48" hidden="1">
      <c r="A65" s="196"/>
      <c r="B65" s="269"/>
      <c r="C65" s="235">
        <v>13</v>
      </c>
      <c r="D65" s="541">
        <v>34</v>
      </c>
      <c r="E65" s="236" t="s">
        <v>1335</v>
      </c>
      <c r="F65" s="232" t="s">
        <v>4</v>
      </c>
      <c r="G65" s="236" t="s">
        <v>1594</v>
      </c>
      <c r="H65" s="236" t="s">
        <v>138</v>
      </c>
      <c r="I65" s="236" t="s">
        <v>1398</v>
      </c>
      <c r="J65" s="236" t="s">
        <v>1605</v>
      </c>
      <c r="K65" s="236" t="s">
        <v>1545</v>
      </c>
      <c r="L65" s="237" t="s">
        <v>1369</v>
      </c>
      <c r="M65" s="237">
        <v>14</v>
      </c>
      <c r="N65" s="237">
        <v>2011</v>
      </c>
      <c r="O65" s="243">
        <v>11</v>
      </c>
      <c r="P65" s="1178">
        <v>10</v>
      </c>
      <c r="Q65" s="1178">
        <v>6</v>
      </c>
      <c r="R65" s="1178">
        <v>8</v>
      </c>
      <c r="S65" s="1178">
        <v>5</v>
      </c>
      <c r="T65" s="1180" t="s">
        <v>1622</v>
      </c>
      <c r="U65" s="1183" t="s">
        <v>1353</v>
      </c>
      <c r="V65" s="1183" t="s">
        <v>1691</v>
      </c>
      <c r="W65" s="1184" t="s">
        <v>2239</v>
      </c>
      <c r="X65" s="1185" t="s">
        <v>1544</v>
      </c>
      <c r="Y65" s="1264" t="s">
        <v>2240</v>
      </c>
      <c r="Z65" s="1280">
        <v>84</v>
      </c>
      <c r="AA65" s="1280">
        <v>81</v>
      </c>
      <c r="AB65" s="1281">
        <v>5</v>
      </c>
      <c r="AC65" s="1282"/>
      <c r="AD65" s="1283"/>
      <c r="AE65" s="1281"/>
      <c r="AF65" s="1280"/>
      <c r="AG65" s="1280"/>
      <c r="AH65" s="1280"/>
      <c r="AI65" s="1280"/>
      <c r="AJ65" s="1280"/>
      <c r="AK65" s="1280"/>
      <c r="AL65" s="1280"/>
      <c r="AM65" s="1280"/>
      <c r="AN65" s="1280"/>
      <c r="AO65" s="1280"/>
      <c r="AP65" s="1280"/>
      <c r="AQ65" s="1280"/>
      <c r="AR65" s="1280"/>
      <c r="AS65" s="1280"/>
      <c r="AT65" s="1284"/>
      <c r="AU65" s="1285"/>
      <c r="AV65" s="1286"/>
      <c r="AW65" s="1286"/>
      <c r="AX65" s="1286"/>
      <c r="AY65" s="1286"/>
      <c r="AZ65" s="1287"/>
      <c r="BA65" s="1287"/>
      <c r="BB65" s="1276">
        <v>462</v>
      </c>
      <c r="BC65" s="233">
        <v>463</v>
      </c>
      <c r="BD65" s="233">
        <v>464</v>
      </c>
      <c r="BE65" s="233">
        <v>465</v>
      </c>
      <c r="BF65" s="219"/>
      <c r="BG65" s="219"/>
      <c r="BH65" s="219"/>
      <c r="BI65" s="219"/>
      <c r="BJ65" s="219"/>
      <c r="BK65" s="219"/>
      <c r="BL65" s="219"/>
      <c r="BM65" s="219"/>
      <c r="BN65" s="219"/>
      <c r="BO65" s="219"/>
      <c r="BP65" s="219"/>
      <c r="BQ65" s="219"/>
      <c r="BR65" s="219"/>
      <c r="BS65" s="219"/>
      <c r="BT65" s="272">
        <v>0</v>
      </c>
      <c r="BU65" s="272">
        <v>0</v>
      </c>
      <c r="BV65" s="272">
        <v>0</v>
      </c>
      <c r="BW65" s="272">
        <v>0</v>
      </c>
      <c r="BX65" s="272">
        <v>0</v>
      </c>
      <c r="BY65" s="272">
        <v>0</v>
      </c>
      <c r="BZ65" s="272">
        <v>3</v>
      </c>
      <c r="CA65" s="1339">
        <v>11</v>
      </c>
      <c r="CB65" s="1356"/>
      <c r="CC65" s="1356"/>
      <c r="CD65" s="1356"/>
      <c r="CE65" s="1356"/>
      <c r="CF65" s="1356"/>
      <c r="CG65" s="1356"/>
      <c r="CH65" s="1356"/>
      <c r="CI65" s="1356"/>
      <c r="CJ65" s="1356"/>
      <c r="CK65" s="1356"/>
    </row>
    <row r="66" spans="1:89" s="1357" customFormat="1" ht="48" hidden="1">
      <c r="A66" s="196"/>
      <c r="B66" s="269"/>
      <c r="C66" s="235">
        <v>21</v>
      </c>
      <c r="D66" s="541">
        <v>73</v>
      </c>
      <c r="E66" s="236" t="s">
        <v>1335</v>
      </c>
      <c r="F66" s="232" t="s">
        <v>4</v>
      </c>
      <c r="G66" s="236" t="s">
        <v>1575</v>
      </c>
      <c r="H66" s="236" t="s">
        <v>132</v>
      </c>
      <c r="I66" s="236" t="s">
        <v>1398</v>
      </c>
      <c r="J66" s="236" t="s">
        <v>1590</v>
      </c>
      <c r="K66" s="236" t="s">
        <v>1545</v>
      </c>
      <c r="L66" s="237" t="s">
        <v>1369</v>
      </c>
      <c r="M66" s="237">
        <v>17</v>
      </c>
      <c r="N66" s="237">
        <v>2011</v>
      </c>
      <c r="O66" s="243">
        <v>13</v>
      </c>
      <c r="P66" s="1178">
        <v>29</v>
      </c>
      <c r="Q66" s="1178">
        <v>24</v>
      </c>
      <c r="R66" s="1178">
        <v>17</v>
      </c>
      <c r="S66" s="1178">
        <v>6</v>
      </c>
      <c r="T66" s="1180" t="s">
        <v>1622</v>
      </c>
      <c r="U66" s="1183" t="s">
        <v>1353</v>
      </c>
      <c r="V66" s="1183" t="s">
        <v>1691</v>
      </c>
      <c r="W66" s="1184" t="s">
        <v>2239</v>
      </c>
      <c r="X66" s="1185" t="s">
        <v>1544</v>
      </c>
      <c r="Y66" s="1264" t="s">
        <v>2240</v>
      </c>
      <c r="Z66" s="1280">
        <v>366</v>
      </c>
      <c r="AA66" s="1280">
        <v>171</v>
      </c>
      <c r="AB66" s="1281">
        <v>13</v>
      </c>
      <c r="AC66" s="1282"/>
      <c r="AD66" s="1283"/>
      <c r="AE66" s="1281"/>
      <c r="AF66" s="1280"/>
      <c r="AG66" s="1280"/>
      <c r="AH66" s="1280"/>
      <c r="AI66" s="1280"/>
      <c r="AJ66" s="1280"/>
      <c r="AK66" s="1280"/>
      <c r="AL66" s="1280"/>
      <c r="AM66" s="1280"/>
      <c r="AN66" s="1280"/>
      <c r="AO66" s="1280"/>
      <c r="AP66" s="1280"/>
      <c r="AQ66" s="1280"/>
      <c r="AR66" s="1280"/>
      <c r="AS66" s="1280"/>
      <c r="AT66" s="1284"/>
      <c r="AU66" s="1285"/>
      <c r="AV66" s="1286"/>
      <c r="AW66" s="1286"/>
      <c r="AX66" s="1286"/>
      <c r="AY66" s="1286"/>
      <c r="AZ66" s="1287"/>
      <c r="BA66" s="1287"/>
      <c r="BB66" s="1276">
        <v>83</v>
      </c>
      <c r="BC66" s="219"/>
      <c r="BD66" s="219"/>
      <c r="BE66" s="219"/>
      <c r="BF66" s="219"/>
      <c r="BG66" s="219"/>
      <c r="BH66" s="219"/>
      <c r="BI66" s="219"/>
      <c r="BJ66" s="219"/>
      <c r="BK66" s="219"/>
      <c r="BL66" s="219"/>
      <c r="BM66" s="219"/>
      <c r="BN66" s="219"/>
      <c r="BO66" s="219"/>
      <c r="BP66" s="219"/>
      <c r="BQ66" s="219"/>
      <c r="BR66" s="219"/>
      <c r="BS66" s="219"/>
      <c r="BT66" s="272">
        <v>0</v>
      </c>
      <c r="BU66" s="272">
        <v>0</v>
      </c>
      <c r="BV66" s="272">
        <v>0</v>
      </c>
      <c r="BW66" s="272">
        <v>0</v>
      </c>
      <c r="BX66" s="272">
        <v>0</v>
      </c>
      <c r="BY66" s="272">
        <v>0</v>
      </c>
      <c r="BZ66" s="272">
        <v>4</v>
      </c>
      <c r="CA66" s="1339">
        <v>13</v>
      </c>
      <c r="CB66" s="1356"/>
      <c r="CC66" s="1356"/>
      <c r="CD66" s="1356"/>
      <c r="CE66" s="1356"/>
      <c r="CF66" s="1356"/>
      <c r="CG66" s="1356"/>
      <c r="CH66" s="1356"/>
      <c r="CI66" s="1356"/>
      <c r="CJ66" s="1356"/>
      <c r="CK66" s="1356"/>
    </row>
    <row r="67" spans="1:89" s="1357" customFormat="1" ht="48" hidden="1">
      <c r="A67" s="196"/>
      <c r="B67" s="269"/>
      <c r="C67" s="235">
        <v>29</v>
      </c>
      <c r="D67" s="541">
        <v>116</v>
      </c>
      <c r="E67" s="236" t="s">
        <v>1335</v>
      </c>
      <c r="F67" s="232" t="s">
        <v>4</v>
      </c>
      <c r="G67" s="236" t="s">
        <v>1560</v>
      </c>
      <c r="H67" s="236" t="s">
        <v>1568</v>
      </c>
      <c r="I67" s="236" t="s">
        <v>1398</v>
      </c>
      <c r="J67" s="236" t="s">
        <v>1567</v>
      </c>
      <c r="K67" s="236" t="s">
        <v>1566</v>
      </c>
      <c r="L67" s="237" t="s">
        <v>1369</v>
      </c>
      <c r="M67" s="237">
        <v>111</v>
      </c>
      <c r="N67" s="237">
        <v>2011</v>
      </c>
      <c r="O67" s="243">
        <v>99</v>
      </c>
      <c r="P67" s="1178">
        <v>133</v>
      </c>
      <c r="Q67" s="1178">
        <v>101</v>
      </c>
      <c r="R67" s="1178">
        <v>131</v>
      </c>
      <c r="S67" s="1178">
        <v>91</v>
      </c>
      <c r="T67" s="1180" t="s">
        <v>1622</v>
      </c>
      <c r="U67" s="1183" t="s">
        <v>1353</v>
      </c>
      <c r="V67" s="1183" t="s">
        <v>1691</v>
      </c>
      <c r="W67" s="1184" t="s">
        <v>2239</v>
      </c>
      <c r="X67" s="1185" t="s">
        <v>1544</v>
      </c>
      <c r="Y67" s="1264" t="s">
        <v>2241</v>
      </c>
      <c r="Z67" s="1280">
        <v>1853</v>
      </c>
      <c r="AA67" s="1280">
        <v>473</v>
      </c>
      <c r="AB67" s="1281">
        <v>111</v>
      </c>
      <c r="AC67" s="1282"/>
      <c r="AD67" s="1283"/>
      <c r="AE67" s="1281"/>
      <c r="AF67" s="1280"/>
      <c r="AG67" s="1280"/>
      <c r="AH67" s="1280"/>
      <c r="AI67" s="1280"/>
      <c r="AJ67" s="1280"/>
      <c r="AK67" s="1280"/>
      <c r="AL67" s="1280"/>
      <c r="AM67" s="1280"/>
      <c r="AN67" s="1280"/>
      <c r="AO67" s="1280"/>
      <c r="AP67" s="1280"/>
      <c r="AQ67" s="1280"/>
      <c r="AR67" s="1280"/>
      <c r="AS67" s="1280"/>
      <c r="AT67" s="1284"/>
      <c r="AU67" s="1285"/>
      <c r="AV67" s="1286"/>
      <c r="AW67" s="1286"/>
      <c r="AX67" s="1286"/>
      <c r="AY67" s="1286"/>
      <c r="AZ67" s="1287"/>
      <c r="BA67" s="1287"/>
      <c r="BB67" s="1276">
        <v>462</v>
      </c>
      <c r="BC67" s="233">
        <v>463</v>
      </c>
      <c r="BD67" s="233">
        <v>464</v>
      </c>
      <c r="BE67" s="233">
        <v>465</v>
      </c>
      <c r="BF67" s="219"/>
      <c r="BG67" s="219"/>
      <c r="BH67" s="219"/>
      <c r="BI67" s="219"/>
      <c r="BJ67" s="219"/>
      <c r="BK67" s="219"/>
      <c r="BL67" s="219"/>
      <c r="BM67" s="219"/>
      <c r="BN67" s="219"/>
      <c r="BO67" s="219"/>
      <c r="BP67" s="219"/>
      <c r="BQ67" s="219"/>
      <c r="BR67" s="219"/>
      <c r="BS67" s="219"/>
      <c r="BT67" s="272">
        <v>0</v>
      </c>
      <c r="BU67" s="272">
        <v>0</v>
      </c>
      <c r="BV67" s="272">
        <v>0</v>
      </c>
      <c r="BW67" s="272">
        <v>0</v>
      </c>
      <c r="BX67" s="272">
        <v>0</v>
      </c>
      <c r="BY67" s="272">
        <v>0</v>
      </c>
      <c r="BZ67" s="272">
        <v>12</v>
      </c>
      <c r="CA67" s="1339">
        <v>99</v>
      </c>
      <c r="CB67" s="1356"/>
      <c r="CC67" s="1356"/>
      <c r="CD67" s="1356"/>
      <c r="CE67" s="1356"/>
      <c r="CF67" s="1356"/>
      <c r="CG67" s="1356"/>
      <c r="CH67" s="1356"/>
      <c r="CI67" s="1356"/>
      <c r="CJ67" s="1356"/>
      <c r="CK67" s="1356"/>
    </row>
    <row r="68" spans="1:89" s="1357" customFormat="1" ht="48" hidden="1">
      <c r="A68" s="196"/>
      <c r="B68" s="269"/>
      <c r="C68" s="231">
        <v>34</v>
      </c>
      <c r="D68" s="541">
        <v>159</v>
      </c>
      <c r="E68" s="236" t="s">
        <v>1335</v>
      </c>
      <c r="F68" s="232" t="s">
        <v>4</v>
      </c>
      <c r="G68" s="236" t="s">
        <v>1552</v>
      </c>
      <c r="H68" s="236" t="s">
        <v>1554</v>
      </c>
      <c r="I68" s="236" t="s">
        <v>1398</v>
      </c>
      <c r="J68" s="236" t="s">
        <v>1553</v>
      </c>
      <c r="K68" s="236" t="s">
        <v>1545</v>
      </c>
      <c r="L68" s="237" t="s">
        <v>1369</v>
      </c>
      <c r="M68" s="237">
        <v>225</v>
      </c>
      <c r="N68" s="237">
        <v>2011</v>
      </c>
      <c r="O68" s="243">
        <v>202</v>
      </c>
      <c r="P68" s="1178">
        <v>235</v>
      </c>
      <c r="Q68" s="1178">
        <v>227</v>
      </c>
      <c r="R68" s="1178">
        <v>224</v>
      </c>
      <c r="S68" s="1178">
        <v>151</v>
      </c>
      <c r="T68" s="1180" t="s">
        <v>1622</v>
      </c>
      <c r="U68" s="1183" t="s">
        <v>1353</v>
      </c>
      <c r="V68" s="1183" t="s">
        <v>1691</v>
      </c>
      <c r="W68" s="1184" t="s">
        <v>2239</v>
      </c>
      <c r="X68" s="1185" t="s">
        <v>1544</v>
      </c>
      <c r="Y68" s="1264" t="s">
        <v>2242</v>
      </c>
      <c r="Z68" s="1280">
        <v>2541</v>
      </c>
      <c r="AA68" s="1280">
        <v>1020</v>
      </c>
      <c r="AB68" s="1281">
        <v>172</v>
      </c>
      <c r="AC68" s="1282"/>
      <c r="AD68" s="1283"/>
      <c r="AE68" s="1281"/>
      <c r="AF68" s="1280"/>
      <c r="AG68" s="1280"/>
      <c r="AH68" s="1280"/>
      <c r="AI68" s="1280"/>
      <c r="AJ68" s="1280"/>
      <c r="AK68" s="1280"/>
      <c r="AL68" s="1280"/>
      <c r="AM68" s="1280"/>
      <c r="AN68" s="1280"/>
      <c r="AO68" s="1280"/>
      <c r="AP68" s="1280"/>
      <c r="AQ68" s="1280"/>
      <c r="AR68" s="1280"/>
      <c r="AS68" s="1280"/>
      <c r="AT68" s="1284"/>
      <c r="AU68" s="1285"/>
      <c r="AV68" s="1286"/>
      <c r="AW68" s="1286"/>
      <c r="AX68" s="1286"/>
      <c r="AY68" s="1286"/>
      <c r="AZ68" s="1287"/>
      <c r="BA68" s="1287"/>
      <c r="BB68" s="1276">
        <v>462</v>
      </c>
      <c r="BC68" s="233">
        <v>463</v>
      </c>
      <c r="BD68" s="233">
        <v>464</v>
      </c>
      <c r="BE68" s="233">
        <v>465</v>
      </c>
      <c r="BF68" s="219"/>
      <c r="BG68" s="219"/>
      <c r="BH68" s="219"/>
      <c r="BI68" s="219"/>
      <c r="BJ68" s="219"/>
      <c r="BK68" s="219"/>
      <c r="BL68" s="219"/>
      <c r="BM68" s="219"/>
      <c r="BN68" s="219"/>
      <c r="BO68" s="219"/>
      <c r="BP68" s="219"/>
      <c r="BQ68" s="219"/>
      <c r="BR68" s="219"/>
      <c r="BS68" s="219"/>
      <c r="BT68" s="272">
        <v>0</v>
      </c>
      <c r="BU68" s="272">
        <v>0</v>
      </c>
      <c r="BV68" s="272">
        <v>0</v>
      </c>
      <c r="BW68" s="272">
        <v>0</v>
      </c>
      <c r="BX68" s="272">
        <v>0</v>
      </c>
      <c r="BY68" s="272">
        <v>0</v>
      </c>
      <c r="BZ68" s="272">
        <v>23</v>
      </c>
      <c r="CA68" s="1339">
        <v>202</v>
      </c>
      <c r="CB68" s="1356"/>
      <c r="CC68" s="1356"/>
      <c r="CD68" s="1356"/>
      <c r="CE68" s="1356"/>
      <c r="CF68" s="1356"/>
      <c r="CG68" s="1356"/>
      <c r="CH68" s="1356"/>
      <c r="CI68" s="1356"/>
      <c r="CJ68" s="1356"/>
      <c r="CK68" s="1356"/>
    </row>
    <row r="69" spans="1:89" s="1357" customFormat="1" ht="48" hidden="1">
      <c r="A69" s="196"/>
      <c r="B69" s="269"/>
      <c r="C69" s="235">
        <v>37</v>
      </c>
      <c r="D69" s="541">
        <v>178</v>
      </c>
      <c r="E69" s="236" t="s">
        <v>1335</v>
      </c>
      <c r="F69" s="232" t="s">
        <v>4</v>
      </c>
      <c r="G69" s="236" t="s">
        <v>1543</v>
      </c>
      <c r="H69" s="236" t="s">
        <v>1547</v>
      </c>
      <c r="I69" s="236" t="s">
        <v>1398</v>
      </c>
      <c r="J69" s="236" t="s">
        <v>1546</v>
      </c>
      <c r="K69" s="236" t="s">
        <v>1545</v>
      </c>
      <c r="L69" s="237" t="s">
        <v>1369</v>
      </c>
      <c r="M69" s="237">
        <v>77</v>
      </c>
      <c r="N69" s="237">
        <v>2011</v>
      </c>
      <c r="O69" s="243">
        <v>69</v>
      </c>
      <c r="P69" s="1178">
        <v>87</v>
      </c>
      <c r="Q69" s="1178">
        <v>86</v>
      </c>
      <c r="R69" s="1178">
        <v>89</v>
      </c>
      <c r="S69" s="1178">
        <v>51</v>
      </c>
      <c r="T69" s="1180" t="s">
        <v>1695</v>
      </c>
      <c r="U69" s="1183" t="s">
        <v>1353</v>
      </c>
      <c r="V69" s="1183" t="s">
        <v>1691</v>
      </c>
      <c r="W69" s="1184" t="s">
        <v>2239</v>
      </c>
      <c r="X69" s="1185" t="s">
        <v>1544</v>
      </c>
      <c r="Y69" s="1264" t="s">
        <v>2243</v>
      </c>
      <c r="Z69" s="1280">
        <v>1218</v>
      </c>
      <c r="AA69" s="1280">
        <v>658</v>
      </c>
      <c r="AB69" s="1281">
        <v>69</v>
      </c>
      <c r="AC69" s="1282"/>
      <c r="AD69" s="1283"/>
      <c r="AE69" s="1281"/>
      <c r="AF69" s="1280"/>
      <c r="AG69" s="1280"/>
      <c r="AH69" s="1280"/>
      <c r="AI69" s="1280"/>
      <c r="AJ69" s="1280"/>
      <c r="AK69" s="1280"/>
      <c r="AL69" s="1280"/>
      <c r="AM69" s="1280"/>
      <c r="AN69" s="1280"/>
      <c r="AO69" s="1280"/>
      <c r="AP69" s="1280"/>
      <c r="AQ69" s="1280"/>
      <c r="AR69" s="1280"/>
      <c r="AS69" s="1280"/>
      <c r="AT69" s="1284"/>
      <c r="AU69" s="1285"/>
      <c r="AV69" s="1286"/>
      <c r="AW69" s="1286"/>
      <c r="AX69" s="1286"/>
      <c r="AY69" s="1286"/>
      <c r="AZ69" s="1287"/>
      <c r="BA69" s="1287"/>
      <c r="BB69" s="1276">
        <v>462</v>
      </c>
      <c r="BC69" s="233">
        <v>463</v>
      </c>
      <c r="BD69" s="233">
        <v>464</v>
      </c>
      <c r="BE69" s="233">
        <v>465</v>
      </c>
      <c r="BF69" s="219"/>
      <c r="BG69" s="219"/>
      <c r="BH69" s="219"/>
      <c r="BI69" s="219"/>
      <c r="BJ69" s="219"/>
      <c r="BK69" s="219"/>
      <c r="BL69" s="219"/>
      <c r="BM69" s="219"/>
      <c r="BN69" s="219"/>
      <c r="BO69" s="219"/>
      <c r="BP69" s="219"/>
      <c r="BQ69" s="219"/>
      <c r="BR69" s="219"/>
      <c r="BS69" s="219"/>
      <c r="BT69" s="272">
        <v>0</v>
      </c>
      <c r="BU69" s="272">
        <v>0</v>
      </c>
      <c r="BV69" s="272">
        <v>0</v>
      </c>
      <c r="BW69" s="272">
        <v>0</v>
      </c>
      <c r="BX69" s="272">
        <v>0</v>
      </c>
      <c r="BY69" s="272">
        <v>0</v>
      </c>
      <c r="BZ69" s="272">
        <v>8</v>
      </c>
      <c r="CA69" s="1339">
        <v>69</v>
      </c>
      <c r="CB69" s="1356"/>
      <c r="CC69" s="1356"/>
      <c r="CD69" s="1356"/>
      <c r="CE69" s="1356"/>
      <c r="CF69" s="1356"/>
      <c r="CG69" s="1356"/>
      <c r="CH69" s="1356"/>
      <c r="CI69" s="1356"/>
      <c r="CJ69" s="1356"/>
      <c r="CK69" s="1356"/>
    </row>
    <row r="70" spans="1:89" s="1357" customFormat="1" ht="80.25" customHeight="1">
      <c r="A70" s="196"/>
      <c r="B70" s="269"/>
      <c r="C70" s="235">
        <v>47</v>
      </c>
      <c r="D70" s="541">
        <v>327</v>
      </c>
      <c r="E70" s="236" t="s">
        <v>1334</v>
      </c>
      <c r="F70" s="232" t="s">
        <v>5</v>
      </c>
      <c r="G70" s="236" t="s">
        <v>1511</v>
      </c>
      <c r="H70" s="236" t="s">
        <v>116</v>
      </c>
      <c r="I70" s="236" t="s">
        <v>1398</v>
      </c>
      <c r="J70" s="236" t="s">
        <v>1510</v>
      </c>
      <c r="K70" s="236" t="s">
        <v>1509</v>
      </c>
      <c r="L70" s="237" t="s">
        <v>85</v>
      </c>
      <c r="M70" s="237">
        <v>0</v>
      </c>
      <c r="N70" s="237">
        <v>2011</v>
      </c>
      <c r="O70" s="237">
        <v>4</v>
      </c>
      <c r="P70" s="1178">
        <v>0</v>
      </c>
      <c r="Q70" s="1193">
        <v>0</v>
      </c>
      <c r="R70" s="1180">
        <v>1</v>
      </c>
      <c r="S70" s="1181"/>
      <c r="T70" s="1180" t="s">
        <v>1719</v>
      </c>
      <c r="U70" s="1182" t="s">
        <v>1352</v>
      </c>
      <c r="V70" s="1183" t="s">
        <v>1720</v>
      </c>
      <c r="W70" s="1184">
        <v>42004</v>
      </c>
      <c r="X70" s="1186"/>
      <c r="Y70" s="1264"/>
      <c r="Z70" s="1280"/>
      <c r="AA70" s="1280"/>
      <c r="AB70" s="1281"/>
      <c r="AC70" s="1282"/>
      <c r="AD70" s="1283"/>
      <c r="AE70" s="1281"/>
      <c r="AF70" s="1280"/>
      <c r="AG70" s="1280"/>
      <c r="AH70" s="1280"/>
      <c r="AI70" s="1280"/>
      <c r="AJ70" s="1280"/>
      <c r="AK70" s="1280"/>
      <c r="AL70" s="1280"/>
      <c r="AM70" s="1280"/>
      <c r="AN70" s="1280"/>
      <c r="AO70" s="1280"/>
      <c r="AP70" s="1280"/>
      <c r="AQ70" s="1280"/>
      <c r="AR70" s="1280"/>
      <c r="AS70" s="1280"/>
      <c r="AT70" s="1284"/>
      <c r="AU70" s="1285"/>
      <c r="AV70" s="1286"/>
      <c r="AW70" s="1286"/>
      <c r="AX70" s="1286"/>
      <c r="AY70" s="1286"/>
      <c r="AZ70" s="1287"/>
      <c r="BA70" s="1287"/>
      <c r="BB70" s="1276">
        <v>498</v>
      </c>
      <c r="BC70" s="233">
        <v>499</v>
      </c>
      <c r="BD70" s="233">
        <v>500</v>
      </c>
      <c r="BE70" s="233">
        <v>328</v>
      </c>
      <c r="BF70" s="233">
        <v>330</v>
      </c>
      <c r="BG70" s="233">
        <v>331</v>
      </c>
      <c r="BH70" s="233">
        <v>332</v>
      </c>
      <c r="BI70" s="233"/>
      <c r="BJ70" s="219"/>
      <c r="BK70" s="219"/>
      <c r="BL70" s="219"/>
      <c r="BM70" s="219"/>
      <c r="BN70" s="219"/>
      <c r="BO70" s="219"/>
      <c r="BP70" s="219"/>
      <c r="BQ70" s="219"/>
      <c r="BR70" s="219"/>
      <c r="BS70" s="219"/>
      <c r="BT70" s="280">
        <v>0</v>
      </c>
      <c r="BU70" s="272">
        <v>0</v>
      </c>
      <c r="BV70" s="272">
        <v>0</v>
      </c>
      <c r="BW70" s="272">
        <v>0</v>
      </c>
      <c r="BX70" s="280">
        <v>0</v>
      </c>
      <c r="BY70" s="272">
        <v>0</v>
      </c>
      <c r="BZ70" s="280">
        <v>4</v>
      </c>
      <c r="CA70" s="1339">
        <v>4</v>
      </c>
      <c r="CB70" s="1356"/>
      <c r="CC70" s="1356"/>
      <c r="CD70" s="1356"/>
      <c r="CE70" s="1356"/>
      <c r="CF70" s="1356"/>
      <c r="CG70" s="1356"/>
      <c r="CH70" s="1356"/>
      <c r="CI70" s="1356"/>
      <c r="CJ70" s="1356"/>
      <c r="CK70" s="1356"/>
    </row>
    <row r="71" spans="1:89" s="1357" customFormat="1" ht="36">
      <c r="A71" s="196"/>
      <c r="B71" s="269"/>
      <c r="C71" s="235">
        <v>73</v>
      </c>
      <c r="D71" s="541">
        <v>614</v>
      </c>
      <c r="E71" s="236" t="s">
        <v>1334</v>
      </c>
      <c r="F71" s="232" t="s">
        <v>1358</v>
      </c>
      <c r="G71" s="236" t="s">
        <v>1425</v>
      </c>
      <c r="H71" s="236" t="s">
        <v>95</v>
      </c>
      <c r="I71" s="236" t="s">
        <v>1398</v>
      </c>
      <c r="J71" s="236" t="s">
        <v>1427</v>
      </c>
      <c r="K71" s="236" t="s">
        <v>1426</v>
      </c>
      <c r="L71" s="237" t="s">
        <v>85</v>
      </c>
      <c r="M71" s="237">
        <v>2.8</v>
      </c>
      <c r="N71" s="237">
        <v>2011</v>
      </c>
      <c r="O71" s="237">
        <v>3.8</v>
      </c>
      <c r="P71" s="1178">
        <v>0</v>
      </c>
      <c r="Q71" s="1179">
        <v>0</v>
      </c>
      <c r="R71" s="1180"/>
      <c r="S71" s="1181"/>
      <c r="T71" s="1180"/>
      <c r="U71" s="1182"/>
      <c r="V71" s="1183"/>
      <c r="W71" s="1184"/>
      <c r="X71" s="1185"/>
      <c r="Y71" s="1264"/>
      <c r="Z71" s="1280"/>
      <c r="AA71" s="1280"/>
      <c r="AB71" s="1281"/>
      <c r="AC71" s="1282"/>
      <c r="AD71" s="1283"/>
      <c r="AE71" s="1281"/>
      <c r="AF71" s="1280"/>
      <c r="AG71" s="1280"/>
      <c r="AH71" s="1280"/>
      <c r="AI71" s="1280"/>
      <c r="AJ71" s="1280"/>
      <c r="AK71" s="1280"/>
      <c r="AL71" s="1280"/>
      <c r="AM71" s="1280"/>
      <c r="AN71" s="1280"/>
      <c r="AO71" s="1280"/>
      <c r="AP71" s="1280"/>
      <c r="AQ71" s="1280"/>
      <c r="AR71" s="1280"/>
      <c r="AS71" s="1280"/>
      <c r="AT71" s="1284"/>
      <c r="AU71" s="1285"/>
      <c r="AV71" s="1286"/>
      <c r="AW71" s="1286"/>
      <c r="AX71" s="1286"/>
      <c r="AY71" s="1286"/>
      <c r="AZ71" s="1287"/>
      <c r="BA71" s="1287"/>
      <c r="BB71" s="1276">
        <v>538</v>
      </c>
      <c r="BC71" s="233">
        <v>524</v>
      </c>
      <c r="BD71" s="233">
        <v>525</v>
      </c>
      <c r="BE71" s="233">
        <v>536</v>
      </c>
      <c r="BF71" s="233">
        <v>539</v>
      </c>
      <c r="BG71" s="233">
        <v>542</v>
      </c>
      <c r="BH71" s="219"/>
      <c r="BI71" s="219"/>
      <c r="BJ71" s="219"/>
      <c r="BK71" s="219"/>
      <c r="BL71" s="219"/>
      <c r="BM71" s="219"/>
      <c r="BN71" s="219"/>
      <c r="BO71" s="219"/>
      <c r="BP71" s="219"/>
      <c r="BQ71" s="219"/>
      <c r="BR71" s="219"/>
      <c r="BS71" s="219"/>
      <c r="BT71" s="241">
        <v>0</v>
      </c>
      <c r="BU71" s="241">
        <v>0</v>
      </c>
      <c r="BV71" s="241">
        <v>0.3</v>
      </c>
      <c r="BW71" s="241">
        <v>0.3</v>
      </c>
      <c r="BX71" s="241">
        <v>0.3</v>
      </c>
      <c r="BY71" s="241">
        <v>0.6</v>
      </c>
      <c r="BZ71" s="241">
        <v>0.4</v>
      </c>
      <c r="CA71" s="1337">
        <v>1</v>
      </c>
      <c r="CB71" s="1356"/>
      <c r="CC71" s="1356"/>
      <c r="CD71" s="1356"/>
      <c r="CE71" s="1356"/>
      <c r="CF71" s="1356"/>
      <c r="CG71" s="1356"/>
      <c r="CH71" s="1356"/>
      <c r="CI71" s="1356"/>
      <c r="CJ71" s="1356"/>
      <c r="CK71" s="1356"/>
    </row>
    <row r="72" spans="1:89" s="1357" customFormat="1" ht="60" hidden="1" customHeight="1">
      <c r="A72" s="196"/>
      <c r="B72" s="269"/>
      <c r="C72" s="231">
        <v>74</v>
      </c>
      <c r="D72" s="541">
        <v>615</v>
      </c>
      <c r="E72" s="236" t="s">
        <v>3098</v>
      </c>
      <c r="F72" s="232" t="s">
        <v>1358</v>
      </c>
      <c r="G72" s="236" t="s">
        <v>1425</v>
      </c>
      <c r="H72" s="236" t="s">
        <v>94</v>
      </c>
      <c r="I72" s="236" t="s">
        <v>1398</v>
      </c>
      <c r="J72" s="236" t="s">
        <v>1424</v>
      </c>
      <c r="K72" s="236" t="s">
        <v>1423</v>
      </c>
      <c r="L72" s="237" t="s">
        <v>1369</v>
      </c>
      <c r="M72" s="237">
        <v>8</v>
      </c>
      <c r="N72" s="237">
        <v>2011</v>
      </c>
      <c r="O72" s="237">
        <v>7</v>
      </c>
      <c r="P72" s="1178">
        <v>5</v>
      </c>
      <c r="Q72" s="1193">
        <v>5</v>
      </c>
      <c r="R72" s="1180">
        <v>5</v>
      </c>
      <c r="S72" s="1181"/>
      <c r="T72" s="1221" t="s">
        <v>1422</v>
      </c>
      <c r="U72" s="1182"/>
      <c r="V72" s="1183"/>
      <c r="W72" s="1184"/>
      <c r="X72" s="1185"/>
      <c r="Y72" s="1264"/>
      <c r="Z72" s="1280"/>
      <c r="AA72" s="1280"/>
      <c r="AB72" s="1281"/>
      <c r="AC72" s="1282"/>
      <c r="AD72" s="1283"/>
      <c r="AE72" s="1281"/>
      <c r="AF72" s="1280"/>
      <c r="AG72" s="1280"/>
      <c r="AH72" s="1280"/>
      <c r="AI72" s="1280"/>
      <c r="AJ72" s="1280"/>
      <c r="AK72" s="1280"/>
      <c r="AL72" s="1280"/>
      <c r="AM72" s="1280"/>
      <c r="AN72" s="1280"/>
      <c r="AO72" s="1280"/>
      <c r="AP72" s="1280"/>
      <c r="AQ72" s="1280"/>
      <c r="AR72" s="1280"/>
      <c r="AS72" s="1280"/>
      <c r="AT72" s="1284"/>
      <c r="AU72" s="1285"/>
      <c r="AV72" s="1286"/>
      <c r="AW72" s="1286"/>
      <c r="AX72" s="1286"/>
      <c r="AY72" s="1286"/>
      <c r="AZ72" s="1287"/>
      <c r="BA72" s="1287"/>
      <c r="BB72" s="1276">
        <v>518</v>
      </c>
      <c r="BC72" s="233">
        <v>541</v>
      </c>
      <c r="BD72" s="219"/>
      <c r="BE72" s="219"/>
      <c r="BF72" s="219"/>
      <c r="BG72" s="219"/>
      <c r="BH72" s="219"/>
      <c r="BI72" s="219"/>
      <c r="BJ72" s="219"/>
      <c r="BK72" s="219"/>
      <c r="BL72" s="219"/>
      <c r="BM72" s="219"/>
      <c r="BN72" s="219"/>
      <c r="BO72" s="219"/>
      <c r="BP72" s="219"/>
      <c r="BQ72" s="219"/>
      <c r="BR72" s="219"/>
      <c r="BS72" s="219"/>
      <c r="BT72" s="241">
        <v>0</v>
      </c>
      <c r="BU72" s="241">
        <v>0</v>
      </c>
      <c r="BV72" s="241">
        <v>0</v>
      </c>
      <c r="BW72" s="241">
        <v>0</v>
      </c>
      <c r="BX72" s="241">
        <v>0</v>
      </c>
      <c r="BY72" s="241">
        <v>0</v>
      </c>
      <c r="BZ72" s="241">
        <v>1</v>
      </c>
      <c r="CA72" s="1337">
        <v>1</v>
      </c>
      <c r="CB72" s="1356"/>
      <c r="CC72" s="1356"/>
      <c r="CD72" s="1356"/>
      <c r="CE72" s="1356"/>
      <c r="CF72" s="1356"/>
      <c r="CG72" s="1356"/>
      <c r="CH72" s="1356"/>
      <c r="CI72" s="1356"/>
      <c r="CJ72" s="1356"/>
      <c r="CK72" s="1356"/>
    </row>
    <row r="73" spans="1:89" s="1357" customFormat="1" ht="168">
      <c r="A73" s="196"/>
      <c r="B73" s="270"/>
      <c r="C73" s="235">
        <v>75</v>
      </c>
      <c r="D73" s="541">
        <v>616</v>
      </c>
      <c r="E73" s="236" t="s">
        <v>1334</v>
      </c>
      <c r="F73" s="232" t="s">
        <v>1358</v>
      </c>
      <c r="G73" s="236" t="s">
        <v>1417</v>
      </c>
      <c r="H73" s="236" t="s">
        <v>93</v>
      </c>
      <c r="I73" s="236" t="s">
        <v>1398</v>
      </c>
      <c r="J73" s="236" t="s">
        <v>1421</v>
      </c>
      <c r="K73" s="236" t="s">
        <v>1415</v>
      </c>
      <c r="L73" s="237" t="s">
        <v>85</v>
      </c>
      <c r="M73" s="237">
        <v>0</v>
      </c>
      <c r="N73" s="237">
        <v>2011</v>
      </c>
      <c r="O73" s="237">
        <v>22</v>
      </c>
      <c r="P73" s="1178">
        <v>8</v>
      </c>
      <c r="Q73" s="1193">
        <v>17</v>
      </c>
      <c r="R73" s="1180">
        <v>21</v>
      </c>
      <c r="S73" s="1180">
        <v>21</v>
      </c>
      <c r="T73" s="1180" t="s">
        <v>3094</v>
      </c>
      <c r="U73" s="1182" t="s">
        <v>1352</v>
      </c>
      <c r="V73" s="1183" t="s">
        <v>3095</v>
      </c>
      <c r="W73" s="1184">
        <v>42335</v>
      </c>
      <c r="X73" s="1185" t="s">
        <v>3096</v>
      </c>
      <c r="Y73" s="1264" t="s">
        <v>3097</v>
      </c>
      <c r="Z73" s="1280"/>
      <c r="AA73" s="1280"/>
      <c r="AB73" s="1281"/>
      <c r="AC73" s="1282"/>
      <c r="AD73" s="1283"/>
      <c r="AE73" s="1281"/>
      <c r="AF73" s="1280"/>
      <c r="AG73" s="1280"/>
      <c r="AH73" s="1280"/>
      <c r="AI73" s="1280"/>
      <c r="AJ73" s="1280"/>
      <c r="AK73" s="1280"/>
      <c r="AL73" s="1280"/>
      <c r="AM73" s="1280"/>
      <c r="AN73" s="1280"/>
      <c r="AO73" s="1280"/>
      <c r="AP73" s="1280"/>
      <c r="AQ73" s="1280"/>
      <c r="AR73" s="1280"/>
      <c r="AS73" s="1280"/>
      <c r="AT73" s="1284"/>
      <c r="AU73" s="1285"/>
      <c r="AV73" s="1286"/>
      <c r="AW73" s="1286"/>
      <c r="AX73" s="1286"/>
      <c r="AY73" s="1286"/>
      <c r="AZ73" s="1287"/>
      <c r="BA73" s="1287"/>
      <c r="BB73" s="1276">
        <v>543</v>
      </c>
      <c r="BC73" s="233">
        <v>548</v>
      </c>
      <c r="BD73" s="233">
        <v>546</v>
      </c>
      <c r="BE73" s="233">
        <v>547</v>
      </c>
      <c r="BF73" s="233">
        <v>551</v>
      </c>
      <c r="BG73" s="219"/>
      <c r="BH73" s="219"/>
      <c r="BI73" s="219"/>
      <c r="BJ73" s="219"/>
      <c r="BK73" s="219"/>
      <c r="BL73" s="219"/>
      <c r="BM73" s="219"/>
      <c r="BN73" s="219"/>
      <c r="BO73" s="219"/>
      <c r="BP73" s="219"/>
      <c r="BQ73" s="219"/>
      <c r="BR73" s="219"/>
      <c r="BS73" s="219"/>
      <c r="BT73" s="241">
        <v>0</v>
      </c>
      <c r="BU73" s="241">
        <v>0</v>
      </c>
      <c r="BV73" s="241">
        <v>4</v>
      </c>
      <c r="BW73" s="241">
        <v>4</v>
      </c>
      <c r="BX73" s="241">
        <v>9</v>
      </c>
      <c r="BY73" s="241">
        <v>13</v>
      </c>
      <c r="BZ73" s="241">
        <v>9</v>
      </c>
      <c r="CA73" s="1337">
        <v>22</v>
      </c>
      <c r="CB73" s="1356"/>
      <c r="CC73" s="1356"/>
      <c r="CD73" s="1356"/>
      <c r="CE73" s="1356"/>
      <c r="CF73" s="1356"/>
      <c r="CG73" s="1356"/>
      <c r="CH73" s="1356"/>
      <c r="CI73" s="1356"/>
      <c r="CJ73" s="1356"/>
      <c r="CK73" s="1356"/>
    </row>
    <row r="74" spans="1:89" s="1357" customFormat="1" ht="48">
      <c r="A74" s="196"/>
      <c r="B74" s="270"/>
      <c r="C74" s="231">
        <v>76</v>
      </c>
      <c r="D74" s="541">
        <v>617</v>
      </c>
      <c r="E74" s="236" t="s">
        <v>1334</v>
      </c>
      <c r="F74" s="232" t="s">
        <v>1358</v>
      </c>
      <c r="G74" s="236" t="s">
        <v>1417</v>
      </c>
      <c r="H74" s="236" t="s">
        <v>92</v>
      </c>
      <c r="I74" s="236" t="s">
        <v>1398</v>
      </c>
      <c r="J74" s="236" t="s">
        <v>1420</v>
      </c>
      <c r="K74" s="236" t="s">
        <v>1415</v>
      </c>
      <c r="L74" s="237" t="s">
        <v>85</v>
      </c>
      <c r="M74" s="237">
        <v>24</v>
      </c>
      <c r="N74" s="237">
        <v>2011</v>
      </c>
      <c r="O74" s="237">
        <v>92</v>
      </c>
      <c r="P74" s="1178">
        <v>73</v>
      </c>
      <c r="Q74" s="1193">
        <v>116</v>
      </c>
      <c r="R74" s="1180">
        <v>116</v>
      </c>
      <c r="S74" s="1181"/>
      <c r="T74" s="1221" t="s">
        <v>1419</v>
      </c>
      <c r="U74" s="1182" t="s">
        <v>1352</v>
      </c>
      <c r="V74" s="1183" t="s">
        <v>1418</v>
      </c>
      <c r="W74" s="1184">
        <v>42004</v>
      </c>
      <c r="X74" s="1185"/>
      <c r="Y74" s="1264"/>
      <c r="Z74" s="1280"/>
      <c r="AA74" s="1280"/>
      <c r="AB74" s="1281"/>
      <c r="AC74" s="1282"/>
      <c r="AD74" s="1283"/>
      <c r="AE74" s="1281"/>
      <c r="AF74" s="1280"/>
      <c r="AG74" s="1280"/>
      <c r="AH74" s="1280"/>
      <c r="AI74" s="1280"/>
      <c r="AJ74" s="1280"/>
      <c r="AK74" s="1280"/>
      <c r="AL74" s="1280"/>
      <c r="AM74" s="1280"/>
      <c r="AN74" s="1280"/>
      <c r="AO74" s="1280"/>
      <c r="AP74" s="1280"/>
      <c r="AQ74" s="1280"/>
      <c r="AR74" s="1280"/>
      <c r="AS74" s="1280"/>
      <c r="AT74" s="1284"/>
      <c r="AU74" s="1285"/>
      <c r="AV74" s="1286"/>
      <c r="AW74" s="1286"/>
      <c r="AX74" s="1286"/>
      <c r="AY74" s="1286"/>
      <c r="AZ74" s="1287"/>
      <c r="BA74" s="1287"/>
      <c r="BB74" s="1276">
        <v>544</v>
      </c>
      <c r="BC74" s="233">
        <v>545</v>
      </c>
      <c r="BD74" s="219"/>
      <c r="BE74" s="219"/>
      <c r="BF74" s="219"/>
      <c r="BG74" s="219"/>
      <c r="BH74" s="219"/>
      <c r="BI74" s="219"/>
      <c r="BJ74" s="219"/>
      <c r="BK74" s="219"/>
      <c r="BL74" s="219"/>
      <c r="BM74" s="219"/>
      <c r="BN74" s="219"/>
      <c r="BO74" s="219"/>
      <c r="BP74" s="219"/>
      <c r="BQ74" s="219"/>
      <c r="BR74" s="219"/>
      <c r="BS74" s="219"/>
      <c r="BT74" s="241">
        <v>0</v>
      </c>
      <c r="BU74" s="241">
        <v>0</v>
      </c>
      <c r="BV74" s="241">
        <v>23</v>
      </c>
      <c r="BW74" s="241">
        <v>23</v>
      </c>
      <c r="BX74" s="241">
        <v>46</v>
      </c>
      <c r="BY74" s="241">
        <v>69</v>
      </c>
      <c r="BZ74" s="241">
        <v>23</v>
      </c>
      <c r="CA74" s="1337">
        <v>92</v>
      </c>
      <c r="CB74" s="1356"/>
      <c r="CC74" s="1356"/>
      <c r="CD74" s="1356"/>
      <c r="CE74" s="1356"/>
      <c r="CF74" s="1356"/>
      <c r="CG74" s="1356"/>
      <c r="CH74" s="1356"/>
      <c r="CI74" s="1356"/>
      <c r="CJ74" s="1356"/>
      <c r="CK74" s="1356"/>
    </row>
    <row r="75" spans="1:89" s="1357" customFormat="1" ht="61.5" customHeight="1">
      <c r="A75" s="196"/>
      <c r="B75" s="270"/>
      <c r="C75" s="235">
        <v>77</v>
      </c>
      <c r="D75" s="541">
        <v>618</v>
      </c>
      <c r="E75" s="236" t="s">
        <v>1334</v>
      </c>
      <c r="F75" s="232" t="s">
        <v>1358</v>
      </c>
      <c r="G75" s="236" t="s">
        <v>1417</v>
      </c>
      <c r="H75" s="236" t="s">
        <v>91</v>
      </c>
      <c r="I75" s="236" t="s">
        <v>1398</v>
      </c>
      <c r="J75" s="236" t="s">
        <v>1416</v>
      </c>
      <c r="K75" s="236" t="s">
        <v>1415</v>
      </c>
      <c r="L75" s="237" t="s">
        <v>86</v>
      </c>
      <c r="M75" s="237">
        <v>111</v>
      </c>
      <c r="N75" s="237">
        <v>2011</v>
      </c>
      <c r="O75" s="237">
        <v>116</v>
      </c>
      <c r="P75" s="1178">
        <v>106</v>
      </c>
      <c r="Q75" s="1193">
        <v>113</v>
      </c>
      <c r="R75" s="1180">
        <v>114</v>
      </c>
      <c r="S75" s="1181"/>
      <c r="T75" s="1221" t="s">
        <v>1414</v>
      </c>
      <c r="U75" s="1182" t="s">
        <v>1352</v>
      </c>
      <c r="V75" s="1183" t="s">
        <v>3191</v>
      </c>
      <c r="W75" s="1184" t="s">
        <v>3192</v>
      </c>
      <c r="X75" s="1185"/>
      <c r="Y75" s="1264" t="s">
        <v>3193</v>
      </c>
      <c r="Z75" s="1280">
        <v>703</v>
      </c>
      <c r="AA75" s="1280">
        <v>852</v>
      </c>
      <c r="AB75" s="1281">
        <v>918</v>
      </c>
      <c r="AC75" s="1282"/>
      <c r="AD75" s="1283">
        <v>85</v>
      </c>
      <c r="AE75" s="1281">
        <v>88</v>
      </c>
      <c r="AF75" s="1280">
        <v>113</v>
      </c>
      <c r="AG75" s="1280"/>
      <c r="AH75" s="1280">
        <v>18</v>
      </c>
      <c r="AI75" s="1280">
        <v>21</v>
      </c>
      <c r="AJ75" s="1280">
        <v>20</v>
      </c>
      <c r="AK75" s="1280"/>
      <c r="AL75" s="1280"/>
      <c r="AM75" s="1280"/>
      <c r="AN75" s="1280"/>
      <c r="AO75" s="1280"/>
      <c r="AP75" s="1280">
        <v>81</v>
      </c>
      <c r="AQ75" s="1280">
        <v>115</v>
      </c>
      <c r="AR75" s="1280">
        <v>112</v>
      </c>
      <c r="AS75" s="1280"/>
      <c r="AT75" s="1284">
        <v>62</v>
      </c>
      <c r="AU75" s="1285">
        <v>75</v>
      </c>
      <c r="AV75" s="1286">
        <v>80</v>
      </c>
      <c r="AW75" s="1286"/>
      <c r="AX75" s="1286">
        <v>32</v>
      </c>
      <c r="AY75" s="1286">
        <v>35</v>
      </c>
      <c r="AZ75" s="1287">
        <v>38</v>
      </c>
      <c r="BA75" s="1287"/>
      <c r="BB75" s="1276">
        <v>549</v>
      </c>
      <c r="BC75" s="233">
        <v>550</v>
      </c>
      <c r="BD75" s="219"/>
      <c r="BE75" s="219"/>
      <c r="BF75" s="219"/>
      <c r="BG75" s="219"/>
      <c r="BH75" s="219"/>
      <c r="BI75" s="219"/>
      <c r="BJ75" s="219"/>
      <c r="BK75" s="219"/>
      <c r="BL75" s="219"/>
      <c r="BM75" s="219"/>
      <c r="BN75" s="219"/>
      <c r="BO75" s="219"/>
      <c r="BP75" s="219"/>
      <c r="BQ75" s="219"/>
      <c r="BR75" s="219"/>
      <c r="BS75" s="219"/>
      <c r="BT75" s="292">
        <v>116</v>
      </c>
      <c r="BU75" s="292">
        <v>116</v>
      </c>
      <c r="BV75" s="241">
        <v>116</v>
      </c>
      <c r="BW75" s="241">
        <v>116</v>
      </c>
      <c r="BX75" s="292">
        <v>116</v>
      </c>
      <c r="BY75" s="241">
        <v>116</v>
      </c>
      <c r="BZ75" s="292">
        <v>116</v>
      </c>
      <c r="CA75" s="1337">
        <v>116</v>
      </c>
      <c r="CB75" s="1356"/>
      <c r="CC75" s="1356"/>
      <c r="CD75" s="1356"/>
      <c r="CE75" s="1356"/>
      <c r="CF75" s="1356"/>
      <c r="CG75" s="1356"/>
      <c r="CH75" s="1356"/>
      <c r="CI75" s="1356"/>
      <c r="CJ75" s="1356"/>
      <c r="CK75" s="1356"/>
    </row>
    <row r="76" spans="1:89" s="1357" customFormat="1" ht="60">
      <c r="A76" s="196"/>
      <c r="B76" s="270"/>
      <c r="C76" s="235">
        <v>81</v>
      </c>
      <c r="D76" s="541">
        <v>622</v>
      </c>
      <c r="E76" s="236" t="s">
        <v>1334</v>
      </c>
      <c r="F76" s="232" t="s">
        <v>1358</v>
      </c>
      <c r="G76" s="236" t="s">
        <v>1402</v>
      </c>
      <c r="H76" s="236" t="s">
        <v>88</v>
      </c>
      <c r="I76" s="236" t="s">
        <v>1398</v>
      </c>
      <c r="J76" s="236" t="s">
        <v>1401</v>
      </c>
      <c r="K76" s="236" t="s">
        <v>1400</v>
      </c>
      <c r="L76" s="237" t="s">
        <v>85</v>
      </c>
      <c r="M76" s="237">
        <v>0</v>
      </c>
      <c r="N76" s="237">
        <v>2011</v>
      </c>
      <c r="O76" s="237">
        <v>1</v>
      </c>
      <c r="P76" s="1178">
        <v>0</v>
      </c>
      <c r="Q76" s="1193">
        <v>0</v>
      </c>
      <c r="R76" s="1180"/>
      <c r="S76" s="1181"/>
      <c r="T76" s="1180"/>
      <c r="U76" s="1183"/>
      <c r="V76" s="1183"/>
      <c r="W76" s="1184"/>
      <c r="X76" s="1185"/>
      <c r="Y76" s="1264"/>
      <c r="Z76" s="1280"/>
      <c r="AA76" s="1280"/>
      <c r="AB76" s="1281"/>
      <c r="AC76" s="1282"/>
      <c r="AD76" s="1283"/>
      <c r="AE76" s="1281"/>
      <c r="AF76" s="1280"/>
      <c r="AG76" s="1280"/>
      <c r="AH76" s="1280"/>
      <c r="AI76" s="1280"/>
      <c r="AJ76" s="1280"/>
      <c r="AK76" s="1280"/>
      <c r="AL76" s="1280"/>
      <c r="AM76" s="1280"/>
      <c r="AN76" s="1280"/>
      <c r="AO76" s="1280"/>
      <c r="AP76" s="1280"/>
      <c r="AQ76" s="1280"/>
      <c r="AR76" s="1280"/>
      <c r="AS76" s="1280"/>
      <c r="AT76" s="1284"/>
      <c r="AU76" s="1285"/>
      <c r="AV76" s="1286"/>
      <c r="AW76" s="1286"/>
      <c r="AX76" s="1286"/>
      <c r="AY76" s="1286"/>
      <c r="AZ76" s="1287"/>
      <c r="BA76" s="1287"/>
      <c r="BB76" s="1276">
        <v>329</v>
      </c>
      <c r="BC76" s="233">
        <v>593</v>
      </c>
      <c r="BD76" s="233">
        <v>594</v>
      </c>
      <c r="BE76" s="233">
        <v>595</v>
      </c>
      <c r="BF76" s="233">
        <v>597</v>
      </c>
      <c r="BG76" s="233">
        <v>599</v>
      </c>
      <c r="BH76" s="233"/>
      <c r="BI76" s="233"/>
      <c r="BJ76" s="219"/>
      <c r="BK76" s="219"/>
      <c r="BL76" s="219"/>
      <c r="BM76" s="219"/>
      <c r="BN76" s="219"/>
      <c r="BO76" s="219"/>
      <c r="BP76" s="219"/>
      <c r="BQ76" s="219"/>
      <c r="BR76" s="219"/>
      <c r="BS76" s="219"/>
      <c r="BT76" s="241">
        <v>0</v>
      </c>
      <c r="BU76" s="241">
        <v>0</v>
      </c>
      <c r="BV76" s="241">
        <v>1</v>
      </c>
      <c r="BW76" s="241">
        <v>1</v>
      </c>
      <c r="BX76" s="241">
        <v>0</v>
      </c>
      <c r="BY76" s="241">
        <v>1</v>
      </c>
      <c r="BZ76" s="241">
        <v>0</v>
      </c>
      <c r="CA76" s="1337">
        <v>1</v>
      </c>
      <c r="CB76" s="1356"/>
      <c r="CC76" s="1356"/>
      <c r="CD76" s="1356"/>
      <c r="CE76" s="1356"/>
      <c r="CF76" s="1356"/>
      <c r="CG76" s="1356"/>
      <c r="CH76" s="1356"/>
      <c r="CI76" s="1356"/>
      <c r="CJ76" s="1356"/>
      <c r="CK76" s="1356"/>
    </row>
    <row r="77" spans="1:89" s="1357" customFormat="1" ht="108">
      <c r="A77" s="196"/>
      <c r="B77" s="270"/>
      <c r="C77" s="231">
        <v>82</v>
      </c>
      <c r="D77" s="541">
        <v>623</v>
      </c>
      <c r="E77" s="236" t="s">
        <v>1334</v>
      </c>
      <c r="F77" s="232" t="s">
        <v>1358</v>
      </c>
      <c r="G77" s="236" t="s">
        <v>1399</v>
      </c>
      <c r="H77" s="236" t="s">
        <v>87</v>
      </c>
      <c r="I77" s="236" t="s">
        <v>1398</v>
      </c>
      <c r="J77" s="236" t="s">
        <v>1397</v>
      </c>
      <c r="K77" s="236" t="s">
        <v>1396</v>
      </c>
      <c r="L77" s="237" t="s">
        <v>85</v>
      </c>
      <c r="M77" s="237">
        <v>0</v>
      </c>
      <c r="N77" s="237">
        <v>2011</v>
      </c>
      <c r="O77" s="237">
        <v>100</v>
      </c>
      <c r="P77" s="1181">
        <v>1</v>
      </c>
      <c r="Q77" s="1181">
        <v>1</v>
      </c>
      <c r="R77" s="1181">
        <v>1</v>
      </c>
      <c r="S77" s="1181">
        <v>1</v>
      </c>
      <c r="T77" s="1180" t="s">
        <v>3124</v>
      </c>
      <c r="U77" s="1183" t="s">
        <v>1353</v>
      </c>
      <c r="V77" s="1183" t="s">
        <v>1395</v>
      </c>
      <c r="W77" s="1184">
        <v>42368</v>
      </c>
      <c r="X77" s="1264" t="s">
        <v>3263</v>
      </c>
      <c r="Y77" s="1264" t="s">
        <v>3262</v>
      </c>
      <c r="Z77" s="1280"/>
      <c r="AA77" s="1280"/>
      <c r="AB77" s="1281"/>
      <c r="AC77" s="1282"/>
      <c r="AD77" s="1283"/>
      <c r="AE77" s="1281"/>
      <c r="AF77" s="1280"/>
      <c r="AG77" s="1280"/>
      <c r="AH77" s="1280"/>
      <c r="AI77" s="1280"/>
      <c r="AJ77" s="1280"/>
      <c r="AK77" s="1280"/>
      <c r="AL77" s="1280"/>
      <c r="AM77" s="1280"/>
      <c r="AN77" s="1280"/>
      <c r="AO77" s="1280"/>
      <c r="AP77" s="1280"/>
      <c r="AQ77" s="1280"/>
      <c r="AR77" s="1280"/>
      <c r="AS77" s="1280"/>
      <c r="AT77" s="1284"/>
      <c r="AU77" s="1285"/>
      <c r="AV77" s="1286"/>
      <c r="AW77" s="1286"/>
      <c r="AX77" s="1286"/>
      <c r="AY77" s="1286"/>
      <c r="AZ77" s="1287"/>
      <c r="BA77" s="1287"/>
      <c r="BB77" s="1276">
        <v>552</v>
      </c>
      <c r="BC77" s="233">
        <v>570</v>
      </c>
      <c r="BD77" s="233">
        <v>571</v>
      </c>
      <c r="BE77" s="233">
        <v>573</v>
      </c>
      <c r="BF77" s="233">
        <v>600</v>
      </c>
      <c r="BG77" s="233">
        <v>601</v>
      </c>
      <c r="BH77" s="233">
        <v>602</v>
      </c>
      <c r="BI77" s="233">
        <v>603</v>
      </c>
      <c r="BJ77" s="233">
        <v>604</v>
      </c>
      <c r="BK77" s="233">
        <v>606</v>
      </c>
      <c r="BL77" s="233">
        <v>607</v>
      </c>
      <c r="BM77" s="233">
        <v>608</v>
      </c>
      <c r="BN77" s="219"/>
      <c r="BO77" s="219"/>
      <c r="BP77" s="219"/>
      <c r="BQ77" s="219"/>
      <c r="BR77" s="219"/>
      <c r="BS77" s="219"/>
      <c r="BT77" s="294">
        <v>0</v>
      </c>
      <c r="BU77" s="294">
        <v>0</v>
      </c>
      <c r="BV77" s="294">
        <v>0</v>
      </c>
      <c r="BW77" s="294">
        <v>0</v>
      </c>
      <c r="BX77" s="294">
        <v>1</v>
      </c>
      <c r="BY77" s="294">
        <v>0.5</v>
      </c>
      <c r="BZ77" s="294">
        <v>1</v>
      </c>
      <c r="CA77" s="1348">
        <v>1</v>
      </c>
      <c r="CB77" s="1356"/>
      <c r="CC77" s="1356"/>
      <c r="CD77" s="1356"/>
      <c r="CE77" s="1356"/>
      <c r="CF77" s="1356"/>
      <c r="CG77" s="1356"/>
      <c r="CH77" s="1356"/>
      <c r="CI77" s="1356"/>
      <c r="CJ77" s="1356"/>
      <c r="CK77" s="1356"/>
    </row>
    <row r="78" spans="1:89" s="1357" customFormat="1" ht="84" hidden="1">
      <c r="A78" s="196"/>
      <c r="B78" s="270"/>
      <c r="C78" s="231">
        <v>4</v>
      </c>
      <c r="D78" s="541">
        <v>3</v>
      </c>
      <c r="E78" s="236" t="s">
        <v>1333</v>
      </c>
      <c r="F78" s="232" t="s">
        <v>4</v>
      </c>
      <c r="G78" s="236" t="s">
        <v>1608</v>
      </c>
      <c r="H78" s="236" t="s">
        <v>145</v>
      </c>
      <c r="I78" s="236" t="s">
        <v>1398</v>
      </c>
      <c r="J78" s="236" t="s">
        <v>1621</v>
      </c>
      <c r="K78" s="236" t="s">
        <v>1615</v>
      </c>
      <c r="L78" s="237" t="s">
        <v>1369</v>
      </c>
      <c r="M78" s="237">
        <v>11.8</v>
      </c>
      <c r="N78" s="237">
        <v>2011</v>
      </c>
      <c r="O78" s="239">
        <v>11</v>
      </c>
      <c r="P78" s="1178">
        <v>12.88</v>
      </c>
      <c r="Q78" s="1225">
        <v>10.82</v>
      </c>
      <c r="R78" s="1180">
        <v>9.6</v>
      </c>
      <c r="S78" s="1181">
        <v>6.8000000000000005E-2</v>
      </c>
      <c r="T78" s="1180" t="s">
        <v>1387</v>
      </c>
      <c r="U78" s="1226" t="s">
        <v>1352</v>
      </c>
      <c r="V78" s="1183" t="s">
        <v>2271</v>
      </c>
      <c r="W78" s="1184" t="s">
        <v>2272</v>
      </c>
      <c r="X78" s="1227" t="s">
        <v>2273</v>
      </c>
      <c r="Y78" s="1271" t="s">
        <v>2274</v>
      </c>
      <c r="Z78" s="1289">
        <v>13.3</v>
      </c>
      <c r="AA78" s="1280">
        <v>12.8</v>
      </c>
      <c r="AB78" s="1281">
        <v>12</v>
      </c>
      <c r="AC78" s="1282" t="s">
        <v>2275</v>
      </c>
      <c r="AD78" s="1292">
        <v>9.58</v>
      </c>
      <c r="AE78" s="1292">
        <v>11</v>
      </c>
      <c r="AF78" s="1292">
        <v>10.6</v>
      </c>
      <c r="AG78" s="1292">
        <v>7.6</v>
      </c>
      <c r="AH78" s="1292">
        <v>12.79</v>
      </c>
      <c r="AI78" s="1292">
        <v>15.8</v>
      </c>
      <c r="AJ78" s="1292">
        <v>12.5</v>
      </c>
      <c r="AK78" s="1280">
        <v>9.1999999999999993</v>
      </c>
      <c r="AL78" s="1289">
        <v>12.64</v>
      </c>
      <c r="AM78" s="1289">
        <v>10.9</v>
      </c>
      <c r="AN78" s="1289">
        <v>10.5</v>
      </c>
      <c r="AO78" s="1280">
        <v>5.7</v>
      </c>
      <c r="AP78" s="1289">
        <v>11.2</v>
      </c>
      <c r="AQ78" s="1280">
        <v>10.6</v>
      </c>
      <c r="AR78" s="1280">
        <v>9.6999999999999993</v>
      </c>
      <c r="AS78" s="1280">
        <v>7.9</v>
      </c>
      <c r="AT78" s="1293">
        <v>9.24</v>
      </c>
      <c r="AU78" s="1285">
        <v>10.199999999999999</v>
      </c>
      <c r="AV78" s="1288">
        <v>9.8000000000000007</v>
      </c>
      <c r="AW78" s="1286">
        <v>6.4</v>
      </c>
      <c r="AX78" s="1294">
        <v>11.73</v>
      </c>
      <c r="AY78" s="1288">
        <v>10.7</v>
      </c>
      <c r="AZ78" s="1285">
        <v>3.5</v>
      </c>
      <c r="BA78" s="1287">
        <v>7</v>
      </c>
      <c r="BB78" s="1276">
        <v>11</v>
      </c>
      <c r="BC78" s="233">
        <v>13</v>
      </c>
      <c r="BD78" s="233">
        <v>14</v>
      </c>
      <c r="BE78" s="219"/>
      <c r="BF78" s="219"/>
      <c r="BG78" s="219"/>
      <c r="BH78" s="219"/>
      <c r="BI78" s="219"/>
      <c r="BJ78" s="219"/>
      <c r="BK78" s="219"/>
      <c r="BL78" s="219"/>
      <c r="BM78" s="219"/>
      <c r="BN78" s="219"/>
      <c r="BO78" s="219"/>
      <c r="BP78" s="219"/>
      <c r="BQ78" s="219"/>
      <c r="BR78" s="219"/>
      <c r="BS78" s="219"/>
      <c r="BT78" s="272">
        <v>0.1</v>
      </c>
      <c r="BU78" s="272">
        <v>11.700000000000001</v>
      </c>
      <c r="BV78" s="272">
        <v>0.2</v>
      </c>
      <c r="BW78" s="272">
        <v>11.500000000000002</v>
      </c>
      <c r="BX78" s="272">
        <v>0.3</v>
      </c>
      <c r="BY78" s="272">
        <v>11.200000000000001</v>
      </c>
      <c r="BZ78" s="272">
        <v>0.2</v>
      </c>
      <c r="CA78" s="1340">
        <v>11.000000000000002</v>
      </c>
      <c r="CB78" s="1356"/>
      <c r="CC78" s="1356"/>
      <c r="CD78" s="1356"/>
      <c r="CE78" s="1356"/>
      <c r="CF78" s="1356"/>
      <c r="CG78" s="1356"/>
      <c r="CH78" s="1356"/>
      <c r="CI78" s="1356"/>
      <c r="CJ78" s="1356"/>
      <c r="CK78" s="1356"/>
    </row>
    <row r="79" spans="1:89" s="1357" customFormat="1" ht="168" hidden="1">
      <c r="A79" s="196"/>
      <c r="B79" s="270"/>
      <c r="C79" s="235">
        <v>5</v>
      </c>
      <c r="D79" s="541">
        <v>4</v>
      </c>
      <c r="E79" s="236" t="s">
        <v>1333</v>
      </c>
      <c r="F79" s="232" t="s">
        <v>4</v>
      </c>
      <c r="G79" s="236" t="s">
        <v>1608</v>
      </c>
      <c r="H79" s="236" t="s">
        <v>144</v>
      </c>
      <c r="I79" s="236" t="s">
        <v>1398</v>
      </c>
      <c r="J79" s="236" t="s">
        <v>1620</v>
      </c>
      <c r="K79" s="236" t="s">
        <v>1619</v>
      </c>
      <c r="L79" s="237" t="s">
        <v>1369</v>
      </c>
      <c r="M79" s="237">
        <v>41.56</v>
      </c>
      <c r="N79" s="237">
        <v>2011</v>
      </c>
      <c r="O79" s="237">
        <v>40</v>
      </c>
      <c r="P79" s="1178">
        <v>82.01</v>
      </c>
      <c r="Q79" s="1179">
        <v>45.23</v>
      </c>
      <c r="R79" s="1179">
        <v>46.76</v>
      </c>
      <c r="S79" s="1181">
        <v>0.52310000000000001</v>
      </c>
      <c r="T79" s="1180" t="s">
        <v>1387</v>
      </c>
      <c r="U79" s="1183" t="s">
        <v>1354</v>
      </c>
      <c r="V79" s="1183" t="s">
        <v>2271</v>
      </c>
      <c r="W79" s="1184" t="s">
        <v>2272</v>
      </c>
      <c r="X79" s="1227" t="s">
        <v>2276</v>
      </c>
      <c r="Y79" s="1271" t="s">
        <v>2277</v>
      </c>
      <c r="Z79" s="1289">
        <v>64</v>
      </c>
      <c r="AA79" s="1289">
        <v>53</v>
      </c>
      <c r="AB79" s="1281">
        <v>61.9</v>
      </c>
      <c r="AC79" s="1282" t="s">
        <v>2278</v>
      </c>
      <c r="AD79" s="1295">
        <v>54.4</v>
      </c>
      <c r="AE79" s="1295">
        <v>40.200000000000003</v>
      </c>
      <c r="AF79" s="1295">
        <v>30.8</v>
      </c>
      <c r="AG79" s="1295">
        <v>33.4</v>
      </c>
      <c r="AH79" s="1292">
        <v>52</v>
      </c>
      <c r="AI79" s="1292">
        <v>48</v>
      </c>
      <c r="AJ79" s="1292">
        <v>54</v>
      </c>
      <c r="AK79" s="1295">
        <v>52</v>
      </c>
      <c r="AL79" s="1295">
        <v>42.7</v>
      </c>
      <c r="AM79" s="1295">
        <v>27.1</v>
      </c>
      <c r="AN79" s="1295">
        <v>29.1</v>
      </c>
      <c r="AO79" s="1295">
        <v>26.1</v>
      </c>
      <c r="AP79" s="1295">
        <v>63.9</v>
      </c>
      <c r="AQ79" s="1295">
        <v>73.5</v>
      </c>
      <c r="AR79" s="1295">
        <v>24.5</v>
      </c>
      <c r="AS79" s="1295">
        <v>15.3</v>
      </c>
      <c r="AT79" s="1295">
        <v>32</v>
      </c>
      <c r="AU79" s="1295">
        <v>39.1</v>
      </c>
      <c r="AV79" s="1295">
        <v>49.1</v>
      </c>
      <c r="AW79" s="1295">
        <v>33.4</v>
      </c>
      <c r="AX79" s="1295">
        <v>71.5</v>
      </c>
      <c r="AY79" s="1295">
        <v>38.200000000000003</v>
      </c>
      <c r="AZ79" s="1295">
        <v>36.299999999999997</v>
      </c>
      <c r="BA79" s="1287">
        <v>52.4</v>
      </c>
      <c r="BB79" s="1276">
        <v>12</v>
      </c>
      <c r="BC79" s="219"/>
      <c r="BD79" s="219"/>
      <c r="BE79" s="219"/>
      <c r="BF79" s="219"/>
      <c r="BG79" s="219"/>
      <c r="BH79" s="219"/>
      <c r="BI79" s="219"/>
      <c r="BJ79" s="219"/>
      <c r="BK79" s="219"/>
      <c r="BL79" s="219"/>
      <c r="BM79" s="219"/>
      <c r="BN79" s="219"/>
      <c r="BO79" s="219"/>
      <c r="BP79" s="219"/>
      <c r="BQ79" s="219"/>
      <c r="BR79" s="219"/>
      <c r="BS79" s="219"/>
      <c r="BT79" s="272">
        <v>0.2</v>
      </c>
      <c r="BU79" s="272">
        <v>41.36</v>
      </c>
      <c r="BV79" s="272">
        <v>0.39</v>
      </c>
      <c r="BW79" s="272">
        <v>40.97</v>
      </c>
      <c r="BX79" s="272">
        <v>0.45</v>
      </c>
      <c r="BY79" s="272">
        <v>40.519999999999996</v>
      </c>
      <c r="BZ79" s="272">
        <v>0.52</v>
      </c>
      <c r="CA79" s="1340">
        <v>39.999999999999993</v>
      </c>
      <c r="CB79" s="1356"/>
      <c r="CC79" s="1356"/>
      <c r="CD79" s="1356"/>
      <c r="CE79" s="1356"/>
      <c r="CF79" s="1356"/>
      <c r="CG79" s="1356"/>
      <c r="CH79" s="1356"/>
      <c r="CI79" s="1356"/>
      <c r="CJ79" s="1356"/>
      <c r="CK79" s="1356"/>
    </row>
    <row r="80" spans="1:89" s="1357" customFormat="1" ht="96" hidden="1">
      <c r="A80" s="196"/>
      <c r="B80" s="270"/>
      <c r="C80" s="231">
        <v>6</v>
      </c>
      <c r="D80" s="541">
        <v>5</v>
      </c>
      <c r="E80" s="236" t="s">
        <v>1333</v>
      </c>
      <c r="F80" s="232" t="s">
        <v>4</v>
      </c>
      <c r="G80" s="236" t="s">
        <v>1608</v>
      </c>
      <c r="H80" s="236" t="s">
        <v>1618</v>
      </c>
      <c r="I80" s="236" t="s">
        <v>1398</v>
      </c>
      <c r="J80" s="236" t="s">
        <v>1617</v>
      </c>
      <c r="K80" s="236" t="s">
        <v>1404</v>
      </c>
      <c r="L80" s="237" t="s">
        <v>1369</v>
      </c>
      <c r="M80" s="237">
        <v>5</v>
      </c>
      <c r="N80" s="237">
        <v>2011</v>
      </c>
      <c r="O80" s="237">
        <v>3</v>
      </c>
      <c r="P80" s="1178">
        <v>5.25</v>
      </c>
      <c r="Q80" s="1179">
        <v>5.07</v>
      </c>
      <c r="R80" s="1180">
        <v>5.25</v>
      </c>
      <c r="S80" s="1181">
        <v>0.04</v>
      </c>
      <c r="T80" s="1189" t="s">
        <v>2279</v>
      </c>
      <c r="U80" s="1183" t="s">
        <v>1352</v>
      </c>
      <c r="V80" s="1183" t="s">
        <v>2280</v>
      </c>
      <c r="W80" s="1184">
        <v>42231</v>
      </c>
      <c r="X80" s="1189" t="s">
        <v>2281</v>
      </c>
      <c r="Y80" s="1271" t="s">
        <v>2282</v>
      </c>
      <c r="Z80" s="1280" t="s">
        <v>2283</v>
      </c>
      <c r="AA80" s="1280" t="s">
        <v>2283</v>
      </c>
      <c r="AB80" s="1280" t="s">
        <v>2283</v>
      </c>
      <c r="AC80" s="1280" t="s">
        <v>2283</v>
      </c>
      <c r="AD80" s="1280" t="s">
        <v>2283</v>
      </c>
      <c r="AE80" s="1280" t="s">
        <v>2283</v>
      </c>
      <c r="AF80" s="1280" t="s">
        <v>2283</v>
      </c>
      <c r="AG80" s="1280" t="s">
        <v>2283</v>
      </c>
      <c r="AH80" s="1280" t="s">
        <v>2283</v>
      </c>
      <c r="AI80" s="1280" t="s">
        <v>2283</v>
      </c>
      <c r="AJ80" s="1280" t="s">
        <v>2283</v>
      </c>
      <c r="AK80" s="1280" t="s">
        <v>2283</v>
      </c>
      <c r="AL80" s="1280" t="s">
        <v>2283</v>
      </c>
      <c r="AM80" s="1280" t="s">
        <v>2283</v>
      </c>
      <c r="AN80" s="1280" t="s">
        <v>2283</v>
      </c>
      <c r="AO80" s="1280" t="s">
        <v>2283</v>
      </c>
      <c r="AP80" s="1280" t="s">
        <v>2283</v>
      </c>
      <c r="AQ80" s="1280" t="s">
        <v>2283</v>
      </c>
      <c r="AR80" s="1280" t="s">
        <v>2283</v>
      </c>
      <c r="AS80" s="1280" t="s">
        <v>2283</v>
      </c>
      <c r="AT80" s="1280" t="s">
        <v>2283</v>
      </c>
      <c r="AU80" s="1280" t="s">
        <v>2283</v>
      </c>
      <c r="AV80" s="1280" t="s">
        <v>2283</v>
      </c>
      <c r="AW80" s="1280" t="s">
        <v>2283</v>
      </c>
      <c r="AX80" s="1280" t="s">
        <v>2283</v>
      </c>
      <c r="AY80" s="1280" t="s">
        <v>2283</v>
      </c>
      <c r="AZ80" s="1280" t="s">
        <v>2283</v>
      </c>
      <c r="BA80" s="1287" t="s">
        <v>2283</v>
      </c>
      <c r="BB80" s="1277"/>
      <c r="BC80" s="219"/>
      <c r="BD80" s="219"/>
      <c r="BE80" s="219"/>
      <c r="BF80" s="219"/>
      <c r="BG80" s="219"/>
      <c r="BH80" s="219"/>
      <c r="BI80" s="219"/>
      <c r="BJ80" s="219"/>
      <c r="BK80" s="219"/>
      <c r="BL80" s="219"/>
      <c r="BM80" s="219"/>
      <c r="BN80" s="219"/>
      <c r="BO80" s="219"/>
      <c r="BP80" s="219"/>
      <c r="BQ80" s="219"/>
      <c r="BR80" s="219"/>
      <c r="BS80" s="219"/>
      <c r="BT80" s="273">
        <v>0.5</v>
      </c>
      <c r="BU80" s="274">
        <v>4.4999999999999998E-2</v>
      </c>
      <c r="BV80" s="273">
        <v>0.5</v>
      </c>
      <c r="BW80" s="275">
        <v>0.04</v>
      </c>
      <c r="BX80" s="273">
        <v>0.5</v>
      </c>
      <c r="BY80" s="274">
        <v>3.5000000000000003E-2</v>
      </c>
      <c r="BZ80" s="273">
        <v>0.5</v>
      </c>
      <c r="CA80" s="1343">
        <v>0.03</v>
      </c>
      <c r="CB80" s="1356"/>
      <c r="CC80" s="1356"/>
      <c r="CD80" s="1356"/>
      <c r="CE80" s="1356"/>
      <c r="CF80" s="1356"/>
      <c r="CG80" s="1356"/>
      <c r="CH80" s="1356"/>
      <c r="CI80" s="1356"/>
      <c r="CJ80" s="1356"/>
      <c r="CK80" s="1356"/>
    </row>
    <row r="81" spans="1:89" s="1357" customFormat="1" ht="120" hidden="1">
      <c r="A81" s="196"/>
      <c r="B81" s="270"/>
      <c r="C81" s="235">
        <v>7</v>
      </c>
      <c r="D81" s="541">
        <v>6</v>
      </c>
      <c r="E81" s="236" t="s">
        <v>1333</v>
      </c>
      <c r="F81" s="232" t="s">
        <v>4</v>
      </c>
      <c r="G81" s="236" t="s">
        <v>1608</v>
      </c>
      <c r="H81" s="236" t="s">
        <v>143</v>
      </c>
      <c r="I81" s="236" t="s">
        <v>1398</v>
      </c>
      <c r="J81" s="236" t="s">
        <v>1616</v>
      </c>
      <c r="K81" s="236" t="s">
        <v>1615</v>
      </c>
      <c r="L81" s="237" t="s">
        <v>1369</v>
      </c>
      <c r="M81" s="237">
        <v>16.32</v>
      </c>
      <c r="N81" s="237">
        <v>2011</v>
      </c>
      <c r="O81" s="237">
        <v>14</v>
      </c>
      <c r="P81" s="1178">
        <v>14.3</v>
      </c>
      <c r="Q81" s="1179">
        <v>12.7</v>
      </c>
      <c r="R81" s="1180">
        <v>10.199999999999999</v>
      </c>
      <c r="S81" s="1228">
        <v>7.08</v>
      </c>
      <c r="T81" s="1180" t="s">
        <v>1387</v>
      </c>
      <c r="U81" s="1183" t="s">
        <v>1352</v>
      </c>
      <c r="V81" s="1183" t="s">
        <v>2271</v>
      </c>
      <c r="W81" s="1184" t="s">
        <v>2272</v>
      </c>
      <c r="X81" s="1189" t="s">
        <v>2273</v>
      </c>
      <c r="Y81" s="1271" t="s">
        <v>2284</v>
      </c>
      <c r="Z81" s="1289">
        <v>13.3</v>
      </c>
      <c r="AA81" s="1289">
        <v>14.1</v>
      </c>
      <c r="AB81" s="1289">
        <v>13.1</v>
      </c>
      <c r="AC81" s="1289" t="s">
        <v>2285</v>
      </c>
      <c r="AD81" s="1289">
        <v>12.5</v>
      </c>
      <c r="AE81" s="1289">
        <v>11</v>
      </c>
      <c r="AF81" s="1289">
        <v>10.6</v>
      </c>
      <c r="AG81" s="1280">
        <v>7.6</v>
      </c>
      <c r="AH81" s="1289">
        <v>18.600000000000001</v>
      </c>
      <c r="AI81" s="1289">
        <v>15.8</v>
      </c>
      <c r="AJ81" s="1280">
        <v>12.5</v>
      </c>
      <c r="AK81" s="1280">
        <v>9.1999999999999993</v>
      </c>
      <c r="AL81" s="1289">
        <v>13.6</v>
      </c>
      <c r="AM81" s="1289">
        <v>10.9</v>
      </c>
      <c r="AN81" s="1289">
        <v>10.5</v>
      </c>
      <c r="AO81" s="1280">
        <v>5.7</v>
      </c>
      <c r="AP81" s="1289">
        <v>13.3</v>
      </c>
      <c r="AQ81" s="1289">
        <v>10.6</v>
      </c>
      <c r="AR81" s="1289">
        <v>9.6999999999999993</v>
      </c>
      <c r="AS81" s="1280">
        <v>7.9</v>
      </c>
      <c r="AT81" s="1289">
        <v>10</v>
      </c>
      <c r="AU81" s="1296">
        <v>10.199999999999999</v>
      </c>
      <c r="AV81" s="1297">
        <v>9.8000000000000007</v>
      </c>
      <c r="AW81" s="1286">
        <v>6.4</v>
      </c>
      <c r="AX81" s="1294">
        <v>13</v>
      </c>
      <c r="AY81" s="1294">
        <v>10.7</v>
      </c>
      <c r="AZ81" s="1296">
        <v>3.5</v>
      </c>
      <c r="BA81" s="1287">
        <v>7</v>
      </c>
      <c r="BB81" s="1276">
        <v>12</v>
      </c>
      <c r="BC81" s="219"/>
      <c r="BD81" s="219"/>
      <c r="BE81" s="219"/>
      <c r="BF81" s="219"/>
      <c r="BG81" s="219"/>
      <c r="BH81" s="219"/>
      <c r="BI81" s="219"/>
      <c r="BJ81" s="219"/>
      <c r="BK81" s="219"/>
      <c r="BL81" s="219"/>
      <c r="BM81" s="219"/>
      <c r="BN81" s="219"/>
      <c r="BO81" s="219"/>
      <c r="BP81" s="219"/>
      <c r="BQ81" s="219"/>
      <c r="BR81" s="219"/>
      <c r="BS81" s="219"/>
      <c r="BT81" s="272">
        <v>0.32</v>
      </c>
      <c r="BU81" s="272">
        <v>16</v>
      </c>
      <c r="BV81" s="272">
        <v>0.5</v>
      </c>
      <c r="BW81" s="272">
        <v>15.5</v>
      </c>
      <c r="BX81" s="272">
        <v>1</v>
      </c>
      <c r="BY81" s="272">
        <v>14.5</v>
      </c>
      <c r="BZ81" s="272">
        <v>0.5</v>
      </c>
      <c r="CA81" s="1340">
        <v>14</v>
      </c>
      <c r="CB81" s="1356"/>
      <c r="CC81" s="1356"/>
      <c r="CD81" s="1356"/>
      <c r="CE81" s="1356"/>
      <c r="CF81" s="1356"/>
      <c r="CG81" s="1356"/>
      <c r="CH81" s="1356"/>
      <c r="CI81" s="1356"/>
      <c r="CJ81" s="1356"/>
      <c r="CK81" s="1356"/>
    </row>
    <row r="82" spans="1:89" s="1357" customFormat="1" ht="84" hidden="1">
      <c r="A82" s="196"/>
      <c r="B82" s="270"/>
      <c r="C82" s="235">
        <v>43</v>
      </c>
      <c r="D82" s="541">
        <v>203</v>
      </c>
      <c r="E82" s="236" t="s">
        <v>1333</v>
      </c>
      <c r="F82" s="232" t="s">
        <v>4</v>
      </c>
      <c r="G82" s="236" t="s">
        <v>1525</v>
      </c>
      <c r="H82" s="236" t="s">
        <v>120</v>
      </c>
      <c r="I82" s="236" t="s">
        <v>1398</v>
      </c>
      <c r="J82" s="236" t="s">
        <v>1524</v>
      </c>
      <c r="K82" s="236" t="s">
        <v>1523</v>
      </c>
      <c r="L82" s="237" t="s">
        <v>85</v>
      </c>
      <c r="M82" s="237">
        <v>0</v>
      </c>
      <c r="N82" s="237">
        <v>2011</v>
      </c>
      <c r="O82" s="237">
        <v>80</v>
      </c>
      <c r="P82" s="1178">
        <v>0</v>
      </c>
      <c r="Q82" s="1193">
        <v>30</v>
      </c>
      <c r="R82" s="1229">
        <v>30</v>
      </c>
      <c r="S82" s="1181">
        <v>20</v>
      </c>
      <c r="T82" s="1180" t="s">
        <v>2286</v>
      </c>
      <c r="U82" s="1183"/>
      <c r="V82" s="1183" t="s">
        <v>2287</v>
      </c>
      <c r="W82" s="1184">
        <v>42246</v>
      </c>
      <c r="X82" s="1189" t="s">
        <v>2288</v>
      </c>
      <c r="Y82" s="1264" t="s">
        <v>2289</v>
      </c>
      <c r="Z82" s="1280" t="s">
        <v>2290</v>
      </c>
      <c r="AA82" s="1280" t="s">
        <v>2291</v>
      </c>
      <c r="AB82" s="1280" t="s">
        <v>2292</v>
      </c>
      <c r="AC82" s="1282" t="s">
        <v>2293</v>
      </c>
      <c r="AD82" s="1283" t="s">
        <v>2294</v>
      </c>
      <c r="AE82" s="1281" t="s">
        <v>2295</v>
      </c>
      <c r="AF82" s="1280" t="s">
        <v>2296</v>
      </c>
      <c r="AG82" s="1280" t="s">
        <v>2297</v>
      </c>
      <c r="AH82" s="1280" t="s">
        <v>2298</v>
      </c>
      <c r="AI82" s="1280" t="s">
        <v>2299</v>
      </c>
      <c r="AJ82" s="1280" t="s">
        <v>2300</v>
      </c>
      <c r="AK82" s="1280" t="s">
        <v>2297</v>
      </c>
      <c r="AL82" s="1280" t="s">
        <v>2301</v>
      </c>
      <c r="AM82" s="1280" t="s">
        <v>2302</v>
      </c>
      <c r="AN82" s="1280">
        <v>100</v>
      </c>
      <c r="AO82" s="1280" t="s">
        <v>2297</v>
      </c>
      <c r="AP82" s="1280" t="s">
        <v>2303</v>
      </c>
      <c r="AQ82" s="1280" t="s">
        <v>2304</v>
      </c>
      <c r="AR82" s="1280" t="s">
        <v>2305</v>
      </c>
      <c r="AS82" s="1280" t="s">
        <v>2297</v>
      </c>
      <c r="AT82" s="1284" t="s">
        <v>2306</v>
      </c>
      <c r="AU82" s="1285" t="s">
        <v>2307</v>
      </c>
      <c r="AV82" s="1286" t="s">
        <v>2308</v>
      </c>
      <c r="AW82" s="1286" t="s">
        <v>2297</v>
      </c>
      <c r="AX82" s="1286" t="s">
        <v>2309</v>
      </c>
      <c r="AY82" s="1286" t="s">
        <v>2310</v>
      </c>
      <c r="AZ82" s="1287" t="s">
        <v>2311</v>
      </c>
      <c r="BA82" s="1287" t="s">
        <v>2297</v>
      </c>
      <c r="BB82" s="1276">
        <v>219</v>
      </c>
      <c r="BC82" s="233">
        <v>224</v>
      </c>
      <c r="BD82" s="233">
        <v>238</v>
      </c>
      <c r="BE82" s="233">
        <v>239</v>
      </c>
      <c r="BF82" s="233">
        <v>240</v>
      </c>
      <c r="BG82" s="233">
        <v>245</v>
      </c>
      <c r="BH82" s="233">
        <v>246</v>
      </c>
      <c r="BI82" s="233">
        <v>286</v>
      </c>
      <c r="BJ82" s="233">
        <v>287</v>
      </c>
      <c r="BK82" s="233">
        <v>288</v>
      </c>
      <c r="BL82" s="219"/>
      <c r="BM82" s="219"/>
      <c r="BN82" s="219"/>
      <c r="BO82" s="219"/>
      <c r="BP82" s="219"/>
      <c r="BQ82" s="219"/>
      <c r="BR82" s="219"/>
      <c r="BS82" s="219"/>
      <c r="BT82" s="275">
        <v>0</v>
      </c>
      <c r="BU82" s="275">
        <v>0</v>
      </c>
      <c r="BV82" s="275">
        <v>0.3</v>
      </c>
      <c r="BW82" s="279">
        <v>0.3</v>
      </c>
      <c r="BX82" s="275">
        <v>0.3</v>
      </c>
      <c r="BY82" s="275">
        <v>0.6</v>
      </c>
      <c r="BZ82" s="275">
        <v>0.2</v>
      </c>
      <c r="CA82" s="1343">
        <v>0.8</v>
      </c>
      <c r="CB82" s="1356"/>
      <c r="CC82" s="1356"/>
      <c r="CD82" s="1356"/>
      <c r="CE82" s="1356"/>
      <c r="CF82" s="1356"/>
      <c r="CG82" s="1356"/>
      <c r="CH82" s="1356"/>
      <c r="CI82" s="1356"/>
      <c r="CJ82" s="1356"/>
      <c r="CK82" s="1356"/>
    </row>
    <row r="83" spans="1:89" s="1357" customFormat="1" ht="48">
      <c r="A83" s="196"/>
      <c r="B83" s="270"/>
      <c r="C83" s="231">
        <v>80</v>
      </c>
      <c r="D83" s="541">
        <v>621</v>
      </c>
      <c r="E83" s="236" t="s">
        <v>1332</v>
      </c>
      <c r="F83" s="232" t="s">
        <v>1358</v>
      </c>
      <c r="G83" s="236" t="s">
        <v>1406</v>
      </c>
      <c r="H83" s="236" t="s">
        <v>89</v>
      </c>
      <c r="I83" s="236" t="s">
        <v>1398</v>
      </c>
      <c r="J83" s="236" t="s">
        <v>1405</v>
      </c>
      <c r="K83" s="236" t="s">
        <v>1404</v>
      </c>
      <c r="L83" s="237" t="s">
        <v>85</v>
      </c>
      <c r="M83" s="237">
        <v>4.5999999999999996</v>
      </c>
      <c r="N83" s="237">
        <v>2011</v>
      </c>
      <c r="O83" s="237">
        <v>12.8</v>
      </c>
      <c r="P83" s="1178">
        <v>5.82</v>
      </c>
      <c r="Q83" s="1179">
        <v>7.49</v>
      </c>
      <c r="R83" s="1180">
        <v>9.33</v>
      </c>
      <c r="S83" s="1180">
        <v>9.73</v>
      </c>
      <c r="T83" s="1194" t="s">
        <v>3161</v>
      </c>
      <c r="U83" s="1183" t="s">
        <v>1354</v>
      </c>
      <c r="V83" s="1183" t="s">
        <v>1403</v>
      </c>
      <c r="W83" s="1184" t="s">
        <v>3162</v>
      </c>
      <c r="X83" s="1189" t="s">
        <v>3163</v>
      </c>
      <c r="Y83" s="1264" t="s">
        <v>3164</v>
      </c>
      <c r="Z83" s="1280"/>
      <c r="AA83" s="1280"/>
      <c r="AB83" s="1298">
        <v>10.85</v>
      </c>
      <c r="AC83" s="1282">
        <v>11.02</v>
      </c>
      <c r="AD83" s="1283"/>
      <c r="AE83" s="1281"/>
      <c r="AF83" s="1298">
        <v>13.99</v>
      </c>
      <c r="AG83" s="1299">
        <v>14.3</v>
      </c>
      <c r="AH83" s="1299"/>
      <c r="AI83" s="1299"/>
      <c r="AJ83" s="1299">
        <v>10.6</v>
      </c>
      <c r="AK83" s="1299">
        <v>10.71</v>
      </c>
      <c r="AL83" s="1299"/>
      <c r="AM83" s="1299"/>
      <c r="AN83" s="1299">
        <v>19.28</v>
      </c>
      <c r="AO83" s="1299">
        <v>19.440000000000001</v>
      </c>
      <c r="AP83" s="1299"/>
      <c r="AQ83" s="1299"/>
      <c r="AR83" s="1299">
        <v>5.34</v>
      </c>
      <c r="AS83" s="1299">
        <v>5.73</v>
      </c>
      <c r="AT83" s="1300"/>
      <c r="AU83" s="1301"/>
      <c r="AV83" s="1297">
        <v>13.37</v>
      </c>
      <c r="AW83" s="1297">
        <v>13.68</v>
      </c>
      <c r="AX83" s="1297"/>
      <c r="AY83" s="1297"/>
      <c r="AZ83" s="1333">
        <v>12.13</v>
      </c>
      <c r="BA83" s="1333">
        <v>12.65</v>
      </c>
      <c r="BB83" s="1276">
        <v>568</v>
      </c>
      <c r="BC83" s="233">
        <v>569</v>
      </c>
      <c r="BD83" s="233">
        <v>572</v>
      </c>
      <c r="BE83" s="233">
        <v>577</v>
      </c>
      <c r="BF83" s="233">
        <v>578</v>
      </c>
      <c r="BG83" s="233">
        <v>579</v>
      </c>
      <c r="BH83" s="233">
        <v>580</v>
      </c>
      <c r="BI83" s="233">
        <v>581</v>
      </c>
      <c r="BJ83" s="233">
        <v>582</v>
      </c>
      <c r="BK83" s="233">
        <v>583</v>
      </c>
      <c r="BL83" s="233">
        <v>584</v>
      </c>
      <c r="BM83" s="233">
        <v>585</v>
      </c>
      <c r="BN83" s="233">
        <v>586</v>
      </c>
      <c r="BO83" s="233">
        <v>587</v>
      </c>
      <c r="BP83" s="233">
        <v>590</v>
      </c>
      <c r="BQ83" s="233">
        <v>591</v>
      </c>
      <c r="BR83" s="233">
        <v>592</v>
      </c>
      <c r="BS83" s="219"/>
      <c r="BT83" s="241">
        <v>0</v>
      </c>
      <c r="BU83" s="234">
        <v>0</v>
      </c>
      <c r="BV83" s="241">
        <v>3</v>
      </c>
      <c r="BW83" s="234">
        <v>7.5999999999999998E-2</v>
      </c>
      <c r="BX83" s="241">
        <v>3</v>
      </c>
      <c r="BY83" s="234">
        <v>0.106</v>
      </c>
      <c r="BZ83" s="241">
        <v>2.2000000000000002</v>
      </c>
      <c r="CA83" s="1354">
        <v>0.128</v>
      </c>
      <c r="CB83" s="1356"/>
      <c r="CC83" s="1356"/>
      <c r="CD83" s="1356"/>
      <c r="CE83" s="1356"/>
      <c r="CF83" s="1356"/>
      <c r="CG83" s="1356"/>
      <c r="CH83" s="1356"/>
      <c r="CI83" s="1356"/>
      <c r="CJ83" s="1356"/>
      <c r="CK83" s="1356"/>
    </row>
    <row r="84" spans="1:89" s="1357" customFormat="1" ht="60" hidden="1">
      <c r="A84" s="196"/>
      <c r="B84" s="270"/>
      <c r="C84" s="231">
        <v>56</v>
      </c>
      <c r="D84" s="541">
        <v>397</v>
      </c>
      <c r="E84" s="236" t="s">
        <v>20</v>
      </c>
      <c r="F84" s="232" t="s">
        <v>5</v>
      </c>
      <c r="G84" s="236" t="s">
        <v>1484</v>
      </c>
      <c r="H84" s="236" t="s">
        <v>107</v>
      </c>
      <c r="I84" s="236" t="s">
        <v>1398</v>
      </c>
      <c r="J84" s="236" t="s">
        <v>1486</v>
      </c>
      <c r="K84" s="236" t="s">
        <v>1485</v>
      </c>
      <c r="L84" s="237" t="s">
        <v>85</v>
      </c>
      <c r="M84" s="237">
        <v>0</v>
      </c>
      <c r="N84" s="237">
        <v>2011</v>
      </c>
      <c r="O84" s="237">
        <v>7</v>
      </c>
      <c r="P84" s="1178">
        <v>0</v>
      </c>
      <c r="Q84" s="1193">
        <v>0</v>
      </c>
      <c r="R84" s="1180">
        <v>0</v>
      </c>
      <c r="S84" s="1181"/>
      <c r="T84" s="1180"/>
      <c r="U84" s="1182"/>
      <c r="V84" s="1183"/>
      <c r="W84" s="1184"/>
      <c r="X84" s="1186"/>
      <c r="Y84" s="1264"/>
      <c r="Z84" s="1280"/>
      <c r="AA84" s="1280"/>
      <c r="AB84" s="1281"/>
      <c r="AC84" s="1282"/>
      <c r="AD84" s="1283"/>
      <c r="AE84" s="1281"/>
      <c r="AF84" s="1280"/>
      <c r="AG84" s="1280"/>
      <c r="AH84" s="1280"/>
      <c r="AI84" s="1280"/>
      <c r="AJ84" s="1280"/>
      <c r="AK84" s="1280"/>
      <c r="AL84" s="1280"/>
      <c r="AM84" s="1280"/>
      <c r="AN84" s="1280"/>
      <c r="AO84" s="1280"/>
      <c r="AP84" s="1280"/>
      <c r="AQ84" s="1280"/>
      <c r="AR84" s="1280"/>
      <c r="AS84" s="1280"/>
      <c r="AT84" s="1284"/>
      <c r="AU84" s="1285"/>
      <c r="AV84" s="1286"/>
      <c r="AW84" s="1286"/>
      <c r="AX84" s="1286"/>
      <c r="AY84" s="1286"/>
      <c r="AZ84" s="1287"/>
      <c r="BA84" s="1287"/>
      <c r="BB84" s="1276">
        <v>399</v>
      </c>
      <c r="BC84" s="233">
        <v>400</v>
      </c>
      <c r="BD84" s="233">
        <v>401</v>
      </c>
      <c r="BE84" s="233">
        <v>402</v>
      </c>
      <c r="BF84" s="233">
        <v>404</v>
      </c>
      <c r="BG84" s="233">
        <v>405</v>
      </c>
      <c r="BH84" s="233">
        <v>406</v>
      </c>
      <c r="BI84" s="233">
        <v>407</v>
      </c>
      <c r="BJ84" s="219"/>
      <c r="BK84" s="219"/>
      <c r="BL84" s="219"/>
      <c r="BM84" s="219"/>
      <c r="BN84" s="219"/>
      <c r="BO84" s="219"/>
      <c r="BP84" s="219"/>
      <c r="BQ84" s="219"/>
      <c r="BR84" s="219"/>
      <c r="BS84" s="219"/>
      <c r="BT84" s="280">
        <v>0</v>
      </c>
      <c r="BU84" s="281">
        <v>0</v>
      </c>
      <c r="BV84" s="241">
        <v>3</v>
      </c>
      <c r="BW84" s="283">
        <v>3</v>
      </c>
      <c r="BX84" s="280">
        <v>4</v>
      </c>
      <c r="BY84" s="283">
        <v>7</v>
      </c>
      <c r="BZ84" s="280">
        <v>0</v>
      </c>
      <c r="CA84" s="1338">
        <v>7</v>
      </c>
      <c r="CB84" s="1356"/>
      <c r="CC84" s="1356"/>
      <c r="CD84" s="1356"/>
      <c r="CE84" s="1356"/>
      <c r="CF84" s="1356"/>
      <c r="CG84" s="1356"/>
      <c r="CH84" s="1356"/>
      <c r="CI84" s="1356"/>
      <c r="CJ84" s="1356"/>
      <c r="CK84" s="1356"/>
    </row>
    <row r="85" spans="1:89" s="1357" customFormat="1" ht="180" hidden="1">
      <c r="A85" s="196"/>
      <c r="B85" s="270"/>
      <c r="C85" s="235">
        <v>39</v>
      </c>
      <c r="D85" s="541">
        <v>199</v>
      </c>
      <c r="E85" s="236" t="s">
        <v>1537</v>
      </c>
      <c r="F85" s="232" t="s">
        <v>4</v>
      </c>
      <c r="G85" s="236" t="s">
        <v>1525</v>
      </c>
      <c r="H85" s="236" t="s">
        <v>123</v>
      </c>
      <c r="I85" s="236" t="s">
        <v>1398</v>
      </c>
      <c r="J85" s="236" t="s">
        <v>1536</v>
      </c>
      <c r="K85" s="236" t="s">
        <v>1463</v>
      </c>
      <c r="L85" s="237" t="s">
        <v>85</v>
      </c>
      <c r="M85" s="237">
        <v>0</v>
      </c>
      <c r="N85" s="237">
        <v>2011</v>
      </c>
      <c r="O85" s="237">
        <v>25000</v>
      </c>
      <c r="P85" s="1317">
        <v>2342</v>
      </c>
      <c r="Q85" s="1318">
        <v>9134</v>
      </c>
      <c r="R85" s="1318">
        <v>14682</v>
      </c>
      <c r="S85" s="1318">
        <v>22541</v>
      </c>
      <c r="T85" s="1232" t="s">
        <v>1535</v>
      </c>
      <c r="U85" s="1233" t="s">
        <v>1353</v>
      </c>
      <c r="V85" s="1233" t="s">
        <v>1696</v>
      </c>
      <c r="W85" s="1234">
        <v>42369</v>
      </c>
      <c r="X85" s="1235" t="s">
        <v>1534</v>
      </c>
      <c r="Y85" s="1272" t="s">
        <v>3092</v>
      </c>
      <c r="Z85" s="1280"/>
      <c r="AA85" s="1280"/>
      <c r="AB85" s="1281"/>
      <c r="AC85" s="1282"/>
      <c r="AD85" s="1283"/>
      <c r="AE85" s="1281"/>
      <c r="AF85" s="1280"/>
      <c r="AG85" s="1280"/>
      <c r="AH85" s="1280"/>
      <c r="AI85" s="1280"/>
      <c r="AJ85" s="1280"/>
      <c r="AK85" s="1280"/>
      <c r="AL85" s="1280"/>
      <c r="AM85" s="1280"/>
      <c r="AN85" s="1280"/>
      <c r="AO85" s="1280"/>
      <c r="AP85" s="1280"/>
      <c r="AQ85" s="1280"/>
      <c r="AR85" s="1280"/>
      <c r="AS85" s="1280"/>
      <c r="AT85" s="1284"/>
      <c r="AU85" s="1285"/>
      <c r="AV85" s="1286"/>
      <c r="AW85" s="1286"/>
      <c r="AX85" s="1286"/>
      <c r="AY85" s="1286"/>
      <c r="AZ85" s="1287"/>
      <c r="BA85" s="1287"/>
      <c r="BB85" s="1276">
        <v>204</v>
      </c>
      <c r="BC85" s="233">
        <v>205</v>
      </c>
      <c r="BD85" s="233">
        <v>206</v>
      </c>
      <c r="BE85" s="233">
        <v>207</v>
      </c>
      <c r="BF85" s="233">
        <v>208</v>
      </c>
      <c r="BG85" s="233">
        <v>209</v>
      </c>
      <c r="BH85" s="233">
        <v>210</v>
      </c>
      <c r="BI85" s="233">
        <v>211</v>
      </c>
      <c r="BJ85" s="233">
        <v>212</v>
      </c>
      <c r="BK85" s="219"/>
      <c r="BL85" s="219"/>
      <c r="BM85" s="219"/>
      <c r="BN85" s="219"/>
      <c r="BO85" s="219"/>
      <c r="BP85" s="219"/>
      <c r="BQ85" s="219"/>
      <c r="BR85" s="219"/>
      <c r="BS85" s="219"/>
      <c r="BT85" s="272">
        <v>1950</v>
      </c>
      <c r="BU85" s="272">
        <v>1950</v>
      </c>
      <c r="BV85" s="272">
        <v>6600</v>
      </c>
      <c r="BW85" s="272">
        <v>8550</v>
      </c>
      <c r="BX85" s="272">
        <v>6700</v>
      </c>
      <c r="BY85" s="272">
        <v>15250</v>
      </c>
      <c r="BZ85" s="272">
        <v>9750</v>
      </c>
      <c r="CA85" s="1339">
        <v>25000</v>
      </c>
      <c r="CB85" s="1356"/>
      <c r="CC85" s="1356"/>
      <c r="CD85" s="1356"/>
      <c r="CE85" s="1356"/>
      <c r="CF85" s="1356"/>
      <c r="CG85" s="1356"/>
      <c r="CH85" s="1356"/>
      <c r="CI85" s="1356"/>
      <c r="CJ85" s="1356"/>
      <c r="CK85" s="1356"/>
    </row>
    <row r="86" spans="1:89" s="1357" customFormat="1" ht="25.5">
      <c r="A86" s="196"/>
      <c r="B86" s="269"/>
      <c r="C86" s="235">
        <v>83</v>
      </c>
      <c r="D86" s="541">
        <v>650</v>
      </c>
      <c r="E86" s="232" t="s">
        <v>1334</v>
      </c>
      <c r="F86" s="232" t="s">
        <v>4</v>
      </c>
      <c r="G86" s="232"/>
      <c r="H86" s="236" t="s">
        <v>1394</v>
      </c>
      <c r="I86" s="249" t="s">
        <v>1356</v>
      </c>
      <c r="J86" s="236" t="s">
        <v>1393</v>
      </c>
      <c r="K86" s="232"/>
      <c r="L86" s="237" t="s">
        <v>85</v>
      </c>
      <c r="M86" s="238">
        <v>0.84</v>
      </c>
      <c r="N86" s="237">
        <v>2011</v>
      </c>
      <c r="O86" s="1230">
        <v>0.87</v>
      </c>
      <c r="P86" s="1236"/>
      <c r="Q86" s="1236"/>
      <c r="R86" s="1237"/>
      <c r="S86" s="1238"/>
      <c r="T86" s="1239"/>
      <c r="U86" s="1240"/>
      <c r="V86" s="1241" t="s">
        <v>1364</v>
      </c>
      <c r="W86" s="1242"/>
      <c r="X86" s="1243"/>
      <c r="Y86" s="1273"/>
      <c r="Z86" s="1280"/>
      <c r="AA86" s="1280"/>
      <c r="AB86" s="1281"/>
      <c r="AC86" s="1291"/>
      <c r="AD86" s="1283"/>
      <c r="AE86" s="1281"/>
      <c r="AF86" s="1280"/>
      <c r="AG86" s="1280"/>
      <c r="AH86" s="1280"/>
      <c r="AI86" s="1280"/>
      <c r="AJ86" s="1280"/>
      <c r="AK86" s="1280"/>
      <c r="AL86" s="1280"/>
      <c r="AM86" s="1280"/>
      <c r="AN86" s="1280"/>
      <c r="AO86" s="1280"/>
      <c r="AP86" s="1280"/>
      <c r="AQ86" s="1280"/>
      <c r="AR86" s="1280"/>
      <c r="AS86" s="1280"/>
      <c r="AT86" s="1284"/>
      <c r="AU86" s="1285"/>
      <c r="AV86" s="1286"/>
      <c r="AW86" s="1286"/>
      <c r="AX86" s="1286"/>
      <c r="AY86" s="1286"/>
      <c r="AZ86" s="1287"/>
      <c r="BA86" s="1287"/>
      <c r="BB86" s="1277"/>
      <c r="BC86" s="219"/>
      <c r="BD86" s="219"/>
      <c r="BE86" s="219"/>
      <c r="BF86" s="219"/>
      <c r="BG86" s="219"/>
      <c r="BH86" s="219"/>
      <c r="BI86" s="219"/>
      <c r="BJ86" s="219"/>
      <c r="BK86" s="219"/>
      <c r="BL86" s="219"/>
      <c r="BM86" s="219"/>
      <c r="BN86" s="219"/>
      <c r="BO86" s="219"/>
      <c r="BP86" s="219"/>
      <c r="BQ86" s="219"/>
      <c r="BR86" s="219"/>
      <c r="BS86" s="219"/>
      <c r="BT86" s="272">
        <v>0</v>
      </c>
      <c r="BU86" s="272">
        <v>0</v>
      </c>
      <c r="BV86" s="272">
        <v>0</v>
      </c>
      <c r="BW86" s="272">
        <v>0</v>
      </c>
      <c r="BX86" s="272">
        <v>0</v>
      </c>
      <c r="BY86" s="272">
        <v>0</v>
      </c>
      <c r="BZ86" s="272">
        <v>0</v>
      </c>
      <c r="CA86" s="1339">
        <v>0</v>
      </c>
      <c r="CB86" s="1356"/>
      <c r="CC86" s="1356"/>
      <c r="CD86" s="1356"/>
      <c r="CE86" s="1356"/>
      <c r="CF86" s="1356"/>
      <c r="CG86" s="1356"/>
      <c r="CH86" s="1356"/>
      <c r="CI86" s="1356"/>
      <c r="CJ86" s="1356"/>
      <c r="CK86" s="1356"/>
    </row>
    <row r="87" spans="1:89" s="1357" customFormat="1" ht="48" hidden="1">
      <c r="A87" s="196"/>
      <c r="B87" s="269"/>
      <c r="C87" s="231">
        <v>84</v>
      </c>
      <c r="D87" s="541">
        <v>651</v>
      </c>
      <c r="E87" s="232" t="s">
        <v>1368</v>
      </c>
      <c r="F87" s="232" t="s">
        <v>4</v>
      </c>
      <c r="G87" s="232"/>
      <c r="H87" s="236" t="s">
        <v>1392</v>
      </c>
      <c r="I87" s="249" t="s">
        <v>1356</v>
      </c>
      <c r="J87" s="236" t="s">
        <v>1390</v>
      </c>
      <c r="K87" s="232"/>
      <c r="L87" s="237" t="s">
        <v>1369</v>
      </c>
      <c r="M87" s="248">
        <v>25.259999999999998</v>
      </c>
      <c r="N87" s="237">
        <v>2011</v>
      </c>
      <c r="O87" s="1230">
        <v>20</v>
      </c>
      <c r="P87" s="1236">
        <v>23.3</v>
      </c>
      <c r="Q87" s="1236">
        <v>18.899999999999999</v>
      </c>
      <c r="R87" s="1237">
        <v>16.899999999999999</v>
      </c>
      <c r="S87" s="1238"/>
      <c r="T87" s="1244" t="s">
        <v>1614</v>
      </c>
      <c r="U87" s="1245" t="s">
        <v>1352</v>
      </c>
      <c r="V87" s="1246" t="s">
        <v>1364</v>
      </c>
      <c r="W87" s="1242">
        <v>42004</v>
      </c>
      <c r="X87" s="1243" t="s">
        <v>3210</v>
      </c>
      <c r="Y87" s="1273" t="s">
        <v>3211</v>
      </c>
      <c r="Z87" s="1280"/>
      <c r="AA87" s="1280"/>
      <c r="AB87" s="1281"/>
      <c r="AC87" s="1291"/>
      <c r="AD87" s="1283"/>
      <c r="AE87" s="1281"/>
      <c r="AF87" s="1280"/>
      <c r="AG87" s="1280"/>
      <c r="AH87" s="1280"/>
      <c r="AI87" s="1280"/>
      <c r="AJ87" s="1280"/>
      <c r="AK87" s="1280"/>
      <c r="AL87" s="1280"/>
      <c r="AM87" s="1280"/>
      <c r="AN87" s="1280"/>
      <c r="AO87" s="1280"/>
      <c r="AP87" s="1280"/>
      <c r="AQ87" s="1280"/>
      <c r="AR87" s="1280"/>
      <c r="AS87" s="1280"/>
      <c r="AT87" s="1284"/>
      <c r="AU87" s="1285"/>
      <c r="AV87" s="1286"/>
      <c r="AW87" s="1286"/>
      <c r="AX87" s="1286"/>
      <c r="AY87" s="1286"/>
      <c r="AZ87" s="1287"/>
      <c r="BA87" s="1287"/>
      <c r="BB87" s="1277"/>
      <c r="BC87" s="219"/>
      <c r="BD87" s="219"/>
      <c r="BE87" s="219"/>
      <c r="BF87" s="219"/>
      <c r="BG87" s="219"/>
      <c r="BH87" s="219"/>
      <c r="BI87" s="219"/>
      <c r="BJ87" s="219"/>
      <c r="BK87" s="219"/>
      <c r="BL87" s="219"/>
      <c r="BM87" s="219"/>
      <c r="BN87" s="219"/>
      <c r="BO87" s="219"/>
      <c r="BP87" s="219"/>
      <c r="BQ87" s="219"/>
      <c r="BR87" s="219"/>
      <c r="BS87" s="219"/>
      <c r="BT87" s="272">
        <v>0</v>
      </c>
      <c r="BU87" s="272">
        <v>0</v>
      </c>
      <c r="BV87" s="272">
        <v>0</v>
      </c>
      <c r="BW87" s="272">
        <v>0</v>
      </c>
      <c r="BX87" s="272">
        <v>0</v>
      </c>
      <c r="BY87" s="272">
        <v>0</v>
      </c>
      <c r="BZ87" s="272">
        <v>0</v>
      </c>
      <c r="CA87" s="1339">
        <v>0</v>
      </c>
      <c r="CB87" s="1356"/>
      <c r="CC87" s="1356"/>
      <c r="CD87" s="1356"/>
      <c r="CE87" s="1356"/>
      <c r="CF87" s="1356"/>
      <c r="CG87" s="1356"/>
      <c r="CH87" s="1356"/>
      <c r="CI87" s="1356"/>
      <c r="CJ87" s="1356"/>
      <c r="CK87" s="1356"/>
    </row>
    <row r="88" spans="1:89" s="1357" customFormat="1" ht="48" hidden="1">
      <c r="A88" s="196"/>
      <c r="B88" s="269"/>
      <c r="C88" s="235">
        <v>85</v>
      </c>
      <c r="D88" s="541">
        <v>652</v>
      </c>
      <c r="E88" s="232" t="s">
        <v>1368</v>
      </c>
      <c r="F88" s="232" t="s">
        <v>4</v>
      </c>
      <c r="G88" s="232"/>
      <c r="H88" s="236" t="s">
        <v>1391</v>
      </c>
      <c r="I88" s="249" t="s">
        <v>1356</v>
      </c>
      <c r="J88" s="236" t="s">
        <v>1390</v>
      </c>
      <c r="K88" s="232"/>
      <c r="L88" s="237" t="s">
        <v>1369</v>
      </c>
      <c r="M88" s="248">
        <v>7.8</v>
      </c>
      <c r="N88" s="237">
        <v>2011</v>
      </c>
      <c r="O88" s="1230">
        <v>6</v>
      </c>
      <c r="P88" s="1236">
        <v>6.3</v>
      </c>
      <c r="Q88" s="1236">
        <v>5</v>
      </c>
      <c r="R88" s="1237">
        <v>3.8</v>
      </c>
      <c r="S88" s="1238"/>
      <c r="T88" s="1244" t="s">
        <v>1614</v>
      </c>
      <c r="U88" s="1245" t="s">
        <v>1352</v>
      </c>
      <c r="V88" s="1246" t="s">
        <v>1364</v>
      </c>
      <c r="W88" s="1242">
        <v>42004</v>
      </c>
      <c r="X88" s="1243" t="s">
        <v>3210</v>
      </c>
      <c r="Y88" s="1273" t="s">
        <v>3212</v>
      </c>
      <c r="Z88" s="1280"/>
      <c r="AA88" s="1280"/>
      <c r="AB88" s="1281"/>
      <c r="AC88" s="1282"/>
      <c r="AD88" s="1283"/>
      <c r="AE88" s="1281"/>
      <c r="AF88" s="1280"/>
      <c r="AG88" s="1280"/>
      <c r="AH88" s="1280"/>
      <c r="AI88" s="1280"/>
      <c r="AJ88" s="1280"/>
      <c r="AK88" s="1280"/>
      <c r="AL88" s="1280"/>
      <c r="AM88" s="1280"/>
      <c r="AN88" s="1280"/>
      <c r="AO88" s="1280"/>
      <c r="AP88" s="1280"/>
      <c r="AQ88" s="1280"/>
      <c r="AR88" s="1280"/>
      <c r="AS88" s="1280"/>
      <c r="AT88" s="1284"/>
      <c r="AU88" s="1285"/>
      <c r="AV88" s="1286"/>
      <c r="AW88" s="1286"/>
      <c r="AX88" s="1286"/>
      <c r="AY88" s="1286"/>
      <c r="AZ88" s="1287"/>
      <c r="BA88" s="1287"/>
      <c r="BB88" s="1277"/>
      <c r="BC88" s="219"/>
      <c r="BD88" s="219"/>
      <c r="BE88" s="219"/>
      <c r="BF88" s="219"/>
      <c r="BG88" s="219"/>
      <c r="BH88" s="219"/>
      <c r="BI88" s="219"/>
      <c r="BJ88" s="219"/>
      <c r="BK88" s="219"/>
      <c r="BL88" s="219"/>
      <c r="BM88" s="219"/>
      <c r="BN88" s="219"/>
      <c r="BO88" s="219"/>
      <c r="BP88" s="219"/>
      <c r="BQ88" s="219"/>
      <c r="BR88" s="219"/>
      <c r="BS88" s="219"/>
      <c r="BT88" s="272">
        <v>0</v>
      </c>
      <c r="BU88" s="272">
        <v>0</v>
      </c>
      <c r="BV88" s="272">
        <v>0</v>
      </c>
      <c r="BW88" s="272">
        <v>0</v>
      </c>
      <c r="BX88" s="272">
        <v>0</v>
      </c>
      <c r="BY88" s="272">
        <v>0</v>
      </c>
      <c r="BZ88" s="272">
        <v>0</v>
      </c>
      <c r="CA88" s="1339">
        <v>0</v>
      </c>
      <c r="CB88" s="1356"/>
      <c r="CC88" s="1356"/>
      <c r="CD88" s="1356"/>
      <c r="CE88" s="1356"/>
      <c r="CF88" s="1356"/>
      <c r="CG88" s="1356"/>
      <c r="CH88" s="1356"/>
      <c r="CI88" s="1356"/>
      <c r="CJ88" s="1356"/>
      <c r="CK88" s="1356"/>
    </row>
    <row r="89" spans="1:89" s="1357" customFormat="1" ht="25.5" hidden="1">
      <c r="A89" s="196"/>
      <c r="B89" s="269"/>
      <c r="C89" s="231">
        <v>86</v>
      </c>
      <c r="D89" s="541">
        <v>653</v>
      </c>
      <c r="E89" s="232" t="s">
        <v>1333</v>
      </c>
      <c r="F89" s="232" t="s">
        <v>4</v>
      </c>
      <c r="G89" s="232"/>
      <c r="H89" s="236" t="s">
        <v>1389</v>
      </c>
      <c r="I89" s="249" t="s">
        <v>1356</v>
      </c>
      <c r="J89" s="236" t="s">
        <v>1388</v>
      </c>
      <c r="K89" s="232"/>
      <c r="L89" s="237" t="s">
        <v>1369</v>
      </c>
      <c r="M89" s="248">
        <v>13.43</v>
      </c>
      <c r="N89" s="237">
        <v>2011</v>
      </c>
      <c r="O89" s="1230">
        <v>13.43</v>
      </c>
      <c r="P89" s="1236">
        <v>2.9</v>
      </c>
      <c r="Q89" s="1236">
        <v>8.1999999999999993</v>
      </c>
      <c r="R89" s="1237"/>
      <c r="S89" s="1238"/>
      <c r="T89" s="1247" t="s">
        <v>1387</v>
      </c>
      <c r="U89" s="1240"/>
      <c r="V89" s="1241" t="s">
        <v>1364</v>
      </c>
      <c r="W89" s="1242"/>
      <c r="X89" s="1243"/>
      <c r="Y89" s="1273"/>
      <c r="Z89" s="1280"/>
      <c r="AA89" s="1280"/>
      <c r="AB89" s="1281"/>
      <c r="AC89" s="1282"/>
      <c r="AD89" s="1283"/>
      <c r="AE89" s="1281"/>
      <c r="AF89" s="1280"/>
      <c r="AG89" s="1280"/>
      <c r="AH89" s="1280"/>
      <c r="AI89" s="1280"/>
      <c r="AJ89" s="1280"/>
      <c r="AK89" s="1280"/>
      <c r="AL89" s="1280"/>
      <c r="AM89" s="1280"/>
      <c r="AN89" s="1280"/>
      <c r="AO89" s="1280"/>
      <c r="AP89" s="1280"/>
      <c r="AQ89" s="1280"/>
      <c r="AR89" s="1280"/>
      <c r="AS89" s="1280"/>
      <c r="AT89" s="1284"/>
      <c r="AU89" s="1285"/>
      <c r="AV89" s="1286"/>
      <c r="AW89" s="1286"/>
      <c r="AX89" s="1286"/>
      <c r="AY89" s="1286"/>
      <c r="AZ89" s="1287"/>
      <c r="BA89" s="1287"/>
      <c r="BB89" s="1277"/>
      <c r="BC89" s="219"/>
      <c r="BD89" s="219"/>
      <c r="BE89" s="219"/>
      <c r="BF89" s="219"/>
      <c r="BG89" s="219"/>
      <c r="BH89" s="219"/>
      <c r="BI89" s="219"/>
      <c r="BJ89" s="219"/>
      <c r="BK89" s="219"/>
      <c r="BL89" s="219"/>
      <c r="BM89" s="219"/>
      <c r="BN89" s="219"/>
      <c r="BO89" s="219"/>
      <c r="BP89" s="219"/>
      <c r="BQ89" s="219"/>
      <c r="BR89" s="219"/>
      <c r="BS89" s="219"/>
      <c r="BT89" s="272">
        <v>0</v>
      </c>
      <c r="BU89" s="272">
        <v>0</v>
      </c>
      <c r="BV89" s="272">
        <v>0</v>
      </c>
      <c r="BW89" s="272">
        <v>0</v>
      </c>
      <c r="BX89" s="272">
        <v>0</v>
      </c>
      <c r="BY89" s="272">
        <v>0</v>
      </c>
      <c r="BZ89" s="272">
        <v>0</v>
      </c>
      <c r="CA89" s="1339">
        <v>0</v>
      </c>
      <c r="CB89" s="1356"/>
      <c r="CC89" s="1356"/>
      <c r="CD89" s="1356"/>
      <c r="CE89" s="1356"/>
      <c r="CF89" s="1356"/>
      <c r="CG89" s="1356"/>
      <c r="CH89" s="1356"/>
      <c r="CI89" s="1356"/>
      <c r="CJ89" s="1356"/>
      <c r="CK89" s="1356"/>
    </row>
    <row r="90" spans="1:89" s="1357" customFormat="1" ht="25.5" hidden="1">
      <c r="A90" s="196"/>
      <c r="B90" s="269"/>
      <c r="C90" s="235">
        <v>87</v>
      </c>
      <c r="D90" s="541">
        <v>654</v>
      </c>
      <c r="E90" s="232" t="s">
        <v>1333</v>
      </c>
      <c r="F90" s="232" t="s">
        <v>4</v>
      </c>
      <c r="G90" s="232"/>
      <c r="H90" s="236" t="s">
        <v>1386</v>
      </c>
      <c r="I90" s="249" t="s">
        <v>1356</v>
      </c>
      <c r="J90" s="236" t="s">
        <v>1385</v>
      </c>
      <c r="K90" s="232"/>
      <c r="L90" s="237" t="s">
        <v>1369</v>
      </c>
      <c r="M90" s="238">
        <v>10.43</v>
      </c>
      <c r="N90" s="237">
        <v>2011</v>
      </c>
      <c r="O90" s="1230">
        <v>10.43</v>
      </c>
      <c r="P90" s="1236"/>
      <c r="Q90" s="1236"/>
      <c r="R90" s="1237"/>
      <c r="S90" s="1238"/>
      <c r="T90" s="1239"/>
      <c r="U90" s="1240"/>
      <c r="V90" s="1241" t="s">
        <v>1364</v>
      </c>
      <c r="W90" s="1242"/>
      <c r="X90" s="1243"/>
      <c r="Y90" s="1273"/>
      <c r="Z90" s="1280"/>
      <c r="AA90" s="1280"/>
      <c r="AB90" s="1281"/>
      <c r="AC90" s="1282"/>
      <c r="AD90" s="1283"/>
      <c r="AE90" s="1281"/>
      <c r="AF90" s="1280"/>
      <c r="AG90" s="1280"/>
      <c r="AH90" s="1280"/>
      <c r="AI90" s="1280"/>
      <c r="AJ90" s="1280"/>
      <c r="AK90" s="1280"/>
      <c r="AL90" s="1280"/>
      <c r="AM90" s="1280"/>
      <c r="AN90" s="1280"/>
      <c r="AO90" s="1280"/>
      <c r="AP90" s="1280"/>
      <c r="AQ90" s="1280"/>
      <c r="AR90" s="1280"/>
      <c r="AS90" s="1280"/>
      <c r="AT90" s="1284"/>
      <c r="AU90" s="1285"/>
      <c r="AV90" s="1286"/>
      <c r="AW90" s="1286"/>
      <c r="AX90" s="1286"/>
      <c r="AY90" s="1286"/>
      <c r="AZ90" s="1287"/>
      <c r="BA90" s="1287"/>
      <c r="BB90" s="1277"/>
      <c r="BC90" s="219"/>
      <c r="BD90" s="219"/>
      <c r="BE90" s="219"/>
      <c r="BF90" s="219"/>
      <c r="BG90" s="219"/>
      <c r="BH90" s="219"/>
      <c r="BI90" s="219"/>
      <c r="BJ90" s="219"/>
      <c r="BK90" s="219"/>
      <c r="BL90" s="219"/>
      <c r="BM90" s="219"/>
      <c r="BN90" s="219"/>
      <c r="BO90" s="219"/>
      <c r="BP90" s="219"/>
      <c r="BQ90" s="219"/>
      <c r="BR90" s="219"/>
      <c r="BS90" s="219"/>
      <c r="BT90" s="272">
        <v>0</v>
      </c>
      <c r="BU90" s="272">
        <v>0</v>
      </c>
      <c r="BV90" s="272">
        <v>0</v>
      </c>
      <c r="BW90" s="272">
        <v>0</v>
      </c>
      <c r="BX90" s="272">
        <v>0</v>
      </c>
      <c r="BY90" s="272">
        <v>0</v>
      </c>
      <c r="BZ90" s="272">
        <v>0</v>
      </c>
      <c r="CA90" s="1339">
        <v>0</v>
      </c>
      <c r="CB90" s="1356"/>
      <c r="CC90" s="1356"/>
      <c r="CD90" s="1356"/>
      <c r="CE90" s="1356"/>
      <c r="CF90" s="1356"/>
      <c r="CG90" s="1356"/>
      <c r="CH90" s="1356"/>
      <c r="CI90" s="1356"/>
      <c r="CJ90" s="1356"/>
      <c r="CK90" s="1356"/>
    </row>
    <row r="91" spans="1:89" s="1357" customFormat="1" ht="25.5" hidden="1">
      <c r="A91" s="196"/>
      <c r="B91" s="269"/>
      <c r="C91" s="231">
        <v>88</v>
      </c>
      <c r="D91" s="541">
        <v>655</v>
      </c>
      <c r="E91" s="232" t="s">
        <v>1368</v>
      </c>
      <c r="F91" s="232" t="s">
        <v>4</v>
      </c>
      <c r="G91" s="232"/>
      <c r="H91" s="236" t="s">
        <v>1384</v>
      </c>
      <c r="I91" s="249" t="s">
        <v>1356</v>
      </c>
      <c r="J91" s="236" t="s">
        <v>1383</v>
      </c>
      <c r="K91" s="232"/>
      <c r="L91" s="237" t="s">
        <v>1382</v>
      </c>
      <c r="M91" s="248">
        <v>42.9</v>
      </c>
      <c r="N91" s="237">
        <v>2011</v>
      </c>
      <c r="O91" s="1230">
        <v>42.9</v>
      </c>
      <c r="P91" s="1236">
        <v>10</v>
      </c>
      <c r="Q91" s="1236"/>
      <c r="R91" s="1237"/>
      <c r="S91" s="1238"/>
      <c r="T91" s="1248" t="s">
        <v>1381</v>
      </c>
      <c r="U91" s="1245" t="s">
        <v>1352</v>
      </c>
      <c r="V91" s="1246" t="s">
        <v>1364</v>
      </c>
      <c r="W91" s="1242"/>
      <c r="X91" s="1243" t="s">
        <v>3213</v>
      </c>
      <c r="Y91" s="1273"/>
      <c r="Z91" s="1280"/>
      <c r="AA91" s="1280"/>
      <c r="AB91" s="1281"/>
      <c r="AC91" s="1282"/>
      <c r="AD91" s="1283"/>
      <c r="AE91" s="1281"/>
      <c r="AF91" s="1280"/>
      <c r="AG91" s="1280"/>
      <c r="AH91" s="1280"/>
      <c r="AI91" s="1280"/>
      <c r="AJ91" s="1280"/>
      <c r="AK91" s="1280"/>
      <c r="AL91" s="1280"/>
      <c r="AM91" s="1280"/>
      <c r="AN91" s="1280"/>
      <c r="AO91" s="1280"/>
      <c r="AP91" s="1280"/>
      <c r="AQ91" s="1280"/>
      <c r="AR91" s="1280"/>
      <c r="AS91" s="1280"/>
      <c r="AT91" s="1284"/>
      <c r="AU91" s="1285"/>
      <c r="AV91" s="1286"/>
      <c r="AW91" s="1286"/>
      <c r="AX91" s="1286"/>
      <c r="AY91" s="1286"/>
      <c r="AZ91" s="1287"/>
      <c r="BA91" s="1287"/>
      <c r="BB91" s="1277"/>
      <c r="BC91" s="219"/>
      <c r="BD91" s="219"/>
      <c r="BE91" s="219"/>
      <c r="BF91" s="219"/>
      <c r="BG91" s="219"/>
      <c r="BH91" s="219"/>
      <c r="BI91" s="219"/>
      <c r="BJ91" s="219"/>
      <c r="BK91" s="219"/>
      <c r="BL91" s="219"/>
      <c r="BM91" s="219"/>
      <c r="BN91" s="219"/>
      <c r="BO91" s="219"/>
      <c r="BP91" s="219"/>
      <c r="BQ91" s="219"/>
      <c r="BR91" s="219"/>
      <c r="BS91" s="219"/>
      <c r="BT91" s="272">
        <v>0</v>
      </c>
      <c r="BU91" s="272">
        <v>0</v>
      </c>
      <c r="BV91" s="272">
        <v>0</v>
      </c>
      <c r="BW91" s="272">
        <v>0</v>
      </c>
      <c r="BX91" s="272">
        <v>0</v>
      </c>
      <c r="BY91" s="272">
        <v>0</v>
      </c>
      <c r="BZ91" s="272">
        <v>0</v>
      </c>
      <c r="CA91" s="1339">
        <v>0</v>
      </c>
      <c r="CB91" s="1356"/>
      <c r="CC91" s="1356"/>
      <c r="CD91" s="1356"/>
      <c r="CE91" s="1356"/>
      <c r="CF91" s="1356"/>
      <c r="CG91" s="1356"/>
      <c r="CH91" s="1356"/>
      <c r="CI91" s="1356"/>
      <c r="CJ91" s="1356"/>
      <c r="CK91" s="1356"/>
    </row>
    <row r="92" spans="1:89" s="1357" customFormat="1" ht="25.5" hidden="1">
      <c r="A92" s="196"/>
      <c r="B92" s="269"/>
      <c r="C92" s="235">
        <v>89</v>
      </c>
      <c r="D92" s="541">
        <v>656</v>
      </c>
      <c r="E92" s="232" t="s">
        <v>1347</v>
      </c>
      <c r="F92" s="232" t="s">
        <v>5</v>
      </c>
      <c r="G92" s="232"/>
      <c r="H92" s="236" t="s">
        <v>1380</v>
      </c>
      <c r="I92" s="249" t="s">
        <v>1356</v>
      </c>
      <c r="J92" s="236" t="s">
        <v>85</v>
      </c>
      <c r="K92" s="232"/>
      <c r="L92" s="237" t="s">
        <v>85</v>
      </c>
      <c r="M92" s="248">
        <v>18.899999999999999</v>
      </c>
      <c r="N92" s="237">
        <v>2011</v>
      </c>
      <c r="O92" s="1230"/>
      <c r="P92" s="1236">
        <v>12.15</v>
      </c>
      <c r="Q92" s="1236">
        <v>11.91</v>
      </c>
      <c r="R92" s="1237"/>
      <c r="S92" s="1188"/>
      <c r="T92" s="1239"/>
      <c r="U92" s="1240"/>
      <c r="V92" s="1241" t="s">
        <v>1360</v>
      </c>
      <c r="W92" s="1242"/>
      <c r="X92" s="1249" t="s">
        <v>3195</v>
      </c>
      <c r="Y92" s="1273" t="s">
        <v>3196</v>
      </c>
      <c r="Z92" s="1280"/>
      <c r="AA92" s="1280"/>
      <c r="AB92" s="1281"/>
      <c r="AC92" s="1282"/>
      <c r="AD92" s="1283"/>
      <c r="AE92" s="1281"/>
      <c r="AF92" s="1280"/>
      <c r="AG92" s="1280"/>
      <c r="AH92" s="1280"/>
      <c r="AI92" s="1280"/>
      <c r="AJ92" s="1280"/>
      <c r="AK92" s="1280"/>
      <c r="AL92" s="1280"/>
      <c r="AM92" s="1280"/>
      <c r="AN92" s="1280"/>
      <c r="AO92" s="1280"/>
      <c r="AP92" s="1280"/>
      <c r="AQ92" s="1280"/>
      <c r="AR92" s="1280"/>
      <c r="AS92" s="1280"/>
      <c r="AT92" s="1284"/>
      <c r="AU92" s="1285"/>
      <c r="AV92" s="1286"/>
      <c r="AW92" s="1286"/>
      <c r="AX92" s="1286"/>
      <c r="AY92" s="1286"/>
      <c r="AZ92" s="1287"/>
      <c r="BA92" s="1287"/>
      <c r="BB92" s="1277"/>
      <c r="BC92" s="219"/>
      <c r="BD92" s="219"/>
      <c r="BE92" s="219"/>
      <c r="BF92" s="219"/>
      <c r="BG92" s="219"/>
      <c r="BH92" s="219"/>
      <c r="BI92" s="219"/>
      <c r="BJ92" s="219"/>
      <c r="BK92" s="219"/>
      <c r="BL92" s="219"/>
      <c r="BM92" s="219"/>
      <c r="BN92" s="219"/>
      <c r="BO92" s="219"/>
      <c r="BP92" s="219"/>
      <c r="BQ92" s="219"/>
      <c r="BR92" s="219"/>
      <c r="BS92" s="219"/>
      <c r="BT92" s="272">
        <v>0</v>
      </c>
      <c r="BU92" s="272">
        <v>0</v>
      </c>
      <c r="BV92" s="272">
        <v>0</v>
      </c>
      <c r="BW92" s="272">
        <v>0</v>
      </c>
      <c r="BX92" s="272">
        <v>0</v>
      </c>
      <c r="BY92" s="272">
        <v>0</v>
      </c>
      <c r="BZ92" s="272">
        <v>0</v>
      </c>
      <c r="CA92" s="1339">
        <v>0</v>
      </c>
      <c r="CB92" s="1356"/>
      <c r="CC92" s="1356"/>
      <c r="CD92" s="1356"/>
      <c r="CE92" s="1356"/>
      <c r="CF92" s="1356"/>
      <c r="CG92" s="1356"/>
      <c r="CH92" s="1356"/>
      <c r="CI92" s="1356"/>
      <c r="CJ92" s="1356"/>
      <c r="CK92" s="1356"/>
    </row>
    <row r="93" spans="1:89" s="1357" customFormat="1" ht="36" hidden="1">
      <c r="A93" s="196"/>
      <c r="B93" s="271"/>
      <c r="C93" s="231">
        <v>90</v>
      </c>
      <c r="D93" s="541">
        <v>657</v>
      </c>
      <c r="E93" s="232" t="s">
        <v>1347</v>
      </c>
      <c r="F93" s="232" t="s">
        <v>5</v>
      </c>
      <c r="G93" s="232"/>
      <c r="H93" s="236" t="s">
        <v>1379</v>
      </c>
      <c r="I93" s="249" t="s">
        <v>1356</v>
      </c>
      <c r="J93" s="236" t="s">
        <v>84</v>
      </c>
      <c r="K93" s="232"/>
      <c r="L93" s="237" t="s">
        <v>1369</v>
      </c>
      <c r="M93" s="248">
        <v>31.900000000000002</v>
      </c>
      <c r="N93" s="237">
        <v>2011</v>
      </c>
      <c r="O93" s="1230">
        <v>26.9</v>
      </c>
      <c r="P93" s="1236">
        <v>31.9</v>
      </c>
      <c r="Q93" s="1236">
        <v>31.9</v>
      </c>
      <c r="R93" s="1237">
        <v>31.9</v>
      </c>
      <c r="S93" s="1188"/>
      <c r="T93" s="1239"/>
      <c r="U93" s="1240"/>
      <c r="V93" s="1241" t="s">
        <v>1360</v>
      </c>
      <c r="W93" s="1242"/>
      <c r="X93" s="1250"/>
      <c r="Y93" s="1273"/>
      <c r="Z93" s="1280"/>
      <c r="AA93" s="1280"/>
      <c r="AB93" s="1281"/>
      <c r="AC93" s="1282"/>
      <c r="AD93" s="1283"/>
      <c r="AE93" s="1281"/>
      <c r="AF93" s="1280"/>
      <c r="AG93" s="1280"/>
      <c r="AH93" s="1280"/>
      <c r="AI93" s="1280"/>
      <c r="AJ93" s="1280"/>
      <c r="AK93" s="1280"/>
      <c r="AL93" s="1280"/>
      <c r="AM93" s="1280"/>
      <c r="AN93" s="1280"/>
      <c r="AO93" s="1280"/>
      <c r="AP93" s="1280"/>
      <c r="AQ93" s="1280"/>
      <c r="AR93" s="1280"/>
      <c r="AS93" s="1280"/>
      <c r="AT93" s="1284"/>
      <c r="AU93" s="1285"/>
      <c r="AV93" s="1286"/>
      <c r="AW93" s="1286"/>
      <c r="AX93" s="1286"/>
      <c r="AY93" s="1286"/>
      <c r="AZ93" s="1287"/>
      <c r="BA93" s="1287"/>
      <c r="BB93" s="1277"/>
      <c r="BC93" s="219"/>
      <c r="BD93" s="219"/>
      <c r="BE93" s="219"/>
      <c r="BF93" s="219"/>
      <c r="BG93" s="219"/>
      <c r="BH93" s="219"/>
      <c r="BI93" s="219"/>
      <c r="BJ93" s="219"/>
      <c r="BK93" s="219"/>
      <c r="BL93" s="219"/>
      <c r="BM93" s="219"/>
      <c r="BN93" s="219"/>
      <c r="BO93" s="219"/>
      <c r="BP93" s="219"/>
      <c r="BQ93" s="219"/>
      <c r="BR93" s="219"/>
      <c r="BS93" s="219"/>
      <c r="BT93" s="272">
        <v>0</v>
      </c>
      <c r="BU93" s="272">
        <v>0</v>
      </c>
      <c r="BV93" s="272">
        <v>0</v>
      </c>
      <c r="BW93" s="272">
        <v>0</v>
      </c>
      <c r="BX93" s="272">
        <v>0</v>
      </c>
      <c r="BY93" s="272">
        <v>0</v>
      </c>
      <c r="BZ93" s="272">
        <v>0</v>
      </c>
      <c r="CA93" s="1339">
        <v>0</v>
      </c>
      <c r="CB93" s="1356"/>
      <c r="CC93" s="1356"/>
      <c r="CD93" s="1356"/>
      <c r="CE93" s="1356"/>
      <c r="CF93" s="1356"/>
      <c r="CG93" s="1356"/>
      <c r="CH93" s="1356"/>
      <c r="CI93" s="1356"/>
      <c r="CJ93" s="1356"/>
      <c r="CK93" s="1356"/>
    </row>
    <row r="94" spans="1:89" s="1357" customFormat="1" ht="36" hidden="1">
      <c r="A94" s="196"/>
      <c r="B94" s="271"/>
      <c r="C94" s="235">
        <v>91</v>
      </c>
      <c r="D94" s="541">
        <v>658</v>
      </c>
      <c r="E94" s="232" t="s">
        <v>1343</v>
      </c>
      <c r="F94" s="232" t="s">
        <v>5</v>
      </c>
      <c r="G94" s="232"/>
      <c r="H94" s="236" t="s">
        <v>1378</v>
      </c>
      <c r="I94" s="249" t="s">
        <v>1356</v>
      </c>
      <c r="J94" s="236" t="s">
        <v>84</v>
      </c>
      <c r="K94" s="232"/>
      <c r="L94" s="237" t="s">
        <v>85</v>
      </c>
      <c r="M94" s="221">
        <v>8</v>
      </c>
      <c r="N94" s="237">
        <v>2011</v>
      </c>
      <c r="O94" s="1230">
        <v>8.8000000000000007</v>
      </c>
      <c r="P94" s="1236"/>
      <c r="Q94" s="1236"/>
      <c r="R94" s="1237"/>
      <c r="S94" s="1188"/>
      <c r="T94" s="1239"/>
      <c r="U94" s="1240"/>
      <c r="V94" s="1241" t="s">
        <v>1360</v>
      </c>
      <c r="W94" s="1242"/>
      <c r="X94" s="1243"/>
      <c r="Y94" s="1273"/>
      <c r="Z94" s="1280"/>
      <c r="AA94" s="1280"/>
      <c r="AB94" s="1281"/>
      <c r="AC94" s="1282"/>
      <c r="AD94" s="1283"/>
      <c r="AE94" s="1281"/>
      <c r="AF94" s="1280"/>
      <c r="AG94" s="1280"/>
      <c r="AH94" s="1280"/>
      <c r="AI94" s="1280"/>
      <c r="AJ94" s="1280"/>
      <c r="AK94" s="1280"/>
      <c r="AL94" s="1280"/>
      <c r="AM94" s="1280"/>
      <c r="AN94" s="1280"/>
      <c r="AO94" s="1280"/>
      <c r="AP94" s="1280"/>
      <c r="AQ94" s="1280"/>
      <c r="AR94" s="1280"/>
      <c r="AS94" s="1280"/>
      <c r="AT94" s="1284"/>
      <c r="AU94" s="1285"/>
      <c r="AV94" s="1286"/>
      <c r="AW94" s="1286"/>
      <c r="AX94" s="1286"/>
      <c r="AY94" s="1286"/>
      <c r="AZ94" s="1287"/>
      <c r="BA94" s="1287"/>
      <c r="BB94" s="1277"/>
      <c r="BC94" s="219"/>
      <c r="BD94" s="219"/>
      <c r="BE94" s="219"/>
      <c r="BF94" s="219"/>
      <c r="BG94" s="219"/>
      <c r="BH94" s="219"/>
      <c r="BI94" s="219"/>
      <c r="BJ94" s="219"/>
      <c r="BK94" s="219"/>
      <c r="BL94" s="219"/>
      <c r="BM94" s="219"/>
      <c r="BN94" s="219"/>
      <c r="BO94" s="219"/>
      <c r="BP94" s="219"/>
      <c r="BQ94" s="219"/>
      <c r="BR94" s="219"/>
      <c r="BS94" s="219"/>
      <c r="BT94" s="272">
        <v>0</v>
      </c>
      <c r="BU94" s="272">
        <v>0</v>
      </c>
      <c r="BV94" s="272">
        <v>0</v>
      </c>
      <c r="BW94" s="272">
        <v>0</v>
      </c>
      <c r="BX94" s="272">
        <v>0</v>
      </c>
      <c r="BY94" s="272">
        <v>0</v>
      </c>
      <c r="BZ94" s="272">
        <v>0</v>
      </c>
      <c r="CA94" s="1339">
        <v>0</v>
      </c>
      <c r="CB94" s="1356"/>
      <c r="CC94" s="1356"/>
      <c r="CD94" s="1356"/>
      <c r="CE94" s="1356"/>
      <c r="CF94" s="1356"/>
      <c r="CG94" s="1356"/>
      <c r="CH94" s="1356"/>
      <c r="CI94" s="1356"/>
      <c r="CJ94" s="1356"/>
      <c r="CK94" s="1356"/>
    </row>
    <row r="95" spans="1:89" s="1357" customFormat="1" ht="409.5" hidden="1">
      <c r="A95" s="196"/>
      <c r="B95" s="271"/>
      <c r="C95" s="231">
        <v>92</v>
      </c>
      <c r="D95" s="541">
        <v>659</v>
      </c>
      <c r="E95" s="232" t="s">
        <v>1346</v>
      </c>
      <c r="F95" s="232" t="s">
        <v>5</v>
      </c>
      <c r="G95" s="232"/>
      <c r="H95" s="236" t="s">
        <v>1377</v>
      </c>
      <c r="I95" s="249" t="s">
        <v>1356</v>
      </c>
      <c r="J95" s="236" t="s">
        <v>1714</v>
      </c>
      <c r="K95" s="232" t="s">
        <v>1715</v>
      </c>
      <c r="L95" s="237" t="s">
        <v>85</v>
      </c>
      <c r="M95" s="221">
        <v>0</v>
      </c>
      <c r="N95" s="237">
        <v>2011</v>
      </c>
      <c r="O95" s="1230">
        <v>4</v>
      </c>
      <c r="P95" s="1236">
        <v>1</v>
      </c>
      <c r="Q95" s="1236">
        <v>2</v>
      </c>
      <c r="R95" s="1237">
        <v>7</v>
      </c>
      <c r="S95" s="1188">
        <v>7</v>
      </c>
      <c r="T95" s="1239" t="s">
        <v>1716</v>
      </c>
      <c r="U95" s="1240" t="s">
        <v>1352</v>
      </c>
      <c r="V95" s="1241" t="s">
        <v>1360</v>
      </c>
      <c r="W95" s="1242" t="s">
        <v>1697</v>
      </c>
      <c r="X95" s="1243"/>
      <c r="Y95" s="1273" t="s">
        <v>1762</v>
      </c>
      <c r="Z95" s="1302"/>
      <c r="AA95" s="1280"/>
      <c r="AB95" s="1281"/>
      <c r="AC95" s="1282"/>
      <c r="AD95" s="1283"/>
      <c r="AE95" s="1281"/>
      <c r="AF95" s="1280"/>
      <c r="AG95" s="1280"/>
      <c r="AH95" s="1280"/>
      <c r="AI95" s="1280"/>
      <c r="AJ95" s="1280"/>
      <c r="AK95" s="1280"/>
      <c r="AL95" s="1280"/>
      <c r="AM95" s="1280"/>
      <c r="AN95" s="1280"/>
      <c r="AO95" s="1280"/>
      <c r="AP95" s="1280"/>
      <c r="AQ95" s="1280"/>
      <c r="AR95" s="1280"/>
      <c r="AS95" s="1280"/>
      <c r="AT95" s="1284"/>
      <c r="AU95" s="1285"/>
      <c r="AV95" s="1286"/>
      <c r="AW95" s="1286"/>
      <c r="AX95" s="1286"/>
      <c r="AY95" s="1286"/>
      <c r="AZ95" s="1287"/>
      <c r="BA95" s="1287"/>
      <c r="BB95" s="1277"/>
      <c r="BC95" s="219"/>
      <c r="BD95" s="219"/>
      <c r="BE95" s="219"/>
      <c r="BF95" s="219"/>
      <c r="BG95" s="219"/>
      <c r="BH95" s="219"/>
      <c r="BI95" s="219"/>
      <c r="BJ95" s="219"/>
      <c r="BK95" s="219"/>
      <c r="BL95" s="219"/>
      <c r="BM95" s="219"/>
      <c r="BN95" s="219"/>
      <c r="BO95" s="219"/>
      <c r="BP95" s="219"/>
      <c r="BQ95" s="219"/>
      <c r="BR95" s="219"/>
      <c r="BS95" s="219"/>
      <c r="BT95" s="272">
        <v>0</v>
      </c>
      <c r="BU95" s="272">
        <v>0</v>
      </c>
      <c r="BV95" s="272">
        <v>0</v>
      </c>
      <c r="BW95" s="272">
        <v>0</v>
      </c>
      <c r="BX95" s="272">
        <v>0</v>
      </c>
      <c r="BY95" s="272">
        <v>0</v>
      </c>
      <c r="BZ95" s="272">
        <v>0</v>
      </c>
      <c r="CA95" s="1339">
        <v>0</v>
      </c>
      <c r="CB95" s="1356"/>
      <c r="CC95" s="1356"/>
      <c r="CD95" s="1356"/>
      <c r="CE95" s="1356"/>
      <c r="CF95" s="1356"/>
      <c r="CG95" s="1356"/>
      <c r="CH95" s="1356"/>
      <c r="CI95" s="1356"/>
      <c r="CJ95" s="1356"/>
      <c r="CK95" s="1356"/>
    </row>
    <row r="96" spans="1:89" s="1357" customFormat="1" ht="42" customHeight="1">
      <c r="A96" s="196"/>
      <c r="B96" s="271"/>
      <c r="C96" s="235">
        <v>93</v>
      </c>
      <c r="D96" s="541">
        <v>660</v>
      </c>
      <c r="E96" s="232" t="s">
        <v>1343</v>
      </c>
      <c r="F96" s="232" t="s">
        <v>1376</v>
      </c>
      <c r="G96" s="232"/>
      <c r="H96" s="236" t="s">
        <v>1375</v>
      </c>
      <c r="I96" s="249" t="s">
        <v>1356</v>
      </c>
      <c r="J96" s="236" t="s">
        <v>84</v>
      </c>
      <c r="K96" s="232"/>
      <c r="L96" s="237" t="s">
        <v>85</v>
      </c>
      <c r="M96" s="221">
        <v>7</v>
      </c>
      <c r="N96" s="237">
        <v>2011</v>
      </c>
      <c r="O96" s="1230">
        <v>6</v>
      </c>
      <c r="P96" s="1236"/>
      <c r="Q96" s="1236"/>
      <c r="R96" s="1237"/>
      <c r="S96" s="1188"/>
      <c r="T96" s="1239"/>
      <c r="U96" s="1240"/>
      <c r="V96" s="1241" t="s">
        <v>1374</v>
      </c>
      <c r="W96" s="1242"/>
      <c r="X96" s="1243"/>
      <c r="Y96" s="1273" t="s">
        <v>1763</v>
      </c>
      <c r="Z96" s="1280"/>
      <c r="AA96" s="1280"/>
      <c r="AB96" s="1281"/>
      <c r="AC96" s="1282"/>
      <c r="AD96" s="1283"/>
      <c r="AE96" s="1281"/>
      <c r="AF96" s="1280"/>
      <c r="AG96" s="1280"/>
      <c r="AH96" s="1280"/>
      <c r="AI96" s="1280"/>
      <c r="AJ96" s="1280"/>
      <c r="AK96" s="1280"/>
      <c r="AL96" s="1280"/>
      <c r="AM96" s="1280"/>
      <c r="AN96" s="1280"/>
      <c r="AO96" s="1280"/>
      <c r="AP96" s="1280"/>
      <c r="AQ96" s="1280"/>
      <c r="AR96" s="1280"/>
      <c r="AS96" s="1280"/>
      <c r="AT96" s="1284"/>
      <c r="AU96" s="1285"/>
      <c r="AV96" s="1286"/>
      <c r="AW96" s="1286"/>
      <c r="AX96" s="1286"/>
      <c r="AY96" s="1286"/>
      <c r="AZ96" s="1287"/>
      <c r="BA96" s="1287"/>
      <c r="BB96" s="1277"/>
      <c r="BC96" s="219"/>
      <c r="BD96" s="219"/>
      <c r="BE96" s="219"/>
      <c r="BF96" s="219"/>
      <c r="BG96" s="219"/>
      <c r="BH96" s="219"/>
      <c r="BI96" s="219"/>
      <c r="BJ96" s="219"/>
      <c r="BK96" s="219"/>
      <c r="BL96" s="219"/>
      <c r="BM96" s="219"/>
      <c r="BN96" s="219"/>
      <c r="BO96" s="219"/>
      <c r="BP96" s="219"/>
      <c r="BQ96" s="219"/>
      <c r="BR96" s="219"/>
      <c r="BS96" s="219"/>
      <c r="BT96" s="272">
        <v>0</v>
      </c>
      <c r="BU96" s="272">
        <v>0</v>
      </c>
      <c r="BV96" s="272">
        <v>0</v>
      </c>
      <c r="BW96" s="272">
        <v>0</v>
      </c>
      <c r="BX96" s="272">
        <v>0</v>
      </c>
      <c r="BY96" s="272">
        <v>0</v>
      </c>
      <c r="BZ96" s="272">
        <v>0</v>
      </c>
      <c r="CA96" s="1339">
        <v>0</v>
      </c>
      <c r="CB96" s="1356"/>
      <c r="CC96" s="1356"/>
      <c r="CD96" s="1356"/>
      <c r="CE96" s="1356"/>
      <c r="CF96" s="1356"/>
      <c r="CG96" s="1356"/>
      <c r="CH96" s="1356"/>
      <c r="CI96" s="1356"/>
      <c r="CJ96" s="1356"/>
      <c r="CK96" s="1356"/>
    </row>
    <row r="97" spans="1:89" s="1357" customFormat="1" ht="63" customHeight="1">
      <c r="A97" s="196"/>
      <c r="B97" s="271"/>
      <c r="C97" s="231">
        <v>94</v>
      </c>
      <c r="D97" s="541">
        <v>661</v>
      </c>
      <c r="E97" s="232" t="s">
        <v>1334</v>
      </c>
      <c r="F97" s="232" t="s">
        <v>1358</v>
      </c>
      <c r="G97" s="232"/>
      <c r="H97" s="236" t="s">
        <v>1373</v>
      </c>
      <c r="I97" s="249" t="s">
        <v>1356</v>
      </c>
      <c r="J97" s="236" t="s">
        <v>84</v>
      </c>
      <c r="K97" s="232"/>
      <c r="L97" s="237" t="s">
        <v>85</v>
      </c>
      <c r="M97" s="221">
        <v>2.8</v>
      </c>
      <c r="N97" s="237">
        <v>2011</v>
      </c>
      <c r="O97" s="1230">
        <v>3.5</v>
      </c>
      <c r="P97" s="1236"/>
      <c r="Q97" s="1236"/>
      <c r="R97" s="1237"/>
      <c r="S97" s="1188"/>
      <c r="T97" s="1239"/>
      <c r="U97" s="1240"/>
      <c r="V97" s="1241" t="s">
        <v>1355</v>
      </c>
      <c r="W97" s="1242"/>
      <c r="X97" s="1243"/>
      <c r="Y97" s="1273"/>
      <c r="Z97" s="1280"/>
      <c r="AA97" s="1280"/>
      <c r="AB97" s="1281"/>
      <c r="AC97" s="1282"/>
      <c r="AD97" s="1283"/>
      <c r="AE97" s="1281"/>
      <c r="AF97" s="1280"/>
      <c r="AG97" s="1280"/>
      <c r="AH97" s="1280"/>
      <c r="AI97" s="1280"/>
      <c r="AJ97" s="1280"/>
      <c r="AK97" s="1280"/>
      <c r="AL97" s="1280"/>
      <c r="AM97" s="1280"/>
      <c r="AN97" s="1280"/>
      <c r="AO97" s="1280"/>
      <c r="AP97" s="1280"/>
      <c r="AQ97" s="1280"/>
      <c r="AR97" s="1280"/>
      <c r="AS97" s="1280"/>
      <c r="AT97" s="1284"/>
      <c r="AU97" s="1285"/>
      <c r="AV97" s="1286"/>
      <c r="AW97" s="1286"/>
      <c r="AX97" s="1286"/>
      <c r="AY97" s="1286"/>
      <c r="AZ97" s="1287"/>
      <c r="BA97" s="1287"/>
      <c r="BB97" s="1277"/>
      <c r="BC97" s="219"/>
      <c r="BD97" s="219"/>
      <c r="BE97" s="219"/>
      <c r="BF97" s="219"/>
      <c r="BG97" s="219"/>
      <c r="BH97" s="219"/>
      <c r="BI97" s="219"/>
      <c r="BJ97" s="219"/>
      <c r="BK97" s="219"/>
      <c r="BL97" s="219"/>
      <c r="BM97" s="219"/>
      <c r="BN97" s="219"/>
      <c r="BO97" s="219"/>
      <c r="BP97" s="219"/>
      <c r="BQ97" s="219"/>
      <c r="BR97" s="219"/>
      <c r="BS97" s="219"/>
      <c r="BT97" s="272">
        <v>0</v>
      </c>
      <c r="BU97" s="272">
        <v>0</v>
      </c>
      <c r="BV97" s="272">
        <v>0</v>
      </c>
      <c r="BW97" s="272">
        <v>0</v>
      </c>
      <c r="BX97" s="272">
        <v>0</v>
      </c>
      <c r="BY97" s="272">
        <v>0</v>
      </c>
      <c r="BZ97" s="272">
        <v>0</v>
      </c>
      <c r="CA97" s="1339">
        <v>0</v>
      </c>
      <c r="CB97" s="1356"/>
      <c r="CC97" s="1356"/>
      <c r="CD97" s="1356"/>
      <c r="CE97" s="1356"/>
      <c r="CF97" s="1356"/>
      <c r="CG97" s="1356"/>
      <c r="CH97" s="1356"/>
      <c r="CI97" s="1356"/>
      <c r="CJ97" s="1356"/>
      <c r="CK97" s="1356"/>
    </row>
    <row r="98" spans="1:89" s="1357" customFormat="1" ht="36">
      <c r="A98" s="196"/>
      <c r="B98" s="271"/>
      <c r="C98" s="235">
        <v>95</v>
      </c>
      <c r="D98" s="541">
        <v>662</v>
      </c>
      <c r="E98" s="232" t="s">
        <v>1339</v>
      </c>
      <c r="F98" s="232" t="s">
        <v>1358</v>
      </c>
      <c r="G98" s="232"/>
      <c r="H98" s="236" t="s">
        <v>1372</v>
      </c>
      <c r="I98" s="249" t="s">
        <v>1356</v>
      </c>
      <c r="J98" s="236" t="s">
        <v>84</v>
      </c>
      <c r="K98" s="232"/>
      <c r="L98" s="237" t="s">
        <v>85</v>
      </c>
      <c r="M98" s="248">
        <v>67.69</v>
      </c>
      <c r="N98" s="237">
        <v>2011</v>
      </c>
      <c r="O98" s="1230">
        <v>70.010000000000005</v>
      </c>
      <c r="P98" s="1236"/>
      <c r="Q98" s="1236"/>
      <c r="R98" s="1237"/>
      <c r="S98" s="1188"/>
      <c r="T98" s="1239"/>
      <c r="U98" s="1240"/>
      <c r="V98" s="1241" t="s">
        <v>1355</v>
      </c>
      <c r="W98" s="1242"/>
      <c r="X98" s="1243"/>
      <c r="Y98" s="1273"/>
      <c r="Z98" s="1280"/>
      <c r="AA98" s="1280"/>
      <c r="AB98" s="1281"/>
      <c r="AC98" s="1282"/>
      <c r="AD98" s="1283"/>
      <c r="AE98" s="1281"/>
      <c r="AF98" s="1280"/>
      <c r="AG98" s="1280"/>
      <c r="AH98" s="1280"/>
      <c r="AI98" s="1280"/>
      <c r="AJ98" s="1280"/>
      <c r="AK98" s="1280"/>
      <c r="AL98" s="1280"/>
      <c r="AM98" s="1280"/>
      <c r="AN98" s="1280"/>
      <c r="AO98" s="1280"/>
      <c r="AP98" s="1280"/>
      <c r="AQ98" s="1280"/>
      <c r="AR98" s="1280"/>
      <c r="AS98" s="1280"/>
      <c r="AT98" s="1284"/>
      <c r="AU98" s="1285"/>
      <c r="AV98" s="1286"/>
      <c r="AW98" s="1286"/>
      <c r="AX98" s="1286"/>
      <c r="AY98" s="1286"/>
      <c r="AZ98" s="1287"/>
      <c r="BA98" s="1287"/>
      <c r="BB98" s="1277"/>
      <c r="BC98" s="219"/>
      <c r="BD98" s="219"/>
      <c r="BE98" s="219"/>
      <c r="BF98" s="219"/>
      <c r="BG98" s="219"/>
      <c r="BH98" s="219"/>
      <c r="BI98" s="219"/>
      <c r="BJ98" s="219"/>
      <c r="BK98" s="219"/>
      <c r="BL98" s="219"/>
      <c r="BM98" s="219"/>
      <c r="BN98" s="219"/>
      <c r="BO98" s="219"/>
      <c r="BP98" s="219"/>
      <c r="BQ98" s="219"/>
      <c r="BR98" s="219"/>
      <c r="BS98" s="219"/>
      <c r="BT98" s="272">
        <v>0</v>
      </c>
      <c r="BU98" s="272">
        <v>0</v>
      </c>
      <c r="BV98" s="272">
        <v>0</v>
      </c>
      <c r="BW98" s="272">
        <v>0</v>
      </c>
      <c r="BX98" s="272">
        <v>0</v>
      </c>
      <c r="BY98" s="272">
        <v>0</v>
      </c>
      <c r="BZ98" s="272">
        <v>0</v>
      </c>
      <c r="CA98" s="1339">
        <v>0</v>
      </c>
      <c r="CB98" s="1356"/>
      <c r="CC98" s="1356"/>
      <c r="CD98" s="1356"/>
      <c r="CE98" s="1356"/>
      <c r="CF98" s="1356"/>
      <c r="CG98" s="1356"/>
      <c r="CH98" s="1356"/>
      <c r="CI98" s="1356"/>
      <c r="CJ98" s="1356"/>
      <c r="CK98" s="1356"/>
    </row>
    <row r="99" spans="1:89" s="1357" customFormat="1" ht="45" customHeight="1">
      <c r="A99" s="196"/>
      <c r="B99" s="271"/>
      <c r="C99" s="231">
        <v>96</v>
      </c>
      <c r="D99" s="541">
        <v>663</v>
      </c>
      <c r="E99" s="232" t="s">
        <v>1334</v>
      </c>
      <c r="F99" s="232" t="s">
        <v>1358</v>
      </c>
      <c r="G99" s="232"/>
      <c r="H99" s="236" t="s">
        <v>1371</v>
      </c>
      <c r="I99" s="249" t="s">
        <v>1356</v>
      </c>
      <c r="J99" s="236" t="s">
        <v>84</v>
      </c>
      <c r="K99" s="232"/>
      <c r="L99" s="237" t="s">
        <v>85</v>
      </c>
      <c r="M99" s="248">
        <v>71.58</v>
      </c>
      <c r="N99" s="237">
        <v>2011</v>
      </c>
      <c r="O99" s="1230">
        <v>74.58</v>
      </c>
      <c r="P99" s="1236"/>
      <c r="Q99" s="1236"/>
      <c r="R99" s="1237"/>
      <c r="S99" s="1188"/>
      <c r="T99" s="1239"/>
      <c r="U99" s="1240"/>
      <c r="V99" s="1241" t="s">
        <v>1355</v>
      </c>
      <c r="W99" s="1242"/>
      <c r="X99" s="1243"/>
      <c r="Y99" s="1273"/>
      <c r="Z99" s="1280"/>
      <c r="AA99" s="1280"/>
      <c r="AB99" s="1281"/>
      <c r="AC99" s="1282"/>
      <c r="AD99" s="1283"/>
      <c r="AE99" s="1281"/>
      <c r="AF99" s="1280"/>
      <c r="AG99" s="1280"/>
      <c r="AH99" s="1280"/>
      <c r="AI99" s="1280"/>
      <c r="AJ99" s="1280"/>
      <c r="AK99" s="1280"/>
      <c r="AL99" s="1280"/>
      <c r="AM99" s="1280"/>
      <c r="AN99" s="1280"/>
      <c r="AO99" s="1280"/>
      <c r="AP99" s="1280"/>
      <c r="AQ99" s="1280"/>
      <c r="AR99" s="1280"/>
      <c r="AS99" s="1280"/>
      <c r="AT99" s="1284"/>
      <c r="AU99" s="1285"/>
      <c r="AV99" s="1286"/>
      <c r="AW99" s="1286"/>
      <c r="AX99" s="1286"/>
      <c r="AY99" s="1286"/>
      <c r="AZ99" s="1287"/>
      <c r="BA99" s="1287"/>
      <c r="BB99" s="1277"/>
      <c r="BC99" s="219"/>
      <c r="BD99" s="219"/>
      <c r="BE99" s="219"/>
      <c r="BF99" s="219"/>
      <c r="BG99" s="219"/>
      <c r="BH99" s="219"/>
      <c r="BI99" s="219"/>
      <c r="BJ99" s="219"/>
      <c r="BK99" s="219"/>
      <c r="BL99" s="219"/>
      <c r="BM99" s="219"/>
      <c r="BN99" s="219"/>
      <c r="BO99" s="219"/>
      <c r="BP99" s="219"/>
      <c r="BQ99" s="219"/>
      <c r="BR99" s="219"/>
      <c r="BS99" s="219"/>
      <c r="BT99" s="272">
        <v>0</v>
      </c>
      <c r="BU99" s="272">
        <v>0</v>
      </c>
      <c r="BV99" s="272">
        <v>0</v>
      </c>
      <c r="BW99" s="272">
        <v>0</v>
      </c>
      <c r="BX99" s="272">
        <v>0</v>
      </c>
      <c r="BY99" s="272">
        <v>0</v>
      </c>
      <c r="BZ99" s="272">
        <v>0</v>
      </c>
      <c r="CA99" s="1339">
        <v>0</v>
      </c>
      <c r="CB99" s="1356"/>
      <c r="CC99" s="1356"/>
      <c r="CD99" s="1356"/>
      <c r="CE99" s="1356"/>
      <c r="CF99" s="1356"/>
      <c r="CG99" s="1356"/>
      <c r="CH99" s="1356"/>
      <c r="CI99" s="1356"/>
      <c r="CJ99" s="1356"/>
      <c r="CK99" s="1356"/>
    </row>
    <row r="100" spans="1:89" s="1357" customFormat="1" ht="36" hidden="1">
      <c r="A100" s="196"/>
      <c r="B100" s="271"/>
      <c r="C100" s="235">
        <v>97</v>
      </c>
      <c r="D100" s="541">
        <v>664</v>
      </c>
      <c r="E100" s="232" t="s">
        <v>1368</v>
      </c>
      <c r="F100" s="232" t="s">
        <v>1358</v>
      </c>
      <c r="G100" s="232"/>
      <c r="H100" s="236" t="s">
        <v>1370</v>
      </c>
      <c r="I100" s="249" t="s">
        <v>1356</v>
      </c>
      <c r="J100" s="236" t="s">
        <v>84</v>
      </c>
      <c r="K100" s="232"/>
      <c r="L100" s="237" t="s">
        <v>1369</v>
      </c>
      <c r="M100" s="221">
        <v>0</v>
      </c>
      <c r="N100" s="237">
        <v>2011</v>
      </c>
      <c r="O100" s="1230"/>
      <c r="P100" s="1236"/>
      <c r="Q100" s="1236"/>
      <c r="R100" s="1237"/>
      <c r="S100" s="1188"/>
      <c r="T100" s="1244"/>
      <c r="U100" s="1245"/>
      <c r="V100" s="1246" t="s">
        <v>1355</v>
      </c>
      <c r="W100" s="1242"/>
      <c r="X100" s="1243"/>
      <c r="Y100" s="1273"/>
      <c r="Z100" s="1280"/>
      <c r="AA100" s="1280"/>
      <c r="AB100" s="1281"/>
      <c r="AC100" s="1282"/>
      <c r="AD100" s="1283"/>
      <c r="AE100" s="1281"/>
      <c r="AF100" s="1280"/>
      <c r="AG100" s="1280"/>
      <c r="AH100" s="1280"/>
      <c r="AI100" s="1280"/>
      <c r="AJ100" s="1280"/>
      <c r="AK100" s="1280"/>
      <c r="AL100" s="1280"/>
      <c r="AM100" s="1280"/>
      <c r="AN100" s="1280"/>
      <c r="AO100" s="1280"/>
      <c r="AP100" s="1280"/>
      <c r="AQ100" s="1280"/>
      <c r="AR100" s="1280"/>
      <c r="AS100" s="1280"/>
      <c r="AT100" s="1284"/>
      <c r="AU100" s="1285"/>
      <c r="AV100" s="1286"/>
      <c r="AW100" s="1286"/>
      <c r="AX100" s="1286"/>
      <c r="AY100" s="1286"/>
      <c r="AZ100" s="1287"/>
      <c r="BA100" s="1287"/>
      <c r="BB100" s="1277"/>
      <c r="BC100" s="219"/>
      <c r="BD100" s="219"/>
      <c r="BE100" s="219"/>
      <c r="BF100" s="219"/>
      <c r="BG100" s="219"/>
      <c r="BH100" s="219"/>
      <c r="BI100" s="219"/>
      <c r="BJ100" s="219"/>
      <c r="BK100" s="219"/>
      <c r="BL100" s="219"/>
      <c r="BM100" s="219"/>
      <c r="BN100" s="219"/>
      <c r="BO100" s="219"/>
      <c r="BP100" s="219"/>
      <c r="BQ100" s="219"/>
      <c r="BR100" s="219"/>
      <c r="BS100" s="219"/>
      <c r="BT100" s="272">
        <v>0</v>
      </c>
      <c r="BU100" s="272">
        <v>0</v>
      </c>
      <c r="BV100" s="272">
        <v>0</v>
      </c>
      <c r="BW100" s="272">
        <v>0</v>
      </c>
      <c r="BX100" s="272">
        <v>0</v>
      </c>
      <c r="BY100" s="272">
        <v>0</v>
      </c>
      <c r="BZ100" s="272">
        <v>0</v>
      </c>
      <c r="CA100" s="1339">
        <v>0</v>
      </c>
      <c r="CB100" s="1356"/>
      <c r="CC100" s="1356"/>
      <c r="CD100" s="1356"/>
      <c r="CE100" s="1356"/>
      <c r="CF100" s="1356"/>
      <c r="CG100" s="1356"/>
      <c r="CH100" s="1356"/>
      <c r="CI100" s="1356"/>
      <c r="CJ100" s="1356"/>
      <c r="CK100" s="1356"/>
    </row>
    <row r="101" spans="1:89" s="1357" customFormat="1" ht="44.25" hidden="1" customHeight="1">
      <c r="A101" s="196"/>
      <c r="B101" s="271"/>
      <c r="C101" s="231">
        <v>98</v>
      </c>
      <c r="D101" s="541">
        <v>665</v>
      </c>
      <c r="E101" s="232" t="s">
        <v>1368</v>
      </c>
      <c r="F101" s="232" t="s">
        <v>4</v>
      </c>
      <c r="G101" s="232"/>
      <c r="H101" s="236" t="s">
        <v>1367</v>
      </c>
      <c r="I101" s="249" t="s">
        <v>1356</v>
      </c>
      <c r="J101" s="236" t="s">
        <v>1366</v>
      </c>
      <c r="K101" s="232"/>
      <c r="L101" s="237" t="s">
        <v>85</v>
      </c>
      <c r="M101" s="221" t="s">
        <v>1365</v>
      </c>
      <c r="N101" s="237">
        <v>2011</v>
      </c>
      <c r="O101" s="1230">
        <v>2000</v>
      </c>
      <c r="P101" s="1236">
        <v>3106</v>
      </c>
      <c r="Q101" s="1236">
        <v>4975</v>
      </c>
      <c r="R101" s="1237">
        <v>7270</v>
      </c>
      <c r="S101" s="1188">
        <v>5357</v>
      </c>
      <c r="T101" s="1244" t="s">
        <v>3214</v>
      </c>
      <c r="U101" s="1245"/>
      <c r="V101" s="1246" t="s">
        <v>1364</v>
      </c>
      <c r="W101" s="1242">
        <v>42349</v>
      </c>
      <c r="X101" s="1243" t="s">
        <v>3215</v>
      </c>
      <c r="Y101" s="1273" t="s">
        <v>3216</v>
      </c>
      <c r="Z101" s="1280"/>
      <c r="AA101" s="1280"/>
      <c r="AB101" s="1281"/>
      <c r="AC101" s="1282"/>
      <c r="AD101" s="1283"/>
      <c r="AE101" s="1281"/>
      <c r="AF101" s="1280"/>
      <c r="AG101" s="1280"/>
      <c r="AH101" s="1280"/>
      <c r="AI101" s="1280"/>
      <c r="AJ101" s="1280"/>
      <c r="AK101" s="1280"/>
      <c r="AL101" s="1280"/>
      <c r="AM101" s="1280"/>
      <c r="AN101" s="1280"/>
      <c r="AO101" s="1280"/>
      <c r="AP101" s="1280"/>
      <c r="AQ101" s="1280"/>
      <c r="AR101" s="1280"/>
      <c r="AS101" s="1280"/>
      <c r="AT101" s="1284"/>
      <c r="AU101" s="1285"/>
      <c r="AV101" s="1286"/>
      <c r="AW101" s="1286"/>
      <c r="AX101" s="1286"/>
      <c r="AY101" s="1286"/>
      <c r="AZ101" s="1287"/>
      <c r="BA101" s="1287"/>
      <c r="BB101" s="1277"/>
      <c r="BC101" s="219"/>
      <c r="BD101" s="219"/>
      <c r="BE101" s="219"/>
      <c r="BF101" s="219"/>
      <c r="BG101" s="219"/>
      <c r="BH101" s="219"/>
      <c r="BI101" s="219"/>
      <c r="BJ101" s="219"/>
      <c r="BK101" s="219"/>
      <c r="BL101" s="219"/>
      <c r="BM101" s="219"/>
      <c r="BN101" s="219"/>
      <c r="BO101" s="219"/>
      <c r="BP101" s="219"/>
      <c r="BQ101" s="219"/>
      <c r="BR101" s="219"/>
      <c r="BS101" s="219"/>
      <c r="BT101" s="272">
        <v>0</v>
      </c>
      <c r="BU101" s="272">
        <v>0</v>
      </c>
      <c r="BV101" s="272">
        <v>0</v>
      </c>
      <c r="BW101" s="272">
        <v>0</v>
      </c>
      <c r="BX101" s="272">
        <v>0</v>
      </c>
      <c r="BY101" s="272">
        <v>0</v>
      </c>
      <c r="BZ101" s="272">
        <v>0</v>
      </c>
      <c r="CA101" s="1339">
        <v>0</v>
      </c>
      <c r="CB101" s="1356"/>
      <c r="CC101" s="1356"/>
      <c r="CD101" s="1356"/>
      <c r="CE101" s="1356"/>
      <c r="CF101" s="1356"/>
      <c r="CG101" s="1356"/>
      <c r="CH101" s="1356"/>
      <c r="CI101" s="1356"/>
      <c r="CJ101" s="1356"/>
      <c r="CK101" s="1356"/>
    </row>
    <row r="102" spans="1:89" s="1357" customFormat="1" ht="48" hidden="1">
      <c r="A102" s="196"/>
      <c r="B102" s="271"/>
      <c r="C102" s="235">
        <v>99</v>
      </c>
      <c r="D102" s="541">
        <v>666</v>
      </c>
      <c r="E102" s="232" t="s">
        <v>82</v>
      </c>
      <c r="F102" s="232" t="s">
        <v>5</v>
      </c>
      <c r="G102" s="232"/>
      <c r="H102" s="236" t="s">
        <v>1363</v>
      </c>
      <c r="I102" s="249" t="s">
        <v>1356</v>
      </c>
      <c r="J102" s="236" t="s">
        <v>84</v>
      </c>
      <c r="K102" s="232"/>
      <c r="L102" s="237" t="s">
        <v>85</v>
      </c>
      <c r="M102" s="221">
        <v>0</v>
      </c>
      <c r="N102" s="237">
        <v>2011</v>
      </c>
      <c r="O102" s="1230"/>
      <c r="P102" s="1236"/>
      <c r="Q102" s="1236"/>
      <c r="R102" s="1237"/>
      <c r="S102" s="1188"/>
      <c r="T102" s="1239"/>
      <c r="U102" s="1240"/>
      <c r="V102" s="1241" t="s">
        <v>1360</v>
      </c>
      <c r="W102" s="1242"/>
      <c r="X102" s="1243"/>
      <c r="Y102" s="1273"/>
      <c r="Z102" s="1280"/>
      <c r="AA102" s="1280"/>
      <c r="AB102" s="1281"/>
      <c r="AC102" s="1282"/>
      <c r="AD102" s="1283"/>
      <c r="AE102" s="1281"/>
      <c r="AF102" s="1280"/>
      <c r="AG102" s="1280"/>
      <c r="AH102" s="1280"/>
      <c r="AI102" s="1280"/>
      <c r="AJ102" s="1280"/>
      <c r="AK102" s="1280"/>
      <c r="AL102" s="1280"/>
      <c r="AM102" s="1280"/>
      <c r="AN102" s="1280"/>
      <c r="AO102" s="1280"/>
      <c r="AP102" s="1280"/>
      <c r="AQ102" s="1280"/>
      <c r="AR102" s="1280"/>
      <c r="AS102" s="1280"/>
      <c r="AT102" s="1284"/>
      <c r="AU102" s="1285"/>
      <c r="AV102" s="1286"/>
      <c r="AW102" s="1286"/>
      <c r="AX102" s="1286"/>
      <c r="AY102" s="1286"/>
      <c r="AZ102" s="1287"/>
      <c r="BA102" s="1287"/>
      <c r="BB102" s="1277"/>
      <c r="BC102" s="219"/>
      <c r="BD102" s="219"/>
      <c r="BE102" s="219"/>
      <c r="BF102" s="219"/>
      <c r="BG102" s="219"/>
      <c r="BH102" s="219"/>
      <c r="BI102" s="219"/>
      <c r="BJ102" s="219"/>
      <c r="BK102" s="219"/>
      <c r="BL102" s="219"/>
      <c r="BM102" s="219"/>
      <c r="BN102" s="219"/>
      <c r="BO102" s="219"/>
      <c r="BP102" s="219"/>
      <c r="BQ102" s="219"/>
      <c r="BR102" s="219"/>
      <c r="BS102" s="219"/>
      <c r="BT102" s="272">
        <v>0</v>
      </c>
      <c r="BU102" s="272">
        <v>0</v>
      </c>
      <c r="BV102" s="272">
        <v>0</v>
      </c>
      <c r="BW102" s="272">
        <v>0</v>
      </c>
      <c r="BX102" s="272">
        <v>0</v>
      </c>
      <c r="BY102" s="272">
        <v>0</v>
      </c>
      <c r="BZ102" s="272">
        <v>0</v>
      </c>
      <c r="CA102" s="1339">
        <v>0</v>
      </c>
      <c r="CB102" s="1356"/>
      <c r="CC102" s="1356"/>
      <c r="CD102" s="1356"/>
      <c r="CE102" s="1356"/>
      <c r="CF102" s="1356"/>
      <c r="CG102" s="1356"/>
      <c r="CH102" s="1356"/>
      <c r="CI102" s="1356"/>
      <c r="CJ102" s="1356"/>
      <c r="CK102" s="1356"/>
    </row>
    <row r="103" spans="1:89" s="1357" customFormat="1" ht="168" hidden="1">
      <c r="A103" s="196"/>
      <c r="B103" s="271"/>
      <c r="C103" s="231">
        <v>100</v>
      </c>
      <c r="D103" s="541">
        <v>667</v>
      </c>
      <c r="E103" s="232" t="s">
        <v>1346</v>
      </c>
      <c r="F103" s="232" t="s">
        <v>5</v>
      </c>
      <c r="G103" s="232"/>
      <c r="H103" s="236" t="s">
        <v>1362</v>
      </c>
      <c r="I103" s="249" t="s">
        <v>1356</v>
      </c>
      <c r="J103" s="236" t="s">
        <v>1717</v>
      </c>
      <c r="K103" s="232" t="s">
        <v>1718</v>
      </c>
      <c r="L103" s="237" t="s">
        <v>85</v>
      </c>
      <c r="M103" s="221">
        <v>0</v>
      </c>
      <c r="N103" s="237">
        <v>2011</v>
      </c>
      <c r="O103" s="1230">
        <v>1000000</v>
      </c>
      <c r="P103" s="1237"/>
      <c r="Q103" s="1237"/>
      <c r="R103" s="1237">
        <v>1254360</v>
      </c>
      <c r="S103" s="1188">
        <v>1254360</v>
      </c>
      <c r="T103" s="1237" t="s">
        <v>39</v>
      </c>
      <c r="U103" s="1240" t="s">
        <v>1352</v>
      </c>
      <c r="V103" s="1241" t="s">
        <v>1360</v>
      </c>
      <c r="W103" s="1242" t="s">
        <v>1697</v>
      </c>
      <c r="X103" s="1251"/>
      <c r="Y103" s="1273" t="s">
        <v>1763</v>
      </c>
      <c r="Z103" s="1302"/>
      <c r="AA103" s="1287"/>
      <c r="AB103" s="1303"/>
      <c r="AC103" s="1287"/>
      <c r="AD103" s="1287"/>
      <c r="AE103" s="1287"/>
      <c r="AF103" s="1287"/>
      <c r="AG103" s="1287"/>
      <c r="AH103" s="1287"/>
      <c r="AI103" s="1287"/>
      <c r="AJ103" s="1287"/>
      <c r="AK103" s="1287"/>
      <c r="AL103" s="1287"/>
      <c r="AM103" s="1287"/>
      <c r="AN103" s="1287"/>
      <c r="AO103" s="1287"/>
      <c r="AP103" s="1287"/>
      <c r="AQ103" s="1287"/>
      <c r="AR103" s="1287"/>
      <c r="AS103" s="1287"/>
      <c r="AT103" s="1287"/>
      <c r="AU103" s="1287"/>
      <c r="AV103" s="1287"/>
      <c r="AW103" s="1287"/>
      <c r="AX103" s="1287"/>
      <c r="AY103" s="1287"/>
      <c r="AZ103" s="1287"/>
      <c r="BA103" s="1287"/>
      <c r="BB103" s="222"/>
      <c r="BC103" s="220"/>
      <c r="BD103" s="220"/>
      <c r="BE103" s="220"/>
      <c r="BF103" s="220"/>
      <c r="BG103" s="220"/>
      <c r="BH103" s="220"/>
      <c r="BI103" s="220"/>
      <c r="BJ103" s="220"/>
      <c r="BK103" s="220"/>
      <c r="BL103" s="220"/>
      <c r="BM103" s="220"/>
      <c r="BN103" s="220"/>
      <c r="BO103" s="220"/>
      <c r="BP103" s="220"/>
      <c r="BQ103" s="220"/>
      <c r="BR103" s="220"/>
      <c r="BS103" s="220"/>
      <c r="BT103" s="272">
        <v>0</v>
      </c>
      <c r="BU103" s="272">
        <v>0</v>
      </c>
      <c r="BV103" s="272">
        <v>0</v>
      </c>
      <c r="BW103" s="272">
        <v>0</v>
      </c>
      <c r="BX103" s="272">
        <v>0</v>
      </c>
      <c r="BY103" s="272">
        <v>0</v>
      </c>
      <c r="BZ103" s="272">
        <v>0</v>
      </c>
      <c r="CA103" s="1339">
        <v>0</v>
      </c>
      <c r="CB103" s="1356"/>
      <c r="CC103" s="1356"/>
      <c r="CD103" s="1356"/>
      <c r="CE103" s="1356"/>
      <c r="CF103" s="1356"/>
      <c r="CG103" s="1356"/>
      <c r="CH103" s="1356"/>
      <c r="CI103" s="1356"/>
      <c r="CJ103" s="1356"/>
      <c r="CK103" s="1356"/>
    </row>
    <row r="104" spans="1:89" s="1357" customFormat="1" ht="48" hidden="1">
      <c r="A104" s="196"/>
      <c r="B104" s="271"/>
      <c r="C104" s="235">
        <v>101</v>
      </c>
      <c r="D104" s="541">
        <v>668</v>
      </c>
      <c r="E104" s="223" t="s">
        <v>1347</v>
      </c>
      <c r="F104" s="232" t="s">
        <v>5</v>
      </c>
      <c r="G104" s="232"/>
      <c r="H104" s="236" t="s">
        <v>1361</v>
      </c>
      <c r="I104" s="249" t="s">
        <v>1356</v>
      </c>
      <c r="J104" s="236" t="s">
        <v>84</v>
      </c>
      <c r="K104" s="232"/>
      <c r="L104" s="237" t="s">
        <v>85</v>
      </c>
      <c r="M104" s="221">
        <v>0</v>
      </c>
      <c r="N104" s="237">
        <v>2011</v>
      </c>
      <c r="O104" s="1230"/>
      <c r="P104" s="1236"/>
      <c r="Q104" s="1236"/>
      <c r="R104" s="1251"/>
      <c r="S104" s="1188"/>
      <c r="T104" s="1239"/>
      <c r="U104" s="1240"/>
      <c r="V104" s="1241" t="s">
        <v>1360</v>
      </c>
      <c r="W104" s="1251"/>
      <c r="X104" s="1249" t="s">
        <v>1759</v>
      </c>
      <c r="Y104" s="1273"/>
      <c r="Z104" s="1287"/>
      <c r="AA104" s="1287"/>
      <c r="AB104" s="1303"/>
      <c r="AC104" s="1287"/>
      <c r="AD104" s="1287"/>
      <c r="AE104" s="1287"/>
      <c r="AF104" s="1287"/>
      <c r="AG104" s="1287"/>
      <c r="AH104" s="1287"/>
      <c r="AI104" s="1287"/>
      <c r="AJ104" s="1287"/>
      <c r="AK104" s="1287"/>
      <c r="AL104" s="1287"/>
      <c r="AM104" s="1287"/>
      <c r="AN104" s="1287"/>
      <c r="AO104" s="1287"/>
      <c r="AP104" s="1287"/>
      <c r="AQ104" s="1287"/>
      <c r="AR104" s="1287"/>
      <c r="AS104" s="1287"/>
      <c r="AT104" s="1287"/>
      <c r="AU104" s="1287"/>
      <c r="AV104" s="1287"/>
      <c r="AW104" s="1287"/>
      <c r="AX104" s="1287"/>
      <c r="AY104" s="1287"/>
      <c r="AZ104" s="1287"/>
      <c r="BA104" s="1287"/>
      <c r="BB104" s="222"/>
      <c r="BC104" s="220"/>
      <c r="BD104" s="220"/>
      <c r="BE104" s="220"/>
      <c r="BF104" s="220"/>
      <c r="BG104" s="220"/>
      <c r="BH104" s="220"/>
      <c r="BI104" s="220"/>
      <c r="BJ104" s="220"/>
      <c r="BK104" s="220"/>
      <c r="BL104" s="220"/>
      <c r="BM104" s="220"/>
      <c r="BN104" s="220"/>
      <c r="BO104" s="220"/>
      <c r="BP104" s="220"/>
      <c r="BQ104" s="220"/>
      <c r="BR104" s="220"/>
      <c r="BS104" s="220"/>
      <c r="BT104" s="272">
        <v>0</v>
      </c>
      <c r="BU104" s="272">
        <v>0</v>
      </c>
      <c r="BV104" s="272">
        <v>0</v>
      </c>
      <c r="BW104" s="272">
        <v>0</v>
      </c>
      <c r="BX104" s="272">
        <v>0</v>
      </c>
      <c r="BY104" s="272">
        <v>0</v>
      </c>
      <c r="BZ104" s="272">
        <v>0</v>
      </c>
      <c r="CA104" s="1339">
        <v>0</v>
      </c>
      <c r="CB104" s="1356"/>
      <c r="CC104" s="1356"/>
      <c r="CD104" s="1356"/>
      <c r="CE104" s="1356"/>
      <c r="CF104" s="1356"/>
      <c r="CG104" s="1356"/>
      <c r="CH104" s="1356"/>
      <c r="CI104" s="1356"/>
      <c r="CJ104" s="1356"/>
      <c r="CK104" s="1356"/>
    </row>
    <row r="105" spans="1:89" s="1357" customFormat="1" ht="56.25" hidden="1" customHeight="1">
      <c r="A105" s="196"/>
      <c r="B105" s="271"/>
      <c r="C105" s="231">
        <v>102</v>
      </c>
      <c r="D105" s="542">
        <v>669</v>
      </c>
      <c r="E105" s="223" t="s">
        <v>3098</v>
      </c>
      <c r="F105" s="250" t="s">
        <v>1358</v>
      </c>
      <c r="G105" s="250"/>
      <c r="H105" s="251" t="s">
        <v>1359</v>
      </c>
      <c r="I105" s="252" t="s">
        <v>1356</v>
      </c>
      <c r="J105" s="251" t="s">
        <v>84</v>
      </c>
      <c r="K105" s="250"/>
      <c r="L105" s="253" t="s">
        <v>85</v>
      </c>
      <c r="M105" s="254">
        <v>77.63</v>
      </c>
      <c r="N105" s="253">
        <v>2011</v>
      </c>
      <c r="O105" s="1231">
        <v>78.63</v>
      </c>
      <c r="P105" s="1236"/>
      <c r="Q105" s="1236"/>
      <c r="R105" s="1251"/>
      <c r="S105" s="1251"/>
      <c r="T105" s="1239"/>
      <c r="U105" s="1240"/>
      <c r="V105" s="1241" t="s">
        <v>1355</v>
      </c>
      <c r="W105" s="1251"/>
      <c r="X105" s="1251"/>
      <c r="Y105" s="1273"/>
      <c r="Z105" s="1287"/>
      <c r="AA105" s="1287"/>
      <c r="AB105" s="1303"/>
      <c r="AC105" s="1287"/>
      <c r="AD105" s="1287"/>
      <c r="AE105" s="1287"/>
      <c r="AF105" s="1287"/>
      <c r="AG105" s="1287"/>
      <c r="AH105" s="1287"/>
      <c r="AI105" s="1287"/>
      <c r="AJ105" s="1287"/>
      <c r="AK105" s="1287"/>
      <c r="AL105" s="1287"/>
      <c r="AM105" s="1287"/>
      <c r="AN105" s="1287"/>
      <c r="AO105" s="1287"/>
      <c r="AP105" s="1287"/>
      <c r="AQ105" s="1287"/>
      <c r="AR105" s="1287"/>
      <c r="AS105" s="1287"/>
      <c r="AT105" s="1287"/>
      <c r="AU105" s="1287"/>
      <c r="AV105" s="1287"/>
      <c r="AW105" s="1287"/>
      <c r="AX105" s="1287"/>
      <c r="AY105" s="1287"/>
      <c r="AZ105" s="1287"/>
      <c r="BA105" s="1287"/>
      <c r="BB105" s="222"/>
      <c r="BC105" s="220"/>
      <c r="BD105" s="220"/>
      <c r="BE105" s="220"/>
      <c r="BF105" s="220"/>
      <c r="BG105" s="220"/>
      <c r="BH105" s="220"/>
      <c r="BI105" s="220"/>
      <c r="BJ105" s="220"/>
      <c r="BK105" s="220"/>
      <c r="BL105" s="220"/>
      <c r="BM105" s="220"/>
      <c r="BN105" s="220"/>
      <c r="BO105" s="220"/>
      <c r="BP105" s="220"/>
      <c r="BQ105" s="220"/>
      <c r="BR105" s="220"/>
      <c r="BS105" s="220"/>
      <c r="BT105" s="272">
        <v>0</v>
      </c>
      <c r="BU105" s="272">
        <v>0</v>
      </c>
      <c r="BV105" s="272">
        <v>0</v>
      </c>
      <c r="BW105" s="272">
        <v>0</v>
      </c>
      <c r="BX105" s="272">
        <v>0</v>
      </c>
      <c r="BY105" s="272">
        <v>0</v>
      </c>
      <c r="BZ105" s="272">
        <v>0</v>
      </c>
      <c r="CA105" s="1339">
        <v>0</v>
      </c>
      <c r="CB105" s="1356"/>
      <c r="CC105" s="1356"/>
      <c r="CD105" s="1356"/>
      <c r="CE105" s="1356"/>
      <c r="CF105" s="1356"/>
      <c r="CG105" s="1356"/>
      <c r="CH105" s="1356"/>
      <c r="CI105" s="1356"/>
      <c r="CJ105" s="1356"/>
      <c r="CK105" s="1356"/>
    </row>
    <row r="106" spans="1:89" s="1357" customFormat="1" ht="36">
      <c r="A106" s="196"/>
      <c r="B106" s="271"/>
      <c r="C106" s="235">
        <v>103</v>
      </c>
      <c r="D106" s="541">
        <v>670</v>
      </c>
      <c r="E106" s="225" t="s">
        <v>1334</v>
      </c>
      <c r="F106" s="232" t="s">
        <v>1358</v>
      </c>
      <c r="G106" s="232"/>
      <c r="H106" s="236" t="s">
        <v>1357</v>
      </c>
      <c r="I106" s="249" t="s">
        <v>1356</v>
      </c>
      <c r="J106" s="236" t="s">
        <v>84</v>
      </c>
      <c r="K106" s="232"/>
      <c r="L106" s="237" t="s">
        <v>85</v>
      </c>
      <c r="M106" s="248">
        <v>32.550000000000004</v>
      </c>
      <c r="N106" s="237">
        <v>2011</v>
      </c>
      <c r="O106" s="1230">
        <v>60</v>
      </c>
      <c r="P106" s="1236"/>
      <c r="Q106" s="1236"/>
      <c r="R106" s="1251"/>
      <c r="S106" s="1251"/>
      <c r="T106" s="1239"/>
      <c r="U106" s="1240"/>
      <c r="V106" s="1241" t="s">
        <v>1355</v>
      </c>
      <c r="W106" s="1251"/>
      <c r="X106" s="1251"/>
      <c r="Y106" s="1273"/>
      <c r="Z106" s="1287"/>
      <c r="AA106" s="1287"/>
      <c r="AB106" s="1303"/>
      <c r="AC106" s="1287"/>
      <c r="AD106" s="1287"/>
      <c r="AE106" s="1287"/>
      <c r="AF106" s="1287"/>
      <c r="AG106" s="1287"/>
      <c r="AH106" s="1287"/>
      <c r="AI106" s="1287"/>
      <c r="AJ106" s="1287"/>
      <c r="AK106" s="1287"/>
      <c r="AL106" s="1287"/>
      <c r="AM106" s="1287"/>
      <c r="AN106" s="1287"/>
      <c r="AO106" s="1287"/>
      <c r="AP106" s="1287"/>
      <c r="AQ106" s="1287"/>
      <c r="AR106" s="1287"/>
      <c r="AS106" s="1287"/>
      <c r="AT106" s="1287"/>
      <c r="AU106" s="1287"/>
      <c r="AV106" s="1287"/>
      <c r="AW106" s="1287"/>
      <c r="AX106" s="1287"/>
      <c r="AY106" s="1287"/>
      <c r="AZ106" s="1287"/>
      <c r="BA106" s="1287"/>
      <c r="BB106" s="222"/>
      <c r="BC106" s="220"/>
      <c r="BD106" s="220"/>
      <c r="BE106" s="220"/>
      <c r="BF106" s="220"/>
      <c r="BG106" s="220"/>
      <c r="BH106" s="220"/>
      <c r="BI106" s="220"/>
      <c r="BJ106" s="220"/>
      <c r="BK106" s="220"/>
      <c r="BL106" s="220"/>
      <c r="BM106" s="220"/>
      <c r="BN106" s="220"/>
      <c r="BO106" s="220"/>
      <c r="BP106" s="220"/>
      <c r="BQ106" s="220"/>
      <c r="BR106" s="220"/>
      <c r="BS106" s="220"/>
      <c r="BT106" s="272">
        <v>0</v>
      </c>
      <c r="BU106" s="272">
        <v>0</v>
      </c>
      <c r="BV106" s="272">
        <v>0</v>
      </c>
      <c r="BW106" s="272">
        <v>0</v>
      </c>
      <c r="BX106" s="272">
        <v>0</v>
      </c>
      <c r="BY106" s="272">
        <v>0</v>
      </c>
      <c r="BZ106" s="272">
        <v>0</v>
      </c>
      <c r="CA106" s="1339">
        <v>0</v>
      </c>
      <c r="CB106" s="1356"/>
      <c r="CC106" s="1356"/>
      <c r="CD106" s="1356"/>
      <c r="CE106" s="1356"/>
      <c r="CF106" s="1356"/>
      <c r="CG106" s="1356"/>
      <c r="CH106" s="1356"/>
      <c r="CI106" s="1356"/>
      <c r="CJ106" s="1356"/>
      <c r="CK106" s="1356"/>
    </row>
    <row r="107" spans="1:89" s="1357" customFormat="1" ht="12">
      <c r="A107" s="196"/>
      <c r="B107" s="196"/>
      <c r="C107" s="231"/>
      <c r="D107" s="222"/>
      <c r="E107" s="222"/>
      <c r="F107" s="222"/>
      <c r="G107" s="222"/>
      <c r="H107" s="222"/>
      <c r="I107" s="222"/>
      <c r="J107" s="222"/>
      <c r="K107" s="222"/>
      <c r="L107" s="222"/>
      <c r="M107" s="222"/>
      <c r="N107" s="222"/>
      <c r="O107" s="222"/>
      <c r="P107" s="222"/>
      <c r="Q107" s="222"/>
      <c r="R107" s="222"/>
      <c r="S107" s="222"/>
      <c r="T107" s="222"/>
      <c r="U107" s="222"/>
      <c r="V107" s="222"/>
      <c r="W107" s="222"/>
      <c r="X107" s="222"/>
      <c r="Y107" s="222"/>
      <c r="Z107" s="1304"/>
      <c r="AA107" s="1304"/>
      <c r="AB107" s="1304"/>
      <c r="AC107" s="1304"/>
      <c r="AD107" s="1304"/>
      <c r="AE107" s="1304"/>
      <c r="AF107" s="1304"/>
      <c r="AG107" s="1304"/>
      <c r="AH107" s="1304"/>
      <c r="AI107" s="1304"/>
      <c r="AJ107" s="1304"/>
      <c r="AK107" s="1304"/>
      <c r="AL107" s="1304"/>
      <c r="AM107" s="1304"/>
      <c r="AN107" s="1304"/>
      <c r="AO107" s="1304"/>
      <c r="AP107" s="1304"/>
      <c r="AQ107" s="1304"/>
      <c r="AR107" s="1304"/>
      <c r="AS107" s="1304"/>
      <c r="AT107" s="1304"/>
      <c r="AU107" s="1304"/>
      <c r="AV107" s="1304"/>
      <c r="AW107" s="1304"/>
      <c r="AX107" s="1304"/>
      <c r="AY107" s="1304"/>
      <c r="AZ107" s="1304"/>
      <c r="BA107" s="1304"/>
      <c r="BB107" s="222"/>
      <c r="BC107" s="222"/>
      <c r="BD107" s="222"/>
      <c r="BE107" s="222"/>
      <c r="BF107" s="222"/>
      <c r="BG107" s="222"/>
      <c r="BH107" s="222"/>
      <c r="BI107" s="222"/>
      <c r="BJ107" s="222"/>
      <c r="BK107" s="222"/>
      <c r="BL107" s="222"/>
      <c r="BM107" s="222"/>
      <c r="BN107" s="222"/>
      <c r="BO107" s="222"/>
      <c r="BP107" s="222"/>
      <c r="BQ107" s="222"/>
      <c r="BR107" s="222"/>
      <c r="BS107" s="222"/>
      <c r="BT107" s="222"/>
      <c r="BU107" s="222"/>
      <c r="BV107" s="222"/>
      <c r="BW107" s="222"/>
      <c r="BX107" s="222"/>
      <c r="BY107" s="222"/>
      <c r="BZ107" s="222"/>
      <c r="CA107" s="222"/>
      <c r="CB107" s="222"/>
      <c r="CC107" s="222"/>
      <c r="CD107" s="222"/>
      <c r="CE107" s="222"/>
      <c r="CF107" s="222"/>
      <c r="CG107" s="222"/>
      <c r="CH107" s="222"/>
      <c r="CI107" s="222"/>
      <c r="CJ107" s="222"/>
      <c r="CK107" s="222"/>
    </row>
    <row r="108" spans="1:89" s="1357" customFormat="1" ht="12">
      <c r="A108" s="196"/>
      <c r="B108" s="196"/>
      <c r="C108" s="222"/>
      <c r="D108" s="222"/>
      <c r="E108" s="223"/>
      <c r="F108" s="222"/>
      <c r="G108" s="255"/>
      <c r="H108" s="222" t="s">
        <v>84</v>
      </c>
      <c r="I108" s="222"/>
      <c r="J108" s="222"/>
      <c r="K108" s="222"/>
      <c r="L108" s="222"/>
      <c r="M108" s="222"/>
      <c r="N108" s="222"/>
      <c r="O108" s="222"/>
      <c r="P108" s="222"/>
      <c r="Q108" s="222"/>
      <c r="R108" s="222"/>
      <c r="S108" s="222"/>
      <c r="T108" s="222"/>
      <c r="U108" s="222"/>
      <c r="V108" s="222"/>
      <c r="W108" s="222"/>
      <c r="X108" s="222"/>
      <c r="Y108" s="224"/>
      <c r="Z108" s="1287"/>
      <c r="AA108" s="1287"/>
      <c r="AB108" s="1303"/>
      <c r="AC108" s="1287"/>
      <c r="AD108" s="1287"/>
      <c r="AE108" s="1287"/>
      <c r="AF108" s="1287"/>
      <c r="AG108" s="1287"/>
      <c r="AH108" s="1287"/>
      <c r="AI108" s="1287"/>
      <c r="AJ108" s="1287"/>
      <c r="AK108" s="1287"/>
      <c r="AL108" s="1287"/>
      <c r="AM108" s="1287"/>
      <c r="AN108" s="1287"/>
      <c r="AO108" s="1287"/>
      <c r="AP108" s="1287"/>
      <c r="AQ108" s="1287"/>
      <c r="AR108" s="1287"/>
      <c r="AS108" s="1287"/>
      <c r="AT108" s="1287"/>
      <c r="AU108" s="1287"/>
      <c r="AV108" s="1287"/>
      <c r="AW108" s="1287"/>
      <c r="AX108" s="1287"/>
      <c r="AY108" s="1287"/>
      <c r="AZ108" s="1287"/>
      <c r="BA108" s="1287"/>
      <c r="BB108" s="222"/>
      <c r="BC108" s="220"/>
      <c r="BD108" s="220"/>
      <c r="BE108" s="220"/>
      <c r="BF108" s="220"/>
      <c r="BG108" s="220"/>
      <c r="BH108" s="220"/>
      <c r="BI108" s="220"/>
      <c r="BJ108" s="220"/>
      <c r="BK108" s="220"/>
      <c r="BL108" s="220"/>
      <c r="BM108" s="220"/>
      <c r="BN108" s="220"/>
      <c r="BO108" s="220"/>
      <c r="BP108" s="220"/>
      <c r="BQ108" s="220"/>
      <c r="BR108" s="220"/>
      <c r="BS108" s="220"/>
      <c r="BT108" s="220"/>
      <c r="BU108" s="220"/>
      <c r="BV108" s="220"/>
      <c r="BW108" s="220"/>
      <c r="BX108" s="220"/>
      <c r="BY108" s="220"/>
      <c r="BZ108" s="220"/>
      <c r="CA108" s="220"/>
      <c r="CB108" s="1356"/>
      <c r="CC108" s="1356"/>
      <c r="CD108" s="1356"/>
      <c r="CE108" s="1356"/>
      <c r="CF108" s="1356"/>
      <c r="CG108" s="1356"/>
      <c r="CH108" s="1356"/>
      <c r="CI108" s="1356"/>
      <c r="CJ108" s="1356"/>
      <c r="CK108" s="1356"/>
    </row>
    <row r="109" spans="1:89">
      <c r="A109" s="196"/>
      <c r="C109" s="205"/>
      <c r="D109" s="205"/>
      <c r="E109" s="204"/>
      <c r="F109" s="202"/>
      <c r="G109" s="255"/>
      <c r="H109" s="202" t="s">
        <v>84</v>
      </c>
      <c r="I109" s="202"/>
      <c r="J109" s="202"/>
      <c r="K109" s="202"/>
      <c r="L109" s="202"/>
      <c r="M109" s="202"/>
      <c r="N109" s="202"/>
      <c r="O109" s="202"/>
      <c r="P109" s="202"/>
      <c r="Q109" s="202"/>
      <c r="R109" s="202"/>
      <c r="S109" s="202"/>
      <c r="T109" s="202"/>
      <c r="U109" s="61"/>
      <c r="V109" s="202"/>
      <c r="W109" s="202"/>
      <c r="X109" s="202"/>
      <c r="Y109" s="61"/>
      <c r="Z109" s="1305"/>
      <c r="AA109" s="1305"/>
      <c r="AB109" s="1306"/>
      <c r="AC109" s="1305"/>
      <c r="AD109" s="1305"/>
      <c r="AE109" s="1305"/>
      <c r="AF109" s="1305"/>
      <c r="AG109" s="1305"/>
      <c r="AH109" s="1305"/>
      <c r="AI109" s="1305"/>
      <c r="AJ109" s="1305"/>
      <c r="AK109" s="1305"/>
      <c r="AL109" s="1305"/>
      <c r="AM109" s="1305"/>
      <c r="AN109" s="1305"/>
      <c r="AO109" s="1305"/>
      <c r="AP109" s="1305"/>
      <c r="AQ109" s="1305"/>
      <c r="AR109" s="1305"/>
      <c r="AS109" s="1305"/>
      <c r="AT109" s="1305"/>
      <c r="AU109" s="1307"/>
      <c r="AV109" s="1307"/>
      <c r="AW109" s="1307"/>
      <c r="AX109" s="1307"/>
      <c r="AY109" s="1307"/>
      <c r="AZ109" s="1307"/>
      <c r="BA109" s="1307"/>
      <c r="BB109" s="61"/>
      <c r="BC109" s="211"/>
      <c r="BD109" s="211"/>
      <c r="BE109" s="211"/>
      <c r="BF109" s="211"/>
      <c r="BG109" s="211"/>
      <c r="BH109" s="211"/>
      <c r="BI109" s="211"/>
      <c r="BJ109" s="211"/>
      <c r="BK109" s="211"/>
      <c r="BL109" s="211"/>
      <c r="BM109" s="211"/>
      <c r="BN109" s="211"/>
      <c r="BO109" s="211"/>
      <c r="BP109" s="211"/>
      <c r="BQ109" s="211"/>
      <c r="BR109" s="211"/>
      <c r="BS109" s="211"/>
      <c r="BT109" s="211"/>
      <c r="BU109" s="211"/>
      <c r="BV109" s="211"/>
      <c r="BW109" s="211"/>
      <c r="BX109" s="211"/>
      <c r="BY109" s="211"/>
      <c r="BZ109" s="211"/>
      <c r="CA109" s="211"/>
      <c r="CB109" s="1359"/>
      <c r="CC109" s="1359"/>
      <c r="CD109" s="1359"/>
      <c r="CE109" s="1359"/>
      <c r="CF109" s="1359"/>
      <c r="CG109" s="1359"/>
      <c r="CH109" s="1359"/>
      <c r="CI109" s="1359"/>
      <c r="CJ109" s="1359"/>
      <c r="CK109" s="1359"/>
    </row>
    <row r="110" spans="1:89">
      <c r="C110" s="205"/>
      <c r="D110" s="205"/>
      <c r="E110" s="204"/>
      <c r="F110" s="202"/>
      <c r="G110" s="202"/>
      <c r="H110" s="202"/>
      <c r="I110" s="202"/>
      <c r="J110" s="202"/>
      <c r="K110" s="202"/>
      <c r="L110" s="202"/>
      <c r="M110" s="202"/>
      <c r="N110" s="202"/>
      <c r="O110" s="545"/>
      <c r="P110" s="202"/>
      <c r="Q110" s="202"/>
      <c r="R110" s="202"/>
      <c r="S110" s="202"/>
      <c r="T110" s="202"/>
      <c r="U110" s="61"/>
      <c r="V110" s="202"/>
      <c r="W110" s="202"/>
      <c r="X110" s="202"/>
      <c r="Y110" s="61"/>
      <c r="Z110" s="1305"/>
      <c r="AA110" s="1305"/>
      <c r="AB110" s="1306"/>
      <c r="AC110" s="1305"/>
      <c r="AD110" s="1305"/>
      <c r="AE110" s="1305"/>
      <c r="AF110" s="1305"/>
      <c r="AG110" s="1305"/>
      <c r="AH110" s="1305"/>
      <c r="AI110" s="1305"/>
      <c r="AJ110" s="1305"/>
      <c r="AK110" s="1305"/>
      <c r="AL110" s="1305"/>
      <c r="AM110" s="1305"/>
      <c r="AN110" s="1305"/>
      <c r="AO110" s="1305"/>
      <c r="AP110" s="1305"/>
      <c r="AQ110" s="1305"/>
      <c r="AR110" s="1305"/>
      <c r="AS110" s="1305"/>
      <c r="AT110" s="1305"/>
      <c r="AU110" s="1307"/>
      <c r="AV110" s="1307"/>
      <c r="AW110" s="1307"/>
      <c r="AX110" s="1307"/>
      <c r="AY110" s="1307"/>
      <c r="AZ110" s="1307"/>
      <c r="BA110" s="1307"/>
      <c r="BB110" s="61"/>
      <c r="BC110" s="211"/>
      <c r="BD110" s="211"/>
      <c r="BE110" s="211"/>
      <c r="BF110" s="211"/>
      <c r="BG110" s="211"/>
      <c r="BH110" s="211"/>
      <c r="BI110" s="211"/>
      <c r="BJ110" s="211"/>
      <c r="BK110" s="211"/>
      <c r="BL110" s="211"/>
      <c r="BM110" s="211"/>
      <c r="BN110" s="211"/>
      <c r="BO110" s="211"/>
      <c r="BP110" s="211"/>
      <c r="BQ110" s="211"/>
      <c r="BR110" s="211"/>
      <c r="BS110" s="211"/>
      <c r="BT110" s="211"/>
      <c r="BU110" s="211"/>
      <c r="BV110" s="211"/>
      <c r="BW110" s="211"/>
      <c r="BX110" s="211"/>
      <c r="BY110" s="211"/>
      <c r="BZ110" s="211"/>
      <c r="CA110" s="211"/>
      <c r="CB110" s="1359"/>
      <c r="CC110" s="1359"/>
      <c r="CD110" s="1359"/>
      <c r="CE110" s="1359"/>
      <c r="CF110" s="1359"/>
      <c r="CG110" s="1359"/>
      <c r="CH110" s="1359"/>
      <c r="CI110" s="1359"/>
      <c r="CJ110" s="1359"/>
      <c r="CK110" s="1359"/>
    </row>
    <row r="111" spans="1:89">
      <c r="C111" s="205"/>
      <c r="D111" s="205"/>
      <c r="E111" s="204"/>
      <c r="F111" s="202"/>
      <c r="G111" s="202"/>
      <c r="H111" s="202"/>
      <c r="I111" s="202"/>
      <c r="J111" s="202"/>
      <c r="K111" s="202"/>
      <c r="L111" s="202"/>
      <c r="M111" s="202"/>
      <c r="N111" s="202"/>
      <c r="O111" s="202"/>
      <c r="P111" s="256"/>
      <c r="Q111" s="257"/>
      <c r="R111" s="299"/>
      <c r="S111" s="217"/>
      <c r="T111" s="258"/>
      <c r="U111" s="259"/>
      <c r="V111" s="259"/>
      <c r="W111" s="260"/>
      <c r="X111" s="212"/>
      <c r="Y111" s="218"/>
      <c r="Z111" s="1305"/>
      <c r="AA111" s="1305"/>
      <c r="AB111" s="1306"/>
      <c r="AC111" s="1305"/>
      <c r="AD111" s="1305"/>
      <c r="AE111" s="1305"/>
      <c r="AF111" s="1305"/>
      <c r="AG111" s="1305"/>
      <c r="AH111" s="1305"/>
      <c r="AI111" s="1305"/>
      <c r="AJ111" s="1305"/>
      <c r="AK111" s="1305"/>
      <c r="AL111" s="1305"/>
      <c r="AM111" s="1305"/>
      <c r="AN111" s="1305"/>
      <c r="AO111" s="1305"/>
      <c r="AP111" s="1305"/>
      <c r="AQ111" s="1305"/>
      <c r="AR111" s="1305"/>
      <c r="AS111" s="1305"/>
      <c r="AT111" s="1305"/>
      <c r="AU111" s="1307"/>
      <c r="AV111" s="1307"/>
      <c r="AW111" s="1307"/>
      <c r="AX111" s="1307"/>
      <c r="AY111" s="1307"/>
      <c r="AZ111" s="1307"/>
      <c r="BA111" s="1307"/>
      <c r="BB111" s="61"/>
      <c r="BC111" s="211"/>
      <c r="BD111" s="211"/>
      <c r="BE111" s="211"/>
      <c r="BF111" s="211"/>
      <c r="BG111" s="211"/>
      <c r="BH111" s="211"/>
      <c r="BI111" s="211"/>
      <c r="BJ111" s="211"/>
      <c r="BK111" s="211"/>
      <c r="BL111" s="211"/>
      <c r="BM111" s="211"/>
      <c r="BN111" s="211"/>
      <c r="BO111" s="211"/>
      <c r="BP111" s="211"/>
      <c r="BQ111" s="211"/>
      <c r="BR111" s="211"/>
      <c r="BS111" s="211"/>
      <c r="BT111" s="211"/>
      <c r="BU111" s="211"/>
      <c r="BV111" s="211"/>
      <c r="BW111" s="211"/>
      <c r="BX111" s="211"/>
      <c r="BY111" s="211"/>
      <c r="BZ111" s="211"/>
      <c r="CA111" s="211"/>
      <c r="CB111" s="1359"/>
      <c r="CC111" s="1359"/>
      <c r="CD111" s="1359"/>
      <c r="CE111" s="1359"/>
      <c r="CF111" s="1359"/>
      <c r="CG111" s="1359"/>
      <c r="CH111" s="1359"/>
      <c r="CI111" s="1359"/>
      <c r="CJ111" s="1359"/>
      <c r="CK111" s="1359"/>
    </row>
    <row r="112" spans="1:89">
      <c r="C112" s="205"/>
      <c r="D112" s="205"/>
      <c r="E112" s="204"/>
      <c r="F112" s="202"/>
      <c r="G112" s="202"/>
      <c r="H112" s="202"/>
      <c r="I112" s="202"/>
      <c r="J112" s="202"/>
      <c r="K112" s="202"/>
      <c r="L112" s="202"/>
      <c r="M112" s="202"/>
      <c r="N112" s="202"/>
      <c r="O112" s="202"/>
      <c r="P112" s="257"/>
      <c r="Q112" s="261"/>
      <c r="R112" s="261"/>
      <c r="S112" s="262"/>
      <c r="T112" s="258"/>
      <c r="U112" s="259"/>
      <c r="V112" s="259"/>
      <c r="W112" s="260"/>
      <c r="X112" s="212"/>
      <c r="Y112" s="218"/>
      <c r="Z112" s="1305"/>
      <c r="AA112" s="1305"/>
      <c r="AB112" s="1306"/>
      <c r="AC112" s="1305"/>
      <c r="AD112" s="1305"/>
      <c r="AE112" s="1305"/>
      <c r="AF112" s="1305"/>
      <c r="AG112" s="1305"/>
      <c r="AH112" s="1305"/>
      <c r="AI112" s="1305"/>
      <c r="AJ112" s="1305"/>
      <c r="AK112" s="1305"/>
      <c r="AL112" s="1305"/>
      <c r="AM112" s="1305"/>
      <c r="AN112" s="1305"/>
      <c r="AO112" s="1305"/>
      <c r="AP112" s="1305"/>
      <c r="AQ112" s="1305"/>
      <c r="AR112" s="1305"/>
      <c r="AS112" s="1305"/>
      <c r="AT112" s="1305"/>
      <c r="AU112" s="1307"/>
      <c r="AV112" s="1307"/>
      <c r="AW112" s="1307"/>
      <c r="AX112" s="1307"/>
      <c r="AY112" s="1307"/>
      <c r="AZ112" s="1307"/>
      <c r="BA112" s="1307"/>
      <c r="BB112" s="61"/>
      <c r="BC112" s="211"/>
      <c r="BD112" s="211"/>
      <c r="BE112" s="211"/>
      <c r="BF112" s="211"/>
      <c r="BG112" s="211"/>
      <c r="BH112" s="211"/>
      <c r="BI112" s="211"/>
      <c r="BJ112" s="211"/>
      <c r="BK112" s="211"/>
      <c r="BL112" s="211"/>
      <c r="BM112" s="211"/>
      <c r="BN112" s="211"/>
      <c r="BO112" s="211"/>
      <c r="BP112" s="211"/>
      <c r="BQ112" s="211"/>
      <c r="BR112" s="211"/>
      <c r="BS112" s="211"/>
      <c r="BT112" s="211"/>
      <c r="BU112" s="211"/>
      <c r="BV112" s="211"/>
      <c r="BW112" s="211"/>
      <c r="BX112" s="211"/>
      <c r="BY112" s="211"/>
      <c r="BZ112" s="211"/>
      <c r="CA112" s="211"/>
      <c r="CB112" s="1359"/>
      <c r="CC112" s="1359"/>
      <c r="CD112" s="1359"/>
      <c r="CE112" s="1359"/>
      <c r="CF112" s="1359"/>
      <c r="CG112" s="1359"/>
      <c r="CH112" s="1359"/>
      <c r="CI112" s="1359"/>
      <c r="CJ112" s="1359"/>
      <c r="CK112" s="1359"/>
    </row>
    <row r="113" spans="3:89">
      <c r="C113" s="205"/>
      <c r="D113" s="205"/>
      <c r="E113" s="204"/>
      <c r="F113" s="202"/>
      <c r="G113" s="202"/>
      <c r="H113" s="202"/>
      <c r="I113" s="202"/>
      <c r="J113" s="202"/>
      <c r="K113" s="202"/>
      <c r="L113" s="202"/>
      <c r="M113" s="202"/>
      <c r="N113" s="202"/>
      <c r="O113" s="202"/>
      <c r="P113" s="202"/>
      <c r="Q113" s="202"/>
      <c r="R113" s="202"/>
      <c r="S113" s="202"/>
      <c r="T113" s="202"/>
      <c r="U113" s="202"/>
      <c r="V113" s="202"/>
      <c r="W113" s="202"/>
      <c r="X113" s="263"/>
      <c r="Y113" s="61"/>
      <c r="Z113" s="1305"/>
      <c r="AA113" s="1305"/>
      <c r="AB113" s="1306"/>
      <c r="AC113" s="1305"/>
      <c r="AD113" s="1305"/>
      <c r="AE113" s="1305"/>
      <c r="AF113" s="1305"/>
      <c r="AG113" s="1305"/>
      <c r="AH113" s="1305"/>
      <c r="AI113" s="1305"/>
      <c r="AJ113" s="1305"/>
      <c r="AK113" s="1305"/>
      <c r="AL113" s="1305"/>
      <c r="AM113" s="1305"/>
      <c r="AN113" s="1305"/>
      <c r="AO113" s="1305"/>
      <c r="AP113" s="1305"/>
      <c r="AQ113" s="1305"/>
      <c r="AR113" s="1305"/>
      <c r="AS113" s="1305"/>
      <c r="AT113" s="1305"/>
      <c r="AU113" s="1307"/>
      <c r="AV113" s="1307"/>
      <c r="AW113" s="1307"/>
      <c r="AX113" s="1307"/>
      <c r="AY113" s="1307"/>
      <c r="AZ113" s="1307"/>
      <c r="BA113" s="1307"/>
      <c r="BB113" s="61"/>
      <c r="BC113" s="211"/>
      <c r="BD113" s="211"/>
      <c r="BE113" s="211"/>
      <c r="BF113" s="211"/>
      <c r="BG113" s="211"/>
      <c r="BH113" s="211"/>
      <c r="BI113" s="211"/>
      <c r="BJ113" s="211"/>
      <c r="BK113" s="211"/>
      <c r="BL113" s="211"/>
      <c r="BM113" s="211"/>
      <c r="BN113" s="211"/>
      <c r="BO113" s="211"/>
      <c r="BP113" s="211"/>
      <c r="BQ113" s="211"/>
      <c r="BR113" s="211"/>
      <c r="BS113" s="211"/>
      <c r="BT113" s="211"/>
      <c r="BU113" s="211"/>
      <c r="BV113" s="211"/>
      <c r="BW113" s="211"/>
      <c r="BX113" s="211"/>
      <c r="BY113" s="211"/>
      <c r="BZ113" s="211"/>
      <c r="CA113" s="211"/>
      <c r="CB113" s="1359"/>
      <c r="CC113" s="1359"/>
      <c r="CD113" s="1359"/>
      <c r="CE113" s="1359"/>
      <c r="CF113" s="1359"/>
      <c r="CG113" s="1359"/>
      <c r="CH113" s="1359"/>
      <c r="CI113" s="1359"/>
      <c r="CJ113" s="1359"/>
      <c r="CK113" s="1359"/>
    </row>
    <row r="114" spans="3:89">
      <c r="C114" s="205"/>
      <c r="D114" s="205"/>
      <c r="E114" s="204"/>
      <c r="F114" s="202"/>
      <c r="G114" s="202"/>
      <c r="H114" s="202"/>
      <c r="I114" s="202"/>
      <c r="J114" s="202"/>
      <c r="K114" s="202"/>
      <c r="L114" s="202"/>
      <c r="M114" s="202"/>
      <c r="N114" s="202"/>
      <c r="O114" s="202"/>
      <c r="P114" s="202"/>
      <c r="Q114" s="202"/>
      <c r="R114" s="202"/>
      <c r="S114" s="202"/>
      <c r="T114" s="202"/>
      <c r="U114" s="202"/>
      <c r="V114" s="202"/>
      <c r="W114" s="202"/>
      <c r="X114" s="263"/>
      <c r="Y114" s="61"/>
      <c r="Z114" s="1305"/>
      <c r="AA114" s="1305"/>
      <c r="AB114" s="1306"/>
      <c r="AC114" s="1305"/>
      <c r="AD114" s="1305"/>
      <c r="AE114" s="1305"/>
      <c r="AF114" s="1305"/>
      <c r="AG114" s="1305"/>
      <c r="AH114" s="1305"/>
      <c r="AI114" s="1305"/>
      <c r="AJ114" s="1305"/>
      <c r="AK114" s="1305"/>
      <c r="AL114" s="1305"/>
      <c r="AM114" s="1305"/>
      <c r="AN114" s="1305"/>
      <c r="AO114" s="1305"/>
      <c r="AP114" s="1305"/>
      <c r="AQ114" s="1305"/>
      <c r="AR114" s="1305"/>
      <c r="AS114" s="1305"/>
      <c r="AT114" s="1305"/>
      <c r="AU114" s="1307"/>
      <c r="AV114" s="1307"/>
      <c r="AW114" s="1307"/>
      <c r="AX114" s="1307"/>
      <c r="AY114" s="1307"/>
      <c r="AZ114" s="1307"/>
      <c r="BA114" s="1307"/>
      <c r="BB114" s="61"/>
      <c r="BC114" s="211"/>
      <c r="BD114" s="211"/>
      <c r="BE114" s="211"/>
      <c r="BF114" s="211"/>
      <c r="BG114" s="211"/>
      <c r="BH114" s="211"/>
      <c r="BI114" s="211"/>
      <c r="BJ114" s="211"/>
      <c r="BK114" s="211"/>
      <c r="BL114" s="211"/>
      <c r="BM114" s="211"/>
      <c r="BN114" s="211"/>
      <c r="BO114" s="211"/>
      <c r="BP114" s="211"/>
      <c r="BQ114" s="211"/>
      <c r="BR114" s="211"/>
      <c r="BS114" s="211"/>
      <c r="BT114" s="211"/>
      <c r="BU114" s="211"/>
      <c r="BV114" s="211"/>
      <c r="BW114" s="211"/>
      <c r="BX114" s="211"/>
      <c r="BY114" s="211"/>
      <c r="BZ114" s="211"/>
      <c r="CA114" s="211"/>
      <c r="CB114" s="1359"/>
      <c r="CC114" s="1359"/>
      <c r="CD114" s="1359"/>
      <c r="CE114" s="1359"/>
      <c r="CF114" s="1359"/>
      <c r="CG114" s="1359"/>
      <c r="CH114" s="1359"/>
      <c r="CI114" s="1359"/>
      <c r="CJ114" s="1359"/>
      <c r="CK114" s="1359"/>
    </row>
    <row r="115" spans="3:89">
      <c r="C115" s="205"/>
      <c r="D115" s="205"/>
      <c r="E115" s="204"/>
      <c r="F115" s="202"/>
      <c r="G115" s="202"/>
      <c r="H115" s="202"/>
      <c r="I115" s="202"/>
      <c r="J115" s="202"/>
      <c r="K115" s="202"/>
      <c r="L115" s="202"/>
      <c r="M115" s="202"/>
      <c r="N115" s="202"/>
      <c r="O115" s="202"/>
      <c r="P115" s="202"/>
      <c r="Q115" s="202"/>
      <c r="R115" s="202"/>
      <c r="S115" s="202"/>
      <c r="T115" s="202"/>
      <c r="U115" s="202"/>
      <c r="V115" s="202"/>
      <c r="W115" s="202"/>
      <c r="X115" s="263"/>
      <c r="Y115" s="61"/>
      <c r="Z115" s="1305"/>
      <c r="AA115" s="1305"/>
      <c r="AB115" s="1306"/>
      <c r="AC115" s="1305"/>
      <c r="AD115" s="1305"/>
      <c r="AE115" s="1305"/>
      <c r="AF115" s="1305"/>
      <c r="AG115" s="1305"/>
      <c r="AH115" s="1305"/>
      <c r="AI115" s="1305"/>
      <c r="AJ115" s="1305"/>
      <c r="AK115" s="1305"/>
      <c r="AL115" s="1305"/>
      <c r="AM115" s="1305"/>
      <c r="AN115" s="1305"/>
      <c r="AO115" s="1305"/>
      <c r="AP115" s="1305"/>
      <c r="AQ115" s="1305"/>
      <c r="AR115" s="1305"/>
      <c r="AS115" s="1305"/>
      <c r="AT115" s="1305"/>
      <c r="AU115" s="1307"/>
      <c r="AV115" s="1307"/>
      <c r="AW115" s="1307"/>
      <c r="AX115" s="1307"/>
      <c r="AY115" s="1307"/>
      <c r="AZ115" s="1307"/>
      <c r="BA115" s="1307"/>
      <c r="BB115" s="61"/>
      <c r="BC115" s="211"/>
      <c r="BD115" s="211"/>
      <c r="BE115" s="211"/>
      <c r="BF115" s="211"/>
      <c r="BG115" s="211"/>
      <c r="BH115" s="211"/>
      <c r="BI115" s="211"/>
      <c r="BJ115" s="211"/>
      <c r="BK115" s="211"/>
      <c r="BL115" s="211"/>
      <c r="BM115" s="211"/>
      <c r="BN115" s="211"/>
      <c r="BO115" s="211"/>
      <c r="BP115" s="211"/>
      <c r="BQ115" s="211"/>
      <c r="BR115" s="211"/>
      <c r="BS115" s="211"/>
      <c r="BT115" s="211"/>
      <c r="BU115" s="211"/>
      <c r="BV115" s="211"/>
      <c r="BW115" s="211"/>
      <c r="BX115" s="211"/>
      <c r="BY115" s="211"/>
      <c r="BZ115" s="211"/>
      <c r="CA115" s="211"/>
      <c r="CB115" s="1359"/>
      <c r="CC115" s="1359"/>
      <c r="CD115" s="1359"/>
      <c r="CE115" s="1359"/>
      <c r="CF115" s="1359"/>
      <c r="CG115" s="1359"/>
      <c r="CH115" s="1359"/>
      <c r="CI115" s="1359"/>
      <c r="CJ115" s="1359"/>
      <c r="CK115" s="1359"/>
    </row>
    <row r="116" spans="3:89">
      <c r="C116" s="205"/>
      <c r="D116" s="205"/>
      <c r="E116" s="204"/>
      <c r="F116" s="202"/>
      <c r="G116" s="202"/>
      <c r="H116" s="202"/>
      <c r="I116" s="202"/>
      <c r="J116" s="202"/>
      <c r="K116" s="202"/>
      <c r="L116" s="202"/>
      <c r="M116" s="202"/>
      <c r="N116" s="202"/>
      <c r="O116" s="202"/>
      <c r="P116" s="202"/>
      <c r="Q116" s="202"/>
      <c r="R116" s="202"/>
      <c r="S116" s="202"/>
      <c r="T116" s="202"/>
      <c r="U116" s="202"/>
      <c r="V116" s="202"/>
      <c r="W116" s="202"/>
      <c r="X116" s="202"/>
      <c r="Y116" s="61"/>
      <c r="Z116" s="1305"/>
      <c r="AA116" s="1305"/>
      <c r="AB116" s="1306"/>
      <c r="AC116" s="1305"/>
      <c r="AD116" s="1305"/>
      <c r="AE116" s="1305"/>
      <c r="AF116" s="1305"/>
      <c r="AG116" s="1305"/>
      <c r="AH116" s="1305"/>
      <c r="AI116" s="1305"/>
      <c r="AJ116" s="1305"/>
      <c r="AK116" s="1305"/>
      <c r="AL116" s="1305"/>
      <c r="AM116" s="1305"/>
      <c r="AN116" s="1305"/>
      <c r="AO116" s="1305"/>
      <c r="AP116" s="1305"/>
      <c r="AQ116" s="1305"/>
      <c r="AR116" s="1305"/>
      <c r="AS116" s="1305"/>
      <c r="AT116" s="1305"/>
      <c r="AU116" s="1307"/>
      <c r="AV116" s="1307"/>
      <c r="AW116" s="1307"/>
      <c r="AX116" s="1307"/>
      <c r="AY116" s="1307"/>
      <c r="AZ116" s="1307"/>
      <c r="BA116" s="1307"/>
      <c r="BB116" s="61"/>
      <c r="BC116" s="211"/>
      <c r="BD116" s="211"/>
      <c r="BE116" s="211"/>
      <c r="BF116" s="211"/>
      <c r="BG116" s="211"/>
      <c r="BH116" s="211"/>
      <c r="BI116" s="211"/>
      <c r="BJ116" s="211"/>
      <c r="BK116" s="211"/>
      <c r="BL116" s="211"/>
      <c r="BM116" s="211"/>
      <c r="BN116" s="211"/>
      <c r="BO116" s="211"/>
      <c r="BP116" s="211"/>
      <c r="BQ116" s="211"/>
      <c r="BR116" s="211"/>
      <c r="BS116" s="211"/>
      <c r="BT116" s="211"/>
      <c r="BU116" s="211"/>
      <c r="BV116" s="211"/>
      <c r="BW116" s="211"/>
      <c r="BX116" s="211"/>
      <c r="BY116" s="211"/>
      <c r="BZ116" s="211"/>
      <c r="CA116" s="211"/>
      <c r="CB116" s="1359"/>
      <c r="CC116" s="1359"/>
      <c r="CD116" s="1359"/>
      <c r="CE116" s="1359"/>
      <c r="CF116" s="1359"/>
      <c r="CG116" s="1359"/>
      <c r="CH116" s="1359"/>
      <c r="CI116" s="1359"/>
      <c r="CJ116" s="1359"/>
      <c r="CK116" s="1359"/>
    </row>
    <row r="117" spans="3:89">
      <c r="C117" s="205"/>
      <c r="D117" s="205"/>
      <c r="E117" s="204"/>
      <c r="F117" s="202"/>
      <c r="G117" s="202"/>
      <c r="H117" s="202"/>
      <c r="I117" s="202"/>
      <c r="J117" s="202"/>
      <c r="K117" s="202"/>
      <c r="L117" s="202"/>
      <c r="M117" s="202"/>
      <c r="N117" s="202"/>
      <c r="O117" s="202"/>
      <c r="P117" s="202"/>
      <c r="Q117" s="202"/>
      <c r="R117" s="202"/>
      <c r="S117" s="202"/>
      <c r="T117" s="202"/>
      <c r="U117" s="202"/>
      <c r="V117" s="202"/>
      <c r="W117" s="202"/>
      <c r="X117" s="202"/>
      <c r="Y117" s="61"/>
      <c r="Z117" s="1305"/>
      <c r="AA117" s="1305"/>
      <c r="AB117" s="1306"/>
      <c r="AC117" s="1305"/>
      <c r="AD117" s="1305"/>
      <c r="AE117" s="1305"/>
      <c r="AF117" s="1305"/>
      <c r="AG117" s="1305"/>
      <c r="AH117" s="1305"/>
      <c r="AI117" s="1305"/>
      <c r="AJ117" s="1305"/>
      <c r="AK117" s="1305"/>
      <c r="AL117" s="1305"/>
      <c r="AM117" s="1305"/>
      <c r="AN117" s="1305"/>
      <c r="AO117" s="1305"/>
      <c r="AP117" s="1305"/>
      <c r="AQ117" s="1305"/>
      <c r="AR117" s="1305"/>
      <c r="AS117" s="1305"/>
      <c r="AT117" s="1305"/>
      <c r="AU117" s="1307"/>
      <c r="AV117" s="1307"/>
      <c r="AW117" s="1307"/>
      <c r="AX117" s="1307"/>
      <c r="AY117" s="1307"/>
      <c r="AZ117" s="1307"/>
      <c r="BA117" s="1307"/>
      <c r="BB117" s="61"/>
      <c r="BC117" s="211"/>
      <c r="BD117" s="211"/>
      <c r="BE117" s="211"/>
      <c r="BF117" s="211"/>
      <c r="BG117" s="211"/>
      <c r="BH117" s="211"/>
      <c r="BI117" s="211"/>
      <c r="BJ117" s="211"/>
      <c r="BK117" s="211"/>
      <c r="BL117" s="211"/>
      <c r="BM117" s="211"/>
      <c r="BN117" s="211"/>
      <c r="BO117" s="211"/>
      <c r="BP117" s="211"/>
      <c r="BQ117" s="211"/>
      <c r="BR117" s="211"/>
      <c r="BS117" s="211"/>
      <c r="BT117" s="211"/>
      <c r="BU117" s="211"/>
      <c r="BV117" s="211"/>
      <c r="BW117" s="211"/>
      <c r="BX117" s="211"/>
      <c r="BY117" s="211"/>
      <c r="BZ117" s="211"/>
      <c r="CA117" s="211"/>
      <c r="CB117" s="1359"/>
      <c r="CC117" s="1359"/>
      <c r="CD117" s="1359"/>
      <c r="CE117" s="1359"/>
      <c r="CF117" s="1359"/>
      <c r="CG117" s="1359"/>
      <c r="CH117" s="1359"/>
      <c r="CI117" s="1359"/>
      <c r="CJ117" s="1359"/>
      <c r="CK117" s="1359"/>
    </row>
    <row r="118" spans="3:89">
      <c r="C118" s="205"/>
      <c r="D118" s="205"/>
      <c r="E118" s="204"/>
      <c r="F118" s="202"/>
      <c r="G118" s="202"/>
      <c r="H118" s="202"/>
      <c r="I118" s="202"/>
      <c r="J118" s="202"/>
      <c r="K118" s="202"/>
      <c r="L118" s="202"/>
      <c r="M118" s="202"/>
      <c r="N118" s="202"/>
      <c r="O118" s="202"/>
      <c r="P118" s="202"/>
      <c r="Q118" s="202"/>
      <c r="R118" s="202"/>
      <c r="S118" s="202"/>
      <c r="T118" s="202"/>
      <c r="U118" s="202"/>
      <c r="V118" s="202"/>
      <c r="W118" s="202"/>
      <c r="X118" s="202"/>
      <c r="Y118" s="61"/>
      <c r="Z118" s="1305"/>
      <c r="AA118" s="1305"/>
      <c r="AB118" s="1306"/>
      <c r="AC118" s="1305"/>
      <c r="AD118" s="1305"/>
      <c r="AE118" s="1305"/>
      <c r="AF118" s="1305"/>
      <c r="AG118" s="1305"/>
      <c r="AH118" s="1305"/>
      <c r="AI118" s="1305"/>
      <c r="AJ118" s="1305"/>
      <c r="AK118" s="1305"/>
      <c r="AL118" s="1305"/>
      <c r="AM118" s="1305"/>
      <c r="AN118" s="1305"/>
      <c r="AO118" s="1305"/>
      <c r="AP118" s="1305"/>
      <c r="AQ118" s="1305"/>
      <c r="AR118" s="1305"/>
      <c r="AS118" s="1305"/>
      <c r="AT118" s="1305"/>
      <c r="AU118" s="1307"/>
      <c r="AV118" s="1307"/>
      <c r="AW118" s="1307"/>
      <c r="AX118" s="1307"/>
      <c r="AY118" s="1307"/>
      <c r="AZ118" s="1307"/>
      <c r="BA118" s="1307"/>
      <c r="BB118" s="61"/>
      <c r="BC118" s="211"/>
      <c r="BD118" s="211"/>
      <c r="BE118" s="211"/>
      <c r="BF118" s="211"/>
      <c r="BG118" s="211"/>
      <c r="BH118" s="211"/>
      <c r="BI118" s="211"/>
      <c r="BJ118" s="211"/>
      <c r="BK118" s="211"/>
      <c r="BL118" s="211"/>
      <c r="BM118" s="211"/>
      <c r="BN118" s="211"/>
      <c r="BO118" s="211"/>
      <c r="BP118" s="211"/>
      <c r="BQ118" s="211"/>
      <c r="BR118" s="211"/>
      <c r="BS118" s="211"/>
      <c r="BT118" s="211"/>
      <c r="BU118" s="211"/>
      <c r="BV118" s="211"/>
      <c r="BW118" s="211"/>
      <c r="BX118" s="211"/>
      <c r="BY118" s="211"/>
      <c r="BZ118" s="211"/>
      <c r="CA118" s="211"/>
      <c r="CB118" s="1359"/>
      <c r="CC118" s="1359"/>
      <c r="CD118" s="1359"/>
      <c r="CE118" s="1359"/>
      <c r="CF118" s="1359"/>
      <c r="CG118" s="1359"/>
      <c r="CH118" s="1359"/>
      <c r="CI118" s="1359"/>
      <c r="CJ118" s="1359"/>
      <c r="CK118" s="1359"/>
    </row>
    <row r="119" spans="3:89">
      <c r="C119" s="205"/>
      <c r="D119" s="205"/>
      <c r="E119" s="204"/>
      <c r="F119" s="202"/>
      <c r="G119" s="202"/>
      <c r="H119" s="202"/>
      <c r="I119" s="202"/>
      <c r="J119" s="202"/>
      <c r="K119" s="202"/>
      <c r="L119" s="202"/>
      <c r="M119" s="202"/>
      <c r="N119" s="202"/>
      <c r="O119" s="202"/>
      <c r="P119" s="202"/>
      <c r="Q119" s="202"/>
      <c r="R119" s="202"/>
      <c r="S119" s="202"/>
      <c r="T119" s="202"/>
      <c r="U119" s="61" t="s">
        <v>1354</v>
      </c>
      <c r="V119" s="202"/>
      <c r="W119" s="202"/>
      <c r="X119" s="202"/>
      <c r="Y119" s="61"/>
      <c r="Z119" s="1305"/>
      <c r="AA119" s="1305"/>
      <c r="AB119" s="1306"/>
      <c r="AC119" s="1305"/>
      <c r="AD119" s="1305"/>
      <c r="AE119" s="1305"/>
      <c r="AF119" s="1305"/>
      <c r="AG119" s="1305"/>
      <c r="AH119" s="1305"/>
      <c r="AI119" s="1305"/>
      <c r="AJ119" s="1305"/>
      <c r="AK119" s="1305"/>
      <c r="AL119" s="1305"/>
      <c r="AM119" s="1305"/>
      <c r="AN119" s="1305"/>
      <c r="AO119" s="1305"/>
      <c r="AP119" s="1305"/>
      <c r="AQ119" s="1305"/>
      <c r="AR119" s="1305"/>
      <c r="AS119" s="1305"/>
      <c r="AT119" s="1305"/>
      <c r="AU119" s="1307"/>
      <c r="AV119" s="1307"/>
      <c r="AW119" s="1307"/>
      <c r="AX119" s="1307"/>
      <c r="AY119" s="1307"/>
      <c r="AZ119" s="1307"/>
      <c r="BA119" s="1307"/>
      <c r="BB119" s="61"/>
      <c r="BC119" s="211"/>
      <c r="BD119" s="211"/>
      <c r="BE119" s="211"/>
      <c r="BF119" s="211"/>
      <c r="BG119" s="211"/>
      <c r="BH119" s="211"/>
      <c r="BI119" s="211"/>
      <c r="BJ119" s="211"/>
      <c r="BK119" s="211"/>
      <c r="BL119" s="211"/>
      <c r="BM119" s="211"/>
      <c r="BN119" s="211"/>
      <c r="BO119" s="211"/>
      <c r="BP119" s="211"/>
      <c r="BQ119" s="211"/>
      <c r="BR119" s="211"/>
      <c r="BS119" s="211"/>
      <c r="BT119" s="211"/>
      <c r="BU119" s="211"/>
      <c r="BV119" s="211"/>
      <c r="BW119" s="211"/>
      <c r="BX119" s="211"/>
      <c r="BY119" s="211"/>
      <c r="BZ119" s="211"/>
      <c r="CA119" s="211"/>
      <c r="CB119" s="1359"/>
      <c r="CC119" s="1359"/>
      <c r="CD119" s="1359"/>
      <c r="CE119" s="1359"/>
      <c r="CF119" s="1359"/>
      <c r="CG119" s="1359"/>
      <c r="CH119" s="1359"/>
      <c r="CI119" s="1359"/>
      <c r="CJ119" s="1359"/>
      <c r="CK119" s="1359"/>
    </row>
    <row r="120" spans="3:89">
      <c r="C120" s="205"/>
      <c r="D120" s="205"/>
      <c r="E120" s="204"/>
      <c r="F120" s="202"/>
      <c r="G120" s="202"/>
      <c r="H120" s="202"/>
      <c r="I120" s="202"/>
      <c r="J120" s="202"/>
      <c r="K120" s="202"/>
      <c r="L120" s="202"/>
      <c r="M120" s="202"/>
      <c r="N120" s="202"/>
      <c r="O120" s="202"/>
      <c r="P120" s="202"/>
      <c r="Q120" s="202"/>
      <c r="R120" s="202"/>
      <c r="S120" s="202"/>
      <c r="T120" s="202"/>
      <c r="U120" s="213" t="s">
        <v>1353</v>
      </c>
      <c r="V120" s="202"/>
      <c r="W120" s="202"/>
      <c r="X120" s="202"/>
      <c r="Y120" s="61"/>
      <c r="Z120" s="1305"/>
      <c r="AA120" s="1305"/>
      <c r="AB120" s="1306"/>
      <c r="AC120" s="1305"/>
      <c r="AD120" s="1305"/>
      <c r="AE120" s="1305"/>
      <c r="AF120" s="1305"/>
      <c r="AG120" s="1305"/>
      <c r="AH120" s="1305"/>
      <c r="AI120" s="1305"/>
      <c r="AJ120" s="1305"/>
      <c r="AK120" s="1305"/>
      <c r="AL120" s="1305"/>
      <c r="AM120" s="1305"/>
      <c r="AN120" s="1305"/>
      <c r="AO120" s="1305"/>
      <c r="AP120" s="1305"/>
      <c r="AQ120" s="1305"/>
      <c r="AR120" s="1305"/>
      <c r="AS120" s="1305"/>
      <c r="AT120" s="1305"/>
      <c r="AU120" s="1307"/>
      <c r="AV120" s="1307"/>
      <c r="AW120" s="1307"/>
      <c r="AX120" s="1307"/>
      <c r="AY120" s="1307"/>
      <c r="AZ120" s="1307"/>
      <c r="BA120" s="1307"/>
      <c r="BB120" s="61"/>
      <c r="BC120" s="211"/>
      <c r="BD120" s="211"/>
      <c r="BE120" s="211"/>
      <c r="BF120" s="211"/>
      <c r="BG120" s="211"/>
      <c r="BH120" s="211"/>
      <c r="BI120" s="211"/>
      <c r="BJ120" s="211"/>
      <c r="BK120" s="211"/>
      <c r="BL120" s="211"/>
      <c r="BM120" s="211"/>
      <c r="BN120" s="211"/>
      <c r="BO120" s="211"/>
      <c r="BP120" s="211"/>
      <c r="BQ120" s="211"/>
      <c r="BR120" s="211"/>
      <c r="BS120" s="211"/>
      <c r="BT120" s="211"/>
      <c r="BU120" s="211"/>
      <c r="BV120" s="211"/>
      <c r="BW120" s="211"/>
      <c r="BX120" s="211"/>
      <c r="BY120" s="211"/>
      <c r="BZ120" s="211"/>
      <c r="CA120" s="211"/>
      <c r="CB120" s="1359"/>
      <c r="CC120" s="1359"/>
      <c r="CD120" s="1359"/>
      <c r="CE120" s="1359"/>
      <c r="CF120" s="1359"/>
      <c r="CG120" s="1359"/>
      <c r="CH120" s="1359"/>
      <c r="CI120" s="1359"/>
      <c r="CJ120" s="1359"/>
      <c r="CK120" s="1359"/>
    </row>
    <row r="121" spans="3:89">
      <c r="C121" s="205"/>
      <c r="D121" s="205"/>
      <c r="E121" s="204"/>
      <c r="F121" s="202"/>
      <c r="G121" s="202"/>
      <c r="H121" s="202"/>
      <c r="I121" s="202"/>
      <c r="J121" s="202"/>
      <c r="K121" s="202"/>
      <c r="L121" s="202"/>
      <c r="M121" s="202"/>
      <c r="N121" s="202"/>
      <c r="O121" s="202"/>
      <c r="P121" s="202"/>
      <c r="Q121" s="202"/>
      <c r="R121" s="202"/>
      <c r="S121" s="202"/>
      <c r="T121" s="202"/>
      <c r="U121" s="213" t="s">
        <v>1352</v>
      </c>
      <c r="V121" s="202"/>
      <c r="W121" s="202"/>
      <c r="X121" s="202"/>
      <c r="Y121" s="61"/>
      <c r="Z121" s="1305"/>
      <c r="AA121" s="1305"/>
      <c r="AB121" s="1306"/>
      <c r="AC121" s="1305"/>
      <c r="AD121" s="1305"/>
      <c r="AE121" s="1305"/>
      <c r="AF121" s="1305"/>
      <c r="AG121" s="1305"/>
      <c r="AH121" s="1305"/>
      <c r="AI121" s="1305"/>
      <c r="AJ121" s="1305"/>
      <c r="AK121" s="1305"/>
      <c r="AL121" s="1305"/>
      <c r="AM121" s="1305"/>
      <c r="AN121" s="1305"/>
      <c r="AO121" s="1305"/>
      <c r="AP121" s="1305"/>
      <c r="AQ121" s="1305"/>
      <c r="AR121" s="1305"/>
      <c r="AS121" s="1305"/>
      <c r="AT121" s="1305"/>
      <c r="AU121" s="1307"/>
      <c r="AV121" s="1307"/>
      <c r="AW121" s="1307"/>
      <c r="AX121" s="1307"/>
      <c r="AY121" s="1307"/>
      <c r="AZ121" s="1307"/>
      <c r="BA121" s="1307"/>
      <c r="BB121" s="61"/>
      <c r="BC121" s="211"/>
      <c r="BD121" s="211"/>
      <c r="BE121" s="211"/>
      <c r="BF121" s="211"/>
      <c r="BG121" s="211"/>
      <c r="BH121" s="211"/>
      <c r="BI121" s="211"/>
      <c r="BJ121" s="211"/>
      <c r="BK121" s="211"/>
      <c r="BL121" s="211"/>
      <c r="BM121" s="211"/>
      <c r="BN121" s="211"/>
      <c r="BO121" s="211"/>
      <c r="BP121" s="211"/>
      <c r="BQ121" s="211"/>
      <c r="BR121" s="211"/>
      <c r="BS121" s="211"/>
      <c r="BT121" s="211"/>
      <c r="BU121" s="211"/>
      <c r="BV121" s="211"/>
      <c r="BW121" s="211"/>
      <c r="BX121" s="211"/>
      <c r="BY121" s="211"/>
      <c r="BZ121" s="211"/>
      <c r="CA121" s="211"/>
      <c r="CB121" s="1359"/>
      <c r="CC121" s="1359"/>
      <c r="CD121" s="1359"/>
      <c r="CE121" s="1359"/>
      <c r="CF121" s="1359"/>
      <c r="CG121" s="1359"/>
      <c r="CH121" s="1359"/>
      <c r="CI121" s="1359"/>
      <c r="CJ121" s="1359"/>
      <c r="CK121" s="1359"/>
    </row>
    <row r="122" spans="3:89">
      <c r="C122" s="205"/>
      <c r="D122" s="205"/>
      <c r="E122" s="204"/>
      <c r="F122" s="202"/>
      <c r="G122" s="202"/>
      <c r="H122" s="202"/>
      <c r="I122" s="202"/>
      <c r="J122" s="202"/>
      <c r="K122" s="202"/>
      <c r="L122" s="202"/>
      <c r="M122" s="202"/>
      <c r="N122" s="202"/>
      <c r="O122" s="202"/>
      <c r="P122" s="202"/>
      <c r="Q122" s="202"/>
      <c r="R122" s="202"/>
      <c r="S122" s="202"/>
      <c r="T122" s="202"/>
      <c r="U122" s="213" t="s">
        <v>1351</v>
      </c>
      <c r="V122" s="202"/>
      <c r="W122" s="202"/>
      <c r="X122" s="202"/>
      <c r="Y122" s="61"/>
      <c r="Z122" s="1305"/>
      <c r="AA122" s="1305"/>
      <c r="AB122" s="1306"/>
      <c r="AC122" s="1305"/>
      <c r="AD122" s="1305"/>
      <c r="AE122" s="1305"/>
      <c r="AF122" s="1305"/>
      <c r="AG122" s="1305"/>
      <c r="AH122" s="1305"/>
      <c r="AI122" s="1305"/>
      <c r="AJ122" s="1305"/>
      <c r="AK122" s="1305"/>
      <c r="AL122" s="1305"/>
      <c r="AM122" s="1305"/>
      <c r="AN122" s="1305"/>
      <c r="AO122" s="1305"/>
      <c r="AP122" s="1305"/>
      <c r="AQ122" s="1305"/>
      <c r="AR122" s="1305"/>
      <c r="AS122" s="1305"/>
      <c r="AT122" s="1305"/>
      <c r="AU122" s="1307"/>
      <c r="AV122" s="1307"/>
      <c r="AW122" s="1307"/>
      <c r="AX122" s="1307"/>
      <c r="AY122" s="1307"/>
      <c r="AZ122" s="1307"/>
      <c r="BA122" s="1307"/>
      <c r="BB122" s="61"/>
      <c r="BC122" s="211"/>
      <c r="BD122" s="211"/>
      <c r="BE122" s="211"/>
      <c r="BF122" s="211"/>
      <c r="BG122" s="211"/>
      <c r="BH122" s="211"/>
      <c r="BI122" s="211"/>
      <c r="BJ122" s="211"/>
      <c r="BK122" s="211"/>
      <c r="BL122" s="211"/>
      <c r="BM122" s="211"/>
      <c r="BN122" s="211"/>
      <c r="BO122" s="211"/>
      <c r="BP122" s="211"/>
      <c r="BQ122" s="211"/>
      <c r="BR122" s="211"/>
      <c r="BS122" s="211"/>
      <c r="BT122" s="211"/>
      <c r="BU122" s="211"/>
      <c r="BV122" s="211"/>
      <c r="BW122" s="211"/>
      <c r="BX122" s="211"/>
      <c r="BY122" s="211"/>
      <c r="BZ122" s="211"/>
      <c r="CA122" s="211"/>
      <c r="CB122" s="1359"/>
      <c r="CC122" s="1359"/>
      <c r="CD122" s="1359"/>
      <c r="CE122" s="1359"/>
      <c r="CF122" s="1359"/>
      <c r="CG122" s="1359"/>
      <c r="CH122" s="1359"/>
      <c r="CI122" s="1359"/>
      <c r="CJ122" s="1359"/>
      <c r="CK122" s="1359"/>
    </row>
    <row r="123" spans="3:89">
      <c r="C123" s="205"/>
      <c r="D123" s="205"/>
      <c r="E123" s="204"/>
      <c r="F123" s="202"/>
      <c r="G123" s="202"/>
      <c r="H123" s="202"/>
      <c r="I123" s="202"/>
      <c r="J123" s="202"/>
      <c r="K123" s="202"/>
      <c r="L123" s="202"/>
      <c r="M123" s="202"/>
      <c r="N123" s="202"/>
      <c r="O123" s="202"/>
      <c r="P123" s="202"/>
      <c r="Q123" s="202"/>
      <c r="R123" s="202"/>
      <c r="S123" s="202"/>
      <c r="T123" s="202"/>
      <c r="U123" s="213" t="s">
        <v>1350</v>
      </c>
      <c r="V123" s="202"/>
      <c r="W123" s="202"/>
      <c r="X123" s="202"/>
      <c r="Y123" s="61"/>
      <c r="Z123" s="1305"/>
      <c r="AA123" s="1305"/>
      <c r="AB123" s="1306"/>
      <c r="AC123" s="1305"/>
      <c r="AD123" s="1305"/>
      <c r="AE123" s="1305"/>
      <c r="AF123" s="1305"/>
      <c r="AG123" s="1305"/>
      <c r="AH123" s="1305"/>
      <c r="AI123" s="1305"/>
      <c r="AJ123" s="1305"/>
      <c r="AK123" s="1305"/>
      <c r="AL123" s="1305"/>
      <c r="AM123" s="1305"/>
      <c r="AN123" s="1305"/>
      <c r="AO123" s="1305"/>
      <c r="AP123" s="1305"/>
      <c r="AQ123" s="1305"/>
      <c r="AR123" s="1305"/>
      <c r="AS123" s="1305"/>
      <c r="AT123" s="1305"/>
      <c r="AU123" s="1307"/>
      <c r="AV123" s="1307"/>
      <c r="AW123" s="1307"/>
      <c r="AX123" s="1307"/>
      <c r="AY123" s="1307"/>
      <c r="AZ123" s="1307"/>
      <c r="BA123" s="1307"/>
      <c r="BB123" s="61"/>
      <c r="BC123" s="211"/>
      <c r="BD123" s="211"/>
      <c r="BE123" s="211"/>
      <c r="BF123" s="211"/>
      <c r="BG123" s="211"/>
      <c r="BH123" s="211"/>
      <c r="BI123" s="211"/>
      <c r="BJ123" s="211"/>
      <c r="BK123" s="211"/>
      <c r="BL123" s="211"/>
      <c r="BM123" s="211"/>
      <c r="BN123" s="211"/>
      <c r="BO123" s="211"/>
      <c r="BP123" s="211"/>
      <c r="BQ123" s="211"/>
      <c r="BR123" s="211"/>
      <c r="BS123" s="211"/>
      <c r="BT123" s="211"/>
      <c r="BU123" s="211"/>
      <c r="BV123" s="211"/>
      <c r="BW123" s="211"/>
      <c r="BX123" s="211"/>
      <c r="BY123" s="211"/>
      <c r="BZ123" s="211"/>
      <c r="CA123" s="211"/>
      <c r="CB123" s="1359"/>
      <c r="CC123" s="1359"/>
      <c r="CD123" s="1359"/>
      <c r="CE123" s="1359"/>
      <c r="CF123" s="1359"/>
      <c r="CG123" s="1359"/>
      <c r="CH123" s="1359"/>
      <c r="CI123" s="1359"/>
      <c r="CJ123" s="1359"/>
      <c r="CK123" s="1359"/>
    </row>
    <row r="124" spans="3:89">
      <c r="C124" s="205"/>
      <c r="D124" s="205"/>
      <c r="E124" s="204"/>
      <c r="F124" s="202"/>
      <c r="G124" s="202"/>
      <c r="H124" s="202"/>
      <c r="I124" s="202"/>
      <c r="J124" s="202"/>
      <c r="K124" s="202"/>
      <c r="L124" s="202"/>
      <c r="M124" s="202"/>
      <c r="N124" s="202"/>
      <c r="O124" s="202"/>
      <c r="P124" s="202"/>
      <c r="Q124" s="202"/>
      <c r="R124" s="202"/>
      <c r="S124" s="202"/>
      <c r="T124" s="202"/>
      <c r="U124" s="213" t="s">
        <v>1349</v>
      </c>
      <c r="V124" s="202"/>
      <c r="W124" s="202"/>
      <c r="X124" s="202"/>
      <c r="Y124" s="61"/>
      <c r="Z124" s="1305"/>
      <c r="AA124" s="1305"/>
      <c r="AB124" s="1306"/>
      <c r="AC124" s="1305"/>
      <c r="AD124" s="1305"/>
      <c r="AE124" s="1305"/>
      <c r="AF124" s="1305"/>
      <c r="AG124" s="1305"/>
      <c r="AH124" s="1305"/>
      <c r="AI124" s="1305"/>
      <c r="AJ124" s="1305"/>
      <c r="AK124" s="1305"/>
      <c r="AL124" s="1305"/>
      <c r="AM124" s="1305"/>
      <c r="AN124" s="1305"/>
      <c r="AO124" s="1305"/>
      <c r="AP124" s="1305"/>
      <c r="AQ124" s="1305"/>
      <c r="AR124" s="1305"/>
      <c r="AS124" s="1305"/>
      <c r="AT124" s="1305"/>
      <c r="AU124" s="1307"/>
      <c r="AV124" s="1307"/>
      <c r="AW124" s="1307"/>
      <c r="AX124" s="1307"/>
      <c r="AY124" s="1307"/>
      <c r="AZ124" s="1307"/>
      <c r="BA124" s="1307"/>
      <c r="BB124" s="61"/>
      <c r="BC124" s="211"/>
      <c r="BD124" s="211"/>
      <c r="BE124" s="211"/>
      <c r="BF124" s="211"/>
      <c r="BG124" s="211"/>
      <c r="BH124" s="211"/>
      <c r="BI124" s="211"/>
      <c r="BJ124" s="211"/>
      <c r="BK124" s="211"/>
      <c r="BL124" s="211"/>
      <c r="BM124" s="211"/>
      <c r="BN124" s="211"/>
      <c r="BO124" s="211"/>
      <c r="BP124" s="211"/>
      <c r="BQ124" s="211"/>
      <c r="BR124" s="211"/>
      <c r="BS124" s="211"/>
      <c r="BT124" s="211"/>
      <c r="BU124" s="211"/>
      <c r="BV124" s="211"/>
      <c r="BW124" s="211"/>
      <c r="BX124" s="211"/>
      <c r="BY124" s="211"/>
      <c r="BZ124" s="211"/>
      <c r="CA124" s="211"/>
      <c r="CB124" s="1359"/>
      <c r="CC124" s="1359"/>
      <c r="CD124" s="1359"/>
      <c r="CE124" s="1359"/>
      <c r="CF124" s="1359"/>
      <c r="CG124" s="1359"/>
      <c r="CH124" s="1359"/>
      <c r="CI124" s="1359"/>
      <c r="CJ124" s="1359"/>
      <c r="CK124" s="1359"/>
    </row>
    <row r="125" spans="3:89">
      <c r="C125" s="205"/>
      <c r="D125" s="205"/>
      <c r="E125" s="204"/>
      <c r="F125" s="202"/>
      <c r="G125" s="202"/>
      <c r="H125" s="202"/>
      <c r="I125" s="202"/>
      <c r="J125" s="202"/>
      <c r="K125" s="202"/>
      <c r="L125" s="202"/>
      <c r="M125" s="202"/>
      <c r="N125" s="202"/>
      <c r="O125" s="202"/>
      <c r="P125" s="202"/>
      <c r="Q125" s="202"/>
      <c r="R125" s="202"/>
      <c r="S125" s="202"/>
      <c r="T125" s="202"/>
      <c r="U125" s="202"/>
      <c r="V125" s="202"/>
      <c r="W125" s="202"/>
      <c r="X125" s="202"/>
      <c r="Y125" s="61"/>
      <c r="Z125" s="1305"/>
      <c r="AA125" s="1305"/>
      <c r="AB125" s="1306"/>
      <c r="AC125" s="1305"/>
      <c r="AD125" s="1305"/>
      <c r="AE125" s="1305"/>
      <c r="AF125" s="1305"/>
      <c r="AG125" s="1305"/>
      <c r="AH125" s="1305"/>
      <c r="AI125" s="1305"/>
      <c r="AJ125" s="1305"/>
      <c r="AK125" s="1305"/>
      <c r="AL125" s="1305"/>
      <c r="AM125" s="1305"/>
      <c r="AN125" s="1305"/>
      <c r="AO125" s="1305"/>
      <c r="AP125" s="1305"/>
      <c r="AQ125" s="1305"/>
      <c r="AR125" s="1305"/>
      <c r="AS125" s="1305"/>
      <c r="AT125" s="1305"/>
      <c r="AU125" s="1307"/>
      <c r="AV125" s="1307"/>
      <c r="AW125" s="1307"/>
      <c r="AX125" s="1307"/>
      <c r="AY125" s="1307"/>
      <c r="AZ125" s="1307"/>
      <c r="BA125" s="1307"/>
      <c r="BB125" s="61"/>
      <c r="BC125" s="211"/>
      <c r="BD125" s="211"/>
      <c r="BE125" s="211"/>
      <c r="BF125" s="211"/>
      <c r="BG125" s="211"/>
      <c r="BH125" s="211"/>
      <c r="BI125" s="211"/>
      <c r="BJ125" s="211"/>
      <c r="BK125" s="211"/>
      <c r="BL125" s="211"/>
      <c r="BM125" s="211"/>
      <c r="BN125" s="211"/>
      <c r="BO125" s="211"/>
      <c r="BP125" s="211"/>
      <c r="BQ125" s="211"/>
      <c r="BR125" s="211"/>
      <c r="BS125" s="211"/>
      <c r="BT125" s="211"/>
      <c r="BU125" s="211"/>
      <c r="BV125" s="211"/>
      <c r="BW125" s="211"/>
      <c r="BX125" s="211"/>
      <c r="BY125" s="211"/>
      <c r="BZ125" s="211"/>
      <c r="CA125" s="211"/>
      <c r="CB125" s="1359"/>
      <c r="CC125" s="1359"/>
      <c r="CD125" s="1359"/>
      <c r="CE125" s="1359"/>
      <c r="CF125" s="1359"/>
      <c r="CG125" s="1359"/>
      <c r="CH125" s="1359"/>
      <c r="CI125" s="1359"/>
      <c r="CJ125" s="1359"/>
      <c r="CK125" s="1359"/>
    </row>
    <row r="126" spans="3:89">
      <c r="C126" s="205"/>
      <c r="D126" s="205"/>
      <c r="E126" s="204"/>
      <c r="F126" s="202"/>
      <c r="G126" s="202"/>
      <c r="H126" s="202"/>
      <c r="I126" s="202"/>
      <c r="J126" s="202"/>
      <c r="K126" s="202"/>
      <c r="L126" s="202"/>
      <c r="M126" s="202"/>
      <c r="N126" s="202"/>
      <c r="O126" s="202"/>
      <c r="P126" s="202"/>
      <c r="Q126" s="202"/>
      <c r="R126" s="202"/>
      <c r="S126" s="202"/>
      <c r="T126" s="202"/>
      <c r="U126" s="202"/>
      <c r="V126" s="202"/>
      <c r="W126" s="202"/>
      <c r="X126" s="202"/>
      <c r="Y126" s="61"/>
      <c r="Z126" s="1305"/>
      <c r="AA126" s="1305"/>
      <c r="AB126" s="1306"/>
      <c r="AC126" s="1305"/>
      <c r="AD126" s="1305"/>
      <c r="AE126" s="1305"/>
      <c r="AF126" s="1305"/>
      <c r="AG126" s="1305"/>
      <c r="AH126" s="1305"/>
      <c r="AI126" s="1305"/>
      <c r="AJ126" s="1305"/>
      <c r="AK126" s="1305"/>
      <c r="AL126" s="1305"/>
      <c r="AM126" s="1305"/>
      <c r="AN126" s="1305"/>
      <c r="AO126" s="1305"/>
      <c r="AP126" s="1305"/>
      <c r="AQ126" s="1305"/>
      <c r="AR126" s="1305"/>
      <c r="AS126" s="1305"/>
      <c r="AT126" s="1305"/>
      <c r="AU126" s="1307"/>
      <c r="AV126" s="1307"/>
      <c r="AW126" s="1307"/>
      <c r="AX126" s="1307"/>
      <c r="AY126" s="1307"/>
      <c r="AZ126" s="1307"/>
      <c r="BA126" s="1307"/>
      <c r="BB126" s="61"/>
      <c r="BC126" s="211"/>
      <c r="BD126" s="211"/>
      <c r="BE126" s="211"/>
      <c r="BF126" s="211"/>
      <c r="BG126" s="211"/>
      <c r="BH126" s="211"/>
      <c r="BI126" s="211"/>
      <c r="BJ126" s="211"/>
      <c r="BK126" s="211"/>
      <c r="BL126" s="211"/>
      <c r="BM126" s="211"/>
      <c r="BN126" s="211"/>
      <c r="BO126" s="211"/>
      <c r="BP126" s="211"/>
      <c r="BQ126" s="211"/>
      <c r="BR126" s="211"/>
      <c r="BS126" s="211"/>
      <c r="BT126" s="211"/>
      <c r="BU126" s="211"/>
      <c r="BV126" s="211"/>
      <c r="BW126" s="211"/>
      <c r="BX126" s="211"/>
      <c r="BY126" s="211"/>
      <c r="BZ126" s="211"/>
      <c r="CA126" s="211"/>
      <c r="CB126" s="1359"/>
      <c r="CC126" s="1359"/>
      <c r="CD126" s="1359"/>
      <c r="CE126" s="1359"/>
      <c r="CF126" s="1359"/>
      <c r="CG126" s="1359"/>
      <c r="CH126" s="1359"/>
      <c r="CI126" s="1359"/>
      <c r="CJ126" s="1359"/>
      <c r="CK126" s="1359"/>
    </row>
    <row r="127" spans="3:89">
      <c r="C127" s="205"/>
      <c r="D127" s="205"/>
      <c r="E127" s="204"/>
      <c r="F127" s="202"/>
      <c r="G127" s="202"/>
      <c r="H127" s="202"/>
      <c r="I127" s="202"/>
      <c r="J127" s="202"/>
      <c r="K127" s="202"/>
      <c r="L127" s="202"/>
      <c r="M127" s="202"/>
      <c r="N127" s="202"/>
      <c r="O127" s="202"/>
      <c r="P127" s="202"/>
      <c r="Q127" s="202"/>
      <c r="R127" s="202"/>
      <c r="S127" s="202"/>
      <c r="T127" s="202"/>
      <c r="U127" s="202"/>
      <c r="V127" s="202"/>
      <c r="W127" s="202"/>
      <c r="X127" s="202"/>
      <c r="Y127" s="61"/>
      <c r="Z127" s="1305"/>
      <c r="AA127" s="1305"/>
      <c r="AB127" s="1306"/>
      <c r="AC127" s="1305"/>
      <c r="AD127" s="1305"/>
      <c r="AE127" s="1305"/>
      <c r="AF127" s="1305"/>
      <c r="AG127" s="1305"/>
      <c r="AH127" s="1305"/>
      <c r="AI127" s="1305"/>
      <c r="AJ127" s="1305"/>
      <c r="AK127" s="1305"/>
      <c r="AL127" s="1305"/>
      <c r="AM127" s="1305"/>
      <c r="AN127" s="1305"/>
      <c r="AO127" s="1305"/>
      <c r="AP127" s="1305"/>
      <c r="AQ127" s="1305"/>
      <c r="AR127" s="1305"/>
      <c r="AS127" s="1305"/>
      <c r="AT127" s="1305"/>
      <c r="AU127" s="1307"/>
      <c r="AV127" s="1307"/>
      <c r="AW127" s="1307"/>
      <c r="AX127" s="1307"/>
      <c r="AY127" s="1307"/>
      <c r="AZ127" s="1307"/>
      <c r="BA127" s="1307"/>
      <c r="BB127" s="61"/>
      <c r="BC127" s="211"/>
      <c r="BD127" s="211"/>
      <c r="BE127" s="211"/>
      <c r="BF127" s="211"/>
      <c r="BG127" s="211"/>
      <c r="BH127" s="211"/>
      <c r="BI127" s="211"/>
      <c r="BJ127" s="211"/>
      <c r="BK127" s="211"/>
      <c r="BL127" s="211"/>
      <c r="BM127" s="211"/>
      <c r="BN127" s="211"/>
      <c r="BO127" s="211"/>
      <c r="BP127" s="211"/>
      <c r="BQ127" s="211"/>
      <c r="BR127" s="211"/>
      <c r="BS127" s="211"/>
      <c r="BT127" s="211"/>
      <c r="BU127" s="211"/>
      <c r="BV127" s="211"/>
      <c r="BW127" s="211"/>
      <c r="BX127" s="211"/>
      <c r="BY127" s="211"/>
      <c r="BZ127" s="211"/>
      <c r="CA127" s="211"/>
      <c r="CB127" s="1359"/>
      <c r="CC127" s="1359"/>
      <c r="CD127" s="1359"/>
      <c r="CE127" s="1359"/>
      <c r="CF127" s="1359"/>
      <c r="CG127" s="1359"/>
      <c r="CH127" s="1359"/>
      <c r="CI127" s="1359"/>
      <c r="CJ127" s="1359"/>
      <c r="CK127" s="1359"/>
    </row>
    <row r="128" spans="3:89">
      <c r="C128" s="205"/>
      <c r="D128" s="205"/>
      <c r="E128" s="204"/>
      <c r="F128" s="202"/>
      <c r="G128" s="202"/>
      <c r="H128" s="202"/>
      <c r="I128" s="202"/>
      <c r="J128" s="202"/>
      <c r="K128" s="202"/>
      <c r="L128" s="202"/>
      <c r="M128" s="202"/>
      <c r="N128" s="202"/>
      <c r="O128" s="202"/>
      <c r="P128" s="202"/>
      <c r="Q128" s="202"/>
      <c r="R128" s="202"/>
      <c r="S128" s="202"/>
      <c r="T128" s="202"/>
      <c r="U128" s="202"/>
      <c r="V128" s="202"/>
      <c r="W128" s="202"/>
      <c r="X128" s="202"/>
      <c r="Y128" s="61"/>
      <c r="Z128" s="1305"/>
      <c r="AA128" s="1305"/>
      <c r="AB128" s="1306"/>
      <c r="AC128" s="1305"/>
      <c r="AD128" s="1305"/>
      <c r="AE128" s="1305"/>
      <c r="AF128" s="1305"/>
      <c r="AG128" s="1305"/>
      <c r="AH128" s="1305"/>
      <c r="AI128" s="1305"/>
      <c r="AJ128" s="1305"/>
      <c r="AK128" s="1305"/>
      <c r="AL128" s="1305"/>
      <c r="AM128" s="1305"/>
      <c r="AN128" s="1305"/>
      <c r="AO128" s="1305"/>
      <c r="AP128" s="1305"/>
      <c r="AQ128" s="1305"/>
      <c r="AR128" s="1305"/>
      <c r="AS128" s="1305"/>
      <c r="AT128" s="1305"/>
      <c r="AU128" s="1307"/>
      <c r="AV128" s="1307"/>
      <c r="AW128" s="1307"/>
      <c r="AX128" s="1307"/>
      <c r="AY128" s="1307"/>
      <c r="AZ128" s="1307"/>
      <c r="BA128" s="1307"/>
      <c r="BB128" s="61"/>
      <c r="BC128" s="211"/>
      <c r="BD128" s="211"/>
      <c r="BE128" s="211"/>
      <c r="BF128" s="211"/>
      <c r="BG128" s="211"/>
      <c r="BH128" s="211"/>
      <c r="BI128" s="211"/>
      <c r="BJ128" s="211"/>
      <c r="BK128" s="211"/>
      <c r="BL128" s="211"/>
      <c r="BM128" s="211"/>
      <c r="BN128" s="211"/>
      <c r="BO128" s="211"/>
      <c r="BP128" s="211"/>
      <c r="BQ128" s="211"/>
      <c r="BR128" s="211"/>
      <c r="BS128" s="211"/>
      <c r="BT128" s="211"/>
      <c r="BU128" s="211"/>
      <c r="BV128" s="211"/>
      <c r="BW128" s="211"/>
      <c r="BX128" s="211"/>
      <c r="BY128" s="211"/>
      <c r="BZ128" s="211"/>
      <c r="CA128" s="211"/>
      <c r="CB128" s="1359"/>
      <c r="CC128" s="1359"/>
      <c r="CD128" s="1359"/>
      <c r="CE128" s="1359"/>
      <c r="CF128" s="1359"/>
      <c r="CG128" s="1359"/>
      <c r="CH128" s="1359"/>
      <c r="CI128" s="1359"/>
      <c r="CJ128" s="1359"/>
      <c r="CK128" s="1359"/>
    </row>
    <row r="129" spans="3:89" ht="25.5">
      <c r="C129" s="202"/>
      <c r="D129" s="264" t="s">
        <v>83</v>
      </c>
      <c r="E129" s="265" t="s">
        <v>1348</v>
      </c>
      <c r="F129" s="265" t="s">
        <v>1347</v>
      </c>
      <c r="G129" s="265" t="s">
        <v>1346</v>
      </c>
      <c r="H129" s="265" t="s">
        <v>1345</v>
      </c>
      <c r="I129" s="265" t="s">
        <v>1344</v>
      </c>
      <c r="J129" s="265" t="s">
        <v>1343</v>
      </c>
      <c r="K129" s="265" t="s">
        <v>1342</v>
      </c>
      <c r="L129" s="265" t="s">
        <v>1341</v>
      </c>
      <c r="M129" s="265" t="s">
        <v>1340</v>
      </c>
      <c r="N129" s="265" t="s">
        <v>82</v>
      </c>
      <c r="O129" s="265" t="s">
        <v>1339</v>
      </c>
      <c r="P129" s="265" t="s">
        <v>1338</v>
      </c>
      <c r="Q129" s="265" t="s">
        <v>15</v>
      </c>
      <c r="R129" s="265" t="s">
        <v>81</v>
      </c>
      <c r="S129" s="265" t="s">
        <v>3</v>
      </c>
      <c r="T129" s="265" t="s">
        <v>1337</v>
      </c>
      <c r="U129" s="265" t="s">
        <v>1336</v>
      </c>
      <c r="V129" s="265" t="s">
        <v>1335</v>
      </c>
      <c r="W129" s="265" t="s">
        <v>1334</v>
      </c>
      <c r="X129" s="265" t="s">
        <v>1333</v>
      </c>
      <c r="Y129" s="1274" t="s">
        <v>1332</v>
      </c>
      <c r="Z129" s="1308" t="s">
        <v>20</v>
      </c>
      <c r="AA129" s="1308" t="s">
        <v>80</v>
      </c>
      <c r="AB129" s="1309"/>
      <c r="AC129" s="1307"/>
      <c r="AD129" s="1310"/>
      <c r="AE129" s="1310"/>
      <c r="AF129" s="1310"/>
      <c r="AG129" s="1310"/>
      <c r="AH129" s="1310"/>
      <c r="AI129" s="1310"/>
      <c r="AJ129" s="1310"/>
      <c r="AK129" s="1310"/>
      <c r="AL129" s="1310"/>
      <c r="AM129" s="1310"/>
      <c r="AN129" s="1310"/>
      <c r="AO129" s="1310"/>
      <c r="AP129" s="1310"/>
      <c r="AQ129" s="1310"/>
      <c r="AR129" s="1310"/>
      <c r="AS129" s="1310"/>
      <c r="AT129" s="1310"/>
      <c r="AU129" s="1307"/>
      <c r="AV129" s="1307"/>
      <c r="AW129" s="1307"/>
      <c r="AX129" s="1307"/>
      <c r="AY129" s="1307"/>
      <c r="AZ129" s="1307"/>
      <c r="BA129" s="1307"/>
      <c r="BB129" s="61"/>
      <c r="BC129" s="211"/>
      <c r="BD129" s="211"/>
      <c r="BE129" s="211"/>
      <c r="BF129" s="211"/>
      <c r="BG129" s="211"/>
      <c r="BH129" s="211"/>
      <c r="BI129" s="211"/>
      <c r="BJ129" s="211"/>
      <c r="BK129" s="211"/>
      <c r="BL129" s="211"/>
      <c r="BM129" s="211"/>
      <c r="BN129" s="211"/>
      <c r="BO129" s="211"/>
      <c r="BP129" s="211"/>
      <c r="BQ129" s="211"/>
      <c r="BR129" s="211"/>
      <c r="BS129" s="211"/>
      <c r="BT129" s="211"/>
      <c r="BU129" s="211"/>
      <c r="BV129" s="211"/>
      <c r="BW129" s="211"/>
      <c r="BX129" s="211"/>
      <c r="BY129" s="211"/>
      <c r="BZ129" s="211"/>
      <c r="CA129" s="211"/>
      <c r="CB129" s="1359"/>
      <c r="CC129" s="1359"/>
      <c r="CD129" s="1359"/>
      <c r="CE129" s="1359"/>
      <c r="CF129" s="1359"/>
      <c r="CG129" s="1359"/>
      <c r="CH129" s="1359"/>
      <c r="CI129" s="1359"/>
      <c r="CJ129" s="1359"/>
      <c r="CK129" s="1359"/>
    </row>
    <row r="130" spans="3:89" ht="18.75">
      <c r="C130" s="205"/>
      <c r="D130" s="209">
        <v>1</v>
      </c>
      <c r="E130" s="209">
        <v>619</v>
      </c>
      <c r="F130" s="209">
        <v>359</v>
      </c>
      <c r="G130" s="209">
        <v>334</v>
      </c>
      <c r="H130" s="209">
        <v>411</v>
      </c>
      <c r="I130" s="209">
        <v>468</v>
      </c>
      <c r="J130" s="209">
        <v>422</v>
      </c>
      <c r="K130" s="209">
        <v>612</v>
      </c>
      <c r="L130" s="208">
        <v>7</v>
      </c>
      <c r="M130" s="209">
        <v>35</v>
      </c>
      <c r="N130" s="209">
        <v>347</v>
      </c>
      <c r="O130" s="209">
        <v>613</v>
      </c>
      <c r="P130" s="209">
        <v>1</v>
      </c>
      <c r="Q130" s="209">
        <v>257</v>
      </c>
      <c r="R130" s="209">
        <v>486</v>
      </c>
      <c r="S130" s="209">
        <v>9</v>
      </c>
      <c r="T130" s="209">
        <v>398</v>
      </c>
      <c r="U130" s="209">
        <v>440</v>
      </c>
      <c r="V130" s="209">
        <v>2</v>
      </c>
      <c r="W130" s="209">
        <v>327</v>
      </c>
      <c r="X130" s="209">
        <v>3</v>
      </c>
      <c r="Y130" s="1275">
        <v>621</v>
      </c>
      <c r="Z130" s="1311">
        <v>397</v>
      </c>
      <c r="AA130" s="1311">
        <v>199</v>
      </c>
      <c r="AB130" s="1311"/>
      <c r="AC130" s="1311"/>
      <c r="AD130" s="1311"/>
      <c r="AE130" s="1311"/>
      <c r="AF130" s="1311"/>
      <c r="AG130" s="1311"/>
      <c r="AH130" s="1311"/>
      <c r="AI130" s="1311"/>
      <c r="AJ130" s="1311"/>
      <c r="AK130" s="1311"/>
      <c r="AL130" s="1311"/>
      <c r="AM130" s="1311"/>
      <c r="AN130" s="1311"/>
      <c r="AO130" s="1311"/>
      <c r="AP130" s="1311"/>
      <c r="AQ130" s="1311"/>
      <c r="AR130" s="1311"/>
      <c r="AS130" s="1312"/>
      <c r="AT130" s="1312"/>
      <c r="AU130" s="1313"/>
      <c r="AV130" s="1313"/>
      <c r="AW130" s="1313"/>
      <c r="AX130" s="1313"/>
      <c r="AY130" s="1313"/>
      <c r="AZ130" s="1313"/>
      <c r="BA130" s="1313"/>
      <c r="BB130" s="211"/>
      <c r="BC130" s="211"/>
      <c r="BD130" s="211"/>
      <c r="BE130" s="211"/>
      <c r="BF130" s="211"/>
      <c r="BG130" s="211"/>
      <c r="BH130" s="211"/>
      <c r="BI130" s="211"/>
      <c r="BJ130" s="211"/>
      <c r="BK130" s="211"/>
      <c r="BL130" s="211"/>
      <c r="BM130" s="211"/>
      <c r="BN130" s="211"/>
      <c r="BO130" s="211"/>
      <c r="BP130" s="211"/>
      <c r="BQ130" s="211"/>
      <c r="BR130" s="211"/>
      <c r="BS130" s="211"/>
      <c r="BT130" s="211"/>
      <c r="BU130" s="211"/>
      <c r="BV130" s="211"/>
      <c r="BW130" s="211"/>
      <c r="BX130" s="211"/>
      <c r="BY130" s="211"/>
      <c r="BZ130" s="211"/>
      <c r="CA130" s="211"/>
      <c r="CB130" s="1359"/>
      <c r="CC130" s="1359"/>
      <c r="CD130" s="1359"/>
      <c r="CE130" s="1359"/>
      <c r="CF130" s="1359"/>
      <c r="CG130" s="1359"/>
      <c r="CH130" s="1359"/>
      <c r="CI130" s="1359"/>
      <c r="CJ130" s="1359"/>
      <c r="CK130" s="1359"/>
    </row>
    <row r="131" spans="3:89" ht="18.75">
      <c r="C131" s="205"/>
      <c r="D131" s="209">
        <v>2</v>
      </c>
      <c r="E131" s="206"/>
      <c r="F131" s="209">
        <v>360</v>
      </c>
      <c r="G131" s="209">
        <v>335</v>
      </c>
      <c r="H131" s="206"/>
      <c r="I131" s="206"/>
      <c r="J131" s="209">
        <v>434</v>
      </c>
      <c r="K131" s="206"/>
      <c r="L131" s="208">
        <v>8</v>
      </c>
      <c r="M131" s="209">
        <v>36</v>
      </c>
      <c r="N131" s="209">
        <v>348</v>
      </c>
      <c r="O131" s="206"/>
      <c r="P131" s="209">
        <v>33</v>
      </c>
      <c r="Q131" s="209">
        <v>449</v>
      </c>
      <c r="R131" s="209">
        <v>620</v>
      </c>
      <c r="S131" s="209">
        <v>39</v>
      </c>
      <c r="T131" s="209">
        <v>497</v>
      </c>
      <c r="U131" s="209">
        <v>442</v>
      </c>
      <c r="V131" s="209">
        <v>34</v>
      </c>
      <c r="W131" s="209">
        <v>614</v>
      </c>
      <c r="X131" s="209">
        <v>4</v>
      </c>
      <c r="Y131" s="1275"/>
      <c r="Z131" s="1311"/>
      <c r="AA131" s="1311"/>
      <c r="AB131" s="1311"/>
      <c r="AC131" s="1311"/>
      <c r="AD131" s="1311"/>
      <c r="AE131" s="1311"/>
      <c r="AF131" s="1311"/>
      <c r="AG131" s="1311"/>
      <c r="AH131" s="1311"/>
      <c r="AI131" s="1311"/>
      <c r="AJ131" s="1311"/>
      <c r="AK131" s="1311"/>
      <c r="AL131" s="1311"/>
      <c r="AM131" s="1311"/>
      <c r="AN131" s="1311"/>
      <c r="AO131" s="1311"/>
      <c r="AP131" s="1311"/>
      <c r="AQ131" s="1311"/>
      <c r="AR131" s="1311"/>
      <c r="AS131" s="1312"/>
      <c r="AT131" s="1312"/>
      <c r="AU131" s="1313"/>
      <c r="AV131" s="1313"/>
      <c r="AW131" s="1313"/>
      <c r="AX131" s="1313"/>
      <c r="AY131" s="1313"/>
      <c r="AZ131" s="1313"/>
      <c r="BA131" s="1313"/>
      <c r="BB131" s="211"/>
      <c r="BC131" s="211"/>
      <c r="BD131" s="211"/>
      <c r="BE131" s="211"/>
      <c r="BF131" s="211"/>
      <c r="BG131" s="211"/>
      <c r="BH131" s="211"/>
      <c r="BI131" s="211"/>
      <c r="BJ131" s="211"/>
      <c r="BK131" s="211"/>
      <c r="BL131" s="211"/>
      <c r="BM131" s="211"/>
      <c r="BN131" s="211"/>
      <c r="BO131" s="211"/>
      <c r="BP131" s="211"/>
      <c r="BQ131" s="211"/>
      <c r="BR131" s="211"/>
      <c r="BS131" s="211"/>
      <c r="BT131" s="211"/>
      <c r="BU131" s="211"/>
      <c r="BV131" s="211"/>
      <c r="BW131" s="211"/>
      <c r="BX131" s="211"/>
      <c r="BY131" s="211"/>
      <c r="BZ131" s="211"/>
      <c r="CA131" s="211"/>
      <c r="CB131" s="1359"/>
      <c r="CC131" s="1359"/>
      <c r="CD131" s="1359"/>
      <c r="CE131" s="1359"/>
      <c r="CF131" s="1359"/>
      <c r="CG131" s="1359"/>
      <c r="CH131" s="1359"/>
      <c r="CI131" s="1359"/>
      <c r="CJ131" s="1359"/>
      <c r="CK131" s="1359"/>
    </row>
    <row r="132" spans="3:89" ht="18.75">
      <c r="C132" s="205"/>
      <c r="D132" s="209">
        <v>3</v>
      </c>
      <c r="E132" s="206"/>
      <c r="F132" s="209">
        <v>375</v>
      </c>
      <c r="G132" s="209">
        <v>388</v>
      </c>
      <c r="H132" s="206"/>
      <c r="I132" s="206"/>
      <c r="J132" s="206"/>
      <c r="K132" s="206"/>
      <c r="L132" s="208">
        <v>10</v>
      </c>
      <c r="M132" s="209">
        <v>37</v>
      </c>
      <c r="N132" s="206"/>
      <c r="O132" s="206"/>
      <c r="P132" s="209">
        <v>72</v>
      </c>
      <c r="Q132" s="209">
        <v>450</v>
      </c>
      <c r="R132" s="206"/>
      <c r="S132" s="209">
        <v>74</v>
      </c>
      <c r="T132" s="206"/>
      <c r="U132" s="209">
        <v>441</v>
      </c>
      <c r="V132" s="209">
        <v>73</v>
      </c>
      <c r="W132" s="209">
        <v>615</v>
      </c>
      <c r="X132" s="209">
        <v>5</v>
      </c>
      <c r="Y132" s="61"/>
      <c r="Z132" s="1312"/>
      <c r="AA132" s="1311"/>
      <c r="AB132" s="1311"/>
      <c r="AC132" s="1311"/>
      <c r="AD132" s="1311"/>
      <c r="AE132" s="1311"/>
      <c r="AF132" s="1311"/>
      <c r="AG132" s="1311"/>
      <c r="AH132" s="1311"/>
      <c r="AI132" s="1311"/>
      <c r="AJ132" s="1311"/>
      <c r="AK132" s="1311"/>
      <c r="AL132" s="1311"/>
      <c r="AM132" s="1311"/>
      <c r="AN132" s="1311"/>
      <c r="AO132" s="1311"/>
      <c r="AP132" s="1311"/>
      <c r="AQ132" s="1311"/>
      <c r="AR132" s="1311"/>
      <c r="AS132" s="1312"/>
      <c r="AT132" s="1312"/>
      <c r="AU132" s="1313"/>
      <c r="AV132" s="1313"/>
      <c r="AW132" s="1313"/>
      <c r="AX132" s="1313"/>
      <c r="AY132" s="1313"/>
      <c r="AZ132" s="1313"/>
      <c r="BA132" s="1313"/>
      <c r="BB132" s="211"/>
      <c r="BC132" s="211"/>
      <c r="BD132" s="211"/>
      <c r="BE132" s="211"/>
      <c r="BF132" s="211"/>
      <c r="BG132" s="211"/>
      <c r="BH132" s="211"/>
      <c r="BI132" s="211"/>
      <c r="BJ132" s="211"/>
      <c r="BK132" s="211"/>
      <c r="BL132" s="211"/>
      <c r="BM132" s="211"/>
      <c r="BN132" s="211"/>
      <c r="BO132" s="211"/>
      <c r="BP132" s="211"/>
      <c r="BQ132" s="211"/>
      <c r="BR132" s="211"/>
      <c r="BS132" s="211"/>
      <c r="BT132" s="211"/>
      <c r="BU132" s="211"/>
      <c r="BV132" s="211"/>
      <c r="BW132" s="211"/>
      <c r="BX132" s="211"/>
      <c r="BY132" s="211"/>
      <c r="BZ132" s="211"/>
      <c r="CA132" s="211"/>
      <c r="CB132" s="1359"/>
      <c r="CC132" s="1359"/>
      <c r="CD132" s="1359"/>
      <c r="CE132" s="1359"/>
      <c r="CF132" s="1359"/>
      <c r="CG132" s="1359"/>
      <c r="CH132" s="1359"/>
      <c r="CI132" s="1359"/>
      <c r="CJ132" s="1359"/>
      <c r="CK132" s="1359"/>
    </row>
    <row r="133" spans="3:89" ht="18.75">
      <c r="C133" s="205"/>
      <c r="D133" s="209">
        <v>4</v>
      </c>
      <c r="E133" s="206"/>
      <c r="F133" s="206"/>
      <c r="G133" s="207"/>
      <c r="H133" s="206"/>
      <c r="I133" s="206"/>
      <c r="J133" s="206"/>
      <c r="K133" s="206"/>
      <c r="L133" s="208">
        <v>40</v>
      </c>
      <c r="M133" s="209">
        <v>38</v>
      </c>
      <c r="N133" s="206"/>
      <c r="O133" s="206"/>
      <c r="P133" s="209">
        <v>115</v>
      </c>
      <c r="Q133" s="61"/>
      <c r="R133" s="206"/>
      <c r="S133" s="209">
        <v>118</v>
      </c>
      <c r="T133" s="206"/>
      <c r="U133" s="61"/>
      <c r="V133" s="209">
        <v>116</v>
      </c>
      <c r="W133" s="209">
        <v>616</v>
      </c>
      <c r="X133" s="209">
        <v>6</v>
      </c>
      <c r="Y133" s="61"/>
      <c r="Z133" s="1312"/>
      <c r="AA133" s="1311"/>
      <c r="AB133" s="1311"/>
      <c r="AC133" s="1311"/>
      <c r="AD133" s="1311"/>
      <c r="AE133" s="1311"/>
      <c r="AF133" s="1311"/>
      <c r="AG133" s="1311"/>
      <c r="AH133" s="1311"/>
      <c r="AI133" s="1311"/>
      <c r="AJ133" s="1311"/>
      <c r="AK133" s="1311"/>
      <c r="AL133" s="1311"/>
      <c r="AM133" s="1311"/>
      <c r="AN133" s="1311"/>
      <c r="AO133" s="1311"/>
      <c r="AP133" s="1311"/>
      <c r="AQ133" s="1311"/>
      <c r="AR133" s="1311"/>
      <c r="AS133" s="1312"/>
      <c r="AT133" s="1312"/>
      <c r="AU133" s="1313"/>
      <c r="AV133" s="1313"/>
      <c r="AW133" s="1313"/>
      <c r="AX133" s="1313"/>
      <c r="AY133" s="1313"/>
      <c r="AZ133" s="1313"/>
      <c r="BA133" s="1313"/>
      <c r="BB133" s="211"/>
      <c r="BC133" s="211"/>
      <c r="BD133" s="211"/>
      <c r="BE133" s="211"/>
      <c r="BF133" s="211"/>
      <c r="BG133" s="211"/>
      <c r="BH133" s="211"/>
      <c r="BI133" s="211"/>
      <c r="BJ133" s="211"/>
      <c r="BK133" s="211"/>
      <c r="BL133" s="211"/>
      <c r="BM133" s="211"/>
      <c r="BN133" s="211"/>
      <c r="BO133" s="211"/>
      <c r="BP133" s="211"/>
      <c r="BQ133" s="211"/>
      <c r="BR133" s="211"/>
      <c r="BS133" s="211"/>
      <c r="BT133" s="211"/>
      <c r="BU133" s="211"/>
      <c r="BV133" s="211"/>
      <c r="BW133" s="211"/>
      <c r="BX133" s="211"/>
      <c r="BY133" s="211"/>
      <c r="BZ133" s="211"/>
      <c r="CA133" s="211"/>
      <c r="CB133" s="1359"/>
      <c r="CC133" s="1359"/>
      <c r="CD133" s="1359"/>
      <c r="CE133" s="1359"/>
      <c r="CF133" s="1359"/>
      <c r="CG133" s="1359"/>
      <c r="CH133" s="1359"/>
      <c r="CI133" s="1359"/>
      <c r="CJ133" s="1359"/>
      <c r="CK133" s="1359"/>
    </row>
    <row r="134" spans="3:89" ht="18.75">
      <c r="C134" s="205"/>
      <c r="D134" s="209">
        <v>5</v>
      </c>
      <c r="E134" s="206"/>
      <c r="F134" s="206"/>
      <c r="G134" s="207"/>
      <c r="H134" s="206"/>
      <c r="I134" s="206"/>
      <c r="J134" s="61"/>
      <c r="K134" s="206"/>
      <c r="L134" s="208">
        <v>79</v>
      </c>
      <c r="M134" s="209">
        <v>75</v>
      </c>
      <c r="N134" s="206"/>
      <c r="O134" s="206"/>
      <c r="P134" s="209">
        <v>158</v>
      </c>
      <c r="Q134" s="61"/>
      <c r="R134" s="206"/>
      <c r="S134" s="209">
        <v>160</v>
      </c>
      <c r="T134" s="206"/>
      <c r="U134" s="61"/>
      <c r="V134" s="209">
        <v>159</v>
      </c>
      <c r="W134" s="209">
        <v>617</v>
      </c>
      <c r="X134" s="209">
        <v>203</v>
      </c>
      <c r="Y134" s="206"/>
      <c r="Z134" s="1312"/>
      <c r="AA134" s="1311"/>
      <c r="AB134" s="1311"/>
      <c r="AC134" s="1311"/>
      <c r="AD134" s="1311"/>
      <c r="AE134" s="1312"/>
      <c r="AF134" s="1311"/>
      <c r="AG134" s="1311"/>
      <c r="AH134" s="1311"/>
      <c r="AI134" s="1311"/>
      <c r="AJ134" s="1311"/>
      <c r="AK134" s="1311"/>
      <c r="AL134" s="1311"/>
      <c r="AM134" s="1311"/>
      <c r="AN134" s="1311"/>
      <c r="AO134" s="1311"/>
      <c r="AP134" s="1311"/>
      <c r="AQ134" s="1311"/>
      <c r="AR134" s="1311"/>
      <c r="AS134" s="1312"/>
      <c r="AT134" s="1312"/>
      <c r="AU134" s="1313"/>
      <c r="AV134" s="1313"/>
      <c r="AW134" s="1313"/>
      <c r="AX134" s="1313"/>
      <c r="AY134" s="1313"/>
      <c r="AZ134" s="1313"/>
      <c r="BA134" s="1313"/>
      <c r="BB134" s="211"/>
      <c r="BC134" s="211"/>
      <c r="BD134" s="211"/>
      <c r="BE134" s="211"/>
      <c r="BF134" s="211"/>
      <c r="BG134" s="211"/>
      <c r="BH134" s="211"/>
      <c r="BI134" s="211"/>
      <c r="BJ134" s="211"/>
      <c r="BK134" s="211"/>
      <c r="BL134" s="211"/>
      <c r="BM134" s="211"/>
      <c r="BN134" s="211"/>
      <c r="BO134" s="211"/>
      <c r="BP134" s="211"/>
      <c r="BQ134" s="211"/>
      <c r="BR134" s="211"/>
      <c r="BS134" s="211"/>
      <c r="BT134" s="211"/>
      <c r="BU134" s="211"/>
      <c r="BV134" s="211"/>
      <c r="BW134" s="211"/>
      <c r="BX134" s="211"/>
      <c r="BY134" s="211"/>
      <c r="BZ134" s="211"/>
      <c r="CA134" s="211"/>
      <c r="CB134" s="1359"/>
      <c r="CC134" s="1359"/>
      <c r="CD134" s="1359"/>
      <c r="CE134" s="1359"/>
      <c r="CF134" s="1359"/>
      <c r="CG134" s="1359"/>
      <c r="CH134" s="1359"/>
      <c r="CI134" s="1359"/>
      <c r="CJ134" s="1359"/>
      <c r="CK134" s="1359"/>
    </row>
    <row r="135" spans="3:89" ht="18.75">
      <c r="C135" s="205"/>
      <c r="D135" s="209">
        <v>6</v>
      </c>
      <c r="E135" s="204"/>
      <c r="F135" s="206"/>
      <c r="G135" s="207"/>
      <c r="H135" s="206"/>
      <c r="I135" s="206"/>
      <c r="J135" s="61"/>
      <c r="K135" s="206"/>
      <c r="L135" s="208">
        <v>117</v>
      </c>
      <c r="M135" s="209">
        <v>76</v>
      </c>
      <c r="N135" s="206"/>
      <c r="O135" s="206"/>
      <c r="P135" s="209">
        <v>177</v>
      </c>
      <c r="Q135" s="210"/>
      <c r="R135" s="206"/>
      <c r="S135" s="209">
        <v>179</v>
      </c>
      <c r="T135" s="206"/>
      <c r="U135" s="61"/>
      <c r="V135" s="209">
        <v>178</v>
      </c>
      <c r="W135" s="209">
        <v>618</v>
      </c>
      <c r="X135" s="206"/>
      <c r="Y135" s="206"/>
      <c r="Z135" s="1312"/>
      <c r="AA135" s="1311"/>
      <c r="AB135" s="1311"/>
      <c r="AC135" s="1311"/>
      <c r="AD135" s="1311"/>
      <c r="AE135" s="1312"/>
      <c r="AF135" s="1311"/>
      <c r="AG135" s="1311"/>
      <c r="AH135" s="1311"/>
      <c r="AI135" s="1311"/>
      <c r="AJ135" s="1311"/>
      <c r="AK135" s="1311"/>
      <c r="AL135" s="1311"/>
      <c r="AM135" s="1311"/>
      <c r="AN135" s="1311"/>
      <c r="AO135" s="1311"/>
      <c r="AP135" s="1311"/>
      <c r="AQ135" s="1311"/>
      <c r="AR135" s="1311"/>
      <c r="AS135" s="1312"/>
      <c r="AT135" s="1312"/>
      <c r="AU135" s="1313"/>
      <c r="AV135" s="1313"/>
      <c r="AW135" s="1313"/>
      <c r="AX135" s="1313"/>
      <c r="AY135" s="1313"/>
      <c r="AZ135" s="1313"/>
      <c r="BA135" s="1313"/>
      <c r="BB135" s="61"/>
      <c r="BC135" s="61"/>
      <c r="BD135" s="61"/>
      <c r="BE135" s="61"/>
      <c r="BF135" s="61"/>
      <c r="BG135" s="61"/>
      <c r="BH135" s="61"/>
      <c r="BI135" s="61"/>
      <c r="BJ135" s="61"/>
      <c r="BK135" s="61"/>
      <c r="BL135" s="61"/>
      <c r="BM135" s="61"/>
      <c r="BN135" s="61"/>
      <c r="BO135" s="61"/>
      <c r="BP135" s="61"/>
      <c r="BQ135" s="61"/>
      <c r="BR135" s="61"/>
      <c r="BS135" s="61"/>
      <c r="BT135" s="61"/>
      <c r="BU135" s="61"/>
      <c r="BV135" s="61"/>
      <c r="BW135" s="61"/>
      <c r="BX135" s="61"/>
      <c r="BY135" s="61"/>
      <c r="BZ135" s="61"/>
      <c r="CA135" s="61"/>
      <c r="CB135" s="61"/>
      <c r="CC135" s="61"/>
      <c r="CD135" s="61"/>
      <c r="CE135" s="61"/>
      <c r="CF135" s="61"/>
      <c r="CG135" s="61"/>
      <c r="CH135" s="61"/>
      <c r="CI135" s="61"/>
      <c r="CJ135" s="61"/>
      <c r="CK135" s="61"/>
    </row>
    <row r="136" spans="3:89" ht="18.75">
      <c r="C136" s="205"/>
      <c r="D136" s="209">
        <v>7</v>
      </c>
      <c r="E136" s="204"/>
      <c r="F136" s="206"/>
      <c r="G136" s="207"/>
      <c r="H136" s="206"/>
      <c r="I136" s="206"/>
      <c r="J136" s="61"/>
      <c r="K136" s="206"/>
      <c r="L136" s="208">
        <v>119</v>
      </c>
      <c r="M136" s="209">
        <v>77</v>
      </c>
      <c r="N136" s="206"/>
      <c r="O136" s="206"/>
      <c r="P136" s="209">
        <v>269</v>
      </c>
      <c r="Q136" s="206"/>
      <c r="R136" s="206"/>
      <c r="S136" s="209">
        <v>201</v>
      </c>
      <c r="T136" s="206"/>
      <c r="U136" s="61"/>
      <c r="V136" s="206"/>
      <c r="W136" s="209">
        <v>622</v>
      </c>
      <c r="X136" s="202"/>
      <c r="Y136" s="206"/>
      <c r="Z136" s="1312"/>
      <c r="AA136" s="1314"/>
      <c r="AB136" s="1314"/>
      <c r="AC136" s="1311"/>
      <c r="AD136" s="1312"/>
      <c r="AE136" s="1312"/>
      <c r="AF136" s="1311"/>
      <c r="AG136" s="1311"/>
      <c r="AH136" s="1311"/>
      <c r="AI136" s="1311"/>
      <c r="AJ136" s="1311"/>
      <c r="AK136" s="1311"/>
      <c r="AL136" s="1311"/>
      <c r="AM136" s="1311"/>
      <c r="AN136" s="1311"/>
      <c r="AO136" s="1311"/>
      <c r="AP136" s="1311"/>
      <c r="AQ136" s="1311"/>
      <c r="AR136" s="1311"/>
      <c r="AS136" s="1312"/>
      <c r="AT136" s="1312"/>
      <c r="AU136" s="1313"/>
      <c r="AV136" s="1313"/>
      <c r="AW136" s="1313"/>
      <c r="AX136" s="1313"/>
      <c r="AY136" s="1313"/>
      <c r="AZ136" s="1313"/>
      <c r="BA136" s="1313"/>
      <c r="BB136" s="61"/>
      <c r="BC136" s="61"/>
      <c r="BD136" s="61"/>
      <c r="BE136" s="61"/>
      <c r="BF136" s="61"/>
      <c r="BG136" s="61"/>
      <c r="BH136" s="61"/>
      <c r="BI136" s="61"/>
      <c r="BJ136" s="61"/>
      <c r="BK136" s="61"/>
      <c r="BL136" s="61"/>
      <c r="BM136" s="61"/>
      <c r="BN136" s="61"/>
      <c r="BO136" s="61"/>
      <c r="BP136" s="61"/>
      <c r="BQ136" s="61"/>
      <c r="BR136" s="61"/>
      <c r="BS136" s="61"/>
      <c r="BT136" s="61"/>
      <c r="BU136" s="61"/>
      <c r="BV136" s="61"/>
      <c r="BW136" s="61"/>
      <c r="BX136" s="61"/>
      <c r="BY136" s="61"/>
      <c r="BZ136" s="61"/>
      <c r="CA136" s="61"/>
      <c r="CB136" s="61"/>
      <c r="CC136" s="61"/>
      <c r="CD136" s="61"/>
      <c r="CE136" s="61"/>
      <c r="CF136" s="61"/>
      <c r="CG136" s="61"/>
      <c r="CH136" s="61"/>
      <c r="CI136" s="61"/>
      <c r="CJ136" s="61"/>
      <c r="CK136" s="61"/>
    </row>
    <row r="137" spans="3:89" ht="18.75">
      <c r="C137" s="205"/>
      <c r="D137" s="209">
        <v>8</v>
      </c>
      <c r="E137" s="204"/>
      <c r="F137" s="206"/>
      <c r="G137" s="207"/>
      <c r="H137" s="206"/>
      <c r="I137" s="206"/>
      <c r="J137" s="61"/>
      <c r="K137" s="206"/>
      <c r="L137" s="208">
        <v>200</v>
      </c>
      <c r="M137" s="209">
        <v>78</v>
      </c>
      <c r="N137" s="206"/>
      <c r="O137" s="206"/>
      <c r="P137" s="209">
        <v>611</v>
      </c>
      <c r="Q137" s="206"/>
      <c r="R137" s="206"/>
      <c r="S137" s="61"/>
      <c r="T137" s="206"/>
      <c r="U137" s="61"/>
      <c r="V137" s="206"/>
      <c r="W137" s="209">
        <v>623</v>
      </c>
      <c r="X137" s="202"/>
      <c r="Y137" s="206"/>
      <c r="Z137" s="1312"/>
      <c r="AA137" s="1314"/>
      <c r="AB137" s="1314"/>
      <c r="AC137" s="1311"/>
      <c r="AD137" s="1312"/>
      <c r="AE137" s="1312"/>
      <c r="AF137" s="1311"/>
      <c r="AG137" s="1311"/>
      <c r="AH137" s="1311"/>
      <c r="AI137" s="1311"/>
      <c r="AJ137" s="1311"/>
      <c r="AK137" s="1311"/>
      <c r="AL137" s="1311"/>
      <c r="AM137" s="1311"/>
      <c r="AN137" s="1311"/>
      <c r="AO137" s="1311"/>
      <c r="AP137" s="1311"/>
      <c r="AQ137" s="1311"/>
      <c r="AR137" s="1311"/>
      <c r="AS137" s="1312"/>
      <c r="AT137" s="1312"/>
      <c r="AU137" s="1313"/>
      <c r="AV137" s="1313"/>
      <c r="AW137" s="1313"/>
      <c r="AX137" s="1313"/>
      <c r="AY137" s="1313"/>
      <c r="AZ137" s="1313"/>
      <c r="BA137" s="1313"/>
      <c r="BB137" s="61"/>
      <c r="BC137" s="61"/>
      <c r="BD137" s="61"/>
      <c r="BE137" s="61"/>
      <c r="BF137" s="61"/>
      <c r="BG137" s="61"/>
      <c r="BH137" s="61"/>
      <c r="BI137" s="61"/>
      <c r="BJ137" s="61"/>
      <c r="BK137" s="61"/>
      <c r="BL137" s="61"/>
      <c r="BM137" s="61"/>
      <c r="BN137" s="61"/>
      <c r="BO137" s="61"/>
      <c r="BP137" s="61"/>
      <c r="BQ137" s="61"/>
      <c r="BR137" s="61"/>
      <c r="BS137" s="61"/>
      <c r="BT137" s="61"/>
      <c r="BU137" s="61"/>
      <c r="BV137" s="61"/>
      <c r="BW137" s="61"/>
      <c r="BX137" s="61"/>
      <c r="BY137" s="61"/>
      <c r="BZ137" s="61"/>
      <c r="CA137" s="61"/>
      <c r="CB137" s="61"/>
      <c r="CC137" s="61"/>
      <c r="CD137" s="61"/>
      <c r="CE137" s="61"/>
      <c r="CF137" s="61"/>
      <c r="CG137" s="61"/>
      <c r="CH137" s="61"/>
      <c r="CI137" s="61"/>
      <c r="CJ137" s="61"/>
      <c r="CK137" s="61"/>
    </row>
    <row r="138" spans="3:89" ht="18.75">
      <c r="C138" s="205"/>
      <c r="D138" s="209">
        <v>9</v>
      </c>
      <c r="E138" s="204"/>
      <c r="F138" s="206"/>
      <c r="G138" s="207"/>
      <c r="H138" s="206"/>
      <c r="I138" s="206"/>
      <c r="J138" s="206"/>
      <c r="K138" s="206"/>
      <c r="L138" s="208">
        <v>202</v>
      </c>
      <c r="M138" s="206">
        <v>574</v>
      </c>
      <c r="N138" s="206"/>
      <c r="O138" s="206"/>
      <c r="P138" s="61"/>
      <c r="Q138" s="206"/>
      <c r="R138" s="206"/>
      <c r="S138" s="61"/>
      <c r="T138" s="206"/>
      <c r="U138" s="61"/>
      <c r="V138" s="206"/>
      <c r="W138" s="202"/>
      <c r="X138" s="202"/>
      <c r="Y138" s="206"/>
      <c r="Z138" s="1312"/>
      <c r="AA138" s="1314"/>
      <c r="AB138" s="1314"/>
      <c r="AC138" s="1311"/>
      <c r="AD138" s="1312"/>
      <c r="AE138" s="1312"/>
      <c r="AF138" s="1311"/>
      <c r="AG138" s="1311"/>
      <c r="AH138" s="1311"/>
      <c r="AI138" s="1311"/>
      <c r="AJ138" s="1311"/>
      <c r="AK138" s="1311"/>
      <c r="AL138" s="1311"/>
      <c r="AM138" s="1311"/>
      <c r="AN138" s="1311"/>
      <c r="AO138" s="1311"/>
      <c r="AP138" s="1311"/>
      <c r="AQ138" s="1311"/>
      <c r="AR138" s="1311"/>
      <c r="AS138" s="1312"/>
      <c r="AT138" s="1312"/>
      <c r="AU138" s="1313"/>
      <c r="AV138" s="1313"/>
      <c r="AW138" s="1313"/>
      <c r="AX138" s="1313"/>
      <c r="AY138" s="1313"/>
      <c r="AZ138" s="1313"/>
      <c r="BA138" s="1313"/>
      <c r="BB138" s="61"/>
      <c r="BC138" s="61"/>
      <c r="BD138" s="61"/>
      <c r="BE138" s="61"/>
      <c r="BF138" s="61"/>
      <c r="BG138" s="61"/>
      <c r="BH138" s="61"/>
      <c r="BI138" s="61"/>
      <c r="BJ138" s="61"/>
      <c r="BK138" s="61"/>
      <c r="BL138" s="61"/>
      <c r="BM138" s="61"/>
      <c r="BN138" s="61"/>
      <c r="BO138" s="61"/>
      <c r="BP138" s="61"/>
      <c r="BQ138" s="61"/>
      <c r="BR138" s="61"/>
      <c r="BS138" s="61"/>
      <c r="BT138" s="61"/>
      <c r="BU138" s="61"/>
      <c r="BV138" s="61"/>
      <c r="BW138" s="61"/>
      <c r="BX138" s="61"/>
      <c r="BY138" s="61"/>
      <c r="BZ138" s="61"/>
      <c r="CA138" s="61"/>
      <c r="CB138" s="61"/>
      <c r="CC138" s="61"/>
      <c r="CD138" s="61"/>
      <c r="CE138" s="61"/>
      <c r="CF138" s="61"/>
      <c r="CG138" s="61"/>
      <c r="CH138" s="61"/>
      <c r="CI138" s="61"/>
      <c r="CJ138" s="61"/>
      <c r="CK138" s="61"/>
    </row>
    <row r="139" spans="3:89" ht="18.75">
      <c r="C139" s="205"/>
      <c r="D139" s="209">
        <v>10</v>
      </c>
      <c r="E139" s="204"/>
      <c r="F139" s="206"/>
      <c r="G139" s="207"/>
      <c r="H139" s="206"/>
      <c r="I139" s="206"/>
      <c r="J139" s="206"/>
      <c r="K139" s="206"/>
      <c r="L139" s="208">
        <v>247</v>
      </c>
      <c r="M139" s="61"/>
      <c r="N139" s="202"/>
      <c r="O139" s="206"/>
      <c r="P139" s="206"/>
      <c r="Q139" s="206"/>
      <c r="R139" s="206"/>
      <c r="S139" s="202"/>
      <c r="T139" s="206"/>
      <c r="U139" s="206"/>
      <c r="V139" s="206"/>
      <c r="W139" s="202"/>
      <c r="X139" s="202"/>
      <c r="Y139" s="206"/>
      <c r="Z139" s="1312"/>
      <c r="AA139" s="1314"/>
      <c r="AB139" s="1314"/>
      <c r="AC139" s="1311"/>
      <c r="AD139" s="1312"/>
      <c r="AE139" s="1312"/>
      <c r="AF139" s="1311"/>
      <c r="AG139" s="1311"/>
      <c r="AH139" s="1311"/>
      <c r="AI139" s="1311"/>
      <c r="AJ139" s="1311"/>
      <c r="AK139" s="1311"/>
      <c r="AL139" s="1311"/>
      <c r="AM139" s="1311"/>
      <c r="AN139" s="1311"/>
      <c r="AO139" s="1311"/>
      <c r="AP139" s="1311"/>
      <c r="AQ139" s="1311"/>
      <c r="AR139" s="1311"/>
      <c r="AS139" s="1312"/>
      <c r="AT139" s="1312"/>
      <c r="AU139" s="1313"/>
      <c r="AV139" s="1313"/>
      <c r="AW139" s="1313"/>
      <c r="AX139" s="1313"/>
      <c r="AY139" s="1313"/>
      <c r="AZ139" s="1313"/>
      <c r="BA139" s="1313"/>
      <c r="BB139" s="61"/>
      <c r="BC139" s="61"/>
      <c r="BD139" s="61"/>
      <c r="BE139" s="61"/>
      <c r="BF139" s="61"/>
      <c r="BG139" s="61"/>
      <c r="BH139" s="61"/>
      <c r="BI139" s="61"/>
      <c r="BJ139" s="61"/>
      <c r="BK139" s="61"/>
      <c r="BL139" s="61"/>
      <c r="BM139" s="61"/>
      <c r="BN139" s="61"/>
      <c r="BO139" s="61"/>
      <c r="BP139" s="61"/>
      <c r="BQ139" s="61"/>
      <c r="BR139" s="61"/>
      <c r="BS139" s="61"/>
      <c r="BT139" s="61"/>
      <c r="BU139" s="61"/>
      <c r="BV139" s="61"/>
      <c r="BW139" s="61"/>
      <c r="BX139" s="61"/>
      <c r="BY139" s="61"/>
      <c r="BZ139" s="61"/>
      <c r="CA139" s="61"/>
      <c r="CB139" s="61"/>
      <c r="CC139" s="61"/>
      <c r="CD139" s="61"/>
      <c r="CE139" s="61"/>
      <c r="CF139" s="61"/>
      <c r="CG139" s="61"/>
      <c r="CH139" s="61"/>
      <c r="CI139" s="61"/>
      <c r="CJ139" s="61"/>
      <c r="CK139" s="61"/>
    </row>
    <row r="140" spans="3:89" ht="18.75">
      <c r="C140" s="205"/>
      <c r="D140" s="209">
        <v>33</v>
      </c>
      <c r="E140" s="204"/>
      <c r="F140" s="202"/>
      <c r="G140" s="202"/>
      <c r="H140" s="206"/>
      <c r="I140" s="206"/>
      <c r="J140" s="206"/>
      <c r="K140" s="206"/>
      <c r="L140" s="206"/>
      <c r="M140" s="206"/>
      <c r="N140" s="202"/>
      <c r="O140" s="206"/>
      <c r="P140" s="206"/>
      <c r="Q140" s="206"/>
      <c r="R140" s="206"/>
      <c r="S140" s="202"/>
      <c r="T140" s="206"/>
      <c r="U140" s="206"/>
      <c r="V140" s="206"/>
      <c r="W140" s="202"/>
      <c r="X140" s="202"/>
      <c r="Y140" s="206"/>
      <c r="Z140" s="1312"/>
      <c r="AA140" s="1314"/>
      <c r="AB140" s="1314"/>
      <c r="AC140" s="1311"/>
      <c r="AD140" s="1312"/>
      <c r="AE140" s="1312"/>
      <c r="AF140" s="1311"/>
      <c r="AG140" s="1311"/>
      <c r="AH140" s="1311"/>
      <c r="AI140" s="1311"/>
      <c r="AJ140" s="1311"/>
      <c r="AK140" s="1311"/>
      <c r="AL140" s="1311"/>
      <c r="AM140" s="1311"/>
      <c r="AN140" s="1311"/>
      <c r="AO140" s="1311"/>
      <c r="AP140" s="1311"/>
      <c r="AQ140" s="1311"/>
      <c r="AR140" s="1311"/>
      <c r="AS140" s="1312"/>
      <c r="AT140" s="1312"/>
      <c r="AU140" s="1313"/>
      <c r="AV140" s="1313"/>
      <c r="AW140" s="1313"/>
      <c r="AX140" s="1313"/>
      <c r="AY140" s="1313"/>
      <c r="AZ140" s="1313"/>
      <c r="BA140" s="1313"/>
      <c r="BB140" s="61"/>
      <c r="BC140" s="61"/>
      <c r="BD140" s="61"/>
      <c r="BE140" s="61"/>
      <c r="BF140" s="61"/>
      <c r="BG140" s="61"/>
      <c r="BH140" s="61"/>
      <c r="BI140" s="61"/>
      <c r="BJ140" s="61"/>
      <c r="BK140" s="61"/>
      <c r="BL140" s="61"/>
      <c r="BM140" s="61"/>
      <c r="BN140" s="61"/>
      <c r="BO140" s="61"/>
      <c r="BP140" s="61"/>
      <c r="BQ140" s="61"/>
      <c r="BR140" s="61"/>
      <c r="BS140" s="61"/>
      <c r="BT140" s="61"/>
      <c r="BU140" s="61"/>
      <c r="BV140" s="61"/>
      <c r="BW140" s="61"/>
      <c r="BX140" s="61"/>
      <c r="BY140" s="61"/>
      <c r="BZ140" s="61"/>
      <c r="CA140" s="61"/>
      <c r="CB140" s="61"/>
      <c r="CC140" s="61"/>
      <c r="CD140" s="61"/>
      <c r="CE140" s="61"/>
      <c r="CF140" s="61"/>
      <c r="CG140" s="61"/>
      <c r="CH140" s="61"/>
      <c r="CI140" s="61"/>
      <c r="CJ140" s="61"/>
      <c r="CK140" s="61"/>
    </row>
    <row r="141" spans="3:89" ht="18.75">
      <c r="C141" s="205"/>
      <c r="D141" s="209">
        <v>34</v>
      </c>
      <c r="E141" s="204"/>
      <c r="F141" s="202"/>
      <c r="G141" s="202"/>
      <c r="H141" s="202"/>
      <c r="I141" s="206"/>
      <c r="J141" s="206"/>
      <c r="K141" s="206"/>
      <c r="L141" s="206"/>
      <c r="M141" s="206"/>
      <c r="N141" s="202"/>
      <c r="O141" s="206"/>
      <c r="P141" s="206"/>
      <c r="Q141" s="206"/>
      <c r="R141" s="206"/>
      <c r="S141" s="202"/>
      <c r="T141" s="206"/>
      <c r="U141" s="206"/>
      <c r="V141" s="206"/>
      <c r="W141" s="202"/>
      <c r="X141" s="202"/>
      <c r="Y141" s="206"/>
      <c r="Z141" s="1312"/>
      <c r="AA141" s="1314"/>
      <c r="AB141" s="1314"/>
      <c r="AC141" s="1311"/>
      <c r="AD141" s="1312"/>
      <c r="AE141" s="1312"/>
      <c r="AF141" s="1311"/>
      <c r="AG141" s="1311"/>
      <c r="AH141" s="1311"/>
      <c r="AI141" s="1311"/>
      <c r="AJ141" s="1311"/>
      <c r="AK141" s="1311"/>
      <c r="AL141" s="1311"/>
      <c r="AM141" s="1311"/>
      <c r="AN141" s="1311"/>
      <c r="AO141" s="1311"/>
      <c r="AP141" s="1311"/>
      <c r="AQ141" s="1311"/>
      <c r="AR141" s="1311"/>
      <c r="AS141" s="1312"/>
      <c r="AT141" s="1312"/>
      <c r="AU141" s="1313"/>
      <c r="AV141" s="1313"/>
      <c r="AW141" s="1313"/>
      <c r="AX141" s="1313"/>
      <c r="AY141" s="1313"/>
      <c r="AZ141" s="1313"/>
      <c r="BA141" s="1313"/>
      <c r="BB141" s="61"/>
      <c r="BC141" s="61"/>
      <c r="BD141" s="61"/>
      <c r="BE141" s="61"/>
      <c r="BF141" s="61"/>
      <c r="BG141" s="61"/>
      <c r="BH141" s="61"/>
      <c r="BI141" s="61"/>
      <c r="BJ141" s="61"/>
      <c r="BK141" s="61"/>
      <c r="BL141" s="61"/>
      <c r="BM141" s="61"/>
      <c r="BN141" s="61"/>
      <c r="BO141" s="61"/>
      <c r="BP141" s="61"/>
      <c r="BQ141" s="61"/>
      <c r="BR141" s="61"/>
      <c r="BS141" s="61"/>
      <c r="BT141" s="61"/>
      <c r="BU141" s="61"/>
      <c r="BV141" s="61"/>
      <c r="BW141" s="61"/>
      <c r="BX141" s="61"/>
      <c r="BY141" s="61"/>
      <c r="BZ141" s="61"/>
      <c r="CA141" s="61"/>
      <c r="CB141" s="61"/>
      <c r="CC141" s="61"/>
      <c r="CD141" s="61"/>
      <c r="CE141" s="61"/>
      <c r="CF141" s="61"/>
      <c r="CG141" s="61"/>
      <c r="CH141" s="61"/>
      <c r="CI141" s="61"/>
      <c r="CJ141" s="61"/>
      <c r="CK141" s="61"/>
    </row>
    <row r="142" spans="3:89" ht="18.75">
      <c r="C142" s="205"/>
      <c r="D142" s="209">
        <v>35</v>
      </c>
      <c r="E142" s="204"/>
      <c r="F142" s="202"/>
      <c r="G142" s="202"/>
      <c r="H142" s="202"/>
      <c r="I142" s="206"/>
      <c r="J142" s="206"/>
      <c r="K142" s="206"/>
      <c r="L142" s="202"/>
      <c r="M142" s="202"/>
      <c r="N142" s="202"/>
      <c r="O142" s="206"/>
      <c r="P142" s="206"/>
      <c r="Q142" s="206"/>
      <c r="R142" s="206"/>
      <c r="S142" s="202"/>
      <c r="T142" s="206"/>
      <c r="U142" s="206"/>
      <c r="V142" s="206"/>
      <c r="W142" s="202"/>
      <c r="X142" s="202"/>
      <c r="Y142" s="206"/>
      <c r="Z142" s="1312"/>
      <c r="AA142" s="1314"/>
      <c r="AB142" s="1314"/>
      <c r="AC142" s="1311"/>
      <c r="AD142" s="1312"/>
      <c r="AE142" s="1312"/>
      <c r="AF142" s="1311"/>
      <c r="AG142" s="1311"/>
      <c r="AH142" s="1311"/>
      <c r="AI142" s="1311"/>
      <c r="AJ142" s="1311"/>
      <c r="AK142" s="1311"/>
      <c r="AL142" s="1311"/>
      <c r="AM142" s="1311"/>
      <c r="AN142" s="1311"/>
      <c r="AO142" s="1311"/>
      <c r="AP142" s="1311"/>
      <c r="AQ142" s="1311"/>
      <c r="AR142" s="1311"/>
      <c r="AS142" s="1312"/>
      <c r="AT142" s="1312"/>
      <c r="AU142" s="1313"/>
      <c r="AV142" s="1313"/>
      <c r="AW142" s="1313"/>
      <c r="AX142" s="1313"/>
      <c r="AY142" s="1313"/>
      <c r="AZ142" s="1313"/>
      <c r="BA142" s="1313"/>
      <c r="BB142" s="61"/>
      <c r="BC142" s="61"/>
      <c r="BD142" s="61"/>
      <c r="BE142" s="61"/>
      <c r="BF142" s="61"/>
      <c r="BG142" s="61"/>
      <c r="BH142" s="61"/>
      <c r="BI142" s="61"/>
      <c r="BJ142" s="61"/>
      <c r="BK142" s="61"/>
      <c r="BL142" s="61"/>
      <c r="BM142" s="61"/>
      <c r="BN142" s="61"/>
      <c r="BO142" s="61"/>
      <c r="BP142" s="61"/>
      <c r="BQ142" s="61"/>
      <c r="BR142" s="61"/>
      <c r="BS142" s="61"/>
      <c r="BT142" s="61"/>
      <c r="BU142" s="61"/>
      <c r="BV142" s="61"/>
      <c r="BW142" s="61"/>
      <c r="BX142" s="61"/>
      <c r="BY142" s="61"/>
      <c r="BZ142" s="61"/>
      <c r="CA142" s="61"/>
      <c r="CB142" s="61"/>
      <c r="CC142" s="61"/>
      <c r="CD142" s="61"/>
      <c r="CE142" s="61"/>
      <c r="CF142" s="61"/>
      <c r="CG142" s="61"/>
      <c r="CH142" s="61"/>
      <c r="CI142" s="61"/>
      <c r="CJ142" s="61"/>
      <c r="CK142" s="61"/>
    </row>
    <row r="143" spans="3:89" ht="18.75">
      <c r="C143" s="205"/>
      <c r="D143" s="209">
        <v>36</v>
      </c>
      <c r="E143" s="204"/>
      <c r="F143" s="202"/>
      <c r="G143" s="202"/>
      <c r="H143" s="202"/>
      <c r="I143" s="206"/>
      <c r="J143" s="206"/>
      <c r="K143" s="206"/>
      <c r="L143" s="202"/>
      <c r="M143" s="202"/>
      <c r="N143" s="202"/>
      <c r="O143" s="206"/>
      <c r="P143" s="206"/>
      <c r="Q143" s="206"/>
      <c r="R143" s="206"/>
      <c r="S143" s="202"/>
      <c r="T143" s="206"/>
      <c r="U143" s="206"/>
      <c r="V143" s="206"/>
      <c r="W143" s="202"/>
      <c r="X143" s="202"/>
      <c r="Y143" s="206"/>
      <c r="Z143" s="1312"/>
      <c r="AA143" s="1314"/>
      <c r="AB143" s="1314"/>
      <c r="AC143" s="1311"/>
      <c r="AD143" s="1312"/>
      <c r="AE143" s="1312"/>
      <c r="AF143" s="1311"/>
      <c r="AG143" s="1311"/>
      <c r="AH143" s="1311"/>
      <c r="AI143" s="1311"/>
      <c r="AJ143" s="1311"/>
      <c r="AK143" s="1311"/>
      <c r="AL143" s="1311"/>
      <c r="AM143" s="1311"/>
      <c r="AN143" s="1311"/>
      <c r="AO143" s="1311"/>
      <c r="AP143" s="1311"/>
      <c r="AQ143" s="1311"/>
      <c r="AR143" s="1311"/>
      <c r="AS143" s="1312"/>
      <c r="AT143" s="1312"/>
      <c r="AU143" s="1313"/>
      <c r="AV143" s="1313"/>
      <c r="AW143" s="1313"/>
      <c r="AX143" s="1313"/>
      <c r="AY143" s="1313"/>
      <c r="AZ143" s="1313"/>
      <c r="BA143" s="1313"/>
      <c r="BB143" s="61"/>
      <c r="BC143" s="61"/>
      <c r="BD143" s="61"/>
      <c r="BE143" s="61"/>
      <c r="BF143" s="61"/>
      <c r="BG143" s="61"/>
      <c r="BH143" s="61"/>
      <c r="BI143" s="61"/>
      <c r="BJ143" s="61"/>
      <c r="BK143" s="61"/>
      <c r="BL143" s="61"/>
      <c r="BM143" s="61"/>
      <c r="BN143" s="61"/>
      <c r="BO143" s="61"/>
      <c r="BP143" s="61"/>
      <c r="BQ143" s="61"/>
      <c r="BR143" s="61"/>
      <c r="BS143" s="61"/>
      <c r="BT143" s="61"/>
      <c r="BU143" s="61"/>
      <c r="BV143" s="61"/>
      <c r="BW143" s="61"/>
      <c r="BX143" s="61"/>
      <c r="BY143" s="61"/>
      <c r="BZ143" s="61"/>
      <c r="CA143" s="61"/>
      <c r="CB143" s="61"/>
      <c r="CC143" s="61"/>
      <c r="CD143" s="61"/>
      <c r="CE143" s="61"/>
      <c r="CF143" s="61"/>
      <c r="CG143" s="61"/>
      <c r="CH143" s="61"/>
      <c r="CI143" s="61"/>
      <c r="CJ143" s="61"/>
      <c r="CK143" s="61"/>
    </row>
    <row r="144" spans="3:89" ht="18.75">
      <c r="C144" s="205"/>
      <c r="D144" s="209">
        <v>37</v>
      </c>
      <c r="E144" s="204"/>
      <c r="F144" s="202"/>
      <c r="G144" s="202"/>
      <c r="H144" s="202"/>
      <c r="I144" s="206"/>
      <c r="J144" s="206"/>
      <c r="K144" s="206"/>
      <c r="L144" s="202"/>
      <c r="M144" s="202"/>
      <c r="N144" s="202"/>
      <c r="O144" s="206"/>
      <c r="P144" s="206"/>
      <c r="Q144" s="206"/>
      <c r="R144" s="206"/>
      <c r="S144" s="202"/>
      <c r="T144" s="206"/>
      <c r="U144" s="206"/>
      <c r="V144" s="206"/>
      <c r="W144" s="202"/>
      <c r="X144" s="202"/>
      <c r="Y144" s="206"/>
      <c r="Z144" s="1312"/>
      <c r="AA144" s="1314"/>
      <c r="AB144" s="1314"/>
      <c r="AC144" s="1311"/>
      <c r="AD144" s="1312"/>
      <c r="AE144" s="1312"/>
      <c r="AF144" s="1311"/>
      <c r="AG144" s="1311"/>
      <c r="AH144" s="1311"/>
      <c r="AI144" s="1311"/>
      <c r="AJ144" s="1311"/>
      <c r="AK144" s="1311"/>
      <c r="AL144" s="1311"/>
      <c r="AM144" s="1311"/>
      <c r="AN144" s="1311"/>
      <c r="AO144" s="1311"/>
      <c r="AP144" s="1311"/>
      <c r="AQ144" s="1311"/>
      <c r="AR144" s="1311"/>
      <c r="AS144" s="1312"/>
      <c r="AT144" s="1312"/>
      <c r="AU144" s="1313"/>
      <c r="AV144" s="1313"/>
      <c r="AW144" s="1313"/>
      <c r="AX144" s="1313"/>
      <c r="AY144" s="1313"/>
      <c r="AZ144" s="1313"/>
      <c r="BA144" s="1313"/>
      <c r="BB144" s="61"/>
      <c r="BC144" s="61"/>
      <c r="BD144" s="61"/>
      <c r="BE144" s="61"/>
      <c r="BF144" s="61"/>
      <c r="BG144" s="61"/>
      <c r="BH144" s="61"/>
      <c r="BI144" s="61"/>
      <c r="BJ144" s="61"/>
      <c r="BK144" s="61"/>
      <c r="BL144" s="61"/>
      <c r="BM144" s="61"/>
      <c r="BN144" s="61"/>
      <c r="BO144" s="61"/>
      <c r="BP144" s="61"/>
      <c r="BQ144" s="61"/>
      <c r="BR144" s="61"/>
      <c r="BS144" s="61"/>
      <c r="BT144" s="61"/>
      <c r="BU144" s="61"/>
      <c r="BV144" s="61"/>
      <c r="BW144" s="61"/>
      <c r="BX144" s="61"/>
      <c r="BY144" s="61"/>
      <c r="BZ144" s="61"/>
      <c r="CA144" s="61"/>
      <c r="CB144" s="61"/>
      <c r="CC144" s="61"/>
      <c r="CD144" s="61"/>
      <c r="CE144" s="61"/>
      <c r="CF144" s="61"/>
      <c r="CG144" s="61"/>
      <c r="CH144" s="61"/>
      <c r="CI144" s="61"/>
      <c r="CJ144" s="61"/>
      <c r="CK144" s="61"/>
    </row>
    <row r="145" spans="3:89" ht="18.75">
      <c r="C145" s="205"/>
      <c r="D145" s="209">
        <v>38</v>
      </c>
      <c r="E145" s="204"/>
      <c r="F145" s="202"/>
      <c r="G145" s="202"/>
      <c r="H145" s="202"/>
      <c r="I145" s="206"/>
      <c r="J145" s="206"/>
      <c r="K145" s="206"/>
      <c r="L145" s="202"/>
      <c r="M145" s="202"/>
      <c r="N145" s="202"/>
      <c r="O145" s="206"/>
      <c r="P145" s="206"/>
      <c r="Q145" s="206"/>
      <c r="R145" s="206"/>
      <c r="S145" s="202"/>
      <c r="T145" s="206"/>
      <c r="U145" s="206"/>
      <c r="V145" s="206"/>
      <c r="W145" s="202"/>
      <c r="X145" s="202"/>
      <c r="Y145" s="206"/>
      <c r="Z145" s="1312"/>
      <c r="AA145" s="1314"/>
      <c r="AB145" s="1314"/>
      <c r="AC145" s="1311"/>
      <c r="AD145" s="1312"/>
      <c r="AE145" s="1312"/>
      <c r="AF145" s="1311"/>
      <c r="AG145" s="1311"/>
      <c r="AH145" s="1311"/>
      <c r="AI145" s="1311"/>
      <c r="AJ145" s="1311"/>
      <c r="AK145" s="1311"/>
      <c r="AL145" s="1311"/>
      <c r="AM145" s="1311"/>
      <c r="AN145" s="1311"/>
      <c r="AO145" s="1311"/>
      <c r="AP145" s="1311"/>
      <c r="AQ145" s="1311"/>
      <c r="AR145" s="1311"/>
      <c r="AS145" s="1312"/>
      <c r="AT145" s="1312"/>
      <c r="AU145" s="1313"/>
      <c r="AV145" s="1313"/>
      <c r="AW145" s="1313"/>
      <c r="AX145" s="1313"/>
      <c r="AY145" s="1313"/>
      <c r="AZ145" s="1313"/>
      <c r="BA145" s="1313"/>
      <c r="BB145" s="61"/>
      <c r="BC145" s="61"/>
      <c r="BD145" s="61"/>
      <c r="BE145" s="61"/>
      <c r="BF145" s="61"/>
      <c r="BG145" s="61"/>
      <c r="BH145" s="61"/>
      <c r="BI145" s="61"/>
      <c r="BJ145" s="61"/>
      <c r="BK145" s="61"/>
      <c r="BL145" s="61"/>
      <c r="BM145" s="61"/>
      <c r="BN145" s="61"/>
      <c r="BO145" s="61"/>
      <c r="BP145" s="61"/>
      <c r="BQ145" s="61"/>
      <c r="BR145" s="61"/>
      <c r="BS145" s="61"/>
      <c r="BT145" s="61"/>
      <c r="BU145" s="61"/>
      <c r="BV145" s="61"/>
      <c r="BW145" s="61"/>
      <c r="BX145" s="61"/>
      <c r="BY145" s="61"/>
      <c r="BZ145" s="61"/>
      <c r="CA145" s="61"/>
      <c r="CB145" s="61"/>
      <c r="CC145" s="61"/>
      <c r="CD145" s="61"/>
      <c r="CE145" s="61"/>
      <c r="CF145" s="61"/>
      <c r="CG145" s="61"/>
      <c r="CH145" s="61"/>
      <c r="CI145" s="61"/>
      <c r="CJ145" s="61"/>
      <c r="CK145" s="61"/>
    </row>
    <row r="146" spans="3:89" ht="18.75">
      <c r="C146" s="205"/>
      <c r="D146" s="209">
        <v>39</v>
      </c>
      <c r="E146" s="204"/>
      <c r="F146" s="202"/>
      <c r="G146" s="202"/>
      <c r="H146" s="202"/>
      <c r="I146" s="206"/>
      <c r="J146" s="206"/>
      <c r="K146" s="206"/>
      <c r="L146" s="202"/>
      <c r="M146" s="202"/>
      <c r="N146" s="202"/>
      <c r="O146" s="206"/>
      <c r="P146" s="206"/>
      <c r="Q146" s="202"/>
      <c r="R146" s="206"/>
      <c r="S146" s="202"/>
      <c r="T146" s="206"/>
      <c r="U146" s="206"/>
      <c r="V146" s="206"/>
      <c r="W146" s="202"/>
      <c r="X146" s="202"/>
      <c r="Y146" s="206"/>
      <c r="Z146" s="1312"/>
      <c r="AA146" s="1314"/>
      <c r="AB146" s="1314"/>
      <c r="AC146" s="1311"/>
      <c r="AD146" s="1312"/>
      <c r="AE146" s="1312"/>
      <c r="AF146" s="1311"/>
      <c r="AG146" s="1311"/>
      <c r="AH146" s="1311"/>
      <c r="AI146" s="1311"/>
      <c r="AJ146" s="1311"/>
      <c r="AK146" s="1311"/>
      <c r="AL146" s="1311"/>
      <c r="AM146" s="1311"/>
      <c r="AN146" s="1311"/>
      <c r="AO146" s="1311"/>
      <c r="AP146" s="1311"/>
      <c r="AQ146" s="1311"/>
      <c r="AR146" s="1311"/>
      <c r="AS146" s="1312"/>
      <c r="AT146" s="1312"/>
      <c r="AU146" s="1313"/>
      <c r="AV146" s="1313"/>
      <c r="AW146" s="1313"/>
      <c r="AX146" s="1313"/>
      <c r="AY146" s="1313"/>
      <c r="AZ146" s="1313"/>
      <c r="BA146" s="1313"/>
      <c r="BB146" s="61"/>
      <c r="BC146" s="61"/>
      <c r="BD146" s="61"/>
      <c r="BE146" s="61"/>
      <c r="BF146" s="61"/>
      <c r="BG146" s="61"/>
      <c r="BH146" s="61"/>
      <c r="BI146" s="61"/>
      <c r="BJ146" s="61"/>
      <c r="BK146" s="61"/>
      <c r="BL146" s="61"/>
      <c r="BM146" s="61"/>
      <c r="BN146" s="61"/>
      <c r="BO146" s="61"/>
      <c r="BP146" s="61"/>
      <c r="BQ146" s="61"/>
      <c r="BR146" s="61"/>
      <c r="BS146" s="61"/>
      <c r="BT146" s="61"/>
      <c r="BU146" s="61"/>
      <c r="BV146" s="61"/>
      <c r="BW146" s="61"/>
      <c r="BX146" s="61"/>
      <c r="BY146" s="61"/>
      <c r="BZ146" s="61"/>
      <c r="CA146" s="61"/>
      <c r="CB146" s="61"/>
      <c r="CC146" s="61"/>
      <c r="CD146" s="61"/>
      <c r="CE146" s="61"/>
      <c r="CF146" s="61"/>
      <c r="CG146" s="61"/>
      <c r="CH146" s="61"/>
      <c r="CI146" s="61"/>
      <c r="CJ146" s="61"/>
      <c r="CK146" s="61"/>
    </row>
    <row r="147" spans="3:89" ht="18.75">
      <c r="C147" s="205"/>
      <c r="D147" s="209">
        <v>40</v>
      </c>
      <c r="E147" s="204"/>
      <c r="F147" s="202"/>
      <c r="G147" s="202"/>
      <c r="H147" s="202"/>
      <c r="I147" s="206"/>
      <c r="J147" s="206"/>
      <c r="K147" s="206"/>
      <c r="L147" s="202"/>
      <c r="M147" s="202"/>
      <c r="N147" s="202"/>
      <c r="O147" s="206"/>
      <c r="P147" s="206"/>
      <c r="Q147" s="202"/>
      <c r="R147" s="206"/>
      <c r="S147" s="202"/>
      <c r="T147" s="206"/>
      <c r="U147" s="206"/>
      <c r="V147" s="206"/>
      <c r="W147" s="202"/>
      <c r="X147" s="202"/>
      <c r="Y147" s="206"/>
      <c r="Z147" s="1312"/>
      <c r="AA147" s="1314"/>
      <c r="AB147" s="1314"/>
      <c r="AC147" s="1311"/>
      <c r="AD147" s="1312"/>
      <c r="AE147" s="1312"/>
      <c r="AF147" s="1311"/>
      <c r="AG147" s="1311"/>
      <c r="AH147" s="1311"/>
      <c r="AI147" s="1311"/>
      <c r="AJ147" s="1311"/>
      <c r="AK147" s="1311"/>
      <c r="AL147" s="1311"/>
      <c r="AM147" s="1311"/>
      <c r="AN147" s="1311"/>
      <c r="AO147" s="1311"/>
      <c r="AP147" s="1311"/>
      <c r="AQ147" s="1311"/>
      <c r="AR147" s="1311"/>
      <c r="AS147" s="1312"/>
      <c r="AT147" s="1312"/>
      <c r="AU147" s="1313"/>
      <c r="AV147" s="1313"/>
      <c r="AW147" s="1313"/>
      <c r="AX147" s="1313"/>
      <c r="AY147" s="1313"/>
      <c r="AZ147" s="1313"/>
      <c r="BA147" s="1313"/>
      <c r="BB147" s="61"/>
      <c r="BC147" s="61"/>
      <c r="BD147" s="61"/>
      <c r="BE147" s="61"/>
      <c r="BF147" s="61"/>
      <c r="BG147" s="61"/>
      <c r="BH147" s="61"/>
      <c r="BI147" s="61"/>
      <c r="BJ147" s="61"/>
      <c r="BK147" s="61"/>
      <c r="BL147" s="61"/>
      <c r="BM147" s="61"/>
      <c r="BN147" s="61"/>
      <c r="BO147" s="61"/>
      <c r="BP147" s="61"/>
      <c r="BQ147" s="61"/>
      <c r="BR147" s="61"/>
      <c r="BS147" s="61"/>
      <c r="BT147" s="61"/>
      <c r="BU147" s="61"/>
      <c r="BV147" s="61"/>
      <c r="BW147" s="61"/>
      <c r="BX147" s="61"/>
      <c r="BY147" s="61"/>
      <c r="BZ147" s="61"/>
      <c r="CA147" s="61"/>
      <c r="CB147" s="61"/>
      <c r="CC147" s="61"/>
      <c r="CD147" s="61"/>
      <c r="CE147" s="61"/>
      <c r="CF147" s="61"/>
      <c r="CG147" s="61"/>
      <c r="CH147" s="61"/>
      <c r="CI147" s="61"/>
      <c r="CJ147" s="61"/>
      <c r="CK147" s="61"/>
    </row>
    <row r="148" spans="3:89" ht="18.75">
      <c r="C148" s="205"/>
      <c r="D148" s="209">
        <v>72</v>
      </c>
      <c r="E148" s="204"/>
      <c r="F148" s="202"/>
      <c r="G148" s="202"/>
      <c r="H148" s="202"/>
      <c r="I148" s="206"/>
      <c r="J148" s="206"/>
      <c r="K148" s="206"/>
      <c r="L148" s="202"/>
      <c r="M148" s="202"/>
      <c r="N148" s="202"/>
      <c r="O148" s="206"/>
      <c r="P148" s="206"/>
      <c r="Q148" s="202"/>
      <c r="R148" s="202"/>
      <c r="S148" s="202"/>
      <c r="T148" s="206"/>
      <c r="U148" s="206"/>
      <c r="V148" s="206"/>
      <c r="W148" s="202"/>
      <c r="X148" s="202"/>
      <c r="Y148" s="206"/>
      <c r="Z148" s="1312"/>
      <c r="AA148" s="1314"/>
      <c r="AB148" s="1314"/>
      <c r="AC148" s="1311"/>
      <c r="AD148" s="1312"/>
      <c r="AE148" s="1312"/>
      <c r="AF148" s="1311"/>
      <c r="AG148" s="1311"/>
      <c r="AH148" s="1311"/>
      <c r="AI148" s="1311"/>
      <c r="AJ148" s="1311"/>
      <c r="AK148" s="1311"/>
      <c r="AL148" s="1311"/>
      <c r="AM148" s="1311"/>
      <c r="AN148" s="1311"/>
      <c r="AO148" s="1311"/>
      <c r="AP148" s="1311"/>
      <c r="AQ148" s="1311"/>
      <c r="AR148" s="1311"/>
      <c r="AS148" s="1312"/>
      <c r="AT148" s="1312"/>
      <c r="AU148" s="1313"/>
      <c r="AV148" s="1313"/>
      <c r="AW148" s="1313"/>
      <c r="AX148" s="1313"/>
      <c r="AY148" s="1313"/>
      <c r="AZ148" s="1313"/>
      <c r="BA148" s="1313"/>
      <c r="BB148" s="61"/>
      <c r="BC148" s="61"/>
      <c r="BD148" s="61"/>
      <c r="BE148" s="61"/>
      <c r="BF148" s="61"/>
      <c r="BG148" s="61"/>
      <c r="BH148" s="61"/>
      <c r="BI148" s="61"/>
      <c r="BJ148" s="61"/>
      <c r="BK148" s="61"/>
      <c r="BL148" s="61"/>
      <c r="BM148" s="61"/>
      <c r="BN148" s="61"/>
      <c r="BO148" s="61"/>
      <c r="BP148" s="61"/>
      <c r="BQ148" s="61"/>
      <c r="BR148" s="61"/>
      <c r="BS148" s="61"/>
      <c r="BT148" s="61"/>
      <c r="BU148" s="61"/>
      <c r="BV148" s="61"/>
      <c r="BW148" s="61"/>
      <c r="BX148" s="61"/>
      <c r="BY148" s="61"/>
      <c r="BZ148" s="61"/>
      <c r="CA148" s="61"/>
      <c r="CB148" s="61"/>
      <c r="CC148" s="61"/>
      <c r="CD148" s="61"/>
      <c r="CE148" s="61"/>
      <c r="CF148" s="61"/>
      <c r="CG148" s="61"/>
      <c r="CH148" s="61"/>
      <c r="CI148" s="61"/>
      <c r="CJ148" s="61"/>
      <c r="CK148" s="61"/>
    </row>
    <row r="149" spans="3:89" ht="18.75">
      <c r="C149" s="205"/>
      <c r="D149" s="209">
        <v>73</v>
      </c>
      <c r="E149" s="204"/>
      <c r="F149" s="202"/>
      <c r="G149" s="202"/>
      <c r="H149" s="202"/>
      <c r="I149" s="206"/>
      <c r="J149" s="206"/>
      <c r="K149" s="206"/>
      <c r="L149" s="202"/>
      <c r="M149" s="202"/>
      <c r="N149" s="202"/>
      <c r="O149" s="206"/>
      <c r="P149" s="206"/>
      <c r="Q149" s="202"/>
      <c r="R149" s="202"/>
      <c r="S149" s="202"/>
      <c r="T149" s="206"/>
      <c r="U149" s="206"/>
      <c r="V149" s="206"/>
      <c r="W149" s="202"/>
      <c r="X149" s="202"/>
      <c r="Y149" s="206"/>
      <c r="Z149" s="1312"/>
      <c r="AA149" s="1314"/>
      <c r="AB149" s="1314"/>
      <c r="AC149" s="1312"/>
      <c r="AD149" s="1312"/>
      <c r="AE149" s="1312"/>
      <c r="AF149" s="1311"/>
      <c r="AG149" s="1311"/>
      <c r="AH149" s="1311"/>
      <c r="AI149" s="1311"/>
      <c r="AJ149" s="1311"/>
      <c r="AK149" s="1311"/>
      <c r="AL149" s="1311"/>
      <c r="AM149" s="1311"/>
      <c r="AN149" s="1311"/>
      <c r="AO149" s="1311"/>
      <c r="AP149" s="1311"/>
      <c r="AQ149" s="1311"/>
      <c r="AR149" s="1311"/>
      <c r="AS149" s="1312"/>
      <c r="AT149" s="1312"/>
      <c r="AU149" s="1313"/>
      <c r="AV149" s="1313"/>
      <c r="AW149" s="1313"/>
      <c r="AX149" s="1313"/>
      <c r="AY149" s="1313"/>
      <c r="AZ149" s="1313"/>
      <c r="BA149" s="1313"/>
      <c r="BB149" s="61"/>
      <c r="BC149" s="61"/>
      <c r="BD149" s="61"/>
      <c r="BE149" s="61"/>
      <c r="BF149" s="61"/>
      <c r="BG149" s="61"/>
      <c r="BH149" s="61"/>
      <c r="BI149" s="61"/>
      <c r="BJ149" s="61"/>
      <c r="BK149" s="61"/>
      <c r="BL149" s="61"/>
      <c r="BM149" s="61"/>
      <c r="BN149" s="61"/>
      <c r="BO149" s="61"/>
      <c r="BP149" s="61"/>
      <c r="BQ149" s="61"/>
      <c r="BR149" s="61"/>
      <c r="BS149" s="61"/>
      <c r="BT149" s="61"/>
      <c r="BU149" s="61"/>
      <c r="BV149" s="61"/>
      <c r="BW149" s="61"/>
      <c r="BX149" s="61"/>
      <c r="BY149" s="61"/>
      <c r="BZ149" s="61"/>
      <c r="CA149" s="61"/>
      <c r="CB149" s="61"/>
      <c r="CC149" s="61"/>
      <c r="CD149" s="61"/>
      <c r="CE149" s="61"/>
      <c r="CF149" s="61"/>
      <c r="CG149" s="61"/>
      <c r="CH149" s="61"/>
      <c r="CI149" s="61"/>
      <c r="CJ149" s="61"/>
      <c r="CK149" s="61"/>
    </row>
    <row r="150" spans="3:89" ht="18.75">
      <c r="C150" s="205"/>
      <c r="D150" s="209">
        <v>74</v>
      </c>
      <c r="E150" s="204"/>
      <c r="F150" s="202"/>
      <c r="G150" s="202"/>
      <c r="H150" s="202"/>
      <c r="I150" s="206"/>
      <c r="J150" s="206"/>
      <c r="K150" s="206"/>
      <c r="L150" s="202"/>
      <c r="M150" s="202"/>
      <c r="N150" s="202"/>
      <c r="O150" s="206"/>
      <c r="P150" s="202"/>
      <c r="Q150" s="202"/>
      <c r="R150" s="202"/>
      <c r="S150" s="202"/>
      <c r="T150" s="206"/>
      <c r="U150" s="206"/>
      <c r="V150" s="206"/>
      <c r="W150" s="202"/>
      <c r="X150" s="202"/>
      <c r="Y150" s="206"/>
      <c r="Z150" s="1312"/>
      <c r="AA150" s="1314"/>
      <c r="AB150" s="1314"/>
      <c r="AC150" s="1312"/>
      <c r="AD150" s="1312"/>
      <c r="AE150" s="1312"/>
      <c r="AF150" s="1311"/>
      <c r="AG150" s="1311"/>
      <c r="AH150" s="1311"/>
      <c r="AI150" s="1311"/>
      <c r="AJ150" s="1311"/>
      <c r="AK150" s="1311"/>
      <c r="AL150" s="1311"/>
      <c r="AM150" s="1311"/>
      <c r="AN150" s="1311"/>
      <c r="AO150" s="1311"/>
      <c r="AP150" s="1311"/>
      <c r="AQ150" s="1311"/>
      <c r="AR150" s="1311"/>
      <c r="AS150" s="1312"/>
      <c r="AT150" s="1312"/>
      <c r="AU150" s="1313"/>
      <c r="AV150" s="1313"/>
      <c r="AW150" s="1313"/>
      <c r="AX150" s="1313"/>
      <c r="AY150" s="1313"/>
      <c r="AZ150" s="1313"/>
      <c r="BA150" s="1313"/>
      <c r="BB150" s="61"/>
      <c r="BC150" s="61"/>
      <c r="BD150" s="61"/>
      <c r="BE150" s="61"/>
      <c r="BF150" s="61"/>
      <c r="BG150" s="61"/>
      <c r="BH150" s="61"/>
      <c r="BI150" s="61"/>
      <c r="BJ150" s="61"/>
      <c r="BK150" s="61"/>
      <c r="BL150" s="61"/>
      <c r="BM150" s="61"/>
      <c r="BN150" s="61"/>
      <c r="BO150" s="61"/>
      <c r="BP150" s="61"/>
      <c r="BQ150" s="61"/>
      <c r="BR150" s="61"/>
      <c r="BS150" s="61"/>
      <c r="BT150" s="61"/>
      <c r="BU150" s="61"/>
      <c r="BV150" s="61"/>
      <c r="BW150" s="61"/>
      <c r="BX150" s="61"/>
      <c r="BY150" s="61"/>
      <c r="BZ150" s="61"/>
      <c r="CA150" s="61"/>
      <c r="CB150" s="61"/>
      <c r="CC150" s="61"/>
      <c r="CD150" s="61"/>
      <c r="CE150" s="61"/>
      <c r="CF150" s="61"/>
      <c r="CG150" s="61"/>
      <c r="CH150" s="61"/>
      <c r="CI150" s="61"/>
      <c r="CJ150" s="61"/>
      <c r="CK150" s="61"/>
    </row>
    <row r="151" spans="3:89" ht="18.75">
      <c r="C151" s="205"/>
      <c r="D151" s="209">
        <v>75</v>
      </c>
      <c r="E151" s="204"/>
      <c r="F151" s="202"/>
      <c r="G151" s="202"/>
      <c r="H151" s="202"/>
      <c r="I151" s="206"/>
      <c r="J151" s="206"/>
      <c r="K151" s="206"/>
      <c r="L151" s="202"/>
      <c r="M151" s="202"/>
      <c r="N151" s="202"/>
      <c r="O151" s="206"/>
      <c r="P151" s="202"/>
      <c r="Q151" s="202"/>
      <c r="R151" s="202"/>
      <c r="S151" s="202"/>
      <c r="T151" s="206"/>
      <c r="U151" s="206"/>
      <c r="V151" s="206"/>
      <c r="W151" s="202"/>
      <c r="X151" s="202"/>
      <c r="Y151" s="206"/>
      <c r="Z151" s="1312"/>
      <c r="AA151" s="1314"/>
      <c r="AB151" s="1314"/>
      <c r="AC151" s="1312"/>
      <c r="AD151" s="1312"/>
      <c r="AE151" s="1312"/>
      <c r="AF151" s="1311"/>
      <c r="AG151" s="1311"/>
      <c r="AH151" s="1311"/>
      <c r="AI151" s="1311"/>
      <c r="AJ151" s="1311"/>
      <c r="AK151" s="1311"/>
      <c r="AL151" s="1311"/>
      <c r="AM151" s="1311"/>
      <c r="AN151" s="1311"/>
      <c r="AO151" s="1311"/>
      <c r="AP151" s="1311"/>
      <c r="AQ151" s="1311"/>
      <c r="AR151" s="1311"/>
      <c r="AS151" s="1312"/>
      <c r="AT151" s="1312"/>
      <c r="AU151" s="1313"/>
      <c r="AV151" s="1313"/>
      <c r="AW151" s="1313"/>
      <c r="AX151" s="1313"/>
      <c r="AY151" s="1313"/>
      <c r="AZ151" s="1313"/>
      <c r="BA151" s="1313"/>
      <c r="BB151" s="61"/>
      <c r="BC151" s="61"/>
      <c r="BD151" s="61"/>
      <c r="BE151" s="61"/>
      <c r="BF151" s="61"/>
      <c r="BG151" s="61"/>
      <c r="BH151" s="61"/>
      <c r="BI151" s="61"/>
      <c r="BJ151" s="61"/>
      <c r="BK151" s="61"/>
      <c r="BL151" s="61"/>
      <c r="BM151" s="61"/>
      <c r="BN151" s="61"/>
      <c r="BO151" s="61"/>
      <c r="BP151" s="61"/>
      <c r="BQ151" s="61"/>
      <c r="BR151" s="61"/>
      <c r="BS151" s="61"/>
      <c r="BT151" s="61"/>
      <c r="BU151" s="61"/>
      <c r="BV151" s="61"/>
      <c r="BW151" s="61"/>
      <c r="BX151" s="61"/>
      <c r="BY151" s="61"/>
      <c r="BZ151" s="61"/>
      <c r="CA151" s="61"/>
      <c r="CB151" s="61"/>
      <c r="CC151" s="61"/>
      <c r="CD151" s="61"/>
      <c r="CE151" s="61"/>
      <c r="CF151" s="61"/>
      <c r="CG151" s="61"/>
      <c r="CH151" s="61"/>
      <c r="CI151" s="61"/>
      <c r="CJ151" s="61"/>
      <c r="CK151" s="61"/>
    </row>
    <row r="152" spans="3:89" ht="18.75">
      <c r="C152" s="205"/>
      <c r="D152" s="209">
        <v>76</v>
      </c>
      <c r="E152" s="204"/>
      <c r="F152" s="202"/>
      <c r="G152" s="202"/>
      <c r="H152" s="202"/>
      <c r="I152" s="206"/>
      <c r="J152" s="206"/>
      <c r="K152" s="206"/>
      <c r="L152" s="202"/>
      <c r="M152" s="202"/>
      <c r="N152" s="202"/>
      <c r="O152" s="206"/>
      <c r="P152" s="202"/>
      <c r="Q152" s="202"/>
      <c r="R152" s="202"/>
      <c r="S152" s="202"/>
      <c r="T152" s="206"/>
      <c r="U152" s="206"/>
      <c r="V152" s="206"/>
      <c r="W152" s="202"/>
      <c r="X152" s="202"/>
      <c r="Y152" s="206"/>
      <c r="Z152" s="1312"/>
      <c r="AA152" s="1314"/>
      <c r="AB152" s="1314"/>
      <c r="AC152" s="1312"/>
      <c r="AD152" s="1312"/>
      <c r="AE152" s="1312"/>
      <c r="AF152" s="1311"/>
      <c r="AG152" s="1311"/>
      <c r="AH152" s="1311"/>
      <c r="AI152" s="1311"/>
      <c r="AJ152" s="1311"/>
      <c r="AK152" s="1311"/>
      <c r="AL152" s="1311"/>
      <c r="AM152" s="1311"/>
      <c r="AN152" s="1311"/>
      <c r="AO152" s="1311"/>
      <c r="AP152" s="1311"/>
      <c r="AQ152" s="1311"/>
      <c r="AR152" s="1311"/>
      <c r="AS152" s="1312"/>
      <c r="AT152" s="1312"/>
      <c r="AU152" s="1313"/>
      <c r="AV152" s="1313"/>
      <c r="AW152" s="1313"/>
      <c r="AX152" s="1313"/>
      <c r="AY152" s="1313"/>
      <c r="AZ152" s="1313"/>
      <c r="BA152" s="1313"/>
      <c r="BB152" s="61"/>
      <c r="BC152" s="61"/>
      <c r="BD152" s="61"/>
      <c r="BE152" s="61"/>
      <c r="BF152" s="61"/>
      <c r="BG152" s="61"/>
      <c r="BH152" s="61"/>
      <c r="BI152" s="61"/>
      <c r="BJ152" s="61"/>
      <c r="BK152" s="61"/>
      <c r="BL152" s="61"/>
      <c r="BM152" s="61"/>
      <c r="BN152" s="61"/>
      <c r="BO152" s="61"/>
      <c r="BP152" s="61"/>
      <c r="BQ152" s="61"/>
      <c r="BR152" s="61"/>
      <c r="BS152" s="61"/>
      <c r="BT152" s="61"/>
      <c r="BU152" s="61"/>
      <c r="BV152" s="61"/>
      <c r="BW152" s="61"/>
      <c r="BX152" s="61"/>
      <c r="BY152" s="61"/>
      <c r="BZ152" s="61"/>
      <c r="CA152" s="61"/>
      <c r="CB152" s="61"/>
      <c r="CC152" s="61"/>
      <c r="CD152" s="61"/>
      <c r="CE152" s="61"/>
      <c r="CF152" s="61"/>
      <c r="CG152" s="61"/>
      <c r="CH152" s="61"/>
      <c r="CI152" s="61"/>
      <c r="CJ152" s="61"/>
      <c r="CK152" s="61"/>
    </row>
    <row r="153" spans="3:89" ht="18.75">
      <c r="C153" s="205"/>
      <c r="D153" s="209">
        <v>77</v>
      </c>
      <c r="E153" s="204"/>
      <c r="F153" s="202"/>
      <c r="G153" s="202"/>
      <c r="H153" s="202"/>
      <c r="I153" s="202"/>
      <c r="J153" s="206"/>
      <c r="K153" s="206"/>
      <c r="L153" s="206"/>
      <c r="M153" s="202"/>
      <c r="N153" s="202"/>
      <c r="O153" s="202"/>
      <c r="P153" s="206"/>
      <c r="Q153" s="202"/>
      <c r="R153" s="202"/>
      <c r="S153" s="202"/>
      <c r="T153" s="202"/>
      <c r="U153" s="206"/>
      <c r="V153" s="206"/>
      <c r="W153" s="206"/>
      <c r="X153" s="202"/>
      <c r="Y153" s="202"/>
      <c r="Z153" s="1311"/>
      <c r="AA153" s="1312"/>
      <c r="AB153" s="1314"/>
      <c r="AC153" s="1312"/>
      <c r="AD153" s="1312"/>
      <c r="AE153" s="1312"/>
      <c r="AF153" s="1311"/>
      <c r="AG153" s="1311"/>
      <c r="AH153" s="1311"/>
      <c r="AI153" s="1311"/>
      <c r="AJ153" s="1311"/>
      <c r="AK153" s="1311"/>
      <c r="AL153" s="1311"/>
      <c r="AM153" s="1311"/>
      <c r="AN153" s="1311"/>
      <c r="AO153" s="1311"/>
      <c r="AP153" s="1311"/>
      <c r="AQ153" s="1311"/>
      <c r="AR153" s="1311"/>
      <c r="AS153" s="1312"/>
      <c r="AT153" s="1312"/>
      <c r="AU153" s="1313"/>
      <c r="AV153" s="1313"/>
      <c r="AW153" s="1313"/>
      <c r="AX153" s="1313"/>
      <c r="AY153" s="1313"/>
      <c r="AZ153" s="1313"/>
      <c r="BA153" s="1313"/>
      <c r="BB153" s="61"/>
      <c r="BC153" s="61"/>
      <c r="BD153" s="61"/>
      <c r="BE153" s="61"/>
      <c r="BF153" s="61"/>
      <c r="BG153" s="61"/>
      <c r="BH153" s="61"/>
      <c r="BI153" s="61"/>
      <c r="BJ153" s="61"/>
      <c r="BK153" s="61"/>
      <c r="BL153" s="61"/>
      <c r="BM153" s="61"/>
      <c r="BN153" s="61"/>
      <c r="BO153" s="61"/>
      <c r="BP153" s="61"/>
      <c r="BQ153" s="61"/>
      <c r="BR153" s="61"/>
      <c r="BS153" s="61"/>
      <c r="BT153" s="61"/>
      <c r="BU153" s="61"/>
      <c r="BV153" s="61"/>
      <c r="BW153" s="61"/>
      <c r="BX153" s="61"/>
      <c r="BY153" s="61"/>
      <c r="BZ153" s="61"/>
      <c r="CA153" s="61"/>
      <c r="CB153" s="61"/>
      <c r="CC153" s="61"/>
      <c r="CD153" s="61"/>
      <c r="CE153" s="61"/>
      <c r="CF153" s="61"/>
      <c r="CG153" s="61"/>
      <c r="CH153" s="61"/>
      <c r="CI153" s="61"/>
      <c r="CJ153" s="61"/>
      <c r="CK153" s="61"/>
    </row>
    <row r="154" spans="3:89" ht="18.75">
      <c r="C154" s="205"/>
      <c r="D154" s="209">
        <v>78</v>
      </c>
      <c r="E154" s="204"/>
      <c r="F154" s="202"/>
      <c r="G154" s="202"/>
      <c r="H154" s="202"/>
      <c r="I154" s="202"/>
      <c r="J154" s="202"/>
      <c r="K154" s="206"/>
      <c r="L154" s="206"/>
      <c r="M154" s="202"/>
      <c r="N154" s="202"/>
      <c r="O154" s="202"/>
      <c r="P154" s="206"/>
      <c r="Q154" s="202"/>
      <c r="R154" s="202"/>
      <c r="S154" s="202"/>
      <c r="T154" s="202"/>
      <c r="U154" s="206"/>
      <c r="V154" s="206"/>
      <c r="W154" s="206"/>
      <c r="X154" s="202"/>
      <c r="Y154" s="202"/>
      <c r="Z154" s="1311"/>
      <c r="AA154" s="1312"/>
      <c r="AB154" s="1314"/>
      <c r="AC154" s="1312"/>
      <c r="AD154" s="1312"/>
      <c r="AE154" s="1312"/>
      <c r="AF154" s="1311"/>
      <c r="AG154" s="1311"/>
      <c r="AH154" s="1311"/>
      <c r="AI154" s="1311"/>
      <c r="AJ154" s="1311"/>
      <c r="AK154" s="1311"/>
      <c r="AL154" s="1311"/>
      <c r="AM154" s="1311"/>
      <c r="AN154" s="1311"/>
      <c r="AO154" s="1311"/>
      <c r="AP154" s="1311"/>
      <c r="AQ154" s="1311"/>
      <c r="AR154" s="1311"/>
      <c r="AS154" s="1312"/>
      <c r="AT154" s="1312"/>
      <c r="AU154" s="1313"/>
      <c r="AV154" s="1313"/>
      <c r="AW154" s="1313"/>
      <c r="AX154" s="1313"/>
      <c r="AY154" s="1313"/>
      <c r="AZ154" s="1313"/>
      <c r="BA154" s="1313"/>
      <c r="BB154" s="61"/>
      <c r="BC154" s="61"/>
      <c r="BD154" s="61"/>
      <c r="BE154" s="61"/>
      <c r="BF154" s="61"/>
      <c r="BG154" s="61"/>
      <c r="BH154" s="61"/>
      <c r="BI154" s="61"/>
      <c r="BJ154" s="61"/>
      <c r="BK154" s="61"/>
      <c r="BL154" s="61"/>
      <c r="BM154" s="61"/>
      <c r="BN154" s="61"/>
      <c r="BO154" s="61"/>
      <c r="BP154" s="61"/>
      <c r="BQ154" s="61"/>
      <c r="BR154" s="61"/>
      <c r="BS154" s="61"/>
      <c r="BT154" s="61"/>
      <c r="BU154" s="61"/>
      <c r="BV154" s="61"/>
      <c r="BW154" s="61"/>
      <c r="BX154" s="61"/>
      <c r="BY154" s="61"/>
      <c r="BZ154" s="61"/>
      <c r="CA154" s="61"/>
      <c r="CB154" s="61"/>
      <c r="CC154" s="61"/>
      <c r="CD154" s="61"/>
      <c r="CE154" s="61"/>
      <c r="CF154" s="61"/>
      <c r="CG154" s="61"/>
      <c r="CH154" s="61"/>
      <c r="CI154" s="61"/>
      <c r="CJ154" s="61"/>
      <c r="CK154" s="61"/>
    </row>
    <row r="155" spans="3:89" ht="18.75">
      <c r="C155" s="205"/>
      <c r="D155" s="209">
        <v>79</v>
      </c>
      <c r="E155" s="204"/>
      <c r="F155" s="202"/>
      <c r="G155" s="202"/>
      <c r="H155" s="202"/>
      <c r="I155" s="202"/>
      <c r="J155" s="202"/>
      <c r="K155" s="206"/>
      <c r="L155" s="206"/>
      <c r="M155" s="202"/>
      <c r="N155" s="202"/>
      <c r="O155" s="202"/>
      <c r="P155" s="206"/>
      <c r="Q155" s="202"/>
      <c r="R155" s="202"/>
      <c r="S155" s="202"/>
      <c r="T155" s="202"/>
      <c r="U155" s="206"/>
      <c r="V155" s="206"/>
      <c r="W155" s="206"/>
      <c r="X155" s="202"/>
      <c r="Y155" s="202"/>
      <c r="Z155" s="1311"/>
      <c r="AA155" s="1312"/>
      <c r="AB155" s="1314"/>
      <c r="AC155" s="1312"/>
      <c r="AD155" s="1312"/>
      <c r="AE155" s="1312"/>
      <c r="AF155" s="1311"/>
      <c r="AG155" s="1311"/>
      <c r="AH155" s="1311"/>
      <c r="AI155" s="1311"/>
      <c r="AJ155" s="1311"/>
      <c r="AK155" s="1311"/>
      <c r="AL155" s="1311"/>
      <c r="AM155" s="1311"/>
      <c r="AN155" s="1311"/>
      <c r="AO155" s="1311"/>
      <c r="AP155" s="1311"/>
      <c r="AQ155" s="1311"/>
      <c r="AR155" s="1311"/>
      <c r="AS155" s="1312"/>
      <c r="AT155" s="1312"/>
      <c r="AU155" s="1313"/>
      <c r="AV155" s="1313"/>
      <c r="AW155" s="1313"/>
      <c r="AX155" s="1313"/>
      <c r="AY155" s="1313"/>
      <c r="AZ155" s="1313"/>
      <c r="BA155" s="1313"/>
      <c r="BB155" s="61"/>
      <c r="BC155" s="61"/>
      <c r="BD155" s="61"/>
      <c r="BE155" s="61"/>
      <c r="BF155" s="61"/>
      <c r="BG155" s="61"/>
      <c r="BH155" s="61"/>
      <c r="BI155" s="61"/>
      <c r="BJ155" s="61"/>
      <c r="BK155" s="61"/>
      <c r="BL155" s="61"/>
      <c r="BM155" s="61"/>
      <c r="BN155" s="61"/>
      <c r="BO155" s="61"/>
      <c r="BP155" s="61"/>
      <c r="BQ155" s="61"/>
      <c r="BR155" s="61"/>
      <c r="BS155" s="61"/>
      <c r="BT155" s="61"/>
      <c r="BU155" s="61"/>
      <c r="BV155" s="61"/>
      <c r="BW155" s="61"/>
      <c r="BX155" s="61"/>
      <c r="BY155" s="61"/>
      <c r="BZ155" s="61"/>
      <c r="CA155" s="61"/>
      <c r="CB155" s="61"/>
      <c r="CC155" s="61"/>
      <c r="CD155" s="61"/>
      <c r="CE155" s="61"/>
      <c r="CF155" s="61"/>
      <c r="CG155" s="61"/>
      <c r="CH155" s="61"/>
      <c r="CI155" s="61"/>
      <c r="CJ155" s="61"/>
      <c r="CK155" s="61"/>
    </row>
    <row r="156" spans="3:89" ht="18.75">
      <c r="C156" s="205"/>
      <c r="D156" s="209">
        <v>115</v>
      </c>
      <c r="E156" s="204"/>
      <c r="F156" s="202"/>
      <c r="G156" s="202"/>
      <c r="H156" s="202"/>
      <c r="I156" s="202"/>
      <c r="J156" s="202"/>
      <c r="K156" s="206"/>
      <c r="L156" s="206"/>
      <c r="M156" s="202"/>
      <c r="N156" s="202"/>
      <c r="O156" s="202"/>
      <c r="P156" s="206"/>
      <c r="Q156" s="202"/>
      <c r="R156" s="202"/>
      <c r="S156" s="202"/>
      <c r="T156" s="202"/>
      <c r="U156" s="206"/>
      <c r="V156" s="206"/>
      <c r="W156" s="206"/>
      <c r="X156" s="202"/>
      <c r="Y156" s="202"/>
      <c r="Z156" s="1311"/>
      <c r="AA156" s="1312"/>
      <c r="AB156" s="1314"/>
      <c r="AC156" s="1312"/>
      <c r="AD156" s="1312"/>
      <c r="AE156" s="1312"/>
      <c r="AF156" s="1311"/>
      <c r="AG156" s="1311"/>
      <c r="AH156" s="1311"/>
      <c r="AI156" s="1311"/>
      <c r="AJ156" s="1311"/>
      <c r="AK156" s="1311"/>
      <c r="AL156" s="1311"/>
      <c r="AM156" s="1311"/>
      <c r="AN156" s="1311"/>
      <c r="AO156" s="1311"/>
      <c r="AP156" s="1311"/>
      <c r="AQ156" s="1311"/>
      <c r="AR156" s="1311"/>
      <c r="AS156" s="1312"/>
      <c r="AT156" s="1312"/>
      <c r="AU156" s="1313"/>
      <c r="AV156" s="1313"/>
      <c r="AW156" s="1313"/>
      <c r="AX156" s="1313"/>
      <c r="AY156" s="1313"/>
      <c r="AZ156" s="1313"/>
      <c r="BA156" s="1313"/>
      <c r="BB156" s="61"/>
      <c r="BC156" s="61"/>
      <c r="BD156" s="61"/>
      <c r="BE156" s="61"/>
      <c r="BF156" s="61"/>
      <c r="BG156" s="61"/>
      <c r="BH156" s="61"/>
      <c r="BI156" s="61"/>
      <c r="BJ156" s="61"/>
      <c r="BK156" s="61"/>
      <c r="BL156" s="61"/>
      <c r="BM156" s="61"/>
      <c r="BN156" s="61"/>
      <c r="BO156" s="61"/>
      <c r="BP156" s="61"/>
      <c r="BQ156" s="61"/>
      <c r="BR156" s="61"/>
      <c r="BS156" s="61"/>
      <c r="BT156" s="61"/>
      <c r="BU156" s="61"/>
      <c r="BV156" s="61"/>
      <c r="BW156" s="61"/>
      <c r="BX156" s="61"/>
      <c r="BY156" s="61"/>
      <c r="BZ156" s="61"/>
      <c r="CA156" s="61"/>
      <c r="CB156" s="61"/>
      <c r="CC156" s="61"/>
      <c r="CD156" s="61"/>
      <c r="CE156" s="61"/>
      <c r="CF156" s="61"/>
      <c r="CG156" s="61"/>
      <c r="CH156" s="61"/>
      <c r="CI156" s="61"/>
      <c r="CJ156" s="61"/>
      <c r="CK156" s="61"/>
    </row>
    <row r="157" spans="3:89" ht="18.75">
      <c r="C157" s="205"/>
      <c r="D157" s="209">
        <v>116</v>
      </c>
      <c r="E157" s="204"/>
      <c r="F157" s="202"/>
      <c r="G157" s="202"/>
      <c r="H157" s="202"/>
      <c r="I157" s="202"/>
      <c r="J157" s="202"/>
      <c r="K157" s="206"/>
      <c r="L157" s="206"/>
      <c r="M157" s="202"/>
      <c r="N157" s="202"/>
      <c r="O157" s="202"/>
      <c r="P157" s="206"/>
      <c r="Q157" s="202"/>
      <c r="R157" s="202"/>
      <c r="S157" s="202"/>
      <c r="T157" s="202"/>
      <c r="U157" s="206"/>
      <c r="V157" s="206"/>
      <c r="W157" s="206"/>
      <c r="X157" s="202"/>
      <c r="Y157" s="202"/>
      <c r="Z157" s="1311"/>
      <c r="AA157" s="1312"/>
      <c r="AB157" s="1314"/>
      <c r="AC157" s="1312"/>
      <c r="AD157" s="1312"/>
      <c r="AE157" s="1312"/>
      <c r="AF157" s="1311"/>
      <c r="AG157" s="1311"/>
      <c r="AH157" s="1311"/>
      <c r="AI157" s="1311"/>
      <c r="AJ157" s="1311"/>
      <c r="AK157" s="1311"/>
      <c r="AL157" s="1311"/>
      <c r="AM157" s="1311"/>
      <c r="AN157" s="1311"/>
      <c r="AO157" s="1311"/>
      <c r="AP157" s="1311"/>
      <c r="AQ157" s="1311"/>
      <c r="AR157" s="1311"/>
      <c r="AS157" s="1312"/>
      <c r="AT157" s="1312"/>
      <c r="AU157" s="1313"/>
      <c r="AV157" s="1313"/>
      <c r="AW157" s="1313"/>
      <c r="AX157" s="1313"/>
      <c r="AY157" s="1313"/>
      <c r="AZ157" s="1313"/>
      <c r="BA157" s="1313"/>
      <c r="BB157" s="61"/>
      <c r="BC157" s="61"/>
      <c r="BD157" s="61"/>
      <c r="BE157" s="61"/>
      <c r="BF157" s="61"/>
      <c r="BG157" s="61"/>
      <c r="BH157" s="61"/>
      <c r="BI157" s="61"/>
      <c r="BJ157" s="61"/>
      <c r="BK157" s="61"/>
      <c r="BL157" s="61"/>
      <c r="BM157" s="61"/>
      <c r="BN157" s="61"/>
      <c r="BO157" s="61"/>
      <c r="BP157" s="61"/>
      <c r="BQ157" s="61"/>
      <c r="BR157" s="61"/>
      <c r="BS157" s="61"/>
      <c r="BT157" s="61"/>
      <c r="BU157" s="61"/>
      <c r="BV157" s="61"/>
      <c r="BW157" s="61"/>
      <c r="BX157" s="61"/>
      <c r="BY157" s="61"/>
      <c r="BZ157" s="61"/>
      <c r="CA157" s="61"/>
      <c r="CB157" s="61"/>
      <c r="CC157" s="61"/>
      <c r="CD157" s="61"/>
      <c r="CE157" s="61"/>
      <c r="CF157" s="61"/>
      <c r="CG157" s="61"/>
      <c r="CH157" s="61"/>
      <c r="CI157" s="61"/>
      <c r="CJ157" s="61"/>
      <c r="CK157" s="61"/>
    </row>
    <row r="158" spans="3:89" ht="18.75">
      <c r="C158" s="205"/>
      <c r="D158" s="209">
        <v>117</v>
      </c>
      <c r="E158" s="204"/>
      <c r="F158" s="202"/>
      <c r="G158" s="202"/>
      <c r="H158" s="202"/>
      <c r="I158" s="202"/>
      <c r="J158" s="202"/>
      <c r="K158" s="206"/>
      <c r="L158" s="206"/>
      <c r="M158" s="202"/>
      <c r="N158" s="202"/>
      <c r="O158" s="202"/>
      <c r="P158" s="206"/>
      <c r="Q158" s="202"/>
      <c r="R158" s="202"/>
      <c r="S158" s="202"/>
      <c r="T158" s="202"/>
      <c r="U158" s="206"/>
      <c r="V158" s="206"/>
      <c r="W158" s="206"/>
      <c r="X158" s="202"/>
      <c r="Y158" s="202"/>
      <c r="Z158" s="1311"/>
      <c r="AA158" s="1312"/>
      <c r="AB158" s="1314"/>
      <c r="AC158" s="1312"/>
      <c r="AD158" s="1312"/>
      <c r="AE158" s="1312"/>
      <c r="AF158" s="1311"/>
      <c r="AG158" s="1311"/>
      <c r="AH158" s="1311"/>
      <c r="AI158" s="1311"/>
      <c r="AJ158" s="1311"/>
      <c r="AK158" s="1311"/>
      <c r="AL158" s="1311"/>
      <c r="AM158" s="1311"/>
      <c r="AN158" s="1311"/>
      <c r="AO158" s="1311"/>
      <c r="AP158" s="1311"/>
      <c r="AQ158" s="1311"/>
      <c r="AR158" s="1311"/>
      <c r="AS158" s="1312"/>
      <c r="AT158" s="1312"/>
      <c r="AU158" s="1313"/>
      <c r="AV158" s="1313"/>
      <c r="AW158" s="1313"/>
      <c r="AX158" s="1313"/>
      <c r="AY158" s="1313"/>
      <c r="AZ158" s="1313"/>
      <c r="BA158" s="1313"/>
      <c r="BB158" s="61"/>
      <c r="BC158" s="61"/>
      <c r="BD158" s="61"/>
      <c r="BE158" s="61"/>
      <c r="BF158" s="61"/>
      <c r="BG158" s="61"/>
      <c r="BH158" s="61"/>
      <c r="BI158" s="61"/>
      <c r="BJ158" s="61"/>
      <c r="BK158" s="61"/>
      <c r="BL158" s="61"/>
      <c r="BM158" s="61"/>
      <c r="BN158" s="61"/>
      <c r="BO158" s="61"/>
      <c r="BP158" s="61"/>
      <c r="BQ158" s="61"/>
      <c r="BR158" s="61"/>
      <c r="BS158" s="61"/>
      <c r="BT158" s="61"/>
      <c r="BU158" s="61"/>
      <c r="BV158" s="61"/>
      <c r="BW158" s="61"/>
      <c r="BX158" s="61"/>
      <c r="BY158" s="61"/>
      <c r="BZ158" s="61"/>
      <c r="CA158" s="61"/>
      <c r="CB158" s="61"/>
      <c r="CC158" s="61"/>
      <c r="CD158" s="61"/>
      <c r="CE158" s="61"/>
      <c r="CF158" s="61"/>
      <c r="CG158" s="61"/>
      <c r="CH158" s="61"/>
      <c r="CI158" s="61"/>
      <c r="CJ158" s="61"/>
      <c r="CK158" s="61"/>
    </row>
    <row r="159" spans="3:89" ht="18.75">
      <c r="C159" s="205"/>
      <c r="D159" s="209">
        <v>118</v>
      </c>
      <c r="E159" s="207"/>
      <c r="F159" s="202"/>
      <c r="G159" s="202"/>
      <c r="H159" s="202"/>
      <c r="I159" s="202"/>
      <c r="J159" s="202"/>
      <c r="K159" s="206"/>
      <c r="L159" s="206"/>
      <c r="M159" s="202"/>
      <c r="N159" s="202"/>
      <c r="O159" s="202"/>
      <c r="P159" s="206"/>
      <c r="Q159" s="202"/>
      <c r="R159" s="202"/>
      <c r="S159" s="202"/>
      <c r="T159" s="202"/>
      <c r="U159" s="206"/>
      <c r="V159" s="206"/>
      <c r="W159" s="206"/>
      <c r="X159" s="202"/>
      <c r="Y159" s="202"/>
      <c r="Z159" s="1311"/>
      <c r="AA159" s="1312"/>
      <c r="AB159" s="1314"/>
      <c r="AC159" s="1312"/>
      <c r="AD159" s="1312"/>
      <c r="AE159" s="1312"/>
      <c r="AF159" s="1312"/>
      <c r="AG159" s="1312"/>
      <c r="AH159" s="1312"/>
      <c r="AI159" s="1312"/>
      <c r="AJ159" s="1312"/>
      <c r="AK159" s="1312"/>
      <c r="AL159" s="1312"/>
      <c r="AM159" s="1312"/>
      <c r="AN159" s="1312"/>
      <c r="AO159" s="1312"/>
      <c r="AP159" s="1312"/>
      <c r="AQ159" s="1312"/>
      <c r="AR159" s="1312"/>
      <c r="AS159" s="1312"/>
      <c r="AT159" s="1312"/>
      <c r="AU159" s="1313"/>
      <c r="AV159" s="1313"/>
      <c r="AW159" s="1313"/>
      <c r="AX159" s="1313"/>
      <c r="AY159" s="1313"/>
      <c r="AZ159" s="1313"/>
      <c r="BA159" s="1313"/>
      <c r="BB159" s="61"/>
      <c r="BC159" s="61"/>
      <c r="BD159" s="61"/>
      <c r="BE159" s="61"/>
      <c r="BF159" s="61"/>
      <c r="BG159" s="61"/>
      <c r="BH159" s="61"/>
      <c r="BI159" s="61"/>
      <c r="BJ159" s="61"/>
      <c r="BK159" s="61"/>
      <c r="BL159" s="61"/>
      <c r="BM159" s="61"/>
      <c r="BN159" s="61"/>
      <c r="BO159" s="61"/>
      <c r="BP159" s="61"/>
      <c r="BQ159" s="61"/>
      <c r="BR159" s="61"/>
      <c r="BS159" s="61"/>
      <c r="BT159" s="61"/>
      <c r="BU159" s="61"/>
      <c r="BV159" s="61"/>
      <c r="BW159" s="61"/>
      <c r="BX159" s="61"/>
      <c r="BY159" s="61"/>
      <c r="BZ159" s="61"/>
      <c r="CA159" s="61"/>
      <c r="CB159" s="61"/>
      <c r="CC159" s="61"/>
      <c r="CD159" s="61"/>
      <c r="CE159" s="61"/>
      <c r="CF159" s="61"/>
      <c r="CG159" s="61"/>
      <c r="CH159" s="61"/>
      <c r="CI159" s="61"/>
      <c r="CJ159" s="61"/>
      <c r="CK159" s="61"/>
    </row>
    <row r="160" spans="3:89" ht="18.75">
      <c r="C160" s="205"/>
      <c r="D160" s="209">
        <v>119</v>
      </c>
      <c r="E160" s="207"/>
      <c r="F160" s="202"/>
      <c r="G160" s="202"/>
      <c r="H160" s="202"/>
      <c r="I160" s="202"/>
      <c r="J160" s="202"/>
      <c r="K160" s="206"/>
      <c r="L160" s="206"/>
      <c r="M160" s="202"/>
      <c r="N160" s="202"/>
      <c r="O160" s="202"/>
      <c r="P160" s="202"/>
      <c r="Q160" s="202"/>
      <c r="R160" s="202"/>
      <c r="S160" s="202"/>
      <c r="T160" s="202"/>
      <c r="U160" s="206"/>
      <c r="V160" s="206"/>
      <c r="W160" s="206"/>
      <c r="X160" s="202"/>
      <c r="Y160" s="202"/>
      <c r="Z160" s="1311"/>
      <c r="AA160" s="1312"/>
      <c r="AB160" s="1314"/>
      <c r="AC160" s="1312"/>
      <c r="AD160" s="1312"/>
      <c r="AE160" s="1312"/>
      <c r="AF160" s="1312"/>
      <c r="AG160" s="1312"/>
      <c r="AH160" s="1312"/>
      <c r="AI160" s="1312"/>
      <c r="AJ160" s="1312"/>
      <c r="AK160" s="1312"/>
      <c r="AL160" s="1312"/>
      <c r="AM160" s="1312"/>
      <c r="AN160" s="1312"/>
      <c r="AO160" s="1312"/>
      <c r="AP160" s="1312"/>
      <c r="AQ160" s="1312"/>
      <c r="AR160" s="1312"/>
      <c r="AS160" s="1312"/>
      <c r="AT160" s="1312"/>
      <c r="AU160" s="1313"/>
      <c r="AV160" s="1313"/>
      <c r="AW160" s="1313"/>
      <c r="AX160" s="1313"/>
      <c r="AY160" s="1313"/>
      <c r="AZ160" s="1313"/>
      <c r="BA160" s="1313"/>
      <c r="BB160" s="61"/>
      <c r="BC160" s="61"/>
      <c r="BD160" s="61"/>
      <c r="BE160" s="61"/>
      <c r="BF160" s="61"/>
      <c r="BG160" s="61"/>
      <c r="BH160" s="61"/>
      <c r="BI160" s="61"/>
      <c r="BJ160" s="61"/>
      <c r="BK160" s="61"/>
      <c r="BL160" s="61"/>
      <c r="BM160" s="61"/>
      <c r="BN160" s="61"/>
      <c r="BO160" s="61"/>
      <c r="BP160" s="61"/>
      <c r="BQ160" s="61"/>
      <c r="BR160" s="61"/>
      <c r="BS160" s="61"/>
      <c r="BT160" s="61"/>
      <c r="BU160" s="61"/>
      <c r="BV160" s="61"/>
      <c r="BW160" s="61"/>
      <c r="BX160" s="61"/>
      <c r="BY160" s="61"/>
      <c r="BZ160" s="61"/>
      <c r="CA160" s="61"/>
      <c r="CB160" s="61"/>
      <c r="CC160" s="61"/>
      <c r="CD160" s="61"/>
      <c r="CE160" s="61"/>
      <c r="CF160" s="61"/>
      <c r="CG160" s="61"/>
      <c r="CH160" s="61"/>
      <c r="CI160" s="61"/>
      <c r="CJ160" s="61"/>
      <c r="CK160" s="61"/>
    </row>
    <row r="161" spans="3:89" ht="18.75">
      <c r="C161" s="205"/>
      <c r="D161" s="209">
        <v>158</v>
      </c>
      <c r="E161" s="207"/>
      <c r="F161" s="202"/>
      <c r="G161" s="202"/>
      <c r="H161" s="202"/>
      <c r="I161" s="202"/>
      <c r="J161" s="202"/>
      <c r="K161" s="206"/>
      <c r="L161" s="206"/>
      <c r="M161" s="202"/>
      <c r="N161" s="202"/>
      <c r="O161" s="202"/>
      <c r="P161" s="202"/>
      <c r="Q161" s="202"/>
      <c r="R161" s="202"/>
      <c r="S161" s="202"/>
      <c r="T161" s="202"/>
      <c r="U161" s="206"/>
      <c r="V161" s="206"/>
      <c r="W161" s="206"/>
      <c r="X161" s="202"/>
      <c r="Y161" s="202"/>
      <c r="Z161" s="1311"/>
      <c r="AA161" s="1312"/>
      <c r="AB161" s="1314"/>
      <c r="AC161" s="1312"/>
      <c r="AD161" s="1312"/>
      <c r="AE161" s="1312"/>
      <c r="AF161" s="1312"/>
      <c r="AG161" s="1312"/>
      <c r="AH161" s="1312"/>
      <c r="AI161" s="1312"/>
      <c r="AJ161" s="1312"/>
      <c r="AK161" s="1312"/>
      <c r="AL161" s="1312"/>
      <c r="AM161" s="1312"/>
      <c r="AN161" s="1312"/>
      <c r="AO161" s="1312"/>
      <c r="AP161" s="1312"/>
      <c r="AQ161" s="1312"/>
      <c r="AR161" s="1312"/>
      <c r="AS161" s="1312"/>
      <c r="AT161" s="1312"/>
      <c r="AU161" s="1313"/>
      <c r="AV161" s="1313"/>
      <c r="AW161" s="1313"/>
      <c r="AX161" s="1313"/>
      <c r="AY161" s="1313"/>
      <c r="AZ161" s="1313"/>
      <c r="BA161" s="1313"/>
      <c r="BB161" s="61"/>
      <c r="BC161" s="61"/>
      <c r="BD161" s="61"/>
      <c r="BE161" s="61"/>
      <c r="BF161" s="61"/>
      <c r="BG161" s="61"/>
      <c r="BH161" s="61"/>
      <c r="BI161" s="61"/>
      <c r="BJ161" s="61"/>
      <c r="BK161" s="61"/>
      <c r="BL161" s="61"/>
      <c r="BM161" s="61"/>
      <c r="BN161" s="61"/>
      <c r="BO161" s="61"/>
      <c r="BP161" s="61"/>
      <c r="BQ161" s="61"/>
      <c r="BR161" s="61"/>
      <c r="BS161" s="61"/>
      <c r="BT161" s="61"/>
      <c r="BU161" s="61"/>
      <c r="BV161" s="61"/>
      <c r="BW161" s="61"/>
      <c r="BX161" s="61"/>
      <c r="BY161" s="61"/>
      <c r="BZ161" s="61"/>
      <c r="CA161" s="61"/>
      <c r="CB161" s="61"/>
      <c r="CC161" s="61"/>
      <c r="CD161" s="61"/>
      <c r="CE161" s="61"/>
      <c r="CF161" s="61"/>
      <c r="CG161" s="61"/>
      <c r="CH161" s="61"/>
      <c r="CI161" s="61"/>
      <c r="CJ161" s="61"/>
      <c r="CK161" s="61"/>
    </row>
    <row r="162" spans="3:89" ht="18.75">
      <c r="C162" s="205"/>
      <c r="D162" s="209">
        <v>159</v>
      </c>
      <c r="E162" s="207"/>
      <c r="F162" s="202"/>
      <c r="G162" s="202"/>
      <c r="H162" s="202"/>
      <c r="I162" s="202"/>
      <c r="J162" s="202"/>
      <c r="K162" s="206"/>
      <c r="L162" s="206"/>
      <c r="M162" s="202"/>
      <c r="N162" s="202"/>
      <c r="O162" s="202"/>
      <c r="P162" s="202"/>
      <c r="Q162" s="202"/>
      <c r="R162" s="202"/>
      <c r="S162" s="202"/>
      <c r="T162" s="202"/>
      <c r="U162" s="206"/>
      <c r="V162" s="206"/>
      <c r="W162" s="206"/>
      <c r="X162" s="202"/>
      <c r="Y162" s="202"/>
      <c r="Z162" s="1311"/>
      <c r="AA162" s="1312"/>
      <c r="AB162" s="1314"/>
      <c r="AC162" s="1312"/>
      <c r="AD162" s="1312"/>
      <c r="AE162" s="1312"/>
      <c r="AF162" s="1312"/>
      <c r="AG162" s="1312"/>
      <c r="AH162" s="1312"/>
      <c r="AI162" s="1312"/>
      <c r="AJ162" s="1312"/>
      <c r="AK162" s="1312"/>
      <c r="AL162" s="1312"/>
      <c r="AM162" s="1312"/>
      <c r="AN162" s="1312"/>
      <c r="AO162" s="1312"/>
      <c r="AP162" s="1312"/>
      <c r="AQ162" s="1312"/>
      <c r="AR162" s="1312"/>
      <c r="AS162" s="1312"/>
      <c r="AT162" s="1312"/>
      <c r="AU162" s="1313"/>
      <c r="AV162" s="1313"/>
      <c r="AW162" s="1313"/>
      <c r="AX162" s="1313"/>
      <c r="AY162" s="1313"/>
      <c r="AZ162" s="1313"/>
      <c r="BA162" s="1313"/>
      <c r="BB162" s="61"/>
      <c r="BC162" s="61"/>
      <c r="BD162" s="61"/>
      <c r="BE162" s="61"/>
      <c r="BF162" s="61"/>
      <c r="BG162" s="61"/>
      <c r="BH162" s="61"/>
      <c r="BI162" s="61"/>
      <c r="BJ162" s="61"/>
      <c r="BK162" s="61"/>
      <c r="BL162" s="61"/>
      <c r="BM162" s="61"/>
      <c r="BN162" s="61"/>
      <c r="BO162" s="61"/>
      <c r="BP162" s="61"/>
      <c r="BQ162" s="61"/>
      <c r="BR162" s="61"/>
      <c r="BS162" s="61"/>
      <c r="BT162" s="61"/>
      <c r="BU162" s="61"/>
      <c r="BV162" s="61"/>
      <c r="BW162" s="61"/>
      <c r="BX162" s="61"/>
      <c r="BY162" s="61"/>
      <c r="BZ162" s="61"/>
      <c r="CA162" s="61"/>
      <c r="CB162" s="61"/>
      <c r="CC162" s="61"/>
      <c r="CD162" s="61"/>
      <c r="CE162" s="61"/>
      <c r="CF162" s="61"/>
      <c r="CG162" s="61"/>
      <c r="CH162" s="61"/>
      <c r="CI162" s="61"/>
      <c r="CJ162" s="61"/>
      <c r="CK162" s="61"/>
    </row>
    <row r="163" spans="3:89" ht="18.75">
      <c r="C163" s="205"/>
      <c r="D163" s="209">
        <v>160</v>
      </c>
      <c r="E163" s="207"/>
      <c r="F163" s="202"/>
      <c r="G163" s="202"/>
      <c r="H163" s="202"/>
      <c r="I163" s="202"/>
      <c r="J163" s="202"/>
      <c r="K163" s="206"/>
      <c r="L163" s="206"/>
      <c r="M163" s="202"/>
      <c r="N163" s="202"/>
      <c r="O163" s="202"/>
      <c r="P163" s="202"/>
      <c r="Q163" s="202"/>
      <c r="R163" s="202"/>
      <c r="S163" s="202"/>
      <c r="T163" s="202"/>
      <c r="U163" s="206"/>
      <c r="V163" s="206"/>
      <c r="W163" s="206"/>
      <c r="X163" s="202"/>
      <c r="Y163" s="202"/>
      <c r="Z163" s="1311"/>
      <c r="AA163" s="1312"/>
      <c r="AB163" s="1314"/>
      <c r="AC163" s="1312"/>
      <c r="AD163" s="1312"/>
      <c r="AE163" s="1312"/>
      <c r="AF163" s="1312"/>
      <c r="AG163" s="1312"/>
      <c r="AH163" s="1312"/>
      <c r="AI163" s="1312"/>
      <c r="AJ163" s="1312"/>
      <c r="AK163" s="1312"/>
      <c r="AL163" s="1312"/>
      <c r="AM163" s="1312"/>
      <c r="AN163" s="1312"/>
      <c r="AO163" s="1312"/>
      <c r="AP163" s="1312"/>
      <c r="AQ163" s="1312"/>
      <c r="AR163" s="1312"/>
      <c r="AS163" s="1312"/>
      <c r="AT163" s="1312"/>
      <c r="AU163" s="1313"/>
      <c r="AV163" s="1313"/>
      <c r="AW163" s="1313"/>
      <c r="AX163" s="1313"/>
      <c r="AY163" s="1313"/>
      <c r="AZ163" s="1313"/>
      <c r="BA163" s="1313"/>
      <c r="BB163" s="61"/>
      <c r="BC163" s="61"/>
      <c r="BD163" s="61"/>
      <c r="BE163" s="61"/>
      <c r="BF163" s="61"/>
      <c r="BG163" s="61"/>
      <c r="BH163" s="61"/>
      <c r="BI163" s="61"/>
      <c r="BJ163" s="61"/>
      <c r="BK163" s="61"/>
      <c r="BL163" s="61"/>
      <c r="BM163" s="61"/>
      <c r="BN163" s="61"/>
      <c r="BO163" s="61"/>
      <c r="BP163" s="61"/>
      <c r="BQ163" s="61"/>
      <c r="BR163" s="61"/>
      <c r="BS163" s="61"/>
      <c r="BT163" s="61"/>
      <c r="BU163" s="61"/>
      <c r="BV163" s="61"/>
      <c r="BW163" s="61"/>
      <c r="BX163" s="61"/>
      <c r="BY163" s="61"/>
      <c r="BZ163" s="61"/>
      <c r="CA163" s="61"/>
      <c r="CB163" s="61"/>
      <c r="CC163" s="61"/>
      <c r="CD163" s="61"/>
      <c r="CE163" s="61"/>
      <c r="CF163" s="61"/>
      <c r="CG163" s="61"/>
      <c r="CH163" s="61"/>
      <c r="CI163" s="61"/>
      <c r="CJ163" s="61"/>
      <c r="CK163" s="61"/>
    </row>
    <row r="164" spans="3:89" ht="18.75">
      <c r="C164" s="205"/>
      <c r="D164" s="209">
        <v>177</v>
      </c>
      <c r="E164" s="207"/>
      <c r="F164" s="202"/>
      <c r="G164" s="202"/>
      <c r="H164" s="202"/>
      <c r="I164" s="202"/>
      <c r="J164" s="202"/>
      <c r="K164" s="206"/>
      <c r="L164" s="206"/>
      <c r="M164" s="202"/>
      <c r="N164" s="202"/>
      <c r="O164" s="202"/>
      <c r="P164" s="202"/>
      <c r="Q164" s="202"/>
      <c r="R164" s="202"/>
      <c r="S164" s="202"/>
      <c r="T164" s="202"/>
      <c r="U164" s="206"/>
      <c r="V164" s="206"/>
      <c r="W164" s="206"/>
      <c r="X164" s="202"/>
      <c r="Y164" s="202"/>
      <c r="Z164" s="1311"/>
      <c r="AA164" s="1312"/>
      <c r="AB164" s="1314"/>
      <c r="AC164" s="1312"/>
      <c r="AD164" s="1312"/>
      <c r="AE164" s="1312"/>
      <c r="AF164" s="1312"/>
      <c r="AG164" s="1312"/>
      <c r="AH164" s="1312"/>
      <c r="AI164" s="1312"/>
      <c r="AJ164" s="1312"/>
      <c r="AK164" s="1312"/>
      <c r="AL164" s="1312"/>
      <c r="AM164" s="1312"/>
      <c r="AN164" s="1312"/>
      <c r="AO164" s="1312"/>
      <c r="AP164" s="1312"/>
      <c r="AQ164" s="1312"/>
      <c r="AR164" s="1312"/>
      <c r="AS164" s="1312"/>
      <c r="AT164" s="1312"/>
      <c r="AU164" s="1313"/>
      <c r="AV164" s="1313"/>
      <c r="AW164" s="1313"/>
      <c r="AX164" s="1313"/>
      <c r="AY164" s="1313"/>
      <c r="AZ164" s="1313"/>
      <c r="BA164" s="1313"/>
      <c r="BB164" s="61"/>
      <c r="BC164" s="61"/>
      <c r="BD164" s="61"/>
      <c r="BE164" s="61"/>
      <c r="BF164" s="61"/>
      <c r="BG164" s="61"/>
      <c r="BH164" s="61"/>
      <c r="BI164" s="61"/>
      <c r="BJ164" s="61"/>
      <c r="BK164" s="61"/>
      <c r="BL164" s="61"/>
      <c r="BM164" s="61"/>
      <c r="BN164" s="61"/>
      <c r="BO164" s="61"/>
      <c r="BP164" s="61"/>
      <c r="BQ164" s="61"/>
      <c r="BR164" s="61"/>
      <c r="BS164" s="61"/>
      <c r="BT164" s="61"/>
      <c r="BU164" s="61"/>
      <c r="BV164" s="61"/>
      <c r="BW164" s="61"/>
      <c r="BX164" s="61"/>
      <c r="BY164" s="61"/>
      <c r="BZ164" s="61"/>
      <c r="CA164" s="61"/>
      <c r="CB164" s="61"/>
      <c r="CC164" s="61"/>
      <c r="CD164" s="61"/>
      <c r="CE164" s="61"/>
      <c r="CF164" s="61"/>
      <c r="CG164" s="61"/>
      <c r="CH164" s="61"/>
      <c r="CI164" s="61"/>
      <c r="CJ164" s="61"/>
      <c r="CK164" s="61"/>
    </row>
    <row r="165" spans="3:89" ht="18.75">
      <c r="C165" s="205"/>
      <c r="D165" s="209">
        <v>178</v>
      </c>
      <c r="E165" s="207"/>
      <c r="F165" s="202"/>
      <c r="G165" s="202"/>
      <c r="H165" s="202"/>
      <c r="I165" s="202"/>
      <c r="J165" s="202"/>
      <c r="K165" s="206"/>
      <c r="L165" s="206"/>
      <c r="M165" s="202"/>
      <c r="N165" s="202"/>
      <c r="O165" s="202"/>
      <c r="P165" s="202"/>
      <c r="Q165" s="202"/>
      <c r="R165" s="202"/>
      <c r="S165" s="202"/>
      <c r="T165" s="202"/>
      <c r="U165" s="206"/>
      <c r="V165" s="206"/>
      <c r="W165" s="206"/>
      <c r="X165" s="202"/>
      <c r="Y165" s="202"/>
      <c r="Z165" s="1311"/>
      <c r="AA165" s="1312"/>
      <c r="AB165" s="1314"/>
      <c r="AC165" s="1312"/>
      <c r="AD165" s="1312"/>
      <c r="AE165" s="1312"/>
      <c r="AF165" s="1312"/>
      <c r="AG165" s="1312"/>
      <c r="AH165" s="1312"/>
      <c r="AI165" s="1312"/>
      <c r="AJ165" s="1312"/>
      <c r="AK165" s="1312"/>
      <c r="AL165" s="1312"/>
      <c r="AM165" s="1312"/>
      <c r="AN165" s="1312"/>
      <c r="AO165" s="1312"/>
      <c r="AP165" s="1312"/>
      <c r="AQ165" s="1312"/>
      <c r="AR165" s="1312"/>
      <c r="AS165" s="1312"/>
      <c r="AT165" s="1312"/>
      <c r="AU165" s="1313"/>
      <c r="AV165" s="1313"/>
      <c r="AW165" s="1313"/>
      <c r="AX165" s="1313"/>
      <c r="AY165" s="1313"/>
      <c r="AZ165" s="1313"/>
      <c r="BA165" s="1313"/>
      <c r="BB165" s="61"/>
      <c r="BC165" s="61"/>
      <c r="BD165" s="61"/>
      <c r="BE165" s="61"/>
      <c r="BF165" s="61"/>
      <c r="BG165" s="61"/>
      <c r="BH165" s="61"/>
      <c r="BI165" s="61"/>
      <c r="BJ165" s="61"/>
      <c r="BK165" s="61"/>
      <c r="BL165" s="61"/>
      <c r="BM165" s="61"/>
      <c r="BN165" s="61"/>
      <c r="BO165" s="61"/>
      <c r="BP165" s="61"/>
      <c r="BQ165" s="61"/>
      <c r="BR165" s="61"/>
      <c r="BS165" s="61"/>
      <c r="BT165" s="61"/>
      <c r="BU165" s="61"/>
      <c r="BV165" s="61"/>
      <c r="BW165" s="61"/>
      <c r="BX165" s="61"/>
      <c r="BY165" s="61"/>
      <c r="BZ165" s="61"/>
      <c r="CA165" s="61"/>
      <c r="CB165" s="61"/>
      <c r="CC165" s="61"/>
      <c r="CD165" s="61"/>
      <c r="CE165" s="61"/>
      <c r="CF165" s="61"/>
      <c r="CG165" s="61"/>
      <c r="CH165" s="61"/>
      <c r="CI165" s="61"/>
      <c r="CJ165" s="61"/>
      <c r="CK165" s="61"/>
    </row>
    <row r="166" spans="3:89" ht="18.75">
      <c r="C166" s="205"/>
      <c r="D166" s="209">
        <v>179</v>
      </c>
      <c r="E166" s="207"/>
      <c r="F166" s="202"/>
      <c r="G166" s="202"/>
      <c r="H166" s="202"/>
      <c r="I166" s="202"/>
      <c r="J166" s="202"/>
      <c r="K166" s="206"/>
      <c r="L166" s="206"/>
      <c r="M166" s="202"/>
      <c r="N166" s="202"/>
      <c r="O166" s="202"/>
      <c r="P166" s="202"/>
      <c r="Q166" s="202"/>
      <c r="R166" s="202"/>
      <c r="S166" s="202"/>
      <c r="T166" s="202"/>
      <c r="U166" s="206"/>
      <c r="V166" s="206"/>
      <c r="W166" s="206"/>
      <c r="X166" s="202"/>
      <c r="Y166" s="202"/>
      <c r="Z166" s="1311"/>
      <c r="AA166" s="1312"/>
      <c r="AB166" s="1314"/>
      <c r="AC166" s="1312"/>
      <c r="AD166" s="1312"/>
      <c r="AE166" s="1312"/>
      <c r="AF166" s="1312"/>
      <c r="AG166" s="1312"/>
      <c r="AH166" s="1312"/>
      <c r="AI166" s="1312"/>
      <c r="AJ166" s="1312"/>
      <c r="AK166" s="1312"/>
      <c r="AL166" s="1312"/>
      <c r="AM166" s="1312"/>
      <c r="AN166" s="1312"/>
      <c r="AO166" s="1312"/>
      <c r="AP166" s="1312"/>
      <c r="AQ166" s="1312"/>
      <c r="AR166" s="1312"/>
      <c r="AS166" s="1312"/>
      <c r="AT166" s="1312"/>
      <c r="AU166" s="1313"/>
      <c r="AV166" s="1313"/>
      <c r="AW166" s="1313"/>
      <c r="AX166" s="1313"/>
      <c r="AY166" s="1313"/>
      <c r="AZ166" s="1313"/>
      <c r="BA166" s="1313"/>
      <c r="BB166" s="61"/>
      <c r="BC166" s="61"/>
      <c r="BD166" s="61"/>
      <c r="BE166" s="61"/>
      <c r="BF166" s="61"/>
      <c r="BG166" s="61"/>
      <c r="BH166" s="61"/>
      <c r="BI166" s="61"/>
      <c r="BJ166" s="61"/>
      <c r="BK166" s="61"/>
      <c r="BL166" s="61"/>
      <c r="BM166" s="61"/>
      <c r="BN166" s="61"/>
      <c r="BO166" s="61"/>
      <c r="BP166" s="61"/>
      <c r="BQ166" s="61"/>
      <c r="BR166" s="61"/>
      <c r="BS166" s="61"/>
      <c r="BT166" s="61"/>
      <c r="BU166" s="61"/>
      <c r="BV166" s="61"/>
      <c r="BW166" s="61"/>
      <c r="BX166" s="61"/>
      <c r="BY166" s="61"/>
      <c r="BZ166" s="61"/>
      <c r="CA166" s="61"/>
      <c r="CB166" s="61"/>
      <c r="CC166" s="61"/>
      <c r="CD166" s="61"/>
      <c r="CE166" s="61"/>
      <c r="CF166" s="61"/>
      <c r="CG166" s="61"/>
      <c r="CH166" s="61"/>
      <c r="CI166" s="61"/>
      <c r="CJ166" s="61"/>
      <c r="CK166" s="61"/>
    </row>
    <row r="167" spans="3:89" ht="18.75">
      <c r="C167" s="205"/>
      <c r="D167" s="209">
        <v>199</v>
      </c>
      <c r="E167" s="207"/>
      <c r="F167" s="202"/>
      <c r="G167" s="202"/>
      <c r="H167" s="202"/>
      <c r="I167" s="202"/>
      <c r="J167" s="202"/>
      <c r="K167" s="206"/>
      <c r="L167" s="202"/>
      <c r="M167" s="202"/>
      <c r="N167" s="202"/>
      <c r="O167" s="202"/>
      <c r="P167" s="202"/>
      <c r="Q167" s="202"/>
      <c r="R167" s="202"/>
      <c r="S167" s="202"/>
      <c r="T167" s="202"/>
      <c r="U167" s="206"/>
      <c r="V167" s="206"/>
      <c r="W167" s="206"/>
      <c r="X167" s="202"/>
      <c r="Y167" s="202"/>
      <c r="Z167" s="1311"/>
      <c r="AA167" s="1312"/>
      <c r="AB167" s="1314"/>
      <c r="AC167" s="1312"/>
      <c r="AD167" s="1312"/>
      <c r="AE167" s="1312"/>
      <c r="AF167" s="1312"/>
      <c r="AG167" s="1312"/>
      <c r="AH167" s="1312"/>
      <c r="AI167" s="1312"/>
      <c r="AJ167" s="1312"/>
      <c r="AK167" s="1312"/>
      <c r="AL167" s="1312"/>
      <c r="AM167" s="1312"/>
      <c r="AN167" s="1312"/>
      <c r="AO167" s="1312"/>
      <c r="AP167" s="1312"/>
      <c r="AQ167" s="1312"/>
      <c r="AR167" s="1312"/>
      <c r="AS167" s="1312"/>
      <c r="AT167" s="1312"/>
      <c r="AU167" s="1313"/>
      <c r="AV167" s="1313"/>
      <c r="AW167" s="1313"/>
      <c r="AX167" s="1313"/>
      <c r="AY167" s="1313"/>
      <c r="AZ167" s="1313"/>
      <c r="BA167" s="1313"/>
      <c r="BB167" s="61"/>
      <c r="BC167" s="61"/>
      <c r="BD167" s="61"/>
      <c r="BE167" s="61"/>
      <c r="BF167" s="61"/>
      <c r="BG167" s="61"/>
      <c r="BH167" s="61"/>
      <c r="BI167" s="61"/>
      <c r="BJ167" s="61"/>
      <c r="BK167" s="61"/>
      <c r="BL167" s="61"/>
      <c r="BM167" s="61"/>
      <c r="BN167" s="61"/>
      <c r="BO167" s="61"/>
      <c r="BP167" s="61"/>
      <c r="BQ167" s="61"/>
      <c r="BR167" s="61"/>
      <c r="BS167" s="61"/>
      <c r="BT167" s="61"/>
      <c r="BU167" s="61"/>
      <c r="BV167" s="61"/>
      <c r="BW167" s="61"/>
      <c r="BX167" s="61"/>
      <c r="BY167" s="61"/>
      <c r="BZ167" s="61"/>
      <c r="CA167" s="61"/>
      <c r="CB167" s="61"/>
      <c r="CC167" s="61"/>
      <c r="CD167" s="61"/>
      <c r="CE167" s="61"/>
      <c r="CF167" s="61"/>
      <c r="CG167" s="61"/>
      <c r="CH167" s="61"/>
      <c r="CI167" s="61"/>
      <c r="CJ167" s="61"/>
      <c r="CK167" s="61"/>
    </row>
    <row r="168" spans="3:89" ht="18.75">
      <c r="C168" s="205"/>
      <c r="D168" s="209">
        <v>200</v>
      </c>
      <c r="E168" s="207"/>
      <c r="F168" s="202"/>
      <c r="G168" s="202"/>
      <c r="H168" s="202"/>
      <c r="I168" s="202"/>
      <c r="J168" s="202"/>
      <c r="K168" s="206"/>
      <c r="L168" s="202"/>
      <c r="M168" s="202"/>
      <c r="N168" s="202"/>
      <c r="O168" s="202"/>
      <c r="P168" s="202"/>
      <c r="Q168" s="202"/>
      <c r="R168" s="202"/>
      <c r="S168" s="202"/>
      <c r="T168" s="202"/>
      <c r="U168" s="206"/>
      <c r="V168" s="206"/>
      <c r="W168" s="206"/>
      <c r="X168" s="202"/>
      <c r="Y168" s="202"/>
      <c r="Z168" s="1311"/>
      <c r="AA168" s="1312"/>
      <c r="AB168" s="1314"/>
      <c r="AC168" s="1312"/>
      <c r="AD168" s="1312"/>
      <c r="AE168" s="1312"/>
      <c r="AF168" s="1312"/>
      <c r="AG168" s="1312"/>
      <c r="AH168" s="1312"/>
      <c r="AI168" s="1312"/>
      <c r="AJ168" s="1312"/>
      <c r="AK168" s="1312"/>
      <c r="AL168" s="1312"/>
      <c r="AM168" s="1312"/>
      <c r="AN168" s="1312"/>
      <c r="AO168" s="1312"/>
      <c r="AP168" s="1312"/>
      <c r="AQ168" s="1312"/>
      <c r="AR168" s="1312"/>
      <c r="AS168" s="1312"/>
      <c r="AT168" s="1312"/>
      <c r="AU168" s="1313"/>
      <c r="AV168" s="1313"/>
      <c r="AW168" s="1313"/>
      <c r="AX168" s="1313"/>
      <c r="AY168" s="1313"/>
      <c r="AZ168" s="1313"/>
      <c r="BA168" s="1313"/>
      <c r="BB168" s="61"/>
      <c r="BC168" s="61"/>
      <c r="BD168" s="61"/>
      <c r="BE168" s="61"/>
      <c r="BF168" s="61"/>
      <c r="BG168" s="61"/>
      <c r="BH168" s="61"/>
      <c r="BI168" s="61"/>
      <c r="BJ168" s="61"/>
      <c r="BK168" s="61"/>
      <c r="BL168" s="61"/>
      <c r="BM168" s="61"/>
      <c r="BN168" s="61"/>
      <c r="BO168" s="61"/>
      <c r="BP168" s="61"/>
      <c r="BQ168" s="61"/>
      <c r="BR168" s="61"/>
      <c r="BS168" s="61"/>
      <c r="BT168" s="61"/>
      <c r="BU168" s="61"/>
      <c r="BV168" s="61"/>
      <c r="BW168" s="61"/>
      <c r="BX168" s="61"/>
      <c r="BY168" s="61"/>
      <c r="BZ168" s="61"/>
      <c r="CA168" s="61"/>
      <c r="CB168" s="61"/>
      <c r="CC168" s="61"/>
      <c r="CD168" s="61"/>
      <c r="CE168" s="61"/>
      <c r="CF168" s="61"/>
      <c r="CG168" s="61"/>
      <c r="CH168" s="61"/>
      <c r="CI168" s="61"/>
      <c r="CJ168" s="61"/>
      <c r="CK168" s="61"/>
    </row>
    <row r="169" spans="3:89" ht="18.75">
      <c r="C169" s="205"/>
      <c r="D169" s="209">
        <v>201</v>
      </c>
      <c r="E169" s="207"/>
      <c r="F169" s="202"/>
      <c r="G169" s="202"/>
      <c r="H169" s="202"/>
      <c r="I169" s="202"/>
      <c r="J169" s="202"/>
      <c r="K169" s="206"/>
      <c r="L169" s="202"/>
      <c r="M169" s="202"/>
      <c r="N169" s="202"/>
      <c r="O169" s="202"/>
      <c r="P169" s="202"/>
      <c r="Q169" s="202"/>
      <c r="R169" s="202"/>
      <c r="S169" s="202"/>
      <c r="T169" s="202"/>
      <c r="U169" s="206"/>
      <c r="V169" s="206"/>
      <c r="W169" s="206"/>
      <c r="X169" s="202"/>
      <c r="Y169" s="202"/>
      <c r="Z169" s="1311"/>
      <c r="AA169" s="1312"/>
      <c r="AB169" s="1314"/>
      <c r="AC169" s="1312"/>
      <c r="AD169" s="1312"/>
      <c r="AE169" s="1312"/>
      <c r="AF169" s="1312"/>
      <c r="AG169" s="1312"/>
      <c r="AH169" s="1312"/>
      <c r="AI169" s="1312"/>
      <c r="AJ169" s="1312"/>
      <c r="AK169" s="1312"/>
      <c r="AL169" s="1312"/>
      <c r="AM169" s="1312"/>
      <c r="AN169" s="1312"/>
      <c r="AO169" s="1312"/>
      <c r="AP169" s="1312"/>
      <c r="AQ169" s="1312"/>
      <c r="AR169" s="1312"/>
      <c r="AS169" s="1312"/>
      <c r="AT169" s="1312"/>
      <c r="AU169" s="1313"/>
      <c r="AV169" s="1313"/>
      <c r="AW169" s="1313"/>
      <c r="AX169" s="1313"/>
      <c r="AY169" s="1313"/>
      <c r="AZ169" s="1313"/>
      <c r="BA169" s="1313"/>
      <c r="BB169" s="61"/>
      <c r="BC169" s="61"/>
      <c r="BD169" s="61"/>
      <c r="BE169" s="61"/>
      <c r="BF169" s="61"/>
      <c r="BG169" s="61"/>
      <c r="BH169" s="61"/>
      <c r="BI169" s="61"/>
      <c r="BJ169" s="61"/>
      <c r="BK169" s="61"/>
      <c r="BL169" s="61"/>
      <c r="BM169" s="61"/>
      <c r="BN169" s="61"/>
      <c r="BO169" s="61"/>
      <c r="BP169" s="61"/>
      <c r="BQ169" s="61"/>
      <c r="BR169" s="61"/>
      <c r="BS169" s="61"/>
      <c r="BT169" s="61"/>
      <c r="BU169" s="61"/>
      <c r="BV169" s="61"/>
      <c r="BW169" s="61"/>
      <c r="BX169" s="61"/>
      <c r="BY169" s="61"/>
      <c r="BZ169" s="61"/>
      <c r="CA169" s="61"/>
      <c r="CB169" s="61"/>
      <c r="CC169" s="61"/>
      <c r="CD169" s="61"/>
      <c r="CE169" s="61"/>
      <c r="CF169" s="61"/>
      <c r="CG169" s="61"/>
      <c r="CH169" s="61"/>
      <c r="CI169" s="61"/>
      <c r="CJ169" s="61"/>
      <c r="CK169" s="61"/>
    </row>
    <row r="170" spans="3:89" ht="18.75">
      <c r="C170" s="205"/>
      <c r="D170" s="209">
        <v>202</v>
      </c>
      <c r="E170" s="207"/>
      <c r="F170" s="202"/>
      <c r="G170" s="202"/>
      <c r="H170" s="202"/>
      <c r="I170" s="202"/>
      <c r="J170" s="202"/>
      <c r="K170" s="206"/>
      <c r="L170" s="202"/>
      <c r="M170" s="202"/>
      <c r="N170" s="202"/>
      <c r="O170" s="202"/>
      <c r="P170" s="202"/>
      <c r="Q170" s="202"/>
      <c r="R170" s="202"/>
      <c r="S170" s="202"/>
      <c r="T170" s="202"/>
      <c r="U170" s="206"/>
      <c r="V170" s="206"/>
      <c r="W170" s="206"/>
      <c r="X170" s="202"/>
      <c r="Y170" s="202"/>
      <c r="Z170" s="1311"/>
      <c r="AA170" s="1312"/>
      <c r="AB170" s="1314"/>
      <c r="AC170" s="1312"/>
      <c r="AD170" s="1312"/>
      <c r="AE170" s="1312"/>
      <c r="AF170" s="1312"/>
      <c r="AG170" s="1312"/>
      <c r="AH170" s="1312"/>
      <c r="AI170" s="1312"/>
      <c r="AJ170" s="1312"/>
      <c r="AK170" s="1312"/>
      <c r="AL170" s="1312"/>
      <c r="AM170" s="1312"/>
      <c r="AN170" s="1312"/>
      <c r="AO170" s="1312"/>
      <c r="AP170" s="1312"/>
      <c r="AQ170" s="1312"/>
      <c r="AR170" s="1312"/>
      <c r="AS170" s="1312"/>
      <c r="AT170" s="1312"/>
      <c r="AU170" s="1313"/>
      <c r="AV170" s="1313"/>
      <c r="AW170" s="1313"/>
      <c r="AX170" s="1313"/>
      <c r="AY170" s="1313"/>
      <c r="AZ170" s="1313"/>
      <c r="BA170" s="1313"/>
      <c r="BB170" s="61"/>
      <c r="BC170" s="61"/>
      <c r="BD170" s="61"/>
      <c r="BE170" s="61"/>
      <c r="BF170" s="61"/>
      <c r="BG170" s="61"/>
      <c r="BH170" s="61"/>
      <c r="BI170" s="61"/>
      <c r="BJ170" s="61"/>
      <c r="BK170" s="61"/>
      <c r="BL170" s="61"/>
      <c r="BM170" s="61"/>
      <c r="BN170" s="61"/>
      <c r="BO170" s="61"/>
      <c r="BP170" s="61"/>
      <c r="BQ170" s="61"/>
      <c r="BR170" s="61"/>
      <c r="BS170" s="61"/>
      <c r="BT170" s="61"/>
      <c r="BU170" s="61"/>
      <c r="BV170" s="61"/>
      <c r="BW170" s="61"/>
      <c r="BX170" s="61"/>
      <c r="BY170" s="61"/>
      <c r="BZ170" s="61"/>
      <c r="CA170" s="61"/>
      <c r="CB170" s="61"/>
      <c r="CC170" s="61"/>
      <c r="CD170" s="61"/>
      <c r="CE170" s="61"/>
      <c r="CF170" s="61"/>
      <c r="CG170" s="61"/>
      <c r="CH170" s="61"/>
      <c r="CI170" s="61"/>
      <c r="CJ170" s="61"/>
      <c r="CK170" s="61"/>
    </row>
    <row r="171" spans="3:89" ht="18.75">
      <c r="C171" s="205"/>
      <c r="D171" s="209">
        <v>203</v>
      </c>
      <c r="E171" s="207"/>
      <c r="F171" s="202"/>
      <c r="G171" s="202"/>
      <c r="H171" s="202"/>
      <c r="I171" s="202"/>
      <c r="J171" s="202"/>
      <c r="K171" s="202"/>
      <c r="L171" s="202"/>
      <c r="M171" s="202"/>
      <c r="N171" s="202"/>
      <c r="O171" s="202"/>
      <c r="P171" s="202"/>
      <c r="Q171" s="202"/>
      <c r="R171" s="202"/>
      <c r="S171" s="202"/>
      <c r="T171" s="202"/>
      <c r="U171" s="206"/>
      <c r="V171" s="206"/>
      <c r="W171" s="206"/>
      <c r="X171" s="202"/>
      <c r="Y171" s="202"/>
      <c r="Z171" s="1311"/>
      <c r="AA171" s="1312"/>
      <c r="AB171" s="1314"/>
      <c r="AC171" s="1312"/>
      <c r="AD171" s="1312"/>
      <c r="AE171" s="1312"/>
      <c r="AF171" s="1312"/>
      <c r="AG171" s="1312"/>
      <c r="AH171" s="1312"/>
      <c r="AI171" s="1312"/>
      <c r="AJ171" s="1312"/>
      <c r="AK171" s="1312"/>
      <c r="AL171" s="1312"/>
      <c r="AM171" s="1312"/>
      <c r="AN171" s="1312"/>
      <c r="AO171" s="1312"/>
      <c r="AP171" s="1312"/>
      <c r="AQ171" s="1312"/>
      <c r="AR171" s="1312"/>
      <c r="AS171" s="1312"/>
      <c r="AT171" s="1312"/>
      <c r="AU171" s="1313"/>
      <c r="AV171" s="1313"/>
      <c r="AW171" s="1313"/>
      <c r="AX171" s="1313"/>
      <c r="AY171" s="1313"/>
      <c r="AZ171" s="1313"/>
      <c r="BA171" s="1313"/>
      <c r="BB171" s="61"/>
      <c r="BC171" s="61"/>
      <c r="BD171" s="61"/>
      <c r="BE171" s="61"/>
      <c r="BF171" s="61"/>
      <c r="BG171" s="61"/>
      <c r="BH171" s="61"/>
      <c r="BI171" s="61"/>
      <c r="BJ171" s="61"/>
      <c r="BK171" s="61"/>
      <c r="BL171" s="61"/>
      <c r="BM171" s="61"/>
      <c r="BN171" s="61"/>
      <c r="BO171" s="61"/>
      <c r="BP171" s="61"/>
      <c r="BQ171" s="61"/>
      <c r="BR171" s="61"/>
      <c r="BS171" s="61"/>
      <c r="BT171" s="61"/>
      <c r="BU171" s="61"/>
      <c r="BV171" s="61"/>
      <c r="BW171" s="61"/>
      <c r="BX171" s="61"/>
      <c r="BY171" s="61"/>
      <c r="BZ171" s="61"/>
      <c r="CA171" s="61"/>
      <c r="CB171" s="61"/>
      <c r="CC171" s="61"/>
      <c r="CD171" s="61"/>
      <c r="CE171" s="61"/>
      <c r="CF171" s="61"/>
      <c r="CG171" s="61"/>
      <c r="CH171" s="61"/>
      <c r="CI171" s="61"/>
      <c r="CJ171" s="61"/>
      <c r="CK171" s="61"/>
    </row>
    <row r="172" spans="3:89" ht="18.75">
      <c r="C172" s="205"/>
      <c r="D172" s="209">
        <v>247</v>
      </c>
      <c r="E172" s="207"/>
      <c r="F172" s="202"/>
      <c r="G172" s="202"/>
      <c r="H172" s="202"/>
      <c r="I172" s="202"/>
      <c r="J172" s="202"/>
      <c r="K172" s="202"/>
      <c r="L172" s="202"/>
      <c r="M172" s="202"/>
      <c r="N172" s="202"/>
      <c r="O172" s="202"/>
      <c r="P172" s="202"/>
      <c r="Q172" s="202"/>
      <c r="R172" s="202"/>
      <c r="S172" s="202"/>
      <c r="T172" s="202"/>
      <c r="U172" s="206"/>
      <c r="V172" s="206"/>
      <c r="W172" s="206"/>
      <c r="X172" s="202"/>
      <c r="Y172" s="202"/>
      <c r="Z172" s="1311"/>
      <c r="AA172" s="1312"/>
      <c r="AB172" s="1314"/>
      <c r="AC172" s="1312"/>
      <c r="AD172" s="1312"/>
      <c r="AE172" s="1312"/>
      <c r="AF172" s="1312"/>
      <c r="AG172" s="1312"/>
      <c r="AH172" s="1312"/>
      <c r="AI172" s="1312"/>
      <c r="AJ172" s="1312"/>
      <c r="AK172" s="1312"/>
      <c r="AL172" s="1312"/>
      <c r="AM172" s="1312"/>
      <c r="AN172" s="1312"/>
      <c r="AO172" s="1312"/>
      <c r="AP172" s="1312"/>
      <c r="AQ172" s="1312"/>
      <c r="AR172" s="1312"/>
      <c r="AS172" s="1312"/>
      <c r="AT172" s="1312"/>
      <c r="AU172" s="1313"/>
      <c r="AV172" s="1313"/>
      <c r="AW172" s="1313"/>
      <c r="AX172" s="1313"/>
      <c r="AY172" s="1313"/>
      <c r="AZ172" s="1313"/>
      <c r="BA172" s="1313"/>
      <c r="BB172" s="61"/>
      <c r="BC172" s="61"/>
      <c r="BD172" s="61"/>
      <c r="BE172" s="61"/>
      <c r="BF172" s="61"/>
      <c r="BG172" s="61"/>
      <c r="BH172" s="61"/>
      <c r="BI172" s="61"/>
      <c r="BJ172" s="61"/>
      <c r="BK172" s="61"/>
      <c r="BL172" s="61"/>
      <c r="BM172" s="61"/>
      <c r="BN172" s="61"/>
      <c r="BO172" s="61"/>
      <c r="BP172" s="61"/>
      <c r="BQ172" s="61"/>
      <c r="BR172" s="61"/>
      <c r="BS172" s="61"/>
      <c r="BT172" s="61"/>
      <c r="BU172" s="61"/>
      <c r="BV172" s="61"/>
      <c r="BW172" s="61"/>
      <c r="BX172" s="61"/>
      <c r="BY172" s="61"/>
      <c r="BZ172" s="61"/>
      <c r="CA172" s="61"/>
      <c r="CB172" s="61"/>
      <c r="CC172" s="61"/>
      <c r="CD172" s="61"/>
      <c r="CE172" s="61"/>
      <c r="CF172" s="61"/>
      <c r="CG172" s="61"/>
      <c r="CH172" s="61"/>
      <c r="CI172" s="61"/>
      <c r="CJ172" s="61"/>
      <c r="CK172" s="61"/>
    </row>
    <row r="173" spans="3:89" ht="18.75">
      <c r="C173" s="205"/>
      <c r="D173" s="209">
        <v>257</v>
      </c>
      <c r="E173" s="207"/>
      <c r="F173" s="202"/>
      <c r="G173" s="202"/>
      <c r="H173" s="202"/>
      <c r="I173" s="202"/>
      <c r="J173" s="202"/>
      <c r="K173" s="202"/>
      <c r="L173" s="202"/>
      <c r="M173" s="202"/>
      <c r="N173" s="202"/>
      <c r="O173" s="202"/>
      <c r="P173" s="202"/>
      <c r="Q173" s="202"/>
      <c r="R173" s="202"/>
      <c r="S173" s="202"/>
      <c r="T173" s="202"/>
      <c r="U173" s="206"/>
      <c r="V173" s="206"/>
      <c r="W173" s="206"/>
      <c r="X173" s="202"/>
      <c r="Y173" s="202"/>
      <c r="Z173" s="1311"/>
      <c r="AA173" s="1312"/>
      <c r="AB173" s="1314"/>
      <c r="AC173" s="1312"/>
      <c r="AD173" s="1312"/>
      <c r="AE173" s="1312"/>
      <c r="AF173" s="1312"/>
      <c r="AG173" s="1312"/>
      <c r="AH173" s="1312"/>
      <c r="AI173" s="1312"/>
      <c r="AJ173" s="1312"/>
      <c r="AK173" s="1312"/>
      <c r="AL173" s="1312"/>
      <c r="AM173" s="1312"/>
      <c r="AN173" s="1312"/>
      <c r="AO173" s="1312"/>
      <c r="AP173" s="1312"/>
      <c r="AQ173" s="1312"/>
      <c r="AR173" s="1312"/>
      <c r="AS173" s="1312"/>
      <c r="AT173" s="1312"/>
      <c r="AU173" s="1313"/>
      <c r="AV173" s="1313"/>
      <c r="AW173" s="1313"/>
      <c r="AX173" s="1313"/>
      <c r="AY173" s="1313"/>
      <c r="AZ173" s="1313"/>
      <c r="BA173" s="1313"/>
      <c r="BB173" s="61"/>
      <c r="BC173" s="61"/>
      <c r="BD173" s="61"/>
      <c r="BE173" s="61"/>
      <c r="BF173" s="61"/>
      <c r="BG173" s="61"/>
      <c r="BH173" s="61"/>
      <c r="BI173" s="61"/>
      <c r="BJ173" s="61"/>
      <c r="BK173" s="61"/>
      <c r="BL173" s="61"/>
      <c r="BM173" s="61"/>
      <c r="BN173" s="61"/>
      <c r="BO173" s="61"/>
      <c r="BP173" s="61"/>
      <c r="BQ173" s="61"/>
      <c r="BR173" s="61"/>
      <c r="BS173" s="61"/>
      <c r="BT173" s="61"/>
      <c r="BU173" s="61"/>
      <c r="BV173" s="61"/>
      <c r="BW173" s="61"/>
      <c r="BX173" s="61"/>
      <c r="BY173" s="61"/>
      <c r="BZ173" s="61"/>
      <c r="CA173" s="61"/>
      <c r="CB173" s="61"/>
      <c r="CC173" s="61"/>
      <c r="CD173" s="61"/>
      <c r="CE173" s="61"/>
      <c r="CF173" s="61"/>
      <c r="CG173" s="61"/>
      <c r="CH173" s="61"/>
      <c r="CI173" s="61"/>
      <c r="CJ173" s="61"/>
      <c r="CK173" s="61"/>
    </row>
    <row r="174" spans="3:89" ht="18.75">
      <c r="C174" s="205"/>
      <c r="D174" s="209">
        <v>269</v>
      </c>
      <c r="E174" s="207"/>
      <c r="F174" s="202"/>
      <c r="G174" s="202"/>
      <c r="H174" s="202"/>
      <c r="I174" s="202"/>
      <c r="J174" s="202"/>
      <c r="K174" s="202"/>
      <c r="L174" s="202"/>
      <c r="M174" s="202"/>
      <c r="N174" s="202"/>
      <c r="O174" s="202"/>
      <c r="P174" s="202"/>
      <c r="Q174" s="202"/>
      <c r="R174" s="202"/>
      <c r="S174" s="202"/>
      <c r="T174" s="202"/>
      <c r="U174" s="206"/>
      <c r="V174" s="206"/>
      <c r="W174" s="202"/>
      <c r="X174" s="202"/>
      <c r="Y174" s="202"/>
      <c r="Z174" s="1311"/>
      <c r="AA174" s="1312"/>
      <c r="AB174" s="1314"/>
      <c r="AC174" s="1312"/>
      <c r="AD174" s="1312"/>
      <c r="AE174" s="1312"/>
      <c r="AF174" s="1312"/>
      <c r="AG174" s="1312"/>
      <c r="AH174" s="1312"/>
      <c r="AI174" s="1312"/>
      <c r="AJ174" s="1312"/>
      <c r="AK174" s="1312"/>
      <c r="AL174" s="1312"/>
      <c r="AM174" s="1312"/>
      <c r="AN174" s="1312"/>
      <c r="AO174" s="1312"/>
      <c r="AP174" s="1312"/>
      <c r="AQ174" s="1312"/>
      <c r="AR174" s="1312"/>
      <c r="AS174" s="1312"/>
      <c r="AT174" s="1312"/>
      <c r="AU174" s="1313"/>
      <c r="AV174" s="1313"/>
      <c r="AW174" s="1313"/>
      <c r="AX174" s="1313"/>
      <c r="AY174" s="1313"/>
      <c r="AZ174" s="1313"/>
      <c r="BA174" s="1313"/>
      <c r="BB174" s="61"/>
      <c r="BC174" s="61"/>
      <c r="BD174" s="61"/>
      <c r="BE174" s="61"/>
      <c r="BF174" s="61"/>
      <c r="BG174" s="61"/>
      <c r="BH174" s="61"/>
      <c r="BI174" s="61"/>
      <c r="BJ174" s="61"/>
      <c r="BK174" s="61"/>
      <c r="BL174" s="61"/>
      <c r="BM174" s="61"/>
      <c r="BN174" s="61"/>
      <c r="BO174" s="61"/>
      <c r="BP174" s="61"/>
      <c r="BQ174" s="61"/>
      <c r="BR174" s="61"/>
      <c r="BS174" s="61"/>
      <c r="BT174" s="61"/>
      <c r="BU174" s="61"/>
      <c r="BV174" s="61"/>
      <c r="BW174" s="61"/>
      <c r="BX174" s="61"/>
      <c r="BY174" s="61"/>
      <c r="BZ174" s="61"/>
      <c r="CA174" s="61"/>
      <c r="CB174" s="61"/>
      <c r="CC174" s="61"/>
      <c r="CD174" s="61"/>
      <c r="CE174" s="61"/>
      <c r="CF174" s="61"/>
      <c r="CG174" s="61"/>
      <c r="CH174" s="61"/>
      <c r="CI174" s="61"/>
      <c r="CJ174" s="61"/>
      <c r="CK174" s="61"/>
    </row>
    <row r="175" spans="3:89" ht="18.75">
      <c r="C175" s="205"/>
      <c r="D175" s="209">
        <v>327</v>
      </c>
      <c r="E175" s="207"/>
      <c r="F175" s="202"/>
      <c r="G175" s="202"/>
      <c r="H175" s="202"/>
      <c r="I175" s="202"/>
      <c r="J175" s="202"/>
      <c r="K175" s="202"/>
      <c r="L175" s="202"/>
      <c r="M175" s="202"/>
      <c r="N175" s="202"/>
      <c r="O175" s="202"/>
      <c r="P175" s="202"/>
      <c r="Q175" s="202"/>
      <c r="R175" s="202"/>
      <c r="S175" s="202"/>
      <c r="T175" s="202"/>
      <c r="U175" s="206"/>
      <c r="V175" s="206"/>
      <c r="W175" s="202"/>
      <c r="X175" s="202"/>
      <c r="Y175" s="202"/>
      <c r="Z175" s="1311"/>
      <c r="AA175" s="1312"/>
      <c r="AB175" s="1314"/>
      <c r="AC175" s="1312"/>
      <c r="AD175" s="1312"/>
      <c r="AE175" s="1312"/>
      <c r="AF175" s="1312"/>
      <c r="AG175" s="1312"/>
      <c r="AH175" s="1312"/>
      <c r="AI175" s="1312"/>
      <c r="AJ175" s="1312"/>
      <c r="AK175" s="1312"/>
      <c r="AL175" s="1312"/>
      <c r="AM175" s="1312"/>
      <c r="AN175" s="1312"/>
      <c r="AO175" s="1312"/>
      <c r="AP175" s="1312"/>
      <c r="AQ175" s="1312"/>
      <c r="AR175" s="1312"/>
      <c r="AS175" s="1312"/>
      <c r="AT175" s="1312"/>
      <c r="AU175" s="1313"/>
      <c r="AV175" s="1313"/>
      <c r="AW175" s="1313"/>
      <c r="AX175" s="1313"/>
      <c r="AY175" s="1313"/>
      <c r="AZ175" s="1313"/>
      <c r="BA175" s="1313"/>
      <c r="BB175" s="61"/>
      <c r="BC175" s="61"/>
      <c r="BD175" s="61"/>
      <c r="BE175" s="61"/>
      <c r="BF175" s="61"/>
      <c r="BG175" s="61"/>
      <c r="BH175" s="61"/>
      <c r="BI175" s="61"/>
      <c r="BJ175" s="61"/>
      <c r="BK175" s="61"/>
      <c r="BL175" s="61"/>
      <c r="BM175" s="61"/>
      <c r="BN175" s="61"/>
      <c r="BO175" s="61"/>
      <c r="BP175" s="61"/>
      <c r="BQ175" s="61"/>
      <c r="BR175" s="61"/>
      <c r="BS175" s="61"/>
      <c r="BT175" s="61"/>
      <c r="BU175" s="61"/>
      <c r="BV175" s="61"/>
      <c r="BW175" s="61"/>
      <c r="BX175" s="61"/>
      <c r="BY175" s="61"/>
      <c r="BZ175" s="61"/>
      <c r="CA175" s="61"/>
      <c r="CB175" s="61"/>
      <c r="CC175" s="61"/>
      <c r="CD175" s="61"/>
      <c r="CE175" s="61"/>
      <c r="CF175" s="61"/>
      <c r="CG175" s="61"/>
      <c r="CH175" s="61"/>
      <c r="CI175" s="61"/>
      <c r="CJ175" s="61"/>
      <c r="CK175" s="61"/>
    </row>
    <row r="176" spans="3:89" ht="18.75">
      <c r="C176" s="205"/>
      <c r="D176" s="209">
        <v>334</v>
      </c>
      <c r="E176" s="207"/>
      <c r="F176" s="202"/>
      <c r="G176" s="202"/>
      <c r="H176" s="202"/>
      <c r="I176" s="202"/>
      <c r="J176" s="202"/>
      <c r="K176" s="202"/>
      <c r="L176" s="202"/>
      <c r="M176" s="202"/>
      <c r="N176" s="202"/>
      <c r="O176" s="202"/>
      <c r="P176" s="202"/>
      <c r="Q176" s="202"/>
      <c r="R176" s="202"/>
      <c r="S176" s="202"/>
      <c r="T176" s="202"/>
      <c r="U176" s="206"/>
      <c r="V176" s="206"/>
      <c r="W176" s="202"/>
      <c r="X176" s="202"/>
      <c r="Y176" s="202"/>
      <c r="Z176" s="1311"/>
      <c r="AA176" s="1312"/>
      <c r="AB176" s="1314"/>
      <c r="AC176" s="1312"/>
      <c r="AD176" s="1312"/>
      <c r="AE176" s="1312"/>
      <c r="AF176" s="1312"/>
      <c r="AG176" s="1312"/>
      <c r="AH176" s="1312"/>
      <c r="AI176" s="1312"/>
      <c r="AJ176" s="1312"/>
      <c r="AK176" s="1312"/>
      <c r="AL176" s="1312"/>
      <c r="AM176" s="1312"/>
      <c r="AN176" s="1312"/>
      <c r="AO176" s="1312"/>
      <c r="AP176" s="1312"/>
      <c r="AQ176" s="1312"/>
      <c r="AR176" s="1312"/>
      <c r="AS176" s="1312"/>
      <c r="AT176" s="1312"/>
      <c r="AU176" s="1313"/>
      <c r="AV176" s="1313"/>
      <c r="AW176" s="1313"/>
      <c r="AX176" s="1313"/>
      <c r="AY176" s="1313"/>
      <c r="AZ176" s="1313"/>
      <c r="BA176" s="1313"/>
      <c r="BB176" s="61"/>
      <c r="BC176" s="61"/>
      <c r="BD176" s="61"/>
      <c r="BE176" s="61"/>
      <c r="BF176" s="61"/>
      <c r="BG176" s="61"/>
      <c r="BH176" s="61"/>
      <c r="BI176" s="61"/>
      <c r="BJ176" s="61"/>
      <c r="BK176" s="61"/>
      <c r="BL176" s="61"/>
      <c r="BM176" s="61"/>
      <c r="BN176" s="61"/>
      <c r="BO176" s="61"/>
      <c r="BP176" s="61"/>
      <c r="BQ176" s="61"/>
      <c r="BR176" s="61"/>
      <c r="BS176" s="61"/>
      <c r="BT176" s="61"/>
      <c r="BU176" s="61"/>
      <c r="BV176" s="61"/>
      <c r="BW176" s="61"/>
      <c r="BX176" s="61"/>
      <c r="BY176" s="61"/>
      <c r="BZ176" s="61"/>
      <c r="CA176" s="61"/>
      <c r="CB176" s="61"/>
      <c r="CC176" s="61"/>
      <c r="CD176" s="61"/>
      <c r="CE176" s="61"/>
      <c r="CF176" s="61"/>
      <c r="CG176" s="61"/>
      <c r="CH176" s="61"/>
      <c r="CI176" s="61"/>
      <c r="CJ176" s="61"/>
      <c r="CK176" s="61"/>
    </row>
    <row r="177" spans="3:89" ht="18.75">
      <c r="C177" s="205"/>
      <c r="D177" s="209">
        <v>335</v>
      </c>
      <c r="E177" s="207"/>
      <c r="F177" s="202"/>
      <c r="G177" s="202"/>
      <c r="H177" s="202"/>
      <c r="I177" s="202"/>
      <c r="J177" s="202"/>
      <c r="K177" s="202"/>
      <c r="L177" s="202"/>
      <c r="M177" s="202"/>
      <c r="N177" s="202"/>
      <c r="O177" s="202"/>
      <c r="P177" s="202"/>
      <c r="Q177" s="202"/>
      <c r="R177" s="202"/>
      <c r="S177" s="202"/>
      <c r="T177" s="202"/>
      <c r="U177" s="206"/>
      <c r="V177" s="206"/>
      <c r="W177" s="202"/>
      <c r="X177" s="202"/>
      <c r="Y177" s="202"/>
      <c r="Z177" s="1312"/>
      <c r="AA177" s="1312"/>
      <c r="AB177" s="1314"/>
      <c r="AC177" s="1312"/>
      <c r="AD177" s="1312"/>
      <c r="AE177" s="1312"/>
      <c r="AF177" s="1312"/>
      <c r="AG177" s="1312"/>
      <c r="AH177" s="1312"/>
      <c r="AI177" s="1312"/>
      <c r="AJ177" s="1312"/>
      <c r="AK177" s="1312"/>
      <c r="AL177" s="1312"/>
      <c r="AM177" s="1312"/>
      <c r="AN177" s="1312"/>
      <c r="AO177" s="1312"/>
      <c r="AP177" s="1312"/>
      <c r="AQ177" s="1312"/>
      <c r="AR177" s="1312"/>
      <c r="AS177" s="1312"/>
      <c r="AT177" s="1312"/>
      <c r="AU177" s="1313"/>
      <c r="AV177" s="1313"/>
      <c r="AW177" s="1313"/>
      <c r="AX177" s="1313"/>
      <c r="AY177" s="1313"/>
      <c r="AZ177" s="1313"/>
      <c r="BA177" s="1313"/>
      <c r="BB177" s="61"/>
      <c r="BC177" s="61"/>
      <c r="BD177" s="61"/>
      <c r="BE177" s="61"/>
      <c r="BF177" s="61"/>
      <c r="BG177" s="61"/>
      <c r="BH177" s="61"/>
      <c r="BI177" s="61"/>
      <c r="BJ177" s="61"/>
      <c r="BK177" s="61"/>
      <c r="BL177" s="61"/>
      <c r="BM177" s="61"/>
      <c r="BN177" s="61"/>
      <c r="BO177" s="61"/>
      <c r="BP177" s="61"/>
      <c r="BQ177" s="61"/>
      <c r="BR177" s="61"/>
      <c r="BS177" s="61"/>
      <c r="BT177" s="61"/>
      <c r="BU177" s="61"/>
      <c r="BV177" s="61"/>
      <c r="BW177" s="61"/>
      <c r="BX177" s="61"/>
      <c r="BY177" s="61"/>
      <c r="BZ177" s="61"/>
      <c r="CA177" s="61"/>
      <c r="CB177" s="61"/>
      <c r="CC177" s="61"/>
      <c r="CD177" s="61"/>
      <c r="CE177" s="61"/>
      <c r="CF177" s="61"/>
      <c r="CG177" s="61"/>
      <c r="CH177" s="61"/>
      <c r="CI177" s="61"/>
      <c r="CJ177" s="61"/>
      <c r="CK177" s="61"/>
    </row>
    <row r="178" spans="3:89" ht="18.75">
      <c r="C178" s="205"/>
      <c r="D178" s="209">
        <v>347</v>
      </c>
      <c r="E178" s="207"/>
      <c r="F178" s="202"/>
      <c r="G178" s="202"/>
      <c r="H178" s="202"/>
      <c r="I178" s="202"/>
      <c r="J178" s="202"/>
      <c r="K178" s="202"/>
      <c r="L178" s="202"/>
      <c r="M178" s="202"/>
      <c r="N178" s="202"/>
      <c r="O178" s="202"/>
      <c r="P178" s="202"/>
      <c r="Q178" s="202"/>
      <c r="R178" s="202"/>
      <c r="S178" s="202"/>
      <c r="T178" s="202"/>
      <c r="U178" s="206"/>
      <c r="V178" s="206"/>
      <c r="W178" s="202"/>
      <c r="X178" s="202"/>
      <c r="Y178" s="202"/>
      <c r="Z178" s="1312"/>
      <c r="AA178" s="1312"/>
      <c r="AB178" s="1315"/>
      <c r="AC178" s="1312"/>
      <c r="AD178" s="1312"/>
      <c r="AE178" s="1312"/>
      <c r="AF178" s="1312"/>
      <c r="AG178" s="1312"/>
      <c r="AH178" s="1312"/>
      <c r="AI178" s="1312"/>
      <c r="AJ178" s="1312"/>
      <c r="AK178" s="1312"/>
      <c r="AL178" s="1312"/>
      <c r="AM178" s="1312"/>
      <c r="AN178" s="1312"/>
      <c r="AO178" s="1312"/>
      <c r="AP178" s="1312"/>
      <c r="AQ178" s="1312"/>
      <c r="AR178" s="1312"/>
      <c r="AS178" s="1312"/>
      <c r="AT178" s="1312"/>
      <c r="AU178" s="1313"/>
      <c r="AV178" s="1313"/>
      <c r="AW178" s="1313"/>
      <c r="AX178" s="1313"/>
      <c r="AY178" s="1313"/>
      <c r="AZ178" s="1313"/>
      <c r="BA178" s="1313"/>
      <c r="BB178" s="61"/>
      <c r="BC178" s="61"/>
      <c r="BD178" s="61"/>
      <c r="BE178" s="61"/>
      <c r="BF178" s="61"/>
      <c r="BG178" s="61"/>
      <c r="BH178" s="61"/>
      <c r="BI178" s="61"/>
      <c r="BJ178" s="61"/>
      <c r="BK178" s="61"/>
      <c r="BL178" s="61"/>
      <c r="BM178" s="61"/>
      <c r="BN178" s="61"/>
      <c r="BO178" s="61"/>
      <c r="BP178" s="61"/>
      <c r="BQ178" s="61"/>
      <c r="BR178" s="61"/>
      <c r="BS178" s="61"/>
      <c r="BT178" s="61"/>
      <c r="BU178" s="61"/>
      <c r="BV178" s="61"/>
      <c r="BW178" s="61"/>
      <c r="BX178" s="61"/>
      <c r="BY178" s="61"/>
      <c r="BZ178" s="61"/>
      <c r="CA178" s="61"/>
      <c r="CB178" s="61"/>
      <c r="CC178" s="61"/>
      <c r="CD178" s="61"/>
      <c r="CE178" s="61"/>
      <c r="CF178" s="61"/>
      <c r="CG178" s="61"/>
      <c r="CH178" s="61"/>
      <c r="CI178" s="61"/>
      <c r="CJ178" s="61"/>
      <c r="CK178" s="61"/>
    </row>
    <row r="179" spans="3:89" ht="18.75">
      <c r="C179" s="205"/>
      <c r="D179" s="209">
        <v>348</v>
      </c>
      <c r="E179" s="207"/>
      <c r="F179" s="202"/>
      <c r="G179" s="202"/>
      <c r="H179" s="202"/>
      <c r="I179" s="202"/>
      <c r="J179" s="202"/>
      <c r="K179" s="202"/>
      <c r="L179" s="202"/>
      <c r="M179" s="202"/>
      <c r="N179" s="202"/>
      <c r="O179" s="202"/>
      <c r="P179" s="202"/>
      <c r="Q179" s="202"/>
      <c r="R179" s="202"/>
      <c r="S179" s="202"/>
      <c r="T179" s="202"/>
      <c r="U179" s="206"/>
      <c r="V179" s="206"/>
      <c r="W179" s="202"/>
      <c r="X179" s="202"/>
      <c r="Y179" s="202"/>
      <c r="Z179" s="1312"/>
      <c r="AA179" s="1312"/>
      <c r="AB179" s="1314"/>
      <c r="AC179" s="1312"/>
      <c r="AD179" s="1312"/>
      <c r="AE179" s="1312"/>
      <c r="AF179" s="1312"/>
      <c r="AG179" s="1312"/>
      <c r="AH179" s="1312"/>
      <c r="AI179" s="1312"/>
      <c r="AJ179" s="1312"/>
      <c r="AK179" s="1312"/>
      <c r="AL179" s="1312"/>
      <c r="AM179" s="1312"/>
      <c r="AN179" s="1312"/>
      <c r="AO179" s="1312"/>
      <c r="AP179" s="1312"/>
      <c r="AQ179" s="1312"/>
      <c r="AR179" s="1312"/>
      <c r="AS179" s="1312"/>
      <c r="AT179" s="1312"/>
      <c r="AU179" s="1313"/>
      <c r="AV179" s="1313"/>
      <c r="AW179" s="1313"/>
      <c r="AX179" s="1313"/>
      <c r="AY179" s="1313"/>
      <c r="AZ179" s="1313"/>
      <c r="BA179" s="1313"/>
      <c r="BB179" s="61"/>
      <c r="BC179" s="61"/>
      <c r="BD179" s="61"/>
      <c r="BE179" s="61"/>
      <c r="BF179" s="61"/>
      <c r="BG179" s="61"/>
      <c r="BH179" s="61"/>
      <c r="BI179" s="61"/>
      <c r="BJ179" s="61"/>
      <c r="BK179" s="61"/>
      <c r="BL179" s="61"/>
      <c r="BM179" s="61"/>
      <c r="BN179" s="61"/>
      <c r="BO179" s="61"/>
      <c r="BP179" s="61"/>
      <c r="BQ179" s="61"/>
      <c r="BR179" s="61"/>
      <c r="BS179" s="61"/>
      <c r="BT179" s="61"/>
      <c r="BU179" s="61"/>
      <c r="BV179" s="61"/>
      <c r="BW179" s="61"/>
      <c r="BX179" s="61"/>
      <c r="BY179" s="61"/>
      <c r="BZ179" s="61"/>
      <c r="CA179" s="61"/>
      <c r="CB179" s="61"/>
      <c r="CC179" s="61"/>
      <c r="CD179" s="61"/>
      <c r="CE179" s="61"/>
      <c r="CF179" s="61"/>
      <c r="CG179" s="61"/>
      <c r="CH179" s="61"/>
      <c r="CI179" s="61"/>
      <c r="CJ179" s="61"/>
      <c r="CK179" s="61"/>
    </row>
    <row r="180" spans="3:89" ht="18.75">
      <c r="C180" s="205"/>
      <c r="D180" s="209">
        <v>359</v>
      </c>
      <c r="E180" s="207"/>
      <c r="F180" s="202"/>
      <c r="G180" s="202"/>
      <c r="H180" s="202"/>
      <c r="I180" s="202"/>
      <c r="J180" s="202"/>
      <c r="K180" s="202"/>
      <c r="L180" s="202"/>
      <c r="M180" s="202"/>
      <c r="N180" s="202"/>
      <c r="O180" s="202"/>
      <c r="P180" s="202"/>
      <c r="Q180" s="202"/>
      <c r="R180" s="202"/>
      <c r="S180" s="202"/>
      <c r="T180" s="202"/>
      <c r="U180" s="206"/>
      <c r="V180" s="206"/>
      <c r="W180" s="202"/>
      <c r="X180" s="202"/>
      <c r="Y180" s="202"/>
      <c r="Z180" s="1312"/>
      <c r="AA180" s="1312"/>
      <c r="AB180" s="1315"/>
      <c r="AC180" s="1312"/>
      <c r="AD180" s="1312"/>
      <c r="AE180" s="1312"/>
      <c r="AF180" s="1312"/>
      <c r="AG180" s="1312"/>
      <c r="AH180" s="1312"/>
      <c r="AI180" s="1312"/>
      <c r="AJ180" s="1312"/>
      <c r="AK180" s="1312"/>
      <c r="AL180" s="1312"/>
      <c r="AM180" s="1312"/>
      <c r="AN180" s="1312"/>
      <c r="AO180" s="1312"/>
      <c r="AP180" s="1312"/>
      <c r="AQ180" s="1312"/>
      <c r="AR180" s="1312"/>
      <c r="AS180" s="1312"/>
      <c r="AT180" s="1312"/>
      <c r="AU180" s="1313"/>
      <c r="AV180" s="1313"/>
      <c r="AW180" s="1313"/>
      <c r="AX180" s="1313"/>
      <c r="AY180" s="1313"/>
      <c r="AZ180" s="1313"/>
      <c r="BA180" s="1313"/>
      <c r="BB180" s="61"/>
      <c r="BC180" s="61"/>
      <c r="BD180" s="61"/>
      <c r="BE180" s="61"/>
      <c r="BF180" s="61"/>
      <c r="BG180" s="61"/>
      <c r="BH180" s="61"/>
      <c r="BI180" s="61"/>
      <c r="BJ180" s="61"/>
      <c r="BK180" s="61"/>
      <c r="BL180" s="61"/>
      <c r="BM180" s="61"/>
      <c r="BN180" s="61"/>
      <c r="BO180" s="61"/>
      <c r="BP180" s="61"/>
      <c r="BQ180" s="61"/>
      <c r="BR180" s="61"/>
      <c r="BS180" s="61"/>
      <c r="BT180" s="61"/>
      <c r="BU180" s="61"/>
      <c r="BV180" s="61"/>
      <c r="BW180" s="61"/>
      <c r="BX180" s="61"/>
      <c r="BY180" s="61"/>
      <c r="BZ180" s="61"/>
      <c r="CA180" s="61"/>
      <c r="CB180" s="61"/>
      <c r="CC180" s="61"/>
      <c r="CD180" s="61"/>
      <c r="CE180" s="61"/>
      <c r="CF180" s="61"/>
      <c r="CG180" s="61"/>
      <c r="CH180" s="61"/>
      <c r="CI180" s="61"/>
      <c r="CJ180" s="61"/>
      <c r="CK180" s="61"/>
    </row>
    <row r="181" spans="3:89" ht="18.75">
      <c r="C181" s="205"/>
      <c r="D181" s="209">
        <v>360</v>
      </c>
      <c r="E181" s="207"/>
      <c r="F181" s="202"/>
      <c r="G181" s="202"/>
      <c r="H181" s="202"/>
      <c r="I181" s="202"/>
      <c r="J181" s="202"/>
      <c r="K181" s="202"/>
      <c r="L181" s="202"/>
      <c r="M181" s="202"/>
      <c r="N181" s="202"/>
      <c r="O181" s="202"/>
      <c r="P181" s="202"/>
      <c r="Q181" s="202"/>
      <c r="R181" s="202"/>
      <c r="S181" s="202"/>
      <c r="T181" s="202"/>
      <c r="U181" s="206"/>
      <c r="V181" s="206"/>
      <c r="W181" s="202"/>
      <c r="X181" s="202"/>
      <c r="Y181" s="202"/>
      <c r="Z181" s="1312"/>
      <c r="AA181" s="1312"/>
      <c r="AB181" s="1314"/>
      <c r="AC181" s="1312"/>
      <c r="AD181" s="1312"/>
      <c r="AE181" s="1312"/>
      <c r="AF181" s="1312"/>
      <c r="AG181" s="1312"/>
      <c r="AH181" s="1312"/>
      <c r="AI181" s="1312"/>
      <c r="AJ181" s="1312"/>
      <c r="AK181" s="1312"/>
      <c r="AL181" s="1312"/>
      <c r="AM181" s="1312"/>
      <c r="AN181" s="1312"/>
      <c r="AO181" s="1312"/>
      <c r="AP181" s="1312"/>
      <c r="AQ181" s="1312"/>
      <c r="AR181" s="1312"/>
      <c r="AS181" s="1312"/>
      <c r="AT181" s="1312"/>
      <c r="AU181" s="1313"/>
      <c r="AV181" s="1313"/>
      <c r="AW181" s="1313"/>
      <c r="AX181" s="1313"/>
      <c r="AY181" s="1313"/>
      <c r="AZ181" s="1313"/>
      <c r="BA181" s="1313"/>
      <c r="BB181" s="61"/>
      <c r="BC181" s="61"/>
      <c r="BD181" s="61"/>
      <c r="BE181" s="61"/>
      <c r="BF181" s="61"/>
      <c r="BG181" s="61"/>
      <c r="BH181" s="61"/>
      <c r="BI181" s="61"/>
      <c r="BJ181" s="61"/>
      <c r="BK181" s="61"/>
      <c r="BL181" s="61"/>
      <c r="BM181" s="61"/>
      <c r="BN181" s="61"/>
      <c r="BO181" s="61"/>
      <c r="BP181" s="61"/>
      <c r="BQ181" s="61"/>
      <c r="BR181" s="61"/>
      <c r="BS181" s="61"/>
      <c r="BT181" s="61"/>
      <c r="BU181" s="61"/>
      <c r="BV181" s="61"/>
      <c r="BW181" s="61"/>
      <c r="BX181" s="61"/>
      <c r="BY181" s="61"/>
      <c r="BZ181" s="61"/>
      <c r="CA181" s="61"/>
      <c r="CB181" s="61"/>
      <c r="CC181" s="61"/>
      <c r="CD181" s="61"/>
      <c r="CE181" s="61"/>
      <c r="CF181" s="61"/>
      <c r="CG181" s="61"/>
      <c r="CH181" s="61"/>
      <c r="CI181" s="61"/>
      <c r="CJ181" s="61"/>
      <c r="CK181" s="61"/>
    </row>
    <row r="182" spans="3:89" ht="18.75">
      <c r="C182" s="205"/>
      <c r="D182" s="209">
        <v>375</v>
      </c>
      <c r="E182" s="204"/>
      <c r="F182" s="202"/>
      <c r="G182" s="202"/>
      <c r="H182" s="202"/>
      <c r="I182" s="202"/>
      <c r="J182" s="202"/>
      <c r="K182" s="202"/>
      <c r="L182" s="202"/>
      <c r="M182" s="202"/>
      <c r="N182" s="202"/>
      <c r="O182" s="202"/>
      <c r="P182" s="202"/>
      <c r="Q182" s="202"/>
      <c r="R182" s="202"/>
      <c r="S182" s="202"/>
      <c r="T182" s="202"/>
      <c r="U182" s="206"/>
      <c r="V182" s="206"/>
      <c r="W182" s="202"/>
      <c r="X182" s="202"/>
      <c r="Y182" s="202"/>
      <c r="Z182" s="1312"/>
      <c r="AA182" s="1312"/>
      <c r="AB182" s="1314"/>
      <c r="AC182" s="1312"/>
      <c r="AD182" s="1312"/>
      <c r="AE182" s="1312"/>
      <c r="AF182" s="1312"/>
      <c r="AG182" s="1312"/>
      <c r="AH182" s="1312"/>
      <c r="AI182" s="1312"/>
      <c r="AJ182" s="1312"/>
      <c r="AK182" s="1312"/>
      <c r="AL182" s="1312"/>
      <c r="AM182" s="1312"/>
      <c r="AN182" s="1312"/>
      <c r="AO182" s="1312"/>
      <c r="AP182" s="1312"/>
      <c r="AQ182" s="1312"/>
      <c r="AR182" s="1312"/>
      <c r="AS182" s="1312"/>
      <c r="AT182" s="1312"/>
      <c r="AU182" s="1313"/>
      <c r="AV182" s="1313"/>
      <c r="AW182" s="1313"/>
      <c r="AX182" s="1313"/>
      <c r="AY182" s="1313"/>
      <c r="AZ182" s="1313"/>
      <c r="BA182" s="1313"/>
      <c r="BB182" s="61"/>
      <c r="BC182" s="61"/>
      <c r="BD182" s="61"/>
      <c r="BE182" s="61"/>
      <c r="BF182" s="61"/>
      <c r="BG182" s="61"/>
      <c r="BH182" s="61"/>
      <c r="BI182" s="61"/>
      <c r="BJ182" s="61"/>
      <c r="BK182" s="61"/>
      <c r="BL182" s="61"/>
      <c r="BM182" s="61"/>
      <c r="BN182" s="61"/>
      <c r="BO182" s="61"/>
      <c r="BP182" s="61"/>
      <c r="BQ182" s="61"/>
      <c r="BR182" s="61"/>
      <c r="BS182" s="61"/>
      <c r="BT182" s="61"/>
      <c r="BU182" s="61"/>
      <c r="BV182" s="61"/>
      <c r="BW182" s="61"/>
      <c r="BX182" s="61"/>
      <c r="BY182" s="61"/>
      <c r="BZ182" s="61"/>
      <c r="CA182" s="61"/>
      <c r="CB182" s="61"/>
      <c r="CC182" s="61"/>
      <c r="CD182" s="61"/>
      <c r="CE182" s="61"/>
      <c r="CF182" s="61"/>
      <c r="CG182" s="61"/>
      <c r="CH182" s="61"/>
      <c r="CI182" s="61"/>
      <c r="CJ182" s="61"/>
      <c r="CK182" s="61"/>
    </row>
    <row r="183" spans="3:89" ht="18.75">
      <c r="C183" s="205"/>
      <c r="D183" s="209">
        <v>388</v>
      </c>
      <c r="E183" s="207"/>
      <c r="F183" s="202"/>
      <c r="G183" s="202"/>
      <c r="H183" s="202"/>
      <c r="I183" s="202"/>
      <c r="J183" s="202"/>
      <c r="K183" s="202"/>
      <c r="L183" s="202"/>
      <c r="M183" s="202"/>
      <c r="N183" s="202"/>
      <c r="O183" s="202"/>
      <c r="P183" s="202"/>
      <c r="Q183" s="202"/>
      <c r="R183" s="202"/>
      <c r="S183" s="202"/>
      <c r="T183" s="202"/>
      <c r="U183" s="206"/>
      <c r="V183" s="206"/>
      <c r="W183" s="202"/>
      <c r="X183" s="202"/>
      <c r="Y183" s="202"/>
      <c r="Z183" s="1312"/>
      <c r="AA183" s="1312"/>
      <c r="AB183" s="1314"/>
      <c r="AC183" s="1312"/>
      <c r="AD183" s="1312"/>
      <c r="AE183" s="1312"/>
      <c r="AF183" s="1312"/>
      <c r="AG183" s="1312"/>
      <c r="AH183" s="1312"/>
      <c r="AI183" s="1312"/>
      <c r="AJ183" s="1312"/>
      <c r="AK183" s="1312"/>
      <c r="AL183" s="1312"/>
      <c r="AM183" s="1312"/>
      <c r="AN183" s="1312"/>
      <c r="AO183" s="1312"/>
      <c r="AP183" s="1312"/>
      <c r="AQ183" s="1312"/>
      <c r="AR183" s="1312"/>
      <c r="AS183" s="1312"/>
      <c r="AT183" s="1312"/>
      <c r="AU183" s="1313"/>
      <c r="AV183" s="1313"/>
      <c r="AW183" s="1313"/>
      <c r="AX183" s="1313"/>
      <c r="AY183" s="1313"/>
      <c r="AZ183" s="1313"/>
      <c r="BA183" s="1313"/>
      <c r="BB183" s="61"/>
      <c r="BC183" s="61"/>
      <c r="BD183" s="61"/>
      <c r="BE183" s="61"/>
      <c r="BF183" s="61"/>
      <c r="BG183" s="61"/>
      <c r="BH183" s="61"/>
      <c r="BI183" s="61"/>
      <c r="BJ183" s="61"/>
      <c r="BK183" s="61"/>
      <c r="BL183" s="61"/>
      <c r="BM183" s="61"/>
      <c r="BN183" s="61"/>
      <c r="BO183" s="61"/>
      <c r="BP183" s="61"/>
      <c r="BQ183" s="61"/>
      <c r="BR183" s="61"/>
      <c r="BS183" s="61"/>
      <c r="BT183" s="61"/>
      <c r="BU183" s="61"/>
      <c r="BV183" s="61"/>
      <c r="BW183" s="61"/>
      <c r="BX183" s="61"/>
      <c r="BY183" s="61"/>
      <c r="BZ183" s="61"/>
      <c r="CA183" s="61"/>
      <c r="CB183" s="61"/>
      <c r="CC183" s="61"/>
      <c r="CD183" s="61"/>
      <c r="CE183" s="61"/>
      <c r="CF183" s="61"/>
      <c r="CG183" s="61"/>
      <c r="CH183" s="61"/>
      <c r="CI183" s="61"/>
      <c r="CJ183" s="61"/>
      <c r="CK183" s="61"/>
    </row>
    <row r="184" spans="3:89" ht="18.75">
      <c r="C184" s="205"/>
      <c r="D184" s="209">
        <v>397</v>
      </c>
      <c r="E184" s="207"/>
      <c r="F184" s="202"/>
      <c r="G184" s="202"/>
      <c r="H184" s="202"/>
      <c r="I184" s="202"/>
      <c r="J184" s="202"/>
      <c r="K184" s="202"/>
      <c r="L184" s="202"/>
      <c r="M184" s="202"/>
      <c r="N184" s="202"/>
      <c r="O184" s="202"/>
      <c r="P184" s="202"/>
      <c r="Q184" s="202"/>
      <c r="R184" s="202"/>
      <c r="S184" s="202"/>
      <c r="T184" s="202"/>
      <c r="U184" s="206"/>
      <c r="V184" s="206"/>
      <c r="W184" s="202"/>
      <c r="X184" s="202"/>
      <c r="Y184" s="202"/>
      <c r="Z184" s="1312"/>
      <c r="AA184" s="1312"/>
      <c r="AB184" s="1314"/>
      <c r="AC184" s="1312"/>
      <c r="AD184" s="1312"/>
      <c r="AE184" s="1312"/>
      <c r="AF184" s="1312"/>
      <c r="AG184" s="1312"/>
      <c r="AH184" s="1312"/>
      <c r="AI184" s="1312"/>
      <c r="AJ184" s="1312"/>
      <c r="AK184" s="1312"/>
      <c r="AL184" s="1312"/>
      <c r="AM184" s="1312"/>
      <c r="AN184" s="1312"/>
      <c r="AO184" s="1312"/>
      <c r="AP184" s="1312"/>
      <c r="AQ184" s="1312"/>
      <c r="AR184" s="1312"/>
      <c r="AS184" s="1312"/>
      <c r="AT184" s="1312"/>
      <c r="AU184" s="1313"/>
      <c r="AV184" s="1313"/>
      <c r="AW184" s="1313"/>
      <c r="AX184" s="1313"/>
      <c r="AY184" s="1313"/>
      <c r="AZ184" s="1313"/>
      <c r="BA184" s="1313"/>
      <c r="BB184" s="61"/>
      <c r="BC184" s="61"/>
      <c r="BD184" s="61"/>
      <c r="BE184" s="61"/>
      <c r="BF184" s="61"/>
      <c r="BG184" s="61"/>
      <c r="BH184" s="61"/>
      <c r="BI184" s="61"/>
      <c r="BJ184" s="61"/>
      <c r="BK184" s="61"/>
      <c r="BL184" s="61"/>
      <c r="BM184" s="61"/>
      <c r="BN184" s="61"/>
      <c r="BO184" s="61"/>
      <c r="BP184" s="61"/>
      <c r="BQ184" s="61"/>
      <c r="BR184" s="61"/>
      <c r="BS184" s="61"/>
      <c r="BT184" s="61"/>
      <c r="BU184" s="61"/>
      <c r="BV184" s="61"/>
      <c r="BW184" s="61"/>
      <c r="BX184" s="61"/>
      <c r="BY184" s="61"/>
      <c r="BZ184" s="61"/>
      <c r="CA184" s="61"/>
      <c r="CB184" s="61"/>
      <c r="CC184" s="61"/>
      <c r="CD184" s="61"/>
      <c r="CE184" s="61"/>
      <c r="CF184" s="61"/>
      <c r="CG184" s="61"/>
      <c r="CH184" s="61"/>
      <c r="CI184" s="61"/>
      <c r="CJ184" s="61"/>
      <c r="CK184" s="61"/>
    </row>
    <row r="185" spans="3:89" ht="18.75">
      <c r="C185" s="205"/>
      <c r="D185" s="209">
        <v>398</v>
      </c>
      <c r="E185" s="207"/>
      <c r="F185" s="202"/>
      <c r="G185" s="202"/>
      <c r="H185" s="202"/>
      <c r="I185" s="202"/>
      <c r="J185" s="202"/>
      <c r="K185" s="202"/>
      <c r="L185" s="202"/>
      <c r="M185" s="202"/>
      <c r="N185" s="202"/>
      <c r="O185" s="202"/>
      <c r="P185" s="202"/>
      <c r="Q185" s="202"/>
      <c r="R185" s="202"/>
      <c r="S185" s="202"/>
      <c r="T185" s="202"/>
      <c r="U185" s="206"/>
      <c r="V185" s="206"/>
      <c r="W185" s="202"/>
      <c r="X185" s="202"/>
      <c r="Y185" s="202"/>
      <c r="Z185" s="1312"/>
      <c r="AA185" s="1312"/>
      <c r="AB185" s="1314"/>
      <c r="AC185" s="1312"/>
      <c r="AD185" s="1312"/>
      <c r="AE185" s="1312"/>
      <c r="AF185" s="1312"/>
      <c r="AG185" s="1312"/>
      <c r="AH185" s="1312"/>
      <c r="AI185" s="1312"/>
      <c r="AJ185" s="1312"/>
      <c r="AK185" s="1312"/>
      <c r="AL185" s="1312"/>
      <c r="AM185" s="1312"/>
      <c r="AN185" s="1312"/>
      <c r="AO185" s="1312"/>
      <c r="AP185" s="1312"/>
      <c r="AQ185" s="1312"/>
      <c r="AR185" s="1312"/>
      <c r="AS185" s="1312"/>
      <c r="AT185" s="1312"/>
      <c r="AU185" s="1313"/>
      <c r="AV185" s="1313"/>
      <c r="AW185" s="1313"/>
      <c r="AX185" s="1313"/>
      <c r="AY185" s="1313"/>
      <c r="AZ185" s="1313"/>
      <c r="BA185" s="1313"/>
      <c r="BB185" s="61"/>
      <c r="BC185" s="61"/>
      <c r="BD185" s="61"/>
      <c r="BE185" s="61"/>
      <c r="BF185" s="61"/>
      <c r="BG185" s="61"/>
      <c r="BH185" s="61"/>
      <c r="BI185" s="61"/>
      <c r="BJ185" s="61"/>
      <c r="BK185" s="61"/>
      <c r="BL185" s="61"/>
      <c r="BM185" s="61"/>
      <c r="BN185" s="61"/>
      <c r="BO185" s="61"/>
      <c r="BP185" s="61"/>
      <c r="BQ185" s="61"/>
      <c r="BR185" s="61"/>
      <c r="BS185" s="61"/>
      <c r="BT185" s="61"/>
      <c r="BU185" s="61"/>
      <c r="BV185" s="61"/>
      <c r="BW185" s="61"/>
      <c r="BX185" s="61"/>
      <c r="BY185" s="61"/>
      <c r="BZ185" s="61"/>
      <c r="CA185" s="61"/>
      <c r="CB185" s="61"/>
      <c r="CC185" s="61"/>
      <c r="CD185" s="61"/>
      <c r="CE185" s="61"/>
      <c r="CF185" s="61"/>
      <c r="CG185" s="61"/>
      <c r="CH185" s="61"/>
      <c r="CI185" s="61"/>
      <c r="CJ185" s="61"/>
      <c r="CK185" s="61"/>
    </row>
    <row r="186" spans="3:89" ht="18.75">
      <c r="C186" s="205"/>
      <c r="D186" s="209">
        <v>411</v>
      </c>
      <c r="E186" s="207"/>
      <c r="F186" s="202"/>
      <c r="G186" s="202"/>
      <c r="H186" s="202"/>
      <c r="I186" s="202"/>
      <c r="J186" s="202"/>
      <c r="K186" s="202"/>
      <c r="L186" s="202"/>
      <c r="M186" s="202"/>
      <c r="N186" s="202"/>
      <c r="O186" s="202"/>
      <c r="P186" s="202"/>
      <c r="Q186" s="202"/>
      <c r="R186" s="202"/>
      <c r="S186" s="202"/>
      <c r="T186" s="202"/>
      <c r="U186" s="206"/>
      <c r="V186" s="206"/>
      <c r="W186" s="202"/>
      <c r="X186" s="202"/>
      <c r="Y186" s="202"/>
      <c r="Z186" s="1312"/>
      <c r="AA186" s="1312"/>
      <c r="AB186" s="1314"/>
      <c r="AC186" s="1312"/>
      <c r="AD186" s="1312"/>
      <c r="AE186" s="1312"/>
      <c r="AF186" s="1312"/>
      <c r="AG186" s="1312"/>
      <c r="AH186" s="1312"/>
      <c r="AI186" s="1312"/>
      <c r="AJ186" s="1312"/>
      <c r="AK186" s="1312"/>
      <c r="AL186" s="1312"/>
      <c r="AM186" s="1312"/>
      <c r="AN186" s="1312"/>
      <c r="AO186" s="1312"/>
      <c r="AP186" s="1312"/>
      <c r="AQ186" s="1312"/>
      <c r="AR186" s="1312"/>
      <c r="AS186" s="1312"/>
      <c r="AT186" s="1312"/>
      <c r="AU186" s="1313"/>
      <c r="AV186" s="1313"/>
      <c r="AW186" s="1313"/>
      <c r="AX186" s="1313"/>
      <c r="AY186" s="1313"/>
      <c r="AZ186" s="1313"/>
      <c r="BA186" s="1313"/>
      <c r="BB186" s="61"/>
      <c r="BC186" s="61"/>
      <c r="BD186" s="61"/>
      <c r="BE186" s="61"/>
      <c r="BF186" s="61"/>
      <c r="BG186" s="61"/>
      <c r="BH186" s="61"/>
      <c r="BI186" s="61"/>
      <c r="BJ186" s="61"/>
      <c r="BK186" s="61"/>
      <c r="BL186" s="61"/>
      <c r="BM186" s="61"/>
      <c r="BN186" s="61"/>
      <c r="BO186" s="61"/>
      <c r="BP186" s="61"/>
      <c r="BQ186" s="61"/>
      <c r="BR186" s="61"/>
      <c r="BS186" s="61"/>
      <c r="BT186" s="61"/>
      <c r="BU186" s="61"/>
      <c r="BV186" s="61"/>
      <c r="BW186" s="61"/>
      <c r="BX186" s="61"/>
      <c r="BY186" s="61"/>
      <c r="BZ186" s="61"/>
      <c r="CA186" s="61"/>
      <c r="CB186" s="61"/>
      <c r="CC186" s="61"/>
      <c r="CD186" s="61"/>
      <c r="CE186" s="61"/>
      <c r="CF186" s="61"/>
      <c r="CG186" s="61"/>
      <c r="CH186" s="61"/>
      <c r="CI186" s="61"/>
      <c r="CJ186" s="61"/>
      <c r="CK186" s="61"/>
    </row>
    <row r="187" spans="3:89" ht="18.75">
      <c r="C187" s="205"/>
      <c r="D187" s="209">
        <v>422</v>
      </c>
      <c r="E187" s="207"/>
      <c r="F187" s="202"/>
      <c r="G187" s="202"/>
      <c r="H187" s="202"/>
      <c r="I187" s="202"/>
      <c r="J187" s="202"/>
      <c r="K187" s="202"/>
      <c r="L187" s="202"/>
      <c r="M187" s="202"/>
      <c r="N187" s="202"/>
      <c r="O187" s="202"/>
      <c r="P187" s="202"/>
      <c r="Q187" s="202"/>
      <c r="R187" s="202"/>
      <c r="S187" s="202"/>
      <c r="T187" s="202"/>
      <c r="U187" s="206"/>
      <c r="V187" s="206"/>
      <c r="W187" s="202"/>
      <c r="X187" s="202"/>
      <c r="Y187" s="202"/>
      <c r="Z187" s="1312"/>
      <c r="AA187" s="1312"/>
      <c r="AB187" s="1314"/>
      <c r="AC187" s="1312"/>
      <c r="AD187" s="1312"/>
      <c r="AE187" s="1312"/>
      <c r="AF187" s="1312"/>
      <c r="AG187" s="1312"/>
      <c r="AH187" s="1312"/>
      <c r="AI187" s="1312"/>
      <c r="AJ187" s="1312"/>
      <c r="AK187" s="1312"/>
      <c r="AL187" s="1312"/>
      <c r="AM187" s="1312"/>
      <c r="AN187" s="1312"/>
      <c r="AO187" s="1312"/>
      <c r="AP187" s="1312"/>
      <c r="AQ187" s="1312"/>
      <c r="AR187" s="1312"/>
      <c r="AS187" s="1312"/>
      <c r="AT187" s="1312"/>
      <c r="AU187" s="1313"/>
      <c r="AV187" s="1313"/>
      <c r="AW187" s="1313"/>
      <c r="AX187" s="1313"/>
      <c r="AY187" s="1313"/>
      <c r="AZ187" s="1313"/>
      <c r="BA187" s="1313"/>
      <c r="BB187" s="61"/>
      <c r="BC187" s="61"/>
      <c r="BD187" s="61"/>
      <c r="BE187" s="61"/>
      <c r="BF187" s="61"/>
      <c r="BG187" s="61"/>
      <c r="BH187" s="61"/>
      <c r="BI187" s="61"/>
      <c r="BJ187" s="61"/>
      <c r="BK187" s="61"/>
      <c r="BL187" s="61"/>
      <c r="BM187" s="61"/>
      <c r="BN187" s="61"/>
      <c r="BO187" s="61"/>
      <c r="BP187" s="61"/>
      <c r="BQ187" s="61"/>
      <c r="BR187" s="61"/>
      <c r="BS187" s="61"/>
      <c r="BT187" s="61"/>
      <c r="BU187" s="61"/>
      <c r="BV187" s="61"/>
      <c r="BW187" s="61"/>
      <c r="BX187" s="61"/>
      <c r="BY187" s="61"/>
      <c r="BZ187" s="61"/>
      <c r="CA187" s="61"/>
      <c r="CB187" s="61"/>
      <c r="CC187" s="61"/>
      <c r="CD187" s="61"/>
      <c r="CE187" s="61"/>
      <c r="CF187" s="61"/>
      <c r="CG187" s="61"/>
      <c r="CH187" s="61"/>
      <c r="CI187" s="61"/>
      <c r="CJ187" s="61"/>
      <c r="CK187" s="61"/>
    </row>
    <row r="188" spans="3:89" ht="18.75">
      <c r="C188" s="205"/>
      <c r="D188" s="209">
        <v>434</v>
      </c>
      <c r="E188" s="207"/>
      <c r="F188" s="202"/>
      <c r="G188" s="202"/>
      <c r="H188" s="202"/>
      <c r="I188" s="202"/>
      <c r="J188" s="202"/>
      <c r="K188" s="202"/>
      <c r="L188" s="202"/>
      <c r="M188" s="202"/>
      <c r="N188" s="202"/>
      <c r="O188" s="202"/>
      <c r="P188" s="202"/>
      <c r="Q188" s="202"/>
      <c r="R188" s="202"/>
      <c r="S188" s="202"/>
      <c r="T188" s="202"/>
      <c r="U188" s="206"/>
      <c r="V188" s="206"/>
      <c r="W188" s="202"/>
      <c r="X188" s="202"/>
      <c r="Y188" s="202"/>
      <c r="Z188" s="1312"/>
      <c r="AA188" s="1312"/>
      <c r="AB188" s="1314"/>
      <c r="AC188" s="1312"/>
      <c r="AD188" s="1312"/>
      <c r="AE188" s="1312"/>
      <c r="AF188" s="1312"/>
      <c r="AG188" s="1312"/>
      <c r="AH188" s="1312"/>
      <c r="AI188" s="1312"/>
      <c r="AJ188" s="1312"/>
      <c r="AK188" s="1312"/>
      <c r="AL188" s="1312"/>
      <c r="AM188" s="1312"/>
      <c r="AN188" s="1312"/>
      <c r="AO188" s="1312"/>
      <c r="AP188" s="1312"/>
      <c r="AQ188" s="1312"/>
      <c r="AR188" s="1312"/>
      <c r="AS188" s="1312"/>
      <c r="AT188" s="1312"/>
      <c r="AU188" s="1313"/>
      <c r="AV188" s="1313"/>
      <c r="AW188" s="1313"/>
      <c r="AX188" s="1313"/>
      <c r="AY188" s="1313"/>
      <c r="AZ188" s="1313"/>
      <c r="BA188" s="1313"/>
      <c r="BB188" s="61"/>
      <c r="BC188" s="61"/>
      <c r="BD188" s="61"/>
      <c r="BE188" s="61"/>
      <c r="BF188" s="61"/>
      <c r="BG188" s="61"/>
      <c r="BH188" s="61"/>
      <c r="BI188" s="61"/>
      <c r="BJ188" s="61"/>
      <c r="BK188" s="61"/>
      <c r="BL188" s="61"/>
      <c r="BM188" s="61"/>
      <c r="BN188" s="61"/>
      <c r="BO188" s="61"/>
      <c r="BP188" s="61"/>
      <c r="BQ188" s="61"/>
      <c r="BR188" s="61"/>
      <c r="BS188" s="61"/>
      <c r="BT188" s="61"/>
      <c r="BU188" s="61"/>
      <c r="BV188" s="61"/>
      <c r="BW188" s="61"/>
      <c r="BX188" s="61"/>
      <c r="BY188" s="61"/>
      <c r="BZ188" s="61"/>
      <c r="CA188" s="61"/>
      <c r="CB188" s="61"/>
      <c r="CC188" s="61"/>
      <c r="CD188" s="61"/>
      <c r="CE188" s="61"/>
      <c r="CF188" s="61"/>
      <c r="CG188" s="61"/>
      <c r="CH188" s="61"/>
      <c r="CI188" s="61"/>
      <c r="CJ188" s="61"/>
      <c r="CK188" s="61"/>
    </row>
    <row r="189" spans="3:89" ht="18.75">
      <c r="C189" s="205"/>
      <c r="D189" s="209">
        <v>440</v>
      </c>
      <c r="E189" s="207"/>
      <c r="F189" s="202"/>
      <c r="G189" s="202"/>
      <c r="H189" s="202"/>
      <c r="I189" s="202"/>
      <c r="J189" s="202"/>
      <c r="K189" s="202"/>
      <c r="L189" s="202"/>
      <c r="M189" s="202"/>
      <c r="N189" s="202"/>
      <c r="O189" s="202"/>
      <c r="P189" s="202"/>
      <c r="Q189" s="202"/>
      <c r="R189" s="202"/>
      <c r="S189" s="202"/>
      <c r="T189" s="202"/>
      <c r="U189" s="206"/>
      <c r="V189" s="206"/>
      <c r="W189" s="202"/>
      <c r="X189" s="202"/>
      <c r="Y189" s="202"/>
      <c r="Z189" s="1312"/>
      <c r="AA189" s="1312"/>
      <c r="AB189" s="1314"/>
      <c r="AC189" s="1312"/>
      <c r="AD189" s="1312"/>
      <c r="AE189" s="1312"/>
      <c r="AF189" s="1312"/>
      <c r="AG189" s="1312"/>
      <c r="AH189" s="1312"/>
      <c r="AI189" s="1312"/>
      <c r="AJ189" s="1312"/>
      <c r="AK189" s="1312"/>
      <c r="AL189" s="1312"/>
      <c r="AM189" s="1312"/>
      <c r="AN189" s="1312"/>
      <c r="AO189" s="1312"/>
      <c r="AP189" s="1312"/>
      <c r="AQ189" s="1312"/>
      <c r="AR189" s="1312"/>
      <c r="AS189" s="1312"/>
      <c r="AT189" s="1312"/>
      <c r="AU189" s="1313"/>
      <c r="AV189" s="1313"/>
      <c r="AW189" s="1313"/>
      <c r="AX189" s="1313"/>
      <c r="AY189" s="1313"/>
      <c r="AZ189" s="1313"/>
      <c r="BA189" s="1313"/>
      <c r="BB189" s="61"/>
      <c r="BC189" s="61"/>
      <c r="BD189" s="61"/>
      <c r="BE189" s="61"/>
      <c r="BF189" s="61"/>
      <c r="BG189" s="61"/>
      <c r="BH189" s="61"/>
      <c r="BI189" s="61"/>
      <c r="BJ189" s="61"/>
      <c r="BK189" s="61"/>
      <c r="BL189" s="61"/>
      <c r="BM189" s="61"/>
      <c r="BN189" s="61"/>
      <c r="BO189" s="61"/>
      <c r="BP189" s="61"/>
      <c r="BQ189" s="61"/>
      <c r="BR189" s="61"/>
      <c r="BS189" s="61"/>
      <c r="BT189" s="61"/>
      <c r="BU189" s="61"/>
      <c r="BV189" s="61"/>
      <c r="BW189" s="61"/>
      <c r="BX189" s="61"/>
      <c r="BY189" s="61"/>
      <c r="BZ189" s="61"/>
      <c r="CA189" s="61"/>
      <c r="CB189" s="61"/>
      <c r="CC189" s="61"/>
      <c r="CD189" s="61"/>
      <c r="CE189" s="61"/>
      <c r="CF189" s="61"/>
      <c r="CG189" s="61"/>
      <c r="CH189" s="61"/>
      <c r="CI189" s="61"/>
      <c r="CJ189" s="61"/>
      <c r="CK189" s="61"/>
    </row>
    <row r="190" spans="3:89" ht="18.75">
      <c r="C190" s="205"/>
      <c r="D190" s="209">
        <v>441</v>
      </c>
      <c r="E190" s="207"/>
      <c r="F190" s="202"/>
      <c r="G190" s="202"/>
      <c r="H190" s="202"/>
      <c r="I190" s="202"/>
      <c r="J190" s="202"/>
      <c r="K190" s="202"/>
      <c r="L190" s="202"/>
      <c r="M190" s="202"/>
      <c r="N190" s="202"/>
      <c r="O190" s="202"/>
      <c r="P190" s="202"/>
      <c r="Q190" s="202"/>
      <c r="R190" s="202"/>
      <c r="S190" s="202"/>
      <c r="T190" s="202"/>
      <c r="U190" s="206"/>
      <c r="V190" s="206"/>
      <c r="W190" s="202"/>
      <c r="X190" s="202"/>
      <c r="Y190" s="202"/>
      <c r="Z190" s="1312"/>
      <c r="AA190" s="1312"/>
      <c r="AB190" s="1314"/>
      <c r="AC190" s="1312"/>
      <c r="AD190" s="1312"/>
      <c r="AE190" s="1312"/>
      <c r="AF190" s="1312"/>
      <c r="AG190" s="1312"/>
      <c r="AH190" s="1312"/>
      <c r="AI190" s="1312"/>
      <c r="AJ190" s="1312"/>
      <c r="AK190" s="1312"/>
      <c r="AL190" s="1312"/>
      <c r="AM190" s="1312"/>
      <c r="AN190" s="1312"/>
      <c r="AO190" s="1312"/>
      <c r="AP190" s="1312"/>
      <c r="AQ190" s="1312"/>
      <c r="AR190" s="1312"/>
      <c r="AS190" s="1312"/>
      <c r="AT190" s="1312"/>
      <c r="AU190" s="1313"/>
      <c r="AV190" s="1313"/>
      <c r="AW190" s="1313"/>
      <c r="AX190" s="1313"/>
      <c r="AY190" s="1313"/>
      <c r="AZ190" s="1313"/>
      <c r="BA190" s="1313"/>
      <c r="BB190" s="61"/>
      <c r="BC190" s="61"/>
      <c r="BD190" s="61"/>
      <c r="BE190" s="61"/>
      <c r="BF190" s="61"/>
      <c r="BG190" s="61"/>
      <c r="BH190" s="61"/>
      <c r="BI190" s="61"/>
      <c r="BJ190" s="61"/>
      <c r="BK190" s="61"/>
      <c r="BL190" s="61"/>
      <c r="BM190" s="61"/>
      <c r="BN190" s="61"/>
      <c r="BO190" s="61"/>
      <c r="BP190" s="61"/>
      <c r="BQ190" s="61"/>
      <c r="BR190" s="61"/>
      <c r="BS190" s="61"/>
      <c r="BT190" s="61"/>
      <c r="BU190" s="61"/>
      <c r="BV190" s="61"/>
      <c r="BW190" s="61"/>
      <c r="BX190" s="61"/>
      <c r="BY190" s="61"/>
      <c r="BZ190" s="61"/>
      <c r="CA190" s="61"/>
      <c r="CB190" s="61"/>
      <c r="CC190" s="61"/>
      <c r="CD190" s="61"/>
      <c r="CE190" s="61"/>
      <c r="CF190" s="61"/>
      <c r="CG190" s="61"/>
      <c r="CH190" s="61"/>
      <c r="CI190" s="61"/>
      <c r="CJ190" s="61"/>
      <c r="CK190" s="61"/>
    </row>
    <row r="191" spans="3:89" ht="18.75">
      <c r="C191" s="205"/>
      <c r="D191" s="209">
        <v>442</v>
      </c>
      <c r="E191" s="207"/>
      <c r="F191" s="202"/>
      <c r="G191" s="202"/>
      <c r="H191" s="202"/>
      <c r="I191" s="202"/>
      <c r="J191" s="202"/>
      <c r="K191" s="202"/>
      <c r="L191" s="202"/>
      <c r="M191" s="202"/>
      <c r="N191" s="202"/>
      <c r="O191" s="202"/>
      <c r="P191" s="202"/>
      <c r="Q191" s="202"/>
      <c r="R191" s="202"/>
      <c r="S191" s="202"/>
      <c r="T191" s="202"/>
      <c r="U191" s="206"/>
      <c r="V191" s="206"/>
      <c r="W191" s="202"/>
      <c r="X191" s="202"/>
      <c r="Y191" s="202"/>
      <c r="Z191" s="1312"/>
      <c r="AA191" s="1312"/>
      <c r="AB191" s="1314"/>
      <c r="AC191" s="1312"/>
      <c r="AD191" s="1312"/>
      <c r="AE191" s="1312"/>
      <c r="AF191" s="1312"/>
      <c r="AG191" s="1312"/>
      <c r="AH191" s="1312"/>
      <c r="AI191" s="1312"/>
      <c r="AJ191" s="1312"/>
      <c r="AK191" s="1312"/>
      <c r="AL191" s="1312"/>
      <c r="AM191" s="1312"/>
      <c r="AN191" s="1312"/>
      <c r="AO191" s="1312"/>
      <c r="AP191" s="1312"/>
      <c r="AQ191" s="1312"/>
      <c r="AR191" s="1312"/>
      <c r="AS191" s="1312"/>
      <c r="AT191" s="1312"/>
      <c r="AU191" s="1313"/>
      <c r="AV191" s="1313"/>
      <c r="AW191" s="1313"/>
      <c r="AX191" s="1313"/>
      <c r="AY191" s="1313"/>
      <c r="AZ191" s="1313"/>
      <c r="BA191" s="1313"/>
      <c r="BB191" s="61"/>
      <c r="BC191" s="61"/>
      <c r="BD191" s="61"/>
      <c r="BE191" s="61"/>
      <c r="BF191" s="61"/>
      <c r="BG191" s="61"/>
      <c r="BH191" s="61"/>
      <c r="BI191" s="61"/>
      <c r="BJ191" s="61"/>
      <c r="BK191" s="61"/>
      <c r="BL191" s="61"/>
      <c r="BM191" s="61"/>
      <c r="BN191" s="61"/>
      <c r="BO191" s="61"/>
      <c r="BP191" s="61"/>
      <c r="BQ191" s="61"/>
      <c r="BR191" s="61"/>
      <c r="BS191" s="61"/>
      <c r="BT191" s="61"/>
      <c r="BU191" s="61"/>
      <c r="BV191" s="61"/>
      <c r="BW191" s="61"/>
      <c r="BX191" s="61"/>
      <c r="BY191" s="61"/>
      <c r="BZ191" s="61"/>
      <c r="CA191" s="61"/>
      <c r="CB191" s="61"/>
      <c r="CC191" s="61"/>
      <c r="CD191" s="61"/>
      <c r="CE191" s="61"/>
      <c r="CF191" s="61"/>
      <c r="CG191" s="61"/>
      <c r="CH191" s="61"/>
      <c r="CI191" s="61"/>
      <c r="CJ191" s="61"/>
      <c r="CK191" s="61"/>
    </row>
    <row r="192" spans="3:89" ht="18.75">
      <c r="C192" s="205"/>
      <c r="D192" s="209">
        <v>449</v>
      </c>
      <c r="E192" s="207"/>
      <c r="F192" s="202"/>
      <c r="G192" s="202"/>
      <c r="H192" s="202"/>
      <c r="I192" s="202"/>
      <c r="J192" s="202"/>
      <c r="K192" s="202"/>
      <c r="L192" s="202"/>
      <c r="M192" s="202"/>
      <c r="N192" s="202"/>
      <c r="O192" s="202"/>
      <c r="P192" s="202"/>
      <c r="Q192" s="202"/>
      <c r="R192" s="202"/>
      <c r="S192" s="202"/>
      <c r="T192" s="202"/>
      <c r="U192" s="206"/>
      <c r="V192" s="206"/>
      <c r="W192" s="202"/>
      <c r="X192" s="202"/>
      <c r="Y192" s="202"/>
      <c r="Z192" s="1312"/>
      <c r="AA192" s="1312"/>
      <c r="AB192" s="1314"/>
      <c r="AC192" s="1312"/>
      <c r="AD192" s="1312"/>
      <c r="AE192" s="1312"/>
      <c r="AF192" s="1312"/>
      <c r="AG192" s="1312"/>
      <c r="AH192" s="1312"/>
      <c r="AI192" s="1312"/>
      <c r="AJ192" s="1312"/>
      <c r="AK192" s="1312"/>
      <c r="AL192" s="1312"/>
      <c r="AM192" s="1312"/>
      <c r="AN192" s="1312"/>
      <c r="AO192" s="1312"/>
      <c r="AP192" s="1312"/>
      <c r="AQ192" s="1312"/>
      <c r="AR192" s="1312"/>
      <c r="AS192" s="1312"/>
      <c r="AT192" s="1312"/>
      <c r="AU192" s="1313"/>
      <c r="AV192" s="1313"/>
      <c r="AW192" s="1313"/>
      <c r="AX192" s="1313"/>
      <c r="AY192" s="1313"/>
      <c r="AZ192" s="1313"/>
      <c r="BA192" s="1313"/>
      <c r="BB192" s="61"/>
      <c r="BC192" s="61"/>
      <c r="BD192" s="61"/>
      <c r="BE192" s="61"/>
      <c r="BF192" s="61"/>
      <c r="BG192" s="61"/>
      <c r="BH192" s="61"/>
      <c r="BI192" s="61"/>
      <c r="BJ192" s="61"/>
      <c r="BK192" s="61"/>
      <c r="BL192" s="61"/>
      <c r="BM192" s="61"/>
      <c r="BN192" s="61"/>
      <c r="BO192" s="61"/>
      <c r="BP192" s="61"/>
      <c r="BQ192" s="61"/>
      <c r="BR192" s="61"/>
      <c r="BS192" s="61"/>
      <c r="BT192" s="61"/>
      <c r="BU192" s="61"/>
      <c r="BV192" s="61"/>
      <c r="BW192" s="61"/>
      <c r="BX192" s="61"/>
      <c r="BY192" s="61"/>
      <c r="BZ192" s="61"/>
      <c r="CA192" s="61"/>
      <c r="CB192" s="61"/>
      <c r="CC192" s="61"/>
      <c r="CD192" s="61"/>
      <c r="CE192" s="61"/>
      <c r="CF192" s="61"/>
      <c r="CG192" s="61"/>
      <c r="CH192" s="61"/>
      <c r="CI192" s="61"/>
      <c r="CJ192" s="61"/>
      <c r="CK192" s="61"/>
    </row>
    <row r="193" spans="3:89" ht="18.75">
      <c r="C193" s="205"/>
      <c r="D193" s="209">
        <v>450</v>
      </c>
      <c r="E193" s="207"/>
      <c r="F193" s="202"/>
      <c r="G193" s="202"/>
      <c r="H193" s="202"/>
      <c r="I193" s="202"/>
      <c r="J193" s="202"/>
      <c r="K193" s="202"/>
      <c r="L193" s="202"/>
      <c r="M193" s="202"/>
      <c r="N193" s="202"/>
      <c r="O193" s="202"/>
      <c r="P193" s="202"/>
      <c r="Q193" s="202"/>
      <c r="R193" s="202"/>
      <c r="S193" s="202"/>
      <c r="T193" s="202"/>
      <c r="U193" s="206"/>
      <c r="V193" s="206"/>
      <c r="W193" s="202"/>
      <c r="X193" s="202"/>
      <c r="Y193" s="202"/>
      <c r="Z193" s="1312"/>
      <c r="AA193" s="1312"/>
      <c r="AB193" s="1314"/>
      <c r="AC193" s="1312"/>
      <c r="AD193" s="1312"/>
      <c r="AE193" s="1312"/>
      <c r="AF193" s="1312"/>
      <c r="AG193" s="1312"/>
      <c r="AH193" s="1312"/>
      <c r="AI193" s="1312"/>
      <c r="AJ193" s="1312"/>
      <c r="AK193" s="1312"/>
      <c r="AL193" s="1312"/>
      <c r="AM193" s="1312"/>
      <c r="AN193" s="1312"/>
      <c r="AO193" s="1312"/>
      <c r="AP193" s="1312"/>
      <c r="AQ193" s="1312"/>
      <c r="AR193" s="1312"/>
      <c r="AS193" s="1312"/>
      <c r="AT193" s="1312"/>
      <c r="AU193" s="1313"/>
      <c r="AV193" s="1313"/>
      <c r="AW193" s="1313"/>
      <c r="AX193" s="1313"/>
      <c r="AY193" s="1313"/>
      <c r="AZ193" s="1313"/>
      <c r="BA193" s="1313"/>
      <c r="BB193" s="61"/>
      <c r="BC193" s="61"/>
      <c r="BD193" s="61"/>
      <c r="BE193" s="61"/>
      <c r="BF193" s="61"/>
      <c r="BG193" s="61"/>
      <c r="BH193" s="61"/>
      <c r="BI193" s="61"/>
      <c r="BJ193" s="61"/>
      <c r="BK193" s="61"/>
      <c r="BL193" s="61"/>
      <c r="BM193" s="61"/>
      <c r="BN193" s="61"/>
      <c r="BO193" s="61"/>
      <c r="BP193" s="61"/>
      <c r="BQ193" s="61"/>
      <c r="BR193" s="61"/>
      <c r="BS193" s="61"/>
      <c r="BT193" s="61"/>
      <c r="BU193" s="61"/>
      <c r="BV193" s="61"/>
      <c r="BW193" s="61"/>
      <c r="BX193" s="61"/>
      <c r="BY193" s="61"/>
      <c r="BZ193" s="61"/>
      <c r="CA193" s="61"/>
      <c r="CB193" s="61"/>
      <c r="CC193" s="61"/>
      <c r="CD193" s="61"/>
      <c r="CE193" s="61"/>
      <c r="CF193" s="61"/>
      <c r="CG193" s="61"/>
      <c r="CH193" s="61"/>
      <c r="CI193" s="61"/>
      <c r="CJ193" s="61"/>
      <c r="CK193" s="61"/>
    </row>
    <row r="194" spans="3:89" ht="18.75">
      <c r="C194" s="205"/>
      <c r="D194" s="209">
        <v>468</v>
      </c>
      <c r="E194" s="207"/>
      <c r="F194" s="202"/>
      <c r="G194" s="202"/>
      <c r="H194" s="202"/>
      <c r="I194" s="202"/>
      <c r="J194" s="202"/>
      <c r="K194" s="202"/>
      <c r="L194" s="202"/>
      <c r="M194" s="202"/>
      <c r="N194" s="202"/>
      <c r="O194" s="202"/>
      <c r="P194" s="202"/>
      <c r="Q194" s="202"/>
      <c r="R194" s="202"/>
      <c r="S194" s="202"/>
      <c r="T194" s="202"/>
      <c r="U194" s="206"/>
      <c r="V194" s="206"/>
      <c r="W194" s="202"/>
      <c r="X194" s="202"/>
      <c r="Y194" s="202"/>
      <c r="Z194" s="1312"/>
      <c r="AA194" s="1312"/>
      <c r="AB194" s="1314"/>
      <c r="AC194" s="1312"/>
      <c r="AD194" s="1312"/>
      <c r="AE194" s="1312"/>
      <c r="AF194" s="1312"/>
      <c r="AG194" s="1312"/>
      <c r="AH194" s="1312"/>
      <c r="AI194" s="1312"/>
      <c r="AJ194" s="1312"/>
      <c r="AK194" s="1312"/>
      <c r="AL194" s="1312"/>
      <c r="AM194" s="1312"/>
      <c r="AN194" s="1312"/>
      <c r="AO194" s="1312"/>
      <c r="AP194" s="1312"/>
      <c r="AQ194" s="1312"/>
      <c r="AR194" s="1312"/>
      <c r="AS194" s="1312"/>
      <c r="AT194" s="1312"/>
      <c r="AU194" s="1313"/>
      <c r="AV194" s="1313"/>
      <c r="AW194" s="1313"/>
      <c r="AX194" s="1313"/>
      <c r="AY194" s="1313"/>
      <c r="AZ194" s="1313"/>
      <c r="BA194" s="1313"/>
      <c r="BB194" s="61"/>
      <c r="BC194" s="61"/>
      <c r="BD194" s="61"/>
      <c r="BE194" s="61"/>
      <c r="BF194" s="61"/>
      <c r="BG194" s="61"/>
      <c r="BH194" s="61"/>
      <c r="BI194" s="61"/>
      <c r="BJ194" s="61"/>
      <c r="BK194" s="61"/>
      <c r="BL194" s="61"/>
      <c r="BM194" s="61"/>
      <c r="BN194" s="61"/>
      <c r="BO194" s="61"/>
      <c r="BP194" s="61"/>
      <c r="BQ194" s="61"/>
      <c r="BR194" s="61"/>
      <c r="BS194" s="61"/>
      <c r="BT194" s="61"/>
      <c r="BU194" s="61"/>
      <c r="BV194" s="61"/>
      <c r="BW194" s="61"/>
      <c r="BX194" s="61"/>
      <c r="BY194" s="61"/>
      <c r="BZ194" s="61"/>
      <c r="CA194" s="61"/>
      <c r="CB194" s="61"/>
      <c r="CC194" s="61"/>
      <c r="CD194" s="61"/>
      <c r="CE194" s="61"/>
      <c r="CF194" s="61"/>
      <c r="CG194" s="61"/>
      <c r="CH194" s="61"/>
      <c r="CI194" s="61"/>
      <c r="CJ194" s="61"/>
      <c r="CK194" s="61"/>
    </row>
    <row r="195" spans="3:89" ht="18.75">
      <c r="C195" s="205"/>
      <c r="D195" s="209">
        <v>486</v>
      </c>
      <c r="E195" s="207"/>
      <c r="F195" s="202"/>
      <c r="G195" s="202"/>
      <c r="H195" s="202"/>
      <c r="I195" s="202"/>
      <c r="J195" s="202"/>
      <c r="K195" s="202"/>
      <c r="L195" s="202"/>
      <c r="M195" s="202"/>
      <c r="N195" s="202"/>
      <c r="O195" s="202"/>
      <c r="P195" s="202"/>
      <c r="Q195" s="202"/>
      <c r="R195" s="202"/>
      <c r="S195" s="202"/>
      <c r="T195" s="202"/>
      <c r="U195" s="206"/>
      <c r="V195" s="206"/>
      <c r="W195" s="202"/>
      <c r="X195" s="202"/>
      <c r="Y195" s="202"/>
      <c r="Z195" s="1312"/>
      <c r="AA195" s="1312"/>
      <c r="AB195" s="1314"/>
      <c r="AC195" s="1312"/>
      <c r="AD195" s="1312"/>
      <c r="AE195" s="1312"/>
      <c r="AF195" s="1312"/>
      <c r="AG195" s="1312"/>
      <c r="AH195" s="1312"/>
      <c r="AI195" s="1312"/>
      <c r="AJ195" s="1312"/>
      <c r="AK195" s="1312"/>
      <c r="AL195" s="1312"/>
      <c r="AM195" s="1312"/>
      <c r="AN195" s="1312"/>
      <c r="AO195" s="1312"/>
      <c r="AP195" s="1312"/>
      <c r="AQ195" s="1312"/>
      <c r="AR195" s="1312"/>
      <c r="AS195" s="1312"/>
      <c r="AT195" s="1312"/>
      <c r="AU195" s="1313"/>
      <c r="AV195" s="1313"/>
      <c r="AW195" s="1313"/>
      <c r="AX195" s="1313"/>
      <c r="AY195" s="1313"/>
      <c r="AZ195" s="1313"/>
      <c r="BA195" s="1313"/>
      <c r="BB195" s="61"/>
      <c r="BC195" s="61"/>
      <c r="BD195" s="61"/>
      <c r="BE195" s="61"/>
      <c r="BF195" s="61"/>
      <c r="BG195" s="61"/>
      <c r="BH195" s="61"/>
      <c r="BI195" s="61"/>
      <c r="BJ195" s="61"/>
      <c r="BK195" s="61"/>
      <c r="BL195" s="61"/>
      <c r="BM195" s="61"/>
      <c r="BN195" s="61"/>
      <c r="BO195" s="61"/>
      <c r="BP195" s="61"/>
      <c r="BQ195" s="61"/>
      <c r="BR195" s="61"/>
      <c r="BS195" s="61"/>
      <c r="BT195" s="61"/>
      <c r="BU195" s="61"/>
      <c r="BV195" s="61"/>
      <c r="BW195" s="61"/>
      <c r="BX195" s="61"/>
      <c r="BY195" s="61"/>
      <c r="BZ195" s="61"/>
      <c r="CA195" s="61"/>
      <c r="CB195" s="61"/>
      <c r="CC195" s="61"/>
      <c r="CD195" s="61"/>
      <c r="CE195" s="61"/>
      <c r="CF195" s="61"/>
      <c r="CG195" s="61"/>
      <c r="CH195" s="61"/>
      <c r="CI195" s="61"/>
      <c r="CJ195" s="61"/>
      <c r="CK195" s="61"/>
    </row>
    <row r="196" spans="3:89" ht="18.75">
      <c r="C196" s="205"/>
      <c r="D196" s="209">
        <v>497</v>
      </c>
      <c r="E196" s="207"/>
      <c r="F196" s="202"/>
      <c r="G196" s="202"/>
      <c r="H196" s="202"/>
      <c r="I196" s="202"/>
      <c r="J196" s="202"/>
      <c r="K196" s="202"/>
      <c r="L196" s="202"/>
      <c r="M196" s="202"/>
      <c r="N196" s="202"/>
      <c r="O196" s="202"/>
      <c r="P196" s="202"/>
      <c r="Q196" s="202"/>
      <c r="R196" s="202"/>
      <c r="S196" s="202"/>
      <c r="T196" s="202"/>
      <c r="U196" s="206"/>
      <c r="V196" s="206"/>
      <c r="W196" s="202"/>
      <c r="X196" s="202"/>
      <c r="Y196" s="202"/>
      <c r="Z196" s="1312"/>
      <c r="AA196" s="1312"/>
      <c r="AB196" s="1314"/>
      <c r="AC196" s="1312"/>
      <c r="AD196" s="1312"/>
      <c r="AE196" s="1312"/>
      <c r="AF196" s="1312"/>
      <c r="AG196" s="1312"/>
      <c r="AH196" s="1312"/>
      <c r="AI196" s="1312"/>
      <c r="AJ196" s="1312"/>
      <c r="AK196" s="1312"/>
      <c r="AL196" s="1312"/>
      <c r="AM196" s="1312"/>
      <c r="AN196" s="1312"/>
      <c r="AO196" s="1312"/>
      <c r="AP196" s="1312"/>
      <c r="AQ196" s="1312"/>
      <c r="AR196" s="1312"/>
      <c r="AS196" s="1312"/>
      <c r="AT196" s="1312"/>
      <c r="AU196" s="1313"/>
      <c r="AV196" s="1313"/>
      <c r="AW196" s="1313"/>
      <c r="AX196" s="1313"/>
      <c r="AY196" s="1313"/>
      <c r="AZ196" s="1313"/>
      <c r="BA196" s="1313"/>
      <c r="BB196" s="61"/>
      <c r="BC196" s="61"/>
      <c r="BD196" s="61"/>
      <c r="BE196" s="61"/>
      <c r="BF196" s="61"/>
      <c r="BG196" s="61"/>
      <c r="BH196" s="61"/>
      <c r="BI196" s="61"/>
      <c r="BJ196" s="61"/>
      <c r="BK196" s="61"/>
      <c r="BL196" s="61"/>
      <c r="BM196" s="61"/>
      <c r="BN196" s="61"/>
      <c r="BO196" s="61"/>
      <c r="BP196" s="61"/>
      <c r="BQ196" s="61"/>
      <c r="BR196" s="61"/>
      <c r="BS196" s="61"/>
      <c r="BT196" s="61"/>
      <c r="BU196" s="61"/>
      <c r="BV196" s="61"/>
      <c r="BW196" s="61"/>
      <c r="BX196" s="61"/>
      <c r="BY196" s="61"/>
      <c r="BZ196" s="61"/>
      <c r="CA196" s="61"/>
      <c r="CB196" s="61"/>
      <c r="CC196" s="61"/>
      <c r="CD196" s="61"/>
      <c r="CE196" s="61"/>
      <c r="CF196" s="61"/>
      <c r="CG196" s="61"/>
      <c r="CH196" s="61"/>
      <c r="CI196" s="61"/>
      <c r="CJ196" s="61"/>
      <c r="CK196" s="61"/>
    </row>
    <row r="197" spans="3:89" ht="18.75">
      <c r="C197" s="205"/>
      <c r="D197" s="209">
        <v>574</v>
      </c>
      <c r="E197" s="207"/>
      <c r="F197" s="202"/>
      <c r="G197" s="202"/>
      <c r="H197" s="202"/>
      <c r="I197" s="202"/>
      <c r="J197" s="202"/>
      <c r="K197" s="202"/>
      <c r="L197" s="202"/>
      <c r="M197" s="202"/>
      <c r="N197" s="202"/>
      <c r="O197" s="202"/>
      <c r="P197" s="202"/>
      <c r="Q197" s="202"/>
      <c r="R197" s="202"/>
      <c r="S197" s="202"/>
      <c r="T197" s="202"/>
      <c r="U197" s="206"/>
      <c r="V197" s="206"/>
      <c r="W197" s="202"/>
      <c r="X197" s="202"/>
      <c r="Y197" s="202"/>
      <c r="Z197" s="1312"/>
      <c r="AA197" s="1312"/>
      <c r="AB197" s="1314"/>
      <c r="AC197" s="1312"/>
      <c r="AD197" s="1312"/>
      <c r="AE197" s="1312"/>
      <c r="AF197" s="1312"/>
      <c r="AG197" s="1312"/>
      <c r="AH197" s="1312"/>
      <c r="AI197" s="1312"/>
      <c r="AJ197" s="1312"/>
      <c r="AK197" s="1312"/>
      <c r="AL197" s="1312"/>
      <c r="AM197" s="1312"/>
      <c r="AN197" s="1312"/>
      <c r="AO197" s="1312"/>
      <c r="AP197" s="1312"/>
      <c r="AQ197" s="1312"/>
      <c r="AR197" s="1312"/>
      <c r="AS197" s="1312"/>
      <c r="AT197" s="1312"/>
      <c r="AU197" s="1313"/>
      <c r="AV197" s="1313"/>
      <c r="AW197" s="1313"/>
      <c r="AX197" s="1313"/>
      <c r="AY197" s="1313"/>
      <c r="AZ197" s="1313"/>
      <c r="BA197" s="1313"/>
      <c r="BB197" s="61"/>
      <c r="BC197" s="61"/>
      <c r="BD197" s="61"/>
      <c r="BE197" s="61"/>
      <c r="BF197" s="61"/>
      <c r="BG197" s="61"/>
      <c r="BH197" s="61"/>
      <c r="BI197" s="61"/>
      <c r="BJ197" s="61"/>
      <c r="BK197" s="61"/>
      <c r="BL197" s="61"/>
      <c r="BM197" s="61"/>
      <c r="BN197" s="61"/>
      <c r="BO197" s="61"/>
      <c r="BP197" s="61"/>
      <c r="BQ197" s="61"/>
      <c r="BR197" s="61"/>
      <c r="BS197" s="61"/>
      <c r="BT197" s="61"/>
      <c r="BU197" s="61"/>
      <c r="BV197" s="61"/>
      <c r="BW197" s="61"/>
      <c r="BX197" s="61"/>
      <c r="BY197" s="61"/>
      <c r="BZ197" s="61"/>
      <c r="CA197" s="61"/>
      <c r="CB197" s="61"/>
      <c r="CC197" s="61"/>
      <c r="CD197" s="61"/>
      <c r="CE197" s="61"/>
      <c r="CF197" s="61"/>
      <c r="CG197" s="61"/>
      <c r="CH197" s="61"/>
      <c r="CI197" s="61"/>
      <c r="CJ197" s="61"/>
      <c r="CK197" s="61"/>
    </row>
    <row r="198" spans="3:89" ht="18.75">
      <c r="C198" s="205"/>
      <c r="D198" s="209">
        <v>611</v>
      </c>
      <c r="E198" s="207"/>
      <c r="F198" s="202"/>
      <c r="G198" s="202"/>
      <c r="H198" s="202"/>
      <c r="I198" s="202"/>
      <c r="J198" s="202"/>
      <c r="K198" s="202"/>
      <c r="L198" s="202"/>
      <c r="M198" s="202"/>
      <c r="N198" s="202"/>
      <c r="O198" s="202"/>
      <c r="P198" s="202"/>
      <c r="Q198" s="202"/>
      <c r="R198" s="202"/>
      <c r="S198" s="202"/>
      <c r="T198" s="202"/>
      <c r="U198" s="206"/>
      <c r="V198" s="206"/>
      <c r="W198" s="202"/>
      <c r="X198" s="202"/>
      <c r="Y198" s="202"/>
      <c r="Z198" s="1312"/>
      <c r="AA198" s="1312"/>
      <c r="AB198" s="1314"/>
      <c r="AC198" s="1312"/>
      <c r="AD198" s="1312"/>
      <c r="AE198" s="1312"/>
      <c r="AF198" s="1312"/>
      <c r="AG198" s="1312"/>
      <c r="AH198" s="1312"/>
      <c r="AI198" s="1312"/>
      <c r="AJ198" s="1312"/>
      <c r="AK198" s="1312"/>
      <c r="AL198" s="1312"/>
      <c r="AM198" s="1312"/>
      <c r="AN198" s="1312"/>
      <c r="AO198" s="1312"/>
      <c r="AP198" s="1312"/>
      <c r="AQ198" s="1312"/>
      <c r="AR198" s="1312"/>
      <c r="AS198" s="1312"/>
      <c r="AT198" s="1312"/>
      <c r="AU198" s="1313"/>
      <c r="AV198" s="1313"/>
      <c r="AW198" s="1313"/>
      <c r="AX198" s="1313"/>
      <c r="AY198" s="1313"/>
      <c r="AZ198" s="1313"/>
      <c r="BA198" s="1313"/>
      <c r="BB198" s="61"/>
      <c r="BC198" s="61"/>
      <c r="BD198" s="61"/>
      <c r="BE198" s="61"/>
      <c r="BF198" s="61"/>
      <c r="BG198" s="61"/>
      <c r="BH198" s="61"/>
      <c r="BI198" s="61"/>
      <c r="BJ198" s="61"/>
      <c r="BK198" s="61"/>
      <c r="BL198" s="61"/>
      <c r="BM198" s="61"/>
      <c r="BN198" s="61"/>
      <c r="BO198" s="61"/>
      <c r="BP198" s="61"/>
      <c r="BQ198" s="61"/>
      <c r="BR198" s="61"/>
      <c r="BS198" s="61"/>
      <c r="BT198" s="61"/>
      <c r="BU198" s="61"/>
      <c r="BV198" s="61"/>
      <c r="BW198" s="61"/>
      <c r="BX198" s="61"/>
      <c r="BY198" s="61"/>
      <c r="BZ198" s="61"/>
      <c r="CA198" s="61"/>
      <c r="CB198" s="61"/>
      <c r="CC198" s="61"/>
      <c r="CD198" s="61"/>
      <c r="CE198" s="61"/>
      <c r="CF198" s="61"/>
      <c r="CG198" s="61"/>
      <c r="CH198" s="61"/>
      <c r="CI198" s="61"/>
      <c r="CJ198" s="61"/>
      <c r="CK198" s="61"/>
    </row>
    <row r="199" spans="3:89" ht="18.75">
      <c r="C199" s="205"/>
      <c r="D199" s="209">
        <v>612</v>
      </c>
      <c r="E199" s="207"/>
      <c r="F199" s="202"/>
      <c r="G199" s="202"/>
      <c r="H199" s="202"/>
      <c r="I199" s="202"/>
      <c r="J199" s="202"/>
      <c r="K199" s="202"/>
      <c r="L199" s="202"/>
      <c r="M199" s="202"/>
      <c r="N199" s="202"/>
      <c r="O199" s="202"/>
      <c r="P199" s="202"/>
      <c r="Q199" s="202"/>
      <c r="R199" s="202"/>
      <c r="S199" s="202"/>
      <c r="T199" s="202"/>
      <c r="U199" s="206"/>
      <c r="V199" s="206"/>
      <c r="W199" s="202"/>
      <c r="X199" s="202"/>
      <c r="Y199" s="202"/>
      <c r="Z199" s="1312"/>
      <c r="AA199" s="1312"/>
      <c r="AB199" s="1314"/>
      <c r="AC199" s="1312"/>
      <c r="AD199" s="1312"/>
      <c r="AE199" s="1312"/>
      <c r="AF199" s="1312"/>
      <c r="AG199" s="1312"/>
      <c r="AH199" s="1312"/>
      <c r="AI199" s="1312"/>
      <c r="AJ199" s="1312"/>
      <c r="AK199" s="1312"/>
      <c r="AL199" s="1312"/>
      <c r="AM199" s="1312"/>
      <c r="AN199" s="1312"/>
      <c r="AO199" s="1312"/>
      <c r="AP199" s="1312"/>
      <c r="AQ199" s="1312"/>
      <c r="AR199" s="1312"/>
      <c r="AS199" s="1312"/>
      <c r="AT199" s="1312"/>
      <c r="AU199" s="1313"/>
      <c r="AV199" s="1313"/>
      <c r="AW199" s="1313"/>
      <c r="AX199" s="1313"/>
      <c r="AY199" s="1313"/>
      <c r="AZ199" s="1313"/>
      <c r="BA199" s="1313"/>
      <c r="BB199" s="61"/>
      <c r="BC199" s="61"/>
      <c r="BD199" s="61"/>
      <c r="BE199" s="61"/>
      <c r="BF199" s="61"/>
      <c r="BG199" s="61"/>
      <c r="BH199" s="61"/>
      <c r="BI199" s="61"/>
      <c r="BJ199" s="61"/>
      <c r="BK199" s="61"/>
      <c r="BL199" s="61"/>
      <c r="BM199" s="61"/>
      <c r="BN199" s="61"/>
      <c r="BO199" s="61"/>
      <c r="BP199" s="61"/>
      <c r="BQ199" s="61"/>
      <c r="BR199" s="61"/>
      <c r="BS199" s="61"/>
      <c r="BT199" s="61"/>
      <c r="BU199" s="61"/>
      <c r="BV199" s="61"/>
      <c r="BW199" s="61"/>
      <c r="BX199" s="61"/>
      <c r="BY199" s="61"/>
      <c r="BZ199" s="61"/>
      <c r="CA199" s="61"/>
      <c r="CB199" s="61"/>
      <c r="CC199" s="61"/>
      <c r="CD199" s="61"/>
      <c r="CE199" s="61"/>
      <c r="CF199" s="61"/>
      <c r="CG199" s="61"/>
      <c r="CH199" s="61"/>
      <c r="CI199" s="61"/>
      <c r="CJ199" s="61"/>
      <c r="CK199" s="61"/>
    </row>
    <row r="200" spans="3:89" ht="18.75">
      <c r="C200" s="205"/>
      <c r="D200" s="209">
        <v>613</v>
      </c>
      <c r="E200" s="207"/>
      <c r="F200" s="202"/>
      <c r="G200" s="202"/>
      <c r="H200" s="202"/>
      <c r="I200" s="202"/>
      <c r="J200" s="202"/>
      <c r="K200" s="202"/>
      <c r="L200" s="202"/>
      <c r="M200" s="202"/>
      <c r="N200" s="202"/>
      <c r="O200" s="202"/>
      <c r="P200" s="202"/>
      <c r="Q200" s="202"/>
      <c r="R200" s="202"/>
      <c r="S200" s="202"/>
      <c r="T200" s="202"/>
      <c r="U200" s="206"/>
      <c r="V200" s="206"/>
      <c r="W200" s="202"/>
      <c r="X200" s="202"/>
      <c r="Y200" s="202"/>
      <c r="Z200" s="1312"/>
      <c r="AA200" s="1312"/>
      <c r="AB200" s="1314"/>
      <c r="AC200" s="1312"/>
      <c r="AD200" s="1312"/>
      <c r="AE200" s="1312"/>
      <c r="AF200" s="1312"/>
      <c r="AG200" s="1312"/>
      <c r="AH200" s="1312"/>
      <c r="AI200" s="1312"/>
      <c r="AJ200" s="1312"/>
      <c r="AK200" s="1312"/>
      <c r="AL200" s="1312"/>
      <c r="AM200" s="1312"/>
      <c r="AN200" s="1312"/>
      <c r="AO200" s="1312"/>
      <c r="AP200" s="1312"/>
      <c r="AQ200" s="1312"/>
      <c r="AR200" s="1312"/>
      <c r="AS200" s="1312"/>
      <c r="AT200" s="1312"/>
      <c r="AU200" s="1313"/>
      <c r="AV200" s="1313"/>
      <c r="AW200" s="1313"/>
      <c r="AX200" s="1313"/>
      <c r="AY200" s="1313"/>
      <c r="AZ200" s="1313"/>
      <c r="BA200" s="1313"/>
      <c r="BB200" s="61"/>
      <c r="BC200" s="61"/>
      <c r="BD200" s="61"/>
      <c r="BE200" s="61"/>
      <c r="BF200" s="61"/>
      <c r="BG200" s="61"/>
      <c r="BH200" s="61"/>
      <c r="BI200" s="61"/>
      <c r="BJ200" s="61"/>
      <c r="BK200" s="61"/>
      <c r="BL200" s="61"/>
      <c r="BM200" s="61"/>
      <c r="BN200" s="61"/>
      <c r="BO200" s="61"/>
      <c r="BP200" s="61"/>
      <c r="BQ200" s="61"/>
      <c r="BR200" s="61"/>
      <c r="BS200" s="61"/>
      <c r="BT200" s="61"/>
      <c r="BU200" s="61"/>
      <c r="BV200" s="61"/>
      <c r="BW200" s="61"/>
      <c r="BX200" s="61"/>
      <c r="BY200" s="61"/>
      <c r="BZ200" s="61"/>
      <c r="CA200" s="61"/>
      <c r="CB200" s="61"/>
      <c r="CC200" s="61"/>
      <c r="CD200" s="61"/>
      <c r="CE200" s="61"/>
      <c r="CF200" s="61"/>
      <c r="CG200" s="61"/>
      <c r="CH200" s="61"/>
      <c r="CI200" s="61"/>
      <c r="CJ200" s="61"/>
      <c r="CK200" s="61"/>
    </row>
    <row r="201" spans="3:89" ht="18.75">
      <c r="C201" s="205"/>
      <c r="D201" s="209">
        <v>614</v>
      </c>
      <c r="E201" s="207"/>
      <c r="F201" s="202"/>
      <c r="G201" s="202"/>
      <c r="H201" s="202"/>
      <c r="I201" s="202"/>
      <c r="J201" s="202"/>
      <c r="K201" s="202"/>
      <c r="L201" s="202"/>
      <c r="M201" s="202"/>
      <c r="N201" s="202"/>
      <c r="O201" s="202"/>
      <c r="P201" s="202"/>
      <c r="Q201" s="202"/>
      <c r="R201" s="202"/>
      <c r="S201" s="202"/>
      <c r="T201" s="202"/>
      <c r="U201" s="206"/>
      <c r="V201" s="206"/>
      <c r="W201" s="202"/>
      <c r="X201" s="202"/>
      <c r="Y201" s="202"/>
      <c r="Z201" s="1312"/>
      <c r="AA201" s="1312"/>
      <c r="AB201" s="1314"/>
      <c r="AC201" s="1312"/>
      <c r="AD201" s="1312"/>
      <c r="AE201" s="1312"/>
      <c r="AF201" s="1312"/>
      <c r="AG201" s="1312"/>
      <c r="AH201" s="1312"/>
      <c r="AI201" s="1312"/>
      <c r="AJ201" s="1312"/>
      <c r="AK201" s="1312"/>
      <c r="AL201" s="1312"/>
      <c r="AM201" s="1312"/>
      <c r="AN201" s="1312"/>
      <c r="AO201" s="1312"/>
      <c r="AP201" s="1312"/>
      <c r="AQ201" s="1312"/>
      <c r="AR201" s="1312"/>
      <c r="AS201" s="1312"/>
      <c r="AT201" s="1312"/>
      <c r="AU201" s="1313"/>
      <c r="AV201" s="1313"/>
      <c r="AW201" s="1313"/>
      <c r="AX201" s="1313"/>
      <c r="AY201" s="1313"/>
      <c r="AZ201" s="1313"/>
      <c r="BA201" s="1313"/>
      <c r="BB201" s="61"/>
      <c r="BC201" s="61"/>
      <c r="BD201" s="61"/>
      <c r="BE201" s="61"/>
      <c r="BF201" s="61"/>
      <c r="BG201" s="61"/>
      <c r="BH201" s="61"/>
      <c r="BI201" s="61"/>
      <c r="BJ201" s="61"/>
      <c r="BK201" s="61"/>
      <c r="BL201" s="61"/>
      <c r="BM201" s="61"/>
      <c r="BN201" s="61"/>
      <c r="BO201" s="61"/>
      <c r="BP201" s="61"/>
      <c r="BQ201" s="61"/>
      <c r="BR201" s="61"/>
      <c r="BS201" s="61"/>
      <c r="BT201" s="61"/>
      <c r="BU201" s="61"/>
      <c r="BV201" s="61"/>
      <c r="BW201" s="61"/>
      <c r="BX201" s="61"/>
      <c r="BY201" s="61"/>
      <c r="BZ201" s="61"/>
      <c r="CA201" s="61"/>
      <c r="CB201" s="61"/>
      <c r="CC201" s="61"/>
      <c r="CD201" s="61"/>
      <c r="CE201" s="61"/>
      <c r="CF201" s="61"/>
      <c r="CG201" s="61"/>
      <c r="CH201" s="61"/>
      <c r="CI201" s="61"/>
      <c r="CJ201" s="61"/>
      <c r="CK201" s="61"/>
    </row>
    <row r="202" spans="3:89" ht="18.75">
      <c r="C202" s="205"/>
      <c r="D202" s="209">
        <v>615</v>
      </c>
      <c r="E202" s="207"/>
      <c r="F202" s="202"/>
      <c r="G202" s="202"/>
      <c r="H202" s="202"/>
      <c r="I202" s="202"/>
      <c r="J202" s="202"/>
      <c r="K202" s="202"/>
      <c r="L202" s="202"/>
      <c r="M202" s="202"/>
      <c r="N202" s="202"/>
      <c r="O202" s="202"/>
      <c r="P202" s="202"/>
      <c r="Q202" s="202"/>
      <c r="R202" s="202"/>
      <c r="S202" s="202"/>
      <c r="T202" s="202"/>
      <c r="U202" s="206"/>
      <c r="V202" s="206"/>
      <c r="W202" s="202"/>
      <c r="X202" s="202"/>
      <c r="Y202" s="202"/>
      <c r="Z202" s="1312"/>
      <c r="AA202" s="1312"/>
      <c r="AB202" s="1314"/>
      <c r="AC202" s="1312"/>
      <c r="AD202" s="1312"/>
      <c r="AE202" s="1312"/>
      <c r="AF202" s="1312"/>
      <c r="AG202" s="1312"/>
      <c r="AH202" s="1312"/>
      <c r="AI202" s="1312"/>
      <c r="AJ202" s="1312"/>
      <c r="AK202" s="1312"/>
      <c r="AL202" s="1312"/>
      <c r="AM202" s="1312"/>
      <c r="AN202" s="1312"/>
      <c r="AO202" s="1312"/>
      <c r="AP202" s="1312"/>
      <c r="AQ202" s="1312"/>
      <c r="AR202" s="1312"/>
      <c r="AS202" s="1312"/>
      <c r="AT202" s="1312"/>
      <c r="AU202" s="1313"/>
      <c r="AV202" s="1313"/>
      <c r="AW202" s="1313"/>
      <c r="AX202" s="1313"/>
      <c r="AY202" s="1313"/>
      <c r="AZ202" s="1313"/>
      <c r="BA202" s="1313"/>
      <c r="BB202" s="61"/>
      <c r="BC202" s="61"/>
      <c r="BD202" s="61"/>
      <c r="BE202" s="61"/>
      <c r="BF202" s="61"/>
      <c r="BG202" s="61"/>
      <c r="BH202" s="61"/>
      <c r="BI202" s="61"/>
      <c r="BJ202" s="61"/>
      <c r="BK202" s="61"/>
      <c r="BL202" s="61"/>
      <c r="BM202" s="61"/>
      <c r="BN202" s="61"/>
      <c r="BO202" s="61"/>
      <c r="BP202" s="61"/>
      <c r="BQ202" s="61"/>
      <c r="BR202" s="61"/>
      <c r="BS202" s="61"/>
      <c r="BT202" s="61"/>
      <c r="BU202" s="61"/>
      <c r="BV202" s="61"/>
      <c r="BW202" s="61"/>
      <c r="BX202" s="61"/>
      <c r="BY202" s="61"/>
      <c r="BZ202" s="61"/>
      <c r="CA202" s="61"/>
      <c r="CB202" s="61"/>
      <c r="CC202" s="61"/>
      <c r="CD202" s="61"/>
      <c r="CE202" s="61"/>
      <c r="CF202" s="61"/>
      <c r="CG202" s="61"/>
      <c r="CH202" s="61"/>
      <c r="CI202" s="61"/>
      <c r="CJ202" s="61"/>
      <c r="CK202" s="61"/>
    </row>
    <row r="203" spans="3:89" ht="18.75">
      <c r="C203" s="205"/>
      <c r="D203" s="209">
        <v>616</v>
      </c>
      <c r="E203" s="207"/>
      <c r="F203" s="202"/>
      <c r="G203" s="202"/>
      <c r="H203" s="202"/>
      <c r="I203" s="202"/>
      <c r="J203" s="202"/>
      <c r="K203" s="202"/>
      <c r="L203" s="202"/>
      <c r="M203" s="202"/>
      <c r="N203" s="202"/>
      <c r="O203" s="202"/>
      <c r="P203" s="202"/>
      <c r="Q203" s="202"/>
      <c r="R203" s="202"/>
      <c r="S203" s="202"/>
      <c r="T203" s="202"/>
      <c r="U203" s="206"/>
      <c r="V203" s="206"/>
      <c r="W203" s="202"/>
      <c r="X203" s="202"/>
      <c r="Y203" s="202"/>
      <c r="Z203" s="1312"/>
      <c r="AA203" s="1312"/>
      <c r="AB203" s="1314"/>
      <c r="AC203" s="1312"/>
      <c r="AD203" s="1312"/>
      <c r="AE203" s="1312"/>
      <c r="AF203" s="1312"/>
      <c r="AG203" s="1312"/>
      <c r="AH203" s="1312"/>
      <c r="AI203" s="1312"/>
      <c r="AJ203" s="1312"/>
      <c r="AK203" s="1312"/>
      <c r="AL203" s="1312"/>
      <c r="AM203" s="1312"/>
      <c r="AN203" s="1312"/>
      <c r="AO203" s="1312"/>
      <c r="AP203" s="1312"/>
      <c r="AQ203" s="1312"/>
      <c r="AR203" s="1312"/>
      <c r="AS203" s="1312"/>
      <c r="AT203" s="1312"/>
      <c r="AU203" s="1313"/>
      <c r="AV203" s="1313"/>
      <c r="AW203" s="1313"/>
      <c r="AX203" s="1313"/>
      <c r="AY203" s="1313"/>
      <c r="AZ203" s="1313"/>
      <c r="BA203" s="1313"/>
      <c r="BB203" s="61"/>
      <c r="BC203" s="61"/>
      <c r="BD203" s="61"/>
      <c r="BE203" s="61"/>
      <c r="BF203" s="61"/>
      <c r="BG203" s="61"/>
      <c r="BH203" s="61"/>
      <c r="BI203" s="61"/>
      <c r="BJ203" s="61"/>
      <c r="BK203" s="61"/>
      <c r="BL203" s="61"/>
      <c r="BM203" s="61"/>
      <c r="BN203" s="61"/>
      <c r="BO203" s="61"/>
      <c r="BP203" s="61"/>
      <c r="BQ203" s="61"/>
      <c r="BR203" s="61"/>
      <c r="BS203" s="61"/>
      <c r="BT203" s="61"/>
      <c r="BU203" s="61"/>
      <c r="BV203" s="61"/>
      <c r="BW203" s="61"/>
      <c r="BX203" s="61"/>
      <c r="BY203" s="61"/>
      <c r="BZ203" s="61"/>
      <c r="CA203" s="61"/>
      <c r="CB203" s="61"/>
      <c r="CC203" s="61"/>
      <c r="CD203" s="61"/>
      <c r="CE203" s="61"/>
      <c r="CF203" s="61"/>
      <c r="CG203" s="61"/>
      <c r="CH203" s="61"/>
      <c r="CI203" s="61"/>
      <c r="CJ203" s="61"/>
      <c r="CK203" s="61"/>
    </row>
    <row r="204" spans="3:89" ht="18.75">
      <c r="C204" s="205"/>
      <c r="D204" s="209">
        <v>617</v>
      </c>
      <c r="E204" s="207"/>
      <c r="F204" s="202"/>
      <c r="G204" s="202"/>
      <c r="H204" s="202"/>
      <c r="I204" s="202"/>
      <c r="J204" s="202"/>
      <c r="K204" s="202"/>
      <c r="L204" s="202"/>
      <c r="M204" s="202"/>
      <c r="N204" s="202"/>
      <c r="O204" s="202"/>
      <c r="P204" s="202"/>
      <c r="Q204" s="202"/>
      <c r="R204" s="202"/>
      <c r="S204" s="202"/>
      <c r="T204" s="202"/>
      <c r="U204" s="206"/>
      <c r="V204" s="206"/>
      <c r="W204" s="202"/>
      <c r="X204" s="202"/>
      <c r="Y204" s="202"/>
      <c r="Z204" s="1312"/>
      <c r="AA204" s="1312"/>
      <c r="AB204" s="1314"/>
      <c r="AC204" s="1312"/>
      <c r="AD204" s="1312"/>
      <c r="AE204" s="1312"/>
      <c r="AF204" s="1312"/>
      <c r="AG204" s="1312"/>
      <c r="AH204" s="1312"/>
      <c r="AI204" s="1312"/>
      <c r="AJ204" s="1312"/>
      <c r="AK204" s="1312"/>
      <c r="AL204" s="1312"/>
      <c r="AM204" s="1312"/>
      <c r="AN204" s="1312"/>
      <c r="AO204" s="1312"/>
      <c r="AP204" s="1312"/>
      <c r="AQ204" s="1312"/>
      <c r="AR204" s="1312"/>
      <c r="AS204" s="1312"/>
      <c r="AT204" s="1312"/>
      <c r="AU204" s="1313"/>
      <c r="AV204" s="1313"/>
      <c r="AW204" s="1313"/>
      <c r="AX204" s="1313"/>
      <c r="AY204" s="1313"/>
      <c r="AZ204" s="1313"/>
      <c r="BA204" s="1313"/>
      <c r="BB204" s="61"/>
      <c r="BC204" s="61"/>
      <c r="BD204" s="61"/>
      <c r="BE204" s="61"/>
      <c r="BF204" s="61"/>
      <c r="BG204" s="61"/>
      <c r="BH204" s="61"/>
      <c r="BI204" s="61"/>
      <c r="BJ204" s="61"/>
      <c r="BK204" s="61"/>
      <c r="BL204" s="61"/>
      <c r="BM204" s="61"/>
      <c r="BN204" s="61"/>
      <c r="BO204" s="61"/>
      <c r="BP204" s="61"/>
      <c r="BQ204" s="61"/>
      <c r="BR204" s="61"/>
      <c r="BS204" s="61"/>
      <c r="BT204" s="61"/>
      <c r="BU204" s="61"/>
      <c r="BV204" s="61"/>
      <c r="BW204" s="61"/>
      <c r="BX204" s="61"/>
      <c r="BY204" s="61"/>
      <c r="BZ204" s="61"/>
      <c r="CA204" s="61"/>
      <c r="CB204" s="61"/>
      <c r="CC204" s="61"/>
      <c r="CD204" s="61"/>
      <c r="CE204" s="61"/>
      <c r="CF204" s="61"/>
      <c r="CG204" s="61"/>
      <c r="CH204" s="61"/>
      <c r="CI204" s="61"/>
      <c r="CJ204" s="61"/>
      <c r="CK204" s="61"/>
    </row>
    <row r="205" spans="3:89" ht="18.75">
      <c r="C205" s="205"/>
      <c r="D205" s="209">
        <v>618</v>
      </c>
      <c r="E205" s="207"/>
      <c r="F205" s="202"/>
      <c r="G205" s="202"/>
      <c r="H205" s="202"/>
      <c r="I205" s="202"/>
      <c r="J205" s="202"/>
      <c r="K205" s="202"/>
      <c r="L205" s="202"/>
      <c r="M205" s="202"/>
      <c r="N205" s="202"/>
      <c r="O205" s="202"/>
      <c r="P205" s="202"/>
      <c r="Q205" s="202"/>
      <c r="R205" s="202"/>
      <c r="S205" s="202"/>
      <c r="T205" s="202"/>
      <c r="U205" s="206"/>
      <c r="V205" s="206"/>
      <c r="W205" s="202"/>
      <c r="X205" s="202"/>
      <c r="Y205" s="202"/>
      <c r="Z205" s="1312"/>
      <c r="AA205" s="1312"/>
      <c r="AB205" s="1315"/>
      <c r="AC205" s="1312"/>
      <c r="AD205" s="1312"/>
      <c r="AE205" s="1312"/>
      <c r="AF205" s="1312"/>
      <c r="AG205" s="1312"/>
      <c r="AH205" s="1312"/>
      <c r="AI205" s="1312"/>
      <c r="AJ205" s="1312"/>
      <c r="AK205" s="1312"/>
      <c r="AL205" s="1312"/>
      <c r="AM205" s="1312"/>
      <c r="AN205" s="1312"/>
      <c r="AO205" s="1312"/>
      <c r="AP205" s="1312"/>
      <c r="AQ205" s="1312"/>
      <c r="AR205" s="1312"/>
      <c r="AS205" s="1312"/>
      <c r="AT205" s="1312"/>
      <c r="AU205" s="1313"/>
      <c r="AV205" s="1313"/>
      <c r="AW205" s="1313"/>
      <c r="AX205" s="1313"/>
      <c r="AY205" s="1313"/>
      <c r="AZ205" s="1313"/>
      <c r="BA205" s="1313"/>
      <c r="BB205" s="61"/>
      <c r="BC205" s="61"/>
      <c r="BD205" s="61"/>
      <c r="BE205" s="61"/>
      <c r="BF205" s="61"/>
      <c r="BG205" s="61"/>
      <c r="BH205" s="61"/>
      <c r="BI205" s="61"/>
      <c r="BJ205" s="61"/>
      <c r="BK205" s="61"/>
      <c r="BL205" s="61"/>
      <c r="BM205" s="61"/>
      <c r="BN205" s="61"/>
      <c r="BO205" s="61"/>
      <c r="BP205" s="61"/>
      <c r="BQ205" s="61"/>
      <c r="BR205" s="61"/>
      <c r="BS205" s="61"/>
      <c r="BT205" s="61"/>
      <c r="BU205" s="61"/>
      <c r="BV205" s="61"/>
      <c r="BW205" s="61"/>
      <c r="BX205" s="61"/>
      <c r="BY205" s="61"/>
      <c r="BZ205" s="61"/>
      <c r="CA205" s="61"/>
      <c r="CB205" s="61"/>
      <c r="CC205" s="61"/>
      <c r="CD205" s="61"/>
      <c r="CE205" s="61"/>
      <c r="CF205" s="61"/>
      <c r="CG205" s="61"/>
      <c r="CH205" s="61"/>
      <c r="CI205" s="61"/>
      <c r="CJ205" s="61"/>
      <c r="CK205" s="61"/>
    </row>
    <row r="206" spans="3:89" ht="18.75">
      <c r="C206" s="205"/>
      <c r="D206" s="209">
        <v>619</v>
      </c>
      <c r="E206" s="207"/>
      <c r="F206" s="202"/>
      <c r="G206" s="202"/>
      <c r="H206" s="202"/>
      <c r="I206" s="202"/>
      <c r="J206" s="202"/>
      <c r="K206" s="202"/>
      <c r="L206" s="202"/>
      <c r="M206" s="202"/>
      <c r="N206" s="202"/>
      <c r="O206" s="202"/>
      <c r="P206" s="202"/>
      <c r="Q206" s="202"/>
      <c r="R206" s="202"/>
      <c r="S206" s="202"/>
      <c r="T206" s="202"/>
      <c r="U206" s="206"/>
      <c r="V206" s="206"/>
      <c r="W206" s="202"/>
      <c r="X206" s="202"/>
      <c r="Y206" s="202"/>
      <c r="Z206" s="1312"/>
      <c r="AA206" s="1312"/>
      <c r="AB206" s="1314"/>
      <c r="AC206" s="1312"/>
      <c r="AD206" s="1312"/>
      <c r="AE206" s="1312"/>
      <c r="AF206" s="1312"/>
      <c r="AG206" s="1312"/>
      <c r="AH206" s="1312"/>
      <c r="AI206" s="1312"/>
      <c r="AJ206" s="1312"/>
      <c r="AK206" s="1312"/>
      <c r="AL206" s="1312"/>
      <c r="AM206" s="1312"/>
      <c r="AN206" s="1312"/>
      <c r="AO206" s="1312"/>
      <c r="AP206" s="1312"/>
      <c r="AQ206" s="1312"/>
      <c r="AR206" s="1312"/>
      <c r="AS206" s="1312"/>
      <c r="AT206" s="1312"/>
      <c r="AU206" s="1313"/>
      <c r="AV206" s="1313"/>
      <c r="AW206" s="1313"/>
      <c r="AX206" s="1313"/>
      <c r="AY206" s="1313"/>
      <c r="AZ206" s="1313"/>
      <c r="BA206" s="1313"/>
      <c r="BB206" s="61"/>
      <c r="BC206" s="61"/>
      <c r="BD206" s="61"/>
      <c r="BE206" s="61"/>
      <c r="BF206" s="61"/>
      <c r="BG206" s="61"/>
      <c r="BH206" s="61"/>
      <c r="BI206" s="61"/>
      <c r="BJ206" s="61"/>
      <c r="BK206" s="61"/>
      <c r="BL206" s="61"/>
      <c r="BM206" s="61"/>
      <c r="BN206" s="61"/>
      <c r="BO206" s="61"/>
      <c r="BP206" s="61"/>
      <c r="BQ206" s="61"/>
      <c r="BR206" s="61"/>
      <c r="BS206" s="61"/>
      <c r="BT206" s="61"/>
      <c r="BU206" s="61"/>
      <c r="BV206" s="61"/>
      <c r="BW206" s="61"/>
      <c r="BX206" s="61"/>
      <c r="BY206" s="61"/>
      <c r="BZ206" s="61"/>
      <c r="CA206" s="61"/>
      <c r="CB206" s="61"/>
      <c r="CC206" s="61"/>
      <c r="CD206" s="61"/>
      <c r="CE206" s="61"/>
      <c r="CF206" s="61"/>
      <c r="CG206" s="61"/>
      <c r="CH206" s="61"/>
      <c r="CI206" s="61"/>
      <c r="CJ206" s="61"/>
      <c r="CK206" s="61"/>
    </row>
    <row r="207" spans="3:89" ht="18.75">
      <c r="C207" s="205"/>
      <c r="D207" s="209">
        <v>620</v>
      </c>
      <c r="E207" s="207"/>
      <c r="F207" s="202"/>
      <c r="G207" s="202"/>
      <c r="H207" s="202"/>
      <c r="I207" s="202"/>
      <c r="J207" s="202"/>
      <c r="K207" s="202"/>
      <c r="L207" s="202"/>
      <c r="M207" s="202"/>
      <c r="N207" s="202"/>
      <c r="O207" s="202"/>
      <c r="P207" s="202"/>
      <c r="Q207" s="202"/>
      <c r="R207" s="202"/>
      <c r="S207" s="202"/>
      <c r="T207" s="202"/>
      <c r="U207" s="206"/>
      <c r="V207" s="206"/>
      <c r="W207" s="202"/>
      <c r="X207" s="202"/>
      <c r="Y207" s="202"/>
      <c r="Z207" s="1312"/>
      <c r="AA207" s="1312"/>
      <c r="AB207" s="1314"/>
      <c r="AC207" s="1312"/>
      <c r="AD207" s="1312"/>
      <c r="AE207" s="1312"/>
      <c r="AF207" s="1312"/>
      <c r="AG207" s="1312"/>
      <c r="AH207" s="1312"/>
      <c r="AI207" s="1312"/>
      <c r="AJ207" s="1312"/>
      <c r="AK207" s="1312"/>
      <c r="AL207" s="1312"/>
      <c r="AM207" s="1312"/>
      <c r="AN207" s="1312"/>
      <c r="AO207" s="1312"/>
      <c r="AP207" s="1312"/>
      <c r="AQ207" s="1312"/>
      <c r="AR207" s="1312"/>
      <c r="AS207" s="1312"/>
      <c r="AT207" s="1312"/>
      <c r="AU207" s="1313"/>
      <c r="AV207" s="1313"/>
      <c r="AW207" s="1313"/>
      <c r="AX207" s="1313"/>
      <c r="AY207" s="1313"/>
      <c r="AZ207" s="1313"/>
      <c r="BA207" s="1313"/>
      <c r="BB207" s="61"/>
      <c r="BC207" s="61"/>
      <c r="BD207" s="61"/>
      <c r="BE207" s="61"/>
      <c r="BF207" s="61"/>
      <c r="BG207" s="61"/>
      <c r="BH207" s="61"/>
      <c r="BI207" s="61"/>
      <c r="BJ207" s="61"/>
      <c r="BK207" s="61"/>
      <c r="BL207" s="61"/>
      <c r="BM207" s="61"/>
      <c r="BN207" s="61"/>
      <c r="BO207" s="61"/>
      <c r="BP207" s="61"/>
      <c r="BQ207" s="61"/>
      <c r="BR207" s="61"/>
      <c r="BS207" s="61"/>
      <c r="BT207" s="61"/>
      <c r="BU207" s="61"/>
      <c r="BV207" s="61"/>
      <c r="BW207" s="61"/>
      <c r="BX207" s="61"/>
      <c r="BY207" s="61"/>
      <c r="BZ207" s="61"/>
      <c r="CA207" s="61"/>
      <c r="CB207" s="61"/>
      <c r="CC207" s="61"/>
      <c r="CD207" s="61"/>
      <c r="CE207" s="61"/>
      <c r="CF207" s="61"/>
      <c r="CG207" s="61"/>
      <c r="CH207" s="61"/>
      <c r="CI207" s="61"/>
      <c r="CJ207" s="61"/>
      <c r="CK207" s="61"/>
    </row>
    <row r="208" spans="3:89" ht="18.75">
      <c r="C208" s="205"/>
      <c r="D208" s="209">
        <v>621</v>
      </c>
      <c r="E208" s="207"/>
      <c r="F208" s="202"/>
      <c r="G208" s="202"/>
      <c r="H208" s="202"/>
      <c r="I208" s="202"/>
      <c r="J208" s="202"/>
      <c r="K208" s="202"/>
      <c r="L208" s="202"/>
      <c r="M208" s="202"/>
      <c r="N208" s="202"/>
      <c r="O208" s="202"/>
      <c r="P208" s="202"/>
      <c r="Q208" s="202"/>
      <c r="R208" s="202"/>
      <c r="S208" s="202"/>
      <c r="T208" s="202"/>
      <c r="U208" s="206"/>
      <c r="V208" s="206"/>
      <c r="W208" s="202"/>
      <c r="X208" s="202"/>
      <c r="Y208" s="202"/>
      <c r="Z208" s="1312"/>
      <c r="AA208" s="1312"/>
      <c r="AB208" s="1314"/>
      <c r="AC208" s="1312"/>
      <c r="AD208" s="1312"/>
      <c r="AE208" s="1312"/>
      <c r="AF208" s="1312"/>
      <c r="AG208" s="1312"/>
      <c r="AH208" s="1312"/>
      <c r="AI208" s="1312"/>
      <c r="AJ208" s="1312"/>
      <c r="AK208" s="1312"/>
      <c r="AL208" s="1312"/>
      <c r="AM208" s="1312"/>
      <c r="AN208" s="1312"/>
      <c r="AO208" s="1312"/>
      <c r="AP208" s="1312"/>
      <c r="AQ208" s="1312"/>
      <c r="AR208" s="1312"/>
      <c r="AS208" s="1312"/>
      <c r="AT208" s="1312"/>
      <c r="AU208" s="1313"/>
      <c r="AV208" s="1313"/>
      <c r="AW208" s="1313"/>
      <c r="AX208" s="1313"/>
      <c r="AY208" s="1313"/>
      <c r="AZ208" s="1313"/>
      <c r="BA208" s="1313"/>
      <c r="BB208" s="61"/>
      <c r="BC208" s="61"/>
      <c r="BD208" s="61"/>
      <c r="BE208" s="61"/>
      <c r="BF208" s="61"/>
      <c r="BG208" s="61"/>
      <c r="BH208" s="61"/>
      <c r="BI208" s="61"/>
      <c r="BJ208" s="61"/>
      <c r="BK208" s="61"/>
      <c r="BL208" s="61"/>
      <c r="BM208" s="61"/>
      <c r="BN208" s="61"/>
      <c r="BO208" s="61"/>
      <c r="BP208" s="61"/>
      <c r="BQ208" s="61"/>
      <c r="BR208" s="61"/>
      <c r="BS208" s="61"/>
      <c r="BT208" s="61"/>
      <c r="BU208" s="61"/>
      <c r="BV208" s="61"/>
      <c r="BW208" s="61"/>
      <c r="BX208" s="61"/>
      <c r="BY208" s="61"/>
      <c r="BZ208" s="61"/>
      <c r="CA208" s="61"/>
      <c r="CB208" s="61"/>
      <c r="CC208" s="61"/>
      <c r="CD208" s="61"/>
      <c r="CE208" s="61"/>
      <c r="CF208" s="61"/>
      <c r="CG208" s="61"/>
      <c r="CH208" s="61"/>
      <c r="CI208" s="61"/>
      <c r="CJ208" s="61"/>
      <c r="CK208" s="61"/>
    </row>
    <row r="209" spans="3:89" ht="18.75">
      <c r="C209" s="205"/>
      <c r="D209" s="209">
        <v>622</v>
      </c>
      <c r="E209" s="207"/>
      <c r="F209" s="202"/>
      <c r="G209" s="202"/>
      <c r="H209" s="202"/>
      <c r="I209" s="202"/>
      <c r="J209" s="202"/>
      <c r="K209" s="202"/>
      <c r="L209" s="202"/>
      <c r="M209" s="202"/>
      <c r="N209" s="202"/>
      <c r="O209" s="202"/>
      <c r="P209" s="202"/>
      <c r="Q209" s="202"/>
      <c r="R209" s="202"/>
      <c r="S209" s="202"/>
      <c r="T209" s="202"/>
      <c r="U209" s="206"/>
      <c r="V209" s="206"/>
      <c r="W209" s="202"/>
      <c r="X209" s="202"/>
      <c r="Y209" s="202"/>
      <c r="Z209" s="1312"/>
      <c r="AA209" s="1312"/>
      <c r="AB209" s="1314"/>
      <c r="AC209" s="1312"/>
      <c r="AD209" s="1312"/>
      <c r="AE209" s="1312"/>
      <c r="AF209" s="1312"/>
      <c r="AG209" s="1312"/>
      <c r="AH209" s="1312"/>
      <c r="AI209" s="1312"/>
      <c r="AJ209" s="1312"/>
      <c r="AK209" s="1312"/>
      <c r="AL209" s="1312"/>
      <c r="AM209" s="1312"/>
      <c r="AN209" s="1312"/>
      <c r="AO209" s="1312"/>
      <c r="AP209" s="1312"/>
      <c r="AQ209" s="1312"/>
      <c r="AR209" s="1312"/>
      <c r="AS209" s="1312"/>
      <c r="AT209" s="1312"/>
      <c r="AU209" s="1313"/>
      <c r="AV209" s="1313"/>
      <c r="AW209" s="1313"/>
      <c r="AX209" s="1313"/>
      <c r="AY209" s="1313"/>
      <c r="AZ209" s="1313"/>
      <c r="BA209" s="1313"/>
      <c r="BB209" s="61"/>
      <c r="BC209" s="61"/>
      <c r="BD209" s="61"/>
      <c r="BE209" s="61"/>
      <c r="BF209" s="61"/>
      <c r="BG209" s="61"/>
      <c r="BH209" s="61"/>
      <c r="BI209" s="61"/>
      <c r="BJ209" s="61"/>
      <c r="BK209" s="61"/>
      <c r="BL209" s="61"/>
      <c r="BM209" s="61"/>
      <c r="BN209" s="61"/>
      <c r="BO209" s="61"/>
      <c r="BP209" s="61"/>
      <c r="BQ209" s="61"/>
      <c r="BR209" s="61"/>
      <c r="BS209" s="61"/>
      <c r="BT209" s="61"/>
      <c r="BU209" s="61"/>
      <c r="BV209" s="61"/>
      <c r="BW209" s="61"/>
      <c r="BX209" s="61"/>
      <c r="BY209" s="61"/>
      <c r="BZ209" s="61"/>
      <c r="CA209" s="61"/>
      <c r="CB209" s="61"/>
      <c r="CC209" s="61"/>
      <c r="CD209" s="61"/>
      <c r="CE209" s="61"/>
      <c r="CF209" s="61"/>
      <c r="CG209" s="61"/>
      <c r="CH209" s="61"/>
      <c r="CI209" s="61"/>
      <c r="CJ209" s="61"/>
      <c r="CK209" s="61"/>
    </row>
    <row r="210" spans="3:89" ht="18.75">
      <c r="C210" s="205"/>
      <c r="D210" s="209">
        <v>623</v>
      </c>
      <c r="E210" s="207"/>
      <c r="F210" s="202"/>
      <c r="G210" s="202"/>
      <c r="H210" s="202"/>
      <c r="I210" s="202"/>
      <c r="J210" s="202"/>
      <c r="K210" s="202"/>
      <c r="L210" s="202"/>
      <c r="M210" s="202"/>
      <c r="N210" s="202"/>
      <c r="O210" s="202"/>
      <c r="P210" s="202"/>
      <c r="Q210" s="202"/>
      <c r="R210" s="202"/>
      <c r="S210" s="202"/>
      <c r="T210" s="202"/>
      <c r="U210" s="202"/>
      <c r="V210" s="202"/>
      <c r="W210" s="202"/>
      <c r="X210" s="202"/>
      <c r="Y210" s="202"/>
      <c r="Z210" s="1312"/>
      <c r="AA210" s="1312"/>
      <c r="AB210" s="1314"/>
      <c r="AC210" s="1312"/>
      <c r="AD210" s="1312"/>
      <c r="AE210" s="1312"/>
      <c r="AF210" s="1312"/>
      <c r="AG210" s="1312"/>
      <c r="AH210" s="1312"/>
      <c r="AI210" s="1312"/>
      <c r="AJ210" s="1312"/>
      <c r="AK210" s="1312"/>
      <c r="AL210" s="1312"/>
      <c r="AM210" s="1312"/>
      <c r="AN210" s="1312"/>
      <c r="AO210" s="1312"/>
      <c r="AP210" s="1312"/>
      <c r="AQ210" s="1312"/>
      <c r="AR210" s="1312"/>
      <c r="AS210" s="1312"/>
      <c r="AT210" s="1312"/>
      <c r="AU210" s="1313"/>
      <c r="AV210" s="1313"/>
      <c r="AW210" s="1313"/>
      <c r="AX210" s="1313"/>
      <c r="AY210" s="1313"/>
      <c r="AZ210" s="1313"/>
      <c r="BA210" s="1313"/>
      <c r="BB210" s="61"/>
      <c r="BC210" s="61"/>
      <c r="BD210" s="61"/>
      <c r="BE210" s="61"/>
      <c r="BF210" s="61"/>
      <c r="BG210" s="61"/>
      <c r="BH210" s="61"/>
      <c r="BI210" s="61"/>
      <c r="BJ210" s="61"/>
      <c r="BK210" s="61"/>
      <c r="BL210" s="61"/>
      <c r="BM210" s="61"/>
      <c r="BN210" s="61"/>
      <c r="BO210" s="61"/>
      <c r="BP210" s="61"/>
      <c r="BQ210" s="61"/>
      <c r="BR210" s="61"/>
      <c r="BS210" s="61"/>
      <c r="BT210" s="61"/>
      <c r="BU210" s="61"/>
      <c r="BV210" s="61"/>
      <c r="BW210" s="61"/>
      <c r="BX210" s="61"/>
      <c r="BY210" s="61"/>
      <c r="BZ210" s="61"/>
      <c r="CA210" s="61"/>
      <c r="CB210" s="61"/>
      <c r="CC210" s="61"/>
      <c r="CD210" s="61"/>
      <c r="CE210" s="61"/>
      <c r="CF210" s="61"/>
      <c r="CG210" s="61"/>
      <c r="CH210" s="61"/>
      <c r="CI210" s="61"/>
      <c r="CJ210" s="61"/>
      <c r="CK210" s="61"/>
    </row>
    <row r="211" spans="3:89" ht="18.75">
      <c r="C211" s="205"/>
      <c r="D211" s="209">
        <v>650</v>
      </c>
      <c r="E211" s="207"/>
      <c r="F211" s="202"/>
      <c r="G211" s="202"/>
      <c r="H211" s="202"/>
      <c r="I211" s="202"/>
      <c r="J211" s="202"/>
      <c r="K211" s="202"/>
      <c r="L211" s="202"/>
      <c r="M211" s="202"/>
      <c r="N211" s="202"/>
      <c r="O211" s="202"/>
      <c r="P211" s="202"/>
      <c r="Q211" s="202"/>
      <c r="R211" s="202"/>
      <c r="S211" s="202"/>
      <c r="T211" s="202"/>
      <c r="U211" s="202"/>
      <c r="V211" s="202"/>
      <c r="W211" s="202"/>
      <c r="X211" s="202"/>
      <c r="Y211" s="202"/>
      <c r="Z211" s="1312"/>
      <c r="AA211" s="1312"/>
      <c r="AB211" s="1315"/>
      <c r="AC211" s="1312"/>
      <c r="AD211" s="1312"/>
      <c r="AE211" s="1312"/>
      <c r="AF211" s="1312"/>
      <c r="AG211" s="1312"/>
      <c r="AH211" s="1312"/>
      <c r="AI211" s="1312"/>
      <c r="AJ211" s="1312"/>
      <c r="AK211" s="1312"/>
      <c r="AL211" s="1312"/>
      <c r="AM211" s="1312"/>
      <c r="AN211" s="1312"/>
      <c r="AO211" s="1312"/>
      <c r="AP211" s="1312"/>
      <c r="AQ211" s="1312"/>
      <c r="AR211" s="1312"/>
      <c r="AS211" s="1312"/>
      <c r="AT211" s="1312"/>
      <c r="AU211" s="1313"/>
      <c r="AV211" s="1313"/>
      <c r="AW211" s="1313"/>
      <c r="AX211" s="1313"/>
      <c r="AY211" s="1313"/>
      <c r="AZ211" s="1313"/>
      <c r="BA211" s="1313"/>
      <c r="BB211" s="61"/>
      <c r="BC211" s="61"/>
      <c r="BD211" s="61"/>
      <c r="BE211" s="61"/>
      <c r="BF211" s="61"/>
      <c r="BG211" s="61"/>
      <c r="BH211" s="61"/>
      <c r="BI211" s="61"/>
      <c r="BJ211" s="61"/>
      <c r="BK211" s="61"/>
      <c r="BL211" s="61"/>
      <c r="BM211" s="61"/>
      <c r="BN211" s="61"/>
      <c r="BO211" s="61"/>
      <c r="BP211" s="61"/>
      <c r="BQ211" s="61"/>
      <c r="BR211" s="61"/>
      <c r="BS211" s="61"/>
      <c r="BT211" s="61"/>
      <c r="BU211" s="61"/>
      <c r="BV211" s="61"/>
      <c r="BW211" s="61"/>
      <c r="BX211" s="61"/>
      <c r="BY211" s="61"/>
      <c r="BZ211" s="61"/>
      <c r="CA211" s="61"/>
      <c r="CB211" s="61"/>
      <c r="CC211" s="61"/>
      <c r="CD211" s="61"/>
      <c r="CE211" s="61"/>
      <c r="CF211" s="61"/>
      <c r="CG211" s="61"/>
      <c r="CH211" s="61"/>
      <c r="CI211" s="61"/>
      <c r="CJ211" s="61"/>
      <c r="CK211" s="61"/>
    </row>
    <row r="212" spans="3:89" ht="18.75">
      <c r="C212" s="205"/>
      <c r="D212" s="209">
        <v>651</v>
      </c>
      <c r="E212" s="207"/>
      <c r="F212" s="202"/>
      <c r="G212" s="202"/>
      <c r="H212" s="202"/>
      <c r="I212" s="202"/>
      <c r="J212" s="202"/>
      <c r="K212" s="202"/>
      <c r="L212" s="202"/>
      <c r="M212" s="202"/>
      <c r="N212" s="202"/>
      <c r="O212" s="202"/>
      <c r="P212" s="202"/>
      <c r="Q212" s="202"/>
      <c r="R212" s="202"/>
      <c r="S212" s="202"/>
      <c r="T212" s="202"/>
      <c r="U212" s="202"/>
      <c r="V212" s="202"/>
      <c r="W212" s="202"/>
      <c r="X212" s="202"/>
      <c r="Y212" s="202"/>
      <c r="Z212" s="1312"/>
      <c r="AA212" s="1312"/>
      <c r="AB212" s="1314"/>
      <c r="AC212" s="1312"/>
      <c r="AD212" s="1312"/>
      <c r="AE212" s="1312"/>
      <c r="AF212" s="1312"/>
      <c r="AG212" s="1312"/>
      <c r="AH212" s="1312"/>
      <c r="AI212" s="1312"/>
      <c r="AJ212" s="1312"/>
      <c r="AK212" s="1312"/>
      <c r="AL212" s="1312"/>
      <c r="AM212" s="1312"/>
      <c r="AN212" s="1312"/>
      <c r="AO212" s="1312"/>
      <c r="AP212" s="1312"/>
      <c r="AQ212" s="1312"/>
      <c r="AR212" s="1312"/>
      <c r="AS212" s="1312"/>
      <c r="AT212" s="1312"/>
      <c r="AU212" s="1313"/>
      <c r="AV212" s="1313"/>
      <c r="AW212" s="1313"/>
      <c r="AX212" s="1313"/>
      <c r="AY212" s="1313"/>
      <c r="AZ212" s="1313"/>
      <c r="BA212" s="1313"/>
      <c r="BB212" s="61"/>
      <c r="BC212" s="61"/>
      <c r="BD212" s="61"/>
      <c r="BE212" s="61"/>
      <c r="BF212" s="61"/>
      <c r="BG212" s="61"/>
      <c r="BH212" s="61"/>
      <c r="BI212" s="61"/>
      <c r="BJ212" s="61"/>
      <c r="BK212" s="61"/>
      <c r="BL212" s="61"/>
      <c r="BM212" s="61"/>
      <c r="BN212" s="61"/>
      <c r="BO212" s="61"/>
      <c r="BP212" s="61"/>
      <c r="BQ212" s="61"/>
      <c r="BR212" s="61"/>
      <c r="BS212" s="61"/>
      <c r="BT212" s="61"/>
      <c r="BU212" s="61"/>
      <c r="BV212" s="61"/>
      <c r="BW212" s="61"/>
      <c r="BX212" s="61"/>
      <c r="BY212" s="61"/>
      <c r="BZ212" s="61"/>
      <c r="CA212" s="61"/>
      <c r="CB212" s="61"/>
      <c r="CC212" s="61"/>
      <c r="CD212" s="61"/>
      <c r="CE212" s="61"/>
      <c r="CF212" s="61"/>
      <c r="CG212" s="61"/>
      <c r="CH212" s="61"/>
      <c r="CI212" s="61"/>
      <c r="CJ212" s="61"/>
      <c r="CK212" s="61"/>
    </row>
    <row r="213" spans="3:89" ht="18.75">
      <c r="C213" s="205"/>
      <c r="D213" s="209">
        <v>652</v>
      </c>
      <c r="E213" s="207"/>
      <c r="F213" s="202"/>
      <c r="G213" s="202"/>
      <c r="H213" s="202"/>
      <c r="I213" s="202"/>
      <c r="J213" s="202"/>
      <c r="K213" s="202"/>
      <c r="L213" s="202"/>
      <c r="M213" s="202"/>
      <c r="N213" s="202"/>
      <c r="O213" s="202"/>
      <c r="P213" s="202"/>
      <c r="Q213" s="202"/>
      <c r="R213" s="202"/>
      <c r="S213" s="202"/>
      <c r="T213" s="202"/>
      <c r="U213" s="202"/>
      <c r="V213" s="202"/>
      <c r="W213" s="202"/>
      <c r="X213" s="202"/>
      <c r="Y213" s="202"/>
      <c r="Z213" s="1312"/>
      <c r="AA213" s="1312"/>
      <c r="AB213" s="1314"/>
      <c r="AC213" s="1312"/>
      <c r="AD213" s="1312"/>
      <c r="AE213" s="1312"/>
      <c r="AF213" s="1312"/>
      <c r="AG213" s="1312"/>
      <c r="AH213" s="1312"/>
      <c r="AI213" s="1312"/>
      <c r="AJ213" s="1312"/>
      <c r="AK213" s="1312"/>
      <c r="AL213" s="1312"/>
      <c r="AM213" s="1312"/>
      <c r="AN213" s="1312"/>
      <c r="AO213" s="1312"/>
      <c r="AP213" s="1312"/>
      <c r="AQ213" s="1312"/>
      <c r="AR213" s="1312"/>
      <c r="AS213" s="1312"/>
      <c r="AT213" s="1312"/>
      <c r="AU213" s="1313"/>
      <c r="AV213" s="1313"/>
      <c r="AW213" s="1313"/>
      <c r="AX213" s="1313"/>
      <c r="AY213" s="1313"/>
      <c r="AZ213" s="1313"/>
      <c r="BA213" s="1313"/>
      <c r="BB213" s="61"/>
      <c r="BC213" s="61"/>
      <c r="BD213" s="61"/>
      <c r="BE213" s="61"/>
      <c r="BF213" s="61"/>
      <c r="BG213" s="61"/>
      <c r="BH213" s="61"/>
      <c r="BI213" s="61"/>
      <c r="BJ213" s="61"/>
      <c r="BK213" s="61"/>
      <c r="BL213" s="61"/>
      <c r="BM213" s="61"/>
      <c r="BN213" s="61"/>
      <c r="BO213" s="61"/>
      <c r="BP213" s="61"/>
      <c r="BQ213" s="61"/>
      <c r="BR213" s="61"/>
      <c r="BS213" s="61"/>
      <c r="BT213" s="61"/>
      <c r="BU213" s="61"/>
      <c r="BV213" s="61"/>
      <c r="BW213" s="61"/>
      <c r="BX213" s="61"/>
      <c r="BY213" s="61"/>
      <c r="BZ213" s="61"/>
      <c r="CA213" s="61"/>
      <c r="CB213" s="61"/>
      <c r="CC213" s="61"/>
      <c r="CD213" s="61"/>
      <c r="CE213" s="61"/>
      <c r="CF213" s="61"/>
      <c r="CG213" s="61"/>
      <c r="CH213" s="61"/>
      <c r="CI213" s="61"/>
      <c r="CJ213" s="61"/>
      <c r="CK213" s="61"/>
    </row>
    <row r="214" spans="3:89" ht="18.75">
      <c r="C214" s="205"/>
      <c r="D214" s="209">
        <v>653</v>
      </c>
      <c r="E214" s="207"/>
      <c r="F214" s="202"/>
      <c r="G214" s="202"/>
      <c r="H214" s="202"/>
      <c r="I214" s="202"/>
      <c r="J214" s="202"/>
      <c r="K214" s="202"/>
      <c r="L214" s="202"/>
      <c r="M214" s="202"/>
      <c r="N214" s="202"/>
      <c r="O214" s="202"/>
      <c r="P214" s="202"/>
      <c r="Q214" s="202"/>
      <c r="R214" s="202"/>
      <c r="S214" s="202"/>
      <c r="T214" s="202"/>
      <c r="U214" s="202"/>
      <c r="V214" s="202"/>
      <c r="W214" s="202"/>
      <c r="X214" s="202"/>
      <c r="Y214" s="202"/>
      <c r="Z214" s="1312"/>
      <c r="AA214" s="1312"/>
      <c r="AB214" s="1314"/>
      <c r="AC214" s="1312"/>
      <c r="AD214" s="1312"/>
      <c r="AE214" s="1312"/>
      <c r="AF214" s="1312"/>
      <c r="AG214" s="1312"/>
      <c r="AH214" s="1312"/>
      <c r="AI214" s="1312"/>
      <c r="AJ214" s="1312"/>
      <c r="AK214" s="1312"/>
      <c r="AL214" s="1312"/>
      <c r="AM214" s="1312"/>
      <c r="AN214" s="1312"/>
      <c r="AO214" s="1312"/>
      <c r="AP214" s="1312"/>
      <c r="AQ214" s="1312"/>
      <c r="AR214" s="1312"/>
      <c r="AS214" s="1312"/>
      <c r="AT214" s="1312"/>
      <c r="AU214" s="1313"/>
      <c r="AV214" s="1313"/>
      <c r="AW214" s="1313"/>
      <c r="AX214" s="1313"/>
      <c r="AY214" s="1313"/>
      <c r="AZ214" s="1313"/>
      <c r="BA214" s="1313"/>
      <c r="BB214" s="61"/>
      <c r="BC214" s="61"/>
      <c r="BD214" s="61"/>
      <c r="BE214" s="61"/>
      <c r="BF214" s="61"/>
      <c r="BG214" s="61"/>
      <c r="BH214" s="61"/>
      <c r="BI214" s="61"/>
      <c r="BJ214" s="61"/>
      <c r="BK214" s="61"/>
      <c r="BL214" s="61"/>
      <c r="BM214" s="61"/>
      <c r="BN214" s="61"/>
      <c r="BO214" s="61"/>
      <c r="BP214" s="61"/>
      <c r="BQ214" s="61"/>
      <c r="BR214" s="61"/>
      <c r="BS214" s="61"/>
      <c r="BT214" s="61"/>
      <c r="BU214" s="61"/>
      <c r="BV214" s="61"/>
      <c r="BW214" s="61"/>
      <c r="BX214" s="61"/>
      <c r="BY214" s="61"/>
      <c r="BZ214" s="61"/>
      <c r="CA214" s="61"/>
      <c r="CB214" s="61"/>
      <c r="CC214" s="61"/>
      <c r="CD214" s="61"/>
      <c r="CE214" s="61"/>
      <c r="CF214" s="61"/>
      <c r="CG214" s="61"/>
      <c r="CH214" s="61"/>
      <c r="CI214" s="61"/>
      <c r="CJ214" s="61"/>
      <c r="CK214" s="61"/>
    </row>
    <row r="215" spans="3:89" ht="18.75">
      <c r="C215" s="205"/>
      <c r="D215" s="209">
        <v>654</v>
      </c>
      <c r="E215" s="207"/>
      <c r="F215" s="202"/>
      <c r="G215" s="202"/>
      <c r="H215" s="202"/>
      <c r="I215" s="202"/>
      <c r="J215" s="202"/>
      <c r="K215" s="202"/>
      <c r="L215" s="202"/>
      <c r="M215" s="202"/>
      <c r="N215" s="202"/>
      <c r="O215" s="202"/>
      <c r="P215" s="202"/>
      <c r="Q215" s="202"/>
      <c r="R215" s="202"/>
      <c r="S215" s="202"/>
      <c r="T215" s="202"/>
      <c r="U215" s="202"/>
      <c r="V215" s="202"/>
      <c r="W215" s="202"/>
      <c r="X215" s="202"/>
      <c r="Y215" s="202"/>
      <c r="Z215" s="1312"/>
      <c r="AA215" s="1312"/>
      <c r="AB215" s="1315"/>
      <c r="AC215" s="1312"/>
      <c r="AD215" s="1312"/>
      <c r="AE215" s="1312"/>
      <c r="AF215" s="1312"/>
      <c r="AG215" s="1312"/>
      <c r="AH215" s="1312"/>
      <c r="AI215" s="1312"/>
      <c r="AJ215" s="1312"/>
      <c r="AK215" s="1312"/>
      <c r="AL215" s="1312"/>
      <c r="AM215" s="1312"/>
      <c r="AN215" s="1312"/>
      <c r="AO215" s="1312"/>
      <c r="AP215" s="1312"/>
      <c r="AQ215" s="1312"/>
      <c r="AR215" s="1312"/>
      <c r="AS215" s="1312"/>
      <c r="AT215" s="1312"/>
      <c r="AU215" s="1313"/>
      <c r="AV215" s="1313"/>
      <c r="AW215" s="1313"/>
      <c r="AX215" s="1313"/>
      <c r="AY215" s="1313"/>
      <c r="AZ215" s="1313"/>
      <c r="BA215" s="1313"/>
      <c r="BB215" s="61"/>
      <c r="BC215" s="61"/>
      <c r="BD215" s="61"/>
      <c r="BE215" s="61"/>
      <c r="BF215" s="61"/>
      <c r="BG215" s="61"/>
      <c r="BH215" s="61"/>
      <c r="BI215" s="61"/>
      <c r="BJ215" s="61"/>
      <c r="BK215" s="61"/>
      <c r="BL215" s="61"/>
      <c r="BM215" s="61"/>
      <c r="BN215" s="61"/>
      <c r="BO215" s="61"/>
      <c r="BP215" s="61"/>
      <c r="BQ215" s="61"/>
      <c r="BR215" s="61"/>
      <c r="BS215" s="61"/>
      <c r="BT215" s="61"/>
      <c r="BU215" s="61"/>
      <c r="BV215" s="61"/>
      <c r="BW215" s="61"/>
      <c r="BX215" s="61"/>
      <c r="BY215" s="61"/>
      <c r="BZ215" s="61"/>
      <c r="CA215" s="61"/>
      <c r="CB215" s="61"/>
      <c r="CC215" s="61"/>
      <c r="CD215" s="61"/>
      <c r="CE215" s="61"/>
      <c r="CF215" s="61"/>
      <c r="CG215" s="61"/>
      <c r="CH215" s="61"/>
      <c r="CI215" s="61"/>
      <c r="CJ215" s="61"/>
      <c r="CK215" s="61"/>
    </row>
    <row r="216" spans="3:89" ht="18.75">
      <c r="C216" s="205"/>
      <c r="D216" s="209">
        <v>655</v>
      </c>
      <c r="E216" s="207"/>
      <c r="F216" s="202"/>
      <c r="G216" s="202"/>
      <c r="H216" s="202"/>
      <c r="I216" s="202"/>
      <c r="J216" s="202"/>
      <c r="K216" s="202"/>
      <c r="L216" s="202"/>
      <c r="M216" s="202"/>
      <c r="N216" s="202"/>
      <c r="O216" s="202"/>
      <c r="P216" s="202"/>
      <c r="Q216" s="202"/>
      <c r="R216" s="202"/>
      <c r="S216" s="202"/>
      <c r="T216" s="202"/>
      <c r="U216" s="202"/>
      <c r="V216" s="202"/>
      <c r="W216" s="202"/>
      <c r="X216" s="202"/>
      <c r="Y216" s="202"/>
      <c r="Z216" s="1312"/>
      <c r="AA216" s="1312"/>
      <c r="AB216" s="1314"/>
      <c r="AC216" s="1312"/>
      <c r="AD216" s="1312"/>
      <c r="AE216" s="1312"/>
      <c r="AF216" s="1312"/>
      <c r="AG216" s="1312"/>
      <c r="AH216" s="1312"/>
      <c r="AI216" s="1312"/>
      <c r="AJ216" s="1312"/>
      <c r="AK216" s="1312"/>
      <c r="AL216" s="1312"/>
      <c r="AM216" s="1312"/>
      <c r="AN216" s="1312"/>
      <c r="AO216" s="1312"/>
      <c r="AP216" s="1312"/>
      <c r="AQ216" s="1312"/>
      <c r="AR216" s="1312"/>
      <c r="AS216" s="1312"/>
      <c r="AT216" s="1312"/>
      <c r="AU216" s="1313"/>
      <c r="AV216" s="1313"/>
      <c r="AW216" s="1313"/>
      <c r="AX216" s="1313"/>
      <c r="AY216" s="1313"/>
      <c r="AZ216" s="1313"/>
      <c r="BA216" s="1313"/>
      <c r="BB216" s="61"/>
      <c r="BC216" s="61"/>
      <c r="BD216" s="61"/>
      <c r="BE216" s="61"/>
      <c r="BF216" s="61"/>
      <c r="BG216" s="61"/>
      <c r="BH216" s="61"/>
      <c r="BI216" s="61"/>
      <c r="BJ216" s="61"/>
      <c r="BK216" s="61"/>
      <c r="BL216" s="61"/>
      <c r="BM216" s="61"/>
      <c r="BN216" s="61"/>
      <c r="BO216" s="61"/>
      <c r="BP216" s="61"/>
      <c r="BQ216" s="61"/>
      <c r="BR216" s="61"/>
      <c r="BS216" s="61"/>
      <c r="BT216" s="61"/>
      <c r="BU216" s="61"/>
      <c r="BV216" s="61"/>
      <c r="BW216" s="61"/>
      <c r="BX216" s="61"/>
      <c r="BY216" s="61"/>
      <c r="BZ216" s="61"/>
      <c r="CA216" s="61"/>
      <c r="CB216" s="61"/>
      <c r="CC216" s="61"/>
      <c r="CD216" s="61"/>
      <c r="CE216" s="61"/>
      <c r="CF216" s="61"/>
      <c r="CG216" s="61"/>
      <c r="CH216" s="61"/>
      <c r="CI216" s="61"/>
      <c r="CJ216" s="61"/>
      <c r="CK216" s="61"/>
    </row>
    <row r="217" spans="3:89" ht="18.75">
      <c r="C217" s="205"/>
      <c r="D217" s="209">
        <v>656</v>
      </c>
      <c r="E217" s="207"/>
      <c r="F217" s="202"/>
      <c r="G217" s="202"/>
      <c r="H217" s="202"/>
      <c r="I217" s="202"/>
      <c r="J217" s="202"/>
      <c r="K217" s="202"/>
      <c r="L217" s="202"/>
      <c r="M217" s="202"/>
      <c r="N217" s="202"/>
      <c r="O217" s="202"/>
      <c r="P217" s="202"/>
      <c r="Q217" s="202"/>
      <c r="R217" s="202"/>
      <c r="S217" s="202"/>
      <c r="T217" s="202"/>
      <c r="U217" s="202"/>
      <c r="V217" s="202"/>
      <c r="W217" s="202"/>
      <c r="X217" s="202"/>
      <c r="Y217" s="202"/>
      <c r="Z217" s="1312"/>
      <c r="AA217" s="1312"/>
      <c r="AB217" s="1314"/>
      <c r="AC217" s="1312"/>
      <c r="AD217" s="1312"/>
      <c r="AE217" s="1312"/>
      <c r="AF217" s="1312"/>
      <c r="AG217" s="1312"/>
      <c r="AH217" s="1312"/>
      <c r="AI217" s="1312"/>
      <c r="AJ217" s="1312"/>
      <c r="AK217" s="1312"/>
      <c r="AL217" s="1312"/>
      <c r="AM217" s="1312"/>
      <c r="AN217" s="1312"/>
      <c r="AO217" s="1312"/>
      <c r="AP217" s="1312"/>
      <c r="AQ217" s="1312"/>
      <c r="AR217" s="1312"/>
      <c r="AS217" s="1312"/>
      <c r="AT217" s="1312"/>
      <c r="AU217" s="1313"/>
      <c r="AV217" s="1313"/>
      <c r="AW217" s="1313"/>
      <c r="AX217" s="1313"/>
      <c r="AY217" s="1313"/>
      <c r="AZ217" s="1313"/>
      <c r="BA217" s="1313"/>
      <c r="BB217" s="61"/>
      <c r="BC217" s="61"/>
      <c r="BD217" s="61"/>
      <c r="BE217" s="61"/>
      <c r="BF217" s="61"/>
      <c r="BG217" s="61"/>
      <c r="BH217" s="61"/>
      <c r="BI217" s="61"/>
      <c r="BJ217" s="61"/>
      <c r="BK217" s="61"/>
      <c r="BL217" s="61"/>
      <c r="BM217" s="61"/>
      <c r="BN217" s="61"/>
      <c r="BO217" s="61"/>
      <c r="BP217" s="61"/>
      <c r="BQ217" s="61"/>
      <c r="BR217" s="61"/>
      <c r="BS217" s="61"/>
      <c r="BT217" s="61"/>
      <c r="BU217" s="61"/>
      <c r="BV217" s="61"/>
      <c r="BW217" s="61"/>
      <c r="BX217" s="61"/>
      <c r="BY217" s="61"/>
      <c r="BZ217" s="61"/>
      <c r="CA217" s="61"/>
      <c r="CB217" s="61"/>
      <c r="CC217" s="61"/>
      <c r="CD217" s="61"/>
      <c r="CE217" s="61"/>
      <c r="CF217" s="61"/>
      <c r="CG217" s="61"/>
      <c r="CH217" s="61"/>
      <c r="CI217" s="61"/>
      <c r="CJ217" s="61"/>
      <c r="CK217" s="61"/>
    </row>
    <row r="218" spans="3:89" ht="18.75">
      <c r="C218" s="205"/>
      <c r="D218" s="209">
        <v>657</v>
      </c>
      <c r="E218" s="207"/>
      <c r="F218" s="202"/>
      <c r="G218" s="202"/>
      <c r="H218" s="202"/>
      <c r="I218" s="202"/>
      <c r="J218" s="202"/>
      <c r="K218" s="202"/>
      <c r="L218" s="202"/>
      <c r="M218" s="202"/>
      <c r="N218" s="202"/>
      <c r="O218" s="202"/>
      <c r="P218" s="202"/>
      <c r="Q218" s="202"/>
      <c r="R218" s="202"/>
      <c r="S218" s="202"/>
      <c r="T218" s="202"/>
      <c r="U218" s="202"/>
      <c r="V218" s="202"/>
      <c r="W218" s="202"/>
      <c r="X218" s="202"/>
      <c r="Y218" s="202"/>
      <c r="Z218" s="1312"/>
      <c r="AA218" s="1312"/>
      <c r="AB218" s="1314"/>
      <c r="AC218" s="1312"/>
      <c r="AD218" s="1312"/>
      <c r="AE218" s="1312"/>
      <c r="AF218" s="1312"/>
      <c r="AG218" s="1312"/>
      <c r="AH218" s="1312"/>
      <c r="AI218" s="1312"/>
      <c r="AJ218" s="1312"/>
      <c r="AK218" s="1312"/>
      <c r="AL218" s="1312"/>
      <c r="AM218" s="1312"/>
      <c r="AN218" s="1312"/>
      <c r="AO218" s="1312"/>
      <c r="AP218" s="1312"/>
      <c r="AQ218" s="1312"/>
      <c r="AR218" s="1312"/>
      <c r="AS218" s="1312"/>
      <c r="AT218" s="1312"/>
      <c r="AU218" s="1313"/>
      <c r="AV218" s="1313"/>
      <c r="AW218" s="1313"/>
      <c r="AX218" s="1313"/>
      <c r="AY218" s="1313"/>
      <c r="AZ218" s="1313"/>
      <c r="BA218" s="1313"/>
      <c r="BB218" s="61"/>
      <c r="BC218" s="61"/>
      <c r="BD218" s="61"/>
      <c r="BE218" s="61"/>
      <c r="BF218" s="61"/>
      <c r="BG218" s="61"/>
      <c r="BH218" s="61"/>
      <c r="BI218" s="61"/>
      <c r="BJ218" s="61"/>
      <c r="BK218" s="61"/>
      <c r="BL218" s="61"/>
      <c r="BM218" s="61"/>
      <c r="BN218" s="61"/>
      <c r="BO218" s="61"/>
      <c r="BP218" s="61"/>
      <c r="BQ218" s="61"/>
      <c r="BR218" s="61"/>
      <c r="BS218" s="61"/>
      <c r="BT218" s="61"/>
      <c r="BU218" s="61"/>
      <c r="BV218" s="61"/>
      <c r="BW218" s="61"/>
      <c r="BX218" s="61"/>
      <c r="BY218" s="61"/>
      <c r="BZ218" s="61"/>
      <c r="CA218" s="61"/>
      <c r="CB218" s="61"/>
      <c r="CC218" s="61"/>
      <c r="CD218" s="61"/>
      <c r="CE218" s="61"/>
      <c r="CF218" s="61"/>
      <c r="CG218" s="61"/>
      <c r="CH218" s="61"/>
      <c r="CI218" s="61"/>
      <c r="CJ218" s="61"/>
      <c r="CK218" s="61"/>
    </row>
    <row r="219" spans="3:89" ht="18.75">
      <c r="C219" s="205"/>
      <c r="D219" s="209">
        <v>658</v>
      </c>
      <c r="E219" s="207"/>
      <c r="F219" s="202"/>
      <c r="G219" s="202"/>
      <c r="H219" s="202"/>
      <c r="I219" s="202"/>
      <c r="J219" s="202"/>
      <c r="K219" s="202"/>
      <c r="L219" s="202"/>
      <c r="M219" s="202"/>
      <c r="N219" s="202"/>
      <c r="O219" s="202"/>
      <c r="P219" s="202"/>
      <c r="Q219" s="202"/>
      <c r="R219" s="202"/>
      <c r="S219" s="202"/>
      <c r="T219" s="202"/>
      <c r="U219" s="202"/>
      <c r="V219" s="202"/>
      <c r="W219" s="202"/>
      <c r="X219" s="202"/>
      <c r="Y219" s="202"/>
      <c r="Z219" s="1312"/>
      <c r="AA219" s="1312"/>
      <c r="AB219" s="1314"/>
      <c r="AC219" s="1312"/>
      <c r="AD219" s="1312"/>
      <c r="AE219" s="1312"/>
      <c r="AF219" s="1312"/>
      <c r="AG219" s="1312"/>
      <c r="AH219" s="1312"/>
      <c r="AI219" s="1312"/>
      <c r="AJ219" s="1312"/>
      <c r="AK219" s="1312"/>
      <c r="AL219" s="1312"/>
      <c r="AM219" s="1312"/>
      <c r="AN219" s="1312"/>
      <c r="AO219" s="1312"/>
      <c r="AP219" s="1312"/>
      <c r="AQ219" s="1312"/>
      <c r="AR219" s="1312"/>
      <c r="AS219" s="1312"/>
      <c r="AT219" s="1312"/>
      <c r="AU219" s="1313"/>
      <c r="AV219" s="1313"/>
      <c r="AW219" s="1313"/>
      <c r="AX219" s="1313"/>
      <c r="AY219" s="1313"/>
      <c r="AZ219" s="1313"/>
      <c r="BA219" s="1313"/>
      <c r="BB219" s="61"/>
      <c r="BC219" s="61"/>
      <c r="BD219" s="61"/>
      <c r="BE219" s="61"/>
      <c r="BF219" s="61"/>
      <c r="BG219" s="61"/>
      <c r="BH219" s="61"/>
      <c r="BI219" s="61"/>
      <c r="BJ219" s="61"/>
      <c r="BK219" s="61"/>
      <c r="BL219" s="61"/>
      <c r="BM219" s="61"/>
      <c r="BN219" s="61"/>
      <c r="BO219" s="61"/>
      <c r="BP219" s="61"/>
      <c r="BQ219" s="61"/>
      <c r="BR219" s="61"/>
      <c r="BS219" s="61"/>
      <c r="BT219" s="61"/>
      <c r="BU219" s="61"/>
      <c r="BV219" s="61"/>
      <c r="BW219" s="61"/>
      <c r="BX219" s="61"/>
      <c r="BY219" s="61"/>
      <c r="BZ219" s="61"/>
      <c r="CA219" s="61"/>
      <c r="CB219" s="61"/>
      <c r="CC219" s="61"/>
      <c r="CD219" s="61"/>
      <c r="CE219" s="61"/>
      <c r="CF219" s="61"/>
      <c r="CG219" s="61"/>
      <c r="CH219" s="61"/>
      <c r="CI219" s="61"/>
      <c r="CJ219" s="61"/>
      <c r="CK219" s="61"/>
    </row>
    <row r="220" spans="3:89" ht="18.75">
      <c r="C220" s="205"/>
      <c r="D220" s="209">
        <v>659</v>
      </c>
      <c r="E220" s="207"/>
      <c r="F220" s="202"/>
      <c r="G220" s="202"/>
      <c r="H220" s="202"/>
      <c r="I220" s="202"/>
      <c r="J220" s="202"/>
      <c r="K220" s="202"/>
      <c r="L220" s="202"/>
      <c r="M220" s="202"/>
      <c r="N220" s="202"/>
      <c r="O220" s="202"/>
      <c r="P220" s="202"/>
      <c r="Q220" s="202"/>
      <c r="R220" s="202"/>
      <c r="S220" s="202"/>
      <c r="T220" s="202"/>
      <c r="U220" s="202"/>
      <c r="V220" s="202"/>
      <c r="W220" s="202"/>
      <c r="X220" s="202"/>
      <c r="Y220" s="202"/>
      <c r="Z220" s="1312"/>
      <c r="AA220" s="1312"/>
      <c r="AB220" s="1314"/>
      <c r="AC220" s="1312"/>
      <c r="AD220" s="1312"/>
      <c r="AE220" s="1312"/>
      <c r="AF220" s="1312"/>
      <c r="AG220" s="1312"/>
      <c r="AH220" s="1312"/>
      <c r="AI220" s="1312"/>
      <c r="AJ220" s="1312"/>
      <c r="AK220" s="1312"/>
      <c r="AL220" s="1312"/>
      <c r="AM220" s="1312"/>
      <c r="AN220" s="1312"/>
      <c r="AO220" s="1312"/>
      <c r="AP220" s="1312"/>
      <c r="AQ220" s="1312"/>
      <c r="AR220" s="1312"/>
      <c r="AS220" s="1312"/>
      <c r="AT220" s="1312"/>
      <c r="AU220" s="1313"/>
      <c r="AV220" s="1313"/>
      <c r="AW220" s="1313"/>
      <c r="AX220" s="1313"/>
      <c r="AY220" s="1313"/>
      <c r="AZ220" s="1313"/>
      <c r="BA220" s="1313"/>
      <c r="BB220" s="61"/>
      <c r="BC220" s="61"/>
      <c r="BD220" s="61"/>
      <c r="BE220" s="61"/>
      <c r="BF220" s="61"/>
      <c r="BG220" s="61"/>
      <c r="BH220" s="61"/>
      <c r="BI220" s="61"/>
      <c r="BJ220" s="61"/>
      <c r="BK220" s="61"/>
      <c r="BL220" s="61"/>
      <c r="BM220" s="61"/>
      <c r="BN220" s="61"/>
      <c r="BO220" s="61"/>
      <c r="BP220" s="61"/>
      <c r="BQ220" s="61"/>
      <c r="BR220" s="61"/>
      <c r="BS220" s="61"/>
      <c r="BT220" s="61"/>
      <c r="BU220" s="61"/>
      <c r="BV220" s="61"/>
      <c r="BW220" s="61"/>
      <c r="BX220" s="61"/>
      <c r="BY220" s="61"/>
      <c r="BZ220" s="61"/>
      <c r="CA220" s="61"/>
      <c r="CB220" s="61"/>
      <c r="CC220" s="61"/>
      <c r="CD220" s="61"/>
      <c r="CE220" s="61"/>
      <c r="CF220" s="61"/>
      <c r="CG220" s="61"/>
      <c r="CH220" s="61"/>
      <c r="CI220" s="61"/>
      <c r="CJ220" s="61"/>
      <c r="CK220" s="61"/>
    </row>
    <row r="221" spans="3:89" ht="18.75">
      <c r="C221" s="205"/>
      <c r="D221" s="209">
        <v>660</v>
      </c>
      <c r="E221" s="207"/>
      <c r="F221" s="202"/>
      <c r="G221" s="202"/>
      <c r="H221" s="202"/>
      <c r="I221" s="202"/>
      <c r="J221" s="202"/>
      <c r="K221" s="202"/>
      <c r="L221" s="202"/>
      <c r="M221" s="202"/>
      <c r="N221" s="202"/>
      <c r="O221" s="202"/>
      <c r="P221" s="202"/>
      <c r="Q221" s="202"/>
      <c r="R221" s="202"/>
      <c r="S221" s="202"/>
      <c r="T221" s="202"/>
      <c r="U221" s="202"/>
      <c r="V221" s="202"/>
      <c r="W221" s="202"/>
      <c r="X221" s="202"/>
      <c r="Y221" s="202"/>
      <c r="Z221" s="1312"/>
      <c r="AA221" s="1312"/>
      <c r="AB221" s="1314"/>
      <c r="AC221" s="1312"/>
      <c r="AD221" s="1312"/>
      <c r="AE221" s="1312"/>
      <c r="AF221" s="1312"/>
      <c r="AG221" s="1312"/>
      <c r="AH221" s="1312"/>
      <c r="AI221" s="1312"/>
      <c r="AJ221" s="1312"/>
      <c r="AK221" s="1312"/>
      <c r="AL221" s="1312"/>
      <c r="AM221" s="1312"/>
      <c r="AN221" s="1312"/>
      <c r="AO221" s="1312"/>
      <c r="AP221" s="1312"/>
      <c r="AQ221" s="1312"/>
      <c r="AR221" s="1312"/>
      <c r="AS221" s="1312"/>
      <c r="AT221" s="1312"/>
      <c r="AU221" s="1313"/>
      <c r="AV221" s="1313"/>
      <c r="AW221" s="1313"/>
      <c r="AX221" s="1313"/>
      <c r="AY221" s="1313"/>
      <c r="AZ221" s="1313"/>
      <c r="BA221" s="1313"/>
      <c r="BB221" s="61"/>
      <c r="BC221" s="61"/>
      <c r="BD221" s="61"/>
      <c r="BE221" s="61"/>
      <c r="BF221" s="61"/>
      <c r="BG221" s="61"/>
      <c r="BH221" s="61"/>
      <c r="BI221" s="61"/>
      <c r="BJ221" s="61"/>
      <c r="BK221" s="61"/>
      <c r="BL221" s="61"/>
      <c r="BM221" s="61"/>
      <c r="BN221" s="61"/>
      <c r="BO221" s="61"/>
      <c r="BP221" s="61"/>
      <c r="BQ221" s="61"/>
      <c r="BR221" s="61"/>
      <c r="BS221" s="61"/>
      <c r="BT221" s="61"/>
      <c r="BU221" s="61"/>
      <c r="BV221" s="61"/>
      <c r="BW221" s="61"/>
      <c r="BX221" s="61"/>
      <c r="BY221" s="61"/>
      <c r="BZ221" s="61"/>
      <c r="CA221" s="61"/>
      <c r="CB221" s="61"/>
      <c r="CC221" s="61"/>
      <c r="CD221" s="61"/>
      <c r="CE221" s="61"/>
      <c r="CF221" s="61"/>
      <c r="CG221" s="61"/>
      <c r="CH221" s="61"/>
      <c r="CI221" s="61"/>
      <c r="CJ221" s="61"/>
      <c r="CK221" s="61"/>
    </row>
    <row r="222" spans="3:89" ht="18.75">
      <c r="C222" s="205"/>
      <c r="D222" s="209">
        <v>661</v>
      </c>
      <c r="E222" s="207"/>
      <c r="F222" s="202"/>
      <c r="G222" s="202"/>
      <c r="H222" s="202"/>
      <c r="I222" s="202"/>
      <c r="J222" s="202"/>
      <c r="K222" s="202"/>
      <c r="L222" s="202"/>
      <c r="M222" s="202"/>
      <c r="N222" s="202"/>
      <c r="O222" s="202"/>
      <c r="P222" s="202"/>
      <c r="Q222" s="202"/>
      <c r="R222" s="202"/>
      <c r="S222" s="202"/>
      <c r="T222" s="202"/>
      <c r="U222" s="202"/>
      <c r="V222" s="202"/>
      <c r="W222" s="202"/>
      <c r="X222" s="202"/>
      <c r="Y222" s="202"/>
      <c r="Z222" s="1312"/>
      <c r="AA222" s="1312"/>
      <c r="AB222" s="1314"/>
      <c r="AC222" s="1312"/>
      <c r="AD222" s="1312"/>
      <c r="AE222" s="1312"/>
      <c r="AF222" s="1312"/>
      <c r="AG222" s="1312"/>
      <c r="AH222" s="1312"/>
      <c r="AI222" s="1312"/>
      <c r="AJ222" s="1312"/>
      <c r="AK222" s="1312"/>
      <c r="AL222" s="1312"/>
      <c r="AM222" s="1312"/>
      <c r="AN222" s="1312"/>
      <c r="AO222" s="1312"/>
      <c r="AP222" s="1312"/>
      <c r="AQ222" s="1312"/>
      <c r="AR222" s="1312"/>
      <c r="AS222" s="1312"/>
      <c r="AT222" s="1312"/>
      <c r="AU222" s="1313"/>
      <c r="AV222" s="1313"/>
      <c r="AW222" s="1313"/>
      <c r="AX222" s="1313"/>
      <c r="AY222" s="1313"/>
      <c r="AZ222" s="1313"/>
      <c r="BA222" s="1313"/>
      <c r="BB222" s="61"/>
      <c r="BC222" s="61"/>
      <c r="BD222" s="61"/>
      <c r="BE222" s="61"/>
      <c r="BF222" s="61"/>
      <c r="BG222" s="61"/>
      <c r="BH222" s="61"/>
      <c r="BI222" s="61"/>
      <c r="BJ222" s="61"/>
      <c r="BK222" s="61"/>
      <c r="BL222" s="61"/>
      <c r="BM222" s="61"/>
      <c r="BN222" s="61"/>
      <c r="BO222" s="61"/>
      <c r="BP222" s="61"/>
      <c r="BQ222" s="61"/>
      <c r="BR222" s="61"/>
      <c r="BS222" s="61"/>
      <c r="BT222" s="61"/>
      <c r="BU222" s="61"/>
      <c r="BV222" s="61"/>
      <c r="BW222" s="61"/>
      <c r="BX222" s="61"/>
      <c r="BY222" s="61"/>
      <c r="BZ222" s="61"/>
      <c r="CA222" s="61"/>
      <c r="CB222" s="61"/>
      <c r="CC222" s="61"/>
      <c r="CD222" s="61"/>
      <c r="CE222" s="61"/>
      <c r="CF222" s="61"/>
      <c r="CG222" s="61"/>
      <c r="CH222" s="61"/>
      <c r="CI222" s="61"/>
      <c r="CJ222" s="61"/>
      <c r="CK222" s="61"/>
    </row>
    <row r="223" spans="3:89" ht="18.75">
      <c r="C223" s="205"/>
      <c r="D223" s="209">
        <v>662</v>
      </c>
      <c r="E223" s="204"/>
      <c r="F223" s="202"/>
      <c r="G223" s="202"/>
      <c r="H223" s="202"/>
      <c r="I223" s="202"/>
      <c r="J223" s="202"/>
      <c r="K223" s="202"/>
      <c r="L223" s="202"/>
      <c r="M223" s="202"/>
      <c r="N223" s="202"/>
      <c r="O223" s="202"/>
      <c r="P223" s="202"/>
      <c r="Q223" s="202"/>
      <c r="R223" s="202"/>
      <c r="S223" s="202"/>
      <c r="T223" s="202"/>
      <c r="U223" s="202"/>
      <c r="V223" s="202"/>
      <c r="W223" s="202"/>
      <c r="X223" s="202"/>
      <c r="Y223" s="202"/>
      <c r="Z223" s="1312"/>
      <c r="AA223" s="1312"/>
      <c r="AB223" s="1314"/>
      <c r="AC223" s="1312"/>
      <c r="AD223" s="1312"/>
      <c r="AE223" s="1312"/>
      <c r="AF223" s="1312"/>
      <c r="AG223" s="1312"/>
      <c r="AH223" s="1312"/>
      <c r="AI223" s="1312"/>
      <c r="AJ223" s="1312"/>
      <c r="AK223" s="1312"/>
      <c r="AL223" s="1312"/>
      <c r="AM223" s="1312"/>
      <c r="AN223" s="1312"/>
      <c r="AO223" s="1312"/>
      <c r="AP223" s="1312"/>
      <c r="AQ223" s="1312"/>
      <c r="AR223" s="1312"/>
      <c r="AS223" s="1312"/>
      <c r="AT223" s="1312"/>
      <c r="AU223" s="1313"/>
      <c r="AV223" s="1313"/>
      <c r="AW223" s="1313"/>
      <c r="AX223" s="1313"/>
      <c r="AY223" s="1313"/>
      <c r="AZ223" s="1313"/>
      <c r="BA223" s="1313"/>
      <c r="BB223" s="61"/>
      <c r="BC223" s="61"/>
      <c r="BD223" s="61"/>
      <c r="BE223" s="61"/>
      <c r="BF223" s="61"/>
      <c r="BG223" s="61"/>
      <c r="BH223" s="61"/>
      <c r="BI223" s="61"/>
      <c r="BJ223" s="61"/>
      <c r="BK223" s="61"/>
      <c r="BL223" s="61"/>
      <c r="BM223" s="61"/>
      <c r="BN223" s="61"/>
      <c r="BO223" s="61"/>
      <c r="BP223" s="61"/>
      <c r="BQ223" s="61"/>
      <c r="BR223" s="61"/>
      <c r="BS223" s="61"/>
      <c r="BT223" s="61"/>
      <c r="BU223" s="61"/>
      <c r="BV223" s="61"/>
      <c r="BW223" s="61"/>
      <c r="BX223" s="61"/>
      <c r="BY223" s="61"/>
      <c r="BZ223" s="61"/>
      <c r="CA223" s="61"/>
      <c r="CB223" s="61"/>
      <c r="CC223" s="61"/>
      <c r="CD223" s="61"/>
      <c r="CE223" s="61"/>
      <c r="CF223" s="61"/>
      <c r="CG223" s="61"/>
      <c r="CH223" s="61"/>
      <c r="CI223" s="61"/>
      <c r="CJ223" s="61"/>
      <c r="CK223" s="61"/>
    </row>
    <row r="224" spans="3:89" ht="18.75">
      <c r="C224" s="205"/>
      <c r="D224" s="209">
        <v>663</v>
      </c>
      <c r="E224" s="207"/>
      <c r="F224" s="202"/>
      <c r="G224" s="202"/>
      <c r="H224" s="202"/>
      <c r="I224" s="202"/>
      <c r="J224" s="202"/>
      <c r="K224" s="202"/>
      <c r="L224" s="202"/>
      <c r="M224" s="202"/>
      <c r="N224" s="202"/>
      <c r="O224" s="202"/>
      <c r="P224" s="202"/>
      <c r="Q224" s="202"/>
      <c r="R224" s="202"/>
      <c r="S224" s="202"/>
      <c r="T224" s="202"/>
      <c r="U224" s="202"/>
      <c r="V224" s="202"/>
      <c r="W224" s="202"/>
      <c r="X224" s="202"/>
      <c r="Y224" s="202"/>
      <c r="Z224" s="1312"/>
      <c r="AA224" s="1312"/>
      <c r="AB224" s="1314"/>
      <c r="AC224" s="1312"/>
      <c r="AD224" s="1312"/>
      <c r="AE224" s="1312"/>
      <c r="AF224" s="1312"/>
      <c r="AG224" s="1312"/>
      <c r="AH224" s="1312"/>
      <c r="AI224" s="1312"/>
      <c r="AJ224" s="1312"/>
      <c r="AK224" s="1312"/>
      <c r="AL224" s="1312"/>
      <c r="AM224" s="1312"/>
      <c r="AN224" s="1312"/>
      <c r="AO224" s="1312"/>
      <c r="AP224" s="1312"/>
      <c r="AQ224" s="1312"/>
      <c r="AR224" s="1312"/>
      <c r="AS224" s="1312"/>
      <c r="AT224" s="1312"/>
      <c r="AU224" s="1313"/>
      <c r="AV224" s="1313"/>
      <c r="AW224" s="1313"/>
      <c r="AX224" s="1313"/>
      <c r="AY224" s="1313"/>
      <c r="AZ224" s="1313"/>
      <c r="BA224" s="1313"/>
      <c r="BB224" s="61"/>
      <c r="BC224" s="61"/>
      <c r="BD224" s="61"/>
      <c r="BE224" s="61"/>
      <c r="BF224" s="61"/>
      <c r="BG224" s="61"/>
      <c r="BH224" s="61"/>
      <c r="BI224" s="61"/>
      <c r="BJ224" s="61"/>
      <c r="BK224" s="61"/>
      <c r="BL224" s="61"/>
      <c r="BM224" s="61"/>
      <c r="BN224" s="61"/>
      <c r="BO224" s="61"/>
      <c r="BP224" s="61"/>
      <c r="BQ224" s="61"/>
      <c r="BR224" s="61"/>
      <c r="BS224" s="61"/>
      <c r="BT224" s="61"/>
      <c r="BU224" s="61"/>
      <c r="BV224" s="61"/>
      <c r="BW224" s="61"/>
      <c r="BX224" s="61"/>
      <c r="BY224" s="61"/>
      <c r="BZ224" s="61"/>
      <c r="CA224" s="61"/>
      <c r="CB224" s="61"/>
      <c r="CC224" s="61"/>
      <c r="CD224" s="61"/>
      <c r="CE224" s="61"/>
      <c r="CF224" s="61"/>
      <c r="CG224" s="61"/>
      <c r="CH224" s="61"/>
      <c r="CI224" s="61"/>
      <c r="CJ224" s="61"/>
      <c r="CK224" s="61"/>
    </row>
    <row r="225" spans="3:89" ht="18.75">
      <c r="C225" s="205"/>
      <c r="D225" s="209">
        <v>664</v>
      </c>
      <c r="E225" s="207"/>
      <c r="F225" s="202"/>
      <c r="G225" s="202"/>
      <c r="H225" s="202"/>
      <c r="I225" s="202"/>
      <c r="J225" s="202"/>
      <c r="K225" s="202"/>
      <c r="L225" s="202"/>
      <c r="M225" s="202"/>
      <c r="N225" s="202"/>
      <c r="O225" s="202"/>
      <c r="P225" s="202"/>
      <c r="Q225" s="202"/>
      <c r="R225" s="202"/>
      <c r="S225" s="202"/>
      <c r="T225" s="202"/>
      <c r="U225" s="202"/>
      <c r="V225" s="202"/>
      <c r="W225" s="202"/>
      <c r="X225" s="202"/>
      <c r="Y225" s="202"/>
      <c r="Z225" s="1312"/>
      <c r="AA225" s="1312"/>
      <c r="AB225" s="1314"/>
      <c r="AC225" s="1312"/>
      <c r="AD225" s="1312"/>
      <c r="AE225" s="1312"/>
      <c r="AF225" s="1312"/>
      <c r="AG225" s="1312"/>
      <c r="AH225" s="1312"/>
      <c r="AI225" s="1312"/>
      <c r="AJ225" s="1312"/>
      <c r="AK225" s="1312"/>
      <c r="AL225" s="1312"/>
      <c r="AM225" s="1312"/>
      <c r="AN225" s="1312"/>
      <c r="AO225" s="1312"/>
      <c r="AP225" s="1312"/>
      <c r="AQ225" s="1312"/>
      <c r="AR225" s="1312"/>
      <c r="AS225" s="1312"/>
      <c r="AT225" s="1312"/>
      <c r="AU225" s="1313"/>
      <c r="AV225" s="1313"/>
      <c r="AW225" s="1313"/>
      <c r="AX225" s="1313"/>
      <c r="AY225" s="1313"/>
      <c r="AZ225" s="1313"/>
      <c r="BA225" s="1313"/>
      <c r="BB225" s="61"/>
      <c r="BC225" s="61"/>
      <c r="BD225" s="61"/>
      <c r="BE225" s="61"/>
      <c r="BF225" s="61"/>
      <c r="BG225" s="61"/>
      <c r="BH225" s="61"/>
      <c r="BI225" s="61"/>
      <c r="BJ225" s="61"/>
      <c r="BK225" s="61"/>
      <c r="BL225" s="61"/>
      <c r="BM225" s="61"/>
      <c r="BN225" s="61"/>
      <c r="BO225" s="61"/>
      <c r="BP225" s="61"/>
      <c r="BQ225" s="61"/>
      <c r="BR225" s="61"/>
      <c r="BS225" s="61"/>
      <c r="BT225" s="61"/>
      <c r="BU225" s="61"/>
      <c r="BV225" s="61"/>
      <c r="BW225" s="61"/>
      <c r="BX225" s="61"/>
      <c r="BY225" s="61"/>
      <c r="BZ225" s="61"/>
      <c r="CA225" s="61"/>
      <c r="CB225" s="61"/>
      <c r="CC225" s="61"/>
      <c r="CD225" s="61"/>
      <c r="CE225" s="61"/>
      <c r="CF225" s="61"/>
      <c r="CG225" s="61"/>
      <c r="CH225" s="61"/>
      <c r="CI225" s="61"/>
      <c r="CJ225" s="61"/>
      <c r="CK225" s="61"/>
    </row>
    <row r="226" spans="3:89" ht="18.75">
      <c r="C226" s="205"/>
      <c r="D226" s="209">
        <v>665</v>
      </c>
      <c r="E226" s="207"/>
      <c r="F226" s="202"/>
      <c r="G226" s="202"/>
      <c r="H226" s="202"/>
      <c r="I226" s="202"/>
      <c r="J226" s="202"/>
      <c r="K226" s="202"/>
      <c r="L226" s="202"/>
      <c r="M226" s="202"/>
      <c r="N226" s="202"/>
      <c r="O226" s="202"/>
      <c r="P226" s="202"/>
      <c r="Q226" s="202"/>
      <c r="R226" s="202"/>
      <c r="S226" s="202"/>
      <c r="T226" s="202"/>
      <c r="U226" s="202"/>
      <c r="V226" s="202"/>
      <c r="W226" s="202"/>
      <c r="X226" s="202"/>
      <c r="Y226" s="202"/>
      <c r="Z226" s="1312"/>
      <c r="AA226" s="1312"/>
      <c r="AB226" s="1314"/>
      <c r="AC226" s="1312"/>
      <c r="AD226" s="1312"/>
      <c r="AE226" s="1312"/>
      <c r="AF226" s="1312"/>
      <c r="AG226" s="1312"/>
      <c r="AH226" s="1312"/>
      <c r="AI226" s="1312"/>
      <c r="AJ226" s="1312"/>
      <c r="AK226" s="1312"/>
      <c r="AL226" s="1312"/>
      <c r="AM226" s="1312"/>
      <c r="AN226" s="1312"/>
      <c r="AO226" s="1312"/>
      <c r="AP226" s="1312"/>
      <c r="AQ226" s="1312"/>
      <c r="AR226" s="1312"/>
      <c r="AS226" s="1312"/>
      <c r="AT226" s="1312"/>
      <c r="AU226" s="1313"/>
      <c r="AV226" s="1313"/>
      <c r="AW226" s="1313"/>
      <c r="AX226" s="1313"/>
      <c r="AY226" s="1313"/>
      <c r="AZ226" s="1313"/>
      <c r="BA226" s="1313"/>
      <c r="BB226" s="61"/>
      <c r="BC226" s="61"/>
      <c r="BD226" s="61"/>
      <c r="BE226" s="61"/>
      <c r="BF226" s="61"/>
      <c r="BG226" s="61"/>
      <c r="BH226" s="61"/>
      <c r="BI226" s="61"/>
      <c r="BJ226" s="61"/>
      <c r="BK226" s="61"/>
      <c r="BL226" s="61"/>
      <c r="BM226" s="61"/>
      <c r="BN226" s="61"/>
      <c r="BO226" s="61"/>
      <c r="BP226" s="61"/>
      <c r="BQ226" s="61"/>
      <c r="BR226" s="61"/>
      <c r="BS226" s="61"/>
      <c r="BT226" s="61"/>
      <c r="BU226" s="61"/>
      <c r="BV226" s="61"/>
      <c r="BW226" s="61"/>
      <c r="BX226" s="61"/>
      <c r="BY226" s="61"/>
      <c r="BZ226" s="61"/>
      <c r="CA226" s="61"/>
      <c r="CB226" s="61"/>
      <c r="CC226" s="61"/>
      <c r="CD226" s="61"/>
      <c r="CE226" s="61"/>
      <c r="CF226" s="61"/>
      <c r="CG226" s="61"/>
      <c r="CH226" s="61"/>
      <c r="CI226" s="61"/>
      <c r="CJ226" s="61"/>
      <c r="CK226" s="61"/>
    </row>
    <row r="227" spans="3:89" ht="18.75">
      <c r="C227" s="205"/>
      <c r="D227" s="209">
        <v>666</v>
      </c>
      <c r="E227" s="207"/>
      <c r="F227" s="202"/>
      <c r="G227" s="202"/>
      <c r="H227" s="202"/>
      <c r="I227" s="202"/>
      <c r="J227" s="202"/>
      <c r="K227" s="202"/>
      <c r="L227" s="202"/>
      <c r="M227" s="202"/>
      <c r="N227" s="202"/>
      <c r="O227" s="202"/>
      <c r="P227" s="202"/>
      <c r="Q227" s="202"/>
      <c r="R227" s="202"/>
      <c r="S227" s="202"/>
      <c r="T227" s="202"/>
      <c r="U227" s="202"/>
      <c r="V227" s="202"/>
      <c r="W227" s="202"/>
      <c r="X227" s="202"/>
      <c r="Y227" s="202"/>
      <c r="Z227" s="1312"/>
      <c r="AA227" s="1312"/>
      <c r="AB227" s="1314"/>
      <c r="AC227" s="1312"/>
      <c r="AD227" s="1312"/>
      <c r="AE227" s="1312"/>
      <c r="AF227" s="1312"/>
      <c r="AG227" s="1312"/>
      <c r="AH227" s="1312"/>
      <c r="AI227" s="1312"/>
      <c r="AJ227" s="1312"/>
      <c r="AK227" s="1312"/>
      <c r="AL227" s="1312"/>
      <c r="AM227" s="1312"/>
      <c r="AN227" s="1312"/>
      <c r="AO227" s="1312"/>
      <c r="AP227" s="1312"/>
      <c r="AQ227" s="1312"/>
      <c r="AR227" s="1312"/>
      <c r="AS227" s="1312"/>
      <c r="AT227" s="1312"/>
      <c r="AU227" s="1313"/>
      <c r="AV227" s="1313"/>
      <c r="AW227" s="1313"/>
      <c r="AX227" s="1313"/>
      <c r="AY227" s="1313"/>
      <c r="AZ227" s="1313"/>
      <c r="BA227" s="1313"/>
      <c r="BB227" s="61"/>
      <c r="BC227" s="61"/>
      <c r="BD227" s="61"/>
      <c r="BE227" s="61"/>
      <c r="BF227" s="61"/>
      <c r="BG227" s="61"/>
      <c r="BH227" s="61"/>
      <c r="BI227" s="61"/>
      <c r="BJ227" s="61"/>
      <c r="BK227" s="61"/>
      <c r="BL227" s="61"/>
      <c r="BM227" s="61"/>
      <c r="BN227" s="61"/>
      <c r="BO227" s="61"/>
      <c r="BP227" s="61"/>
      <c r="BQ227" s="61"/>
      <c r="BR227" s="61"/>
      <c r="BS227" s="61"/>
      <c r="BT227" s="61"/>
      <c r="BU227" s="61"/>
      <c r="BV227" s="61"/>
      <c r="BW227" s="61"/>
      <c r="BX227" s="61"/>
      <c r="BY227" s="61"/>
      <c r="BZ227" s="61"/>
      <c r="CA227" s="61"/>
      <c r="CB227" s="61"/>
      <c r="CC227" s="61"/>
      <c r="CD227" s="61"/>
      <c r="CE227" s="61"/>
      <c r="CF227" s="61"/>
      <c r="CG227" s="61"/>
      <c r="CH227" s="61"/>
      <c r="CI227" s="61"/>
      <c r="CJ227" s="61"/>
      <c r="CK227" s="61"/>
    </row>
    <row r="228" spans="3:89" ht="18.75">
      <c r="C228" s="205"/>
      <c r="D228" s="209">
        <v>667</v>
      </c>
      <c r="E228" s="207"/>
      <c r="F228" s="202"/>
      <c r="G228" s="202"/>
      <c r="H228" s="202"/>
      <c r="I228" s="202"/>
      <c r="J228" s="202"/>
      <c r="K228" s="202"/>
      <c r="L228" s="202"/>
      <c r="M228" s="202"/>
      <c r="N228" s="202"/>
      <c r="O228" s="202"/>
      <c r="P228" s="202"/>
      <c r="Q228" s="202"/>
      <c r="R228" s="202"/>
      <c r="S228" s="202"/>
      <c r="T228" s="202"/>
      <c r="U228" s="202"/>
      <c r="V228" s="202"/>
      <c r="W228" s="202"/>
      <c r="X228" s="202"/>
      <c r="Y228" s="202"/>
      <c r="Z228" s="1312"/>
      <c r="AA228" s="1312"/>
      <c r="AB228" s="1314"/>
      <c r="AC228" s="1312"/>
      <c r="AD228" s="1312"/>
      <c r="AE228" s="1312"/>
      <c r="AF228" s="1312"/>
      <c r="AG228" s="1312"/>
      <c r="AH228" s="1312"/>
      <c r="AI228" s="1312"/>
      <c r="AJ228" s="1312"/>
      <c r="AK228" s="1312"/>
      <c r="AL228" s="1312"/>
      <c r="AM228" s="1312"/>
      <c r="AN228" s="1312"/>
      <c r="AO228" s="1312"/>
      <c r="AP228" s="1312"/>
      <c r="AQ228" s="1312"/>
      <c r="AR228" s="1312"/>
      <c r="AS228" s="1312"/>
      <c r="AT228" s="1312"/>
      <c r="AU228" s="1313"/>
      <c r="AV228" s="1313"/>
      <c r="AW228" s="1313"/>
      <c r="AX228" s="1313"/>
      <c r="AY228" s="1313"/>
      <c r="AZ228" s="1313"/>
      <c r="BA228" s="1313"/>
      <c r="BB228" s="61"/>
      <c r="BC228" s="61"/>
      <c r="BD228" s="61"/>
      <c r="BE228" s="61"/>
      <c r="BF228" s="61"/>
      <c r="BG228" s="61"/>
      <c r="BH228" s="61"/>
      <c r="BI228" s="61"/>
      <c r="BJ228" s="61"/>
      <c r="BK228" s="61"/>
      <c r="BL228" s="61"/>
      <c r="BM228" s="61"/>
      <c r="BN228" s="61"/>
      <c r="BO228" s="61"/>
      <c r="BP228" s="61"/>
      <c r="BQ228" s="61"/>
      <c r="BR228" s="61"/>
      <c r="BS228" s="61"/>
      <c r="BT228" s="61"/>
      <c r="BU228" s="61"/>
      <c r="BV228" s="61"/>
      <c r="BW228" s="61"/>
      <c r="BX228" s="61"/>
      <c r="BY228" s="61"/>
      <c r="BZ228" s="61"/>
      <c r="CA228" s="61"/>
      <c r="CB228" s="61"/>
      <c r="CC228" s="61"/>
      <c r="CD228" s="61"/>
      <c r="CE228" s="61"/>
      <c r="CF228" s="61"/>
      <c r="CG228" s="61"/>
      <c r="CH228" s="61"/>
      <c r="CI228" s="61"/>
      <c r="CJ228" s="61"/>
      <c r="CK228" s="61"/>
    </row>
    <row r="229" spans="3:89" ht="18.75">
      <c r="C229" s="205"/>
      <c r="D229" s="209">
        <v>668</v>
      </c>
      <c r="E229" s="207"/>
      <c r="F229" s="202"/>
      <c r="G229" s="202"/>
      <c r="H229" s="202"/>
      <c r="I229" s="202"/>
      <c r="J229" s="202"/>
      <c r="K229" s="202"/>
      <c r="L229" s="202"/>
      <c r="M229" s="202"/>
      <c r="N229" s="202"/>
      <c r="O229" s="202"/>
      <c r="P229" s="202"/>
      <c r="Q229" s="202"/>
      <c r="R229" s="202"/>
      <c r="S229" s="202"/>
      <c r="T229" s="202"/>
      <c r="U229" s="202"/>
      <c r="V229" s="202"/>
      <c r="W229" s="202"/>
      <c r="X229" s="202"/>
      <c r="Y229" s="202"/>
      <c r="Z229" s="1312"/>
      <c r="AA229" s="1312"/>
      <c r="AB229" s="1314"/>
      <c r="AC229" s="1312"/>
      <c r="AD229" s="1312"/>
      <c r="AE229" s="1312"/>
      <c r="AF229" s="1312"/>
      <c r="AG229" s="1312"/>
      <c r="AH229" s="1312"/>
      <c r="AI229" s="1312"/>
      <c r="AJ229" s="1312"/>
      <c r="AK229" s="1312"/>
      <c r="AL229" s="1312"/>
      <c r="AM229" s="1312"/>
      <c r="AN229" s="1312"/>
      <c r="AO229" s="1312"/>
      <c r="AP229" s="1312"/>
      <c r="AQ229" s="1312"/>
      <c r="AR229" s="1312"/>
      <c r="AS229" s="1312"/>
      <c r="AT229" s="1312"/>
      <c r="AU229" s="1313"/>
      <c r="AV229" s="1313"/>
      <c r="AW229" s="1313"/>
      <c r="AX229" s="1313"/>
      <c r="AY229" s="1313"/>
      <c r="AZ229" s="1313"/>
      <c r="BA229" s="1313"/>
      <c r="BB229" s="61"/>
      <c r="BC229" s="61"/>
      <c r="BD229" s="61"/>
      <c r="BE229" s="61"/>
      <c r="BF229" s="61"/>
      <c r="BG229" s="61"/>
      <c r="BH229" s="61"/>
      <c r="BI229" s="61"/>
      <c r="BJ229" s="61"/>
      <c r="BK229" s="61"/>
      <c r="BL229" s="61"/>
      <c r="BM229" s="61"/>
      <c r="BN229" s="61"/>
      <c r="BO229" s="61"/>
      <c r="BP229" s="61"/>
      <c r="BQ229" s="61"/>
      <c r="BR229" s="61"/>
      <c r="BS229" s="61"/>
      <c r="BT229" s="61"/>
      <c r="BU229" s="61"/>
      <c r="BV229" s="61"/>
      <c r="BW229" s="61"/>
      <c r="BX229" s="61"/>
      <c r="BY229" s="61"/>
      <c r="BZ229" s="61"/>
      <c r="CA229" s="61"/>
      <c r="CB229" s="61"/>
      <c r="CC229" s="61"/>
      <c r="CD229" s="61"/>
      <c r="CE229" s="61"/>
      <c r="CF229" s="61"/>
      <c r="CG229" s="61"/>
      <c r="CH229" s="61"/>
      <c r="CI229" s="61"/>
      <c r="CJ229" s="61"/>
      <c r="CK229" s="61"/>
    </row>
    <row r="230" spans="3:89" ht="18.75">
      <c r="C230" s="205"/>
      <c r="D230" s="209">
        <v>669</v>
      </c>
      <c r="E230" s="207"/>
      <c r="F230" s="202"/>
      <c r="G230" s="202"/>
      <c r="H230" s="202"/>
      <c r="I230" s="202"/>
      <c r="J230" s="202"/>
      <c r="K230" s="202"/>
      <c r="L230" s="202"/>
      <c r="M230" s="202"/>
      <c r="N230" s="202"/>
      <c r="O230" s="202"/>
      <c r="P230" s="202"/>
      <c r="Q230" s="202"/>
      <c r="R230" s="202"/>
      <c r="S230" s="202"/>
      <c r="T230" s="202"/>
      <c r="U230" s="202"/>
      <c r="V230" s="202"/>
      <c r="W230" s="202"/>
      <c r="X230" s="202"/>
      <c r="Y230" s="202"/>
      <c r="Z230" s="1312"/>
      <c r="AA230" s="1312"/>
      <c r="AB230" s="1314"/>
      <c r="AC230" s="1312"/>
      <c r="AD230" s="1312"/>
      <c r="AE230" s="1312"/>
      <c r="AF230" s="1312"/>
      <c r="AG230" s="1312"/>
      <c r="AH230" s="1312"/>
      <c r="AI230" s="1312"/>
      <c r="AJ230" s="1312"/>
      <c r="AK230" s="1312"/>
      <c r="AL230" s="1312"/>
      <c r="AM230" s="1312"/>
      <c r="AN230" s="1312"/>
      <c r="AO230" s="1312"/>
      <c r="AP230" s="1312"/>
      <c r="AQ230" s="1312"/>
      <c r="AR230" s="1312"/>
      <c r="AS230" s="1312"/>
      <c r="AT230" s="1312"/>
      <c r="AU230" s="1313"/>
      <c r="AV230" s="1313"/>
      <c r="AW230" s="1313"/>
      <c r="AX230" s="1313"/>
      <c r="AY230" s="1313"/>
      <c r="AZ230" s="1313"/>
      <c r="BA230" s="1313"/>
      <c r="BB230" s="61"/>
      <c r="BC230" s="61"/>
      <c r="BD230" s="61"/>
      <c r="BE230" s="61"/>
      <c r="BF230" s="61"/>
      <c r="BG230" s="61"/>
      <c r="BH230" s="61"/>
      <c r="BI230" s="61"/>
      <c r="BJ230" s="61"/>
      <c r="BK230" s="61"/>
      <c r="BL230" s="61"/>
      <c r="BM230" s="61"/>
      <c r="BN230" s="61"/>
      <c r="BO230" s="61"/>
      <c r="BP230" s="61"/>
      <c r="BQ230" s="61"/>
      <c r="BR230" s="61"/>
      <c r="BS230" s="61"/>
      <c r="BT230" s="61"/>
      <c r="BU230" s="61"/>
      <c r="BV230" s="61"/>
      <c r="BW230" s="61"/>
      <c r="BX230" s="61"/>
      <c r="BY230" s="61"/>
      <c r="BZ230" s="61"/>
      <c r="CA230" s="61"/>
      <c r="CB230" s="61"/>
      <c r="CC230" s="61"/>
      <c r="CD230" s="61"/>
      <c r="CE230" s="61"/>
      <c r="CF230" s="61"/>
      <c r="CG230" s="61"/>
      <c r="CH230" s="61"/>
      <c r="CI230" s="61"/>
      <c r="CJ230" s="61"/>
      <c r="CK230" s="61"/>
    </row>
    <row r="231" spans="3:89" ht="18.75">
      <c r="C231" s="205"/>
      <c r="D231" s="209">
        <v>670</v>
      </c>
      <c r="E231" s="207"/>
      <c r="F231" s="202"/>
      <c r="G231" s="202"/>
      <c r="H231" s="202"/>
      <c r="I231" s="202"/>
      <c r="J231" s="202"/>
      <c r="K231" s="202"/>
      <c r="L231" s="202"/>
      <c r="M231" s="202"/>
      <c r="N231" s="202"/>
      <c r="O231" s="202"/>
      <c r="P231" s="202"/>
      <c r="Q231" s="202"/>
      <c r="R231" s="202"/>
      <c r="S231" s="202"/>
      <c r="T231" s="202"/>
      <c r="U231" s="202"/>
      <c r="V231" s="202"/>
      <c r="W231" s="202"/>
      <c r="X231" s="202"/>
      <c r="Y231" s="202"/>
      <c r="Z231" s="1312"/>
      <c r="AA231" s="1312"/>
      <c r="AB231" s="1314"/>
      <c r="AC231" s="1312"/>
      <c r="AD231" s="1312"/>
      <c r="AE231" s="1312"/>
      <c r="AF231" s="1312"/>
      <c r="AG231" s="1312"/>
      <c r="AH231" s="1312"/>
      <c r="AI231" s="1312"/>
      <c r="AJ231" s="1312"/>
      <c r="AK231" s="1312"/>
      <c r="AL231" s="1312"/>
      <c r="AM231" s="1312"/>
      <c r="AN231" s="1312"/>
      <c r="AO231" s="1312"/>
      <c r="AP231" s="1312"/>
      <c r="AQ231" s="1312"/>
      <c r="AR231" s="1312"/>
      <c r="AS231" s="1312"/>
      <c r="AT231" s="1312"/>
      <c r="AU231" s="1313"/>
      <c r="AV231" s="1313"/>
      <c r="AW231" s="1313"/>
      <c r="AX231" s="1313"/>
      <c r="AY231" s="1313"/>
      <c r="AZ231" s="1313"/>
      <c r="BA231" s="1313"/>
      <c r="BB231" s="61"/>
      <c r="BC231" s="61"/>
      <c r="BD231" s="61"/>
      <c r="BE231" s="61"/>
      <c r="BF231" s="61"/>
      <c r="BG231" s="61"/>
      <c r="BH231" s="61"/>
      <c r="BI231" s="61"/>
      <c r="BJ231" s="61"/>
      <c r="BK231" s="61"/>
      <c r="BL231" s="61"/>
      <c r="BM231" s="61"/>
      <c r="BN231" s="61"/>
      <c r="BO231" s="61"/>
      <c r="BP231" s="61"/>
      <c r="BQ231" s="61"/>
      <c r="BR231" s="61"/>
      <c r="BS231" s="61"/>
      <c r="BT231" s="61"/>
      <c r="BU231" s="61"/>
      <c r="BV231" s="61"/>
      <c r="BW231" s="61"/>
      <c r="BX231" s="61"/>
      <c r="BY231" s="61"/>
      <c r="BZ231" s="61"/>
      <c r="CA231" s="61"/>
      <c r="CB231" s="61"/>
      <c r="CC231" s="61"/>
      <c r="CD231" s="61"/>
      <c r="CE231" s="61"/>
      <c r="CF231" s="61"/>
      <c r="CG231" s="61"/>
      <c r="CH231" s="61"/>
      <c r="CI231" s="61"/>
      <c r="CJ231" s="61"/>
      <c r="CK231" s="61"/>
    </row>
    <row r="232" spans="3:89">
      <c r="C232" s="205"/>
      <c r="D232" s="61"/>
      <c r="E232" s="207"/>
      <c r="F232" s="202"/>
      <c r="G232" s="202"/>
      <c r="H232" s="202"/>
      <c r="I232" s="202"/>
      <c r="J232" s="202"/>
      <c r="K232" s="202"/>
      <c r="L232" s="202"/>
      <c r="M232" s="202"/>
      <c r="N232" s="202"/>
      <c r="O232" s="202"/>
      <c r="P232" s="202"/>
      <c r="Q232" s="202"/>
      <c r="R232" s="202"/>
      <c r="S232" s="202"/>
      <c r="T232" s="202"/>
      <c r="U232" s="202"/>
      <c r="V232" s="202"/>
      <c r="W232" s="202"/>
      <c r="X232" s="202"/>
      <c r="Y232" s="202"/>
      <c r="Z232" s="202"/>
      <c r="AA232" s="202"/>
      <c r="AB232" s="207"/>
      <c r="AC232" s="202"/>
      <c r="AD232" s="202"/>
      <c r="AE232" s="202"/>
      <c r="AF232" s="202"/>
      <c r="AG232" s="202"/>
      <c r="AH232" s="202"/>
      <c r="AI232" s="202"/>
      <c r="AJ232" s="202"/>
      <c r="AK232" s="202"/>
      <c r="AL232" s="202"/>
      <c r="AM232" s="202"/>
      <c r="AN232" s="202"/>
      <c r="AO232" s="202"/>
      <c r="AP232" s="202"/>
      <c r="AQ232" s="202"/>
      <c r="AR232" s="202"/>
      <c r="AS232" s="202"/>
      <c r="AT232" s="202"/>
      <c r="AU232" s="61"/>
      <c r="AV232" s="61"/>
      <c r="AW232" s="61"/>
      <c r="AX232" s="61"/>
      <c r="AY232" s="61"/>
      <c r="AZ232" s="61"/>
      <c r="BA232" s="61"/>
      <c r="BB232" s="61"/>
      <c r="BC232" s="61"/>
      <c r="BD232" s="61"/>
      <c r="BE232" s="61"/>
      <c r="BF232" s="61"/>
      <c r="BG232" s="61"/>
      <c r="BH232" s="61"/>
      <c r="BI232" s="61"/>
      <c r="BJ232" s="61"/>
      <c r="BK232" s="61"/>
      <c r="BL232" s="61"/>
      <c r="BM232" s="61"/>
      <c r="BN232" s="61"/>
      <c r="BO232" s="61"/>
      <c r="BP232" s="61"/>
      <c r="BQ232" s="61"/>
      <c r="BR232" s="61"/>
      <c r="BS232" s="61"/>
      <c r="BT232" s="61"/>
      <c r="BU232" s="61"/>
      <c r="BV232" s="61"/>
      <c r="BW232" s="61"/>
      <c r="BX232" s="61"/>
      <c r="BY232" s="61"/>
      <c r="BZ232" s="61"/>
      <c r="CA232" s="61"/>
      <c r="CB232" s="61"/>
      <c r="CC232" s="61"/>
      <c r="CD232" s="61"/>
      <c r="CE232" s="61"/>
      <c r="CF232" s="61"/>
      <c r="CG232" s="61"/>
      <c r="CH232" s="61"/>
      <c r="CI232" s="61"/>
      <c r="CJ232" s="61"/>
      <c r="CK232" s="61"/>
    </row>
    <row r="233" spans="3:89" ht="18.75">
      <c r="C233" s="205"/>
      <c r="D233" s="206"/>
      <c r="E233" s="207"/>
      <c r="F233" s="202"/>
      <c r="G233" s="202"/>
      <c r="H233" s="202"/>
      <c r="I233" s="202"/>
      <c r="J233" s="202"/>
      <c r="K233" s="202"/>
      <c r="L233" s="202"/>
      <c r="M233" s="202"/>
      <c r="N233" s="202"/>
      <c r="O233" s="202"/>
      <c r="P233" s="202"/>
      <c r="Q233" s="202"/>
      <c r="R233" s="202"/>
      <c r="S233" s="202"/>
      <c r="T233" s="202"/>
      <c r="U233" s="202"/>
      <c r="V233" s="202"/>
      <c r="W233" s="202"/>
      <c r="X233" s="202"/>
      <c r="Y233" s="202"/>
      <c r="Z233" s="202"/>
      <c r="AA233" s="202"/>
      <c r="AB233" s="207"/>
      <c r="AC233" s="202"/>
      <c r="AD233" s="202"/>
      <c r="AE233" s="202"/>
      <c r="AF233" s="202"/>
      <c r="AG233" s="202"/>
      <c r="AH233" s="202"/>
      <c r="AI233" s="202"/>
      <c r="AJ233" s="202"/>
      <c r="AK233" s="202"/>
      <c r="AL233" s="202"/>
      <c r="AM233" s="202"/>
      <c r="AN233" s="202"/>
      <c r="AO233" s="202"/>
      <c r="AP233" s="202"/>
      <c r="AQ233" s="202"/>
      <c r="AR233" s="202"/>
      <c r="AS233" s="202"/>
      <c r="AT233" s="202"/>
      <c r="AU233" s="61"/>
      <c r="AV233" s="61"/>
      <c r="AW233" s="61"/>
      <c r="AX233" s="61"/>
      <c r="AY233" s="61"/>
      <c r="AZ233" s="61"/>
      <c r="BA233" s="61"/>
      <c r="BB233" s="61"/>
      <c r="BC233" s="61"/>
      <c r="BD233" s="61"/>
      <c r="BE233" s="61"/>
      <c r="BF233" s="61"/>
      <c r="BG233" s="61"/>
      <c r="BH233" s="61"/>
      <c r="BI233" s="61"/>
      <c r="BJ233" s="61"/>
      <c r="BK233" s="61"/>
      <c r="BL233" s="61"/>
      <c r="BM233" s="61"/>
      <c r="BN233" s="61"/>
      <c r="BO233" s="61"/>
      <c r="BP233" s="61"/>
      <c r="BQ233" s="61"/>
      <c r="BR233" s="61"/>
      <c r="BS233" s="61"/>
      <c r="BT233" s="61"/>
      <c r="BU233" s="61"/>
      <c r="BV233" s="61"/>
      <c r="BW233" s="61"/>
      <c r="BX233" s="61"/>
      <c r="BY233" s="61"/>
      <c r="BZ233" s="61"/>
      <c r="CA233" s="61"/>
      <c r="CB233" s="61"/>
      <c r="CC233" s="61"/>
      <c r="CD233" s="61"/>
      <c r="CE233" s="61"/>
      <c r="CF233" s="61"/>
      <c r="CG233" s="61"/>
      <c r="CH233" s="61"/>
      <c r="CI233" s="61"/>
      <c r="CJ233" s="61"/>
      <c r="CK233" s="61"/>
    </row>
    <row r="234" spans="3:89" ht="18.75">
      <c r="C234" s="205"/>
      <c r="D234" s="206"/>
      <c r="E234" s="207"/>
      <c r="F234" s="202"/>
      <c r="G234" s="202"/>
      <c r="H234" s="202"/>
      <c r="I234" s="202"/>
      <c r="J234" s="202"/>
      <c r="K234" s="202"/>
      <c r="L234" s="202"/>
      <c r="M234" s="202"/>
      <c r="N234" s="202"/>
      <c r="O234" s="202"/>
      <c r="P234" s="202"/>
      <c r="Q234" s="202"/>
      <c r="R234" s="202"/>
      <c r="S234" s="202"/>
      <c r="T234" s="202"/>
      <c r="U234" s="202"/>
      <c r="V234" s="202"/>
      <c r="W234" s="202"/>
      <c r="X234" s="202"/>
      <c r="Y234" s="202"/>
      <c r="Z234" s="202"/>
      <c r="AA234" s="202"/>
      <c r="AB234" s="207"/>
      <c r="AC234" s="202"/>
      <c r="AD234" s="202"/>
      <c r="AE234" s="202"/>
      <c r="AF234" s="202"/>
      <c r="AG234" s="202"/>
      <c r="AH234" s="202"/>
      <c r="AI234" s="202"/>
      <c r="AJ234" s="202"/>
      <c r="AK234" s="202"/>
      <c r="AL234" s="202"/>
      <c r="AM234" s="202"/>
      <c r="AN234" s="202"/>
      <c r="AO234" s="202"/>
      <c r="AP234" s="202"/>
      <c r="AQ234" s="202"/>
      <c r="AR234" s="202"/>
      <c r="AS234" s="202"/>
      <c r="AT234" s="202"/>
      <c r="AU234" s="61"/>
      <c r="AV234" s="61"/>
      <c r="AW234" s="61"/>
      <c r="AX234" s="61"/>
      <c r="AY234" s="61"/>
      <c r="AZ234" s="61"/>
      <c r="BA234" s="61"/>
      <c r="BB234" s="61"/>
      <c r="BC234" s="61"/>
      <c r="BD234" s="61"/>
      <c r="BE234" s="61"/>
      <c r="BF234" s="61"/>
      <c r="BG234" s="61"/>
      <c r="BH234" s="61"/>
      <c r="BI234" s="61"/>
      <c r="BJ234" s="61"/>
      <c r="BK234" s="61"/>
      <c r="BL234" s="61"/>
      <c r="BM234" s="61"/>
      <c r="BN234" s="61"/>
      <c r="BO234" s="61"/>
      <c r="BP234" s="61"/>
      <c r="BQ234" s="61"/>
      <c r="BR234" s="61"/>
      <c r="BS234" s="61"/>
      <c r="BT234" s="61"/>
      <c r="BU234" s="61"/>
      <c r="BV234" s="61"/>
      <c r="BW234" s="61"/>
      <c r="BX234" s="61"/>
      <c r="BY234" s="61"/>
      <c r="BZ234" s="61"/>
      <c r="CA234" s="61"/>
      <c r="CB234" s="61"/>
      <c r="CC234" s="61"/>
      <c r="CD234" s="61"/>
      <c r="CE234" s="61"/>
      <c r="CF234" s="61"/>
      <c r="CG234" s="61"/>
      <c r="CH234" s="61"/>
      <c r="CI234" s="61"/>
      <c r="CJ234" s="61"/>
      <c r="CK234" s="61"/>
    </row>
    <row r="235" spans="3:89" ht="18.75">
      <c r="C235" s="205"/>
      <c r="D235" s="206"/>
      <c r="E235" s="207"/>
      <c r="F235" s="202"/>
      <c r="G235" s="202"/>
      <c r="H235" s="202"/>
      <c r="I235" s="202"/>
      <c r="J235" s="202"/>
      <c r="K235" s="202"/>
      <c r="L235" s="202"/>
      <c r="M235" s="202"/>
      <c r="N235" s="202"/>
      <c r="O235" s="202"/>
      <c r="P235" s="202"/>
      <c r="Q235" s="202"/>
      <c r="R235" s="202"/>
      <c r="S235" s="202"/>
      <c r="T235" s="202"/>
      <c r="U235" s="202"/>
      <c r="V235" s="202"/>
      <c r="W235" s="202"/>
      <c r="X235" s="202"/>
      <c r="Y235" s="202"/>
      <c r="Z235" s="202"/>
      <c r="AA235" s="202"/>
      <c r="AB235" s="207"/>
      <c r="AC235" s="202"/>
      <c r="AD235" s="202"/>
      <c r="AE235" s="202"/>
      <c r="AF235" s="202"/>
      <c r="AG235" s="202"/>
      <c r="AH235" s="202"/>
      <c r="AI235" s="202"/>
      <c r="AJ235" s="202"/>
      <c r="AK235" s="202"/>
      <c r="AL235" s="202"/>
      <c r="AM235" s="202"/>
      <c r="AN235" s="202"/>
      <c r="AO235" s="202"/>
      <c r="AP235" s="202"/>
      <c r="AQ235" s="202"/>
      <c r="AR235" s="202"/>
      <c r="AS235" s="202"/>
      <c r="AT235" s="202"/>
      <c r="AU235" s="61"/>
      <c r="AV235" s="61"/>
      <c r="AW235" s="61"/>
      <c r="AX235" s="61"/>
      <c r="AY235" s="61"/>
      <c r="AZ235" s="61"/>
      <c r="BA235" s="61"/>
      <c r="BB235" s="61"/>
      <c r="BC235" s="61"/>
      <c r="BD235" s="61"/>
      <c r="BE235" s="61"/>
      <c r="BF235" s="61"/>
      <c r="BG235" s="61"/>
      <c r="BH235" s="61"/>
      <c r="BI235" s="61"/>
      <c r="BJ235" s="61"/>
      <c r="BK235" s="61"/>
      <c r="BL235" s="61"/>
      <c r="BM235" s="61"/>
      <c r="BN235" s="61"/>
      <c r="BO235" s="61"/>
      <c r="BP235" s="61"/>
      <c r="BQ235" s="61"/>
      <c r="BR235" s="61"/>
      <c r="BS235" s="61"/>
      <c r="BT235" s="61"/>
      <c r="BU235" s="61"/>
      <c r="BV235" s="61"/>
      <c r="BW235" s="61"/>
      <c r="BX235" s="61"/>
      <c r="BY235" s="61"/>
      <c r="BZ235" s="61"/>
      <c r="CA235" s="61"/>
      <c r="CB235" s="61"/>
      <c r="CC235" s="61"/>
      <c r="CD235" s="61"/>
      <c r="CE235" s="61"/>
      <c r="CF235" s="61"/>
      <c r="CG235" s="61"/>
      <c r="CH235" s="61"/>
      <c r="CI235" s="61"/>
      <c r="CJ235" s="61"/>
      <c r="CK235" s="61"/>
    </row>
    <row r="236" spans="3:89" ht="18.75">
      <c r="C236" s="205"/>
      <c r="D236" s="206"/>
      <c r="E236" s="207"/>
      <c r="F236" s="202"/>
      <c r="G236" s="202"/>
      <c r="H236" s="202"/>
      <c r="I236" s="202"/>
      <c r="J236" s="202"/>
      <c r="K236" s="202"/>
      <c r="L236" s="202"/>
      <c r="M236" s="202"/>
      <c r="N236" s="202"/>
      <c r="O236" s="202"/>
      <c r="P236" s="202"/>
      <c r="Q236" s="202"/>
      <c r="R236" s="202"/>
      <c r="S236" s="202"/>
      <c r="T236" s="202"/>
      <c r="U236" s="202"/>
      <c r="V236" s="202"/>
      <c r="W236" s="202"/>
      <c r="X236" s="202"/>
      <c r="Y236" s="202"/>
      <c r="Z236" s="202"/>
      <c r="AA236" s="202"/>
      <c r="AB236" s="207"/>
      <c r="AC236" s="202"/>
      <c r="AD236" s="202"/>
      <c r="AE236" s="202"/>
      <c r="AF236" s="202"/>
      <c r="AG236" s="202"/>
      <c r="AH236" s="202"/>
      <c r="AI236" s="202"/>
      <c r="AJ236" s="202"/>
      <c r="AK236" s="202"/>
      <c r="AL236" s="202"/>
      <c r="AM236" s="202"/>
      <c r="AN236" s="202"/>
      <c r="AO236" s="202"/>
      <c r="AP236" s="202"/>
      <c r="AQ236" s="202"/>
      <c r="AR236" s="202"/>
      <c r="AS236" s="202"/>
      <c r="AT236" s="202"/>
      <c r="AU236" s="61"/>
      <c r="AV236" s="61"/>
      <c r="AW236" s="61"/>
      <c r="AX236" s="61"/>
      <c r="AY236" s="61"/>
      <c r="AZ236" s="61"/>
      <c r="BA236" s="61"/>
      <c r="BB236" s="61"/>
      <c r="BC236" s="61"/>
      <c r="BD236" s="61"/>
      <c r="BE236" s="61"/>
      <c r="BF236" s="61"/>
      <c r="BG236" s="61"/>
      <c r="BH236" s="61"/>
      <c r="BI236" s="61"/>
      <c r="BJ236" s="61"/>
      <c r="BK236" s="61"/>
      <c r="BL236" s="61"/>
      <c r="BM236" s="61"/>
      <c r="BN236" s="61"/>
      <c r="BO236" s="61"/>
      <c r="BP236" s="61"/>
      <c r="BQ236" s="61"/>
      <c r="BR236" s="61"/>
      <c r="BS236" s="61"/>
      <c r="BT236" s="61"/>
      <c r="BU236" s="61"/>
      <c r="BV236" s="61"/>
      <c r="BW236" s="61"/>
      <c r="BX236" s="61"/>
      <c r="BY236" s="61"/>
      <c r="BZ236" s="61"/>
      <c r="CA236" s="61"/>
      <c r="CB236" s="61"/>
      <c r="CC236" s="61"/>
      <c r="CD236" s="61"/>
      <c r="CE236" s="61"/>
      <c r="CF236" s="61"/>
      <c r="CG236" s="61"/>
      <c r="CH236" s="61"/>
      <c r="CI236" s="61"/>
      <c r="CJ236" s="61"/>
      <c r="CK236" s="61"/>
    </row>
    <row r="237" spans="3:89" ht="18.75">
      <c r="C237" s="205"/>
      <c r="D237" s="206"/>
      <c r="E237" s="207"/>
      <c r="F237" s="202"/>
      <c r="G237" s="202"/>
      <c r="H237" s="202"/>
      <c r="I237" s="202"/>
      <c r="J237" s="202"/>
      <c r="K237" s="202"/>
      <c r="L237" s="202"/>
      <c r="M237" s="202"/>
      <c r="N237" s="202"/>
      <c r="O237" s="202"/>
      <c r="P237" s="202"/>
      <c r="Q237" s="202"/>
      <c r="R237" s="202"/>
      <c r="S237" s="202"/>
      <c r="T237" s="202"/>
      <c r="U237" s="202"/>
      <c r="V237" s="202"/>
      <c r="W237" s="202"/>
      <c r="X237" s="202"/>
      <c r="Y237" s="202"/>
      <c r="Z237" s="202"/>
      <c r="AA237" s="202"/>
      <c r="AB237" s="207"/>
      <c r="AC237" s="202"/>
      <c r="AD237" s="202"/>
      <c r="AE237" s="202"/>
      <c r="AF237" s="202"/>
      <c r="AG237" s="202"/>
      <c r="AH237" s="202"/>
      <c r="AI237" s="202"/>
      <c r="AJ237" s="202"/>
      <c r="AK237" s="202"/>
      <c r="AL237" s="202"/>
      <c r="AM237" s="202"/>
      <c r="AN237" s="202"/>
      <c r="AO237" s="202"/>
      <c r="AP237" s="202"/>
      <c r="AQ237" s="202"/>
      <c r="AR237" s="202"/>
      <c r="AS237" s="202"/>
      <c r="AT237" s="202"/>
      <c r="AU237" s="61"/>
      <c r="AV237" s="61"/>
      <c r="AW237" s="61"/>
      <c r="AX237" s="61"/>
      <c r="AY237" s="61"/>
      <c r="AZ237" s="61"/>
      <c r="BA237" s="61"/>
      <c r="BB237" s="61"/>
      <c r="BC237" s="61"/>
      <c r="BD237" s="61"/>
      <c r="BE237" s="61"/>
      <c r="BF237" s="61"/>
      <c r="BG237" s="61"/>
      <c r="BH237" s="61"/>
      <c r="BI237" s="61"/>
      <c r="BJ237" s="61"/>
      <c r="BK237" s="61"/>
      <c r="BL237" s="61"/>
      <c r="BM237" s="61"/>
      <c r="BN237" s="61"/>
      <c r="BO237" s="61"/>
      <c r="BP237" s="61"/>
      <c r="BQ237" s="61"/>
      <c r="BR237" s="61"/>
      <c r="BS237" s="61"/>
      <c r="BT237" s="61"/>
      <c r="BU237" s="61"/>
      <c r="BV237" s="61"/>
      <c r="BW237" s="61"/>
      <c r="BX237" s="61"/>
      <c r="BY237" s="61"/>
      <c r="BZ237" s="61"/>
      <c r="CA237" s="61"/>
      <c r="CB237" s="61"/>
      <c r="CC237" s="61"/>
      <c r="CD237" s="61"/>
      <c r="CE237" s="61"/>
      <c r="CF237" s="61"/>
      <c r="CG237" s="61"/>
      <c r="CH237" s="61"/>
      <c r="CI237" s="61"/>
      <c r="CJ237" s="61"/>
      <c r="CK237" s="61"/>
    </row>
    <row r="238" spans="3:89" ht="18.75">
      <c r="C238" s="205"/>
      <c r="D238" s="206"/>
      <c r="E238" s="207"/>
      <c r="F238" s="202"/>
      <c r="G238" s="202"/>
      <c r="H238" s="202"/>
      <c r="I238" s="202"/>
      <c r="J238" s="202"/>
      <c r="K238" s="202"/>
      <c r="L238" s="202"/>
      <c r="M238" s="202"/>
      <c r="N238" s="202"/>
      <c r="O238" s="202"/>
      <c r="P238" s="202"/>
      <c r="Q238" s="202"/>
      <c r="R238" s="202"/>
      <c r="S238" s="202"/>
      <c r="T238" s="202"/>
      <c r="U238" s="202"/>
      <c r="V238" s="202"/>
      <c r="W238" s="202"/>
      <c r="X238" s="202"/>
      <c r="Y238" s="202"/>
      <c r="Z238" s="202"/>
      <c r="AA238" s="202"/>
      <c r="AB238" s="207"/>
      <c r="AC238" s="202"/>
      <c r="AD238" s="202"/>
      <c r="AE238" s="202"/>
      <c r="AF238" s="202"/>
      <c r="AG238" s="202"/>
      <c r="AH238" s="202"/>
      <c r="AI238" s="202"/>
      <c r="AJ238" s="202"/>
      <c r="AK238" s="202"/>
      <c r="AL238" s="202"/>
      <c r="AM238" s="202"/>
      <c r="AN238" s="202"/>
      <c r="AO238" s="202"/>
      <c r="AP238" s="202"/>
      <c r="AQ238" s="202"/>
      <c r="AR238" s="202"/>
      <c r="AS238" s="202"/>
      <c r="AT238" s="202"/>
      <c r="AU238" s="61"/>
      <c r="AV238" s="61"/>
      <c r="AW238" s="61"/>
      <c r="AX238" s="61"/>
      <c r="AY238" s="61"/>
      <c r="AZ238" s="61"/>
      <c r="BA238" s="61"/>
      <c r="BB238" s="61"/>
      <c r="BC238" s="61"/>
      <c r="BD238" s="61"/>
      <c r="BE238" s="61"/>
      <c r="BF238" s="61"/>
      <c r="BG238" s="61"/>
      <c r="BH238" s="61"/>
      <c r="BI238" s="61"/>
      <c r="BJ238" s="61"/>
      <c r="BK238" s="61"/>
      <c r="BL238" s="61"/>
      <c r="BM238" s="61"/>
      <c r="BN238" s="61"/>
      <c r="BO238" s="61"/>
      <c r="BP238" s="61"/>
      <c r="BQ238" s="61"/>
      <c r="BR238" s="61"/>
      <c r="BS238" s="61"/>
      <c r="BT238" s="61"/>
      <c r="BU238" s="61"/>
      <c r="BV238" s="61"/>
      <c r="BW238" s="61"/>
      <c r="BX238" s="61"/>
      <c r="BY238" s="61"/>
      <c r="BZ238" s="61"/>
      <c r="CA238" s="61"/>
      <c r="CB238" s="61"/>
      <c r="CC238" s="61"/>
      <c r="CD238" s="61"/>
      <c r="CE238" s="61"/>
      <c r="CF238" s="61"/>
      <c r="CG238" s="61"/>
      <c r="CH238" s="61"/>
      <c r="CI238" s="61"/>
      <c r="CJ238" s="61"/>
      <c r="CK238" s="61"/>
    </row>
    <row r="239" spans="3:89" ht="18.75">
      <c r="C239" s="205"/>
      <c r="D239" s="206"/>
      <c r="E239" s="207"/>
      <c r="F239" s="202"/>
      <c r="G239" s="202"/>
      <c r="H239" s="202"/>
      <c r="I239" s="202"/>
      <c r="J239" s="202"/>
      <c r="K239" s="202"/>
      <c r="L239" s="202"/>
      <c r="M239" s="202"/>
      <c r="N239" s="202"/>
      <c r="O239" s="202"/>
      <c r="P239" s="202"/>
      <c r="Q239" s="202"/>
      <c r="R239" s="202"/>
      <c r="S239" s="202"/>
      <c r="T239" s="202"/>
      <c r="U239" s="202"/>
      <c r="V239" s="202"/>
      <c r="W239" s="202"/>
      <c r="X239" s="202"/>
      <c r="Y239" s="202"/>
      <c r="Z239" s="202"/>
      <c r="AA239" s="202"/>
      <c r="AB239" s="207"/>
      <c r="AC239" s="202"/>
      <c r="AD239" s="202"/>
      <c r="AE239" s="202"/>
      <c r="AF239" s="202"/>
      <c r="AG239" s="202"/>
      <c r="AH239" s="202"/>
      <c r="AI239" s="202"/>
      <c r="AJ239" s="202"/>
      <c r="AK239" s="202"/>
      <c r="AL239" s="202"/>
      <c r="AM239" s="202"/>
      <c r="AN239" s="202"/>
      <c r="AO239" s="202"/>
      <c r="AP239" s="202"/>
      <c r="AQ239" s="202"/>
      <c r="AR239" s="202"/>
      <c r="AS239" s="202"/>
      <c r="AT239" s="202"/>
      <c r="AU239" s="61"/>
      <c r="AV239" s="61"/>
      <c r="AW239" s="61"/>
      <c r="AX239" s="61"/>
      <c r="AY239" s="61"/>
      <c r="AZ239" s="61"/>
      <c r="BA239" s="61"/>
      <c r="BB239" s="61"/>
      <c r="BC239" s="61"/>
      <c r="BD239" s="61"/>
      <c r="BE239" s="61"/>
      <c r="BF239" s="61"/>
      <c r="BG239" s="61"/>
      <c r="BH239" s="61"/>
      <c r="BI239" s="61"/>
      <c r="BJ239" s="61"/>
      <c r="BK239" s="61"/>
      <c r="BL239" s="61"/>
      <c r="BM239" s="61"/>
      <c r="BN239" s="61"/>
      <c r="BO239" s="61"/>
      <c r="BP239" s="61"/>
      <c r="BQ239" s="61"/>
      <c r="BR239" s="61"/>
      <c r="BS239" s="61"/>
      <c r="BT239" s="61"/>
      <c r="BU239" s="61"/>
      <c r="BV239" s="61"/>
      <c r="BW239" s="61"/>
      <c r="BX239" s="61"/>
      <c r="BY239" s="61"/>
      <c r="BZ239" s="61"/>
      <c r="CA239" s="61"/>
      <c r="CB239" s="61"/>
      <c r="CC239" s="61"/>
      <c r="CD239" s="61"/>
      <c r="CE239" s="61"/>
      <c r="CF239" s="61"/>
      <c r="CG239" s="61"/>
      <c r="CH239" s="61"/>
      <c r="CI239" s="61"/>
      <c r="CJ239" s="61"/>
      <c r="CK239" s="61"/>
    </row>
    <row r="240" spans="3:89" ht="18.75">
      <c r="C240" s="205"/>
      <c r="D240" s="206"/>
      <c r="E240" s="207"/>
      <c r="F240" s="202"/>
      <c r="G240" s="202"/>
      <c r="H240" s="202"/>
      <c r="I240" s="202"/>
      <c r="J240" s="202"/>
      <c r="K240" s="202"/>
      <c r="L240" s="202"/>
      <c r="M240" s="202"/>
      <c r="N240" s="202"/>
      <c r="O240" s="202"/>
      <c r="P240" s="202"/>
      <c r="Q240" s="202"/>
      <c r="R240" s="202"/>
      <c r="S240" s="202"/>
      <c r="T240" s="202"/>
      <c r="U240" s="202"/>
      <c r="V240" s="202"/>
      <c r="W240" s="202"/>
      <c r="X240" s="202"/>
      <c r="Y240" s="202"/>
      <c r="Z240" s="202"/>
      <c r="AA240" s="202"/>
      <c r="AB240" s="207"/>
      <c r="AC240" s="202"/>
      <c r="AD240" s="202"/>
      <c r="AE240" s="202"/>
      <c r="AF240" s="202"/>
      <c r="AG240" s="202"/>
      <c r="AH240" s="202"/>
      <c r="AI240" s="202"/>
      <c r="AJ240" s="202"/>
      <c r="AK240" s="202"/>
      <c r="AL240" s="202"/>
      <c r="AM240" s="202"/>
      <c r="AN240" s="202"/>
      <c r="AO240" s="202"/>
      <c r="AP240" s="202"/>
      <c r="AQ240" s="202"/>
      <c r="AR240" s="202"/>
      <c r="AS240" s="202"/>
      <c r="AT240" s="202"/>
      <c r="AU240" s="61"/>
      <c r="AV240" s="61"/>
      <c r="AW240" s="61"/>
      <c r="AX240" s="61"/>
      <c r="AY240" s="61"/>
      <c r="AZ240" s="61"/>
      <c r="BA240" s="61"/>
      <c r="BB240" s="61"/>
      <c r="BC240" s="61"/>
      <c r="BD240" s="61"/>
      <c r="BE240" s="61"/>
      <c r="BF240" s="61"/>
      <c r="BG240" s="61"/>
      <c r="BH240" s="61"/>
      <c r="BI240" s="61"/>
      <c r="BJ240" s="61"/>
      <c r="BK240" s="61"/>
      <c r="BL240" s="61"/>
      <c r="BM240" s="61"/>
      <c r="BN240" s="61"/>
      <c r="BO240" s="61"/>
      <c r="BP240" s="61"/>
      <c r="BQ240" s="61"/>
      <c r="BR240" s="61"/>
      <c r="BS240" s="61"/>
      <c r="BT240" s="61"/>
      <c r="BU240" s="61"/>
      <c r="BV240" s="61"/>
      <c r="BW240" s="61"/>
      <c r="BX240" s="61"/>
      <c r="BY240" s="61"/>
      <c r="BZ240" s="61"/>
      <c r="CA240" s="61"/>
      <c r="CB240" s="61"/>
      <c r="CC240" s="61"/>
      <c r="CD240" s="61"/>
      <c r="CE240" s="61"/>
      <c r="CF240" s="61"/>
      <c r="CG240" s="61"/>
      <c r="CH240" s="61"/>
      <c r="CI240" s="61"/>
      <c r="CJ240" s="61"/>
      <c r="CK240" s="61"/>
    </row>
    <row r="241" spans="3:89" ht="18.75">
      <c r="C241" s="205"/>
      <c r="D241" s="206"/>
      <c r="E241" s="207"/>
      <c r="F241" s="202"/>
      <c r="G241" s="202"/>
      <c r="H241" s="202"/>
      <c r="I241" s="202"/>
      <c r="J241" s="202"/>
      <c r="K241" s="202"/>
      <c r="L241" s="202"/>
      <c r="M241" s="202"/>
      <c r="N241" s="202"/>
      <c r="O241" s="202"/>
      <c r="P241" s="202"/>
      <c r="Q241" s="202"/>
      <c r="R241" s="202"/>
      <c r="S241" s="202"/>
      <c r="T241" s="202"/>
      <c r="U241" s="202"/>
      <c r="V241" s="202"/>
      <c r="W241" s="202"/>
      <c r="X241" s="202"/>
      <c r="Y241" s="202"/>
      <c r="Z241" s="202"/>
      <c r="AA241" s="202"/>
      <c r="AB241" s="207"/>
      <c r="AC241" s="202"/>
      <c r="AD241" s="202"/>
      <c r="AE241" s="202"/>
      <c r="AF241" s="202"/>
      <c r="AG241" s="202"/>
      <c r="AH241" s="202"/>
      <c r="AI241" s="202"/>
      <c r="AJ241" s="202"/>
      <c r="AK241" s="202"/>
      <c r="AL241" s="202"/>
      <c r="AM241" s="202"/>
      <c r="AN241" s="202"/>
      <c r="AO241" s="202"/>
      <c r="AP241" s="202"/>
      <c r="AQ241" s="202"/>
      <c r="AR241" s="202"/>
      <c r="AS241" s="202"/>
      <c r="AT241" s="202"/>
      <c r="AU241" s="61"/>
      <c r="AV241" s="61"/>
      <c r="AW241" s="61"/>
      <c r="AX241" s="61"/>
      <c r="AY241" s="61"/>
      <c r="AZ241" s="61"/>
      <c r="BA241" s="61"/>
      <c r="BB241" s="61"/>
      <c r="BC241" s="61"/>
      <c r="BD241" s="61"/>
      <c r="BE241" s="61"/>
      <c r="BF241" s="61"/>
      <c r="BG241" s="61"/>
      <c r="BH241" s="61"/>
      <c r="BI241" s="61"/>
      <c r="BJ241" s="61"/>
      <c r="BK241" s="61"/>
      <c r="BL241" s="61"/>
      <c r="BM241" s="61"/>
      <c r="BN241" s="61"/>
      <c r="BO241" s="61"/>
      <c r="BP241" s="61"/>
      <c r="BQ241" s="61"/>
      <c r="BR241" s="61"/>
      <c r="BS241" s="61"/>
      <c r="BT241" s="61"/>
      <c r="BU241" s="61"/>
      <c r="BV241" s="61"/>
      <c r="BW241" s="61"/>
      <c r="BX241" s="61"/>
      <c r="BY241" s="61"/>
      <c r="BZ241" s="61"/>
      <c r="CA241" s="61"/>
      <c r="CB241" s="61"/>
      <c r="CC241" s="61"/>
      <c r="CD241" s="61"/>
      <c r="CE241" s="61"/>
      <c r="CF241" s="61"/>
      <c r="CG241" s="61"/>
      <c r="CH241" s="61"/>
      <c r="CI241" s="61"/>
      <c r="CJ241" s="61"/>
      <c r="CK241" s="61"/>
    </row>
    <row r="242" spans="3:89" ht="18.75">
      <c r="C242" s="205"/>
      <c r="D242" s="206"/>
      <c r="E242" s="207"/>
      <c r="F242" s="202"/>
      <c r="G242" s="202"/>
      <c r="H242" s="202"/>
      <c r="I242" s="202"/>
      <c r="J242" s="202"/>
      <c r="K242" s="202"/>
      <c r="L242" s="202"/>
      <c r="M242" s="202"/>
      <c r="N242" s="202"/>
      <c r="O242" s="202"/>
      <c r="P242" s="202"/>
      <c r="Q242" s="202"/>
      <c r="R242" s="202"/>
      <c r="S242" s="202"/>
      <c r="T242" s="202"/>
      <c r="U242" s="202"/>
      <c r="V242" s="202"/>
      <c r="W242" s="202"/>
      <c r="X242" s="202"/>
      <c r="Y242" s="202"/>
      <c r="Z242" s="202"/>
      <c r="AA242" s="202"/>
      <c r="AB242" s="207"/>
      <c r="AC242" s="202"/>
      <c r="AD242" s="202"/>
      <c r="AE242" s="202"/>
      <c r="AF242" s="202"/>
      <c r="AG242" s="202"/>
      <c r="AH242" s="202"/>
      <c r="AI242" s="202"/>
      <c r="AJ242" s="202"/>
      <c r="AK242" s="202"/>
      <c r="AL242" s="202"/>
      <c r="AM242" s="202"/>
      <c r="AN242" s="202"/>
      <c r="AO242" s="202"/>
      <c r="AP242" s="202"/>
      <c r="AQ242" s="202"/>
      <c r="AR242" s="202"/>
      <c r="AS242" s="202"/>
      <c r="AT242" s="202"/>
      <c r="AU242" s="61"/>
      <c r="AV242" s="61"/>
      <c r="AW242" s="61"/>
      <c r="AX242" s="61"/>
      <c r="AY242" s="61"/>
      <c r="AZ242" s="61"/>
      <c r="BA242" s="61"/>
      <c r="BB242" s="61"/>
      <c r="BC242" s="61"/>
      <c r="BD242" s="61"/>
      <c r="BE242" s="61"/>
      <c r="BF242" s="61"/>
      <c r="BG242" s="61"/>
      <c r="BH242" s="61"/>
      <c r="BI242" s="61"/>
      <c r="BJ242" s="61"/>
      <c r="BK242" s="61"/>
      <c r="BL242" s="61"/>
      <c r="BM242" s="61"/>
      <c r="BN242" s="61"/>
      <c r="BO242" s="61"/>
      <c r="BP242" s="61"/>
      <c r="BQ242" s="61"/>
      <c r="BR242" s="61"/>
      <c r="BS242" s="61"/>
      <c r="BT242" s="61"/>
      <c r="BU242" s="61"/>
      <c r="BV242" s="61"/>
      <c r="BW242" s="61"/>
      <c r="BX242" s="61"/>
      <c r="BY242" s="61"/>
      <c r="BZ242" s="61"/>
      <c r="CA242" s="61"/>
      <c r="CB242" s="61"/>
      <c r="CC242" s="61"/>
      <c r="CD242" s="61"/>
      <c r="CE242" s="61"/>
      <c r="CF242" s="61"/>
      <c r="CG242" s="61"/>
      <c r="CH242" s="61"/>
      <c r="CI242" s="61"/>
      <c r="CJ242" s="61"/>
      <c r="CK242" s="61"/>
    </row>
    <row r="243" spans="3:89" ht="18.75">
      <c r="C243" s="205"/>
      <c r="D243" s="206"/>
      <c r="E243" s="207"/>
      <c r="F243" s="202"/>
      <c r="G243" s="202"/>
      <c r="H243" s="202"/>
      <c r="I243" s="202"/>
      <c r="J243" s="202"/>
      <c r="K243" s="202"/>
      <c r="L243" s="202"/>
      <c r="M243" s="202"/>
      <c r="N243" s="202"/>
      <c r="O243" s="202"/>
      <c r="P243" s="202"/>
      <c r="Q243" s="202"/>
      <c r="R243" s="202"/>
      <c r="S243" s="202"/>
      <c r="T243" s="202"/>
      <c r="U243" s="202"/>
      <c r="V243" s="202"/>
      <c r="W243" s="202"/>
      <c r="X243" s="202"/>
      <c r="Y243" s="202"/>
      <c r="Z243" s="202"/>
      <c r="AA243" s="202"/>
      <c r="AB243" s="203"/>
      <c r="AC243" s="202"/>
      <c r="AD243" s="202"/>
      <c r="AE243" s="202"/>
      <c r="AF243" s="202"/>
      <c r="AG243" s="202"/>
      <c r="AH243" s="202"/>
      <c r="AI243" s="202"/>
      <c r="AJ243" s="202"/>
      <c r="AK243" s="202"/>
      <c r="AL243" s="202"/>
      <c r="AM243" s="202"/>
      <c r="AN243" s="202"/>
      <c r="AO243" s="202"/>
      <c r="AP243" s="202"/>
      <c r="AQ243" s="202"/>
      <c r="AR243" s="202"/>
      <c r="AS243" s="202"/>
      <c r="AT243" s="202"/>
      <c r="AU243" s="61"/>
      <c r="AV243" s="61"/>
      <c r="AW243" s="61"/>
      <c r="AX243" s="61"/>
      <c r="AY243" s="61"/>
      <c r="AZ243" s="61"/>
      <c r="BA243" s="61"/>
      <c r="BB243" s="61"/>
      <c r="BC243" s="61"/>
      <c r="BD243" s="61"/>
      <c r="BE243" s="61"/>
      <c r="BF243" s="61"/>
      <c r="BG243" s="61"/>
      <c r="BH243" s="61"/>
      <c r="BI243" s="61"/>
      <c r="BJ243" s="61"/>
      <c r="BK243" s="61"/>
      <c r="BL243" s="61"/>
      <c r="BM243" s="61"/>
      <c r="BN243" s="61"/>
      <c r="BO243" s="61"/>
      <c r="BP243" s="61"/>
      <c r="BQ243" s="61"/>
      <c r="BR243" s="61"/>
      <c r="BS243" s="61"/>
      <c r="BT243" s="61"/>
      <c r="BU243" s="61"/>
      <c r="BV243" s="61"/>
      <c r="BW243" s="61"/>
      <c r="BX243" s="61"/>
      <c r="BY243" s="61"/>
      <c r="BZ243" s="61"/>
      <c r="CA243" s="61"/>
      <c r="CB243" s="61"/>
      <c r="CC243" s="61"/>
      <c r="CD243" s="61"/>
      <c r="CE243" s="61"/>
      <c r="CF243" s="61"/>
      <c r="CG243" s="61"/>
      <c r="CH243" s="61"/>
      <c r="CI243" s="61"/>
      <c r="CJ243" s="61"/>
      <c r="CK243" s="61"/>
    </row>
    <row r="244" spans="3:89" ht="18.75">
      <c r="C244" s="205"/>
      <c r="D244" s="206"/>
      <c r="E244" s="207"/>
      <c r="F244" s="202"/>
      <c r="G244" s="202"/>
      <c r="H244" s="202"/>
      <c r="I244" s="202"/>
      <c r="J244" s="202"/>
      <c r="K244" s="202"/>
      <c r="L244" s="202"/>
      <c r="M244" s="202"/>
      <c r="N244" s="202"/>
      <c r="O244" s="202"/>
      <c r="P244" s="202"/>
      <c r="Q244" s="202"/>
      <c r="R244" s="202"/>
      <c r="S244" s="202"/>
      <c r="T244" s="202"/>
      <c r="U244" s="202"/>
      <c r="V244" s="202"/>
      <c r="W244" s="202"/>
      <c r="X244" s="202"/>
      <c r="Y244" s="202"/>
      <c r="Z244" s="202"/>
      <c r="AA244" s="202"/>
      <c r="AB244" s="203"/>
      <c r="AC244" s="202"/>
      <c r="AD244" s="202"/>
      <c r="AE244" s="202"/>
      <c r="AF244" s="202"/>
      <c r="AG244" s="202"/>
      <c r="AH244" s="202"/>
      <c r="AI244" s="202"/>
      <c r="AJ244" s="202"/>
      <c r="AK244" s="202"/>
      <c r="AL244" s="202"/>
      <c r="AM244" s="202"/>
      <c r="AN244" s="202"/>
      <c r="AO244" s="202"/>
      <c r="AP244" s="202"/>
      <c r="AQ244" s="202"/>
      <c r="AR244" s="202"/>
      <c r="AS244" s="202"/>
      <c r="AT244" s="202"/>
      <c r="AU244" s="61"/>
      <c r="AV244" s="61"/>
      <c r="AW244" s="61"/>
      <c r="AX244" s="61"/>
      <c r="AY244" s="61"/>
      <c r="AZ244" s="61"/>
      <c r="BA244" s="61"/>
      <c r="BB244" s="61"/>
      <c r="BC244" s="61"/>
      <c r="BD244" s="61"/>
      <c r="BE244" s="61"/>
      <c r="BF244" s="61"/>
      <c r="BG244" s="61"/>
      <c r="BH244" s="61"/>
      <c r="BI244" s="61"/>
      <c r="BJ244" s="61"/>
      <c r="BK244" s="61"/>
      <c r="BL244" s="61"/>
      <c r="BM244" s="61"/>
      <c r="BN244" s="61"/>
      <c r="BO244" s="61"/>
      <c r="BP244" s="61"/>
      <c r="BQ244" s="61"/>
      <c r="BR244" s="61"/>
      <c r="BS244" s="61"/>
      <c r="BT244" s="61"/>
      <c r="BU244" s="61"/>
      <c r="BV244" s="61"/>
      <c r="BW244" s="61"/>
      <c r="BX244" s="61"/>
      <c r="BY244" s="61"/>
      <c r="BZ244" s="61"/>
      <c r="CA244" s="61"/>
      <c r="CB244" s="61"/>
      <c r="CC244" s="61"/>
      <c r="CD244" s="61"/>
      <c r="CE244" s="61"/>
      <c r="CF244" s="61"/>
      <c r="CG244" s="61"/>
      <c r="CH244" s="61"/>
      <c r="CI244" s="61"/>
      <c r="CJ244" s="61"/>
      <c r="CK244" s="61"/>
    </row>
    <row r="245" spans="3:89" ht="18.75">
      <c r="C245" s="205"/>
      <c r="D245" s="206"/>
      <c r="E245" s="207"/>
      <c r="F245" s="202"/>
      <c r="G245" s="202"/>
      <c r="H245" s="202"/>
      <c r="I245" s="202"/>
      <c r="J245" s="202"/>
      <c r="K245" s="202"/>
      <c r="L245" s="202"/>
      <c r="M245" s="202"/>
      <c r="N245" s="202"/>
      <c r="O245" s="202"/>
      <c r="P245" s="202"/>
      <c r="Q245" s="202"/>
      <c r="R245" s="202"/>
      <c r="S245" s="202"/>
      <c r="T245" s="202"/>
      <c r="U245" s="202"/>
      <c r="V245" s="202"/>
      <c r="W245" s="202"/>
      <c r="X245" s="202"/>
      <c r="Y245" s="202"/>
      <c r="Z245" s="202"/>
      <c r="AA245" s="202"/>
      <c r="AB245" s="203"/>
      <c r="AC245" s="202"/>
      <c r="AD245" s="202"/>
      <c r="AE245" s="202"/>
      <c r="AF245" s="202"/>
      <c r="AG245" s="202"/>
      <c r="AH245" s="202"/>
      <c r="AI245" s="202"/>
      <c r="AJ245" s="202"/>
      <c r="AK245" s="202"/>
      <c r="AL245" s="202"/>
      <c r="AM245" s="202"/>
      <c r="AN245" s="202"/>
      <c r="AO245" s="202"/>
      <c r="AP245" s="202"/>
      <c r="AQ245" s="202"/>
      <c r="AR245" s="202"/>
      <c r="AS245" s="202"/>
      <c r="AT245" s="202"/>
      <c r="AU245" s="61"/>
      <c r="AV245" s="61"/>
      <c r="AW245" s="61"/>
      <c r="AX245" s="61"/>
      <c r="AY245" s="61"/>
      <c r="AZ245" s="61"/>
      <c r="BA245" s="61"/>
      <c r="BB245" s="61"/>
      <c r="BC245" s="61"/>
      <c r="BD245" s="61"/>
      <c r="BE245" s="61"/>
      <c r="BF245" s="61"/>
      <c r="BG245" s="61"/>
      <c r="BH245" s="61"/>
      <c r="BI245" s="61"/>
      <c r="BJ245" s="61"/>
      <c r="BK245" s="61"/>
      <c r="BL245" s="61"/>
      <c r="BM245" s="61"/>
      <c r="BN245" s="61"/>
      <c r="BO245" s="61"/>
      <c r="BP245" s="61"/>
      <c r="BQ245" s="61"/>
      <c r="BR245" s="61"/>
      <c r="BS245" s="61"/>
      <c r="BT245" s="61"/>
      <c r="BU245" s="61"/>
      <c r="BV245" s="61"/>
      <c r="BW245" s="61"/>
      <c r="BX245" s="61"/>
      <c r="BY245" s="61"/>
      <c r="BZ245" s="61"/>
      <c r="CA245" s="61"/>
      <c r="CB245" s="61"/>
      <c r="CC245" s="61"/>
      <c r="CD245" s="61"/>
      <c r="CE245" s="61"/>
      <c r="CF245" s="61"/>
      <c r="CG245" s="61"/>
      <c r="CH245" s="61"/>
      <c r="CI245" s="61"/>
      <c r="CJ245" s="61"/>
      <c r="CK245" s="61"/>
    </row>
    <row r="246" spans="3:89" ht="18.75">
      <c r="C246" s="205"/>
      <c r="D246" s="206"/>
      <c r="E246" s="207"/>
      <c r="F246" s="202"/>
      <c r="G246" s="202"/>
      <c r="H246" s="202"/>
      <c r="I246" s="202"/>
      <c r="J246" s="202"/>
      <c r="K246" s="202"/>
      <c r="L246" s="202"/>
      <c r="M246" s="202"/>
      <c r="N246" s="202"/>
      <c r="O246" s="202"/>
      <c r="P246" s="202"/>
      <c r="Q246" s="202"/>
      <c r="R246" s="202"/>
      <c r="S246" s="202"/>
      <c r="T246" s="202"/>
      <c r="U246" s="202"/>
      <c r="V246" s="202"/>
      <c r="W246" s="202"/>
      <c r="X246" s="202"/>
      <c r="Y246" s="202"/>
      <c r="Z246" s="202"/>
      <c r="AA246" s="202"/>
      <c r="AB246" s="203"/>
      <c r="AC246" s="202"/>
      <c r="AD246" s="202"/>
      <c r="AE246" s="202"/>
      <c r="AF246" s="202"/>
      <c r="AG246" s="202"/>
      <c r="AH246" s="202"/>
      <c r="AI246" s="202"/>
      <c r="AJ246" s="202"/>
      <c r="AK246" s="202"/>
      <c r="AL246" s="202"/>
      <c r="AM246" s="202"/>
      <c r="AN246" s="202"/>
      <c r="AO246" s="202"/>
      <c r="AP246" s="202"/>
      <c r="AQ246" s="202"/>
      <c r="AR246" s="202"/>
      <c r="AS246" s="202"/>
      <c r="AT246" s="202"/>
      <c r="AU246" s="61"/>
      <c r="AV246" s="61"/>
      <c r="AW246" s="61"/>
      <c r="AX246" s="61"/>
      <c r="AY246" s="61"/>
      <c r="AZ246" s="61"/>
      <c r="BA246" s="61"/>
      <c r="BB246" s="61"/>
      <c r="BC246" s="61"/>
      <c r="BD246" s="61"/>
      <c r="BE246" s="61"/>
      <c r="BF246" s="61"/>
      <c r="BG246" s="61"/>
      <c r="BH246" s="61"/>
      <c r="BI246" s="61"/>
      <c r="BJ246" s="61"/>
      <c r="BK246" s="61"/>
      <c r="BL246" s="61"/>
      <c r="BM246" s="61"/>
      <c r="BN246" s="61"/>
      <c r="BO246" s="61"/>
      <c r="BP246" s="61"/>
      <c r="BQ246" s="61"/>
      <c r="BR246" s="61"/>
      <c r="BS246" s="61"/>
      <c r="BT246" s="61"/>
      <c r="BU246" s="61"/>
      <c r="BV246" s="61"/>
      <c r="BW246" s="61"/>
      <c r="BX246" s="61"/>
      <c r="BY246" s="61"/>
      <c r="BZ246" s="61"/>
      <c r="CA246" s="61"/>
      <c r="CB246" s="61"/>
      <c r="CC246" s="61"/>
      <c r="CD246" s="61"/>
      <c r="CE246" s="61"/>
      <c r="CF246" s="61"/>
      <c r="CG246" s="61"/>
      <c r="CH246" s="61"/>
      <c r="CI246" s="61"/>
      <c r="CJ246" s="61"/>
      <c r="CK246" s="61"/>
    </row>
    <row r="247" spans="3:89" ht="18.75">
      <c r="C247" s="205"/>
      <c r="D247" s="206"/>
      <c r="E247" s="207"/>
      <c r="F247" s="202"/>
      <c r="G247" s="202"/>
      <c r="H247" s="202"/>
      <c r="I247" s="202"/>
      <c r="J247" s="202"/>
      <c r="K247" s="202"/>
      <c r="L247" s="202"/>
      <c r="M247" s="202"/>
      <c r="N247" s="202"/>
      <c r="O247" s="202"/>
      <c r="P247" s="202"/>
      <c r="Q247" s="202"/>
      <c r="R247" s="202"/>
      <c r="S247" s="202"/>
      <c r="T247" s="202"/>
      <c r="U247" s="202"/>
      <c r="V247" s="202"/>
      <c r="W247" s="202"/>
      <c r="X247" s="202"/>
      <c r="Y247" s="202"/>
      <c r="Z247" s="202"/>
      <c r="AA247" s="202"/>
      <c r="AB247" s="203"/>
      <c r="AC247" s="202"/>
      <c r="AD247" s="202"/>
      <c r="AE247" s="202"/>
      <c r="AF247" s="202"/>
      <c r="AG247" s="202"/>
      <c r="AH247" s="202"/>
      <c r="AI247" s="202"/>
      <c r="AJ247" s="202"/>
      <c r="AK247" s="202"/>
      <c r="AL247" s="202"/>
      <c r="AM247" s="202"/>
      <c r="AN247" s="202"/>
      <c r="AO247" s="202"/>
      <c r="AP247" s="202"/>
      <c r="AQ247" s="202"/>
      <c r="AR247" s="202"/>
      <c r="AS247" s="202"/>
      <c r="AT247" s="202"/>
      <c r="AU247" s="61"/>
      <c r="AV247" s="61"/>
      <c r="AW247" s="61"/>
      <c r="AX247" s="61"/>
      <c r="AY247" s="61"/>
      <c r="AZ247" s="61"/>
      <c r="BA247" s="61"/>
      <c r="BB247" s="61"/>
      <c r="BC247" s="61"/>
      <c r="BD247" s="61"/>
      <c r="BE247" s="61"/>
      <c r="BF247" s="61"/>
      <c r="BG247" s="61"/>
      <c r="BH247" s="61"/>
      <c r="BI247" s="61"/>
      <c r="BJ247" s="61"/>
      <c r="BK247" s="61"/>
      <c r="BL247" s="61"/>
      <c r="BM247" s="61"/>
      <c r="BN247" s="61"/>
      <c r="BO247" s="61"/>
      <c r="BP247" s="61"/>
      <c r="BQ247" s="61"/>
      <c r="BR247" s="61"/>
      <c r="BS247" s="61"/>
      <c r="BT247" s="61"/>
      <c r="BU247" s="61"/>
      <c r="BV247" s="61"/>
      <c r="BW247" s="61"/>
      <c r="BX247" s="61"/>
      <c r="BY247" s="61"/>
      <c r="BZ247" s="61"/>
      <c r="CA247" s="61"/>
      <c r="CB247" s="61"/>
      <c r="CC247" s="61"/>
      <c r="CD247" s="61"/>
      <c r="CE247" s="61"/>
      <c r="CF247" s="61"/>
      <c r="CG247" s="61"/>
      <c r="CH247" s="61"/>
      <c r="CI247" s="61"/>
      <c r="CJ247" s="61"/>
      <c r="CK247" s="61"/>
    </row>
    <row r="248" spans="3:89" ht="18.75">
      <c r="C248" s="205"/>
      <c r="D248" s="206"/>
      <c r="E248" s="207"/>
      <c r="F248" s="202"/>
      <c r="G248" s="202"/>
      <c r="H248" s="202"/>
      <c r="I248" s="202"/>
      <c r="J248" s="202"/>
      <c r="K248" s="202"/>
      <c r="L248" s="202"/>
      <c r="M248" s="202"/>
      <c r="N248" s="202"/>
      <c r="O248" s="202"/>
      <c r="P248" s="202"/>
      <c r="Q248" s="202"/>
      <c r="R248" s="202"/>
      <c r="S248" s="202"/>
      <c r="T248" s="202"/>
      <c r="U248" s="202"/>
      <c r="V248" s="202"/>
      <c r="W248" s="202"/>
      <c r="X248" s="202"/>
      <c r="Y248" s="202"/>
      <c r="Z248" s="202"/>
      <c r="AA248" s="202"/>
      <c r="AB248" s="203"/>
      <c r="AC248" s="202"/>
      <c r="AD248" s="202"/>
      <c r="AE248" s="202"/>
      <c r="AF248" s="202"/>
      <c r="AG248" s="202"/>
      <c r="AH248" s="202"/>
      <c r="AI248" s="202"/>
      <c r="AJ248" s="202"/>
      <c r="AK248" s="202"/>
      <c r="AL248" s="202"/>
      <c r="AM248" s="202"/>
      <c r="AN248" s="202"/>
      <c r="AO248" s="202"/>
      <c r="AP248" s="202"/>
      <c r="AQ248" s="202"/>
      <c r="AR248" s="202"/>
      <c r="AS248" s="202"/>
      <c r="AT248" s="202"/>
      <c r="AU248" s="61"/>
      <c r="AV248" s="61"/>
      <c r="AW248" s="61"/>
      <c r="AX248" s="61"/>
      <c r="AY248" s="61"/>
      <c r="AZ248" s="61"/>
      <c r="BA248" s="61"/>
      <c r="BB248" s="61"/>
      <c r="BC248" s="61"/>
      <c r="BD248" s="61"/>
      <c r="BE248" s="61"/>
      <c r="BF248" s="61"/>
      <c r="BG248" s="61"/>
      <c r="BH248" s="61"/>
      <c r="BI248" s="61"/>
      <c r="BJ248" s="61"/>
      <c r="BK248" s="61"/>
      <c r="BL248" s="61"/>
      <c r="BM248" s="61"/>
      <c r="BN248" s="61"/>
      <c r="BO248" s="61"/>
      <c r="BP248" s="61"/>
      <c r="BQ248" s="61"/>
      <c r="BR248" s="61"/>
      <c r="BS248" s="61"/>
      <c r="BT248" s="61"/>
      <c r="BU248" s="61"/>
      <c r="BV248" s="61"/>
      <c r="BW248" s="61"/>
      <c r="BX248" s="61"/>
      <c r="BY248" s="61"/>
      <c r="BZ248" s="61"/>
      <c r="CA248" s="61"/>
      <c r="CB248" s="61"/>
      <c r="CC248" s="61"/>
      <c r="CD248" s="61"/>
      <c r="CE248" s="61"/>
      <c r="CF248" s="61"/>
      <c r="CG248" s="61"/>
      <c r="CH248" s="61"/>
      <c r="CI248" s="61"/>
      <c r="CJ248" s="61"/>
      <c r="CK248" s="61"/>
    </row>
    <row r="249" spans="3:89" ht="18.75">
      <c r="C249" s="205"/>
      <c r="D249" s="206"/>
      <c r="E249" s="207"/>
      <c r="F249" s="202"/>
      <c r="G249" s="202"/>
      <c r="H249" s="202"/>
      <c r="I249" s="202"/>
      <c r="J249" s="202"/>
      <c r="K249" s="202"/>
      <c r="L249" s="202"/>
      <c r="M249" s="202"/>
      <c r="N249" s="202"/>
      <c r="O249" s="202"/>
      <c r="P249" s="202"/>
      <c r="Q249" s="202"/>
      <c r="R249" s="202"/>
      <c r="S249" s="202"/>
      <c r="T249" s="202"/>
      <c r="U249" s="202"/>
      <c r="V249" s="202"/>
      <c r="W249" s="202"/>
      <c r="X249" s="202"/>
      <c r="Y249" s="202"/>
      <c r="Z249" s="202"/>
      <c r="AA249" s="202"/>
      <c r="AB249" s="203"/>
      <c r="AC249" s="202"/>
      <c r="AD249" s="202"/>
      <c r="AE249" s="202"/>
      <c r="AF249" s="202"/>
      <c r="AG249" s="202"/>
      <c r="AH249" s="202"/>
      <c r="AI249" s="202"/>
      <c r="AJ249" s="202"/>
      <c r="AK249" s="202"/>
      <c r="AL249" s="202"/>
      <c r="AM249" s="202"/>
      <c r="AN249" s="202"/>
      <c r="AO249" s="202"/>
      <c r="AP249" s="202"/>
      <c r="AQ249" s="202"/>
      <c r="AR249" s="202"/>
      <c r="AS249" s="202"/>
      <c r="AT249" s="202"/>
      <c r="AU249" s="61"/>
      <c r="AV249" s="61"/>
      <c r="AW249" s="61"/>
      <c r="AX249" s="61"/>
      <c r="AY249" s="61"/>
      <c r="AZ249" s="61"/>
      <c r="BA249" s="61"/>
      <c r="BB249" s="61"/>
      <c r="BC249" s="61"/>
      <c r="BD249" s="61"/>
      <c r="BE249" s="61"/>
      <c r="BF249" s="61"/>
      <c r="BG249" s="61"/>
      <c r="BH249" s="61"/>
      <c r="BI249" s="61"/>
      <c r="BJ249" s="61"/>
      <c r="BK249" s="61"/>
      <c r="BL249" s="61"/>
      <c r="BM249" s="61"/>
      <c r="BN249" s="61"/>
      <c r="BO249" s="61"/>
      <c r="BP249" s="61"/>
      <c r="BQ249" s="61"/>
      <c r="BR249" s="61"/>
      <c r="BS249" s="61"/>
      <c r="BT249" s="61"/>
      <c r="BU249" s="61"/>
      <c r="BV249" s="61"/>
      <c r="BW249" s="61"/>
      <c r="BX249" s="61"/>
      <c r="BY249" s="61"/>
      <c r="BZ249" s="61"/>
      <c r="CA249" s="61"/>
      <c r="CB249" s="61"/>
      <c r="CC249" s="61"/>
      <c r="CD249" s="61"/>
      <c r="CE249" s="61"/>
      <c r="CF249" s="61"/>
      <c r="CG249" s="61"/>
      <c r="CH249" s="61"/>
      <c r="CI249" s="61"/>
      <c r="CJ249" s="61"/>
      <c r="CK249" s="61"/>
    </row>
    <row r="250" spans="3:89" ht="18.75">
      <c r="C250" s="205"/>
      <c r="D250" s="206"/>
      <c r="E250" s="207"/>
      <c r="F250" s="202"/>
      <c r="G250" s="202"/>
      <c r="H250" s="202"/>
      <c r="I250" s="202"/>
      <c r="J250" s="202"/>
      <c r="K250" s="202"/>
      <c r="L250" s="202"/>
      <c r="M250" s="202"/>
      <c r="N250" s="202"/>
      <c r="O250" s="202"/>
      <c r="P250" s="202"/>
      <c r="Q250" s="202"/>
      <c r="R250" s="202"/>
      <c r="S250" s="202"/>
      <c r="T250" s="202"/>
      <c r="U250" s="202"/>
      <c r="V250" s="202"/>
      <c r="W250" s="202"/>
      <c r="X250" s="202"/>
      <c r="Y250" s="202"/>
      <c r="Z250" s="202"/>
      <c r="AA250" s="202"/>
      <c r="AB250" s="203"/>
      <c r="AC250" s="202"/>
      <c r="AD250" s="202"/>
      <c r="AE250" s="202"/>
      <c r="AF250" s="202"/>
      <c r="AG250" s="202"/>
      <c r="AH250" s="202"/>
      <c r="AI250" s="202"/>
      <c r="AJ250" s="202"/>
      <c r="AK250" s="202"/>
      <c r="AL250" s="202"/>
      <c r="AM250" s="202"/>
      <c r="AN250" s="202"/>
      <c r="AO250" s="202"/>
      <c r="AP250" s="202"/>
      <c r="AQ250" s="202"/>
      <c r="AR250" s="202"/>
      <c r="AS250" s="202"/>
      <c r="AT250" s="202"/>
      <c r="AU250" s="61"/>
      <c r="AV250" s="61"/>
      <c r="AW250" s="61"/>
      <c r="AX250" s="61"/>
      <c r="AY250" s="61"/>
      <c r="AZ250" s="61"/>
      <c r="BA250" s="61"/>
      <c r="BB250" s="61"/>
      <c r="BC250" s="61"/>
      <c r="BD250" s="61"/>
      <c r="BE250" s="61"/>
      <c r="BF250" s="61"/>
      <c r="BG250" s="61"/>
      <c r="BH250" s="61"/>
      <c r="BI250" s="61"/>
      <c r="BJ250" s="61"/>
      <c r="BK250" s="61"/>
      <c r="BL250" s="61"/>
      <c r="BM250" s="61"/>
      <c r="BN250" s="61"/>
      <c r="BO250" s="61"/>
      <c r="BP250" s="61"/>
      <c r="BQ250" s="61"/>
      <c r="BR250" s="61"/>
      <c r="BS250" s="61"/>
      <c r="BT250" s="61"/>
      <c r="BU250" s="61"/>
      <c r="BV250" s="61"/>
      <c r="BW250" s="61"/>
      <c r="BX250" s="61"/>
      <c r="BY250" s="61"/>
      <c r="BZ250" s="61"/>
      <c r="CA250" s="61"/>
      <c r="CB250" s="61"/>
      <c r="CC250" s="61"/>
      <c r="CD250" s="61"/>
      <c r="CE250" s="61"/>
      <c r="CF250" s="61"/>
      <c r="CG250" s="61"/>
      <c r="CH250" s="61"/>
      <c r="CI250" s="61"/>
      <c r="CJ250" s="61"/>
      <c r="CK250" s="61"/>
    </row>
    <row r="251" spans="3:89" ht="18.75">
      <c r="C251" s="205"/>
      <c r="D251" s="206"/>
      <c r="E251" s="207"/>
      <c r="F251" s="202"/>
      <c r="G251" s="202"/>
      <c r="H251" s="202"/>
      <c r="I251" s="202"/>
      <c r="J251" s="202"/>
      <c r="K251" s="202"/>
      <c r="L251" s="202"/>
      <c r="M251" s="202"/>
      <c r="N251" s="202"/>
      <c r="O251" s="202"/>
      <c r="P251" s="202"/>
      <c r="Q251" s="202"/>
      <c r="R251" s="202"/>
      <c r="S251" s="202"/>
      <c r="T251" s="202"/>
      <c r="U251" s="202"/>
      <c r="V251" s="202"/>
      <c r="W251" s="202"/>
      <c r="X251" s="202"/>
      <c r="Y251" s="202"/>
      <c r="Z251" s="202"/>
      <c r="AA251" s="202"/>
      <c r="AB251" s="203"/>
      <c r="AC251" s="202"/>
      <c r="AD251" s="202"/>
      <c r="AE251" s="202"/>
      <c r="AF251" s="202"/>
      <c r="AG251" s="202"/>
      <c r="AH251" s="202"/>
      <c r="AI251" s="202"/>
      <c r="AJ251" s="202"/>
      <c r="AK251" s="202"/>
      <c r="AL251" s="202"/>
      <c r="AM251" s="202"/>
      <c r="AN251" s="202"/>
      <c r="AO251" s="202"/>
      <c r="AP251" s="202"/>
      <c r="AQ251" s="202"/>
      <c r="AR251" s="202"/>
      <c r="AS251" s="202"/>
      <c r="AT251" s="202"/>
      <c r="AU251" s="61"/>
      <c r="AV251" s="61"/>
      <c r="AW251" s="61"/>
      <c r="AX251" s="61"/>
      <c r="AY251" s="61"/>
      <c r="AZ251" s="61"/>
      <c r="BA251" s="61"/>
      <c r="BB251" s="61"/>
      <c r="BC251" s="61"/>
      <c r="BD251" s="61"/>
      <c r="BE251" s="61"/>
      <c r="BF251" s="61"/>
      <c r="BG251" s="61"/>
      <c r="BH251" s="61"/>
      <c r="BI251" s="61"/>
      <c r="BJ251" s="61"/>
      <c r="BK251" s="61"/>
      <c r="BL251" s="61"/>
      <c r="BM251" s="61"/>
      <c r="BN251" s="61"/>
      <c r="BO251" s="61"/>
      <c r="BP251" s="61"/>
      <c r="BQ251" s="61"/>
      <c r="BR251" s="61"/>
      <c r="BS251" s="61"/>
      <c r="BT251" s="61"/>
      <c r="BU251" s="61"/>
      <c r="BV251" s="61"/>
      <c r="BW251" s="61"/>
      <c r="BX251" s="61"/>
      <c r="BY251" s="61"/>
      <c r="BZ251" s="61"/>
      <c r="CA251" s="61"/>
      <c r="CB251" s="61"/>
      <c r="CC251" s="61"/>
      <c r="CD251" s="61"/>
      <c r="CE251" s="61"/>
      <c r="CF251" s="61"/>
      <c r="CG251" s="61"/>
      <c r="CH251" s="61"/>
      <c r="CI251" s="61"/>
      <c r="CJ251" s="61"/>
      <c r="CK251" s="61"/>
    </row>
    <row r="252" spans="3:89" ht="18.75">
      <c r="C252" s="205"/>
      <c r="D252" s="206"/>
      <c r="E252" s="207"/>
      <c r="F252" s="202"/>
      <c r="G252" s="202"/>
      <c r="H252" s="202"/>
      <c r="I252" s="202"/>
      <c r="J252" s="202"/>
      <c r="K252" s="202"/>
      <c r="L252" s="202"/>
      <c r="M252" s="202"/>
      <c r="N252" s="202"/>
      <c r="O252" s="202"/>
      <c r="P252" s="202"/>
      <c r="Q252" s="202"/>
      <c r="R252" s="202"/>
      <c r="S252" s="202"/>
      <c r="T252" s="202"/>
      <c r="U252" s="202"/>
      <c r="V252" s="202"/>
      <c r="W252" s="202"/>
      <c r="X252" s="202"/>
      <c r="Y252" s="202"/>
      <c r="Z252" s="202"/>
      <c r="AA252" s="202"/>
      <c r="AB252" s="203"/>
      <c r="AC252" s="202"/>
      <c r="AD252" s="202"/>
      <c r="AE252" s="202"/>
      <c r="AF252" s="202"/>
      <c r="AG252" s="202"/>
      <c r="AH252" s="202"/>
      <c r="AI252" s="202"/>
      <c r="AJ252" s="202"/>
      <c r="AK252" s="202"/>
      <c r="AL252" s="202"/>
      <c r="AM252" s="202"/>
      <c r="AN252" s="202"/>
      <c r="AO252" s="202"/>
      <c r="AP252" s="202"/>
      <c r="AQ252" s="202"/>
      <c r="AR252" s="202"/>
      <c r="AS252" s="202"/>
      <c r="AT252" s="202"/>
      <c r="AU252" s="61"/>
      <c r="AV252" s="61"/>
      <c r="AW252" s="61"/>
      <c r="AX252" s="61"/>
      <c r="AY252" s="61"/>
      <c r="AZ252" s="61"/>
      <c r="BA252" s="61"/>
      <c r="BB252" s="61"/>
      <c r="BC252" s="61"/>
      <c r="BD252" s="61"/>
      <c r="BE252" s="61"/>
      <c r="BF252" s="61"/>
      <c r="BG252" s="61"/>
      <c r="BH252" s="61"/>
      <c r="BI252" s="61"/>
      <c r="BJ252" s="61"/>
      <c r="BK252" s="61"/>
      <c r="BL252" s="61"/>
      <c r="BM252" s="61"/>
      <c r="BN252" s="61"/>
      <c r="BO252" s="61"/>
      <c r="BP252" s="61"/>
      <c r="BQ252" s="61"/>
      <c r="BR252" s="61"/>
      <c r="BS252" s="61"/>
      <c r="BT252" s="61"/>
      <c r="BU252" s="61"/>
      <c r="BV252" s="61"/>
      <c r="BW252" s="61"/>
      <c r="BX252" s="61"/>
      <c r="BY252" s="61"/>
      <c r="BZ252" s="61"/>
      <c r="CA252" s="61"/>
      <c r="CB252" s="61"/>
      <c r="CC252" s="61"/>
      <c r="CD252" s="61"/>
      <c r="CE252" s="61"/>
      <c r="CF252" s="61"/>
      <c r="CG252" s="61"/>
      <c r="CH252" s="61"/>
      <c r="CI252" s="61"/>
      <c r="CJ252" s="61"/>
      <c r="CK252" s="61"/>
    </row>
    <row r="253" spans="3:89" ht="18.75">
      <c r="C253" s="205"/>
      <c r="D253" s="206"/>
      <c r="E253" s="207"/>
      <c r="F253" s="202"/>
      <c r="G253" s="202"/>
      <c r="H253" s="202"/>
      <c r="I253" s="202"/>
      <c r="J253" s="202"/>
      <c r="K253" s="202"/>
      <c r="L253" s="202"/>
      <c r="M253" s="202"/>
      <c r="N253" s="202"/>
      <c r="O253" s="202"/>
      <c r="P253" s="202"/>
      <c r="Q253" s="202"/>
      <c r="R253" s="202"/>
      <c r="S253" s="202"/>
      <c r="T253" s="202"/>
      <c r="U253" s="202"/>
      <c r="V253" s="202"/>
      <c r="W253" s="202"/>
      <c r="X253" s="202"/>
      <c r="Y253" s="202"/>
      <c r="Z253" s="202"/>
      <c r="AA253" s="202"/>
      <c r="AB253" s="203"/>
      <c r="AC253" s="202"/>
      <c r="AD253" s="202"/>
      <c r="AE253" s="202"/>
      <c r="AF253" s="202"/>
      <c r="AG253" s="202"/>
      <c r="AH253" s="202"/>
      <c r="AI253" s="202"/>
      <c r="AJ253" s="202"/>
      <c r="AK253" s="202"/>
      <c r="AL253" s="202"/>
      <c r="AM253" s="202"/>
      <c r="AN253" s="202"/>
      <c r="AO253" s="202"/>
      <c r="AP253" s="202"/>
      <c r="AQ253" s="202"/>
      <c r="AR253" s="202"/>
      <c r="AS253" s="202"/>
      <c r="AT253" s="202"/>
      <c r="AU253" s="61"/>
      <c r="AV253" s="61"/>
      <c r="AW253" s="61"/>
      <c r="AX253" s="61"/>
      <c r="AY253" s="61"/>
      <c r="AZ253" s="61"/>
      <c r="BA253" s="61"/>
      <c r="BB253" s="61"/>
      <c r="BC253" s="61"/>
      <c r="BD253" s="61"/>
      <c r="BE253" s="61"/>
      <c r="BF253" s="61"/>
      <c r="BG253" s="61"/>
      <c r="BH253" s="61"/>
      <c r="BI253" s="61"/>
      <c r="BJ253" s="61"/>
      <c r="BK253" s="61"/>
      <c r="BL253" s="61"/>
      <c r="BM253" s="61"/>
      <c r="BN253" s="61"/>
      <c r="BO253" s="61"/>
      <c r="BP253" s="61"/>
      <c r="BQ253" s="61"/>
      <c r="BR253" s="61"/>
      <c r="BS253" s="61"/>
      <c r="BT253" s="61"/>
      <c r="BU253" s="61"/>
      <c r="BV253" s="61"/>
      <c r="BW253" s="61"/>
      <c r="BX253" s="61"/>
      <c r="BY253" s="61"/>
      <c r="BZ253" s="61"/>
      <c r="CA253" s="61"/>
      <c r="CB253" s="61"/>
      <c r="CC253" s="61"/>
      <c r="CD253" s="61"/>
      <c r="CE253" s="61"/>
      <c r="CF253" s="61"/>
      <c r="CG253" s="61"/>
      <c r="CH253" s="61"/>
      <c r="CI253" s="61"/>
      <c r="CJ253" s="61"/>
      <c r="CK253" s="61"/>
    </row>
    <row r="254" spans="3:89" ht="18.75">
      <c r="C254" s="205"/>
      <c r="D254" s="206"/>
      <c r="E254" s="207"/>
      <c r="F254" s="202"/>
      <c r="G254" s="202"/>
      <c r="H254" s="202"/>
      <c r="I254" s="202"/>
      <c r="J254" s="202"/>
      <c r="K254" s="202"/>
      <c r="L254" s="202"/>
      <c r="M254" s="202"/>
      <c r="N254" s="202"/>
      <c r="O254" s="202"/>
      <c r="P254" s="202"/>
      <c r="Q254" s="202"/>
      <c r="R254" s="202"/>
      <c r="S254" s="202"/>
      <c r="T254" s="202"/>
      <c r="U254" s="202"/>
      <c r="V254" s="202"/>
      <c r="W254" s="202"/>
      <c r="X254" s="202"/>
      <c r="Y254" s="202"/>
      <c r="Z254" s="202"/>
      <c r="AA254" s="202"/>
      <c r="AB254" s="203"/>
      <c r="AC254" s="202"/>
      <c r="AD254" s="202"/>
      <c r="AE254" s="202"/>
      <c r="AF254" s="202"/>
      <c r="AG254" s="202"/>
      <c r="AH254" s="202"/>
      <c r="AI254" s="202"/>
      <c r="AJ254" s="202"/>
      <c r="AK254" s="202"/>
      <c r="AL254" s="202"/>
      <c r="AM254" s="202"/>
      <c r="AN254" s="202"/>
      <c r="AO254" s="202"/>
      <c r="AP254" s="202"/>
      <c r="AQ254" s="202"/>
      <c r="AR254" s="202"/>
      <c r="AS254" s="202"/>
      <c r="AT254" s="202"/>
      <c r="AU254" s="61"/>
      <c r="AV254" s="61"/>
      <c r="AW254" s="61"/>
      <c r="AX254" s="61"/>
      <c r="AY254" s="61"/>
      <c r="AZ254" s="61"/>
      <c r="BA254" s="61"/>
      <c r="BB254" s="61"/>
      <c r="BC254" s="61"/>
      <c r="BD254" s="61"/>
      <c r="BE254" s="61"/>
      <c r="BF254" s="61"/>
      <c r="BG254" s="61"/>
      <c r="BH254" s="61"/>
      <c r="BI254" s="61"/>
      <c r="BJ254" s="61"/>
      <c r="BK254" s="61"/>
      <c r="BL254" s="61"/>
      <c r="BM254" s="61"/>
      <c r="BN254" s="61"/>
      <c r="BO254" s="61"/>
      <c r="BP254" s="61"/>
      <c r="BQ254" s="61"/>
      <c r="BR254" s="61"/>
      <c r="BS254" s="61"/>
      <c r="BT254" s="61"/>
      <c r="BU254" s="61"/>
      <c r="BV254" s="61"/>
      <c r="BW254" s="61"/>
      <c r="BX254" s="61"/>
      <c r="BY254" s="61"/>
      <c r="BZ254" s="61"/>
      <c r="CA254" s="61"/>
      <c r="CB254" s="61"/>
      <c r="CC254" s="61"/>
      <c r="CD254" s="61"/>
      <c r="CE254" s="61"/>
      <c r="CF254" s="61"/>
      <c r="CG254" s="61"/>
      <c r="CH254" s="61"/>
      <c r="CI254" s="61"/>
      <c r="CJ254" s="61"/>
      <c r="CK254" s="61"/>
    </row>
    <row r="255" spans="3:89" ht="18.75">
      <c r="C255" s="205"/>
      <c r="D255" s="206"/>
      <c r="E255" s="207"/>
      <c r="F255" s="202"/>
      <c r="G255" s="202"/>
      <c r="H255" s="202"/>
      <c r="I255" s="202"/>
      <c r="J255" s="202"/>
      <c r="K255" s="202"/>
      <c r="L255" s="202"/>
      <c r="M255" s="202"/>
      <c r="N255" s="202"/>
      <c r="O255" s="202"/>
      <c r="P255" s="202"/>
      <c r="Q255" s="202"/>
      <c r="R255" s="202"/>
      <c r="S255" s="202"/>
      <c r="T255" s="202"/>
      <c r="U255" s="202"/>
      <c r="V255" s="202"/>
      <c r="W255" s="202"/>
      <c r="X255" s="202"/>
      <c r="Y255" s="202"/>
      <c r="Z255" s="202"/>
      <c r="AA255" s="202"/>
      <c r="AB255" s="203"/>
      <c r="AC255" s="202"/>
      <c r="AD255" s="202"/>
      <c r="AE255" s="202"/>
      <c r="AF255" s="202"/>
      <c r="AG255" s="202"/>
      <c r="AH255" s="202"/>
      <c r="AI255" s="202"/>
      <c r="AJ255" s="202"/>
      <c r="AK255" s="202"/>
      <c r="AL255" s="202"/>
      <c r="AM255" s="202"/>
      <c r="AN255" s="202"/>
      <c r="AO255" s="202"/>
      <c r="AP255" s="202"/>
      <c r="AQ255" s="202"/>
      <c r="AR255" s="202"/>
      <c r="AS255" s="202"/>
      <c r="AT255" s="202"/>
      <c r="AU255" s="61"/>
      <c r="AV255" s="61"/>
      <c r="AW255" s="61"/>
      <c r="AX255" s="61"/>
      <c r="AY255" s="61"/>
      <c r="AZ255" s="61"/>
      <c r="BA255" s="61"/>
      <c r="BB255" s="61"/>
      <c r="BC255" s="61"/>
      <c r="BD255" s="61"/>
      <c r="BE255" s="61"/>
      <c r="BF255" s="61"/>
      <c r="BG255" s="61"/>
      <c r="BH255" s="61"/>
      <c r="BI255" s="61"/>
      <c r="BJ255" s="61"/>
      <c r="BK255" s="61"/>
      <c r="BL255" s="61"/>
      <c r="BM255" s="61"/>
      <c r="BN255" s="61"/>
      <c r="BO255" s="61"/>
      <c r="BP255" s="61"/>
      <c r="BQ255" s="61"/>
      <c r="BR255" s="61"/>
      <c r="BS255" s="61"/>
      <c r="BT255" s="61"/>
      <c r="BU255" s="61"/>
      <c r="BV255" s="61"/>
      <c r="BW255" s="61"/>
      <c r="BX255" s="61"/>
      <c r="BY255" s="61"/>
      <c r="BZ255" s="61"/>
      <c r="CA255" s="61"/>
      <c r="CB255" s="61"/>
      <c r="CC255" s="61"/>
      <c r="CD255" s="61"/>
      <c r="CE255" s="61"/>
      <c r="CF255" s="61"/>
      <c r="CG255" s="61"/>
      <c r="CH255" s="61"/>
      <c r="CI255" s="61"/>
      <c r="CJ255" s="61"/>
      <c r="CK255" s="61"/>
    </row>
    <row r="256" spans="3:89" ht="18.75">
      <c r="C256" s="205"/>
      <c r="D256" s="206"/>
      <c r="E256" s="207"/>
      <c r="F256" s="202"/>
      <c r="G256" s="202"/>
      <c r="H256" s="202"/>
      <c r="I256" s="202"/>
      <c r="J256" s="202"/>
      <c r="K256" s="202"/>
      <c r="L256" s="202"/>
      <c r="M256" s="202"/>
      <c r="N256" s="202"/>
      <c r="O256" s="202"/>
      <c r="P256" s="202"/>
      <c r="Q256" s="202"/>
      <c r="R256" s="202"/>
      <c r="S256" s="202"/>
      <c r="T256" s="202"/>
      <c r="U256" s="202"/>
      <c r="V256" s="202"/>
      <c r="W256" s="202"/>
      <c r="X256" s="202"/>
      <c r="Y256" s="202"/>
      <c r="Z256" s="202"/>
      <c r="AA256" s="202"/>
      <c r="AB256" s="203"/>
      <c r="AC256" s="202"/>
      <c r="AD256" s="202"/>
      <c r="AE256" s="202"/>
      <c r="AF256" s="202"/>
      <c r="AG256" s="202"/>
      <c r="AH256" s="202"/>
      <c r="AI256" s="202"/>
      <c r="AJ256" s="202"/>
      <c r="AK256" s="202"/>
      <c r="AL256" s="202"/>
      <c r="AM256" s="202"/>
      <c r="AN256" s="202"/>
      <c r="AO256" s="202"/>
      <c r="AP256" s="202"/>
      <c r="AQ256" s="202"/>
      <c r="AR256" s="202"/>
      <c r="AS256" s="202"/>
      <c r="AT256" s="202"/>
      <c r="AU256" s="61"/>
      <c r="AV256" s="61"/>
      <c r="AW256" s="61"/>
      <c r="AX256" s="61"/>
      <c r="AY256" s="61"/>
      <c r="AZ256" s="61"/>
      <c r="BA256" s="61"/>
      <c r="BB256" s="61"/>
      <c r="BC256" s="61"/>
      <c r="BD256" s="61"/>
      <c r="BE256" s="61"/>
      <c r="BF256" s="61"/>
      <c r="BG256" s="61"/>
      <c r="BH256" s="61"/>
      <c r="BI256" s="61"/>
      <c r="BJ256" s="61"/>
      <c r="BK256" s="61"/>
      <c r="BL256" s="61"/>
      <c r="BM256" s="61"/>
      <c r="BN256" s="61"/>
      <c r="BO256" s="61"/>
      <c r="BP256" s="61"/>
      <c r="BQ256" s="61"/>
      <c r="BR256" s="61"/>
      <c r="BS256" s="61"/>
      <c r="BT256" s="61"/>
      <c r="BU256" s="61"/>
      <c r="BV256" s="61"/>
      <c r="BW256" s="61"/>
      <c r="BX256" s="61"/>
      <c r="BY256" s="61"/>
      <c r="BZ256" s="61"/>
      <c r="CA256" s="61"/>
      <c r="CB256" s="61"/>
      <c r="CC256" s="61"/>
      <c r="CD256" s="61"/>
      <c r="CE256" s="61"/>
      <c r="CF256" s="61"/>
      <c r="CG256" s="61"/>
      <c r="CH256" s="61"/>
      <c r="CI256" s="61"/>
      <c r="CJ256" s="61"/>
      <c r="CK256" s="61"/>
    </row>
    <row r="257" spans="3:89" ht="18.75">
      <c r="C257" s="205"/>
      <c r="D257" s="206"/>
      <c r="E257" s="207"/>
      <c r="F257" s="202"/>
      <c r="G257" s="202"/>
      <c r="H257" s="202"/>
      <c r="I257" s="202"/>
      <c r="J257" s="202"/>
      <c r="K257" s="202"/>
      <c r="L257" s="202"/>
      <c r="M257" s="202"/>
      <c r="N257" s="202"/>
      <c r="O257" s="202"/>
      <c r="P257" s="202"/>
      <c r="Q257" s="202"/>
      <c r="R257" s="202"/>
      <c r="S257" s="202"/>
      <c r="T257" s="202"/>
      <c r="U257" s="202"/>
      <c r="V257" s="202"/>
      <c r="W257" s="202"/>
      <c r="X257" s="202"/>
      <c r="Y257" s="202"/>
      <c r="Z257" s="202"/>
      <c r="AA257" s="202"/>
      <c r="AB257" s="203"/>
      <c r="AC257" s="202"/>
      <c r="AD257" s="202"/>
      <c r="AE257" s="202"/>
      <c r="AF257" s="202"/>
      <c r="AG257" s="202"/>
      <c r="AH257" s="202"/>
      <c r="AI257" s="202"/>
      <c r="AJ257" s="202"/>
      <c r="AK257" s="202"/>
      <c r="AL257" s="202"/>
      <c r="AM257" s="202"/>
      <c r="AN257" s="202"/>
      <c r="AO257" s="202"/>
      <c r="AP257" s="202"/>
      <c r="AQ257" s="202"/>
      <c r="AR257" s="202"/>
      <c r="AS257" s="202"/>
      <c r="AT257" s="202"/>
      <c r="AU257" s="61"/>
      <c r="AV257" s="61"/>
      <c r="AW257" s="61"/>
      <c r="AX257" s="61"/>
      <c r="AY257" s="61"/>
      <c r="AZ257" s="61"/>
      <c r="BA257" s="61"/>
      <c r="BB257" s="61"/>
      <c r="BC257" s="61"/>
      <c r="BD257" s="61"/>
      <c r="BE257" s="61"/>
      <c r="BF257" s="61"/>
      <c r="BG257" s="61"/>
      <c r="BH257" s="61"/>
      <c r="BI257" s="61"/>
      <c r="BJ257" s="61"/>
      <c r="BK257" s="61"/>
      <c r="BL257" s="61"/>
      <c r="BM257" s="61"/>
      <c r="BN257" s="61"/>
      <c r="BO257" s="61"/>
      <c r="BP257" s="61"/>
      <c r="BQ257" s="61"/>
      <c r="BR257" s="61"/>
      <c r="BS257" s="61"/>
      <c r="BT257" s="61"/>
      <c r="BU257" s="61"/>
      <c r="BV257" s="61"/>
      <c r="BW257" s="61"/>
      <c r="BX257" s="61"/>
      <c r="BY257" s="61"/>
      <c r="BZ257" s="61"/>
      <c r="CA257" s="61"/>
      <c r="CB257" s="61"/>
      <c r="CC257" s="61"/>
      <c r="CD257" s="61"/>
      <c r="CE257" s="61"/>
      <c r="CF257" s="61"/>
      <c r="CG257" s="61"/>
      <c r="CH257" s="61"/>
      <c r="CI257" s="61"/>
      <c r="CJ257" s="61"/>
      <c r="CK257" s="61"/>
    </row>
    <row r="258" spans="3:89" ht="18.75">
      <c r="C258" s="205"/>
      <c r="D258" s="206"/>
      <c r="E258" s="207"/>
      <c r="F258" s="202"/>
      <c r="G258" s="202"/>
      <c r="H258" s="202"/>
      <c r="I258" s="202"/>
      <c r="J258" s="202"/>
      <c r="K258" s="202"/>
      <c r="L258" s="202"/>
      <c r="M258" s="202"/>
      <c r="N258" s="202"/>
      <c r="O258" s="202"/>
      <c r="P258" s="202"/>
      <c r="Q258" s="202"/>
      <c r="R258" s="202"/>
      <c r="S258" s="202"/>
      <c r="T258" s="202"/>
      <c r="U258" s="202"/>
      <c r="V258" s="202"/>
      <c r="W258" s="202"/>
      <c r="X258" s="202"/>
      <c r="Y258" s="202"/>
      <c r="Z258" s="202"/>
      <c r="AA258" s="202"/>
      <c r="AB258" s="203"/>
      <c r="AC258" s="202"/>
      <c r="AD258" s="202"/>
      <c r="AE258" s="202"/>
      <c r="AF258" s="202"/>
      <c r="AG258" s="202"/>
      <c r="AH258" s="202"/>
      <c r="AI258" s="202"/>
      <c r="AJ258" s="202"/>
      <c r="AK258" s="202"/>
      <c r="AL258" s="202"/>
      <c r="AM258" s="202"/>
      <c r="AN258" s="202"/>
      <c r="AO258" s="202"/>
      <c r="AP258" s="202"/>
      <c r="AQ258" s="202"/>
      <c r="AR258" s="202"/>
      <c r="AS258" s="202"/>
      <c r="AT258" s="202"/>
      <c r="AU258" s="61"/>
      <c r="AV258" s="61"/>
      <c r="AW258" s="61"/>
      <c r="AX258" s="61"/>
      <c r="AY258" s="61"/>
      <c r="AZ258" s="61"/>
      <c r="BA258" s="61"/>
      <c r="BB258" s="61"/>
      <c r="BC258" s="61"/>
      <c r="BD258" s="61"/>
      <c r="BE258" s="61"/>
      <c r="BF258" s="61"/>
      <c r="BG258" s="61"/>
      <c r="BH258" s="61"/>
      <c r="BI258" s="61"/>
      <c r="BJ258" s="61"/>
      <c r="BK258" s="61"/>
      <c r="BL258" s="61"/>
      <c r="BM258" s="61"/>
      <c r="BN258" s="61"/>
      <c r="BO258" s="61"/>
      <c r="BP258" s="61"/>
      <c r="BQ258" s="61"/>
      <c r="BR258" s="61"/>
      <c r="BS258" s="61"/>
      <c r="BT258" s="61"/>
      <c r="BU258" s="61"/>
      <c r="BV258" s="61"/>
      <c r="BW258" s="61"/>
      <c r="BX258" s="61"/>
      <c r="BY258" s="61"/>
      <c r="BZ258" s="61"/>
      <c r="CA258" s="61"/>
      <c r="CB258" s="61"/>
      <c r="CC258" s="61"/>
      <c r="CD258" s="61"/>
      <c r="CE258" s="61"/>
      <c r="CF258" s="61"/>
      <c r="CG258" s="61"/>
      <c r="CH258" s="61"/>
      <c r="CI258" s="61"/>
      <c r="CJ258" s="61"/>
      <c r="CK258" s="61"/>
    </row>
    <row r="259" spans="3:89" ht="18.75">
      <c r="C259" s="205"/>
      <c r="D259" s="206"/>
      <c r="E259" s="207"/>
      <c r="F259" s="202"/>
      <c r="G259" s="202"/>
      <c r="H259" s="202"/>
      <c r="I259" s="202"/>
      <c r="J259" s="202"/>
      <c r="K259" s="202"/>
      <c r="L259" s="202"/>
      <c r="M259" s="202"/>
      <c r="N259" s="202"/>
      <c r="O259" s="202"/>
      <c r="P259" s="202"/>
      <c r="Q259" s="202"/>
      <c r="R259" s="202"/>
      <c r="S259" s="202"/>
      <c r="T259" s="202"/>
      <c r="U259" s="202"/>
      <c r="V259" s="202"/>
      <c r="W259" s="202"/>
      <c r="X259" s="202"/>
      <c r="Y259" s="202"/>
      <c r="Z259" s="202"/>
      <c r="AA259" s="202"/>
      <c r="AB259" s="203"/>
      <c r="AC259" s="202"/>
      <c r="AD259" s="202"/>
      <c r="AE259" s="202"/>
      <c r="AF259" s="202"/>
      <c r="AG259" s="202"/>
      <c r="AH259" s="202"/>
      <c r="AI259" s="202"/>
      <c r="AJ259" s="202"/>
      <c r="AK259" s="202"/>
      <c r="AL259" s="202"/>
      <c r="AM259" s="202"/>
      <c r="AN259" s="202"/>
      <c r="AO259" s="202"/>
      <c r="AP259" s="202"/>
      <c r="AQ259" s="202"/>
      <c r="AR259" s="202"/>
      <c r="AS259" s="202"/>
      <c r="AT259" s="202"/>
      <c r="AU259" s="61"/>
      <c r="AV259" s="61"/>
      <c r="AW259" s="61"/>
      <c r="AX259" s="61"/>
      <c r="AY259" s="61"/>
      <c r="AZ259" s="61"/>
      <c r="BA259" s="61"/>
      <c r="BB259" s="61"/>
      <c r="BC259" s="61"/>
      <c r="BD259" s="61"/>
      <c r="BE259" s="61"/>
      <c r="BF259" s="61"/>
      <c r="BG259" s="61"/>
      <c r="BH259" s="61"/>
      <c r="BI259" s="61"/>
      <c r="BJ259" s="61"/>
      <c r="BK259" s="61"/>
      <c r="BL259" s="61"/>
      <c r="BM259" s="61"/>
      <c r="BN259" s="61"/>
      <c r="BO259" s="61"/>
      <c r="BP259" s="61"/>
      <c r="BQ259" s="61"/>
      <c r="BR259" s="61"/>
      <c r="BS259" s="61"/>
      <c r="BT259" s="61"/>
      <c r="BU259" s="61"/>
      <c r="BV259" s="61"/>
      <c r="BW259" s="61"/>
      <c r="BX259" s="61"/>
      <c r="BY259" s="61"/>
      <c r="BZ259" s="61"/>
      <c r="CA259" s="61"/>
      <c r="CB259" s="61"/>
      <c r="CC259" s="61"/>
      <c r="CD259" s="61"/>
      <c r="CE259" s="61"/>
      <c r="CF259" s="61"/>
      <c r="CG259" s="61"/>
      <c r="CH259" s="61"/>
      <c r="CI259" s="61"/>
      <c r="CJ259" s="61"/>
      <c r="CK259" s="61"/>
    </row>
    <row r="260" spans="3:89" ht="18.75">
      <c r="C260" s="205"/>
      <c r="D260" s="206"/>
      <c r="E260" s="207"/>
      <c r="F260" s="202"/>
      <c r="G260" s="202"/>
      <c r="H260" s="202"/>
      <c r="I260" s="202"/>
      <c r="J260" s="202"/>
      <c r="K260" s="202"/>
      <c r="L260" s="202"/>
      <c r="M260" s="202"/>
      <c r="N260" s="202"/>
      <c r="O260" s="202"/>
      <c r="P260" s="202"/>
      <c r="Q260" s="202"/>
      <c r="R260" s="202"/>
      <c r="S260" s="202"/>
      <c r="T260" s="202"/>
      <c r="U260" s="202"/>
      <c r="V260" s="202"/>
      <c r="W260" s="202"/>
      <c r="X260" s="202"/>
      <c r="Y260" s="202"/>
      <c r="Z260" s="202"/>
      <c r="AA260" s="202"/>
      <c r="AB260" s="203"/>
      <c r="AC260" s="202"/>
      <c r="AD260" s="202"/>
      <c r="AE260" s="202"/>
      <c r="AF260" s="202"/>
      <c r="AG260" s="202"/>
      <c r="AH260" s="202"/>
      <c r="AI260" s="202"/>
      <c r="AJ260" s="202"/>
      <c r="AK260" s="202"/>
      <c r="AL260" s="202"/>
      <c r="AM260" s="202"/>
      <c r="AN260" s="202"/>
      <c r="AO260" s="202"/>
      <c r="AP260" s="202"/>
      <c r="AQ260" s="202"/>
      <c r="AR260" s="202"/>
      <c r="AS260" s="202"/>
      <c r="AT260" s="202"/>
      <c r="AU260" s="61"/>
      <c r="AV260" s="61"/>
      <c r="AW260" s="61"/>
      <c r="AX260" s="61"/>
      <c r="AY260" s="61"/>
      <c r="AZ260" s="61"/>
      <c r="BA260" s="61"/>
      <c r="BB260" s="61"/>
      <c r="BC260" s="61"/>
      <c r="BD260" s="61"/>
      <c r="BE260" s="61"/>
      <c r="BF260" s="61"/>
      <c r="BG260" s="61"/>
      <c r="BH260" s="61"/>
      <c r="BI260" s="61"/>
      <c r="BJ260" s="61"/>
      <c r="BK260" s="61"/>
      <c r="BL260" s="61"/>
      <c r="BM260" s="61"/>
      <c r="BN260" s="61"/>
      <c r="BO260" s="61"/>
      <c r="BP260" s="61"/>
      <c r="BQ260" s="61"/>
      <c r="BR260" s="61"/>
      <c r="BS260" s="61"/>
      <c r="BT260" s="61"/>
      <c r="BU260" s="61"/>
      <c r="BV260" s="61"/>
      <c r="BW260" s="61"/>
      <c r="BX260" s="61"/>
      <c r="BY260" s="61"/>
      <c r="BZ260" s="61"/>
      <c r="CA260" s="61"/>
      <c r="CB260" s="61"/>
      <c r="CC260" s="61"/>
      <c r="CD260" s="61"/>
      <c r="CE260" s="61"/>
      <c r="CF260" s="61"/>
      <c r="CG260" s="61"/>
      <c r="CH260" s="61"/>
      <c r="CI260" s="61"/>
      <c r="CJ260" s="61"/>
      <c r="CK260" s="61"/>
    </row>
    <row r="261" spans="3:89" ht="18.75">
      <c r="C261" s="205"/>
      <c r="D261" s="206"/>
      <c r="E261" s="207"/>
      <c r="F261" s="202"/>
      <c r="G261" s="202"/>
      <c r="H261" s="202"/>
      <c r="I261" s="202"/>
      <c r="J261" s="202"/>
      <c r="K261" s="202"/>
      <c r="L261" s="202"/>
      <c r="M261" s="202"/>
      <c r="N261" s="202"/>
      <c r="O261" s="202"/>
      <c r="P261" s="202"/>
      <c r="Q261" s="202"/>
      <c r="R261" s="202"/>
      <c r="S261" s="202"/>
      <c r="T261" s="202"/>
      <c r="U261" s="202"/>
      <c r="V261" s="202"/>
      <c r="W261" s="202"/>
      <c r="X261" s="202"/>
      <c r="Y261" s="202"/>
      <c r="Z261" s="202"/>
      <c r="AA261" s="202"/>
      <c r="AB261" s="203"/>
      <c r="AC261" s="202"/>
      <c r="AD261" s="202"/>
      <c r="AE261" s="202"/>
      <c r="AF261" s="202"/>
      <c r="AG261" s="202"/>
      <c r="AH261" s="202"/>
      <c r="AI261" s="202"/>
      <c r="AJ261" s="202"/>
      <c r="AK261" s="202"/>
      <c r="AL261" s="202"/>
      <c r="AM261" s="202"/>
      <c r="AN261" s="202"/>
      <c r="AO261" s="202"/>
      <c r="AP261" s="202"/>
      <c r="AQ261" s="202"/>
      <c r="AR261" s="202"/>
      <c r="AS261" s="202"/>
      <c r="AT261" s="202"/>
      <c r="AU261" s="61"/>
      <c r="AV261" s="61"/>
      <c r="AW261" s="61"/>
      <c r="AX261" s="61"/>
      <c r="AY261" s="61"/>
      <c r="AZ261" s="61"/>
      <c r="BA261" s="61"/>
      <c r="BB261" s="61"/>
      <c r="BC261" s="61"/>
      <c r="BD261" s="61"/>
      <c r="BE261" s="61"/>
      <c r="BF261" s="61"/>
      <c r="BG261" s="61"/>
      <c r="BH261" s="61"/>
      <c r="BI261" s="61"/>
      <c r="BJ261" s="61"/>
      <c r="BK261" s="61"/>
      <c r="BL261" s="61"/>
      <c r="BM261" s="61"/>
      <c r="BN261" s="61"/>
      <c r="BO261" s="61"/>
      <c r="BP261" s="61"/>
      <c r="BQ261" s="61"/>
      <c r="BR261" s="61"/>
      <c r="BS261" s="61"/>
      <c r="BT261" s="61"/>
      <c r="BU261" s="61"/>
      <c r="BV261" s="61"/>
      <c r="BW261" s="61"/>
      <c r="BX261" s="61"/>
      <c r="BY261" s="61"/>
      <c r="BZ261" s="61"/>
      <c r="CA261" s="61"/>
      <c r="CB261" s="61"/>
      <c r="CC261" s="61"/>
      <c r="CD261" s="61"/>
      <c r="CE261" s="61"/>
      <c r="CF261" s="61"/>
      <c r="CG261" s="61"/>
      <c r="CH261" s="61"/>
      <c r="CI261" s="61"/>
      <c r="CJ261" s="61"/>
      <c r="CK261" s="61"/>
    </row>
    <row r="262" spans="3:89" ht="18.75">
      <c r="C262" s="205"/>
      <c r="D262" s="206"/>
      <c r="E262" s="207"/>
      <c r="F262" s="202"/>
      <c r="G262" s="202"/>
      <c r="H262" s="202"/>
      <c r="I262" s="202"/>
      <c r="J262" s="202"/>
      <c r="K262" s="202"/>
      <c r="L262" s="202"/>
      <c r="M262" s="202"/>
      <c r="N262" s="202"/>
      <c r="O262" s="202"/>
      <c r="P262" s="202"/>
      <c r="Q262" s="202"/>
      <c r="R262" s="202"/>
      <c r="S262" s="202"/>
      <c r="T262" s="202"/>
      <c r="U262" s="202"/>
      <c r="V262" s="202"/>
      <c r="W262" s="202"/>
      <c r="X262" s="202"/>
      <c r="Y262" s="202"/>
      <c r="Z262" s="202"/>
      <c r="AA262" s="202"/>
      <c r="AB262" s="203"/>
      <c r="AC262" s="202"/>
      <c r="AD262" s="202"/>
      <c r="AE262" s="202"/>
      <c r="AF262" s="202"/>
      <c r="AG262" s="202"/>
      <c r="AH262" s="202"/>
      <c r="AI262" s="202"/>
      <c r="AJ262" s="202"/>
      <c r="AK262" s="202"/>
      <c r="AL262" s="202"/>
      <c r="AM262" s="202"/>
      <c r="AN262" s="202"/>
      <c r="AO262" s="202"/>
      <c r="AP262" s="202"/>
      <c r="AQ262" s="202"/>
      <c r="AR262" s="202"/>
      <c r="AS262" s="202"/>
      <c r="AT262" s="202"/>
      <c r="AU262" s="61"/>
      <c r="AV262" s="61"/>
      <c r="AW262" s="61"/>
      <c r="AX262" s="61"/>
      <c r="AY262" s="61"/>
      <c r="AZ262" s="61"/>
      <c r="BA262" s="61"/>
      <c r="BB262" s="61"/>
      <c r="BC262" s="61"/>
      <c r="BD262" s="61"/>
      <c r="BE262" s="61"/>
      <c r="BF262" s="61"/>
      <c r="BG262" s="61"/>
      <c r="BH262" s="61"/>
      <c r="BI262" s="61"/>
      <c r="BJ262" s="61"/>
      <c r="BK262" s="61"/>
      <c r="BL262" s="61"/>
      <c r="BM262" s="61"/>
      <c r="BN262" s="61"/>
      <c r="BO262" s="61"/>
      <c r="BP262" s="61"/>
      <c r="BQ262" s="61"/>
      <c r="BR262" s="61"/>
      <c r="BS262" s="61"/>
      <c r="BT262" s="61"/>
      <c r="BU262" s="61"/>
      <c r="BV262" s="61"/>
      <c r="BW262" s="61"/>
      <c r="BX262" s="61"/>
      <c r="BY262" s="61"/>
      <c r="BZ262" s="61"/>
      <c r="CA262" s="61"/>
      <c r="CB262" s="61"/>
      <c r="CC262" s="61"/>
      <c r="CD262" s="61"/>
      <c r="CE262" s="61"/>
      <c r="CF262" s="61"/>
      <c r="CG262" s="61"/>
      <c r="CH262" s="61"/>
      <c r="CI262" s="61"/>
      <c r="CJ262" s="61"/>
      <c r="CK262" s="61"/>
    </row>
    <row r="263" spans="3:89" ht="18.75">
      <c r="C263" s="205"/>
      <c r="D263" s="206"/>
      <c r="E263" s="207"/>
      <c r="F263" s="202"/>
      <c r="G263" s="202"/>
      <c r="H263" s="202"/>
      <c r="I263" s="202"/>
      <c r="J263" s="202"/>
      <c r="K263" s="202"/>
      <c r="L263" s="202"/>
      <c r="M263" s="202"/>
      <c r="N263" s="202"/>
      <c r="O263" s="202"/>
      <c r="P263" s="202"/>
      <c r="Q263" s="202"/>
      <c r="R263" s="202"/>
      <c r="S263" s="202"/>
      <c r="T263" s="202"/>
      <c r="U263" s="202"/>
      <c r="V263" s="202"/>
      <c r="W263" s="202"/>
      <c r="X263" s="202"/>
      <c r="Y263" s="202"/>
      <c r="Z263" s="202"/>
      <c r="AA263" s="202"/>
      <c r="AB263" s="203"/>
      <c r="AC263" s="202"/>
      <c r="AD263" s="202"/>
      <c r="AE263" s="202"/>
      <c r="AF263" s="202"/>
      <c r="AG263" s="202"/>
      <c r="AH263" s="202"/>
      <c r="AI263" s="202"/>
      <c r="AJ263" s="202"/>
      <c r="AK263" s="202"/>
      <c r="AL263" s="202"/>
      <c r="AM263" s="202"/>
      <c r="AN263" s="202"/>
      <c r="AO263" s="202"/>
      <c r="AP263" s="202"/>
      <c r="AQ263" s="202"/>
      <c r="AR263" s="202"/>
      <c r="AS263" s="202"/>
      <c r="AT263" s="202"/>
      <c r="AU263" s="61"/>
      <c r="AV263" s="61"/>
      <c r="AW263" s="61"/>
      <c r="AX263" s="61"/>
      <c r="AY263" s="61"/>
      <c r="AZ263" s="61"/>
      <c r="BA263" s="61"/>
      <c r="BB263" s="61"/>
      <c r="BC263" s="61"/>
      <c r="BD263" s="61"/>
      <c r="BE263" s="61"/>
      <c r="BF263" s="61"/>
      <c r="BG263" s="61"/>
      <c r="BH263" s="61"/>
      <c r="BI263" s="61"/>
      <c r="BJ263" s="61"/>
      <c r="BK263" s="61"/>
      <c r="BL263" s="61"/>
      <c r="BM263" s="61"/>
      <c r="BN263" s="61"/>
      <c r="BO263" s="61"/>
      <c r="BP263" s="61"/>
      <c r="BQ263" s="61"/>
      <c r="BR263" s="61"/>
      <c r="BS263" s="61"/>
      <c r="BT263" s="61"/>
      <c r="BU263" s="61"/>
      <c r="BV263" s="61"/>
      <c r="BW263" s="61"/>
      <c r="BX263" s="61"/>
      <c r="BY263" s="61"/>
      <c r="BZ263" s="61"/>
      <c r="CA263" s="61"/>
      <c r="CB263" s="61"/>
      <c r="CC263" s="61"/>
      <c r="CD263" s="61"/>
      <c r="CE263" s="61"/>
      <c r="CF263" s="61"/>
      <c r="CG263" s="61"/>
      <c r="CH263" s="61"/>
      <c r="CI263" s="61"/>
      <c r="CJ263" s="61"/>
      <c r="CK263" s="61"/>
    </row>
    <row r="264" spans="3:89" ht="18.75">
      <c r="C264" s="205"/>
      <c r="D264" s="206"/>
      <c r="E264" s="207"/>
      <c r="F264" s="202"/>
      <c r="G264" s="202"/>
      <c r="H264" s="202"/>
      <c r="I264" s="202"/>
      <c r="J264" s="202"/>
      <c r="K264" s="202"/>
      <c r="L264" s="202"/>
      <c r="M264" s="202"/>
      <c r="N264" s="202"/>
      <c r="O264" s="202"/>
      <c r="P264" s="202"/>
      <c r="Q264" s="202"/>
      <c r="R264" s="202"/>
      <c r="S264" s="202"/>
      <c r="T264" s="202"/>
      <c r="U264" s="202"/>
      <c r="V264" s="202"/>
      <c r="W264" s="202"/>
      <c r="X264" s="202"/>
      <c r="Y264" s="202"/>
      <c r="Z264" s="202"/>
      <c r="AA264" s="202"/>
      <c r="AB264" s="203"/>
      <c r="AC264" s="202"/>
      <c r="AD264" s="202"/>
      <c r="AE264" s="202"/>
      <c r="AF264" s="202"/>
      <c r="AG264" s="202"/>
      <c r="AH264" s="202"/>
      <c r="AI264" s="202"/>
      <c r="AJ264" s="202"/>
      <c r="AK264" s="202"/>
      <c r="AL264" s="202"/>
      <c r="AM264" s="202"/>
      <c r="AN264" s="202"/>
      <c r="AO264" s="202"/>
      <c r="AP264" s="202"/>
      <c r="AQ264" s="202"/>
      <c r="AR264" s="202"/>
      <c r="AS264" s="202"/>
      <c r="AT264" s="202"/>
      <c r="AU264" s="61"/>
      <c r="AV264" s="61"/>
      <c r="AW264" s="61"/>
      <c r="AX264" s="61"/>
      <c r="AY264" s="61"/>
      <c r="AZ264" s="61"/>
      <c r="BA264" s="61"/>
      <c r="BB264" s="61"/>
      <c r="BC264" s="61"/>
      <c r="BD264" s="61"/>
      <c r="BE264" s="61"/>
      <c r="BF264" s="61"/>
      <c r="BG264" s="61"/>
      <c r="BH264" s="61"/>
      <c r="BI264" s="61"/>
      <c r="BJ264" s="61"/>
      <c r="BK264" s="61"/>
      <c r="BL264" s="61"/>
      <c r="BM264" s="61"/>
      <c r="BN264" s="61"/>
      <c r="BO264" s="61"/>
      <c r="BP264" s="61"/>
      <c r="BQ264" s="61"/>
      <c r="BR264" s="61"/>
      <c r="BS264" s="61"/>
      <c r="BT264" s="61"/>
      <c r="BU264" s="61"/>
      <c r="BV264" s="61"/>
      <c r="BW264" s="61"/>
      <c r="BX264" s="61"/>
      <c r="BY264" s="61"/>
      <c r="BZ264" s="61"/>
      <c r="CA264" s="61"/>
      <c r="CB264" s="61"/>
      <c r="CC264" s="61"/>
      <c r="CD264" s="61"/>
      <c r="CE264" s="61"/>
      <c r="CF264" s="61"/>
      <c r="CG264" s="61"/>
      <c r="CH264" s="61"/>
      <c r="CI264" s="61"/>
      <c r="CJ264" s="61"/>
      <c r="CK264" s="61"/>
    </row>
    <row r="265" spans="3:89" ht="18.75">
      <c r="C265" s="205"/>
      <c r="D265" s="206"/>
      <c r="E265" s="207"/>
      <c r="F265" s="202"/>
      <c r="G265" s="202"/>
      <c r="H265" s="202"/>
      <c r="I265" s="202"/>
      <c r="J265" s="202"/>
      <c r="K265" s="202"/>
      <c r="L265" s="202"/>
      <c r="M265" s="202"/>
      <c r="N265" s="202"/>
      <c r="O265" s="202"/>
      <c r="P265" s="202"/>
      <c r="Q265" s="202"/>
      <c r="R265" s="202"/>
      <c r="S265" s="202"/>
      <c r="T265" s="202"/>
      <c r="U265" s="202"/>
      <c r="V265" s="202"/>
      <c r="W265" s="202"/>
      <c r="X265" s="202"/>
      <c r="Y265" s="202"/>
      <c r="Z265" s="202"/>
      <c r="AA265" s="202"/>
      <c r="AB265" s="203"/>
      <c r="AC265" s="202"/>
      <c r="AD265" s="202"/>
      <c r="AE265" s="202"/>
      <c r="AF265" s="202"/>
      <c r="AG265" s="202"/>
      <c r="AH265" s="202"/>
      <c r="AI265" s="202"/>
      <c r="AJ265" s="202"/>
      <c r="AK265" s="202"/>
      <c r="AL265" s="202"/>
      <c r="AM265" s="202"/>
      <c r="AN265" s="202"/>
      <c r="AO265" s="202"/>
      <c r="AP265" s="202"/>
      <c r="AQ265" s="202"/>
      <c r="AR265" s="202"/>
      <c r="AS265" s="202"/>
      <c r="AT265" s="202"/>
      <c r="AU265" s="61"/>
      <c r="AV265" s="61"/>
      <c r="AW265" s="61"/>
      <c r="AX265" s="61"/>
      <c r="AY265" s="61"/>
      <c r="AZ265" s="61"/>
      <c r="BA265" s="61"/>
      <c r="BB265" s="61"/>
      <c r="BC265" s="61"/>
      <c r="BD265" s="61"/>
      <c r="BE265" s="61"/>
      <c r="BF265" s="61"/>
      <c r="BG265" s="61"/>
      <c r="BH265" s="61"/>
      <c r="BI265" s="61"/>
      <c r="BJ265" s="61"/>
      <c r="BK265" s="61"/>
      <c r="BL265" s="61"/>
      <c r="BM265" s="61"/>
      <c r="BN265" s="61"/>
      <c r="BO265" s="61"/>
      <c r="BP265" s="61"/>
      <c r="BQ265" s="61"/>
      <c r="BR265" s="61"/>
      <c r="BS265" s="61"/>
      <c r="BT265" s="61"/>
      <c r="BU265" s="61"/>
      <c r="BV265" s="61"/>
      <c r="BW265" s="61"/>
      <c r="BX265" s="61"/>
      <c r="BY265" s="61"/>
      <c r="BZ265" s="61"/>
      <c r="CA265" s="61"/>
      <c r="CB265" s="61"/>
      <c r="CC265" s="61"/>
      <c r="CD265" s="61"/>
      <c r="CE265" s="61"/>
      <c r="CF265" s="61"/>
      <c r="CG265" s="61"/>
      <c r="CH265" s="61"/>
      <c r="CI265" s="61"/>
      <c r="CJ265" s="61"/>
      <c r="CK265" s="61"/>
    </row>
    <row r="266" spans="3:89" ht="18.75">
      <c r="C266" s="205"/>
      <c r="D266" s="206"/>
      <c r="E266" s="207"/>
      <c r="F266" s="202"/>
      <c r="G266" s="202"/>
      <c r="H266" s="202"/>
      <c r="I266" s="202"/>
      <c r="J266" s="202"/>
      <c r="K266" s="202"/>
      <c r="L266" s="202"/>
      <c r="M266" s="202"/>
      <c r="N266" s="202"/>
      <c r="O266" s="202"/>
      <c r="P266" s="202"/>
      <c r="Q266" s="202"/>
      <c r="R266" s="202"/>
      <c r="S266" s="202"/>
      <c r="T266" s="202"/>
      <c r="U266" s="202"/>
      <c r="V266" s="202"/>
      <c r="W266" s="202"/>
      <c r="X266" s="202"/>
      <c r="Y266" s="202"/>
      <c r="Z266" s="202"/>
      <c r="AA266" s="202"/>
      <c r="AB266" s="203"/>
      <c r="AC266" s="202"/>
      <c r="AD266" s="202"/>
      <c r="AE266" s="202"/>
      <c r="AF266" s="202"/>
      <c r="AG266" s="202"/>
      <c r="AH266" s="202"/>
      <c r="AI266" s="202"/>
      <c r="AJ266" s="202"/>
      <c r="AK266" s="202"/>
      <c r="AL266" s="202"/>
      <c r="AM266" s="202"/>
      <c r="AN266" s="202"/>
      <c r="AO266" s="202"/>
      <c r="AP266" s="202"/>
      <c r="AQ266" s="202"/>
      <c r="AR266" s="202"/>
      <c r="AS266" s="202"/>
      <c r="AT266" s="202"/>
      <c r="AU266" s="61"/>
      <c r="AV266" s="61"/>
      <c r="AW266" s="61"/>
      <c r="AX266" s="61"/>
      <c r="AY266" s="61"/>
      <c r="AZ266" s="61"/>
      <c r="BA266" s="61"/>
      <c r="BB266" s="61"/>
      <c r="BC266" s="61"/>
      <c r="BD266" s="61"/>
      <c r="BE266" s="61"/>
      <c r="BF266" s="61"/>
      <c r="BG266" s="61"/>
      <c r="BH266" s="61"/>
      <c r="BI266" s="61"/>
      <c r="BJ266" s="61"/>
      <c r="BK266" s="61"/>
      <c r="BL266" s="61"/>
      <c r="BM266" s="61"/>
      <c r="BN266" s="61"/>
      <c r="BO266" s="61"/>
      <c r="BP266" s="61"/>
      <c r="BQ266" s="61"/>
      <c r="BR266" s="61"/>
      <c r="BS266" s="61"/>
      <c r="BT266" s="61"/>
      <c r="BU266" s="61"/>
      <c r="BV266" s="61"/>
      <c r="BW266" s="61"/>
      <c r="BX266" s="61"/>
      <c r="BY266" s="61"/>
      <c r="BZ266" s="61"/>
      <c r="CA266" s="61"/>
      <c r="CB266" s="61"/>
      <c r="CC266" s="61"/>
      <c r="CD266" s="61"/>
      <c r="CE266" s="61"/>
      <c r="CF266" s="61"/>
      <c r="CG266" s="61"/>
      <c r="CH266" s="61"/>
      <c r="CI266" s="61"/>
      <c r="CJ266" s="61"/>
      <c r="CK266" s="61"/>
    </row>
    <row r="267" spans="3:89" ht="18.75">
      <c r="C267" s="205"/>
      <c r="D267" s="206"/>
      <c r="E267" s="207"/>
      <c r="F267" s="202"/>
      <c r="G267" s="202"/>
      <c r="H267" s="202"/>
      <c r="I267" s="202"/>
      <c r="J267" s="202"/>
      <c r="K267" s="202"/>
      <c r="L267" s="202"/>
      <c r="M267" s="202"/>
      <c r="N267" s="202"/>
      <c r="O267" s="202"/>
      <c r="P267" s="202"/>
      <c r="Q267" s="202"/>
      <c r="R267" s="202"/>
      <c r="S267" s="202"/>
      <c r="T267" s="202"/>
      <c r="U267" s="202"/>
      <c r="V267" s="202"/>
      <c r="W267" s="202"/>
      <c r="X267" s="202"/>
      <c r="Y267" s="202"/>
      <c r="Z267" s="202"/>
      <c r="AA267" s="202"/>
      <c r="AB267" s="203"/>
      <c r="AC267" s="202"/>
      <c r="AD267" s="202"/>
      <c r="AE267" s="202"/>
      <c r="AF267" s="202"/>
      <c r="AG267" s="202"/>
      <c r="AH267" s="202"/>
      <c r="AI267" s="202"/>
      <c r="AJ267" s="202"/>
      <c r="AK267" s="202"/>
      <c r="AL267" s="202"/>
      <c r="AM267" s="202"/>
      <c r="AN267" s="202"/>
      <c r="AO267" s="202"/>
      <c r="AP267" s="202"/>
      <c r="AQ267" s="202"/>
      <c r="AR267" s="202"/>
      <c r="AS267" s="202"/>
      <c r="AT267" s="202"/>
      <c r="AU267" s="61"/>
      <c r="AV267" s="61"/>
      <c r="AW267" s="61"/>
      <c r="AX267" s="61"/>
      <c r="AY267" s="61"/>
      <c r="AZ267" s="61"/>
      <c r="BA267" s="61"/>
      <c r="BB267" s="61"/>
      <c r="BC267" s="61"/>
      <c r="BD267" s="61"/>
      <c r="BE267" s="61"/>
      <c r="BF267" s="61"/>
      <c r="BG267" s="61"/>
      <c r="BH267" s="61"/>
      <c r="BI267" s="61"/>
      <c r="BJ267" s="61"/>
      <c r="BK267" s="61"/>
      <c r="BL267" s="61"/>
      <c r="BM267" s="61"/>
      <c r="BN267" s="61"/>
      <c r="BO267" s="61"/>
      <c r="BP267" s="61"/>
      <c r="BQ267" s="61"/>
      <c r="BR267" s="61"/>
      <c r="BS267" s="61"/>
      <c r="BT267" s="61"/>
      <c r="BU267" s="61"/>
      <c r="BV267" s="61"/>
      <c r="BW267" s="61"/>
      <c r="BX267" s="61"/>
      <c r="BY267" s="61"/>
      <c r="BZ267" s="61"/>
      <c r="CA267" s="61"/>
      <c r="CB267" s="61"/>
      <c r="CC267" s="61"/>
      <c r="CD267" s="61"/>
      <c r="CE267" s="61"/>
      <c r="CF267" s="61"/>
      <c r="CG267" s="61"/>
      <c r="CH267" s="61"/>
      <c r="CI267" s="61"/>
      <c r="CJ267" s="61"/>
      <c r="CK267" s="61"/>
    </row>
    <row r="268" spans="3:89" ht="18.75">
      <c r="C268" s="205"/>
      <c r="D268" s="206"/>
      <c r="E268" s="207"/>
      <c r="F268" s="202"/>
      <c r="G268" s="202"/>
      <c r="H268" s="202"/>
      <c r="I268" s="202"/>
      <c r="J268" s="202"/>
      <c r="K268" s="202"/>
      <c r="L268" s="202"/>
      <c r="M268" s="202"/>
      <c r="N268" s="202"/>
      <c r="O268" s="202"/>
      <c r="P268" s="202"/>
      <c r="Q268" s="202"/>
      <c r="R268" s="202"/>
      <c r="S268" s="202"/>
      <c r="T268" s="202"/>
      <c r="U268" s="202"/>
      <c r="V268" s="202"/>
      <c r="W268" s="202"/>
      <c r="X268" s="202"/>
      <c r="Y268" s="202"/>
      <c r="Z268" s="202"/>
      <c r="AA268" s="202"/>
      <c r="AB268" s="203"/>
      <c r="AC268" s="202"/>
      <c r="AD268" s="202"/>
      <c r="AE268" s="202"/>
      <c r="AF268" s="202"/>
      <c r="AG268" s="202"/>
      <c r="AH268" s="202"/>
      <c r="AI268" s="202"/>
      <c r="AJ268" s="202"/>
      <c r="AK268" s="202"/>
      <c r="AL268" s="202"/>
      <c r="AM268" s="202"/>
      <c r="AN268" s="202"/>
      <c r="AO268" s="202"/>
      <c r="AP268" s="202"/>
      <c r="AQ268" s="202"/>
      <c r="AR268" s="202"/>
      <c r="AS268" s="202"/>
      <c r="AT268" s="202"/>
      <c r="AU268" s="61"/>
      <c r="AV268" s="61"/>
      <c r="AW268" s="61"/>
      <c r="AX268" s="61"/>
      <c r="AY268" s="61"/>
      <c r="AZ268" s="61"/>
      <c r="BA268" s="61"/>
      <c r="BB268" s="61"/>
      <c r="BC268" s="61"/>
      <c r="BD268" s="61"/>
      <c r="BE268" s="61"/>
      <c r="BF268" s="61"/>
      <c r="BG268" s="61"/>
      <c r="BH268" s="61"/>
      <c r="BI268" s="61"/>
      <c r="BJ268" s="61"/>
      <c r="BK268" s="61"/>
      <c r="BL268" s="61"/>
      <c r="BM268" s="61"/>
      <c r="BN268" s="61"/>
      <c r="BO268" s="61"/>
      <c r="BP268" s="61"/>
      <c r="BQ268" s="61"/>
      <c r="BR268" s="61"/>
      <c r="BS268" s="61"/>
      <c r="BT268" s="61"/>
      <c r="BU268" s="61"/>
      <c r="BV268" s="61"/>
      <c r="BW268" s="61"/>
      <c r="BX268" s="61"/>
      <c r="BY268" s="61"/>
      <c r="BZ268" s="61"/>
      <c r="CA268" s="61"/>
      <c r="CB268" s="61"/>
      <c r="CC268" s="61"/>
      <c r="CD268" s="61"/>
      <c r="CE268" s="61"/>
      <c r="CF268" s="61"/>
      <c r="CG268" s="61"/>
      <c r="CH268" s="61"/>
      <c r="CI268" s="61"/>
      <c r="CJ268" s="61"/>
      <c r="CK268" s="61"/>
    </row>
    <row r="269" spans="3:89" ht="18.75">
      <c r="C269" s="205"/>
      <c r="D269" s="206"/>
      <c r="E269" s="207"/>
      <c r="F269" s="202"/>
      <c r="G269" s="202"/>
      <c r="H269" s="202"/>
      <c r="I269" s="202"/>
      <c r="J269" s="202"/>
      <c r="K269" s="202"/>
      <c r="L269" s="202"/>
      <c r="M269" s="202"/>
      <c r="N269" s="202"/>
      <c r="O269" s="202"/>
      <c r="P269" s="202"/>
      <c r="Q269" s="202"/>
      <c r="R269" s="202"/>
      <c r="S269" s="202"/>
      <c r="T269" s="202"/>
      <c r="U269" s="202"/>
      <c r="V269" s="202"/>
      <c r="W269" s="202"/>
      <c r="X269" s="202"/>
      <c r="Y269" s="202"/>
      <c r="Z269" s="202"/>
      <c r="AA269" s="202"/>
      <c r="AB269" s="203"/>
      <c r="AC269" s="202"/>
      <c r="AD269" s="202"/>
      <c r="AE269" s="202"/>
      <c r="AF269" s="202"/>
      <c r="AG269" s="202"/>
      <c r="AH269" s="202"/>
      <c r="AI269" s="202"/>
      <c r="AJ269" s="202"/>
      <c r="AK269" s="202"/>
      <c r="AL269" s="202"/>
      <c r="AM269" s="202"/>
      <c r="AN269" s="202"/>
      <c r="AO269" s="202"/>
      <c r="AP269" s="202"/>
      <c r="AQ269" s="202"/>
      <c r="AR269" s="202"/>
      <c r="AS269" s="202"/>
      <c r="AT269" s="202"/>
      <c r="AU269" s="61"/>
      <c r="AV269" s="61"/>
      <c r="AW269" s="61"/>
      <c r="AX269" s="61"/>
      <c r="AY269" s="61"/>
      <c r="AZ269" s="61"/>
      <c r="BA269" s="61"/>
      <c r="BB269" s="61"/>
      <c r="BC269" s="61"/>
      <c r="BD269" s="61"/>
      <c r="BE269" s="61"/>
      <c r="BF269" s="61"/>
      <c r="BG269" s="61"/>
      <c r="BH269" s="61"/>
      <c r="BI269" s="61"/>
      <c r="BJ269" s="61"/>
      <c r="BK269" s="61"/>
      <c r="BL269" s="61"/>
      <c r="BM269" s="61"/>
      <c r="BN269" s="61"/>
      <c r="BO269" s="61"/>
      <c r="BP269" s="61"/>
      <c r="BQ269" s="61"/>
      <c r="BR269" s="61"/>
      <c r="BS269" s="61"/>
      <c r="BT269" s="61"/>
      <c r="BU269" s="61"/>
      <c r="BV269" s="61"/>
      <c r="BW269" s="61"/>
      <c r="BX269" s="61"/>
      <c r="BY269" s="61"/>
      <c r="BZ269" s="61"/>
      <c r="CA269" s="61"/>
      <c r="CB269" s="61"/>
      <c r="CC269" s="61"/>
      <c r="CD269" s="61"/>
      <c r="CE269" s="61"/>
      <c r="CF269" s="61"/>
      <c r="CG269" s="61"/>
      <c r="CH269" s="61"/>
      <c r="CI269" s="61"/>
      <c r="CJ269" s="61"/>
      <c r="CK269" s="61"/>
    </row>
    <row r="270" spans="3:89" ht="18.75">
      <c r="C270" s="205"/>
      <c r="D270" s="206"/>
      <c r="E270" s="207"/>
      <c r="F270" s="202"/>
      <c r="G270" s="202"/>
      <c r="H270" s="202"/>
      <c r="I270" s="202"/>
      <c r="J270" s="202"/>
      <c r="K270" s="202"/>
      <c r="L270" s="202"/>
      <c r="M270" s="202"/>
      <c r="N270" s="202"/>
      <c r="O270" s="202"/>
      <c r="P270" s="202"/>
      <c r="Q270" s="202"/>
      <c r="R270" s="202"/>
      <c r="S270" s="202"/>
      <c r="T270" s="202"/>
      <c r="U270" s="202"/>
      <c r="V270" s="202"/>
      <c r="W270" s="202"/>
      <c r="X270" s="202"/>
      <c r="Y270" s="202"/>
      <c r="Z270" s="202"/>
      <c r="AA270" s="202"/>
      <c r="AB270" s="203"/>
      <c r="AC270" s="202"/>
      <c r="AD270" s="202"/>
      <c r="AE270" s="202"/>
      <c r="AF270" s="202"/>
      <c r="AG270" s="202"/>
      <c r="AH270" s="202"/>
      <c r="AI270" s="202"/>
      <c r="AJ270" s="202"/>
      <c r="AK270" s="202"/>
      <c r="AL270" s="202"/>
      <c r="AM270" s="202"/>
      <c r="AN270" s="202"/>
      <c r="AO270" s="202"/>
      <c r="AP270" s="202"/>
      <c r="AQ270" s="202"/>
      <c r="AR270" s="202"/>
      <c r="AS270" s="202"/>
      <c r="AT270" s="202"/>
      <c r="AU270" s="88"/>
      <c r="AV270" s="88"/>
      <c r="AW270" s="88"/>
      <c r="AX270" s="88"/>
      <c r="AY270" s="88"/>
      <c r="AZ270" s="88"/>
      <c r="BA270" s="88"/>
      <c r="BB270" s="88"/>
      <c r="BC270" s="88"/>
      <c r="BD270" s="88"/>
      <c r="BE270" s="88"/>
      <c r="BF270" s="88"/>
      <c r="BG270" s="88"/>
      <c r="BH270" s="88"/>
      <c r="BI270" s="88"/>
      <c r="BJ270" s="88"/>
      <c r="BK270" s="88"/>
      <c r="BL270" s="88"/>
      <c r="BM270" s="88"/>
      <c r="BN270" s="88"/>
      <c r="BO270" s="88"/>
      <c r="BP270" s="88"/>
      <c r="BQ270" s="88"/>
      <c r="BR270" s="88"/>
      <c r="BS270" s="88"/>
      <c r="BT270" s="88"/>
      <c r="BU270" s="88"/>
      <c r="BV270" s="88"/>
      <c r="BW270" s="88"/>
      <c r="BX270" s="88"/>
      <c r="BY270" s="88"/>
      <c r="BZ270" s="88"/>
      <c r="CA270" s="88"/>
      <c r="CB270" s="88"/>
      <c r="CC270" s="88"/>
      <c r="CD270" s="88"/>
      <c r="CE270" s="88"/>
      <c r="CF270" s="88"/>
      <c r="CG270" s="88"/>
      <c r="CH270" s="88"/>
      <c r="CI270" s="88"/>
      <c r="CJ270" s="88"/>
      <c r="CK270" s="88"/>
    </row>
    <row r="271" spans="3:89" ht="18.75">
      <c r="C271" s="205"/>
      <c r="D271" s="206"/>
      <c r="E271" s="207"/>
      <c r="F271" s="202"/>
      <c r="G271" s="202"/>
      <c r="H271" s="202"/>
      <c r="I271" s="202"/>
      <c r="J271" s="202"/>
      <c r="K271" s="202"/>
      <c r="L271" s="202"/>
      <c r="M271" s="202"/>
      <c r="N271" s="202"/>
      <c r="O271" s="202"/>
      <c r="P271" s="202"/>
      <c r="Q271" s="202"/>
      <c r="R271" s="202"/>
      <c r="S271" s="202"/>
      <c r="T271" s="202"/>
      <c r="U271" s="202"/>
      <c r="V271" s="202"/>
      <c r="W271" s="202"/>
      <c r="X271" s="202"/>
      <c r="Y271" s="202"/>
      <c r="Z271" s="202"/>
      <c r="AA271" s="202"/>
      <c r="AB271" s="203"/>
      <c r="AC271" s="202"/>
      <c r="AD271" s="202"/>
      <c r="AE271" s="202"/>
      <c r="AF271" s="202"/>
      <c r="AG271" s="202"/>
      <c r="AH271" s="202"/>
      <c r="AI271" s="202"/>
      <c r="AJ271" s="202"/>
      <c r="AK271" s="202"/>
      <c r="AL271" s="202"/>
      <c r="AM271" s="202"/>
      <c r="AN271" s="202"/>
      <c r="AO271" s="202"/>
      <c r="AP271" s="202"/>
      <c r="AQ271" s="202"/>
      <c r="AR271" s="202"/>
      <c r="AS271" s="202"/>
      <c r="AT271" s="202"/>
      <c r="AU271" s="88"/>
      <c r="AV271" s="88"/>
      <c r="AW271" s="88"/>
      <c r="AX271" s="88"/>
      <c r="AY271" s="88"/>
      <c r="AZ271" s="88"/>
      <c r="BA271" s="88"/>
      <c r="BB271" s="88"/>
      <c r="BC271" s="88"/>
      <c r="BD271" s="88"/>
      <c r="BE271" s="88"/>
      <c r="BF271" s="88"/>
      <c r="BG271" s="88"/>
      <c r="BH271" s="88"/>
      <c r="BI271" s="88"/>
      <c r="BJ271" s="88"/>
      <c r="BK271" s="88"/>
      <c r="BL271" s="88"/>
      <c r="BM271" s="88"/>
      <c r="BN271" s="88"/>
      <c r="BO271" s="88"/>
      <c r="BP271" s="88"/>
      <c r="BQ271" s="88"/>
      <c r="BR271" s="88"/>
      <c r="BS271" s="88"/>
      <c r="BT271" s="88"/>
      <c r="BU271" s="88"/>
      <c r="BV271" s="88"/>
      <c r="BW271" s="88"/>
      <c r="BX271" s="88"/>
      <c r="BY271" s="88"/>
      <c r="BZ271" s="88"/>
      <c r="CA271" s="88"/>
      <c r="CB271" s="88"/>
      <c r="CC271" s="88"/>
      <c r="CD271" s="88"/>
      <c r="CE271" s="88"/>
      <c r="CF271" s="88"/>
      <c r="CG271" s="88"/>
      <c r="CH271" s="88"/>
      <c r="CI271" s="88"/>
      <c r="CJ271" s="88"/>
      <c r="CK271" s="88"/>
    </row>
    <row r="272" spans="3:89" ht="18.75">
      <c r="C272" s="205"/>
      <c r="D272" s="206"/>
      <c r="E272" s="204"/>
      <c r="F272" s="202"/>
      <c r="G272" s="202"/>
      <c r="H272" s="202"/>
      <c r="I272" s="202"/>
      <c r="J272" s="202"/>
      <c r="K272" s="202"/>
      <c r="L272" s="202"/>
      <c r="M272" s="202"/>
      <c r="N272" s="202"/>
      <c r="O272" s="202"/>
      <c r="P272" s="202"/>
      <c r="Q272" s="202"/>
      <c r="R272" s="202"/>
      <c r="S272" s="202"/>
      <c r="T272" s="202"/>
      <c r="U272" s="202"/>
      <c r="V272" s="202"/>
      <c r="W272" s="202"/>
      <c r="X272" s="202"/>
      <c r="Y272" s="202"/>
      <c r="Z272" s="202"/>
      <c r="AA272" s="202"/>
      <c r="AB272" s="203"/>
      <c r="AC272" s="202"/>
      <c r="AD272" s="202"/>
      <c r="AE272" s="202"/>
      <c r="AF272" s="202"/>
      <c r="AG272" s="202"/>
      <c r="AH272" s="202"/>
      <c r="AI272" s="202"/>
      <c r="AJ272" s="202"/>
      <c r="AK272" s="202"/>
      <c r="AL272" s="202"/>
      <c r="AM272" s="202"/>
      <c r="AN272" s="202"/>
      <c r="AO272" s="202"/>
      <c r="AP272" s="202"/>
      <c r="AQ272" s="202"/>
      <c r="AR272" s="202"/>
      <c r="AS272" s="202"/>
      <c r="AT272" s="202"/>
      <c r="AU272" s="88"/>
      <c r="AV272" s="88"/>
      <c r="AW272" s="88"/>
      <c r="AX272" s="88"/>
      <c r="AY272" s="88"/>
      <c r="AZ272" s="88"/>
      <c r="BA272" s="88"/>
      <c r="BB272" s="88"/>
      <c r="BC272" s="88"/>
      <c r="BD272" s="88"/>
      <c r="BE272" s="88"/>
      <c r="BF272" s="88"/>
      <c r="BG272" s="88"/>
      <c r="BH272" s="88"/>
      <c r="BI272" s="88"/>
      <c r="BJ272" s="88"/>
      <c r="BK272" s="88"/>
      <c r="BL272" s="88"/>
      <c r="BM272" s="88"/>
      <c r="BN272" s="88"/>
      <c r="BO272" s="88"/>
      <c r="BP272" s="88"/>
      <c r="BQ272" s="88"/>
      <c r="BR272" s="88"/>
      <c r="BS272" s="88"/>
      <c r="BT272" s="88"/>
      <c r="BU272" s="88"/>
      <c r="BV272" s="88"/>
      <c r="BW272" s="88"/>
      <c r="BX272" s="88"/>
      <c r="BY272" s="88"/>
      <c r="BZ272" s="88"/>
      <c r="CA272" s="88"/>
      <c r="CB272" s="88"/>
      <c r="CC272" s="88"/>
      <c r="CD272" s="88"/>
      <c r="CE272" s="88"/>
      <c r="CF272" s="88"/>
      <c r="CG272" s="88"/>
      <c r="CH272" s="88"/>
      <c r="CI272" s="88"/>
      <c r="CJ272" s="88"/>
      <c r="CK272" s="88"/>
    </row>
    <row r="273" spans="3:89" ht="18.75">
      <c r="C273" s="205"/>
      <c r="D273" s="206"/>
      <c r="E273" s="204"/>
      <c r="F273" s="202"/>
      <c r="G273" s="202"/>
      <c r="H273" s="202"/>
      <c r="I273" s="202"/>
      <c r="J273" s="202"/>
      <c r="K273" s="202"/>
      <c r="L273" s="202"/>
      <c r="M273" s="202"/>
      <c r="N273" s="202"/>
      <c r="O273" s="202"/>
      <c r="P273" s="202"/>
      <c r="Q273" s="202"/>
      <c r="R273" s="202"/>
      <c r="S273" s="202"/>
      <c r="T273" s="202"/>
      <c r="U273" s="202"/>
      <c r="V273" s="202"/>
      <c r="W273" s="202"/>
      <c r="X273" s="202"/>
      <c r="Y273" s="202"/>
      <c r="Z273" s="202"/>
      <c r="AA273" s="202"/>
      <c r="AB273" s="203"/>
      <c r="AC273" s="202"/>
      <c r="AD273" s="202"/>
      <c r="AE273" s="202"/>
      <c r="AF273" s="202"/>
      <c r="AG273" s="202"/>
      <c r="AH273" s="202"/>
      <c r="AI273" s="202"/>
      <c r="AJ273" s="202"/>
      <c r="AK273" s="202"/>
      <c r="AL273" s="202"/>
      <c r="AM273" s="202"/>
      <c r="AN273" s="202"/>
      <c r="AO273" s="202"/>
      <c r="AP273" s="202"/>
      <c r="AQ273" s="202"/>
      <c r="AR273" s="202"/>
      <c r="AS273" s="202"/>
      <c r="AT273" s="202"/>
      <c r="AU273" s="88"/>
      <c r="AV273" s="88"/>
      <c r="AW273" s="88"/>
      <c r="AX273" s="88"/>
      <c r="AY273" s="88"/>
      <c r="AZ273" s="88"/>
      <c r="BA273" s="88"/>
      <c r="BB273" s="88"/>
      <c r="BC273" s="88"/>
      <c r="BD273" s="88"/>
      <c r="BE273" s="88"/>
      <c r="BF273" s="88"/>
      <c r="BG273" s="88"/>
      <c r="BH273" s="88"/>
      <c r="BI273" s="88"/>
      <c r="BJ273" s="88"/>
      <c r="BK273" s="88"/>
      <c r="BL273" s="88"/>
      <c r="BM273" s="88"/>
      <c r="BN273" s="88"/>
      <c r="BO273" s="88"/>
      <c r="BP273" s="88"/>
      <c r="BQ273" s="88"/>
      <c r="BR273" s="88"/>
      <c r="BS273" s="88"/>
      <c r="BT273" s="88"/>
      <c r="BU273" s="88"/>
      <c r="BV273" s="88"/>
      <c r="BW273" s="88"/>
      <c r="BX273" s="88"/>
      <c r="BY273" s="88"/>
      <c r="BZ273" s="88"/>
      <c r="CA273" s="88"/>
      <c r="CB273" s="88"/>
      <c r="CC273" s="88"/>
      <c r="CD273" s="88"/>
      <c r="CE273" s="88"/>
      <c r="CF273" s="88"/>
      <c r="CG273" s="88"/>
      <c r="CH273" s="88"/>
      <c r="CI273" s="88"/>
      <c r="CJ273" s="88"/>
      <c r="CK273" s="88"/>
    </row>
    <row r="274" spans="3:89" ht="18.75">
      <c r="C274" s="205"/>
      <c r="D274" s="206"/>
      <c r="E274" s="204"/>
      <c r="F274" s="202"/>
      <c r="G274" s="202"/>
      <c r="H274" s="202"/>
      <c r="I274" s="202"/>
      <c r="J274" s="202"/>
      <c r="K274" s="202"/>
      <c r="L274" s="202"/>
      <c r="M274" s="202"/>
      <c r="N274" s="202"/>
      <c r="O274" s="202"/>
      <c r="P274" s="202"/>
      <c r="Q274" s="202"/>
      <c r="R274" s="202"/>
      <c r="S274" s="202"/>
      <c r="T274" s="202"/>
      <c r="U274" s="202"/>
      <c r="V274" s="202"/>
      <c r="W274" s="202"/>
      <c r="X274" s="202"/>
      <c r="Y274" s="202"/>
      <c r="Z274" s="202"/>
      <c r="AA274" s="202"/>
      <c r="AB274" s="203"/>
      <c r="AC274" s="202"/>
      <c r="AD274" s="202"/>
      <c r="AE274" s="202"/>
      <c r="AF274" s="202"/>
      <c r="AG274" s="202"/>
      <c r="AH274" s="202"/>
      <c r="AI274" s="202"/>
      <c r="AJ274" s="202"/>
      <c r="AK274" s="202"/>
      <c r="AL274" s="202"/>
      <c r="AM274" s="202"/>
      <c r="AN274" s="202"/>
      <c r="AO274" s="202"/>
      <c r="AP274" s="202"/>
      <c r="AQ274" s="202"/>
      <c r="AR274" s="202"/>
      <c r="AS274" s="202"/>
      <c r="AT274" s="202"/>
      <c r="AU274" s="88"/>
      <c r="AV274" s="88"/>
      <c r="AW274" s="88"/>
      <c r="AX274" s="88"/>
      <c r="AY274" s="88"/>
      <c r="AZ274" s="88"/>
      <c r="BA274" s="88"/>
      <c r="BB274" s="88"/>
      <c r="BC274" s="88"/>
      <c r="BD274" s="88"/>
      <c r="BE274" s="88"/>
      <c r="BF274" s="88"/>
      <c r="BG274" s="88"/>
      <c r="BH274" s="88"/>
      <c r="BI274" s="88"/>
      <c r="BJ274" s="88"/>
      <c r="BK274" s="88"/>
      <c r="BL274" s="88"/>
      <c r="BM274" s="88"/>
      <c r="BN274" s="88"/>
      <c r="BO274" s="88"/>
      <c r="BP274" s="88"/>
      <c r="BQ274" s="88"/>
      <c r="BR274" s="88"/>
      <c r="BS274" s="88"/>
      <c r="BT274" s="88"/>
      <c r="BU274" s="88"/>
      <c r="BV274" s="88"/>
      <c r="BW274" s="88"/>
      <c r="BX274" s="88"/>
      <c r="BY274" s="88"/>
      <c r="BZ274" s="88"/>
      <c r="CA274" s="88"/>
      <c r="CB274" s="88"/>
      <c r="CC274" s="88"/>
      <c r="CD274" s="88"/>
      <c r="CE274" s="88"/>
      <c r="CF274" s="88"/>
      <c r="CG274" s="88"/>
      <c r="CH274" s="88"/>
      <c r="CI274" s="88"/>
      <c r="CJ274" s="88"/>
      <c r="CK274" s="88"/>
    </row>
    <row r="275" spans="3:89" ht="18.75">
      <c r="C275" s="205"/>
      <c r="D275" s="206"/>
      <c r="E275" s="204"/>
      <c r="F275" s="202"/>
      <c r="G275" s="202"/>
      <c r="H275" s="202"/>
      <c r="I275" s="202"/>
      <c r="J275" s="202"/>
      <c r="K275" s="202"/>
      <c r="L275" s="202"/>
      <c r="M275" s="202"/>
      <c r="N275" s="202"/>
      <c r="O275" s="202"/>
      <c r="P275" s="202"/>
      <c r="Q275" s="202"/>
      <c r="R275" s="202"/>
      <c r="S275" s="202"/>
      <c r="T275" s="202"/>
      <c r="U275" s="202"/>
      <c r="V275" s="202"/>
      <c r="W275" s="202"/>
      <c r="X275" s="202"/>
      <c r="Y275" s="202"/>
      <c r="Z275" s="202"/>
      <c r="AA275" s="202"/>
      <c r="AB275" s="203"/>
      <c r="AC275" s="202"/>
      <c r="AD275" s="202"/>
      <c r="AE275" s="202"/>
      <c r="AF275" s="202"/>
      <c r="AG275" s="202"/>
      <c r="AH275" s="202"/>
      <c r="AI275" s="202"/>
      <c r="AJ275" s="202"/>
      <c r="AK275" s="202"/>
      <c r="AL275" s="202"/>
      <c r="AM275" s="202"/>
      <c r="AN275" s="202"/>
      <c r="AO275" s="202"/>
      <c r="AP275" s="202"/>
      <c r="AQ275" s="202"/>
      <c r="AR275" s="202"/>
      <c r="AS275" s="202"/>
      <c r="AT275" s="202"/>
      <c r="AU275" s="88"/>
      <c r="AV275" s="88"/>
      <c r="AW275" s="88"/>
      <c r="AX275" s="88"/>
      <c r="AY275" s="88"/>
      <c r="AZ275" s="88"/>
      <c r="BA275" s="88"/>
      <c r="BB275" s="88"/>
      <c r="BC275" s="88"/>
      <c r="BD275" s="88"/>
      <c r="BE275" s="88"/>
      <c r="BF275" s="88"/>
      <c r="BG275" s="88"/>
      <c r="BH275" s="88"/>
      <c r="BI275" s="88"/>
      <c r="BJ275" s="88"/>
      <c r="BK275" s="88"/>
      <c r="BL275" s="88"/>
      <c r="BM275" s="88"/>
      <c r="BN275" s="88"/>
      <c r="BO275" s="88"/>
      <c r="BP275" s="88"/>
      <c r="BQ275" s="88"/>
      <c r="BR275" s="88"/>
      <c r="BS275" s="88"/>
      <c r="BT275" s="88"/>
      <c r="BU275" s="88"/>
      <c r="BV275" s="88"/>
      <c r="BW275" s="88"/>
      <c r="BX275" s="88"/>
      <c r="BY275" s="88"/>
      <c r="BZ275" s="88"/>
      <c r="CA275" s="88"/>
      <c r="CB275" s="88"/>
      <c r="CC275" s="88"/>
      <c r="CD275" s="88"/>
      <c r="CE275" s="88"/>
      <c r="CF275" s="88"/>
      <c r="CG275" s="88"/>
      <c r="CH275" s="88"/>
      <c r="CI275" s="88"/>
      <c r="CJ275" s="88"/>
      <c r="CK275" s="88"/>
    </row>
    <row r="276" spans="3:89" ht="18.75">
      <c r="C276" s="205"/>
      <c r="D276" s="206"/>
      <c r="E276" s="204"/>
      <c r="F276" s="202"/>
      <c r="G276" s="202"/>
      <c r="H276" s="202"/>
      <c r="I276" s="202"/>
      <c r="J276" s="202"/>
      <c r="K276" s="202"/>
      <c r="L276" s="202"/>
      <c r="M276" s="202"/>
      <c r="N276" s="202"/>
      <c r="O276" s="202"/>
      <c r="P276" s="202"/>
      <c r="Q276" s="202"/>
      <c r="R276" s="202"/>
      <c r="S276" s="202"/>
      <c r="T276" s="202"/>
      <c r="U276" s="202"/>
      <c r="V276" s="202"/>
      <c r="W276" s="202"/>
      <c r="X276" s="202"/>
      <c r="Y276" s="202"/>
      <c r="Z276" s="202"/>
      <c r="AA276" s="202"/>
      <c r="AB276" s="203"/>
      <c r="AC276" s="202"/>
      <c r="AD276" s="202"/>
      <c r="AE276" s="202"/>
      <c r="AF276" s="202"/>
      <c r="AG276" s="202"/>
      <c r="AH276" s="202"/>
      <c r="AI276" s="202"/>
      <c r="AJ276" s="202"/>
      <c r="AK276" s="202"/>
      <c r="AL276" s="202"/>
      <c r="AM276" s="202"/>
      <c r="AN276" s="202"/>
      <c r="AO276" s="202"/>
      <c r="AP276" s="202"/>
      <c r="AQ276" s="202"/>
      <c r="AR276" s="202"/>
      <c r="AS276" s="202"/>
      <c r="AT276" s="202"/>
      <c r="AU276" s="88"/>
      <c r="AV276" s="88"/>
      <c r="AW276" s="88"/>
      <c r="AX276" s="88"/>
      <c r="AY276" s="88"/>
      <c r="AZ276" s="88"/>
      <c r="BA276" s="88"/>
      <c r="BB276" s="88"/>
      <c r="BC276" s="88"/>
      <c r="BD276" s="88"/>
      <c r="BE276" s="88"/>
      <c r="BF276" s="88"/>
      <c r="BG276" s="88"/>
      <c r="BH276" s="88"/>
      <c r="BI276" s="88"/>
      <c r="BJ276" s="88"/>
      <c r="BK276" s="88"/>
      <c r="BL276" s="88"/>
      <c r="BM276" s="88"/>
      <c r="BN276" s="88"/>
      <c r="BO276" s="88"/>
      <c r="BP276" s="88"/>
      <c r="BQ276" s="88"/>
      <c r="BR276" s="88"/>
      <c r="BS276" s="88"/>
      <c r="BT276" s="88"/>
      <c r="BU276" s="88"/>
      <c r="BV276" s="88"/>
      <c r="BW276" s="88"/>
      <c r="BX276" s="88"/>
      <c r="BY276" s="88"/>
      <c r="BZ276" s="88"/>
      <c r="CA276" s="88"/>
      <c r="CB276" s="88"/>
      <c r="CC276" s="88"/>
      <c r="CD276" s="88"/>
      <c r="CE276" s="88"/>
      <c r="CF276" s="88"/>
      <c r="CG276" s="88"/>
      <c r="CH276" s="88"/>
      <c r="CI276" s="88"/>
      <c r="CJ276" s="88"/>
      <c r="CK276" s="88"/>
    </row>
    <row r="277" spans="3:89" ht="18.75">
      <c r="C277" s="205"/>
      <c r="D277" s="206"/>
      <c r="E277" s="204"/>
      <c r="F277" s="202"/>
      <c r="G277" s="202"/>
      <c r="H277" s="202"/>
      <c r="I277" s="202"/>
      <c r="J277" s="202"/>
      <c r="K277" s="202"/>
      <c r="L277" s="202"/>
      <c r="M277" s="202"/>
      <c r="N277" s="202"/>
      <c r="O277" s="202"/>
      <c r="P277" s="202"/>
      <c r="Q277" s="202"/>
      <c r="R277" s="202"/>
      <c r="S277" s="202"/>
      <c r="T277" s="202"/>
      <c r="U277" s="202"/>
      <c r="V277" s="202"/>
      <c r="W277" s="202"/>
      <c r="X277" s="202"/>
      <c r="Y277" s="202"/>
      <c r="Z277" s="202"/>
      <c r="AA277" s="202"/>
      <c r="AB277" s="203"/>
      <c r="AC277" s="202"/>
      <c r="AD277" s="202"/>
      <c r="AE277" s="202"/>
      <c r="AF277" s="202"/>
      <c r="AG277" s="202"/>
      <c r="AH277" s="202"/>
      <c r="AI277" s="202"/>
      <c r="AJ277" s="202"/>
      <c r="AK277" s="202"/>
      <c r="AL277" s="202"/>
      <c r="AM277" s="202"/>
      <c r="AN277" s="202"/>
      <c r="AO277" s="202"/>
      <c r="AP277" s="202"/>
      <c r="AQ277" s="202"/>
      <c r="AR277" s="202"/>
      <c r="AS277" s="202"/>
      <c r="AT277" s="202"/>
      <c r="AU277" s="88"/>
      <c r="AV277" s="88"/>
      <c r="AW277" s="88"/>
      <c r="AX277" s="88"/>
      <c r="AY277" s="88"/>
      <c r="AZ277" s="88"/>
      <c r="BA277" s="88"/>
      <c r="BB277" s="88"/>
      <c r="BC277" s="88"/>
      <c r="BD277" s="88"/>
      <c r="BE277" s="88"/>
      <c r="BF277" s="88"/>
      <c r="BG277" s="88"/>
      <c r="BH277" s="88"/>
      <c r="BI277" s="88"/>
      <c r="BJ277" s="88"/>
      <c r="BK277" s="88"/>
      <c r="BL277" s="88"/>
      <c r="BM277" s="88"/>
      <c r="BN277" s="88"/>
      <c r="BO277" s="88"/>
      <c r="BP277" s="88"/>
      <c r="BQ277" s="88"/>
      <c r="BR277" s="88"/>
      <c r="BS277" s="88"/>
      <c r="BT277" s="88"/>
      <c r="BU277" s="88"/>
      <c r="BV277" s="88"/>
      <c r="BW277" s="88"/>
      <c r="BX277" s="88"/>
      <c r="BY277" s="88"/>
      <c r="BZ277" s="88"/>
      <c r="CA277" s="88"/>
      <c r="CB277" s="88"/>
      <c r="CC277" s="88"/>
      <c r="CD277" s="88"/>
      <c r="CE277" s="88"/>
      <c r="CF277" s="88"/>
      <c r="CG277" s="88"/>
      <c r="CH277" s="88"/>
      <c r="CI277" s="88"/>
      <c r="CJ277" s="88"/>
      <c r="CK277" s="88"/>
    </row>
    <row r="278" spans="3:89" ht="18.75">
      <c r="C278" s="205"/>
      <c r="D278" s="206"/>
      <c r="E278" s="204"/>
      <c r="F278" s="202"/>
      <c r="G278" s="202"/>
      <c r="H278" s="202"/>
      <c r="I278" s="202"/>
      <c r="J278" s="202"/>
      <c r="K278" s="202"/>
      <c r="L278" s="202"/>
      <c r="M278" s="202"/>
      <c r="N278" s="202"/>
      <c r="O278" s="202"/>
      <c r="P278" s="202"/>
      <c r="Q278" s="202"/>
      <c r="R278" s="202"/>
      <c r="S278" s="202"/>
      <c r="T278" s="202"/>
      <c r="U278" s="202"/>
      <c r="V278" s="202"/>
      <c r="W278" s="202"/>
      <c r="X278" s="202"/>
      <c r="Y278" s="202"/>
      <c r="Z278" s="202"/>
      <c r="AA278" s="202"/>
      <c r="AB278" s="203"/>
      <c r="AC278" s="202"/>
      <c r="AD278" s="202"/>
      <c r="AE278" s="202"/>
      <c r="AF278" s="202"/>
      <c r="AG278" s="202"/>
      <c r="AH278" s="202"/>
      <c r="AI278" s="202"/>
      <c r="AJ278" s="202"/>
      <c r="AK278" s="202"/>
      <c r="AL278" s="202"/>
      <c r="AM278" s="202"/>
      <c r="AN278" s="202"/>
      <c r="AO278" s="202"/>
      <c r="AP278" s="202"/>
      <c r="AQ278" s="202"/>
      <c r="AR278" s="202"/>
      <c r="AS278" s="202"/>
      <c r="AT278" s="202"/>
      <c r="AU278" s="88"/>
      <c r="AV278" s="88"/>
      <c r="AW278" s="88"/>
      <c r="AX278" s="88"/>
      <c r="AY278" s="88"/>
      <c r="AZ278" s="88"/>
      <c r="BA278" s="88"/>
      <c r="BB278" s="88"/>
      <c r="BC278" s="88"/>
      <c r="BD278" s="88"/>
      <c r="BE278" s="88"/>
      <c r="BF278" s="88"/>
      <c r="BG278" s="88"/>
      <c r="BH278" s="88"/>
      <c r="BI278" s="88"/>
      <c r="BJ278" s="88"/>
      <c r="BK278" s="88"/>
      <c r="BL278" s="88"/>
      <c r="BM278" s="88"/>
      <c r="BN278" s="88"/>
      <c r="BO278" s="88"/>
      <c r="BP278" s="88"/>
      <c r="BQ278" s="88"/>
      <c r="BR278" s="88"/>
      <c r="BS278" s="88"/>
      <c r="BT278" s="88"/>
      <c r="BU278" s="88"/>
      <c r="BV278" s="88"/>
      <c r="BW278" s="88"/>
      <c r="BX278" s="88"/>
      <c r="BY278" s="88"/>
      <c r="BZ278" s="88"/>
      <c r="CA278" s="88"/>
      <c r="CB278" s="88"/>
      <c r="CC278" s="88"/>
      <c r="CD278" s="88"/>
      <c r="CE278" s="88"/>
      <c r="CF278" s="88"/>
      <c r="CG278" s="88"/>
      <c r="CH278" s="88"/>
      <c r="CI278" s="88"/>
      <c r="CJ278" s="88"/>
      <c r="CK278" s="88"/>
    </row>
    <row r="279" spans="3:89" ht="18.75">
      <c r="C279" s="205"/>
      <c r="D279" s="206"/>
      <c r="E279" s="204"/>
      <c r="F279" s="202"/>
      <c r="G279" s="202"/>
      <c r="H279" s="202"/>
      <c r="I279" s="202"/>
      <c r="J279" s="202"/>
      <c r="K279" s="202"/>
      <c r="L279" s="202"/>
      <c r="M279" s="202"/>
      <c r="N279" s="202"/>
      <c r="O279" s="202"/>
      <c r="P279" s="202"/>
      <c r="Q279" s="202"/>
      <c r="R279" s="202"/>
      <c r="S279" s="202"/>
      <c r="T279" s="202"/>
      <c r="U279" s="202"/>
      <c r="V279" s="202"/>
      <c r="W279" s="202"/>
      <c r="X279" s="202"/>
      <c r="Y279" s="202"/>
      <c r="Z279" s="202"/>
      <c r="AA279" s="202"/>
      <c r="AB279" s="203"/>
      <c r="AC279" s="202"/>
      <c r="AD279" s="202"/>
      <c r="AE279" s="202"/>
      <c r="AF279" s="202"/>
      <c r="AG279" s="202"/>
      <c r="AH279" s="202"/>
      <c r="AI279" s="202"/>
      <c r="AJ279" s="202"/>
      <c r="AK279" s="202"/>
      <c r="AL279" s="202"/>
      <c r="AM279" s="202"/>
      <c r="AN279" s="202"/>
      <c r="AO279" s="202"/>
      <c r="AP279" s="202"/>
      <c r="AQ279" s="202"/>
      <c r="AR279" s="202"/>
      <c r="AS279" s="202"/>
      <c r="AT279" s="202"/>
      <c r="AU279" s="88"/>
      <c r="AV279" s="88"/>
      <c r="AW279" s="88"/>
      <c r="AX279" s="88"/>
      <c r="AY279" s="88"/>
      <c r="AZ279" s="88"/>
      <c r="BA279" s="88"/>
      <c r="BB279" s="88"/>
      <c r="BC279" s="88"/>
      <c r="BD279" s="88"/>
      <c r="BE279" s="88"/>
      <c r="BF279" s="88"/>
      <c r="BG279" s="88"/>
      <c r="BH279" s="88"/>
      <c r="BI279" s="88"/>
      <c r="BJ279" s="88"/>
      <c r="BK279" s="88"/>
      <c r="BL279" s="88"/>
      <c r="BM279" s="88"/>
      <c r="BN279" s="88"/>
      <c r="BO279" s="88"/>
      <c r="BP279" s="88"/>
      <c r="BQ279" s="88"/>
      <c r="BR279" s="88"/>
      <c r="BS279" s="88"/>
      <c r="BT279" s="88"/>
      <c r="BU279" s="88"/>
      <c r="BV279" s="88"/>
      <c r="BW279" s="88"/>
      <c r="BX279" s="88"/>
      <c r="BY279" s="88"/>
      <c r="BZ279" s="88"/>
      <c r="CA279" s="88"/>
      <c r="CB279" s="88"/>
      <c r="CC279" s="88"/>
      <c r="CD279" s="88"/>
      <c r="CE279" s="88"/>
      <c r="CF279" s="88"/>
      <c r="CG279" s="88"/>
      <c r="CH279" s="88"/>
      <c r="CI279" s="88"/>
      <c r="CJ279" s="88"/>
      <c r="CK279" s="88"/>
    </row>
    <row r="280" spans="3:89" ht="18.75">
      <c r="C280" s="205"/>
      <c r="D280" s="206"/>
      <c r="E280" s="204"/>
      <c r="F280" s="202"/>
      <c r="G280" s="202"/>
      <c r="H280" s="202"/>
      <c r="I280" s="202"/>
      <c r="J280" s="202"/>
      <c r="K280" s="202"/>
      <c r="L280" s="202"/>
      <c r="M280" s="202"/>
      <c r="N280" s="202"/>
      <c r="O280" s="202"/>
      <c r="P280" s="202"/>
      <c r="Q280" s="202"/>
      <c r="R280" s="202"/>
      <c r="S280" s="202"/>
      <c r="T280" s="202"/>
      <c r="U280" s="202"/>
      <c r="V280" s="202"/>
      <c r="W280" s="202"/>
      <c r="X280" s="202"/>
      <c r="Y280" s="202"/>
      <c r="Z280" s="202"/>
      <c r="AA280" s="202"/>
      <c r="AB280" s="203"/>
      <c r="AC280" s="202"/>
      <c r="AD280" s="202"/>
      <c r="AE280" s="202"/>
      <c r="AF280" s="202"/>
      <c r="AG280" s="202"/>
      <c r="AH280" s="202"/>
      <c r="AI280" s="202"/>
      <c r="AJ280" s="202"/>
      <c r="AK280" s="202"/>
      <c r="AL280" s="202"/>
      <c r="AM280" s="202"/>
      <c r="AN280" s="202"/>
      <c r="AO280" s="202"/>
      <c r="AP280" s="202"/>
      <c r="AQ280" s="202"/>
      <c r="AR280" s="202"/>
      <c r="AS280" s="202"/>
      <c r="AT280" s="202"/>
      <c r="AU280" s="88"/>
      <c r="AV280" s="88"/>
      <c r="AW280" s="88"/>
      <c r="AX280" s="88"/>
      <c r="AY280" s="88"/>
      <c r="AZ280" s="88"/>
      <c r="BA280" s="88"/>
      <c r="BB280" s="88"/>
      <c r="BC280" s="88"/>
      <c r="BD280" s="88"/>
      <c r="BE280" s="88"/>
      <c r="BF280" s="88"/>
      <c r="BG280" s="88"/>
      <c r="BH280" s="88"/>
      <c r="BI280" s="88"/>
      <c r="BJ280" s="88"/>
      <c r="BK280" s="88"/>
      <c r="BL280" s="88"/>
      <c r="BM280" s="88"/>
      <c r="BN280" s="88"/>
      <c r="BO280" s="88"/>
      <c r="BP280" s="88"/>
      <c r="BQ280" s="88"/>
      <c r="BR280" s="88"/>
      <c r="BS280" s="88"/>
      <c r="BT280" s="88"/>
      <c r="BU280" s="88"/>
      <c r="BV280" s="88"/>
      <c r="BW280" s="88"/>
      <c r="BX280" s="88"/>
      <c r="BY280" s="88"/>
      <c r="BZ280" s="88"/>
      <c r="CA280" s="88"/>
      <c r="CB280" s="88"/>
      <c r="CC280" s="88"/>
      <c r="CD280" s="88"/>
      <c r="CE280" s="88"/>
      <c r="CF280" s="88"/>
      <c r="CG280" s="88"/>
      <c r="CH280" s="88"/>
      <c r="CI280" s="88"/>
      <c r="CJ280" s="88"/>
      <c r="CK280" s="88"/>
    </row>
    <row r="281" spans="3:89" ht="18.75">
      <c r="C281" s="205"/>
      <c r="D281" s="206"/>
      <c r="E281" s="204"/>
      <c r="F281" s="202"/>
      <c r="G281" s="202"/>
      <c r="H281" s="202"/>
      <c r="I281" s="202"/>
      <c r="J281" s="202"/>
      <c r="K281" s="202"/>
      <c r="L281" s="202"/>
      <c r="M281" s="202"/>
      <c r="N281" s="202"/>
      <c r="O281" s="202"/>
      <c r="P281" s="202"/>
      <c r="Q281" s="202"/>
      <c r="R281" s="202"/>
      <c r="S281" s="202"/>
      <c r="T281" s="202"/>
      <c r="U281" s="202"/>
      <c r="V281" s="202"/>
      <c r="W281" s="202"/>
      <c r="X281" s="202"/>
      <c r="Y281" s="202"/>
      <c r="Z281" s="202"/>
      <c r="AA281" s="202"/>
      <c r="AB281" s="203"/>
      <c r="AC281" s="202"/>
      <c r="AD281" s="202"/>
      <c r="AE281" s="202"/>
      <c r="AF281" s="202"/>
      <c r="AG281" s="202"/>
      <c r="AH281" s="202"/>
      <c r="AI281" s="202"/>
      <c r="AJ281" s="202"/>
      <c r="AK281" s="202"/>
      <c r="AL281" s="202"/>
      <c r="AM281" s="202"/>
      <c r="AN281" s="202"/>
      <c r="AO281" s="202"/>
      <c r="AP281" s="202"/>
      <c r="AQ281" s="202"/>
      <c r="AR281" s="202"/>
      <c r="AS281" s="202"/>
      <c r="AT281" s="202"/>
      <c r="AU281" s="88"/>
      <c r="AV281" s="88"/>
      <c r="AW281" s="88"/>
      <c r="AX281" s="88"/>
      <c r="AY281" s="88"/>
      <c r="AZ281" s="88"/>
      <c r="BA281" s="88"/>
      <c r="BB281" s="88"/>
      <c r="BC281" s="88"/>
      <c r="BD281" s="88"/>
      <c r="BE281" s="88"/>
      <c r="BF281" s="88"/>
      <c r="BG281" s="88"/>
      <c r="BH281" s="88"/>
      <c r="BI281" s="88"/>
      <c r="BJ281" s="88"/>
      <c r="BK281" s="88"/>
      <c r="BL281" s="88"/>
      <c r="BM281" s="88"/>
      <c r="BN281" s="88"/>
      <c r="BO281" s="88"/>
      <c r="BP281" s="88"/>
      <c r="BQ281" s="88"/>
      <c r="BR281" s="88"/>
      <c r="BS281" s="88"/>
      <c r="BT281" s="88"/>
      <c r="BU281" s="88"/>
      <c r="BV281" s="88"/>
      <c r="BW281" s="88"/>
      <c r="BX281" s="88"/>
      <c r="BY281" s="88"/>
      <c r="BZ281" s="88"/>
      <c r="CA281" s="88"/>
      <c r="CB281" s="88"/>
      <c r="CC281" s="88"/>
      <c r="CD281" s="88"/>
      <c r="CE281" s="88"/>
      <c r="CF281" s="88"/>
      <c r="CG281" s="88"/>
      <c r="CH281" s="88"/>
      <c r="CI281" s="88"/>
      <c r="CJ281" s="88"/>
      <c r="CK281" s="88"/>
    </row>
    <row r="282" spans="3:89" ht="18.75">
      <c r="C282" s="205"/>
      <c r="D282" s="206"/>
      <c r="E282" s="204"/>
      <c r="F282" s="202"/>
      <c r="G282" s="202"/>
      <c r="H282" s="202"/>
      <c r="I282" s="202"/>
      <c r="J282" s="202"/>
      <c r="K282" s="202"/>
      <c r="L282" s="202"/>
      <c r="M282" s="202"/>
      <c r="N282" s="202"/>
      <c r="O282" s="202"/>
      <c r="P282" s="202"/>
      <c r="Q282" s="202"/>
      <c r="R282" s="202"/>
      <c r="S282" s="202"/>
      <c r="T282" s="202"/>
      <c r="U282" s="202"/>
      <c r="V282" s="202"/>
      <c r="W282" s="202"/>
      <c r="X282" s="202"/>
      <c r="Y282" s="202"/>
      <c r="Z282" s="202"/>
      <c r="AA282" s="202"/>
      <c r="AB282" s="203"/>
      <c r="AC282" s="202"/>
      <c r="AD282" s="202"/>
      <c r="AE282" s="202"/>
      <c r="AF282" s="202"/>
      <c r="AG282" s="202"/>
      <c r="AH282" s="202"/>
      <c r="AI282" s="202"/>
      <c r="AJ282" s="202"/>
      <c r="AK282" s="202"/>
      <c r="AL282" s="202"/>
      <c r="AM282" s="202"/>
      <c r="AN282" s="202"/>
      <c r="AO282" s="202"/>
      <c r="AP282" s="202"/>
      <c r="AQ282" s="202"/>
      <c r="AR282" s="202"/>
      <c r="AS282" s="202"/>
      <c r="AT282" s="202"/>
      <c r="AU282" s="88"/>
      <c r="AV282" s="88"/>
      <c r="AW282" s="88"/>
      <c r="AX282" s="88"/>
      <c r="AY282" s="88"/>
      <c r="AZ282" s="88"/>
      <c r="BA282" s="88"/>
      <c r="BB282" s="88"/>
      <c r="BC282" s="88"/>
      <c r="BD282" s="88"/>
      <c r="BE282" s="88"/>
      <c r="BF282" s="88"/>
      <c r="BG282" s="88"/>
      <c r="BH282" s="88"/>
      <c r="BI282" s="88"/>
      <c r="BJ282" s="88"/>
      <c r="BK282" s="88"/>
      <c r="BL282" s="88"/>
      <c r="BM282" s="88"/>
      <c r="BN282" s="88"/>
      <c r="BO282" s="88"/>
      <c r="BP282" s="88"/>
      <c r="BQ282" s="88"/>
      <c r="BR282" s="88"/>
      <c r="BS282" s="88"/>
      <c r="BT282" s="88"/>
      <c r="BU282" s="88"/>
      <c r="BV282" s="88"/>
      <c r="BW282" s="88"/>
      <c r="BX282" s="88"/>
      <c r="BY282" s="88"/>
      <c r="BZ282" s="88"/>
      <c r="CA282" s="88"/>
      <c r="CB282" s="88"/>
      <c r="CC282" s="88"/>
      <c r="CD282" s="88"/>
      <c r="CE282" s="88"/>
      <c r="CF282" s="88"/>
      <c r="CG282" s="88"/>
      <c r="CH282" s="88"/>
      <c r="CI282" s="88"/>
      <c r="CJ282" s="88"/>
      <c r="CK282" s="88"/>
    </row>
  </sheetData>
  <autoFilter ref="C4:CA106">
    <filterColumn colId="2">
      <filters>
        <filter val="ACCION COMUNAL"/>
        <filter val="GENERAL"/>
        <filter val="GOBIERNO"/>
        <filter val="INTEGRACION REGIONAL"/>
        <filter val="PLANEACION"/>
        <filter val="TIC"/>
      </filters>
    </filterColumn>
    <sortState ref="C17:CA101">
      <sortCondition ref="D4:D106"/>
    </sortState>
  </autoFilter>
  <mergeCells count="3">
    <mergeCell ref="P3:X3"/>
    <mergeCell ref="BT3:CA3"/>
    <mergeCell ref="Z3:BA3"/>
  </mergeCells>
  <conditionalFormatting sqref="AV5:AY5 AV11:AY15 AV38:AY39 AW43:AY45 AV44:AV45 AV47:AY62 AV25:AY31 AV33:AY35 AV41:AY42 AV20:AY23 AV64:AY85">
    <cfRule type="expression" dxfId="28" priority="41">
      <formula>"MOD(ROW(),2)=0"</formula>
    </cfRule>
    <cfRule type="expression" dxfId="27" priority="42">
      <formula>"RESTO(FILA(),2)=0"</formula>
    </cfRule>
    <cfRule type="expression" priority="43">
      <formula>"RESTO(FILA(),2)=0"</formula>
    </cfRule>
  </conditionalFormatting>
  <conditionalFormatting sqref="AV86:AY102">
    <cfRule type="expression" dxfId="26" priority="38">
      <formula>"MOD(ROW(),2)=0"</formula>
    </cfRule>
    <cfRule type="expression" dxfId="25" priority="39">
      <formula>"RESTO(FILA(),2)=0"</formula>
    </cfRule>
    <cfRule type="expression" priority="40">
      <formula>"RESTO(FILA(),2)=0"</formula>
    </cfRule>
  </conditionalFormatting>
  <conditionalFormatting sqref="AV7:AY7">
    <cfRule type="expression" dxfId="24" priority="35">
      <formula>"MOD(ROW(),2)=0"</formula>
    </cfRule>
    <cfRule type="expression" dxfId="23" priority="36">
      <formula>"RESTO(FILA(),2)=0"</formula>
    </cfRule>
    <cfRule type="expression" priority="37">
      <formula>"RESTO(FILA(),2)=0"</formula>
    </cfRule>
  </conditionalFormatting>
  <conditionalFormatting sqref="AV10:AY10">
    <cfRule type="expression" dxfId="22" priority="32">
      <formula>"MOD(ROW(),2)=0"</formula>
    </cfRule>
    <cfRule type="expression" dxfId="21" priority="33">
      <formula>"RESTO(FILA(),2)=0"</formula>
    </cfRule>
    <cfRule type="expression" priority="34">
      <formula>"RESTO(FILA(),2)=0"</formula>
    </cfRule>
  </conditionalFormatting>
  <conditionalFormatting sqref="AV46:AY46">
    <cfRule type="expression" dxfId="20" priority="29">
      <formula>"MOD(ROW(),2)=0"</formula>
    </cfRule>
    <cfRule type="expression" dxfId="19" priority="30">
      <formula>"RESTO(FILA(),2)=0"</formula>
    </cfRule>
    <cfRule type="expression" priority="31">
      <formula>"RESTO(FILA(),2)=0"</formula>
    </cfRule>
  </conditionalFormatting>
  <conditionalFormatting sqref="AV6:AY6">
    <cfRule type="expression" dxfId="18" priority="26">
      <formula>"MOD(ROW(),2)=0"</formula>
    </cfRule>
    <cfRule type="expression" dxfId="17" priority="27">
      <formula>"RESTO(FILA(),2)=0"</formula>
    </cfRule>
    <cfRule type="expression" priority="28">
      <formula>"RESTO(FILA(),2)=0"</formula>
    </cfRule>
  </conditionalFormatting>
  <conditionalFormatting sqref="AV16:AY16">
    <cfRule type="expression" dxfId="16" priority="23">
      <formula>"MOD(ROW(),2)=0"</formula>
    </cfRule>
    <cfRule type="expression" dxfId="15" priority="24">
      <formula>"RESTO(FILA(),2)=0"</formula>
    </cfRule>
    <cfRule type="expression" priority="25">
      <formula>"RESTO(FILA(),2)=0"</formula>
    </cfRule>
  </conditionalFormatting>
  <conditionalFormatting sqref="AV24:AY24">
    <cfRule type="expression" dxfId="14" priority="20">
      <formula>"MOD(ROW(),2)=0"</formula>
    </cfRule>
    <cfRule type="expression" dxfId="13" priority="21">
      <formula>"RESTO(FILA(),2)=0"</formula>
    </cfRule>
    <cfRule type="expression" priority="22">
      <formula>"RESTO(FILA(),2)=0"</formula>
    </cfRule>
  </conditionalFormatting>
  <conditionalFormatting sqref="AV32:AY32">
    <cfRule type="expression" dxfId="12" priority="17">
      <formula>"MOD(ROW(),2)=0"</formula>
    </cfRule>
    <cfRule type="expression" dxfId="11" priority="18">
      <formula>"RESTO(FILA(),2)=0"</formula>
    </cfRule>
    <cfRule type="expression" priority="19">
      <formula>"RESTO(FILA(),2)=0"</formula>
    </cfRule>
  </conditionalFormatting>
  <conditionalFormatting sqref="AV37:AY37">
    <cfRule type="expression" dxfId="10" priority="14">
      <formula>"MOD(ROW(),2)=0"</formula>
    </cfRule>
    <cfRule type="expression" dxfId="9" priority="15">
      <formula>"RESTO(FILA(),2)=0"</formula>
    </cfRule>
    <cfRule type="expression" priority="16">
      <formula>"RESTO(FILA(),2)=0"</formula>
    </cfRule>
  </conditionalFormatting>
  <conditionalFormatting sqref="AV40:AY40">
    <cfRule type="expression" dxfId="8" priority="11">
      <formula>"MOD(ROW(),2)=0"</formula>
    </cfRule>
    <cfRule type="expression" dxfId="7" priority="12">
      <formula>"RESTO(FILA(),2)=0"</formula>
    </cfRule>
    <cfRule type="expression" priority="13">
      <formula>"RESTO(FILA(),2)=0"</formula>
    </cfRule>
  </conditionalFormatting>
  <conditionalFormatting sqref="AV63:AW63 AY63">
    <cfRule type="expression" dxfId="6" priority="8">
      <formula>"MOD(ROW(),2)=0"</formula>
    </cfRule>
    <cfRule type="expression" dxfId="5" priority="9">
      <formula>"RESTO(FILA(),2)=0"</formula>
    </cfRule>
    <cfRule type="expression" priority="10">
      <formula>"RESTO(FILA(),2)=0"</formula>
    </cfRule>
  </conditionalFormatting>
  <conditionalFormatting sqref="AV17:AY18">
    <cfRule type="expression" dxfId="4" priority="5">
      <formula>"MOD(ROW(),2)=0"</formula>
    </cfRule>
    <cfRule type="expression" dxfId="3" priority="6">
      <formula>"RESTO(FILA(),2)=0"</formula>
    </cfRule>
    <cfRule type="expression" priority="7">
      <formula>"RESTO(FILA(),2)=0"</formula>
    </cfRule>
  </conditionalFormatting>
  <conditionalFormatting sqref="AW19">
    <cfRule type="expression" dxfId="2" priority="2">
      <formula>"MOD(ROW(),2)=0"</formula>
    </cfRule>
    <cfRule type="expression" dxfId="1" priority="3">
      <formula>"RESTO(FILA(),2)=0"</formula>
    </cfRule>
    <cfRule type="expression" priority="4">
      <formula>"RESTO(FILA(),2)=0"</formula>
    </cfRule>
  </conditionalFormatting>
  <conditionalFormatting sqref="B5:B106">
    <cfRule type="duplicateValues" dxfId="0" priority="1"/>
  </conditionalFormatting>
  <dataValidations count="4">
    <dataValidation type="list" allowBlank="1" showInputMessage="1" showErrorMessage="1" sqref="U11:U12 U30 U43 U35 U33 U45:U47 U14 U22">
      <formula1>$V$119:$V$123</formula1>
    </dataValidation>
    <dataValidation type="list" allowBlank="1" showInputMessage="1" showErrorMessage="1" sqref="U50:U51 U20 U64:U69 U83:U106 U61 U26 U74:U81 U48 U59">
      <formula1>$U$119:$U$124</formula1>
    </dataValidation>
    <dataValidation type="list" allowBlank="1" showInputMessage="1" showErrorMessage="1" sqref="U44 U52:U58 U23:U25 U5:U10 U31:U32 U62:U63 U13 U71:U73 U34 U15:U19 U36:U42 U27:U29 U60 U49 U21">
      <formula1>$U$119:$U$123</formula1>
    </dataValidation>
    <dataValidation type="list" allowBlank="1" showInputMessage="1" showErrorMessage="1" sqref="U82 U70">
      <formula1>$T$105:$T$110</formula1>
    </dataValidation>
  </dataValidations>
  <hyperlinks>
    <hyperlink ref="K52" r:id="rId1"/>
    <hyperlink ref="K53" r:id="rId2"/>
    <hyperlink ref="K54" r:id="rId3" display="NIÑ@S"/>
  </hyperlinks>
  <pageMargins left="0.7" right="0.7" top="0.75" bottom="0.75" header="0.3" footer="0.3"/>
  <pageSetup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theme="0" tint="-4.9989318521683403E-2"/>
  </sheetPr>
  <dimension ref="A1:DT108"/>
  <sheetViews>
    <sheetView topLeftCell="A16" zoomScale="84" zoomScaleNormal="84" workbookViewId="0">
      <selection activeCell="X13" sqref="X13"/>
    </sheetView>
  </sheetViews>
  <sheetFormatPr baseColWidth="10" defaultColWidth="0" defaultRowHeight="12.75" zeroHeight="1"/>
  <cols>
    <col min="1" max="1" width="1.42578125" style="1" customWidth="1"/>
    <col min="2" max="2" width="11.140625" style="802" customWidth="1"/>
    <col min="3" max="3" width="12" style="802" customWidth="1"/>
    <col min="4" max="4" width="12.5703125" style="801" customWidth="1"/>
    <col min="5" max="5" width="12.85546875" style="801" customWidth="1"/>
    <col min="6" max="6" width="15.5703125" style="801" customWidth="1"/>
    <col min="7" max="7" width="13.5703125" style="800" customWidth="1"/>
    <col min="8" max="8" width="9.85546875" style="800" customWidth="1"/>
    <col min="9" max="9" width="13" style="800" customWidth="1"/>
    <col min="10" max="10" width="10.5703125" style="800" customWidth="1"/>
    <col min="11" max="11" width="8.7109375" style="800" customWidth="1"/>
    <col min="12" max="12" width="9.5703125" style="800" customWidth="1"/>
    <col min="13" max="13" width="10.85546875" style="800" customWidth="1"/>
    <col min="14" max="14" width="9.28515625" style="800" customWidth="1"/>
    <col min="15" max="15" width="10.7109375" style="799" customWidth="1"/>
    <col min="16" max="16" width="13.42578125" style="799" customWidth="1"/>
    <col min="17" max="17" width="13.28515625" style="799" customWidth="1"/>
    <col min="18" max="18" width="9.7109375" style="799" customWidth="1"/>
    <col min="19" max="19" width="8.28515625" style="798" customWidth="1"/>
    <col min="20" max="20" width="1.7109375" style="797" customWidth="1"/>
    <col min="21" max="23" width="0.28515625" style="797" customWidth="1"/>
    <col min="24" max="24" width="18.28515625" style="866" customWidth="1"/>
    <col min="25" max="124" width="0.28515625" style="797" hidden="1" customWidth="1"/>
    <col min="125" max="16384" width="0.28515625" style="796" hidden="1"/>
  </cols>
  <sheetData>
    <row r="1" spans="2:124" s="1" customFormat="1" ht="18" customHeight="1">
      <c r="B1" s="1436" t="s">
        <v>2635</v>
      </c>
      <c r="C1" s="1436"/>
      <c r="D1" s="1436"/>
      <c r="E1" s="1436"/>
      <c r="F1" s="1436"/>
      <c r="G1" s="1436"/>
      <c r="H1" s="1436"/>
      <c r="I1" s="1436"/>
      <c r="J1" s="1436"/>
      <c r="K1" s="1436"/>
      <c r="L1" s="1436"/>
      <c r="M1" s="1436"/>
      <c r="N1" s="1436"/>
      <c r="O1" s="1436"/>
      <c r="P1" s="1436"/>
      <c r="Q1" s="1436"/>
      <c r="R1" s="880"/>
      <c r="X1" s="866"/>
    </row>
    <row r="2" spans="2:124" s="1" customFormat="1" ht="17.25" customHeight="1">
      <c r="B2" s="1437" t="s">
        <v>2634</v>
      </c>
      <c r="C2" s="1437"/>
      <c r="D2" s="1437"/>
      <c r="E2" s="1437"/>
      <c r="F2" s="1437"/>
      <c r="G2" s="1437"/>
      <c r="H2" s="1437"/>
      <c r="I2" s="1437"/>
      <c r="J2" s="1437"/>
      <c r="K2" s="1437"/>
      <c r="L2" s="1437"/>
      <c r="M2" s="1437"/>
      <c r="N2" s="1437"/>
      <c r="O2" s="1437"/>
      <c r="P2" s="1437"/>
      <c r="Q2" s="1437"/>
      <c r="R2" s="880"/>
      <c r="S2" s="9"/>
      <c r="X2" s="866"/>
      <c r="Y2" s="797"/>
      <c r="Z2" s="797"/>
      <c r="AA2" s="797"/>
      <c r="AB2" s="797"/>
      <c r="AC2" s="797"/>
      <c r="AD2" s="797"/>
      <c r="AE2" s="797"/>
      <c r="AF2" s="797"/>
      <c r="AG2" s="797"/>
      <c r="AH2" s="797"/>
      <c r="AI2" s="797"/>
      <c r="AJ2" s="797"/>
      <c r="AK2" s="797"/>
      <c r="AL2" s="797"/>
      <c r="AM2" s="797"/>
      <c r="AN2" s="797"/>
      <c r="AO2" s="797"/>
      <c r="AP2" s="797"/>
      <c r="AQ2" s="797"/>
      <c r="AR2" s="797"/>
      <c r="AS2" s="797"/>
      <c r="AT2" s="797"/>
      <c r="AU2" s="797"/>
      <c r="AV2" s="797"/>
      <c r="AW2" s="797"/>
    </row>
    <row r="3" spans="2:124" s="1" customFormat="1" ht="6.75" customHeight="1">
      <c r="B3" s="874"/>
      <c r="C3" s="874"/>
      <c r="D3" s="873"/>
      <c r="E3" s="1438"/>
      <c r="F3" s="1438"/>
      <c r="G3" s="1438"/>
      <c r="H3" s="1438"/>
      <c r="I3" s="1438"/>
      <c r="J3" s="1438"/>
      <c r="K3" s="1438"/>
      <c r="L3" s="1438"/>
      <c r="M3" s="1438"/>
      <c r="N3" s="1438"/>
      <c r="O3" s="1438"/>
      <c r="P3" s="874"/>
      <c r="Q3" s="879"/>
      <c r="R3" s="879"/>
      <c r="S3" s="9"/>
      <c r="X3" s="866"/>
      <c r="Y3" s="1163"/>
      <c r="Z3" s="1163"/>
      <c r="AA3" s="1163"/>
      <c r="AB3" s="1163"/>
      <c r="AC3" s="1163"/>
      <c r="AD3" s="1163"/>
      <c r="AE3" s="1163"/>
      <c r="AF3" s="1163"/>
      <c r="AG3" s="1163"/>
      <c r="AH3" s="1163"/>
      <c r="AI3" s="1163"/>
      <c r="AJ3" s="1163"/>
      <c r="AK3" s="1163"/>
      <c r="AL3" s="1163"/>
      <c r="AM3" s="1163"/>
      <c r="AN3" s="1163"/>
      <c r="AO3" s="1163"/>
      <c r="AP3" s="1163"/>
      <c r="AQ3" s="1163"/>
      <c r="AR3" s="1163"/>
      <c r="AS3" s="1163"/>
      <c r="AT3" s="1163"/>
      <c r="AU3" s="1163"/>
      <c r="AV3" s="1163"/>
      <c r="AW3" s="797"/>
    </row>
    <row r="4" spans="2:124" s="1" customFormat="1" ht="1.5" customHeight="1">
      <c r="B4" s="874"/>
      <c r="C4" s="874"/>
      <c r="D4" s="873"/>
      <c r="E4" s="878"/>
      <c r="F4" s="878"/>
      <c r="G4" s="878"/>
      <c r="H4" s="878"/>
      <c r="I4" s="878"/>
      <c r="J4" s="878"/>
      <c r="K4" s="878"/>
      <c r="L4" s="878"/>
      <c r="M4" s="878"/>
      <c r="N4" s="878"/>
      <c r="O4" s="874"/>
      <c r="P4" s="877"/>
      <c r="Q4" s="877"/>
      <c r="R4" s="877"/>
      <c r="S4" s="9"/>
      <c r="X4" s="866"/>
      <c r="Y4" s="1163"/>
      <c r="Z4" s="1163"/>
      <c r="AA4" s="1163"/>
      <c r="AB4" s="1163"/>
      <c r="AC4" s="1163"/>
      <c r="AD4" s="1163"/>
      <c r="AE4" s="1163"/>
      <c r="AF4" s="1163"/>
      <c r="AG4" s="1163"/>
      <c r="AH4" s="1163"/>
      <c r="AI4" s="1163"/>
      <c r="AJ4" s="1163"/>
      <c r="AK4" s="1163"/>
      <c r="AL4" s="1163"/>
      <c r="AM4" s="1163"/>
      <c r="AN4" s="1163"/>
      <c r="AO4" s="1163"/>
      <c r="AP4" s="1163"/>
      <c r="AQ4" s="1163"/>
      <c r="AR4" s="1163"/>
      <c r="AS4" s="1163"/>
      <c r="AT4" s="1163"/>
      <c r="AU4" s="1163"/>
      <c r="AV4" s="1163"/>
      <c r="AW4" s="797"/>
    </row>
    <row r="5" spans="2:124" s="1" customFormat="1" ht="21" customHeight="1">
      <c r="B5" s="874"/>
      <c r="C5" s="874"/>
      <c r="D5" s="873"/>
      <c r="E5" s="876"/>
      <c r="F5" s="1439" t="str">
        <f>IF(C5=X6,Y6,IF(C5=X8,Y8,IF(C5=X9,Y9,IF(C5=X10,Y10,"PLAN DE DESARROLLO"))))</f>
        <v>PLAN DE DESARROLLO</v>
      </c>
      <c r="G5" s="1440"/>
      <c r="H5" s="1440"/>
      <c r="I5" s="1440"/>
      <c r="J5" s="1440"/>
      <c r="K5" s="1440"/>
      <c r="L5" s="1440"/>
      <c r="M5" s="1440"/>
      <c r="N5" s="1440"/>
      <c r="O5" s="1441"/>
      <c r="P5" s="874"/>
      <c r="Q5" s="875"/>
      <c r="R5" s="875"/>
      <c r="S5" s="9"/>
      <c r="X5" s="866"/>
      <c r="Y5" s="1163"/>
      <c r="Z5" s="1163"/>
      <c r="AA5" s="1163"/>
      <c r="AB5" s="1163"/>
      <c r="AC5" s="1163"/>
      <c r="AD5" s="1163"/>
      <c r="AE5" s="1163"/>
      <c r="AF5" s="1163"/>
      <c r="AG5" s="1163"/>
      <c r="AH5" s="1163"/>
      <c r="AI5" s="1163"/>
      <c r="AJ5" s="1163"/>
      <c r="AK5" s="1163"/>
      <c r="AL5" s="1163"/>
      <c r="AM5" s="1163"/>
      <c r="AN5" s="1163"/>
      <c r="AO5" s="1163"/>
      <c r="AP5" s="1163"/>
      <c r="AQ5" s="1163"/>
      <c r="AR5" s="1163"/>
      <c r="AS5" s="1163"/>
      <c r="AT5" s="1163"/>
      <c r="AU5" s="1163"/>
      <c r="AV5" s="1163"/>
      <c r="AW5" s="797"/>
    </row>
    <row r="6" spans="2:124" s="1" customFormat="1" ht="6.75" customHeight="1">
      <c r="B6" s="874"/>
      <c r="C6" s="874"/>
      <c r="D6" s="873"/>
      <c r="E6" s="872"/>
      <c r="F6" s="872"/>
      <c r="G6" s="872"/>
      <c r="H6" s="872"/>
      <c r="I6" s="872"/>
      <c r="J6" s="872"/>
      <c r="K6" s="872"/>
      <c r="L6" s="872"/>
      <c r="M6" s="872"/>
      <c r="N6" s="872"/>
      <c r="O6" s="872"/>
      <c r="P6" s="872"/>
      <c r="Q6" s="872"/>
      <c r="R6" s="872"/>
      <c r="S6" s="9"/>
      <c r="V6" s="860"/>
      <c r="X6" s="1160" t="s">
        <v>2688</v>
      </c>
      <c r="Y6" s="1451" t="s">
        <v>4</v>
      </c>
      <c r="Z6" s="1451"/>
      <c r="AA6" s="1451"/>
      <c r="AB6" s="1451"/>
      <c r="AC6" s="1451"/>
      <c r="AD6" s="1451"/>
      <c r="AE6" s="1451"/>
      <c r="AF6" s="1451"/>
      <c r="AG6" s="1163"/>
      <c r="AH6" s="1163"/>
      <c r="AI6" s="1163"/>
      <c r="AJ6" s="1163"/>
      <c r="AK6" s="1163"/>
      <c r="AL6" s="1163"/>
      <c r="AM6" s="1163"/>
      <c r="AN6" s="1163"/>
      <c r="AO6" s="1163"/>
      <c r="AP6" s="1163"/>
      <c r="AQ6" s="1163"/>
      <c r="AR6" s="1163"/>
      <c r="AS6" s="1163"/>
      <c r="AT6" s="1163"/>
      <c r="AU6" s="1163"/>
      <c r="AV6" s="1163"/>
      <c r="AW6" s="797"/>
    </row>
    <row r="7" spans="2:124" s="1" customFormat="1" ht="3" customHeight="1" thickBot="1">
      <c r="B7" s="8"/>
      <c r="C7" s="8"/>
      <c r="D7" s="870"/>
      <c r="E7" s="871"/>
      <c r="F7" s="871"/>
      <c r="G7" s="871"/>
      <c r="H7" s="871"/>
      <c r="I7" s="871"/>
      <c r="J7" s="871"/>
      <c r="K7" s="871"/>
      <c r="L7" s="871"/>
      <c r="M7" s="871"/>
      <c r="N7" s="871"/>
      <c r="O7" s="871"/>
      <c r="P7" s="871"/>
      <c r="Q7" s="870"/>
      <c r="R7" s="870"/>
      <c r="S7" s="869"/>
      <c r="V7" s="868"/>
      <c r="X7" s="1161"/>
      <c r="Y7" s="1164"/>
      <c r="Z7" s="1164"/>
      <c r="AA7" s="1164"/>
      <c r="AB7" s="1164"/>
      <c r="AC7" s="1164"/>
      <c r="AD7" s="1164"/>
      <c r="AE7" s="1164"/>
      <c r="AF7" s="1164"/>
      <c r="AG7" s="1163"/>
      <c r="AH7" s="1163"/>
      <c r="AI7" s="1163"/>
      <c r="AJ7" s="1163"/>
      <c r="AK7" s="1163"/>
      <c r="AL7" s="1163"/>
      <c r="AM7" s="1163"/>
      <c r="AN7" s="1163"/>
      <c r="AO7" s="1163"/>
      <c r="AP7" s="1163"/>
      <c r="AQ7" s="1163"/>
      <c r="AR7" s="1163"/>
      <c r="AS7" s="1163"/>
      <c r="AT7" s="1163"/>
      <c r="AU7" s="1163"/>
      <c r="AV7" s="1163"/>
      <c r="AW7" s="797"/>
    </row>
    <row r="8" spans="2:124" s="3" customFormat="1" ht="21" thickBot="1">
      <c r="B8" s="1452" t="s">
        <v>2684</v>
      </c>
      <c r="C8" s="1453"/>
      <c r="D8" s="1453"/>
      <c r="E8" s="1453"/>
      <c r="F8" s="1453"/>
      <c r="G8" s="1453"/>
      <c r="H8" s="1453"/>
      <c r="I8" s="1453"/>
      <c r="J8" s="1453"/>
      <c r="K8" s="1453"/>
      <c r="L8" s="1453"/>
      <c r="M8" s="1453"/>
      <c r="N8" s="1453"/>
      <c r="O8" s="1453"/>
      <c r="P8" s="1453"/>
      <c r="Q8" s="1453"/>
      <c r="R8" s="1454"/>
      <c r="S8" s="865" t="s">
        <v>47</v>
      </c>
      <c r="V8" s="860"/>
      <c r="X8" s="1160" t="s">
        <v>2689</v>
      </c>
      <c r="Y8" s="1451" t="s">
        <v>5</v>
      </c>
      <c r="Z8" s="1451"/>
      <c r="AA8" s="1451"/>
      <c r="AB8" s="1451"/>
      <c r="AC8" s="1451"/>
      <c r="AD8" s="1451"/>
      <c r="AE8" s="1451"/>
      <c r="AF8" s="1165"/>
      <c r="AG8" s="1166"/>
      <c r="AH8" s="1166"/>
      <c r="AI8" s="1166"/>
      <c r="AJ8" s="1166"/>
      <c r="AK8" s="1166"/>
      <c r="AL8" s="1166"/>
      <c r="AM8" s="1166"/>
      <c r="AN8" s="1166"/>
      <c r="AO8" s="1166"/>
      <c r="AP8" s="1166"/>
      <c r="AQ8" s="1166"/>
      <c r="AR8" s="1166"/>
      <c r="AS8" s="1166"/>
      <c r="AT8" s="1166"/>
      <c r="AU8" s="1166"/>
      <c r="AV8" s="1166"/>
      <c r="AW8" s="1065"/>
    </row>
    <row r="9" spans="2:124" s="3" customFormat="1" ht="17.25">
      <c r="B9" s="861"/>
      <c r="C9" s="861"/>
      <c r="D9" s="864"/>
      <c r="E9" s="864"/>
      <c r="F9" s="864"/>
      <c r="G9" s="864"/>
      <c r="H9" s="864"/>
      <c r="I9" s="864"/>
      <c r="J9" s="864"/>
      <c r="K9" s="864"/>
      <c r="L9" s="864"/>
      <c r="M9" s="864"/>
      <c r="N9" s="864"/>
      <c r="O9" s="864"/>
      <c r="P9" s="861"/>
      <c r="Q9" s="861"/>
      <c r="R9" s="863"/>
      <c r="S9" s="858"/>
      <c r="V9" s="860"/>
      <c r="X9" s="1160" t="s">
        <v>2690</v>
      </c>
      <c r="Y9" s="1451" t="s">
        <v>37</v>
      </c>
      <c r="Z9" s="1451"/>
      <c r="AA9" s="1451"/>
      <c r="AB9" s="1451"/>
      <c r="AC9" s="1451"/>
      <c r="AD9" s="1451"/>
      <c r="AE9" s="1451"/>
      <c r="AF9" s="1165"/>
      <c r="AG9" s="1166"/>
      <c r="AH9" s="1166"/>
      <c r="AI9" s="1166"/>
      <c r="AJ9" s="1166"/>
      <c r="AK9" s="1166"/>
      <c r="AL9" s="1166"/>
      <c r="AM9" s="1166"/>
      <c r="AN9" s="1166"/>
      <c r="AO9" s="1166"/>
      <c r="AP9" s="1166"/>
      <c r="AQ9" s="1166"/>
      <c r="AR9" s="1166"/>
      <c r="AS9" s="1166"/>
      <c r="AT9" s="1166"/>
      <c r="AU9" s="1166"/>
      <c r="AV9" s="1166"/>
      <c r="AW9" s="1065"/>
    </row>
    <row r="10" spans="2:124" s="3" customFormat="1" ht="16.5">
      <c r="B10" s="861"/>
      <c r="C10" s="861"/>
      <c r="D10" s="861"/>
      <c r="E10" s="861"/>
      <c r="F10" s="861"/>
      <c r="G10" s="861"/>
      <c r="H10" s="861"/>
      <c r="I10" s="861"/>
      <c r="J10" s="861"/>
      <c r="K10" s="861"/>
      <c r="L10" s="861"/>
      <c r="M10" s="861"/>
      <c r="N10" s="861"/>
      <c r="O10" s="861"/>
      <c r="P10" s="861"/>
      <c r="Q10" s="861"/>
      <c r="R10" s="861"/>
      <c r="S10" s="858"/>
      <c r="V10" s="860"/>
      <c r="W10" s="860"/>
      <c r="X10" s="1160" t="s">
        <v>2691</v>
      </c>
      <c r="Y10" s="1451" t="s">
        <v>38</v>
      </c>
      <c r="Z10" s="1451"/>
      <c r="AA10" s="1451"/>
      <c r="AB10" s="1451"/>
      <c r="AC10" s="1451"/>
      <c r="AD10" s="1451"/>
      <c r="AE10" s="1451"/>
      <c r="AF10" s="1451"/>
      <c r="AG10" s="1451"/>
      <c r="AH10" s="1166"/>
      <c r="AI10" s="1166"/>
      <c r="AJ10" s="1166"/>
      <c r="AK10" s="1166"/>
      <c r="AL10" s="1166"/>
      <c r="AM10" s="1166"/>
      <c r="AN10" s="1166"/>
      <c r="AO10" s="1166"/>
      <c r="AP10" s="1166"/>
      <c r="AQ10" s="1166"/>
      <c r="AR10" s="1166"/>
      <c r="AS10" s="1166"/>
      <c r="AT10" s="1166"/>
      <c r="AU10" s="1166"/>
      <c r="AV10" s="1166"/>
      <c r="AW10" s="1065"/>
    </row>
    <row r="11" spans="2:124" s="3" customFormat="1" ht="36">
      <c r="B11" s="857"/>
      <c r="C11" s="851" t="str">
        <f>+B19</f>
        <v>1-DESARROLLO INTEGRAL DEL SER HUMANO</v>
      </c>
      <c r="D11" s="850">
        <f>+E27</f>
        <v>0.93666989614045082</v>
      </c>
      <c r="E11" s="857"/>
      <c r="F11" s="857"/>
      <c r="G11" s="856"/>
      <c r="H11" s="857"/>
      <c r="I11" s="857"/>
      <c r="J11" s="857"/>
      <c r="K11" s="857"/>
      <c r="L11" s="857"/>
      <c r="M11" s="856"/>
      <c r="N11" s="857"/>
      <c r="O11" s="857"/>
      <c r="P11" s="857"/>
      <c r="Q11" s="857"/>
      <c r="R11" s="856"/>
      <c r="S11" s="858"/>
      <c r="V11" s="860"/>
      <c r="W11" s="860"/>
      <c r="X11" s="1160" t="s">
        <v>2771</v>
      </c>
      <c r="Y11" s="1167"/>
      <c r="Z11" s="1167"/>
      <c r="AA11" s="1167"/>
      <c r="AB11" s="1167"/>
      <c r="AC11" s="1167" t="s">
        <v>2771</v>
      </c>
      <c r="AD11" s="1167"/>
      <c r="AE11" s="1167"/>
      <c r="AF11" s="1167"/>
      <c r="AG11" s="1167"/>
      <c r="AH11" s="1166"/>
      <c r="AI11" s="1166"/>
      <c r="AJ11" s="1166"/>
      <c r="AK11" s="1166"/>
      <c r="AL11" s="1166"/>
      <c r="AM11" s="1166"/>
      <c r="AN11" s="1166"/>
      <c r="AO11" s="1166"/>
      <c r="AP11" s="1166"/>
      <c r="AQ11" s="1166"/>
      <c r="AR11" s="1166"/>
      <c r="AS11" s="1166"/>
      <c r="AT11" s="1166"/>
      <c r="AU11" s="1166"/>
      <c r="AV11" s="1166"/>
      <c r="AW11" s="1065"/>
    </row>
    <row r="12" spans="2:124" s="3" customFormat="1" ht="21.75" customHeight="1">
      <c r="B12" s="857"/>
      <c r="C12" s="851" t="str">
        <f>+B35</f>
        <v>2-SOSTENIBILIDAD Y RURALIDAD</v>
      </c>
      <c r="D12" s="850">
        <f>+E43</f>
        <v>0.94488608515373107</v>
      </c>
      <c r="E12" s="857"/>
      <c r="F12" s="857"/>
      <c r="G12" s="856"/>
      <c r="H12" s="857"/>
      <c r="I12" s="857"/>
      <c r="J12" s="857"/>
      <c r="K12" s="857"/>
      <c r="L12" s="857"/>
      <c r="M12" s="856"/>
      <c r="N12" s="857"/>
      <c r="O12" s="857"/>
      <c r="P12" s="857"/>
      <c r="Q12" s="857"/>
      <c r="R12" s="856"/>
      <c r="S12" s="858"/>
      <c r="X12" s="1162"/>
      <c r="Y12" s="1166"/>
      <c r="Z12" s="1166"/>
      <c r="AA12" s="1166"/>
      <c r="AB12" s="1166"/>
      <c r="AC12" s="1166"/>
      <c r="AD12" s="1166"/>
      <c r="AE12" s="1166"/>
      <c r="AF12" s="1166"/>
      <c r="AG12" s="1166"/>
      <c r="AH12" s="1166"/>
      <c r="AI12" s="1166"/>
      <c r="AJ12" s="1166"/>
      <c r="AK12" s="1166"/>
      <c r="AL12" s="1166"/>
      <c r="AM12" s="1166"/>
      <c r="AN12" s="1166"/>
      <c r="AO12" s="1166"/>
      <c r="AP12" s="1166"/>
      <c r="AQ12" s="1166"/>
      <c r="AR12" s="1166"/>
      <c r="AS12" s="1166"/>
      <c r="AT12" s="1166"/>
      <c r="AU12" s="1166"/>
      <c r="AV12" s="1166"/>
      <c r="AW12" s="1065"/>
    </row>
    <row r="13" spans="2:124" s="3" customFormat="1" ht="56.25">
      <c r="B13" s="857"/>
      <c r="C13" s="851" t="str">
        <f>+B51</f>
        <v>3-COMPETITIVIDAD, INNOVACION, MOVILIDAD Y REGION</v>
      </c>
      <c r="D13" s="850">
        <f>+E59</f>
        <v>0.96040306599891367</v>
      </c>
      <c r="E13" s="857"/>
      <c r="F13" s="857"/>
      <c r="G13" s="856"/>
      <c r="H13" s="857"/>
      <c r="I13" s="857"/>
      <c r="J13" s="857"/>
      <c r="K13" s="857"/>
      <c r="L13" s="857"/>
      <c r="M13" s="856"/>
      <c r="N13" s="859"/>
      <c r="O13" s="859"/>
      <c r="P13" s="859"/>
      <c r="Q13" s="859"/>
      <c r="R13" s="859"/>
      <c r="S13" s="858"/>
      <c r="X13" s="1162"/>
      <c r="Y13" s="1166"/>
      <c r="Z13" s="1166"/>
      <c r="AA13" s="1166"/>
      <c r="AB13" s="1166"/>
      <c r="AC13" s="1166"/>
      <c r="AD13" s="1166"/>
      <c r="AE13" s="1166"/>
      <c r="AF13" s="1166"/>
      <c r="AG13" s="1166"/>
      <c r="AH13" s="1166"/>
      <c r="AI13" s="1166"/>
      <c r="AJ13" s="1166"/>
      <c r="AK13" s="1166"/>
      <c r="AL13" s="1166"/>
      <c r="AM13" s="1166"/>
      <c r="AN13" s="1166"/>
      <c r="AO13" s="1166"/>
      <c r="AP13" s="1166"/>
      <c r="AQ13" s="1166"/>
      <c r="AR13" s="1166"/>
      <c r="AS13" s="1166"/>
      <c r="AT13" s="1166"/>
      <c r="AU13" s="1166"/>
      <c r="AV13" s="1166"/>
      <c r="AW13" s="1065"/>
    </row>
    <row r="14" spans="2:124" s="1" customFormat="1" ht="16.5" customHeight="1">
      <c r="B14" s="857"/>
      <c r="C14" s="851" t="str">
        <f>+B67</f>
        <v>4-FORTALECIMIENTO INSTITUCIONAL PARA GENERAR VALOR DE LO PUBLICO</v>
      </c>
      <c r="D14" s="850">
        <f>+E75</f>
        <v>0.94224990332986169</v>
      </c>
      <c r="E14" s="857"/>
      <c r="F14" s="857"/>
      <c r="G14" s="856"/>
      <c r="H14" s="857"/>
      <c r="I14" s="857"/>
      <c r="J14" s="857"/>
      <c r="K14" s="857"/>
      <c r="L14" s="857"/>
      <c r="M14" s="856"/>
      <c r="N14" s="855"/>
      <c r="O14" s="855"/>
      <c r="P14" s="855"/>
      <c r="Q14" s="855"/>
      <c r="R14" s="855"/>
      <c r="S14" s="854"/>
      <c r="W14" s="853"/>
      <c r="X14" s="1168"/>
      <c r="Y14" s="797"/>
      <c r="Z14" s="797"/>
      <c r="AA14" s="797"/>
      <c r="AB14" s="797"/>
      <c r="AC14" s="797"/>
      <c r="AD14" s="797"/>
      <c r="AE14" s="797"/>
      <c r="AF14" s="797"/>
      <c r="AG14" s="797"/>
      <c r="AH14" s="797"/>
      <c r="AI14" s="797"/>
      <c r="AJ14" s="797"/>
      <c r="AK14" s="797"/>
      <c r="AL14" s="797"/>
      <c r="AM14" s="797"/>
      <c r="AN14" s="797"/>
      <c r="AO14" s="797"/>
      <c r="AP14" s="797"/>
      <c r="AQ14" s="797"/>
      <c r="AR14" s="797"/>
      <c r="AS14" s="797"/>
      <c r="AT14" s="797"/>
      <c r="AU14" s="797"/>
      <c r="AV14" s="797"/>
      <c r="AW14" s="797"/>
    </row>
    <row r="15" spans="2:124" s="2" customFormat="1" ht="1.5" hidden="1" customHeight="1">
      <c r="B15" s="852"/>
      <c r="C15" s="852"/>
      <c r="D15" s="852"/>
      <c r="E15" s="852"/>
      <c r="F15" s="852"/>
      <c r="G15" s="852"/>
      <c r="H15" s="852"/>
      <c r="I15" s="852"/>
      <c r="J15" s="852"/>
      <c r="K15" s="852"/>
      <c r="L15" s="852"/>
      <c r="M15" s="852"/>
      <c r="N15" s="852"/>
      <c r="O15" s="852"/>
      <c r="P15" s="852"/>
      <c r="Q15" s="852"/>
      <c r="R15" s="852"/>
      <c r="S15" s="840"/>
      <c r="T15" s="1"/>
      <c r="U15" s="1"/>
      <c r="V15" s="1"/>
      <c r="W15" s="1"/>
      <c r="X15" s="866"/>
      <c r="Y15" s="797"/>
      <c r="Z15" s="797"/>
      <c r="AA15" s="797"/>
      <c r="AB15" s="797"/>
      <c r="AC15" s="797"/>
      <c r="AD15" s="797"/>
      <c r="AE15" s="797"/>
      <c r="AF15" s="797"/>
      <c r="AG15" s="797"/>
      <c r="AH15" s="797"/>
      <c r="AI15" s="797"/>
      <c r="AJ15" s="797"/>
      <c r="AK15" s="797"/>
      <c r="AL15" s="797"/>
      <c r="AM15" s="797"/>
      <c r="AN15" s="797"/>
      <c r="AO15" s="797"/>
      <c r="AP15" s="797"/>
      <c r="AQ15" s="797"/>
      <c r="AR15" s="797"/>
      <c r="AS15" s="797"/>
      <c r="AT15" s="797"/>
      <c r="AU15" s="797"/>
      <c r="AV15" s="797"/>
      <c r="AW15" s="797"/>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row>
    <row r="16" spans="2:124" s="2" customFormat="1" ht="17.25">
      <c r="B16" s="849"/>
      <c r="C16" s="851" t="str">
        <f>+A83</f>
        <v>PDD</v>
      </c>
      <c r="D16" s="850">
        <f>+E91</f>
        <v>0.94267761990686383</v>
      </c>
      <c r="E16" s="849"/>
      <c r="F16" s="849" t="s">
        <v>3093</v>
      </c>
      <c r="G16" s="849"/>
      <c r="H16" s="849"/>
      <c r="I16" s="849"/>
      <c r="J16" s="849"/>
      <c r="K16" s="849"/>
      <c r="L16" s="849"/>
      <c r="M16" s="849"/>
      <c r="N16" s="849"/>
      <c r="O16" s="849"/>
      <c r="P16" s="849"/>
      <c r="Q16" s="849"/>
      <c r="R16" s="849"/>
      <c r="S16" s="840"/>
      <c r="T16" s="1"/>
      <c r="U16" s="1"/>
      <c r="V16" s="1"/>
      <c r="W16" s="1"/>
      <c r="X16" s="866"/>
      <c r="Y16" s="797"/>
      <c r="Z16" s="797"/>
      <c r="AA16" s="797"/>
      <c r="AB16" s="797"/>
      <c r="AC16" s="797"/>
      <c r="AD16" s="797"/>
      <c r="AE16" s="797"/>
      <c r="AF16" s="797"/>
      <c r="AG16" s="797"/>
      <c r="AH16" s="797"/>
      <c r="AI16" s="797"/>
      <c r="AJ16" s="797"/>
      <c r="AK16" s="797"/>
      <c r="AL16" s="797"/>
      <c r="AM16" s="797"/>
      <c r="AN16" s="797"/>
      <c r="AO16" s="797"/>
      <c r="AP16" s="797"/>
      <c r="AQ16" s="797"/>
      <c r="AR16" s="797"/>
      <c r="AS16" s="797"/>
      <c r="AT16" s="797"/>
      <c r="AU16" s="797"/>
      <c r="AV16" s="797"/>
      <c r="AW16" s="797"/>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row>
    <row r="17" spans="1:124" s="2" customFormat="1" ht="15.75">
      <c r="B17" s="848"/>
      <c r="C17" s="848"/>
      <c r="D17" s="848"/>
      <c r="E17" s="848"/>
      <c r="F17" s="848"/>
      <c r="G17" s="848"/>
      <c r="H17" s="848"/>
      <c r="I17" s="848"/>
      <c r="J17" s="848"/>
      <c r="K17" s="848"/>
      <c r="L17" s="848"/>
      <c r="M17" s="848"/>
      <c r="N17" s="848"/>
      <c r="O17" s="848"/>
      <c r="P17" s="848"/>
      <c r="Q17" s="848"/>
      <c r="R17" s="848"/>
      <c r="S17" s="840"/>
      <c r="T17" s="1"/>
      <c r="U17" s="1"/>
      <c r="V17" s="1"/>
      <c r="W17" s="1"/>
      <c r="X17" s="866"/>
      <c r="Y17" s="797"/>
      <c r="Z17" s="797"/>
      <c r="AA17" s="797"/>
      <c r="AB17" s="797"/>
      <c r="AC17" s="797"/>
      <c r="AD17" s="797"/>
      <c r="AE17" s="797"/>
      <c r="AF17" s="797"/>
      <c r="AG17" s="797"/>
      <c r="AH17" s="797"/>
      <c r="AI17" s="797"/>
      <c r="AJ17" s="797"/>
      <c r="AK17" s="797"/>
      <c r="AL17" s="797"/>
      <c r="AM17" s="797"/>
      <c r="AN17" s="797"/>
      <c r="AO17" s="797"/>
      <c r="AP17" s="797"/>
      <c r="AQ17" s="797"/>
      <c r="AR17" s="797"/>
      <c r="AS17" s="797"/>
      <c r="AT17" s="797"/>
      <c r="AU17" s="797"/>
      <c r="AV17" s="797"/>
      <c r="AW17" s="797"/>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row>
    <row r="18" spans="1:124" s="2" customFormat="1" ht="13.5" customHeight="1">
      <c r="B18" s="1442" t="s">
        <v>2801</v>
      </c>
      <c r="C18" s="1442"/>
      <c r="D18" s="1442"/>
      <c r="E18" s="1442"/>
      <c r="F18" s="1442"/>
      <c r="G18" s="1442"/>
      <c r="H18" s="1094"/>
      <c r="I18" s="1095"/>
      <c r="J18" s="1094"/>
      <c r="K18" s="1096"/>
      <c r="L18" s="1435" t="s">
        <v>2802</v>
      </c>
      <c r="M18" s="1435"/>
      <c r="N18" s="1435"/>
      <c r="O18" s="1435"/>
      <c r="P18" s="1435"/>
      <c r="Q18" s="1435"/>
      <c r="R18" s="1097"/>
      <c r="S18" s="840"/>
      <c r="T18" s="1"/>
      <c r="U18" s="1"/>
      <c r="V18" s="1"/>
      <c r="W18" s="1"/>
      <c r="X18" s="866"/>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row>
    <row r="19" spans="1:124" s="2" customFormat="1" ht="18.75">
      <c r="B19" s="1456" t="str">
        <f>VLOOKUP($X$6,Datos_Prog!$B$6:$Z$11,2,FALSE)</f>
        <v>1-DESARROLLO INTEGRAL DEL SER HUMANO</v>
      </c>
      <c r="C19" s="1456"/>
      <c r="D19" s="1456"/>
      <c r="E19" s="1456"/>
      <c r="F19" s="1456"/>
      <c r="G19" s="1456"/>
      <c r="H19" s="1456"/>
      <c r="I19" s="1456"/>
      <c r="J19" s="1456"/>
      <c r="K19" s="1456"/>
      <c r="L19" s="1456"/>
      <c r="M19" s="1456"/>
      <c r="N19" s="1456"/>
      <c r="O19" s="1456"/>
      <c r="P19" s="1456"/>
      <c r="Q19" s="1456"/>
      <c r="R19" s="1456"/>
      <c r="S19" s="840"/>
      <c r="T19" s="1"/>
      <c r="U19" s="1"/>
      <c r="V19" s="1"/>
      <c r="W19" s="1"/>
      <c r="X19" s="866"/>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row>
    <row r="20" spans="1:124" s="2" customFormat="1" ht="5.25" customHeight="1">
      <c r="B20" s="1159"/>
      <c r="C20" s="1159"/>
      <c r="D20" s="1159"/>
      <c r="E20" s="1159"/>
      <c r="F20" s="1159"/>
      <c r="G20" s="1159"/>
      <c r="H20" s="1159"/>
      <c r="I20" s="1159"/>
      <c r="J20" s="1159"/>
      <c r="K20" s="1159"/>
      <c r="L20" s="1159"/>
      <c r="M20" s="1159"/>
      <c r="N20" s="1159"/>
      <c r="O20" s="1159"/>
      <c r="P20" s="1159"/>
      <c r="Q20" s="1159"/>
      <c r="R20" s="1159"/>
      <c r="S20" s="840"/>
      <c r="T20" s="1"/>
      <c r="U20" s="1"/>
      <c r="V20" s="1"/>
      <c r="W20" s="1"/>
      <c r="X20" s="866"/>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row>
    <row r="21" spans="1:124" s="2" customFormat="1" ht="13.5" customHeight="1">
      <c r="B21" s="1"/>
      <c r="C21" s="1"/>
      <c r="D21" s="1"/>
      <c r="E21" s="1"/>
      <c r="F21" s="1"/>
      <c r="G21" s="1426" t="s">
        <v>34</v>
      </c>
      <c r="H21" s="1426"/>
      <c r="I21" s="1426"/>
      <c r="J21" s="1426"/>
      <c r="K21" s="1426"/>
      <c r="L21" s="1426"/>
      <c r="M21" s="1426"/>
      <c r="N21" s="1426" t="s">
        <v>2800</v>
      </c>
      <c r="O21" s="1426"/>
      <c r="P21" s="1426"/>
      <c r="Q21" s="1426"/>
      <c r="R21" s="1426"/>
      <c r="S21" s="840"/>
      <c r="T21" s="1"/>
      <c r="U21" s="1"/>
      <c r="V21" s="1"/>
      <c r="W21" s="1"/>
      <c r="X21" s="866"/>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row>
    <row r="22" spans="1:124" s="2" customFormat="1" ht="18" customHeight="1">
      <c r="B22" s="968" t="s">
        <v>2631</v>
      </c>
      <c r="C22" s="969" t="s">
        <v>40</v>
      </c>
      <c r="D22" s="969" t="s">
        <v>42</v>
      </c>
      <c r="E22" s="969" t="s">
        <v>2630</v>
      </c>
      <c r="F22" s="1061" t="s">
        <v>2795</v>
      </c>
      <c r="G22" s="1062"/>
      <c r="H22" s="1044"/>
      <c r="I22" s="846"/>
      <c r="J22" s="846"/>
      <c r="K22" s="846"/>
      <c r="L22" s="846"/>
      <c r="M22" s="846"/>
      <c r="N22" s="846"/>
      <c r="O22" s="1455" t="s">
        <v>2633</v>
      </c>
      <c r="P22" s="1455"/>
      <c r="Q22" s="847"/>
      <c r="R22" s="846"/>
      <c r="S22" s="840"/>
      <c r="T22" s="1"/>
      <c r="U22" s="1"/>
      <c r="V22" s="1"/>
      <c r="W22" s="1"/>
      <c r="X22" s="866"/>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row>
    <row r="23" spans="1:124" s="2" customFormat="1" ht="18.75" customHeight="1">
      <c r="B23" s="1108">
        <v>2012</v>
      </c>
      <c r="C23" s="1109">
        <f>VLOOKUP($X$6,Datos_Prog!$B$6:$Z$10,5,FALSE)</f>
        <v>8.3576227812718589</v>
      </c>
      <c r="D23" s="1109">
        <f>VLOOKUP($X$6,Datos_Prog!$B$6:$Z$10,6,FALSE)</f>
        <v>7.0991844607339045</v>
      </c>
      <c r="E23" s="1102">
        <f>IFERROR(+IF((D23/C23)&lt;1, (D23/C23), 100%)," ")</f>
        <v>0.84942628382822927</v>
      </c>
      <c r="F23" s="1110">
        <f>VLOOKUP($X$6,Datos_Prog!$B$6:$Z$10,14,FALSE)</f>
        <v>785788.82320800005</v>
      </c>
      <c r="G23" s="1063"/>
      <c r="H23" s="1045"/>
      <c r="I23" s="845"/>
      <c r="J23" s="845"/>
      <c r="K23" s="845"/>
      <c r="L23" s="845"/>
      <c r="M23" s="845"/>
      <c r="N23" s="845"/>
      <c r="O23" s="1455" t="s">
        <v>2632</v>
      </c>
      <c r="P23" s="1455"/>
      <c r="Q23" s="845"/>
      <c r="R23" s="845"/>
      <c r="S23" s="840"/>
      <c r="T23" s="1"/>
      <c r="U23" s="1"/>
      <c r="V23" s="1"/>
      <c r="W23" s="1"/>
      <c r="X23" s="866"/>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row>
    <row r="24" spans="1:124" s="2" customFormat="1" ht="15.75">
      <c r="A24" s="1"/>
      <c r="B24" s="1111">
        <v>2013</v>
      </c>
      <c r="C24" s="1112">
        <f>VLOOKUP($X$6,Datos_Prog!$B$6:$Z$10,7,FALSE)</f>
        <v>13.094237561805324</v>
      </c>
      <c r="D24" s="1112">
        <f>VLOOKUP($X$6,Datos_Prog!$B$6:$Z$10,8,FALSE)</f>
        <v>11.781928124828053</v>
      </c>
      <c r="E24" s="1113">
        <f>IFERROR(+IF((D24/C24)&lt;1, (D24/C24), 100%)," ")</f>
        <v>0.89977962208314011</v>
      </c>
      <c r="F24" s="1114">
        <f>VLOOKUP($X$6,Datos_Prog!$B$6:$Z$10,15,FALSE)</f>
        <v>753178.16115599999</v>
      </c>
      <c r="G24" s="1063"/>
      <c r="H24" s="1045"/>
      <c r="I24" s="844"/>
      <c r="J24" s="844"/>
      <c r="K24" s="844"/>
      <c r="L24" s="844"/>
      <c r="M24" s="844"/>
      <c r="N24" s="844"/>
      <c r="O24" s="844"/>
      <c r="P24" s="844"/>
      <c r="Q24" s="844"/>
      <c r="R24" s="844"/>
      <c r="S24" s="840"/>
      <c r="T24" s="1"/>
      <c r="U24" s="1"/>
      <c r="V24" s="1"/>
      <c r="W24" s="1"/>
      <c r="X24" s="866"/>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row>
    <row r="25" spans="1:124" s="2" customFormat="1">
      <c r="A25" s="1"/>
      <c r="B25" s="1108">
        <v>2014</v>
      </c>
      <c r="C25" s="1109">
        <f>VLOOKUP($X$6,Datos_Prog!$B$6:$Z$10,9,FALSE)</f>
        <v>14.071635884989933</v>
      </c>
      <c r="D25" s="1109">
        <f>VLOOKUP($X$6,Datos_Prog!$B$6:$Z$10,10,FALSE)</f>
        <v>12.633291345159707</v>
      </c>
      <c r="E25" s="1102">
        <f>IFERROR(+IF((D25/C25)&lt;1, (D25/C25), 100%)," ")</f>
        <v>0.89778412747557712</v>
      </c>
      <c r="F25" s="1110">
        <f>VLOOKUP($X$6,Datos_Prog!$B$6:$Z$10,16,FALSE)</f>
        <v>862171.66980600008</v>
      </c>
      <c r="G25" s="1063"/>
      <c r="H25" s="1045"/>
      <c r="I25" s="843"/>
      <c r="J25" s="843"/>
      <c r="K25" s="843"/>
      <c r="L25" s="843"/>
      <c r="M25" s="843"/>
      <c r="N25" s="843"/>
      <c r="O25" s="843"/>
      <c r="P25" s="841"/>
      <c r="Q25" s="841"/>
      <c r="R25" s="841"/>
      <c r="S25" s="842"/>
      <c r="T25" s="1"/>
      <c r="U25" s="1"/>
      <c r="V25" s="1"/>
      <c r="W25" s="1"/>
      <c r="X25" s="866"/>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row>
    <row r="26" spans="1:124" s="2" customFormat="1">
      <c r="A26" s="1"/>
      <c r="B26" s="1115">
        <v>2015</v>
      </c>
      <c r="C26" s="1112">
        <f>VLOOKUP($X$6,Datos_Prog!$B$6:$Z$10,11,FALSE)</f>
        <v>13.981023771932829</v>
      </c>
      <c r="D26" s="1112">
        <f>VLOOKUP($X$6,Datos_Prog!$B$6:$Z$10,12,FALSE)</f>
        <v>10.891063560353581</v>
      </c>
      <c r="E26" s="1113">
        <f>IFERROR(+IF((D26/C26)&lt;1, (D26/C26), 100%)," ")</f>
        <v>0.77898898807522221</v>
      </c>
      <c r="F26" s="1114">
        <f>VLOOKUP($X$6,Datos_Prog!$B$6:$Z$10,17,FALSE)</f>
        <v>660652.78100100008</v>
      </c>
      <c r="G26" s="1063"/>
      <c r="H26" s="1045"/>
      <c r="I26" s="841"/>
      <c r="J26" s="841"/>
      <c r="K26" s="841"/>
      <c r="L26" s="841"/>
      <c r="M26" s="841"/>
      <c r="N26" s="841"/>
      <c r="O26" s="841"/>
      <c r="P26" s="841"/>
      <c r="Q26" s="841"/>
      <c r="R26" s="841"/>
      <c r="S26" s="840"/>
      <c r="T26" s="1"/>
      <c r="U26" s="1"/>
      <c r="V26" s="1"/>
      <c r="W26" s="1"/>
      <c r="X26" s="866"/>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row>
    <row r="27" spans="1:124" s="2" customFormat="1" ht="16.5" customHeight="1">
      <c r="B27" s="1116" t="s">
        <v>2628</v>
      </c>
      <c r="C27" s="1117">
        <f>SUM(C23:C26)</f>
        <v>49.504519999999943</v>
      </c>
      <c r="D27" s="1117">
        <f>VLOOKUP($X$6,Datos_Prog!$B$6:$Z$10,13,FALSE)</f>
        <v>46.369393606882817</v>
      </c>
      <c r="E27" s="1118">
        <f>IFERROR(+IF((D27/C27)&lt;1, (D27/C27), 100%)," ")</f>
        <v>0.93666989614045082</v>
      </c>
      <c r="F27" s="1119">
        <f>SUM(F23:F26)</f>
        <v>3061791.4351710002</v>
      </c>
      <c r="G27" s="1063"/>
      <c r="H27" s="1045"/>
      <c r="I27" s="841"/>
      <c r="J27" s="841"/>
      <c r="K27" s="841"/>
      <c r="L27" s="841"/>
      <c r="M27" s="841"/>
      <c r="N27" s="841"/>
      <c r="O27" s="841"/>
      <c r="P27" s="841"/>
      <c r="Q27" s="841"/>
      <c r="R27" s="841"/>
      <c r="S27" s="840"/>
      <c r="T27" s="1"/>
      <c r="U27" s="1"/>
      <c r="V27" s="1"/>
      <c r="W27" s="1"/>
      <c r="X27" s="866"/>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row>
    <row r="28" spans="1:124" s="1" customFormat="1" ht="39.950000000000003" customHeight="1">
      <c r="B28" s="1450" t="s">
        <v>3089</v>
      </c>
      <c r="C28" s="1450"/>
      <c r="D28" s="1450"/>
      <c r="E28" s="1450"/>
      <c r="F28" s="1450"/>
      <c r="G28" s="818"/>
      <c r="H28" s="817"/>
      <c r="I28" s="841"/>
      <c r="J28" s="841"/>
      <c r="K28" s="841"/>
      <c r="L28" s="841"/>
      <c r="M28" s="841"/>
      <c r="N28" s="841"/>
      <c r="O28" s="841"/>
      <c r="P28" s="841"/>
      <c r="Q28" s="841"/>
      <c r="R28" s="841"/>
      <c r="S28" s="840"/>
      <c r="X28" s="866"/>
    </row>
    <row r="29" spans="1:124" s="1" customFormat="1" ht="33" customHeight="1">
      <c r="B29" s="1446" t="str">
        <f>VLOOKUP($X$6,Datos_Prog!$B$6:$Z$10,19,FALSE)</f>
        <v>SE REDUJO LA TASA DE MORTALIDAD INFANTIL DE NIÑ@S DE 0 A 1 AÑOS POR 1.000 NACIDOS VIVOS, PASANDO DE 10.8 EN EL 2013 A 9.60 EN EL AÑO 2014, LOGRANDO MANTENERSE POR DEBAJO DEL COMPORTAMIENTO NACIONAL (LA MEDIA NACIONAL SE ENCUENTRA EN 11.8).</v>
      </c>
      <c r="C29" s="1447"/>
      <c r="D29" s="1447"/>
      <c r="E29" s="1447"/>
      <c r="F29" s="1447"/>
      <c r="G29" s="1447"/>
      <c r="H29" s="1447"/>
      <c r="I29" s="1447"/>
      <c r="J29" s="1447"/>
      <c r="K29" s="1447"/>
      <c r="L29" s="1447"/>
      <c r="M29" s="1447"/>
      <c r="N29" s="1447"/>
      <c r="O29" s="1447"/>
      <c r="P29" s="1447"/>
      <c r="Q29" s="1447"/>
      <c r="R29" s="1448"/>
      <c r="S29" s="840"/>
      <c r="X29" s="866"/>
    </row>
    <row r="30" spans="1:124" s="1" customFormat="1" ht="36.75" customHeight="1">
      <c r="B30" s="1443" t="str">
        <f>VLOOKUP($X$6,Datos_Prog!$B$6:$Z$10,20,FALSE)</f>
        <v>SE DIMINUYERON LOS CASOS DE HEPATITIS A EN MENORES DE 1 AÑO, DE 121 CASOS QUE SE PRESENTARON EN EL AÑO 2013 A 27 CASOS EN EL AÑO 2014; CON LA ESTRATEGIA DEL PLAN AMPLIADO DE INMUNIZACIÓN (PAI – PLUS) - VACUNACIÓN CONTRA HEPATITIS A Y VARICELA, Y LA AMPLIACIÓN DE DOSIS DE 11.989 EN EL AÑO 2014, 4.410 DOSIS MÁS QUE EN EL 2013</v>
      </c>
      <c r="C30" s="1444"/>
      <c r="D30" s="1444"/>
      <c r="E30" s="1444"/>
      <c r="F30" s="1444"/>
      <c r="G30" s="1444"/>
      <c r="H30" s="1444"/>
      <c r="I30" s="1444"/>
      <c r="J30" s="1444"/>
      <c r="K30" s="1444"/>
      <c r="L30" s="1444"/>
      <c r="M30" s="1444"/>
      <c r="N30" s="1444"/>
      <c r="O30" s="1444"/>
      <c r="P30" s="1444"/>
      <c r="Q30" s="1444"/>
      <c r="R30" s="1445"/>
      <c r="S30" s="840"/>
      <c r="X30" s="866"/>
    </row>
    <row r="31" spans="1:124" s="1" customFormat="1" ht="30.75" customHeight="1">
      <c r="B31" s="1446" t="str">
        <f>VLOOKUP($X$6,Datos_Prog!$B$6:$Z$10,21,FALSE)</f>
        <v>SE PUSO EN MARCHA EL FUNCIONAMIENTO DEL CENTRO DE INNOVACIÓN EDUCATIVA REGIONAL - CIER- EN EL PALACIO DE SAN FRANCISCO, CON LA FORMACIÓN DE 475 DOCENTES EN EL MARCO DEL PROGRAMA “FORMACIÓN EN USO Y DESARROLLO DE CONTENIDOS EDUCATIVOS DIGITALES”; 9 DOCENTES CERTIFICADOS MASTER TEACHERS.</v>
      </c>
      <c r="C31" s="1447"/>
      <c r="D31" s="1447"/>
      <c r="E31" s="1447"/>
      <c r="F31" s="1447"/>
      <c r="G31" s="1447"/>
      <c r="H31" s="1447"/>
      <c r="I31" s="1447"/>
      <c r="J31" s="1447"/>
      <c r="K31" s="1447"/>
      <c r="L31" s="1447"/>
      <c r="M31" s="1447"/>
      <c r="N31" s="1447"/>
      <c r="O31" s="1447"/>
      <c r="P31" s="1447"/>
      <c r="Q31" s="1447"/>
      <c r="R31" s="1448"/>
      <c r="S31" s="840"/>
      <c r="X31" s="866"/>
    </row>
    <row r="32" spans="1:124" s="1" customFormat="1" ht="27.75" customHeight="1">
      <c r="B32" s="1443" t="str">
        <f>VLOOKUP($X$6,Datos_Prog!$B$6:$Z$10,22,FALSE)</f>
        <v>CUNDINAMARCA OCUPA EL PRIMER LUGAR A NIVEL NACIONAL EN LOS RESULTADOS DE LAS PRUEBAS SABER 11°; LO CUAL PERMITIÓ QUE SE SELECCIONARAN 922 ESTUDIANTES PARA PARTICIPAR EN EL PROGRAMA “10.000 BECAS PARA LA EDUCACIÓN SUPERIOR” DEL NIVEL NACIONAL.</v>
      </c>
      <c r="C32" s="1444"/>
      <c r="D32" s="1444"/>
      <c r="E32" s="1444"/>
      <c r="F32" s="1444"/>
      <c r="G32" s="1444"/>
      <c r="H32" s="1444"/>
      <c r="I32" s="1444"/>
      <c r="J32" s="1444"/>
      <c r="K32" s="1444"/>
      <c r="L32" s="1444"/>
      <c r="M32" s="1444"/>
      <c r="N32" s="1444"/>
      <c r="O32" s="1444"/>
      <c r="P32" s="1444"/>
      <c r="Q32" s="1444"/>
      <c r="R32" s="1445"/>
      <c r="S32" s="840"/>
      <c r="X32" s="866"/>
    </row>
    <row r="33" spans="2:124" s="1" customFormat="1" ht="24.75" customHeight="1">
      <c r="B33" s="1446" t="str">
        <f>VLOOKUP($X$6,Datos_Prog!$B$6:$Z$10,23,FALSE)</f>
        <v>RECONOCIMIENTO DEL MINISTERIO DE SALUD Y PROTECCIÓN SOCIAL COMO UNO DE LOS 10 PRIMEROS DEPARTAMENTOS EN EL CUMPLIMIENTO DE COBERTURA DE VACUNACIÓN ÚTIL EN TODOS LOS BIOLÓGICOS LLEGANDO AL 96% DE ACUERDO AL DANE EN PLAN AMPLIADO DE INMUNIZACIONES - PAI PLUS.</v>
      </c>
      <c r="C33" s="1447"/>
      <c r="D33" s="1447"/>
      <c r="E33" s="1447"/>
      <c r="F33" s="1447"/>
      <c r="G33" s="1447"/>
      <c r="H33" s="1447"/>
      <c r="I33" s="1447"/>
      <c r="J33" s="1447"/>
      <c r="K33" s="1447"/>
      <c r="L33" s="1447"/>
      <c r="M33" s="1447"/>
      <c r="N33" s="1447"/>
      <c r="O33" s="1447"/>
      <c r="P33" s="1447"/>
      <c r="Q33" s="1447"/>
      <c r="R33" s="1448"/>
      <c r="X33" s="866"/>
    </row>
    <row r="34" spans="2:124" s="1" customFormat="1" ht="7.5" customHeight="1">
      <c r="B34" s="1449"/>
      <c r="C34" s="1449"/>
      <c r="D34" s="1449"/>
      <c r="E34" s="1449"/>
      <c r="F34" s="1449"/>
      <c r="G34" s="1449"/>
      <c r="H34" s="1433"/>
      <c r="I34" s="1433"/>
      <c r="J34" s="1433"/>
      <c r="K34" s="1433"/>
      <c r="L34" s="1433"/>
      <c r="M34" s="1433"/>
      <c r="N34" s="1434"/>
      <c r="O34" s="1434"/>
      <c r="P34" s="1434"/>
      <c r="Q34" s="1434"/>
      <c r="R34" s="1434"/>
      <c r="S34" s="840"/>
      <c r="X34" s="866"/>
    </row>
    <row r="35" spans="2:124" s="1" customFormat="1" ht="24.75" customHeight="1">
      <c r="B35" s="1427" t="str">
        <f>VLOOKUP($X$8,Datos_Prog!$B$6:$Z$11,2,FALSE)</f>
        <v>2-SOSTENIBILIDAD Y RURALIDAD</v>
      </c>
      <c r="C35" s="1427"/>
      <c r="D35" s="1427"/>
      <c r="E35" s="1427"/>
      <c r="F35" s="1427"/>
      <c r="G35" s="1427"/>
      <c r="H35" s="1427"/>
      <c r="I35" s="1427"/>
      <c r="J35" s="1427"/>
      <c r="K35" s="1427"/>
      <c r="L35" s="1427"/>
      <c r="M35" s="1427"/>
      <c r="N35" s="1427"/>
      <c r="O35" s="1427"/>
      <c r="P35" s="1427"/>
      <c r="Q35" s="1427"/>
      <c r="R35" s="1427"/>
      <c r="S35" s="9"/>
      <c r="X35" s="866"/>
    </row>
    <row r="36" spans="2:124" s="1" customFormat="1" ht="5.25" customHeight="1">
      <c r="B36" s="839"/>
      <c r="C36" s="839"/>
      <c r="D36" s="839"/>
      <c r="E36" s="839"/>
      <c r="F36" s="839"/>
      <c r="G36" s="839"/>
      <c r="H36" s="839"/>
      <c r="I36" s="828"/>
      <c r="J36" s="828"/>
      <c r="K36" s="828"/>
      <c r="L36" s="838"/>
      <c r="M36" s="828"/>
      <c r="N36" s="828"/>
      <c r="O36" s="828"/>
      <c r="P36" s="828"/>
      <c r="Q36" s="828"/>
      <c r="R36" s="828"/>
      <c r="S36" s="837"/>
      <c r="X36" s="866"/>
    </row>
    <row r="37" spans="2:124" s="1" customFormat="1" ht="15.75" customHeight="1">
      <c r="G37" s="1426" t="s">
        <v>34</v>
      </c>
      <c r="H37" s="1426"/>
      <c r="I37" s="1426"/>
      <c r="J37" s="1426"/>
      <c r="K37" s="1426"/>
      <c r="L37" s="1158"/>
      <c r="M37" s="1064"/>
      <c r="N37" s="1426" t="s">
        <v>2800</v>
      </c>
      <c r="O37" s="1426"/>
      <c r="P37" s="1426"/>
      <c r="Q37" s="1426"/>
      <c r="R37" s="1426"/>
      <c r="S37" s="831"/>
      <c r="X37" s="866"/>
    </row>
    <row r="38" spans="2:124" s="1" customFormat="1" ht="16.5">
      <c r="B38" s="1120" t="s">
        <v>2631</v>
      </c>
      <c r="C38" s="1121" t="s">
        <v>40</v>
      </c>
      <c r="D38" s="1121" t="s">
        <v>42</v>
      </c>
      <c r="E38" s="1121" t="s">
        <v>2630</v>
      </c>
      <c r="F38" s="1122" t="s">
        <v>2795</v>
      </c>
      <c r="G38" s="916"/>
      <c r="H38" s="916"/>
      <c r="I38" s="836"/>
      <c r="J38" s="836"/>
      <c r="K38" s="834"/>
      <c r="L38" s="834"/>
      <c r="M38" s="835"/>
      <c r="N38" s="834"/>
      <c r="O38" s="834"/>
      <c r="P38" s="833"/>
      <c r="Q38" s="833"/>
      <c r="R38" s="833"/>
      <c r="S38" s="831"/>
      <c r="X38" s="866"/>
    </row>
    <row r="39" spans="2:124" s="1" customFormat="1" ht="12.75" customHeight="1">
      <c r="B39" s="1108">
        <v>2012</v>
      </c>
      <c r="C39" s="1109">
        <f>VLOOKUP($X$8,Datos_Prog!$B$6:$Z$10,5,FALSE)</f>
        <v>1.8095931077330505</v>
      </c>
      <c r="D39" s="1109">
        <f>VLOOKUP($X$8,Datos_Prog!$B$6:$Z$10,6,FALSE)</f>
        <v>1.7300354778629206</v>
      </c>
      <c r="E39" s="1102">
        <f>IFERROR(+IF((D39/C39)&lt;1, (D39/C39), 100%)," ")</f>
        <v>0.9560356250639156</v>
      </c>
      <c r="F39" s="1110">
        <f>VLOOKUP($X$8,Datos_Prog!$B$6:$Z$10,14,FALSE)</f>
        <v>23137.930479000002</v>
      </c>
      <c r="G39" s="818"/>
      <c r="H39" s="817"/>
      <c r="I39" s="583"/>
      <c r="J39" s="828"/>
      <c r="K39" s="830"/>
      <c r="L39" s="830"/>
      <c r="M39" s="832"/>
      <c r="N39" s="583"/>
      <c r="O39" s="830"/>
      <c r="P39" s="830"/>
      <c r="Q39" s="830"/>
      <c r="R39" s="583"/>
      <c r="S39" s="831"/>
      <c r="X39" s="866"/>
    </row>
    <row r="40" spans="2:124">
      <c r="B40" s="1111">
        <v>2013</v>
      </c>
      <c r="C40" s="1109">
        <f>VLOOKUP($X$8,Datos_Prog!$B$6:$Z$10,7,FALSE)</f>
        <v>4.4301762732959213</v>
      </c>
      <c r="D40" s="1109">
        <f>VLOOKUP($X$8,Datos_Prog!$B$6:$Z$10,8,FALSE)</f>
        <v>4.0029737732959223</v>
      </c>
      <c r="E40" s="1113">
        <f>IFERROR(+IF((D40/C40)&lt;1, (D40/C40), 100%)," ")</f>
        <v>0.90356986412141727</v>
      </c>
      <c r="F40" s="1114">
        <f>VLOOKUP($X$8,Datos_Prog!$B$6:$Z$10,15,FALSE)</f>
        <v>36381.895183000001</v>
      </c>
      <c r="G40" s="818"/>
      <c r="H40" s="817"/>
      <c r="I40" s="828"/>
      <c r="J40" s="828"/>
      <c r="K40" s="828"/>
      <c r="L40" s="828"/>
      <c r="M40" s="829"/>
      <c r="N40" s="828"/>
      <c r="O40" s="583"/>
      <c r="P40" s="583"/>
      <c r="Q40" s="583"/>
      <c r="R40" s="583"/>
      <c r="S40" s="827"/>
      <c r="T40" s="796"/>
      <c r="U40" s="796"/>
      <c r="V40" s="796"/>
      <c r="W40" s="796"/>
      <c r="Y40" s="796"/>
      <c r="Z40" s="796"/>
      <c r="AA40" s="796"/>
      <c r="AB40" s="796"/>
      <c r="AC40" s="796"/>
      <c r="AD40" s="796"/>
      <c r="AE40" s="796"/>
      <c r="AF40" s="796"/>
      <c r="AG40" s="796"/>
      <c r="AH40" s="796"/>
      <c r="AI40" s="796"/>
      <c r="AJ40" s="796"/>
      <c r="AK40" s="796"/>
      <c r="AL40" s="796"/>
      <c r="AM40" s="796"/>
      <c r="AN40" s="796"/>
      <c r="AO40" s="796"/>
      <c r="AP40" s="796"/>
      <c r="AQ40" s="796"/>
      <c r="AR40" s="796"/>
      <c r="AS40" s="796"/>
      <c r="AT40" s="796"/>
      <c r="AU40" s="796"/>
      <c r="AV40" s="796"/>
      <c r="AW40" s="796"/>
      <c r="AX40" s="796"/>
      <c r="AY40" s="796"/>
      <c r="AZ40" s="796"/>
      <c r="BA40" s="796"/>
      <c r="BB40" s="796"/>
      <c r="BC40" s="796"/>
      <c r="BD40" s="796"/>
      <c r="BE40" s="796"/>
      <c r="BF40" s="796"/>
      <c r="BG40" s="796"/>
      <c r="BH40" s="796"/>
      <c r="BI40" s="796"/>
      <c r="BJ40" s="796"/>
      <c r="BK40" s="796"/>
      <c r="BL40" s="796"/>
      <c r="BM40" s="796"/>
      <c r="BN40" s="796"/>
      <c r="BO40" s="796"/>
      <c r="BP40" s="796"/>
      <c r="BQ40" s="796"/>
      <c r="BR40" s="796"/>
      <c r="BS40" s="796"/>
      <c r="BT40" s="796"/>
      <c r="BU40" s="796"/>
      <c r="BV40" s="796"/>
      <c r="BW40" s="796"/>
      <c r="BX40" s="796"/>
      <c r="BY40" s="796"/>
      <c r="BZ40" s="796"/>
      <c r="CA40" s="796"/>
      <c r="CB40" s="796"/>
      <c r="CC40" s="796"/>
      <c r="CD40" s="796"/>
      <c r="CE40" s="796"/>
      <c r="CF40" s="796"/>
      <c r="CG40" s="796"/>
      <c r="CH40" s="796"/>
      <c r="CI40" s="796"/>
      <c r="CJ40" s="796"/>
      <c r="CK40" s="796"/>
      <c r="CL40" s="796"/>
      <c r="CM40" s="796"/>
      <c r="CN40" s="796"/>
      <c r="CO40" s="796"/>
      <c r="CP40" s="796"/>
      <c r="CQ40" s="796"/>
      <c r="CR40" s="796"/>
      <c r="CS40" s="796"/>
      <c r="CT40" s="796"/>
      <c r="CU40" s="796"/>
      <c r="CV40" s="796"/>
      <c r="CW40" s="796"/>
      <c r="CX40" s="796"/>
      <c r="CY40" s="796"/>
      <c r="CZ40" s="796"/>
      <c r="DA40" s="796"/>
      <c r="DB40" s="796"/>
      <c r="DC40" s="796"/>
      <c r="DD40" s="796"/>
      <c r="DE40" s="796"/>
      <c r="DF40" s="796"/>
      <c r="DG40" s="796"/>
      <c r="DH40" s="796"/>
      <c r="DI40" s="796"/>
      <c r="DJ40" s="796"/>
      <c r="DK40" s="796"/>
      <c r="DL40" s="796"/>
      <c r="DM40" s="796"/>
      <c r="DN40" s="796"/>
      <c r="DO40" s="796"/>
      <c r="DP40" s="796"/>
      <c r="DQ40" s="796"/>
      <c r="DR40" s="796"/>
      <c r="DS40" s="796"/>
      <c r="DT40" s="796"/>
    </row>
    <row r="41" spans="2:124">
      <c r="B41" s="1108">
        <v>2014</v>
      </c>
      <c r="C41" s="1109">
        <f>VLOOKUP($X$8,Datos_Prog!$B$6:$Z$10,9,FALSE)</f>
        <v>4.79261944673042</v>
      </c>
      <c r="D41" s="1109">
        <f>VLOOKUP($X$8,Datos_Prog!$B$6:$Z$10,10,FALSE)</f>
        <v>3.7315391003401168</v>
      </c>
      <c r="E41" s="1102">
        <f>IFERROR(+IF((D41/C41)&lt;1, (D41/C41), 100%)," ")</f>
        <v>0.7786011682788242</v>
      </c>
      <c r="F41" s="1110">
        <f>VLOOKUP($X$8,Datos_Prog!$B$6:$Z$10,16,FALSE)</f>
        <v>38730.215075</v>
      </c>
      <c r="G41" s="818"/>
      <c r="H41" s="817"/>
      <c r="I41" s="828"/>
      <c r="J41" s="828"/>
      <c r="K41" s="828"/>
      <c r="L41" s="828"/>
      <c r="M41" s="829"/>
      <c r="N41" s="828"/>
      <c r="O41" s="583"/>
      <c r="P41" s="583"/>
      <c r="Q41" s="583"/>
      <c r="R41" s="583"/>
      <c r="S41" s="827"/>
      <c r="T41" s="796"/>
      <c r="U41" s="796"/>
      <c r="V41" s="796"/>
      <c r="W41" s="796"/>
      <c r="Y41" s="796"/>
      <c r="Z41" s="796"/>
      <c r="AA41" s="796"/>
      <c r="AB41" s="796"/>
      <c r="AC41" s="796"/>
      <c r="AD41" s="796"/>
      <c r="AE41" s="796"/>
      <c r="AF41" s="796"/>
      <c r="AG41" s="796"/>
      <c r="AH41" s="796"/>
      <c r="AI41" s="796"/>
      <c r="AJ41" s="796"/>
      <c r="AK41" s="796"/>
      <c r="AL41" s="796"/>
      <c r="AM41" s="796"/>
      <c r="AN41" s="796"/>
      <c r="AO41" s="796"/>
      <c r="AP41" s="796"/>
      <c r="AQ41" s="796"/>
      <c r="AR41" s="796"/>
      <c r="AS41" s="796"/>
      <c r="AT41" s="796"/>
      <c r="AU41" s="796"/>
      <c r="AV41" s="796"/>
      <c r="AW41" s="796"/>
      <c r="AX41" s="796"/>
      <c r="AY41" s="796"/>
      <c r="AZ41" s="796"/>
      <c r="BA41" s="796"/>
      <c r="BB41" s="796"/>
      <c r="BC41" s="796"/>
      <c r="BD41" s="796"/>
      <c r="BE41" s="796"/>
      <c r="BF41" s="796"/>
      <c r="BG41" s="796"/>
      <c r="BH41" s="796"/>
      <c r="BI41" s="796"/>
      <c r="BJ41" s="796"/>
      <c r="BK41" s="796"/>
      <c r="BL41" s="796"/>
      <c r="BM41" s="796"/>
      <c r="BN41" s="796"/>
      <c r="BO41" s="796"/>
      <c r="BP41" s="796"/>
      <c r="BQ41" s="796"/>
      <c r="BR41" s="796"/>
      <c r="BS41" s="796"/>
      <c r="BT41" s="796"/>
      <c r="BU41" s="796"/>
      <c r="BV41" s="796"/>
      <c r="BW41" s="796"/>
      <c r="BX41" s="796"/>
      <c r="BY41" s="796"/>
      <c r="BZ41" s="796"/>
      <c r="CA41" s="796"/>
      <c r="CB41" s="796"/>
      <c r="CC41" s="796"/>
      <c r="CD41" s="796"/>
      <c r="CE41" s="796"/>
      <c r="CF41" s="796"/>
      <c r="CG41" s="796"/>
      <c r="CH41" s="796"/>
      <c r="CI41" s="796"/>
      <c r="CJ41" s="796"/>
      <c r="CK41" s="796"/>
      <c r="CL41" s="796"/>
      <c r="CM41" s="796"/>
      <c r="CN41" s="796"/>
      <c r="CO41" s="796"/>
      <c r="CP41" s="796"/>
      <c r="CQ41" s="796"/>
      <c r="CR41" s="796"/>
      <c r="CS41" s="796"/>
      <c r="CT41" s="796"/>
      <c r="CU41" s="796"/>
      <c r="CV41" s="796"/>
      <c r="CW41" s="796"/>
      <c r="CX41" s="796"/>
      <c r="CY41" s="796"/>
      <c r="CZ41" s="796"/>
      <c r="DA41" s="796"/>
      <c r="DB41" s="796"/>
      <c r="DC41" s="796"/>
      <c r="DD41" s="796"/>
      <c r="DE41" s="796"/>
      <c r="DF41" s="796"/>
      <c r="DG41" s="796"/>
      <c r="DH41" s="796"/>
      <c r="DI41" s="796"/>
      <c r="DJ41" s="796"/>
      <c r="DK41" s="796"/>
      <c r="DL41" s="796"/>
      <c r="DM41" s="796"/>
      <c r="DN41" s="796"/>
      <c r="DO41" s="796"/>
      <c r="DP41" s="796"/>
      <c r="DQ41" s="796"/>
      <c r="DR41" s="796"/>
      <c r="DS41" s="796"/>
      <c r="DT41" s="796"/>
    </row>
    <row r="42" spans="2:124">
      <c r="B42" s="1115">
        <v>2015</v>
      </c>
      <c r="C42" s="1109">
        <f>VLOOKUP($X$8,Datos_Prog!$B$6:$Z$10,11,FALSE)</f>
        <v>5.5396111722405976</v>
      </c>
      <c r="D42" s="1109">
        <f>VLOOKUP($X$8,Datos_Prog!$B$6:$Z$10,12,FALSE)</f>
        <v>3.7379868173572923</v>
      </c>
      <c r="E42" s="1113">
        <f>IFERROR(+IF((D42/C42)&lt;1, (D42/C42), 100%)," ")</f>
        <v>0.67477422171588897</v>
      </c>
      <c r="F42" s="1114">
        <f>VLOOKUP($X$8,Datos_Prog!$B$6:$Z$10,17,FALSE)</f>
        <v>62386.485008000003</v>
      </c>
      <c r="G42" s="818"/>
      <c r="H42" s="817"/>
      <c r="I42" s="828"/>
      <c r="J42" s="828"/>
      <c r="K42" s="828"/>
      <c r="L42" s="828"/>
      <c r="M42" s="829"/>
      <c r="N42" s="828"/>
      <c r="O42" s="583"/>
      <c r="P42" s="583"/>
      <c r="Q42" s="583"/>
      <c r="R42" s="830"/>
      <c r="S42" s="827"/>
      <c r="T42" s="796"/>
      <c r="U42" s="796"/>
      <c r="V42" s="796"/>
      <c r="W42" s="796"/>
      <c r="Y42" s="796"/>
      <c r="Z42" s="796"/>
      <c r="AA42" s="796"/>
      <c r="AB42" s="796"/>
      <c r="AC42" s="796"/>
      <c r="AD42" s="796"/>
      <c r="AE42" s="796"/>
      <c r="AF42" s="796"/>
      <c r="AG42" s="796"/>
      <c r="AH42" s="796"/>
      <c r="AI42" s="796"/>
      <c r="AJ42" s="796"/>
      <c r="AK42" s="796"/>
      <c r="AL42" s="796"/>
      <c r="AM42" s="796"/>
      <c r="AN42" s="796"/>
      <c r="AO42" s="796"/>
      <c r="AP42" s="796"/>
      <c r="AQ42" s="796"/>
      <c r="AR42" s="796"/>
      <c r="AS42" s="796"/>
      <c r="AT42" s="796"/>
      <c r="AU42" s="796"/>
      <c r="AV42" s="796"/>
      <c r="AW42" s="796"/>
      <c r="AX42" s="796"/>
      <c r="AY42" s="796"/>
      <c r="AZ42" s="796"/>
      <c r="BA42" s="796"/>
      <c r="BB42" s="796"/>
      <c r="BC42" s="796"/>
      <c r="BD42" s="796"/>
      <c r="BE42" s="796"/>
      <c r="BF42" s="796"/>
      <c r="BG42" s="796"/>
      <c r="BH42" s="796"/>
      <c r="BI42" s="796"/>
      <c r="BJ42" s="796"/>
      <c r="BK42" s="796"/>
      <c r="BL42" s="796"/>
      <c r="BM42" s="796"/>
      <c r="BN42" s="796"/>
      <c r="BO42" s="796"/>
      <c r="BP42" s="796"/>
      <c r="BQ42" s="796"/>
      <c r="BR42" s="796"/>
      <c r="BS42" s="796"/>
      <c r="BT42" s="796"/>
      <c r="BU42" s="796"/>
      <c r="BV42" s="796"/>
      <c r="BW42" s="796"/>
      <c r="BX42" s="796"/>
      <c r="BY42" s="796"/>
      <c r="BZ42" s="796"/>
      <c r="CA42" s="796"/>
      <c r="CB42" s="796"/>
      <c r="CC42" s="796"/>
      <c r="CD42" s="796"/>
      <c r="CE42" s="796"/>
      <c r="CF42" s="796"/>
      <c r="CG42" s="796"/>
      <c r="CH42" s="796"/>
      <c r="CI42" s="796"/>
      <c r="CJ42" s="796"/>
      <c r="CK42" s="796"/>
      <c r="CL42" s="796"/>
      <c r="CM42" s="796"/>
      <c r="CN42" s="796"/>
      <c r="CO42" s="796"/>
      <c r="CP42" s="796"/>
      <c r="CQ42" s="796"/>
      <c r="CR42" s="796"/>
      <c r="CS42" s="796"/>
      <c r="CT42" s="796"/>
      <c r="CU42" s="796"/>
      <c r="CV42" s="796"/>
      <c r="CW42" s="796"/>
      <c r="CX42" s="796"/>
      <c r="CY42" s="796"/>
      <c r="CZ42" s="796"/>
      <c r="DA42" s="796"/>
      <c r="DB42" s="796"/>
      <c r="DC42" s="796"/>
      <c r="DD42" s="796"/>
      <c r="DE42" s="796"/>
      <c r="DF42" s="796"/>
      <c r="DG42" s="796"/>
      <c r="DH42" s="796"/>
      <c r="DI42" s="796"/>
      <c r="DJ42" s="796"/>
      <c r="DK42" s="796"/>
      <c r="DL42" s="796"/>
      <c r="DM42" s="796"/>
      <c r="DN42" s="796"/>
      <c r="DO42" s="796"/>
      <c r="DP42" s="796"/>
      <c r="DQ42" s="796"/>
      <c r="DR42" s="796"/>
      <c r="DS42" s="796"/>
      <c r="DT42" s="796"/>
    </row>
    <row r="43" spans="2:124">
      <c r="B43" s="1123" t="s">
        <v>2628</v>
      </c>
      <c r="C43" s="1124">
        <f>SUM(C39:C42)</f>
        <v>16.571999999999989</v>
      </c>
      <c r="D43" s="1109">
        <f>VLOOKUP($X$8,Datos_Prog!$B$6:$Z$10,13,FALSE)</f>
        <v>15.65865220316762</v>
      </c>
      <c r="E43" s="1102">
        <f>IFERROR(+IF((D43/C43)&lt;1, (D43/C43), 100%)," ")</f>
        <v>0.94488608515373107</v>
      </c>
      <c r="F43" s="1119">
        <f>SUM(F39:F42)</f>
        <v>160636.52574499999</v>
      </c>
      <c r="G43" s="818"/>
      <c r="H43" s="817"/>
      <c r="I43" s="828"/>
      <c r="J43" s="828"/>
      <c r="K43" s="828"/>
      <c r="L43" s="828"/>
      <c r="M43" s="829"/>
      <c r="N43" s="828"/>
      <c r="O43" s="583"/>
      <c r="P43" s="583"/>
      <c r="Q43" s="583"/>
      <c r="R43" s="583"/>
      <c r="S43" s="827"/>
      <c r="T43" s="796"/>
      <c r="U43" s="796"/>
      <c r="V43" s="796"/>
      <c r="W43" s="796"/>
      <c r="Y43" s="796"/>
      <c r="Z43" s="796"/>
      <c r="AA43" s="796"/>
      <c r="AB43" s="796"/>
      <c r="AC43" s="796"/>
      <c r="AD43" s="796"/>
      <c r="AE43" s="796"/>
      <c r="AF43" s="796"/>
      <c r="AG43" s="796"/>
      <c r="AH43" s="796"/>
      <c r="AI43" s="796"/>
      <c r="AJ43" s="796"/>
      <c r="AK43" s="796"/>
      <c r="AL43" s="796"/>
      <c r="AM43" s="796"/>
      <c r="AN43" s="796"/>
      <c r="AO43" s="796"/>
      <c r="AP43" s="796"/>
      <c r="AQ43" s="796"/>
      <c r="AR43" s="796"/>
      <c r="AS43" s="796"/>
      <c r="AT43" s="796"/>
      <c r="AU43" s="796"/>
      <c r="AV43" s="796"/>
      <c r="AW43" s="796"/>
      <c r="AX43" s="796"/>
      <c r="AY43" s="796"/>
      <c r="AZ43" s="796"/>
      <c r="BA43" s="796"/>
      <c r="BB43" s="796"/>
      <c r="BC43" s="796"/>
      <c r="BD43" s="796"/>
      <c r="BE43" s="796"/>
      <c r="BF43" s="796"/>
      <c r="BG43" s="796"/>
      <c r="BH43" s="796"/>
      <c r="BI43" s="796"/>
      <c r="BJ43" s="796"/>
      <c r="BK43" s="796"/>
      <c r="BL43" s="796"/>
      <c r="BM43" s="796"/>
      <c r="BN43" s="796"/>
      <c r="BO43" s="796"/>
      <c r="BP43" s="796"/>
      <c r="BQ43" s="796"/>
      <c r="BR43" s="796"/>
      <c r="BS43" s="796"/>
      <c r="BT43" s="796"/>
      <c r="BU43" s="796"/>
      <c r="BV43" s="796"/>
      <c r="BW43" s="796"/>
      <c r="BX43" s="796"/>
      <c r="BY43" s="796"/>
      <c r="BZ43" s="796"/>
      <c r="CA43" s="796"/>
      <c r="CB43" s="796"/>
      <c r="CC43" s="796"/>
      <c r="CD43" s="796"/>
      <c r="CE43" s="796"/>
      <c r="CF43" s="796"/>
      <c r="CG43" s="796"/>
      <c r="CH43" s="796"/>
      <c r="CI43" s="796"/>
      <c r="CJ43" s="796"/>
      <c r="CK43" s="796"/>
      <c r="CL43" s="796"/>
      <c r="CM43" s="796"/>
      <c r="CN43" s="796"/>
      <c r="CO43" s="796"/>
      <c r="CP43" s="796"/>
      <c r="CQ43" s="796"/>
      <c r="CR43" s="796"/>
      <c r="CS43" s="796"/>
      <c r="CT43" s="796"/>
      <c r="CU43" s="796"/>
      <c r="CV43" s="796"/>
      <c r="CW43" s="796"/>
      <c r="CX43" s="796"/>
      <c r="CY43" s="796"/>
      <c r="CZ43" s="796"/>
      <c r="DA43" s="796"/>
      <c r="DB43" s="796"/>
      <c r="DC43" s="796"/>
      <c r="DD43" s="796"/>
      <c r="DE43" s="796"/>
      <c r="DF43" s="796"/>
      <c r="DG43" s="796"/>
      <c r="DH43" s="796"/>
      <c r="DI43" s="796"/>
      <c r="DJ43" s="796"/>
      <c r="DK43" s="796"/>
      <c r="DL43" s="796"/>
      <c r="DM43" s="796"/>
      <c r="DN43" s="796"/>
      <c r="DO43" s="796"/>
      <c r="DP43" s="796"/>
      <c r="DQ43" s="796"/>
      <c r="DR43" s="796"/>
      <c r="DS43" s="796"/>
      <c r="DT43" s="796"/>
    </row>
    <row r="44" spans="2:124" ht="35.25" customHeight="1">
      <c r="B44" s="1143" t="s">
        <v>2627</v>
      </c>
      <c r="C44" s="1143"/>
      <c r="D44" s="1143"/>
      <c r="E44" s="1143"/>
      <c r="F44" s="1143"/>
      <c r="G44" s="818"/>
      <c r="H44" s="817"/>
      <c r="I44" s="812"/>
      <c r="J44" s="812"/>
      <c r="K44" s="812"/>
      <c r="L44" s="812"/>
      <c r="M44" s="812"/>
      <c r="N44" s="812"/>
      <c r="O44" s="811"/>
      <c r="P44" s="811"/>
      <c r="Q44" s="811"/>
      <c r="R44" s="811"/>
    </row>
    <row r="45" spans="2:124" ht="55.5" customHeight="1">
      <c r="B45" s="1430" t="str">
        <f>VLOOKUP($X$8,Datos_Prog!$B$6:$Z$10,19,FALSE)</f>
        <v>SE CONTRIBUYÓ CON LA SOSTENIBILIDAD Y ABASTECIMIENTO DEL RECURSO HÍDRICO A LOS CUNDINAMARQUESES MEDIANTE: A) EL INCREMENTO DE HECTÁREAS DE ECOSISTEMAS ESTRATÉGICOS PARA LA CONSERVACIÓN DE AGUA, LOGRANDO CON ELLO ADQUIRIR EN LO QUE VA CORRIDO DEL CUATRIENIO 6.552 HECTÁREAS DE CONSERVACIÓN. B) IMPLEMENTANDO EL MECANISMO DE PAGO POR SERVICIOS AMBIENTALES COMO ESTRATEGIA DE RECONOCIMIENTO QUE PROMUEVE EN LOS PROPIETARIOS PARTICULARES LA CONSERVACIÓN Y RECUPERACIÓN DE ÁREAS DE IMPORTANCIA ESTRATÉGICA PARA LA PRESERVACIÓN DE LOS RECURSOS HÍDRICOS. C) PROTECCIÓN Y RECUPERACIÓN DE ECOSISTEMAS LENTICOS, CONSIDERADOS ESTRATÉGICOS PARA EL EQUILIBRIO ECOLÓGICO DE LA REGIÓN POR SU CAPACIDAD DE REGULACIÓN HÍDRICA.</v>
      </c>
      <c r="C45" s="1430"/>
      <c r="D45" s="1430"/>
      <c r="E45" s="1430"/>
      <c r="F45" s="1430"/>
      <c r="G45" s="1430"/>
      <c r="H45" s="1430"/>
      <c r="I45" s="1430"/>
      <c r="J45" s="1430"/>
      <c r="K45" s="1430"/>
      <c r="L45" s="1430"/>
      <c r="M45" s="1430"/>
      <c r="N45" s="1430"/>
      <c r="O45" s="1430"/>
      <c r="P45" s="1430"/>
      <c r="Q45" s="1430"/>
      <c r="R45" s="1430"/>
    </row>
    <row r="46" spans="2:124" ht="29.25" customHeight="1">
      <c r="B46" s="1423" t="str">
        <f>VLOOKUP($X$8,Datos_Prog!$B$6:$Z$10,20,FALSE)</f>
        <v>INCREMENTO DE LA COBERTURA DE ACUEDUCTO, CONECTANDO 155.339 NUEVOS HABITANTES DEL SECTOR URBANO Y RURAL A ESTE SERVICIO, DE LOS CUALES 54.443 FUERON EN 2014. ADICIONALMENTE, A TRAVÉS DE LA OPTIMIZACIÓN DE LOS SISTEMAS DE ACUEDUCTO, SE LOGRÓ LA REDUCCIÓN DE PÉRDIDAS, MEJORANDO LA CONTINUIDAD Y PRESIÓN EN LA PRESTACIÓN DEL SERVICIO, LO CUAL BENEFICIA A LA COMUNIDAD Y CONTRIBUYE CON EL USO EFICIENTE DEL RECURSO NATURAL.</v>
      </c>
      <c r="C46" s="1429"/>
      <c r="D46" s="1429"/>
      <c r="E46" s="1429"/>
      <c r="F46" s="1429"/>
      <c r="G46" s="1429"/>
      <c r="H46" s="1429"/>
      <c r="I46" s="1429"/>
      <c r="J46" s="1429"/>
      <c r="K46" s="1429"/>
      <c r="L46" s="1429"/>
      <c r="M46" s="1429"/>
      <c r="N46" s="1429"/>
      <c r="O46" s="1429"/>
      <c r="P46" s="1429"/>
      <c r="Q46" s="1429"/>
      <c r="R46" s="1429"/>
    </row>
    <row r="47" spans="2:124" ht="29.25" customHeight="1">
      <c r="B47" s="1430" t="str">
        <f>VLOOKUP($X$8,Datos_Prog!$B$6:$Z$10,21,FALSE)</f>
        <v>SE INCREMENTO LA COBERTURA EN ALCANTARILLADO CON 62.646 HABITANTES NUEVOS CON ESTE SERVICIO DE LOS CUALES 29.679 SE ENTREGARON EN 2014. EN CUANTO AL TRATAMIENTO DE AGUAS SERVIDAS SE AVANZÓ EN LOS DISEÑOS Y CONSTRUCCIÓN DE LA INFRAESTRUCTURA NECESARIA PARA EL TRATAMIENTO DE LAS AGUAS RESIDUALES URBANAS Y RURALES, INTEGRANDO RECURSOS DEL DEPARTAMENTO CON LAS CORPORACIONES AUTÓNOMAS REGIONALES (CAR- CORPOGUAVIO).</v>
      </c>
      <c r="C47" s="1431"/>
      <c r="D47" s="1431"/>
      <c r="E47" s="1431"/>
      <c r="F47" s="1431"/>
      <c r="G47" s="1431"/>
      <c r="H47" s="1431"/>
      <c r="I47" s="1431"/>
      <c r="J47" s="1431"/>
      <c r="K47" s="1431"/>
      <c r="L47" s="1431"/>
      <c r="M47" s="1431"/>
      <c r="N47" s="1431"/>
      <c r="O47" s="1431"/>
      <c r="P47" s="1431"/>
      <c r="Q47" s="1431"/>
      <c r="R47" s="1431"/>
    </row>
    <row r="48" spans="2:124" ht="29.25" customHeight="1">
      <c r="B48" s="1423" t="str">
        <f>VLOOKUP($X$8,Datos_Prog!$B$6:$Z$10,22,FALSE)</f>
        <v>SE ASUMIÓ LAS COMPETENCIAS ASIGNADAS EN LO REFERENTE A LA ADMINISTRACIÓN DE LOS RECURSOS DEL SISTEMA GENERAL DE PARTICIPACIONES – AGUA POTABLE Y SANEAMIENTO BÁSICO (SGP-APSB) PARA GARANTIZAR LA PRESTACIÓN DE LOS SERVICIOS DE AGUA POTABLE Y SANEAMIENTO BÁSICO DE LOS MUNICIPIOS DESCERTIFICADOS POR LA SUPERINTENDENCIA DE SERVICIOS PÚBLICOS DOMICILIARIOS - SSPD.</v>
      </c>
      <c r="C48" s="1429"/>
      <c r="D48" s="1429"/>
      <c r="E48" s="1429"/>
      <c r="F48" s="1429"/>
      <c r="G48" s="1429"/>
      <c r="H48" s="1429"/>
      <c r="I48" s="1429"/>
      <c r="J48" s="1429"/>
      <c r="K48" s="1429"/>
      <c r="L48" s="1429"/>
      <c r="M48" s="1429"/>
      <c r="N48" s="1429"/>
      <c r="O48" s="1429"/>
      <c r="P48" s="1429"/>
      <c r="Q48" s="1429"/>
      <c r="R48" s="1429"/>
    </row>
    <row r="49" spans="2:18" ht="29.25" customHeight="1">
      <c r="B49" s="1430" t="str">
        <f>VLOOKUP($X$8,Datos_Prog!$B$6:$Z$10,23,FALSE)</f>
        <v>APOYO A 55 MUNICIPIOS EN EL PGAT (PLAN SECRETARÍA DE PLANEACIÓN, SEDE ADMINISTRATIVA. CALLE 26 51-53. TORRE CENTRAL PISO 5. BOGOTÁ, D.C. TEL. (1) 749 1652 - 749 1675 -749 1676 WWW.CUNDINAMARCA.GOV.CO GENERAL DE ASISTENCIA TÉCNICA AGROPECUARIA), EL FORTALECIMIENTO A LAS 116 UMATAS Y/O EPSAGROS CON LA DOTACIÓN DE EQUIPOS Y MOTOCICLETAS</v>
      </c>
      <c r="C49" s="1431"/>
      <c r="D49" s="1431"/>
      <c r="E49" s="1431"/>
      <c r="F49" s="1431"/>
      <c r="G49" s="1431"/>
      <c r="H49" s="1431"/>
      <c r="I49" s="1431"/>
      <c r="J49" s="1431"/>
      <c r="K49" s="1431"/>
      <c r="L49" s="1431"/>
      <c r="M49" s="1431"/>
      <c r="N49" s="1431"/>
      <c r="O49" s="1431"/>
      <c r="P49" s="1431"/>
      <c r="Q49" s="1431"/>
      <c r="R49" s="1431"/>
    </row>
    <row r="50" spans="2:18" ht="9" customHeight="1">
      <c r="B50" s="814"/>
      <c r="C50" s="814"/>
      <c r="D50" s="813"/>
      <c r="E50" s="813"/>
      <c r="F50" s="813"/>
      <c r="G50" s="812"/>
      <c r="H50" s="812"/>
      <c r="I50" s="812"/>
      <c r="J50" s="812"/>
      <c r="K50" s="812"/>
      <c r="L50" s="812"/>
      <c r="M50" s="812"/>
      <c r="N50" s="812"/>
      <c r="O50" s="811"/>
      <c r="P50" s="811"/>
      <c r="Q50" s="811"/>
      <c r="R50" s="811"/>
    </row>
    <row r="51" spans="2:18" ht="17.25">
      <c r="B51" s="1428" t="str">
        <f>VLOOKUP($X$9,Datos_Prog!$B$6:$Z$11,2,FALSE)</f>
        <v>3-COMPETITIVIDAD, INNOVACION, MOVILIDAD Y REGION</v>
      </c>
      <c r="C51" s="1428"/>
      <c r="D51" s="1428"/>
      <c r="E51" s="1428"/>
      <c r="F51" s="1428"/>
      <c r="G51" s="1428"/>
      <c r="H51" s="1428"/>
      <c r="I51" s="1428"/>
      <c r="J51" s="1428"/>
      <c r="K51" s="1428"/>
      <c r="L51" s="1428"/>
      <c r="M51" s="1428"/>
      <c r="N51" s="1428"/>
      <c r="O51" s="1428"/>
      <c r="P51" s="1428"/>
      <c r="Q51" s="1428"/>
      <c r="R51" s="1428"/>
    </row>
    <row r="52" spans="2:18" ht="6.75" customHeight="1">
      <c r="B52" s="826"/>
      <c r="C52" s="826"/>
      <c r="D52" s="825"/>
      <c r="E52" s="825"/>
      <c r="F52" s="825"/>
      <c r="G52" s="816"/>
      <c r="H52" s="816"/>
      <c r="I52" s="816"/>
      <c r="J52" s="816"/>
      <c r="K52" s="816"/>
      <c r="L52" s="816"/>
      <c r="M52" s="816"/>
      <c r="N52" s="816"/>
      <c r="O52" s="815"/>
      <c r="P52" s="815"/>
      <c r="Q52" s="815"/>
      <c r="R52" s="811"/>
    </row>
    <row r="53" spans="2:18" ht="18.75">
      <c r="B53" s="796"/>
      <c r="C53" s="796"/>
      <c r="D53" s="796"/>
      <c r="E53" s="796"/>
      <c r="F53" s="796"/>
      <c r="G53" s="1426" t="s">
        <v>34</v>
      </c>
      <c r="H53" s="1426"/>
      <c r="I53" s="1426"/>
      <c r="J53" s="1426"/>
      <c r="K53" s="1426"/>
      <c r="L53" s="1426"/>
      <c r="M53" s="1064"/>
      <c r="N53" s="1426" t="s">
        <v>2800</v>
      </c>
      <c r="O53" s="1426"/>
      <c r="P53" s="1426"/>
      <c r="Q53" s="1426"/>
      <c r="R53" s="1426"/>
    </row>
    <row r="54" spans="2:18" ht="16.5">
      <c r="B54" s="1125" t="s">
        <v>2631</v>
      </c>
      <c r="C54" s="1126" t="s">
        <v>40</v>
      </c>
      <c r="D54" s="1126" t="s">
        <v>42</v>
      </c>
      <c r="E54" s="1126" t="s">
        <v>2630</v>
      </c>
      <c r="F54" s="1126" t="s">
        <v>2629</v>
      </c>
      <c r="G54" s="916"/>
      <c r="H54" s="916"/>
      <c r="I54" s="816"/>
      <c r="J54" s="816"/>
      <c r="K54" s="816"/>
      <c r="L54" s="816"/>
      <c r="M54" s="816"/>
      <c r="N54" s="812"/>
      <c r="O54" s="811"/>
      <c r="P54" s="811"/>
      <c r="Q54" s="811"/>
      <c r="R54" s="811"/>
    </row>
    <row r="55" spans="2:18">
      <c r="B55" s="1108">
        <v>2012</v>
      </c>
      <c r="C55" s="1109">
        <f>VLOOKUP($X$9,Datos_Prog!$B$6:$Z$10,5,FALSE)</f>
        <v>2.2535622832415445</v>
      </c>
      <c r="D55" s="1109">
        <f>VLOOKUP($X$9,Datos_Prog!$B$6:$Z$10,6,FALSE)</f>
        <v>1.7505020628114374</v>
      </c>
      <c r="E55" s="1102">
        <f>IFERROR(+IF((D55/C55)&lt;1, (D55/C55), 100%)," ")</f>
        <v>0.77677110405553085</v>
      </c>
      <c r="F55" s="1110">
        <f>VLOOKUP($X$9,Datos_Prog!$B$6:$Z$10,14,FALSE)</f>
        <v>199260.12509099999</v>
      </c>
      <c r="G55" s="818"/>
      <c r="H55" s="817"/>
      <c r="I55" s="816"/>
      <c r="J55" s="816"/>
      <c r="K55" s="816"/>
      <c r="L55" s="816"/>
      <c r="M55" s="816"/>
      <c r="N55" s="812"/>
      <c r="O55" s="811"/>
      <c r="P55" s="811"/>
      <c r="Q55" s="811"/>
      <c r="R55" s="811"/>
    </row>
    <row r="56" spans="2:18">
      <c r="B56" s="1127">
        <v>2013</v>
      </c>
      <c r="C56" s="1109">
        <f>VLOOKUP($X$9,Datos_Prog!$B$6:$Z$10,7,FALSE)</f>
        <v>4.4447710168133554</v>
      </c>
      <c r="D56" s="1109">
        <f>VLOOKUP($X$9,Datos_Prog!$B$6:$Z$10,8,FALSE)</f>
        <v>3.99000904021237</v>
      </c>
      <c r="E56" s="1113">
        <f>IFERROR(+IF((D56/C56)&lt;1, (D56/C56), 100%)," ")</f>
        <v>0.8976860731676064</v>
      </c>
      <c r="F56" s="1114">
        <f>VLOOKUP($X$9,Datos_Prog!$B$6:$Z$10,15,FALSE)</f>
        <v>237108.36742900003</v>
      </c>
      <c r="G56" s="818"/>
      <c r="H56" s="817"/>
      <c r="I56" s="824"/>
      <c r="J56" s="824"/>
      <c r="K56" s="816"/>
      <c r="L56" s="816"/>
      <c r="M56" s="816"/>
      <c r="N56" s="812"/>
      <c r="O56" s="811"/>
      <c r="P56" s="811"/>
      <c r="Q56" s="811"/>
      <c r="R56" s="811"/>
    </row>
    <row r="57" spans="2:18" ht="12.75" customHeight="1">
      <c r="B57" s="1108">
        <v>2014</v>
      </c>
      <c r="C57" s="1109">
        <f>VLOOKUP($X$9,Datos_Prog!$B$6:$Z$10,9,FALSE)</f>
        <v>4.3434019674810642</v>
      </c>
      <c r="D57" s="1109">
        <f>VLOOKUP($X$9,Datos_Prog!$B$6:$Z$10,10,FALSE)</f>
        <v>3.3286306804936494</v>
      </c>
      <c r="E57" s="1102">
        <f>IFERROR(+IF((D57/C57)&lt;1, (D57/C57), 100%)," ")</f>
        <v>0.76636486915441382</v>
      </c>
      <c r="F57" s="1110">
        <f>VLOOKUP($X$9,Datos_Prog!$B$6:$Z$10,16,FALSE)</f>
        <v>233381.88209699999</v>
      </c>
      <c r="G57" s="818"/>
      <c r="H57" s="817"/>
      <c r="I57" s="821"/>
      <c r="J57" s="821"/>
      <c r="K57" s="820"/>
      <c r="L57" s="820"/>
      <c r="M57" s="819"/>
      <c r="N57" s="812"/>
      <c r="O57" s="811"/>
      <c r="P57" s="811"/>
      <c r="Q57" s="811"/>
      <c r="R57" s="811"/>
    </row>
    <row r="58" spans="2:18" ht="12.75" customHeight="1">
      <c r="B58" s="1128">
        <v>2015</v>
      </c>
      <c r="C58" s="1109">
        <f>VLOOKUP($X$9,Datos_Prog!$B$6:$Z$10,11,FALSE)</f>
        <v>4.1249047324640395</v>
      </c>
      <c r="D58" s="1109">
        <f>VLOOKUP($X$9,Datos_Prog!$B$6:$Z$10,12,FALSE)</f>
        <v>3.4111185361151186</v>
      </c>
      <c r="E58" s="1113">
        <f>IFERROR(+IF((D58/C58)&lt;1, (D58/C58), 100%)," ")</f>
        <v>0.8269569256397018</v>
      </c>
      <c r="F58" s="1114">
        <f>VLOOKUP($X$9,Datos_Prog!$B$6:$Z$10,17,FALSE)</f>
        <v>198156.34679299995</v>
      </c>
      <c r="G58" s="818"/>
      <c r="H58" s="817"/>
      <c r="I58" s="821"/>
      <c r="J58" s="821"/>
      <c r="K58" s="820"/>
      <c r="L58" s="820"/>
      <c r="M58" s="819"/>
      <c r="N58" s="812"/>
      <c r="O58" s="811"/>
      <c r="P58" s="811"/>
      <c r="Q58" s="811"/>
      <c r="R58" s="811"/>
    </row>
    <row r="59" spans="2:18" ht="12.75" customHeight="1">
      <c r="B59" s="1123" t="s">
        <v>2628</v>
      </c>
      <c r="C59" s="1124">
        <f>SUM(C55:C58)</f>
        <v>15.166640000000005</v>
      </c>
      <c r="D59" s="1109">
        <f>VLOOKUP($X$9,Datos_Prog!$B$6:$Z$10,13,FALSE)</f>
        <v>14.566087556901769</v>
      </c>
      <c r="E59" s="1102">
        <f>IFERROR(+IF((D59/C59)&lt;1, (D59/C59), 100%)," ")</f>
        <v>0.96040306599891367</v>
      </c>
      <c r="F59" s="1119">
        <f>SUM(F55:F58)</f>
        <v>867906.72141</v>
      </c>
      <c r="G59" s="818"/>
      <c r="H59" s="817"/>
      <c r="I59" s="821"/>
      <c r="J59" s="821"/>
      <c r="K59" s="820"/>
      <c r="L59" s="820"/>
      <c r="M59" s="819"/>
      <c r="N59" s="812"/>
      <c r="O59" s="811"/>
      <c r="P59" s="811"/>
      <c r="Q59" s="811"/>
      <c r="R59" s="811"/>
    </row>
    <row r="60" spans="2:18" ht="39.950000000000003" customHeight="1">
      <c r="B60" s="1432" t="s">
        <v>2627</v>
      </c>
      <c r="C60" s="1432"/>
      <c r="D60" s="1432"/>
      <c r="E60" s="1432"/>
      <c r="F60" s="1432"/>
      <c r="G60" s="1169"/>
      <c r="H60" s="817"/>
      <c r="I60" s="821"/>
      <c r="J60" s="821"/>
      <c r="K60" s="820"/>
      <c r="L60" s="820"/>
      <c r="M60" s="819"/>
      <c r="N60" s="812"/>
      <c r="O60" s="811"/>
      <c r="P60" s="811"/>
      <c r="Q60" s="811"/>
      <c r="R60" s="811"/>
    </row>
    <row r="61" spans="2:18" ht="28.5" customHeight="1">
      <c r="B61" s="1424" t="str">
        <f>VLOOKUP($X$9,Datos_Prog!$B$6:$Z$10,19,FALSE)</f>
        <v>SE CONSTITUYÓ LA REGIÓN ADMINISTRATIVA Y DE PLANEACIÓN ESPECIAL – RAPE – ENTRE BOGOTÁ DISTRITO CAPITAL Y LOS DEPARTAMENTOS DE CUNDINAMARCA, BOYACÁ, META Y TOLIMA.</v>
      </c>
      <c r="C61" s="1424"/>
      <c r="D61" s="1424"/>
      <c r="E61" s="1424"/>
      <c r="F61" s="1424"/>
      <c r="G61" s="1424"/>
      <c r="H61" s="1424"/>
      <c r="I61" s="1424"/>
      <c r="J61" s="1424"/>
      <c r="K61" s="1424"/>
      <c r="L61" s="1424"/>
      <c r="M61" s="1424"/>
      <c r="N61" s="1424"/>
      <c r="O61" s="1424"/>
      <c r="P61" s="1424"/>
      <c r="Q61" s="1424"/>
      <c r="R61" s="1424"/>
    </row>
    <row r="62" spans="2:18" ht="28.5" customHeight="1">
      <c r="B62" s="1425" t="str">
        <f>VLOOKUP($X$9,Datos_Prog!$B$6:$Z$10,20,FALSE)</f>
        <v>DISEÑO Y CREACIÓN DE LA MARCA “CUNDINAMARCA, EL DORADO LA LEYENDA VIVA”</v>
      </c>
      <c r="C62" s="1425"/>
      <c r="D62" s="1425"/>
      <c r="E62" s="1425"/>
      <c r="F62" s="1425"/>
      <c r="G62" s="1425"/>
      <c r="H62" s="1425"/>
      <c r="I62" s="1425"/>
      <c r="J62" s="1425"/>
      <c r="K62" s="1425"/>
      <c r="L62" s="1425"/>
      <c r="M62" s="1425"/>
      <c r="N62" s="1425"/>
      <c r="O62" s="1425"/>
      <c r="P62" s="1425"/>
      <c r="Q62" s="1425"/>
      <c r="R62" s="1425"/>
    </row>
    <row r="63" spans="2:18" ht="28.5" customHeight="1">
      <c r="B63" s="1424" t="str">
        <f>VLOOKUP($X$9,Datos_Prog!$B$6:$Z$10,21,FALSE)</f>
        <v>APOYO EN LA CREACIÓN Y FORTALECIMIENTO EMPRESARIAL DE MÁS DE 300 UNIDADES PRODUCTIVAS Y SOSTENIMIENTO A LAS REDES EMPRESARIALES EXISTENTES</v>
      </c>
      <c r="C63" s="1424"/>
      <c r="D63" s="1424"/>
      <c r="E63" s="1424"/>
      <c r="F63" s="1424"/>
      <c r="G63" s="1424"/>
      <c r="H63" s="1424"/>
      <c r="I63" s="1424"/>
      <c r="J63" s="1424"/>
      <c r="K63" s="1424"/>
      <c r="L63" s="1424"/>
      <c r="M63" s="1424"/>
      <c r="N63" s="1424"/>
      <c r="O63" s="1424"/>
      <c r="P63" s="1424"/>
      <c r="Q63" s="1424"/>
      <c r="R63" s="1424"/>
    </row>
    <row r="64" spans="2:18" ht="28.5" customHeight="1">
      <c r="B64" s="1425" t="str">
        <f>VLOOKUP($X$9,Datos_Prog!$B$6:$Z$10,22,FALSE)</f>
        <v>GRACIAS A LA GESTIÓN DEL DEPARTAMENTO LA NACIÓN A TRAVÉS DE LA ANI, ADJUDICÓ DOS PROYECTOS DE CONCESIÓN DE CUARTA GENERACIÓN, DE GRAN IMPORTANCIA PARA EL FORTALECIMIENTO DE LA INFRAESTRUCTURA VIAL DE CUNDINAMARCA Y PARA EL DESARROLLO REGIONAL Y LA ECONOMÍA NACIONAL, VÍA GIRARDOT – CAMBAO – PUERTO BOGOTÁ – HONDA – PUERTO SALGAR, CON UN COSTO DEL ORDEN DE $1.7 BILLONES Y LA PERIMETRAL DE ORIENTE, QUE COMPROMETE LAS VÍAS CÁQUEZA – UBAQUE – CHOACHÍ – LA CALERA - GUASCA, SALITRE – SOPO, CUATRO ESQUINAS – GUATAVITA – SESQUILÉ – LA PLAYA, CON UNA INVERSIÓN DEL ORDEN DE $1.07 BILLONES.</v>
      </c>
      <c r="C64" s="1425"/>
      <c r="D64" s="1425"/>
      <c r="E64" s="1425"/>
      <c r="F64" s="1425"/>
      <c r="G64" s="1425"/>
      <c r="H64" s="1425"/>
      <c r="I64" s="1425"/>
      <c r="J64" s="1425"/>
      <c r="K64" s="1425"/>
      <c r="L64" s="1425"/>
      <c r="M64" s="1425"/>
      <c r="N64" s="1425"/>
      <c r="O64" s="1425"/>
      <c r="P64" s="1425"/>
      <c r="Q64" s="1425"/>
      <c r="R64" s="1425"/>
    </row>
    <row r="65" spans="2:18" ht="28.5" customHeight="1">
      <c r="B65" s="1424" t="str">
        <f>VLOOKUP($X$9,Datos_Prog!$B$6:$Z$10,23,FALSE)</f>
        <v>MÁS DE 500 LÍDERES CUNDINAMARQUESES GRADUADOS EN INNOVACIÓN, 22 BECAS OTORGADAS PARA FORMACIÓN DE ALTO NIVEL, TRES CONSEJOS REGIONALES DE CTEI CONFORMADOS, 1400 PARTICIPANTES EN LA SEMANA DE LA CTEI Y 15 PROYECTOS INNOVADORES GESTIONADOS CON RECURSOS DEL SISTEMA GENERAL DE REGALÍAS (SGR) DE LOS CUALES 10 ESTÁN EN EJECUCIÓN SON LA APUESTA DE LA ADMINISTRACIÓN DEPARTAMENTAL POR POSICIONAR LA APROPIACIÓN SOCIAL DEL CONOCIMIENTO EN EL TERRITORIO.</v>
      </c>
      <c r="C65" s="1424"/>
      <c r="D65" s="1424"/>
      <c r="E65" s="1424"/>
      <c r="F65" s="1424"/>
      <c r="G65" s="1424"/>
      <c r="H65" s="1424"/>
      <c r="I65" s="1424"/>
      <c r="J65" s="1424"/>
      <c r="K65" s="1424"/>
      <c r="L65" s="1424"/>
      <c r="M65" s="1424"/>
      <c r="N65" s="1424"/>
      <c r="O65" s="1424"/>
      <c r="P65" s="1424"/>
      <c r="Q65" s="1424"/>
      <c r="R65" s="1424"/>
    </row>
    <row r="66" spans="2:18" ht="10.5" customHeight="1">
      <c r="B66" s="814"/>
      <c r="C66" s="814"/>
      <c r="D66" s="813"/>
      <c r="E66" s="813"/>
      <c r="F66" s="813"/>
      <c r="G66" s="812"/>
      <c r="H66" s="812"/>
      <c r="I66" s="812"/>
      <c r="J66" s="812"/>
      <c r="K66" s="812"/>
      <c r="L66" s="812"/>
      <c r="M66" s="812"/>
      <c r="N66" s="812"/>
      <c r="O66" s="811"/>
      <c r="P66" s="811"/>
      <c r="Q66" s="811"/>
      <c r="R66" s="811"/>
    </row>
    <row r="67" spans="2:18" ht="18.75">
      <c r="B67" s="1458" t="str">
        <f>VLOOKUP($X$10,Datos_Prog!$B$6:$Z$11,2,FALSE)</f>
        <v>4-FORTALECIMIENTO INSTITUCIONAL PARA GENERAR VALOR DE LO PUBLICO</v>
      </c>
      <c r="C67" s="1458"/>
      <c r="D67" s="1458"/>
      <c r="E67" s="1458"/>
      <c r="F67" s="1458"/>
      <c r="G67" s="1458"/>
      <c r="H67" s="1458"/>
      <c r="I67" s="1458"/>
      <c r="J67" s="1458"/>
      <c r="K67" s="1458"/>
      <c r="L67" s="1458"/>
      <c r="M67" s="1458"/>
      <c r="N67" s="1458"/>
      <c r="O67" s="1458"/>
      <c r="P67" s="1458"/>
      <c r="Q67" s="1458"/>
      <c r="R67" s="1458"/>
    </row>
    <row r="68" spans="2:18" ht="5.25" customHeight="1">
      <c r="B68" s="823"/>
      <c r="C68" s="822"/>
      <c r="D68" s="822"/>
      <c r="E68" s="817"/>
      <c r="F68" s="818"/>
      <c r="G68" s="818"/>
      <c r="H68" s="817"/>
      <c r="I68" s="821"/>
      <c r="J68" s="821"/>
      <c r="K68" s="820"/>
      <c r="L68" s="820"/>
      <c r="M68" s="819"/>
      <c r="N68" s="816"/>
      <c r="O68" s="815"/>
      <c r="P68" s="815"/>
      <c r="Q68" s="815"/>
      <c r="R68" s="811"/>
    </row>
    <row r="69" spans="2:18" ht="13.5" customHeight="1">
      <c r="B69" s="1144"/>
      <c r="C69" s="1144"/>
      <c r="D69" s="1145"/>
      <c r="E69" s="1145"/>
      <c r="F69" s="1145"/>
      <c r="G69" s="1426" t="s">
        <v>34</v>
      </c>
      <c r="H69" s="1426"/>
      <c r="I69" s="1426"/>
      <c r="J69" s="1426"/>
      <c r="K69" s="1426"/>
      <c r="L69" s="1426"/>
      <c r="M69" s="1064"/>
      <c r="N69" s="1426" t="s">
        <v>2800</v>
      </c>
      <c r="O69" s="1426"/>
      <c r="P69" s="1426"/>
      <c r="Q69" s="1426"/>
      <c r="R69" s="1426"/>
    </row>
    <row r="70" spans="2:18" ht="12.75" customHeight="1">
      <c r="B70" s="1125" t="s">
        <v>2631</v>
      </c>
      <c r="C70" s="1126" t="s">
        <v>40</v>
      </c>
      <c r="D70" s="1126" t="s">
        <v>42</v>
      </c>
      <c r="E70" s="1126" t="s">
        <v>2630</v>
      </c>
      <c r="F70" s="1126" t="s">
        <v>2629</v>
      </c>
      <c r="G70" s="916"/>
      <c r="H70" s="916"/>
      <c r="I70" s="821"/>
      <c r="J70" s="821"/>
      <c r="K70" s="820"/>
      <c r="L70" s="820"/>
      <c r="M70" s="819"/>
      <c r="N70" s="816"/>
      <c r="O70" s="815"/>
      <c r="P70" s="815"/>
      <c r="Q70" s="815"/>
      <c r="R70" s="811"/>
    </row>
    <row r="71" spans="2:18" ht="12.75" customHeight="1">
      <c r="B71" s="1108">
        <v>2012</v>
      </c>
      <c r="C71" s="1109">
        <f>VLOOKUP($X$10,Datos_Prog!$B$6:$Z$10,5,FALSE)</f>
        <v>2.6593656433524759</v>
      </c>
      <c r="D71" s="1109">
        <f>VLOOKUP($X$10,Datos_Prog!$B$6:$Z$10,6,FALSE)</f>
        <v>2.2298367768491301</v>
      </c>
      <c r="E71" s="1102">
        <f>IFERROR(+IF((D71/C71)&lt;1, (D71/C71), 100%)," ")</f>
        <v>0.8384844643018442</v>
      </c>
      <c r="F71" s="1110">
        <f>VLOOKUP($X$10,Datos_Prog!$B$6:$Z$10,14,FALSE)</f>
        <v>309242.35819499998</v>
      </c>
      <c r="G71" s="818"/>
      <c r="H71" s="817"/>
      <c r="I71" s="821"/>
      <c r="J71" s="821"/>
      <c r="K71" s="820"/>
      <c r="L71" s="820"/>
      <c r="M71" s="819"/>
      <c r="N71" s="816"/>
      <c r="O71" s="815"/>
      <c r="P71" s="815"/>
      <c r="Q71" s="815"/>
      <c r="R71" s="811"/>
    </row>
    <row r="72" spans="2:18" ht="12.75" customHeight="1">
      <c r="B72" s="1127">
        <v>2013</v>
      </c>
      <c r="C72" s="1109">
        <f>VLOOKUP($X$10,Datos_Prog!$B$6:$Z$10,7,FALSE)</f>
        <v>5.6377657060491044</v>
      </c>
      <c r="D72" s="1109">
        <f>VLOOKUP($X$10,Datos_Prog!$B$6:$Z$10,8,FALSE)</f>
        <v>4.4633621625513715</v>
      </c>
      <c r="E72" s="1113">
        <f>IFERROR(+IF((D72/C72)&lt;1, (D72/C72), 100%)," ")</f>
        <v>0.79168989902548748</v>
      </c>
      <c r="F72" s="1114">
        <f>VLOOKUP($X$10,Datos_Prog!$B$6:$Z$10,15,FALSE)</f>
        <v>346760.93192399997</v>
      </c>
      <c r="G72" s="818"/>
      <c r="H72" s="817"/>
      <c r="I72" s="821"/>
      <c r="J72" s="821"/>
      <c r="K72" s="820"/>
      <c r="L72" s="820"/>
      <c r="M72" s="819"/>
      <c r="N72" s="816"/>
      <c r="O72" s="815"/>
      <c r="P72" s="815"/>
      <c r="Q72" s="815"/>
      <c r="R72" s="811"/>
    </row>
    <row r="73" spans="2:18" ht="12.75" customHeight="1">
      <c r="B73" s="1108">
        <v>2014</v>
      </c>
      <c r="C73" s="1109">
        <f>VLOOKUP($X$10,Datos_Prog!$B$6:$Z$10,9,FALSE)</f>
        <v>5.1961853035912089</v>
      </c>
      <c r="D73" s="1109">
        <f>VLOOKUP($X$10,Datos_Prog!$B$6:$Z$10,10,FALSE)</f>
        <v>4.1817612173501768</v>
      </c>
      <c r="E73" s="1102">
        <f>IFERROR(+IF((D73/C73)&lt;1, (D73/C73), 100%)," ")</f>
        <v>0.80477522894729348</v>
      </c>
      <c r="F73" s="1110">
        <f>VLOOKUP($X$10,Datos_Prog!$B$6:$Z$10,16,FALSE)</f>
        <v>365478.12843200006</v>
      </c>
      <c r="G73" s="818"/>
      <c r="H73" s="817"/>
      <c r="I73" s="821"/>
      <c r="J73" s="821"/>
      <c r="K73" s="820"/>
      <c r="L73" s="820"/>
      <c r="M73" s="819"/>
      <c r="N73" s="816"/>
      <c r="O73" s="815"/>
      <c r="P73" s="815"/>
      <c r="Q73" s="815"/>
      <c r="R73" s="811"/>
    </row>
    <row r="74" spans="2:18" ht="12.75" customHeight="1">
      <c r="B74" s="1128">
        <v>2015</v>
      </c>
      <c r="C74" s="1109">
        <f>VLOOKUP($X$10,Datos_Prog!$B$6:$Z$10,11,FALSE)</f>
        <v>5.2683233470072022</v>
      </c>
      <c r="D74" s="1109">
        <f>VLOOKUP($X$10,Datos_Prog!$B$6:$Z$10,12,FALSE)</f>
        <v>3.8157830665564454</v>
      </c>
      <c r="E74" s="1113">
        <f>IFERROR(+IF((D74/C74)&lt;1, (D74/C74), 100%)," ")</f>
        <v>0.72428794043632361</v>
      </c>
      <c r="F74" s="1114">
        <f>VLOOKUP($X$10,Datos_Prog!$B$6:$Z$10,17,FALSE)</f>
        <v>238432.72781500002</v>
      </c>
      <c r="G74" s="818"/>
      <c r="H74" s="817"/>
      <c r="I74" s="821"/>
      <c r="J74" s="821"/>
      <c r="K74" s="820"/>
      <c r="L74" s="820"/>
      <c r="M74" s="819"/>
      <c r="N74" s="816"/>
      <c r="O74" s="815"/>
      <c r="P74" s="815"/>
      <c r="Q74" s="815"/>
      <c r="R74" s="811"/>
    </row>
    <row r="75" spans="2:18">
      <c r="B75" s="1123" t="s">
        <v>2628</v>
      </c>
      <c r="C75" s="1124">
        <f>SUM(C71:C74)</f>
        <v>18.761639999999993</v>
      </c>
      <c r="D75" s="1109">
        <f>VLOOKUP($X$10,Datos_Prog!$B$6:$Z$10,13,FALSE)</f>
        <v>17.67815347630966</v>
      </c>
      <c r="E75" s="1102">
        <f>IFERROR(+IF((D75/C75)&lt;1, (D75/C75), 100%)," ")</f>
        <v>0.94224990332986169</v>
      </c>
      <c r="F75" s="1119">
        <f>SUM(F71:F74)</f>
        <v>1259914.1463660002</v>
      </c>
      <c r="G75" s="818"/>
      <c r="H75" s="817"/>
      <c r="I75" s="816"/>
      <c r="J75" s="816"/>
      <c r="K75" s="816"/>
      <c r="L75" s="816"/>
      <c r="M75" s="816"/>
      <c r="N75" s="816"/>
      <c r="O75" s="815"/>
      <c r="P75" s="815"/>
      <c r="Q75" s="815"/>
      <c r="R75" s="811"/>
    </row>
    <row r="76" spans="2:18" ht="39.950000000000003" customHeight="1">
      <c r="B76" s="1450" t="s">
        <v>2627</v>
      </c>
      <c r="C76" s="1450"/>
      <c r="D76" s="1450"/>
      <c r="E76" s="1450"/>
      <c r="F76" s="1450"/>
      <c r="G76" s="818"/>
      <c r="H76" s="817"/>
      <c r="I76" s="816"/>
      <c r="J76" s="816"/>
      <c r="K76" s="816"/>
      <c r="L76" s="816"/>
      <c r="M76" s="816"/>
      <c r="N76" s="816"/>
      <c r="O76" s="815"/>
      <c r="P76" s="815"/>
      <c r="Q76" s="815"/>
      <c r="R76" s="811"/>
    </row>
    <row r="77" spans="2:18" ht="26.25" customHeight="1">
      <c r="B77" s="1422" t="str">
        <f>VLOOKUP($X$10,Datos_Prog!$B$6:$Z$10,19,FALSE)</f>
        <v>CUNDINAMARCA ES UN TERRITORIO MÁS SEGURO POR LA DISMINUCIÓN SIGNIFICATIVA DEL 26% DE LOS DELITOS.</v>
      </c>
      <c r="C77" s="1422"/>
      <c r="D77" s="1422"/>
      <c r="E77" s="1422"/>
      <c r="F77" s="1422"/>
      <c r="G77" s="1422"/>
      <c r="H77" s="1422"/>
      <c r="I77" s="1422"/>
      <c r="J77" s="1422"/>
      <c r="K77" s="1422"/>
      <c r="L77" s="1422"/>
      <c r="M77" s="1422"/>
      <c r="N77" s="1422"/>
      <c r="O77" s="1422"/>
      <c r="P77" s="1422"/>
      <c r="Q77" s="1422"/>
      <c r="R77" s="1422"/>
    </row>
    <row r="78" spans="2:18" ht="26.25" customHeight="1">
      <c r="B78" s="1423" t="str">
        <f>VLOOKUP($X$10,Datos_Prog!$B$6:$Z$10,20,FALSE)</f>
        <v>CUNDINAMARCA FUE CERTIFICADA BAJO LA NORMA INTERNACIONAL ISO 9001:2008 REGISTRO NUMERO SC-CER303297, LA NORMA NACIONAL NTCGP 1000:2009 REGISTRO NÚMERO GP-CER 303299 Y EL SELLO INTERNACIONAL IQNET CO-SC-CER303297.</v>
      </c>
      <c r="C78" s="1423"/>
      <c r="D78" s="1423"/>
      <c r="E78" s="1423"/>
      <c r="F78" s="1423"/>
      <c r="G78" s="1423"/>
      <c r="H78" s="1423"/>
      <c r="I78" s="1423"/>
      <c r="J78" s="1423"/>
      <c r="K78" s="1423"/>
      <c r="L78" s="1423"/>
      <c r="M78" s="1423"/>
      <c r="N78" s="1423"/>
      <c r="O78" s="1423"/>
      <c r="P78" s="1423"/>
      <c r="Q78" s="1423"/>
      <c r="R78" s="1423"/>
    </row>
    <row r="79" spans="2:18" ht="26.25" customHeight="1">
      <c r="B79" s="1422" t="str">
        <f>VLOOKUP($X$10,Datos_Prog!$B$6:$Z$10,21,FALSE)</f>
        <v>EL DEPARTAMENTO DE CUNDINAMARCA MANTUVO SU CALIFICACIÓN DE RIESGOS DE LA DEUDA PÚBLICA AA+, GARANTIZANDO LA ESTABILIDAD TRIBUTARIA Y LA SOSTENIBILIDAD FISCAL EN EL LARGO PLAZO.</v>
      </c>
      <c r="C79" s="1422"/>
      <c r="D79" s="1422"/>
      <c r="E79" s="1422"/>
      <c r="F79" s="1422"/>
      <c r="G79" s="1422"/>
      <c r="H79" s="1422"/>
      <c r="I79" s="1422"/>
      <c r="J79" s="1422"/>
      <c r="K79" s="1422"/>
      <c r="L79" s="1422"/>
      <c r="M79" s="1422"/>
      <c r="N79" s="1422"/>
      <c r="O79" s="1422"/>
      <c r="P79" s="1422"/>
      <c r="Q79" s="1422"/>
      <c r="R79" s="1422"/>
    </row>
    <row r="80" spans="2:18" ht="26.25" customHeight="1">
      <c r="B80" s="1423" t="str">
        <f>VLOOKUP($X$10,Datos_Prog!$B$6:$Z$10,22,FALSE)</f>
        <v>CUNDINAMARCA SE CONSOLIDA COMO UNA ENTIDAD FINANCIERAMENTE SOSTENIBLE OCUPO EL 1ER PUESTO DE DESEMPEÑO FISCAL SEGÚN RANKING PUBLICADO EN EL 2014 POR PARTE DEL DNP.</v>
      </c>
      <c r="C80" s="1423"/>
      <c r="D80" s="1423"/>
      <c r="E80" s="1423"/>
      <c r="F80" s="1423"/>
      <c r="G80" s="1423"/>
      <c r="H80" s="1423"/>
      <c r="I80" s="1423"/>
      <c r="J80" s="1423"/>
      <c r="K80" s="1423"/>
      <c r="L80" s="1423"/>
      <c r="M80" s="1423"/>
      <c r="N80" s="1423"/>
      <c r="O80" s="1423"/>
      <c r="P80" s="1423"/>
      <c r="Q80" s="1423"/>
      <c r="R80" s="1423"/>
    </row>
    <row r="81" spans="1:18" ht="26.25" customHeight="1">
      <c r="B81" s="1422" t="str">
        <f>VLOOKUP($X$10,Datos_Prog!$B$6:$Z$10,23,FALSE)</f>
        <v>“PREMIO INGENIO COLOMBIA 2014” EN LA CATEGORÍA GOBIERNO”, ORGANIZADO POR LA FEDERACIÓN COLOMBIANA DE LA INDUSTRIA DE SOFTWARE Y SERVICIOS ASOCIADOS –FEDESOFT-, POR LA INICIATIVA DE LA HISTORIA CLÍNICA ELECTRÓNICA UNIFICADA (HCEU) RECONOCIDA COMO LA MEJOR INICIATIVA COLOMBIANA EN INNOVACIÓN DE SOFTWARE CON EXCELENTES RESULTADOS Y ALTO IMPACTO.</v>
      </c>
      <c r="C81" s="1422"/>
      <c r="D81" s="1422"/>
      <c r="E81" s="1422"/>
      <c r="F81" s="1422"/>
      <c r="G81" s="1422"/>
      <c r="H81" s="1422"/>
      <c r="I81" s="1422"/>
      <c r="J81" s="1422"/>
      <c r="K81" s="1422"/>
      <c r="L81" s="1422"/>
      <c r="M81" s="1422"/>
      <c r="N81" s="1422"/>
      <c r="O81" s="1422"/>
      <c r="P81" s="1422"/>
      <c r="Q81" s="1422"/>
      <c r="R81" s="1422"/>
    </row>
    <row r="82" spans="1:18">
      <c r="B82" s="814"/>
      <c r="C82" s="814"/>
      <c r="D82" s="813"/>
      <c r="E82" s="813"/>
      <c r="F82" s="813"/>
      <c r="G82" s="812"/>
      <c r="H82" s="812"/>
      <c r="I82" s="812"/>
      <c r="J82" s="812"/>
      <c r="K82" s="812"/>
      <c r="L82" s="812"/>
      <c r="M82" s="812"/>
      <c r="N82" s="812"/>
      <c r="O82" s="811"/>
      <c r="P82" s="811"/>
      <c r="Q82" s="811"/>
      <c r="R82" s="811"/>
    </row>
    <row r="83" spans="1:18" ht="18.75">
      <c r="A83" s="1459" t="str">
        <f>VLOOKUP($X$11,Datos_Prog!$B$6:$Z$11,2,FALSE)</f>
        <v>PDD</v>
      </c>
      <c r="B83" s="1459"/>
      <c r="C83" s="1459"/>
      <c r="D83" s="1459"/>
      <c r="E83" s="1459"/>
      <c r="F83" s="1459"/>
      <c r="G83" s="1459"/>
      <c r="H83" s="1459"/>
      <c r="I83" s="1459"/>
      <c r="J83" s="1459"/>
      <c r="K83" s="1459"/>
      <c r="L83" s="1459"/>
      <c r="M83" s="1459"/>
      <c r="N83" s="1459"/>
      <c r="O83" s="1459"/>
      <c r="P83" s="1459"/>
      <c r="Q83" s="1459"/>
      <c r="R83" s="1459"/>
    </row>
    <row r="84" spans="1:18" ht="6" customHeight="1">
      <c r="B84" s="806"/>
      <c r="C84" s="806"/>
      <c r="D84" s="805"/>
      <c r="E84" s="805"/>
      <c r="F84" s="805"/>
      <c r="G84" s="804"/>
      <c r="H84" s="804"/>
      <c r="I84" s="804"/>
      <c r="J84" s="804"/>
      <c r="K84" s="804"/>
      <c r="L84" s="804"/>
      <c r="M84" s="804"/>
      <c r="N84" s="804"/>
      <c r="O84" s="803"/>
      <c r="P84" s="803"/>
      <c r="Q84" s="803"/>
      <c r="R84" s="803"/>
    </row>
    <row r="85" spans="1:18" ht="18.75">
      <c r="G85" s="1457" t="s">
        <v>34</v>
      </c>
      <c r="H85" s="1457"/>
      <c r="I85" s="1457"/>
      <c r="J85" s="1457"/>
      <c r="K85" s="1457"/>
      <c r="L85" s="1457"/>
      <c r="M85" s="1066"/>
      <c r="N85" s="1426" t="s">
        <v>2800</v>
      </c>
      <c r="O85" s="1426"/>
      <c r="P85" s="1426"/>
      <c r="Q85" s="1426"/>
      <c r="R85" s="1426"/>
    </row>
    <row r="86" spans="1:18" ht="16.5">
      <c r="B86" s="1125" t="s">
        <v>2631</v>
      </c>
      <c r="C86" s="1126" t="s">
        <v>40</v>
      </c>
      <c r="D86" s="1126" t="s">
        <v>42</v>
      </c>
      <c r="E86" s="1126" t="s">
        <v>2630</v>
      </c>
      <c r="F86" s="1126" t="s">
        <v>2629</v>
      </c>
      <c r="G86" s="1043"/>
      <c r="H86" s="1043"/>
      <c r="I86" s="804"/>
      <c r="J86" s="804"/>
      <c r="K86" s="804"/>
      <c r="L86" s="804"/>
      <c r="M86" s="804"/>
      <c r="N86" s="804"/>
      <c r="O86" s="803"/>
      <c r="P86" s="803"/>
      <c r="Q86" s="803"/>
      <c r="R86" s="803"/>
    </row>
    <row r="87" spans="1:18">
      <c r="B87" s="1108">
        <v>2012</v>
      </c>
      <c r="C87" s="1109">
        <f>VLOOKUP($X$11,Datos_Prog!$B$6:$Z$11,5,FALSE)</f>
        <v>15.08014381559893</v>
      </c>
      <c r="D87" s="1109">
        <f>VLOOKUP($X$11,Datos_Prog!$B$6:$Z$11,6,FALSE)</f>
        <v>12.809558778257392</v>
      </c>
      <c r="E87" s="1102">
        <f>IFERROR(+IF((D87/C87)&lt;1, (D87/C87), 100%)," ")</f>
        <v>0.84943213638368353</v>
      </c>
      <c r="F87" s="1110">
        <f>VLOOKUP($X$11,Datos_Prog!$B$6:$Z$11,14,FALSE)</f>
        <v>1317429.236973</v>
      </c>
      <c r="G87" s="818"/>
      <c r="H87" s="817"/>
      <c r="I87" s="804"/>
      <c r="J87" s="804"/>
      <c r="K87" s="804"/>
      <c r="L87" s="804"/>
      <c r="M87" s="804"/>
      <c r="N87" s="804"/>
      <c r="O87" s="803"/>
      <c r="P87" s="803"/>
      <c r="Q87" s="803"/>
      <c r="R87" s="803"/>
    </row>
    <row r="88" spans="1:18">
      <c r="B88" s="1127">
        <v>2013</v>
      </c>
      <c r="C88" s="1109">
        <f>VLOOKUP($X$11,Datos_Prog!$B$6:$Z$11,7,FALSE)</f>
        <v>27.606950557963707</v>
      </c>
      <c r="D88" s="1109">
        <f>VLOOKUP($X$11,Datos_Prog!$B$6:$Z$11,8,FALSE)</f>
        <v>24.238273100887717</v>
      </c>
      <c r="E88" s="1113">
        <f>IFERROR(+IF((D88/C88)&lt;1, (D88/C88), 100%)," ")</f>
        <v>0.8779771981696024</v>
      </c>
      <c r="F88" s="1114">
        <f>VLOOKUP($X$11,Datos_Prog!$B$6:$Z$11,15,FALSE)</f>
        <v>1373429.3556919999</v>
      </c>
      <c r="G88" s="818"/>
      <c r="H88" s="817"/>
      <c r="I88" s="804"/>
      <c r="J88" s="804"/>
      <c r="K88" s="804"/>
      <c r="L88" s="804"/>
      <c r="M88" s="804"/>
      <c r="N88" s="804"/>
      <c r="O88" s="803"/>
      <c r="P88" s="803"/>
      <c r="Q88" s="803"/>
      <c r="R88" s="803"/>
    </row>
    <row r="89" spans="1:18">
      <c r="B89" s="1108">
        <v>2014</v>
      </c>
      <c r="C89" s="1109">
        <f>VLOOKUP($X$11,Datos_Prog!$B$6:$Z$11,9,FALSE)</f>
        <v>28.403842602792622</v>
      </c>
      <c r="D89" s="1109">
        <f>VLOOKUP($X$11,Datos_Prog!$B$6:$Z$11,10,FALSE)</f>
        <v>23.875222343343651</v>
      </c>
      <c r="E89" s="1102">
        <f>IFERROR(+IF((D89/C89)&lt;1, (D89/C89), 100%)," ")</f>
        <v>0.84056311243593063</v>
      </c>
      <c r="F89" s="1110">
        <f>VLOOKUP($X$11,Datos_Prog!$B$6:$Z$11,16,FALSE)</f>
        <v>1499761.8954100001</v>
      </c>
      <c r="G89" s="818"/>
      <c r="H89" s="817"/>
      <c r="I89" s="828"/>
      <c r="J89" s="804"/>
      <c r="K89" s="804"/>
      <c r="L89" s="804"/>
      <c r="M89" s="804"/>
      <c r="N89" s="804"/>
      <c r="O89" s="803"/>
      <c r="P89" s="803"/>
      <c r="Q89" s="803"/>
      <c r="R89" s="803"/>
    </row>
    <row r="90" spans="1:18">
      <c r="B90" s="1128">
        <v>2015</v>
      </c>
      <c r="C90" s="1109">
        <f>VLOOKUP($X$11,Datos_Prog!$B$6:$Z$11,11,FALSE)</f>
        <v>28.913863023644666</v>
      </c>
      <c r="D90" s="1109">
        <f>VLOOKUP($X$11,Datos_Prog!$B$6:$Z$11,12,FALSE)</f>
        <v>21.855951980382439</v>
      </c>
      <c r="E90" s="1113">
        <f>IFERROR(+IF((D90/C90)&lt;1, (D90/C90), 100%)," ")</f>
        <v>0.75589871759818006</v>
      </c>
      <c r="F90" s="1114">
        <f>VLOOKUP($X$11,Datos_Prog!$B$6:$Z$11,17,FALSE)</f>
        <v>1159628.3406170001</v>
      </c>
      <c r="G90" s="818"/>
      <c r="H90" s="817"/>
      <c r="I90" s="828"/>
      <c r="J90" s="804"/>
      <c r="K90" s="804"/>
      <c r="L90" s="804"/>
      <c r="M90" s="804"/>
      <c r="N90" s="804"/>
      <c r="O90" s="803"/>
      <c r="P90" s="803"/>
      <c r="Q90" s="803"/>
      <c r="R90" s="803"/>
    </row>
    <row r="91" spans="1:18">
      <c r="B91" s="1123" t="s">
        <v>2628</v>
      </c>
      <c r="C91" s="1109">
        <f>SUM(C87:C90)</f>
        <v>100.00479999999993</v>
      </c>
      <c r="D91" s="1109">
        <f>VLOOKUP($X$11,Datos_Prog!$B$6:$Z$11,13,FALSE)</f>
        <v>94.272286843261867</v>
      </c>
      <c r="E91" s="1129">
        <f>IFERROR(+IF((D91/C91)&lt;1, (D91/C91), 100%)," ")</f>
        <v>0.94267761990686383</v>
      </c>
      <c r="F91" s="1119">
        <f>SUM(F87:F90)</f>
        <v>5350248.8286920004</v>
      </c>
      <c r="G91" s="818"/>
      <c r="H91" s="817"/>
      <c r="I91" s="828"/>
      <c r="J91" s="804"/>
      <c r="K91" s="804"/>
      <c r="L91" s="804"/>
      <c r="M91" s="804"/>
      <c r="N91" s="804"/>
      <c r="O91" s="803"/>
      <c r="P91" s="803"/>
      <c r="Q91" s="803"/>
      <c r="R91" s="803"/>
    </row>
    <row r="92" spans="1:18">
      <c r="B92" s="809" t="s">
        <v>2627</v>
      </c>
      <c r="C92" s="808"/>
      <c r="D92" s="808"/>
      <c r="E92" s="807"/>
      <c r="F92" s="808"/>
      <c r="G92" s="818"/>
      <c r="H92" s="817"/>
      <c r="I92" s="828"/>
      <c r="J92" s="804"/>
      <c r="K92" s="804"/>
      <c r="L92" s="804"/>
      <c r="M92" s="804"/>
      <c r="N92" s="804"/>
      <c r="O92" s="803"/>
      <c r="P92" s="803"/>
      <c r="Q92" s="803"/>
      <c r="R92" s="803"/>
    </row>
    <row r="93" spans="1:18" ht="46.5" customHeight="1">
      <c r="B93" s="1078"/>
      <c r="C93" s="1078"/>
      <c r="D93" s="1078"/>
      <c r="E93" s="1078"/>
      <c r="F93" s="1078"/>
      <c r="G93" s="1078"/>
      <c r="H93" s="1078"/>
      <c r="I93" s="1013"/>
      <c r="J93" s="1013"/>
      <c r="K93" s="804"/>
      <c r="L93" s="804"/>
      <c r="M93" s="804"/>
      <c r="N93" s="804"/>
      <c r="O93" s="803"/>
      <c r="P93" s="803"/>
      <c r="Q93" s="803"/>
      <c r="R93" s="803"/>
    </row>
    <row r="94" spans="1:18">
      <c r="B94" s="1011"/>
      <c r="C94" s="1011"/>
      <c r="D94" s="1012"/>
      <c r="E94" s="1012"/>
      <c r="F94" s="1012"/>
      <c r="G94" s="1013"/>
      <c r="H94" s="1013"/>
      <c r="I94" s="1013"/>
      <c r="J94" s="1013"/>
      <c r="K94" s="804"/>
      <c r="L94" s="804"/>
      <c r="M94" s="804"/>
      <c r="N94" s="804"/>
      <c r="O94" s="803"/>
      <c r="P94" s="803"/>
      <c r="Q94" s="803"/>
      <c r="R94" s="803"/>
    </row>
    <row r="95" spans="1:18">
      <c r="B95" s="1011">
        <v>2012</v>
      </c>
      <c r="C95" s="1014">
        <f>+C87</f>
        <v>15.08014381559893</v>
      </c>
      <c r="D95" s="1015">
        <f>+D87/$C$98</f>
        <v>0.12808943948947851</v>
      </c>
      <c r="E95" s="1015">
        <f>+D95</f>
        <v>0.12808943948947851</v>
      </c>
      <c r="F95" s="1012"/>
      <c r="G95" s="1016">
        <f>+F87</f>
        <v>1317429.236973</v>
      </c>
      <c r="H95" s="1013"/>
      <c r="I95" s="1013"/>
      <c r="J95" s="1013"/>
      <c r="K95" s="804"/>
      <c r="L95" s="804"/>
      <c r="M95" s="804"/>
      <c r="N95" s="804"/>
      <c r="O95" s="803"/>
      <c r="P95" s="803"/>
      <c r="Q95" s="803"/>
      <c r="R95" s="803"/>
    </row>
    <row r="96" spans="1:18">
      <c r="B96" s="1011">
        <v>2013</v>
      </c>
      <c r="C96" s="1014">
        <f>+C95+C88</f>
        <v>42.687094373562637</v>
      </c>
      <c r="D96" s="1015">
        <f>+D88/$C$98</f>
        <v>0.24237109719621192</v>
      </c>
      <c r="E96" s="1015">
        <f>+E95+D96</f>
        <v>0.37046053668569046</v>
      </c>
      <c r="F96" s="1012"/>
      <c r="G96" s="1016">
        <f>+G95+F88</f>
        <v>2690858.5926649999</v>
      </c>
      <c r="H96" s="1013"/>
      <c r="I96" s="1013"/>
      <c r="J96" s="1013"/>
      <c r="K96" s="804"/>
      <c r="L96" s="804"/>
      <c r="M96" s="804"/>
      <c r="N96" s="804"/>
      <c r="O96" s="803"/>
      <c r="P96" s="803"/>
      <c r="Q96" s="803"/>
      <c r="R96" s="803"/>
    </row>
    <row r="97" spans="2:18">
      <c r="B97" s="1011">
        <v>2014</v>
      </c>
      <c r="C97" s="1014">
        <f>+C96+C89</f>
        <v>71.090936976355266</v>
      </c>
      <c r="D97" s="1015">
        <f>+D89/$C$98</f>
        <v>0.2387407638767706</v>
      </c>
      <c r="E97" s="1015">
        <f>+E96+D97</f>
        <v>0.60920130056246102</v>
      </c>
      <c r="F97" s="1012"/>
      <c r="G97" s="1016">
        <f>+G96+F89</f>
        <v>4190620.4880750002</v>
      </c>
      <c r="H97" s="1013"/>
      <c r="I97" s="1013"/>
      <c r="J97" s="1013"/>
      <c r="K97" s="804"/>
      <c r="L97" s="804"/>
      <c r="M97" s="804"/>
      <c r="N97" s="804"/>
      <c r="O97" s="803"/>
      <c r="P97" s="803"/>
      <c r="Q97" s="803"/>
      <c r="R97" s="803"/>
    </row>
    <row r="98" spans="2:18">
      <c r="B98" s="1011">
        <v>2015</v>
      </c>
      <c r="C98" s="1014">
        <f>+C97+C90</f>
        <v>100.00479999999993</v>
      </c>
      <c r="D98" s="1015">
        <f>+D90/$C$98</f>
        <v>0.21854902945041091</v>
      </c>
      <c r="E98" s="1015">
        <f>+D91/100</f>
        <v>0.94272286843261865</v>
      </c>
      <c r="F98" s="1012"/>
      <c r="G98" s="1016">
        <f>+G97+F90</f>
        <v>5350248.8286920004</v>
      </c>
      <c r="H98" s="1013"/>
      <c r="I98" s="1013"/>
      <c r="J98" s="1013"/>
      <c r="K98" s="804"/>
      <c r="L98" s="804"/>
      <c r="M98" s="804"/>
      <c r="N98" s="804"/>
      <c r="O98" s="803"/>
      <c r="P98" s="803"/>
      <c r="Q98" s="803"/>
      <c r="R98" s="803"/>
    </row>
    <row r="99" spans="2:18">
      <c r="B99" s="1011"/>
      <c r="C99" s="1011"/>
      <c r="D99" s="1012"/>
      <c r="E99" s="1012"/>
      <c r="F99" s="1012"/>
      <c r="G99" s="1013"/>
      <c r="H99" s="1013"/>
      <c r="I99" s="1013"/>
      <c r="J99" s="1013"/>
      <c r="K99" s="1013"/>
      <c r="L99" s="1013"/>
      <c r="M99" s="1013"/>
      <c r="N99" s="1013"/>
      <c r="O99" s="1079"/>
      <c r="P99" s="1079"/>
      <c r="Q99" s="1079"/>
      <c r="R99" s="1079"/>
    </row>
    <row r="100" spans="2:18">
      <c r="B100" s="1011"/>
      <c r="C100" s="1011"/>
      <c r="D100" s="1012"/>
      <c r="E100" s="1012"/>
      <c r="F100" s="1012"/>
      <c r="G100" s="1013"/>
      <c r="H100" s="1013"/>
      <c r="I100" s="1013"/>
      <c r="J100" s="1013"/>
      <c r="K100" s="1013"/>
      <c r="L100" s="1013"/>
      <c r="M100" s="1013"/>
      <c r="N100" s="1013"/>
      <c r="O100" s="1079"/>
      <c r="P100" s="1079"/>
      <c r="Q100" s="1079"/>
      <c r="R100" s="1079"/>
    </row>
    <row r="101" spans="2:18">
      <c r="B101" s="1144"/>
      <c r="C101" s="1144"/>
      <c r="D101" s="1145"/>
      <c r="E101" s="1145"/>
      <c r="F101" s="1145"/>
      <c r="G101" s="1146"/>
      <c r="H101" s="1146"/>
      <c r="I101" s="1146"/>
      <c r="J101" s="1146"/>
      <c r="K101" s="1146"/>
      <c r="L101" s="1146"/>
      <c r="M101" s="1146"/>
      <c r="N101" s="1146"/>
      <c r="O101" s="867"/>
      <c r="P101" s="867"/>
      <c r="Q101" s="867"/>
      <c r="R101" s="867"/>
    </row>
    <row r="102" spans="2:18">
      <c r="B102" s="1144"/>
      <c r="C102" s="1144"/>
      <c r="D102" s="1145"/>
      <c r="E102" s="1145"/>
      <c r="F102" s="1145"/>
      <c r="G102" s="1146"/>
      <c r="H102" s="1146"/>
      <c r="I102" s="1146"/>
      <c r="J102" s="1146"/>
      <c r="K102" s="1146"/>
      <c r="L102" s="1146"/>
      <c r="M102" s="1146"/>
      <c r="N102" s="1146"/>
      <c r="O102" s="867"/>
      <c r="P102" s="867"/>
      <c r="Q102" s="867"/>
      <c r="R102" s="867"/>
    </row>
    <row r="103" spans="2:18">
      <c r="B103" s="1144"/>
      <c r="C103" s="1144"/>
      <c r="D103" s="1145"/>
      <c r="E103" s="1145"/>
      <c r="F103" s="1145"/>
      <c r="G103" s="1146"/>
      <c r="H103" s="1146"/>
      <c r="I103" s="1146"/>
      <c r="J103" s="1146"/>
      <c r="K103" s="1146"/>
      <c r="L103" s="1146"/>
      <c r="M103" s="1146"/>
      <c r="N103" s="1146"/>
      <c r="O103" s="867"/>
      <c r="P103" s="867"/>
      <c r="Q103" s="867"/>
      <c r="R103" s="867"/>
    </row>
    <row r="104" spans="2:18">
      <c r="B104" s="1144"/>
      <c r="C104" s="1144"/>
      <c r="D104" s="1145"/>
      <c r="E104" s="1145"/>
      <c r="F104" s="1145"/>
      <c r="G104" s="1146"/>
      <c r="H104" s="1146"/>
      <c r="I104" s="1146"/>
      <c r="J104" s="1146"/>
      <c r="K104" s="1146"/>
      <c r="L104" s="1146"/>
      <c r="M104" s="1146"/>
      <c r="N104" s="1146"/>
      <c r="O104" s="867"/>
      <c r="P104" s="867"/>
      <c r="Q104" s="867"/>
      <c r="R104" s="867"/>
    </row>
    <row r="105" spans="2:18">
      <c r="B105" s="1144"/>
      <c r="C105" s="1144"/>
      <c r="D105" s="1145"/>
      <c r="E105" s="1145"/>
      <c r="F105" s="1145"/>
      <c r="G105" s="1146"/>
      <c r="H105" s="1146"/>
      <c r="I105" s="1146"/>
      <c r="J105" s="1146"/>
      <c r="K105" s="1146"/>
      <c r="L105" s="1146"/>
      <c r="M105" s="1146"/>
      <c r="N105" s="1146"/>
      <c r="O105" s="867"/>
      <c r="P105" s="867"/>
      <c r="Q105" s="867"/>
      <c r="R105" s="867"/>
    </row>
    <row r="106" spans="2:18">
      <c r="B106" s="1144"/>
      <c r="C106" s="1144"/>
      <c r="D106" s="1145"/>
      <c r="E106" s="1145"/>
      <c r="F106" s="1145"/>
      <c r="G106" s="1146"/>
      <c r="H106" s="1146"/>
      <c r="I106" s="1146"/>
      <c r="J106" s="1146"/>
      <c r="K106" s="1146"/>
      <c r="L106" s="1146"/>
      <c r="M106" s="1146"/>
      <c r="N106" s="1146"/>
      <c r="O106" s="867"/>
      <c r="P106" s="867"/>
      <c r="Q106" s="867"/>
      <c r="R106" s="867"/>
    </row>
    <row r="107" spans="2:18"/>
    <row r="108" spans="2:18"/>
  </sheetData>
  <sheetProtection algorithmName="SHA-512" hashValue="QiOdZ96VIi0ZP4xrQ/SDCQ3PuMApiBQXtFqWP1rpUtTJxUXkZStpyo2+IQnHB5wYMxOFtKhRZpMBX/YDNKbt0A==" saltValue="fsieILo9jP2BP5yj8RCFGw==" spinCount="100000" sheet="1" objects="1" scenarios="1" formatCells="0" formatColumns="0" formatRows="0"/>
  <mergeCells count="54">
    <mergeCell ref="N85:R85"/>
    <mergeCell ref="N69:R69"/>
    <mergeCell ref="N37:R37"/>
    <mergeCell ref="N53:R53"/>
    <mergeCell ref="G69:L69"/>
    <mergeCell ref="G85:L85"/>
    <mergeCell ref="G53:L53"/>
    <mergeCell ref="B45:R45"/>
    <mergeCell ref="B46:R46"/>
    <mergeCell ref="B47:R47"/>
    <mergeCell ref="B67:R67"/>
    <mergeCell ref="A83:R83"/>
    <mergeCell ref="B81:R81"/>
    <mergeCell ref="B76:F76"/>
    <mergeCell ref="B63:R63"/>
    <mergeCell ref="B64:R64"/>
    <mergeCell ref="B28:F28"/>
    <mergeCell ref="B29:R29"/>
    <mergeCell ref="Y6:AF6"/>
    <mergeCell ref="B8:R8"/>
    <mergeCell ref="Y8:AE8"/>
    <mergeCell ref="Y9:AE9"/>
    <mergeCell ref="Y10:AG10"/>
    <mergeCell ref="O22:P22"/>
    <mergeCell ref="O23:P23"/>
    <mergeCell ref="B19:R19"/>
    <mergeCell ref="B60:F60"/>
    <mergeCell ref="H34:M34"/>
    <mergeCell ref="N34:R34"/>
    <mergeCell ref="L18:Q18"/>
    <mergeCell ref="B1:Q1"/>
    <mergeCell ref="B2:Q2"/>
    <mergeCell ref="E3:O3"/>
    <mergeCell ref="F5:O5"/>
    <mergeCell ref="N21:R21"/>
    <mergeCell ref="B18:G18"/>
    <mergeCell ref="G21:M21"/>
    <mergeCell ref="B30:R30"/>
    <mergeCell ref="B31:R31"/>
    <mergeCell ref="B32:R32"/>
    <mergeCell ref="B33:R33"/>
    <mergeCell ref="B34:G34"/>
    <mergeCell ref="G37:K37"/>
    <mergeCell ref="B35:R35"/>
    <mergeCell ref="B51:R51"/>
    <mergeCell ref="B48:R48"/>
    <mergeCell ref="B49:R49"/>
    <mergeCell ref="B79:R79"/>
    <mergeCell ref="B80:R80"/>
    <mergeCell ref="B61:R61"/>
    <mergeCell ref="B62:R62"/>
    <mergeCell ref="B77:R77"/>
    <mergeCell ref="B65:R65"/>
    <mergeCell ref="B78:R78"/>
  </mergeCells>
  <dataValidations disablePrompts="1" count="2">
    <dataValidation type="list" allowBlank="1" showInputMessage="1" showErrorMessage="1" sqref="P4:R4 JL4:JN4 TH4:TJ4 ADD4:ADF4 AMZ4:ANB4 AWV4:AWX4 BGR4:BGT4 BQN4:BQP4 CAJ4:CAL4 CKF4:CKH4 CUB4:CUD4 DDX4:DDZ4 DNT4:DNV4 DXP4:DXR4 EHL4:EHN4 ERH4:ERJ4 FBD4:FBF4 FKZ4:FLB4 FUV4:FUX4 GER4:GET4 GON4:GOP4 GYJ4:GYL4 HIF4:HIH4 HSB4:HSD4 IBX4:IBZ4 ILT4:ILV4 IVP4:IVR4 JFL4:JFN4 JPH4:JPJ4 JZD4:JZF4 KIZ4:KJB4 KSV4:KSX4 LCR4:LCT4 LMN4:LMP4 LWJ4:LWL4 MGF4:MGH4 MQB4:MQD4 MZX4:MZZ4 NJT4:NJV4 NTP4:NTR4 ODL4:ODN4 ONH4:ONJ4 OXD4:OXF4 PGZ4:PHB4 PQV4:PQX4 QAR4:QAT4 QKN4:QKP4 QUJ4:QUL4 REF4:REH4 ROB4:ROD4 RXX4:RXZ4 SHT4:SHV4 SRP4:SRR4 TBL4:TBN4 TLH4:TLJ4 TVD4:TVF4 UEZ4:UFB4 UOV4:UOX4 UYR4:UYT4 VIN4:VIP4 VSJ4:VSL4 WCF4:WCH4 WMB4:WMD4 WVX4:WVZ4 P65555:R65555 JL65555:JN65555 TH65555:TJ65555 ADD65555:ADF65555 AMZ65555:ANB65555 AWV65555:AWX65555 BGR65555:BGT65555 BQN65555:BQP65555 CAJ65555:CAL65555 CKF65555:CKH65555 CUB65555:CUD65555 DDX65555:DDZ65555 DNT65555:DNV65555 DXP65555:DXR65555 EHL65555:EHN65555 ERH65555:ERJ65555 FBD65555:FBF65555 FKZ65555:FLB65555 FUV65555:FUX65555 GER65555:GET65555 GON65555:GOP65555 GYJ65555:GYL65555 HIF65555:HIH65555 HSB65555:HSD65555 IBX65555:IBZ65555 ILT65555:ILV65555 IVP65555:IVR65555 JFL65555:JFN65555 JPH65555:JPJ65555 JZD65555:JZF65555 KIZ65555:KJB65555 KSV65555:KSX65555 LCR65555:LCT65555 LMN65555:LMP65555 LWJ65555:LWL65555 MGF65555:MGH65555 MQB65555:MQD65555 MZX65555:MZZ65555 NJT65555:NJV65555 NTP65555:NTR65555 ODL65555:ODN65555 ONH65555:ONJ65555 OXD65555:OXF65555 PGZ65555:PHB65555 PQV65555:PQX65555 QAR65555:QAT65555 QKN65555:QKP65555 QUJ65555:QUL65555 REF65555:REH65555 ROB65555:ROD65555 RXX65555:RXZ65555 SHT65555:SHV65555 SRP65555:SRR65555 TBL65555:TBN65555 TLH65555:TLJ65555 TVD65555:TVF65555 UEZ65555:UFB65555 UOV65555:UOX65555 UYR65555:UYT65555 VIN65555:VIP65555 VSJ65555:VSL65555 WCF65555:WCH65555 WMB65555:WMD65555 WVX65555:WVZ65555 P131091:R131091 JL131091:JN131091 TH131091:TJ131091 ADD131091:ADF131091 AMZ131091:ANB131091 AWV131091:AWX131091 BGR131091:BGT131091 BQN131091:BQP131091 CAJ131091:CAL131091 CKF131091:CKH131091 CUB131091:CUD131091 DDX131091:DDZ131091 DNT131091:DNV131091 DXP131091:DXR131091 EHL131091:EHN131091 ERH131091:ERJ131091 FBD131091:FBF131091 FKZ131091:FLB131091 FUV131091:FUX131091 GER131091:GET131091 GON131091:GOP131091 GYJ131091:GYL131091 HIF131091:HIH131091 HSB131091:HSD131091 IBX131091:IBZ131091 ILT131091:ILV131091 IVP131091:IVR131091 JFL131091:JFN131091 JPH131091:JPJ131091 JZD131091:JZF131091 KIZ131091:KJB131091 KSV131091:KSX131091 LCR131091:LCT131091 LMN131091:LMP131091 LWJ131091:LWL131091 MGF131091:MGH131091 MQB131091:MQD131091 MZX131091:MZZ131091 NJT131091:NJV131091 NTP131091:NTR131091 ODL131091:ODN131091 ONH131091:ONJ131091 OXD131091:OXF131091 PGZ131091:PHB131091 PQV131091:PQX131091 QAR131091:QAT131091 QKN131091:QKP131091 QUJ131091:QUL131091 REF131091:REH131091 ROB131091:ROD131091 RXX131091:RXZ131091 SHT131091:SHV131091 SRP131091:SRR131091 TBL131091:TBN131091 TLH131091:TLJ131091 TVD131091:TVF131091 UEZ131091:UFB131091 UOV131091:UOX131091 UYR131091:UYT131091 VIN131091:VIP131091 VSJ131091:VSL131091 WCF131091:WCH131091 WMB131091:WMD131091 WVX131091:WVZ131091 P196627:R196627 JL196627:JN196627 TH196627:TJ196627 ADD196627:ADF196627 AMZ196627:ANB196627 AWV196627:AWX196627 BGR196627:BGT196627 BQN196627:BQP196627 CAJ196627:CAL196627 CKF196627:CKH196627 CUB196627:CUD196627 DDX196627:DDZ196627 DNT196627:DNV196627 DXP196627:DXR196627 EHL196627:EHN196627 ERH196627:ERJ196627 FBD196627:FBF196627 FKZ196627:FLB196627 FUV196627:FUX196627 GER196627:GET196627 GON196627:GOP196627 GYJ196627:GYL196627 HIF196627:HIH196627 HSB196627:HSD196627 IBX196627:IBZ196627 ILT196627:ILV196627 IVP196627:IVR196627 JFL196627:JFN196627 JPH196627:JPJ196627 JZD196627:JZF196627 KIZ196627:KJB196627 KSV196627:KSX196627 LCR196627:LCT196627 LMN196627:LMP196627 LWJ196627:LWL196627 MGF196627:MGH196627 MQB196627:MQD196627 MZX196627:MZZ196627 NJT196627:NJV196627 NTP196627:NTR196627 ODL196627:ODN196627 ONH196627:ONJ196627 OXD196627:OXF196627 PGZ196627:PHB196627 PQV196627:PQX196627 QAR196627:QAT196627 QKN196627:QKP196627 QUJ196627:QUL196627 REF196627:REH196627 ROB196627:ROD196627 RXX196627:RXZ196627 SHT196627:SHV196627 SRP196627:SRR196627 TBL196627:TBN196627 TLH196627:TLJ196627 TVD196627:TVF196627 UEZ196627:UFB196627 UOV196627:UOX196627 UYR196627:UYT196627 VIN196627:VIP196627 VSJ196627:VSL196627 WCF196627:WCH196627 WMB196627:WMD196627 WVX196627:WVZ196627 P262163:R262163 JL262163:JN262163 TH262163:TJ262163 ADD262163:ADF262163 AMZ262163:ANB262163 AWV262163:AWX262163 BGR262163:BGT262163 BQN262163:BQP262163 CAJ262163:CAL262163 CKF262163:CKH262163 CUB262163:CUD262163 DDX262163:DDZ262163 DNT262163:DNV262163 DXP262163:DXR262163 EHL262163:EHN262163 ERH262163:ERJ262163 FBD262163:FBF262163 FKZ262163:FLB262163 FUV262163:FUX262163 GER262163:GET262163 GON262163:GOP262163 GYJ262163:GYL262163 HIF262163:HIH262163 HSB262163:HSD262163 IBX262163:IBZ262163 ILT262163:ILV262163 IVP262163:IVR262163 JFL262163:JFN262163 JPH262163:JPJ262163 JZD262163:JZF262163 KIZ262163:KJB262163 KSV262163:KSX262163 LCR262163:LCT262163 LMN262163:LMP262163 LWJ262163:LWL262163 MGF262163:MGH262163 MQB262163:MQD262163 MZX262163:MZZ262163 NJT262163:NJV262163 NTP262163:NTR262163 ODL262163:ODN262163 ONH262163:ONJ262163 OXD262163:OXF262163 PGZ262163:PHB262163 PQV262163:PQX262163 QAR262163:QAT262163 QKN262163:QKP262163 QUJ262163:QUL262163 REF262163:REH262163 ROB262163:ROD262163 RXX262163:RXZ262163 SHT262163:SHV262163 SRP262163:SRR262163 TBL262163:TBN262163 TLH262163:TLJ262163 TVD262163:TVF262163 UEZ262163:UFB262163 UOV262163:UOX262163 UYR262163:UYT262163 VIN262163:VIP262163 VSJ262163:VSL262163 WCF262163:WCH262163 WMB262163:WMD262163 WVX262163:WVZ262163 P327699:R327699 JL327699:JN327699 TH327699:TJ327699 ADD327699:ADF327699 AMZ327699:ANB327699 AWV327699:AWX327699 BGR327699:BGT327699 BQN327699:BQP327699 CAJ327699:CAL327699 CKF327699:CKH327699 CUB327699:CUD327699 DDX327699:DDZ327699 DNT327699:DNV327699 DXP327699:DXR327699 EHL327699:EHN327699 ERH327699:ERJ327699 FBD327699:FBF327699 FKZ327699:FLB327699 FUV327699:FUX327699 GER327699:GET327699 GON327699:GOP327699 GYJ327699:GYL327699 HIF327699:HIH327699 HSB327699:HSD327699 IBX327699:IBZ327699 ILT327699:ILV327699 IVP327699:IVR327699 JFL327699:JFN327699 JPH327699:JPJ327699 JZD327699:JZF327699 KIZ327699:KJB327699 KSV327699:KSX327699 LCR327699:LCT327699 LMN327699:LMP327699 LWJ327699:LWL327699 MGF327699:MGH327699 MQB327699:MQD327699 MZX327699:MZZ327699 NJT327699:NJV327699 NTP327699:NTR327699 ODL327699:ODN327699 ONH327699:ONJ327699 OXD327699:OXF327699 PGZ327699:PHB327699 PQV327699:PQX327699 QAR327699:QAT327699 QKN327699:QKP327699 QUJ327699:QUL327699 REF327699:REH327699 ROB327699:ROD327699 RXX327699:RXZ327699 SHT327699:SHV327699 SRP327699:SRR327699 TBL327699:TBN327699 TLH327699:TLJ327699 TVD327699:TVF327699 UEZ327699:UFB327699 UOV327699:UOX327699 UYR327699:UYT327699 VIN327699:VIP327699 VSJ327699:VSL327699 WCF327699:WCH327699 WMB327699:WMD327699 WVX327699:WVZ327699 P393235:R393235 JL393235:JN393235 TH393235:TJ393235 ADD393235:ADF393235 AMZ393235:ANB393235 AWV393235:AWX393235 BGR393235:BGT393235 BQN393235:BQP393235 CAJ393235:CAL393235 CKF393235:CKH393235 CUB393235:CUD393235 DDX393235:DDZ393235 DNT393235:DNV393235 DXP393235:DXR393235 EHL393235:EHN393235 ERH393235:ERJ393235 FBD393235:FBF393235 FKZ393235:FLB393235 FUV393235:FUX393235 GER393235:GET393235 GON393235:GOP393235 GYJ393235:GYL393235 HIF393235:HIH393235 HSB393235:HSD393235 IBX393235:IBZ393235 ILT393235:ILV393235 IVP393235:IVR393235 JFL393235:JFN393235 JPH393235:JPJ393235 JZD393235:JZF393235 KIZ393235:KJB393235 KSV393235:KSX393235 LCR393235:LCT393235 LMN393235:LMP393235 LWJ393235:LWL393235 MGF393235:MGH393235 MQB393235:MQD393235 MZX393235:MZZ393235 NJT393235:NJV393235 NTP393235:NTR393235 ODL393235:ODN393235 ONH393235:ONJ393235 OXD393235:OXF393235 PGZ393235:PHB393235 PQV393235:PQX393235 QAR393235:QAT393235 QKN393235:QKP393235 QUJ393235:QUL393235 REF393235:REH393235 ROB393235:ROD393235 RXX393235:RXZ393235 SHT393235:SHV393235 SRP393235:SRR393235 TBL393235:TBN393235 TLH393235:TLJ393235 TVD393235:TVF393235 UEZ393235:UFB393235 UOV393235:UOX393235 UYR393235:UYT393235 VIN393235:VIP393235 VSJ393235:VSL393235 WCF393235:WCH393235 WMB393235:WMD393235 WVX393235:WVZ393235 P458771:R458771 JL458771:JN458771 TH458771:TJ458771 ADD458771:ADF458771 AMZ458771:ANB458771 AWV458771:AWX458771 BGR458771:BGT458771 BQN458771:BQP458771 CAJ458771:CAL458771 CKF458771:CKH458771 CUB458771:CUD458771 DDX458771:DDZ458771 DNT458771:DNV458771 DXP458771:DXR458771 EHL458771:EHN458771 ERH458771:ERJ458771 FBD458771:FBF458771 FKZ458771:FLB458771 FUV458771:FUX458771 GER458771:GET458771 GON458771:GOP458771 GYJ458771:GYL458771 HIF458771:HIH458771 HSB458771:HSD458771 IBX458771:IBZ458771 ILT458771:ILV458771 IVP458771:IVR458771 JFL458771:JFN458771 JPH458771:JPJ458771 JZD458771:JZF458771 KIZ458771:KJB458771 KSV458771:KSX458771 LCR458771:LCT458771 LMN458771:LMP458771 LWJ458771:LWL458771 MGF458771:MGH458771 MQB458771:MQD458771 MZX458771:MZZ458771 NJT458771:NJV458771 NTP458771:NTR458771 ODL458771:ODN458771 ONH458771:ONJ458771 OXD458771:OXF458771 PGZ458771:PHB458771 PQV458771:PQX458771 QAR458771:QAT458771 QKN458771:QKP458771 QUJ458771:QUL458771 REF458771:REH458771 ROB458771:ROD458771 RXX458771:RXZ458771 SHT458771:SHV458771 SRP458771:SRR458771 TBL458771:TBN458771 TLH458771:TLJ458771 TVD458771:TVF458771 UEZ458771:UFB458771 UOV458771:UOX458771 UYR458771:UYT458771 VIN458771:VIP458771 VSJ458771:VSL458771 WCF458771:WCH458771 WMB458771:WMD458771 WVX458771:WVZ458771 P524307:R524307 JL524307:JN524307 TH524307:TJ524307 ADD524307:ADF524307 AMZ524307:ANB524307 AWV524307:AWX524307 BGR524307:BGT524307 BQN524307:BQP524307 CAJ524307:CAL524307 CKF524307:CKH524307 CUB524307:CUD524307 DDX524307:DDZ524307 DNT524307:DNV524307 DXP524307:DXR524307 EHL524307:EHN524307 ERH524307:ERJ524307 FBD524307:FBF524307 FKZ524307:FLB524307 FUV524307:FUX524307 GER524307:GET524307 GON524307:GOP524307 GYJ524307:GYL524307 HIF524307:HIH524307 HSB524307:HSD524307 IBX524307:IBZ524307 ILT524307:ILV524307 IVP524307:IVR524307 JFL524307:JFN524307 JPH524307:JPJ524307 JZD524307:JZF524307 KIZ524307:KJB524307 KSV524307:KSX524307 LCR524307:LCT524307 LMN524307:LMP524307 LWJ524307:LWL524307 MGF524307:MGH524307 MQB524307:MQD524307 MZX524307:MZZ524307 NJT524307:NJV524307 NTP524307:NTR524307 ODL524307:ODN524307 ONH524307:ONJ524307 OXD524307:OXF524307 PGZ524307:PHB524307 PQV524307:PQX524307 QAR524307:QAT524307 QKN524307:QKP524307 QUJ524307:QUL524307 REF524307:REH524307 ROB524307:ROD524307 RXX524307:RXZ524307 SHT524307:SHV524307 SRP524307:SRR524307 TBL524307:TBN524307 TLH524307:TLJ524307 TVD524307:TVF524307 UEZ524307:UFB524307 UOV524307:UOX524307 UYR524307:UYT524307 VIN524307:VIP524307 VSJ524307:VSL524307 WCF524307:WCH524307 WMB524307:WMD524307 WVX524307:WVZ524307 P589843:R589843 JL589843:JN589843 TH589843:TJ589843 ADD589843:ADF589843 AMZ589843:ANB589843 AWV589843:AWX589843 BGR589843:BGT589843 BQN589843:BQP589843 CAJ589843:CAL589843 CKF589843:CKH589843 CUB589843:CUD589843 DDX589843:DDZ589843 DNT589843:DNV589843 DXP589843:DXR589843 EHL589843:EHN589843 ERH589843:ERJ589843 FBD589843:FBF589843 FKZ589843:FLB589843 FUV589843:FUX589843 GER589843:GET589843 GON589843:GOP589843 GYJ589843:GYL589843 HIF589843:HIH589843 HSB589843:HSD589843 IBX589843:IBZ589843 ILT589843:ILV589843 IVP589843:IVR589843 JFL589843:JFN589843 JPH589843:JPJ589843 JZD589843:JZF589843 KIZ589843:KJB589843 KSV589843:KSX589843 LCR589843:LCT589843 LMN589843:LMP589843 LWJ589843:LWL589843 MGF589843:MGH589843 MQB589843:MQD589843 MZX589843:MZZ589843 NJT589843:NJV589843 NTP589843:NTR589843 ODL589843:ODN589843 ONH589843:ONJ589843 OXD589843:OXF589843 PGZ589843:PHB589843 PQV589843:PQX589843 QAR589843:QAT589843 QKN589843:QKP589843 QUJ589843:QUL589843 REF589843:REH589843 ROB589843:ROD589843 RXX589843:RXZ589843 SHT589843:SHV589843 SRP589843:SRR589843 TBL589843:TBN589843 TLH589843:TLJ589843 TVD589843:TVF589843 UEZ589843:UFB589843 UOV589843:UOX589843 UYR589843:UYT589843 VIN589843:VIP589843 VSJ589843:VSL589843 WCF589843:WCH589843 WMB589843:WMD589843 WVX589843:WVZ589843 P655379:R655379 JL655379:JN655379 TH655379:TJ655379 ADD655379:ADF655379 AMZ655379:ANB655379 AWV655379:AWX655379 BGR655379:BGT655379 BQN655379:BQP655379 CAJ655379:CAL655379 CKF655379:CKH655379 CUB655379:CUD655379 DDX655379:DDZ655379 DNT655379:DNV655379 DXP655379:DXR655379 EHL655379:EHN655379 ERH655379:ERJ655379 FBD655379:FBF655379 FKZ655379:FLB655379 FUV655379:FUX655379 GER655379:GET655379 GON655379:GOP655379 GYJ655379:GYL655379 HIF655379:HIH655379 HSB655379:HSD655379 IBX655379:IBZ655379 ILT655379:ILV655379 IVP655379:IVR655379 JFL655379:JFN655379 JPH655379:JPJ655379 JZD655379:JZF655379 KIZ655379:KJB655379 KSV655379:KSX655379 LCR655379:LCT655379 LMN655379:LMP655379 LWJ655379:LWL655379 MGF655379:MGH655379 MQB655379:MQD655379 MZX655379:MZZ655379 NJT655379:NJV655379 NTP655379:NTR655379 ODL655379:ODN655379 ONH655379:ONJ655379 OXD655379:OXF655379 PGZ655379:PHB655379 PQV655379:PQX655379 QAR655379:QAT655379 QKN655379:QKP655379 QUJ655379:QUL655379 REF655379:REH655379 ROB655379:ROD655379 RXX655379:RXZ655379 SHT655379:SHV655379 SRP655379:SRR655379 TBL655379:TBN655379 TLH655379:TLJ655379 TVD655379:TVF655379 UEZ655379:UFB655379 UOV655379:UOX655379 UYR655379:UYT655379 VIN655379:VIP655379 VSJ655379:VSL655379 WCF655379:WCH655379 WMB655379:WMD655379 WVX655379:WVZ655379 P720915:R720915 JL720915:JN720915 TH720915:TJ720915 ADD720915:ADF720915 AMZ720915:ANB720915 AWV720915:AWX720915 BGR720915:BGT720915 BQN720915:BQP720915 CAJ720915:CAL720915 CKF720915:CKH720915 CUB720915:CUD720915 DDX720915:DDZ720915 DNT720915:DNV720915 DXP720915:DXR720915 EHL720915:EHN720915 ERH720915:ERJ720915 FBD720915:FBF720915 FKZ720915:FLB720915 FUV720915:FUX720915 GER720915:GET720915 GON720915:GOP720915 GYJ720915:GYL720915 HIF720915:HIH720915 HSB720915:HSD720915 IBX720915:IBZ720915 ILT720915:ILV720915 IVP720915:IVR720915 JFL720915:JFN720915 JPH720915:JPJ720915 JZD720915:JZF720915 KIZ720915:KJB720915 KSV720915:KSX720915 LCR720915:LCT720915 LMN720915:LMP720915 LWJ720915:LWL720915 MGF720915:MGH720915 MQB720915:MQD720915 MZX720915:MZZ720915 NJT720915:NJV720915 NTP720915:NTR720915 ODL720915:ODN720915 ONH720915:ONJ720915 OXD720915:OXF720915 PGZ720915:PHB720915 PQV720915:PQX720915 QAR720915:QAT720915 QKN720915:QKP720915 QUJ720915:QUL720915 REF720915:REH720915 ROB720915:ROD720915 RXX720915:RXZ720915 SHT720915:SHV720915 SRP720915:SRR720915 TBL720915:TBN720915 TLH720915:TLJ720915 TVD720915:TVF720915 UEZ720915:UFB720915 UOV720915:UOX720915 UYR720915:UYT720915 VIN720915:VIP720915 VSJ720915:VSL720915 WCF720915:WCH720915 WMB720915:WMD720915 WVX720915:WVZ720915 P786451:R786451 JL786451:JN786451 TH786451:TJ786451 ADD786451:ADF786451 AMZ786451:ANB786451 AWV786451:AWX786451 BGR786451:BGT786451 BQN786451:BQP786451 CAJ786451:CAL786451 CKF786451:CKH786451 CUB786451:CUD786451 DDX786451:DDZ786451 DNT786451:DNV786451 DXP786451:DXR786451 EHL786451:EHN786451 ERH786451:ERJ786451 FBD786451:FBF786451 FKZ786451:FLB786451 FUV786451:FUX786451 GER786451:GET786451 GON786451:GOP786451 GYJ786451:GYL786451 HIF786451:HIH786451 HSB786451:HSD786451 IBX786451:IBZ786451 ILT786451:ILV786451 IVP786451:IVR786451 JFL786451:JFN786451 JPH786451:JPJ786451 JZD786451:JZF786451 KIZ786451:KJB786451 KSV786451:KSX786451 LCR786451:LCT786451 LMN786451:LMP786451 LWJ786451:LWL786451 MGF786451:MGH786451 MQB786451:MQD786451 MZX786451:MZZ786451 NJT786451:NJV786451 NTP786451:NTR786451 ODL786451:ODN786451 ONH786451:ONJ786451 OXD786451:OXF786451 PGZ786451:PHB786451 PQV786451:PQX786451 QAR786451:QAT786451 QKN786451:QKP786451 QUJ786451:QUL786451 REF786451:REH786451 ROB786451:ROD786451 RXX786451:RXZ786451 SHT786451:SHV786451 SRP786451:SRR786451 TBL786451:TBN786451 TLH786451:TLJ786451 TVD786451:TVF786451 UEZ786451:UFB786451 UOV786451:UOX786451 UYR786451:UYT786451 VIN786451:VIP786451 VSJ786451:VSL786451 WCF786451:WCH786451 WMB786451:WMD786451 WVX786451:WVZ786451 P851987:R851987 JL851987:JN851987 TH851987:TJ851987 ADD851987:ADF851987 AMZ851987:ANB851987 AWV851987:AWX851987 BGR851987:BGT851987 BQN851987:BQP851987 CAJ851987:CAL851987 CKF851987:CKH851987 CUB851987:CUD851987 DDX851987:DDZ851987 DNT851987:DNV851987 DXP851987:DXR851987 EHL851987:EHN851987 ERH851987:ERJ851987 FBD851987:FBF851987 FKZ851987:FLB851987 FUV851987:FUX851987 GER851987:GET851987 GON851987:GOP851987 GYJ851987:GYL851987 HIF851987:HIH851987 HSB851987:HSD851987 IBX851987:IBZ851987 ILT851987:ILV851987 IVP851987:IVR851987 JFL851987:JFN851987 JPH851987:JPJ851987 JZD851987:JZF851987 KIZ851987:KJB851987 KSV851987:KSX851987 LCR851987:LCT851987 LMN851987:LMP851987 LWJ851987:LWL851987 MGF851987:MGH851987 MQB851987:MQD851987 MZX851987:MZZ851987 NJT851987:NJV851987 NTP851987:NTR851987 ODL851987:ODN851987 ONH851987:ONJ851987 OXD851987:OXF851987 PGZ851987:PHB851987 PQV851987:PQX851987 QAR851987:QAT851987 QKN851987:QKP851987 QUJ851987:QUL851987 REF851987:REH851987 ROB851987:ROD851987 RXX851987:RXZ851987 SHT851987:SHV851987 SRP851987:SRR851987 TBL851987:TBN851987 TLH851987:TLJ851987 TVD851987:TVF851987 UEZ851987:UFB851987 UOV851987:UOX851987 UYR851987:UYT851987 VIN851987:VIP851987 VSJ851987:VSL851987 WCF851987:WCH851987 WMB851987:WMD851987 WVX851987:WVZ851987 P917523:R917523 JL917523:JN917523 TH917523:TJ917523 ADD917523:ADF917523 AMZ917523:ANB917523 AWV917523:AWX917523 BGR917523:BGT917523 BQN917523:BQP917523 CAJ917523:CAL917523 CKF917523:CKH917523 CUB917523:CUD917523 DDX917523:DDZ917523 DNT917523:DNV917523 DXP917523:DXR917523 EHL917523:EHN917523 ERH917523:ERJ917523 FBD917523:FBF917523 FKZ917523:FLB917523 FUV917523:FUX917523 GER917523:GET917523 GON917523:GOP917523 GYJ917523:GYL917523 HIF917523:HIH917523 HSB917523:HSD917523 IBX917523:IBZ917523 ILT917523:ILV917523 IVP917523:IVR917523 JFL917523:JFN917523 JPH917523:JPJ917523 JZD917523:JZF917523 KIZ917523:KJB917523 KSV917523:KSX917523 LCR917523:LCT917523 LMN917523:LMP917523 LWJ917523:LWL917523 MGF917523:MGH917523 MQB917523:MQD917523 MZX917523:MZZ917523 NJT917523:NJV917523 NTP917523:NTR917523 ODL917523:ODN917523 ONH917523:ONJ917523 OXD917523:OXF917523 PGZ917523:PHB917523 PQV917523:PQX917523 QAR917523:QAT917523 QKN917523:QKP917523 QUJ917523:QUL917523 REF917523:REH917523 ROB917523:ROD917523 RXX917523:RXZ917523 SHT917523:SHV917523 SRP917523:SRR917523 TBL917523:TBN917523 TLH917523:TLJ917523 TVD917523:TVF917523 UEZ917523:UFB917523 UOV917523:UOX917523 UYR917523:UYT917523 VIN917523:VIP917523 VSJ917523:VSL917523 WCF917523:WCH917523 WMB917523:WMD917523 WVX917523:WVZ917523 P983059:R983059 JL983059:JN983059 TH983059:TJ983059 ADD983059:ADF983059 AMZ983059:ANB983059 AWV983059:AWX983059 BGR983059:BGT983059 BQN983059:BQP983059 CAJ983059:CAL983059 CKF983059:CKH983059 CUB983059:CUD983059 DDX983059:DDZ983059 DNT983059:DNV983059 DXP983059:DXR983059 EHL983059:EHN983059 ERH983059:ERJ983059 FBD983059:FBF983059 FKZ983059:FLB983059 FUV983059:FUX983059 GER983059:GET983059 GON983059:GOP983059 GYJ983059:GYL983059 HIF983059:HIH983059 HSB983059:HSD983059 IBX983059:IBZ983059 ILT983059:ILV983059 IVP983059:IVR983059 JFL983059:JFN983059 JPH983059:JPJ983059 JZD983059:JZF983059 KIZ983059:KJB983059 KSV983059:KSX983059 LCR983059:LCT983059 LMN983059:LMP983059 LWJ983059:LWL983059 MGF983059:MGH983059 MQB983059:MQD983059 MZX983059:MZZ983059 NJT983059:NJV983059 NTP983059:NTR983059 ODL983059:ODN983059 ONH983059:ONJ983059 OXD983059:OXF983059 PGZ983059:PHB983059 PQV983059:PQX983059 QAR983059:QAT983059 QKN983059:QKP983059 QUJ983059:QUL983059 REF983059:REH983059 ROB983059:ROD983059 RXX983059:RXZ983059 SHT983059:SHV983059 SRP983059:SRR983059 TBL983059:TBN983059 TLH983059:TLJ983059 TVD983059:TVF983059 UEZ983059:UFB983059 UOV983059:UOX983059 UYR983059:UYT983059 VIN983059:VIP983059 VSJ983059:VSL983059 WCF983059:WCH983059 WMB983059:WMD983059 WVX983059:WVZ983059">
      <formula1>ENTIDADES</formula1>
    </dataValidation>
    <dataValidation type="list" showInputMessage="1" showErrorMessage="1" sqref="R42 JN42 TJ42 ADF42 ANB42 AWX42 BGT42 BQP42 CAL42 CKH42 CUD42 DDZ42 DNV42 DXR42 EHN42 ERJ42 FBF42 FLB42 FUX42 GET42 GOP42 GYL42 HIH42 HSD42 IBZ42 ILV42 IVR42 JFN42 JPJ42 JZF42 KJB42 KSX42 LCT42 LMP42 LWL42 MGH42 MQD42 MZZ42 NJV42 NTR42 ODN42 ONJ42 OXF42 PHB42 PQX42 QAT42 QKP42 QUL42 REH42 ROD42 RXZ42 SHV42 SRR42 TBN42 TLJ42 TVF42 UFB42 UOX42 UYT42 VIP42 VSL42 WCH42 WMD42 WVZ42 R65590 JN65590 TJ65590 ADF65590 ANB65590 AWX65590 BGT65590 BQP65590 CAL65590 CKH65590 CUD65590 DDZ65590 DNV65590 DXR65590 EHN65590 ERJ65590 FBF65590 FLB65590 FUX65590 GET65590 GOP65590 GYL65590 HIH65590 HSD65590 IBZ65590 ILV65590 IVR65590 JFN65590 JPJ65590 JZF65590 KJB65590 KSX65590 LCT65590 LMP65590 LWL65590 MGH65590 MQD65590 MZZ65590 NJV65590 NTR65590 ODN65590 ONJ65590 OXF65590 PHB65590 PQX65590 QAT65590 QKP65590 QUL65590 REH65590 ROD65590 RXZ65590 SHV65590 SRR65590 TBN65590 TLJ65590 TVF65590 UFB65590 UOX65590 UYT65590 VIP65590 VSL65590 WCH65590 WMD65590 WVZ65590 R131126 JN131126 TJ131126 ADF131126 ANB131126 AWX131126 BGT131126 BQP131126 CAL131126 CKH131126 CUD131126 DDZ131126 DNV131126 DXR131126 EHN131126 ERJ131126 FBF131126 FLB131126 FUX131126 GET131126 GOP131126 GYL131126 HIH131126 HSD131126 IBZ131126 ILV131126 IVR131126 JFN131126 JPJ131126 JZF131126 KJB131126 KSX131126 LCT131126 LMP131126 LWL131126 MGH131126 MQD131126 MZZ131126 NJV131126 NTR131126 ODN131126 ONJ131126 OXF131126 PHB131126 PQX131126 QAT131126 QKP131126 QUL131126 REH131126 ROD131126 RXZ131126 SHV131126 SRR131126 TBN131126 TLJ131126 TVF131126 UFB131126 UOX131126 UYT131126 VIP131126 VSL131126 WCH131126 WMD131126 WVZ131126 R196662 JN196662 TJ196662 ADF196662 ANB196662 AWX196662 BGT196662 BQP196662 CAL196662 CKH196662 CUD196662 DDZ196662 DNV196662 DXR196662 EHN196662 ERJ196662 FBF196662 FLB196662 FUX196662 GET196662 GOP196662 GYL196662 HIH196662 HSD196662 IBZ196662 ILV196662 IVR196662 JFN196662 JPJ196662 JZF196662 KJB196662 KSX196662 LCT196662 LMP196662 LWL196662 MGH196662 MQD196662 MZZ196662 NJV196662 NTR196662 ODN196662 ONJ196662 OXF196662 PHB196662 PQX196662 QAT196662 QKP196662 QUL196662 REH196662 ROD196662 RXZ196662 SHV196662 SRR196662 TBN196662 TLJ196662 TVF196662 UFB196662 UOX196662 UYT196662 VIP196662 VSL196662 WCH196662 WMD196662 WVZ196662 R262198 JN262198 TJ262198 ADF262198 ANB262198 AWX262198 BGT262198 BQP262198 CAL262198 CKH262198 CUD262198 DDZ262198 DNV262198 DXR262198 EHN262198 ERJ262198 FBF262198 FLB262198 FUX262198 GET262198 GOP262198 GYL262198 HIH262198 HSD262198 IBZ262198 ILV262198 IVR262198 JFN262198 JPJ262198 JZF262198 KJB262198 KSX262198 LCT262198 LMP262198 LWL262198 MGH262198 MQD262198 MZZ262198 NJV262198 NTR262198 ODN262198 ONJ262198 OXF262198 PHB262198 PQX262198 QAT262198 QKP262198 QUL262198 REH262198 ROD262198 RXZ262198 SHV262198 SRR262198 TBN262198 TLJ262198 TVF262198 UFB262198 UOX262198 UYT262198 VIP262198 VSL262198 WCH262198 WMD262198 WVZ262198 R327734 JN327734 TJ327734 ADF327734 ANB327734 AWX327734 BGT327734 BQP327734 CAL327734 CKH327734 CUD327734 DDZ327734 DNV327734 DXR327734 EHN327734 ERJ327734 FBF327734 FLB327734 FUX327734 GET327734 GOP327734 GYL327734 HIH327734 HSD327734 IBZ327734 ILV327734 IVR327734 JFN327734 JPJ327734 JZF327734 KJB327734 KSX327734 LCT327734 LMP327734 LWL327734 MGH327734 MQD327734 MZZ327734 NJV327734 NTR327734 ODN327734 ONJ327734 OXF327734 PHB327734 PQX327734 QAT327734 QKP327734 QUL327734 REH327734 ROD327734 RXZ327734 SHV327734 SRR327734 TBN327734 TLJ327734 TVF327734 UFB327734 UOX327734 UYT327734 VIP327734 VSL327734 WCH327734 WMD327734 WVZ327734 R393270 JN393270 TJ393270 ADF393270 ANB393270 AWX393270 BGT393270 BQP393270 CAL393270 CKH393270 CUD393270 DDZ393270 DNV393270 DXR393270 EHN393270 ERJ393270 FBF393270 FLB393270 FUX393270 GET393270 GOP393270 GYL393270 HIH393270 HSD393270 IBZ393270 ILV393270 IVR393270 JFN393270 JPJ393270 JZF393270 KJB393270 KSX393270 LCT393270 LMP393270 LWL393270 MGH393270 MQD393270 MZZ393270 NJV393270 NTR393270 ODN393270 ONJ393270 OXF393270 PHB393270 PQX393270 QAT393270 QKP393270 QUL393270 REH393270 ROD393270 RXZ393270 SHV393270 SRR393270 TBN393270 TLJ393270 TVF393270 UFB393270 UOX393270 UYT393270 VIP393270 VSL393270 WCH393270 WMD393270 WVZ393270 R458806 JN458806 TJ458806 ADF458806 ANB458806 AWX458806 BGT458806 BQP458806 CAL458806 CKH458806 CUD458806 DDZ458806 DNV458806 DXR458806 EHN458806 ERJ458806 FBF458806 FLB458806 FUX458806 GET458806 GOP458806 GYL458806 HIH458806 HSD458806 IBZ458806 ILV458806 IVR458806 JFN458806 JPJ458806 JZF458806 KJB458806 KSX458806 LCT458806 LMP458806 LWL458806 MGH458806 MQD458806 MZZ458806 NJV458806 NTR458806 ODN458806 ONJ458806 OXF458806 PHB458806 PQX458806 QAT458806 QKP458806 QUL458806 REH458806 ROD458806 RXZ458806 SHV458806 SRR458806 TBN458806 TLJ458806 TVF458806 UFB458806 UOX458806 UYT458806 VIP458806 VSL458806 WCH458806 WMD458806 WVZ458806 R524342 JN524342 TJ524342 ADF524342 ANB524342 AWX524342 BGT524342 BQP524342 CAL524342 CKH524342 CUD524342 DDZ524342 DNV524342 DXR524342 EHN524342 ERJ524342 FBF524342 FLB524342 FUX524342 GET524342 GOP524342 GYL524342 HIH524342 HSD524342 IBZ524342 ILV524342 IVR524342 JFN524342 JPJ524342 JZF524342 KJB524342 KSX524342 LCT524342 LMP524342 LWL524342 MGH524342 MQD524342 MZZ524342 NJV524342 NTR524342 ODN524342 ONJ524342 OXF524342 PHB524342 PQX524342 QAT524342 QKP524342 QUL524342 REH524342 ROD524342 RXZ524342 SHV524342 SRR524342 TBN524342 TLJ524342 TVF524342 UFB524342 UOX524342 UYT524342 VIP524342 VSL524342 WCH524342 WMD524342 WVZ524342 R589878 JN589878 TJ589878 ADF589878 ANB589878 AWX589878 BGT589878 BQP589878 CAL589878 CKH589878 CUD589878 DDZ589878 DNV589878 DXR589878 EHN589878 ERJ589878 FBF589878 FLB589878 FUX589878 GET589878 GOP589878 GYL589878 HIH589878 HSD589878 IBZ589878 ILV589878 IVR589878 JFN589878 JPJ589878 JZF589878 KJB589878 KSX589878 LCT589878 LMP589878 LWL589878 MGH589878 MQD589878 MZZ589878 NJV589878 NTR589878 ODN589878 ONJ589878 OXF589878 PHB589878 PQX589878 QAT589878 QKP589878 QUL589878 REH589878 ROD589878 RXZ589878 SHV589878 SRR589878 TBN589878 TLJ589878 TVF589878 UFB589878 UOX589878 UYT589878 VIP589878 VSL589878 WCH589878 WMD589878 WVZ589878 R655414 JN655414 TJ655414 ADF655414 ANB655414 AWX655414 BGT655414 BQP655414 CAL655414 CKH655414 CUD655414 DDZ655414 DNV655414 DXR655414 EHN655414 ERJ655414 FBF655414 FLB655414 FUX655414 GET655414 GOP655414 GYL655414 HIH655414 HSD655414 IBZ655414 ILV655414 IVR655414 JFN655414 JPJ655414 JZF655414 KJB655414 KSX655414 LCT655414 LMP655414 LWL655414 MGH655414 MQD655414 MZZ655414 NJV655414 NTR655414 ODN655414 ONJ655414 OXF655414 PHB655414 PQX655414 QAT655414 QKP655414 QUL655414 REH655414 ROD655414 RXZ655414 SHV655414 SRR655414 TBN655414 TLJ655414 TVF655414 UFB655414 UOX655414 UYT655414 VIP655414 VSL655414 WCH655414 WMD655414 WVZ655414 R720950 JN720950 TJ720950 ADF720950 ANB720950 AWX720950 BGT720950 BQP720950 CAL720950 CKH720950 CUD720950 DDZ720950 DNV720950 DXR720950 EHN720950 ERJ720950 FBF720950 FLB720950 FUX720950 GET720950 GOP720950 GYL720950 HIH720950 HSD720950 IBZ720950 ILV720950 IVR720950 JFN720950 JPJ720950 JZF720950 KJB720950 KSX720950 LCT720950 LMP720950 LWL720950 MGH720950 MQD720950 MZZ720950 NJV720950 NTR720950 ODN720950 ONJ720950 OXF720950 PHB720950 PQX720950 QAT720950 QKP720950 QUL720950 REH720950 ROD720950 RXZ720950 SHV720950 SRR720950 TBN720950 TLJ720950 TVF720950 UFB720950 UOX720950 UYT720950 VIP720950 VSL720950 WCH720950 WMD720950 WVZ720950 R786486 JN786486 TJ786486 ADF786486 ANB786486 AWX786486 BGT786486 BQP786486 CAL786486 CKH786486 CUD786486 DDZ786486 DNV786486 DXR786486 EHN786486 ERJ786486 FBF786486 FLB786486 FUX786486 GET786486 GOP786486 GYL786486 HIH786486 HSD786486 IBZ786486 ILV786486 IVR786486 JFN786486 JPJ786486 JZF786486 KJB786486 KSX786486 LCT786486 LMP786486 LWL786486 MGH786486 MQD786486 MZZ786486 NJV786486 NTR786486 ODN786486 ONJ786486 OXF786486 PHB786486 PQX786486 QAT786486 QKP786486 QUL786486 REH786486 ROD786486 RXZ786486 SHV786486 SRR786486 TBN786486 TLJ786486 TVF786486 UFB786486 UOX786486 UYT786486 VIP786486 VSL786486 WCH786486 WMD786486 WVZ786486 R852022 JN852022 TJ852022 ADF852022 ANB852022 AWX852022 BGT852022 BQP852022 CAL852022 CKH852022 CUD852022 DDZ852022 DNV852022 DXR852022 EHN852022 ERJ852022 FBF852022 FLB852022 FUX852022 GET852022 GOP852022 GYL852022 HIH852022 HSD852022 IBZ852022 ILV852022 IVR852022 JFN852022 JPJ852022 JZF852022 KJB852022 KSX852022 LCT852022 LMP852022 LWL852022 MGH852022 MQD852022 MZZ852022 NJV852022 NTR852022 ODN852022 ONJ852022 OXF852022 PHB852022 PQX852022 QAT852022 QKP852022 QUL852022 REH852022 ROD852022 RXZ852022 SHV852022 SRR852022 TBN852022 TLJ852022 TVF852022 UFB852022 UOX852022 UYT852022 VIP852022 VSL852022 WCH852022 WMD852022 WVZ852022 R917558 JN917558 TJ917558 ADF917558 ANB917558 AWX917558 BGT917558 BQP917558 CAL917558 CKH917558 CUD917558 DDZ917558 DNV917558 DXR917558 EHN917558 ERJ917558 FBF917558 FLB917558 FUX917558 GET917558 GOP917558 GYL917558 HIH917558 HSD917558 IBZ917558 ILV917558 IVR917558 JFN917558 JPJ917558 JZF917558 KJB917558 KSX917558 LCT917558 LMP917558 LWL917558 MGH917558 MQD917558 MZZ917558 NJV917558 NTR917558 ODN917558 ONJ917558 OXF917558 PHB917558 PQX917558 QAT917558 QKP917558 QUL917558 REH917558 ROD917558 RXZ917558 SHV917558 SRR917558 TBN917558 TLJ917558 TVF917558 UFB917558 UOX917558 UYT917558 VIP917558 VSL917558 WCH917558 WMD917558 WVZ917558 R983094 JN983094 TJ983094 ADF983094 ANB983094 AWX983094 BGT983094 BQP983094 CAL983094 CKH983094 CUD983094 DDZ983094 DNV983094 DXR983094 EHN983094 ERJ983094 FBF983094 FLB983094 FUX983094 GET983094 GOP983094 GYL983094 HIH983094 HSD983094 IBZ983094 ILV983094 IVR983094 JFN983094 JPJ983094 JZF983094 KJB983094 KSX983094 LCT983094 LMP983094 LWL983094 MGH983094 MQD983094 MZZ983094 NJV983094 NTR983094 ODN983094 ONJ983094 OXF983094 PHB983094 PQX983094 QAT983094 QKP983094 QUL983094 REH983094 ROD983094 RXZ983094 SHV983094 SRR983094 TBN983094 TLJ983094 TVF983094 UFB983094 UOX983094 UYT983094 VIP983094 VSL983094 WCH983094 WMD983094 WVZ983094 P39:Q39 JL39:JM39 TH39:TI39 ADD39:ADE39 AMZ39:ANA39 AWV39:AWW39 BGR39:BGS39 BQN39:BQO39 CAJ39:CAK39 CKF39:CKG39 CUB39:CUC39 DDX39:DDY39 DNT39:DNU39 DXP39:DXQ39 EHL39:EHM39 ERH39:ERI39 FBD39:FBE39 FKZ39:FLA39 FUV39:FUW39 GER39:GES39 GON39:GOO39 GYJ39:GYK39 HIF39:HIG39 HSB39:HSC39 IBX39:IBY39 ILT39:ILU39 IVP39:IVQ39 JFL39:JFM39 JPH39:JPI39 JZD39:JZE39 KIZ39:KJA39 KSV39:KSW39 LCR39:LCS39 LMN39:LMO39 LWJ39:LWK39 MGF39:MGG39 MQB39:MQC39 MZX39:MZY39 NJT39:NJU39 NTP39:NTQ39 ODL39:ODM39 ONH39:ONI39 OXD39:OXE39 PGZ39:PHA39 PQV39:PQW39 QAR39:QAS39 QKN39:QKO39 QUJ39:QUK39 REF39:REG39 ROB39:ROC39 RXX39:RXY39 SHT39:SHU39 SRP39:SRQ39 TBL39:TBM39 TLH39:TLI39 TVD39:TVE39 UEZ39:UFA39 UOV39:UOW39 UYR39:UYS39 VIN39:VIO39 VSJ39:VSK39 WCF39:WCG39 WMB39:WMC39 WVX39:WVY39 P65587:Q65587 JL65587:JM65587 TH65587:TI65587 ADD65587:ADE65587 AMZ65587:ANA65587 AWV65587:AWW65587 BGR65587:BGS65587 BQN65587:BQO65587 CAJ65587:CAK65587 CKF65587:CKG65587 CUB65587:CUC65587 DDX65587:DDY65587 DNT65587:DNU65587 DXP65587:DXQ65587 EHL65587:EHM65587 ERH65587:ERI65587 FBD65587:FBE65587 FKZ65587:FLA65587 FUV65587:FUW65587 GER65587:GES65587 GON65587:GOO65587 GYJ65587:GYK65587 HIF65587:HIG65587 HSB65587:HSC65587 IBX65587:IBY65587 ILT65587:ILU65587 IVP65587:IVQ65587 JFL65587:JFM65587 JPH65587:JPI65587 JZD65587:JZE65587 KIZ65587:KJA65587 KSV65587:KSW65587 LCR65587:LCS65587 LMN65587:LMO65587 LWJ65587:LWK65587 MGF65587:MGG65587 MQB65587:MQC65587 MZX65587:MZY65587 NJT65587:NJU65587 NTP65587:NTQ65587 ODL65587:ODM65587 ONH65587:ONI65587 OXD65587:OXE65587 PGZ65587:PHA65587 PQV65587:PQW65587 QAR65587:QAS65587 QKN65587:QKO65587 QUJ65587:QUK65587 REF65587:REG65587 ROB65587:ROC65587 RXX65587:RXY65587 SHT65587:SHU65587 SRP65587:SRQ65587 TBL65587:TBM65587 TLH65587:TLI65587 TVD65587:TVE65587 UEZ65587:UFA65587 UOV65587:UOW65587 UYR65587:UYS65587 VIN65587:VIO65587 VSJ65587:VSK65587 WCF65587:WCG65587 WMB65587:WMC65587 WVX65587:WVY65587 P131123:Q131123 JL131123:JM131123 TH131123:TI131123 ADD131123:ADE131123 AMZ131123:ANA131123 AWV131123:AWW131123 BGR131123:BGS131123 BQN131123:BQO131123 CAJ131123:CAK131123 CKF131123:CKG131123 CUB131123:CUC131123 DDX131123:DDY131123 DNT131123:DNU131123 DXP131123:DXQ131123 EHL131123:EHM131123 ERH131123:ERI131123 FBD131123:FBE131123 FKZ131123:FLA131123 FUV131123:FUW131123 GER131123:GES131123 GON131123:GOO131123 GYJ131123:GYK131123 HIF131123:HIG131123 HSB131123:HSC131123 IBX131123:IBY131123 ILT131123:ILU131123 IVP131123:IVQ131123 JFL131123:JFM131123 JPH131123:JPI131123 JZD131123:JZE131123 KIZ131123:KJA131123 KSV131123:KSW131123 LCR131123:LCS131123 LMN131123:LMO131123 LWJ131123:LWK131123 MGF131123:MGG131123 MQB131123:MQC131123 MZX131123:MZY131123 NJT131123:NJU131123 NTP131123:NTQ131123 ODL131123:ODM131123 ONH131123:ONI131123 OXD131123:OXE131123 PGZ131123:PHA131123 PQV131123:PQW131123 QAR131123:QAS131123 QKN131123:QKO131123 QUJ131123:QUK131123 REF131123:REG131123 ROB131123:ROC131123 RXX131123:RXY131123 SHT131123:SHU131123 SRP131123:SRQ131123 TBL131123:TBM131123 TLH131123:TLI131123 TVD131123:TVE131123 UEZ131123:UFA131123 UOV131123:UOW131123 UYR131123:UYS131123 VIN131123:VIO131123 VSJ131123:VSK131123 WCF131123:WCG131123 WMB131123:WMC131123 WVX131123:WVY131123 P196659:Q196659 JL196659:JM196659 TH196659:TI196659 ADD196659:ADE196659 AMZ196659:ANA196659 AWV196659:AWW196659 BGR196659:BGS196659 BQN196659:BQO196659 CAJ196659:CAK196659 CKF196659:CKG196659 CUB196659:CUC196659 DDX196659:DDY196659 DNT196659:DNU196659 DXP196659:DXQ196659 EHL196659:EHM196659 ERH196659:ERI196659 FBD196659:FBE196659 FKZ196659:FLA196659 FUV196659:FUW196659 GER196659:GES196659 GON196659:GOO196659 GYJ196659:GYK196659 HIF196659:HIG196659 HSB196659:HSC196659 IBX196659:IBY196659 ILT196659:ILU196659 IVP196659:IVQ196659 JFL196659:JFM196659 JPH196659:JPI196659 JZD196659:JZE196659 KIZ196659:KJA196659 KSV196659:KSW196659 LCR196659:LCS196659 LMN196659:LMO196659 LWJ196659:LWK196659 MGF196659:MGG196659 MQB196659:MQC196659 MZX196659:MZY196659 NJT196659:NJU196659 NTP196659:NTQ196659 ODL196659:ODM196659 ONH196659:ONI196659 OXD196659:OXE196659 PGZ196659:PHA196659 PQV196659:PQW196659 QAR196659:QAS196659 QKN196659:QKO196659 QUJ196659:QUK196659 REF196659:REG196659 ROB196659:ROC196659 RXX196659:RXY196659 SHT196659:SHU196659 SRP196659:SRQ196659 TBL196659:TBM196659 TLH196659:TLI196659 TVD196659:TVE196659 UEZ196659:UFA196659 UOV196659:UOW196659 UYR196659:UYS196659 VIN196659:VIO196659 VSJ196659:VSK196659 WCF196659:WCG196659 WMB196659:WMC196659 WVX196659:WVY196659 P262195:Q262195 JL262195:JM262195 TH262195:TI262195 ADD262195:ADE262195 AMZ262195:ANA262195 AWV262195:AWW262195 BGR262195:BGS262195 BQN262195:BQO262195 CAJ262195:CAK262195 CKF262195:CKG262195 CUB262195:CUC262195 DDX262195:DDY262195 DNT262195:DNU262195 DXP262195:DXQ262195 EHL262195:EHM262195 ERH262195:ERI262195 FBD262195:FBE262195 FKZ262195:FLA262195 FUV262195:FUW262195 GER262195:GES262195 GON262195:GOO262195 GYJ262195:GYK262195 HIF262195:HIG262195 HSB262195:HSC262195 IBX262195:IBY262195 ILT262195:ILU262195 IVP262195:IVQ262195 JFL262195:JFM262195 JPH262195:JPI262195 JZD262195:JZE262195 KIZ262195:KJA262195 KSV262195:KSW262195 LCR262195:LCS262195 LMN262195:LMO262195 LWJ262195:LWK262195 MGF262195:MGG262195 MQB262195:MQC262195 MZX262195:MZY262195 NJT262195:NJU262195 NTP262195:NTQ262195 ODL262195:ODM262195 ONH262195:ONI262195 OXD262195:OXE262195 PGZ262195:PHA262195 PQV262195:PQW262195 QAR262195:QAS262195 QKN262195:QKO262195 QUJ262195:QUK262195 REF262195:REG262195 ROB262195:ROC262195 RXX262195:RXY262195 SHT262195:SHU262195 SRP262195:SRQ262195 TBL262195:TBM262195 TLH262195:TLI262195 TVD262195:TVE262195 UEZ262195:UFA262195 UOV262195:UOW262195 UYR262195:UYS262195 VIN262195:VIO262195 VSJ262195:VSK262195 WCF262195:WCG262195 WMB262195:WMC262195 WVX262195:WVY262195 P327731:Q327731 JL327731:JM327731 TH327731:TI327731 ADD327731:ADE327731 AMZ327731:ANA327731 AWV327731:AWW327731 BGR327731:BGS327731 BQN327731:BQO327731 CAJ327731:CAK327731 CKF327731:CKG327731 CUB327731:CUC327731 DDX327731:DDY327731 DNT327731:DNU327731 DXP327731:DXQ327731 EHL327731:EHM327731 ERH327731:ERI327731 FBD327731:FBE327731 FKZ327731:FLA327731 FUV327731:FUW327731 GER327731:GES327731 GON327731:GOO327731 GYJ327731:GYK327731 HIF327731:HIG327731 HSB327731:HSC327731 IBX327731:IBY327731 ILT327731:ILU327731 IVP327731:IVQ327731 JFL327731:JFM327731 JPH327731:JPI327731 JZD327731:JZE327731 KIZ327731:KJA327731 KSV327731:KSW327731 LCR327731:LCS327731 LMN327731:LMO327731 LWJ327731:LWK327731 MGF327731:MGG327731 MQB327731:MQC327731 MZX327731:MZY327731 NJT327731:NJU327731 NTP327731:NTQ327731 ODL327731:ODM327731 ONH327731:ONI327731 OXD327731:OXE327731 PGZ327731:PHA327731 PQV327731:PQW327731 QAR327731:QAS327731 QKN327731:QKO327731 QUJ327731:QUK327731 REF327731:REG327731 ROB327731:ROC327731 RXX327731:RXY327731 SHT327731:SHU327731 SRP327731:SRQ327731 TBL327731:TBM327731 TLH327731:TLI327731 TVD327731:TVE327731 UEZ327731:UFA327731 UOV327731:UOW327731 UYR327731:UYS327731 VIN327731:VIO327731 VSJ327731:VSK327731 WCF327731:WCG327731 WMB327731:WMC327731 WVX327731:WVY327731 P393267:Q393267 JL393267:JM393267 TH393267:TI393267 ADD393267:ADE393267 AMZ393267:ANA393267 AWV393267:AWW393267 BGR393267:BGS393267 BQN393267:BQO393267 CAJ393267:CAK393267 CKF393267:CKG393267 CUB393267:CUC393267 DDX393267:DDY393267 DNT393267:DNU393267 DXP393267:DXQ393267 EHL393267:EHM393267 ERH393267:ERI393267 FBD393267:FBE393267 FKZ393267:FLA393267 FUV393267:FUW393267 GER393267:GES393267 GON393267:GOO393267 GYJ393267:GYK393267 HIF393267:HIG393267 HSB393267:HSC393267 IBX393267:IBY393267 ILT393267:ILU393267 IVP393267:IVQ393267 JFL393267:JFM393267 JPH393267:JPI393267 JZD393267:JZE393267 KIZ393267:KJA393267 KSV393267:KSW393267 LCR393267:LCS393267 LMN393267:LMO393267 LWJ393267:LWK393267 MGF393267:MGG393267 MQB393267:MQC393267 MZX393267:MZY393267 NJT393267:NJU393267 NTP393267:NTQ393267 ODL393267:ODM393267 ONH393267:ONI393267 OXD393267:OXE393267 PGZ393267:PHA393267 PQV393267:PQW393267 QAR393267:QAS393267 QKN393267:QKO393267 QUJ393267:QUK393267 REF393267:REG393267 ROB393267:ROC393267 RXX393267:RXY393267 SHT393267:SHU393267 SRP393267:SRQ393267 TBL393267:TBM393267 TLH393267:TLI393267 TVD393267:TVE393267 UEZ393267:UFA393267 UOV393267:UOW393267 UYR393267:UYS393267 VIN393267:VIO393267 VSJ393267:VSK393267 WCF393267:WCG393267 WMB393267:WMC393267 WVX393267:WVY393267 P458803:Q458803 JL458803:JM458803 TH458803:TI458803 ADD458803:ADE458803 AMZ458803:ANA458803 AWV458803:AWW458803 BGR458803:BGS458803 BQN458803:BQO458803 CAJ458803:CAK458803 CKF458803:CKG458803 CUB458803:CUC458803 DDX458803:DDY458803 DNT458803:DNU458803 DXP458803:DXQ458803 EHL458803:EHM458803 ERH458803:ERI458803 FBD458803:FBE458803 FKZ458803:FLA458803 FUV458803:FUW458803 GER458803:GES458803 GON458803:GOO458803 GYJ458803:GYK458803 HIF458803:HIG458803 HSB458803:HSC458803 IBX458803:IBY458803 ILT458803:ILU458803 IVP458803:IVQ458803 JFL458803:JFM458803 JPH458803:JPI458803 JZD458803:JZE458803 KIZ458803:KJA458803 KSV458803:KSW458803 LCR458803:LCS458803 LMN458803:LMO458803 LWJ458803:LWK458803 MGF458803:MGG458803 MQB458803:MQC458803 MZX458803:MZY458803 NJT458803:NJU458803 NTP458803:NTQ458803 ODL458803:ODM458803 ONH458803:ONI458803 OXD458803:OXE458803 PGZ458803:PHA458803 PQV458803:PQW458803 QAR458803:QAS458803 QKN458803:QKO458803 QUJ458803:QUK458803 REF458803:REG458803 ROB458803:ROC458803 RXX458803:RXY458803 SHT458803:SHU458803 SRP458803:SRQ458803 TBL458803:TBM458803 TLH458803:TLI458803 TVD458803:TVE458803 UEZ458803:UFA458803 UOV458803:UOW458803 UYR458803:UYS458803 VIN458803:VIO458803 VSJ458803:VSK458803 WCF458803:WCG458803 WMB458803:WMC458803 WVX458803:WVY458803 P524339:Q524339 JL524339:JM524339 TH524339:TI524339 ADD524339:ADE524339 AMZ524339:ANA524339 AWV524339:AWW524339 BGR524339:BGS524339 BQN524339:BQO524339 CAJ524339:CAK524339 CKF524339:CKG524339 CUB524339:CUC524339 DDX524339:DDY524339 DNT524339:DNU524339 DXP524339:DXQ524339 EHL524339:EHM524339 ERH524339:ERI524339 FBD524339:FBE524339 FKZ524339:FLA524339 FUV524339:FUW524339 GER524339:GES524339 GON524339:GOO524339 GYJ524339:GYK524339 HIF524339:HIG524339 HSB524339:HSC524339 IBX524339:IBY524339 ILT524339:ILU524339 IVP524339:IVQ524339 JFL524339:JFM524339 JPH524339:JPI524339 JZD524339:JZE524339 KIZ524339:KJA524339 KSV524339:KSW524339 LCR524339:LCS524339 LMN524339:LMO524339 LWJ524339:LWK524339 MGF524339:MGG524339 MQB524339:MQC524339 MZX524339:MZY524339 NJT524339:NJU524339 NTP524339:NTQ524339 ODL524339:ODM524339 ONH524339:ONI524339 OXD524339:OXE524339 PGZ524339:PHA524339 PQV524339:PQW524339 QAR524339:QAS524339 QKN524339:QKO524339 QUJ524339:QUK524339 REF524339:REG524339 ROB524339:ROC524339 RXX524339:RXY524339 SHT524339:SHU524339 SRP524339:SRQ524339 TBL524339:TBM524339 TLH524339:TLI524339 TVD524339:TVE524339 UEZ524339:UFA524339 UOV524339:UOW524339 UYR524339:UYS524339 VIN524339:VIO524339 VSJ524339:VSK524339 WCF524339:WCG524339 WMB524339:WMC524339 WVX524339:WVY524339 P589875:Q589875 JL589875:JM589875 TH589875:TI589875 ADD589875:ADE589875 AMZ589875:ANA589875 AWV589875:AWW589875 BGR589875:BGS589875 BQN589875:BQO589875 CAJ589875:CAK589875 CKF589875:CKG589875 CUB589875:CUC589875 DDX589875:DDY589875 DNT589875:DNU589875 DXP589875:DXQ589875 EHL589875:EHM589875 ERH589875:ERI589875 FBD589875:FBE589875 FKZ589875:FLA589875 FUV589875:FUW589875 GER589875:GES589875 GON589875:GOO589875 GYJ589875:GYK589875 HIF589875:HIG589875 HSB589875:HSC589875 IBX589875:IBY589875 ILT589875:ILU589875 IVP589875:IVQ589875 JFL589875:JFM589875 JPH589875:JPI589875 JZD589875:JZE589875 KIZ589875:KJA589875 KSV589875:KSW589875 LCR589875:LCS589875 LMN589875:LMO589875 LWJ589875:LWK589875 MGF589875:MGG589875 MQB589875:MQC589875 MZX589875:MZY589875 NJT589875:NJU589875 NTP589875:NTQ589875 ODL589875:ODM589875 ONH589875:ONI589875 OXD589875:OXE589875 PGZ589875:PHA589875 PQV589875:PQW589875 QAR589875:QAS589875 QKN589875:QKO589875 QUJ589875:QUK589875 REF589875:REG589875 ROB589875:ROC589875 RXX589875:RXY589875 SHT589875:SHU589875 SRP589875:SRQ589875 TBL589875:TBM589875 TLH589875:TLI589875 TVD589875:TVE589875 UEZ589875:UFA589875 UOV589875:UOW589875 UYR589875:UYS589875 VIN589875:VIO589875 VSJ589875:VSK589875 WCF589875:WCG589875 WMB589875:WMC589875 WVX589875:WVY589875 P655411:Q655411 JL655411:JM655411 TH655411:TI655411 ADD655411:ADE655411 AMZ655411:ANA655411 AWV655411:AWW655411 BGR655411:BGS655411 BQN655411:BQO655411 CAJ655411:CAK655411 CKF655411:CKG655411 CUB655411:CUC655411 DDX655411:DDY655411 DNT655411:DNU655411 DXP655411:DXQ655411 EHL655411:EHM655411 ERH655411:ERI655411 FBD655411:FBE655411 FKZ655411:FLA655411 FUV655411:FUW655411 GER655411:GES655411 GON655411:GOO655411 GYJ655411:GYK655411 HIF655411:HIG655411 HSB655411:HSC655411 IBX655411:IBY655411 ILT655411:ILU655411 IVP655411:IVQ655411 JFL655411:JFM655411 JPH655411:JPI655411 JZD655411:JZE655411 KIZ655411:KJA655411 KSV655411:KSW655411 LCR655411:LCS655411 LMN655411:LMO655411 LWJ655411:LWK655411 MGF655411:MGG655411 MQB655411:MQC655411 MZX655411:MZY655411 NJT655411:NJU655411 NTP655411:NTQ655411 ODL655411:ODM655411 ONH655411:ONI655411 OXD655411:OXE655411 PGZ655411:PHA655411 PQV655411:PQW655411 QAR655411:QAS655411 QKN655411:QKO655411 QUJ655411:QUK655411 REF655411:REG655411 ROB655411:ROC655411 RXX655411:RXY655411 SHT655411:SHU655411 SRP655411:SRQ655411 TBL655411:TBM655411 TLH655411:TLI655411 TVD655411:TVE655411 UEZ655411:UFA655411 UOV655411:UOW655411 UYR655411:UYS655411 VIN655411:VIO655411 VSJ655411:VSK655411 WCF655411:WCG655411 WMB655411:WMC655411 WVX655411:WVY655411 P720947:Q720947 JL720947:JM720947 TH720947:TI720947 ADD720947:ADE720947 AMZ720947:ANA720947 AWV720947:AWW720947 BGR720947:BGS720947 BQN720947:BQO720947 CAJ720947:CAK720947 CKF720947:CKG720947 CUB720947:CUC720947 DDX720947:DDY720947 DNT720947:DNU720947 DXP720947:DXQ720947 EHL720947:EHM720947 ERH720947:ERI720947 FBD720947:FBE720947 FKZ720947:FLA720947 FUV720947:FUW720947 GER720947:GES720947 GON720947:GOO720947 GYJ720947:GYK720947 HIF720947:HIG720947 HSB720947:HSC720947 IBX720947:IBY720947 ILT720947:ILU720947 IVP720947:IVQ720947 JFL720947:JFM720947 JPH720947:JPI720947 JZD720947:JZE720947 KIZ720947:KJA720947 KSV720947:KSW720947 LCR720947:LCS720947 LMN720947:LMO720947 LWJ720947:LWK720947 MGF720947:MGG720947 MQB720947:MQC720947 MZX720947:MZY720947 NJT720947:NJU720947 NTP720947:NTQ720947 ODL720947:ODM720947 ONH720947:ONI720947 OXD720947:OXE720947 PGZ720947:PHA720947 PQV720947:PQW720947 QAR720947:QAS720947 QKN720947:QKO720947 QUJ720947:QUK720947 REF720947:REG720947 ROB720947:ROC720947 RXX720947:RXY720947 SHT720947:SHU720947 SRP720947:SRQ720947 TBL720947:TBM720947 TLH720947:TLI720947 TVD720947:TVE720947 UEZ720947:UFA720947 UOV720947:UOW720947 UYR720947:UYS720947 VIN720947:VIO720947 VSJ720947:VSK720947 WCF720947:WCG720947 WMB720947:WMC720947 WVX720947:WVY720947 P786483:Q786483 JL786483:JM786483 TH786483:TI786483 ADD786483:ADE786483 AMZ786483:ANA786483 AWV786483:AWW786483 BGR786483:BGS786483 BQN786483:BQO786483 CAJ786483:CAK786483 CKF786483:CKG786483 CUB786483:CUC786483 DDX786483:DDY786483 DNT786483:DNU786483 DXP786483:DXQ786483 EHL786483:EHM786483 ERH786483:ERI786483 FBD786483:FBE786483 FKZ786483:FLA786483 FUV786483:FUW786483 GER786483:GES786483 GON786483:GOO786483 GYJ786483:GYK786483 HIF786483:HIG786483 HSB786483:HSC786483 IBX786483:IBY786483 ILT786483:ILU786483 IVP786483:IVQ786483 JFL786483:JFM786483 JPH786483:JPI786483 JZD786483:JZE786483 KIZ786483:KJA786483 KSV786483:KSW786483 LCR786483:LCS786483 LMN786483:LMO786483 LWJ786483:LWK786483 MGF786483:MGG786483 MQB786483:MQC786483 MZX786483:MZY786483 NJT786483:NJU786483 NTP786483:NTQ786483 ODL786483:ODM786483 ONH786483:ONI786483 OXD786483:OXE786483 PGZ786483:PHA786483 PQV786483:PQW786483 QAR786483:QAS786483 QKN786483:QKO786483 QUJ786483:QUK786483 REF786483:REG786483 ROB786483:ROC786483 RXX786483:RXY786483 SHT786483:SHU786483 SRP786483:SRQ786483 TBL786483:TBM786483 TLH786483:TLI786483 TVD786483:TVE786483 UEZ786483:UFA786483 UOV786483:UOW786483 UYR786483:UYS786483 VIN786483:VIO786483 VSJ786483:VSK786483 WCF786483:WCG786483 WMB786483:WMC786483 WVX786483:WVY786483 P852019:Q852019 JL852019:JM852019 TH852019:TI852019 ADD852019:ADE852019 AMZ852019:ANA852019 AWV852019:AWW852019 BGR852019:BGS852019 BQN852019:BQO852019 CAJ852019:CAK852019 CKF852019:CKG852019 CUB852019:CUC852019 DDX852019:DDY852019 DNT852019:DNU852019 DXP852019:DXQ852019 EHL852019:EHM852019 ERH852019:ERI852019 FBD852019:FBE852019 FKZ852019:FLA852019 FUV852019:FUW852019 GER852019:GES852019 GON852019:GOO852019 GYJ852019:GYK852019 HIF852019:HIG852019 HSB852019:HSC852019 IBX852019:IBY852019 ILT852019:ILU852019 IVP852019:IVQ852019 JFL852019:JFM852019 JPH852019:JPI852019 JZD852019:JZE852019 KIZ852019:KJA852019 KSV852019:KSW852019 LCR852019:LCS852019 LMN852019:LMO852019 LWJ852019:LWK852019 MGF852019:MGG852019 MQB852019:MQC852019 MZX852019:MZY852019 NJT852019:NJU852019 NTP852019:NTQ852019 ODL852019:ODM852019 ONH852019:ONI852019 OXD852019:OXE852019 PGZ852019:PHA852019 PQV852019:PQW852019 QAR852019:QAS852019 QKN852019:QKO852019 QUJ852019:QUK852019 REF852019:REG852019 ROB852019:ROC852019 RXX852019:RXY852019 SHT852019:SHU852019 SRP852019:SRQ852019 TBL852019:TBM852019 TLH852019:TLI852019 TVD852019:TVE852019 UEZ852019:UFA852019 UOV852019:UOW852019 UYR852019:UYS852019 VIN852019:VIO852019 VSJ852019:VSK852019 WCF852019:WCG852019 WMB852019:WMC852019 WVX852019:WVY852019 P917555:Q917555 JL917555:JM917555 TH917555:TI917555 ADD917555:ADE917555 AMZ917555:ANA917555 AWV917555:AWW917555 BGR917555:BGS917555 BQN917555:BQO917555 CAJ917555:CAK917555 CKF917555:CKG917555 CUB917555:CUC917555 DDX917555:DDY917555 DNT917555:DNU917555 DXP917555:DXQ917555 EHL917555:EHM917555 ERH917555:ERI917555 FBD917555:FBE917555 FKZ917555:FLA917555 FUV917555:FUW917555 GER917555:GES917555 GON917555:GOO917555 GYJ917555:GYK917555 HIF917555:HIG917555 HSB917555:HSC917555 IBX917555:IBY917555 ILT917555:ILU917555 IVP917555:IVQ917555 JFL917555:JFM917555 JPH917555:JPI917555 JZD917555:JZE917555 KIZ917555:KJA917555 KSV917555:KSW917555 LCR917555:LCS917555 LMN917555:LMO917555 LWJ917555:LWK917555 MGF917555:MGG917555 MQB917555:MQC917555 MZX917555:MZY917555 NJT917555:NJU917555 NTP917555:NTQ917555 ODL917555:ODM917555 ONH917555:ONI917555 OXD917555:OXE917555 PGZ917555:PHA917555 PQV917555:PQW917555 QAR917555:QAS917555 QKN917555:QKO917555 QUJ917555:QUK917555 REF917555:REG917555 ROB917555:ROC917555 RXX917555:RXY917555 SHT917555:SHU917555 SRP917555:SRQ917555 TBL917555:TBM917555 TLH917555:TLI917555 TVD917555:TVE917555 UEZ917555:UFA917555 UOV917555:UOW917555 UYR917555:UYS917555 VIN917555:VIO917555 VSJ917555:VSK917555 WCF917555:WCG917555 WMB917555:WMC917555 WVX917555:WVY917555 P983091:Q983091 JL983091:JM983091 TH983091:TI983091 ADD983091:ADE983091 AMZ983091:ANA983091 AWV983091:AWW983091 BGR983091:BGS983091 BQN983091:BQO983091 CAJ983091:CAK983091 CKF983091:CKG983091 CUB983091:CUC983091 DDX983091:DDY983091 DNT983091:DNU983091 DXP983091:DXQ983091 EHL983091:EHM983091 ERH983091:ERI983091 FBD983091:FBE983091 FKZ983091:FLA983091 FUV983091:FUW983091 GER983091:GES983091 GON983091:GOO983091 GYJ983091:GYK983091 HIF983091:HIG983091 HSB983091:HSC983091 IBX983091:IBY983091 ILT983091:ILU983091 IVP983091:IVQ983091 JFL983091:JFM983091 JPH983091:JPI983091 JZD983091:JZE983091 KIZ983091:KJA983091 KSV983091:KSW983091 LCR983091:LCS983091 LMN983091:LMO983091 LWJ983091:LWK983091 MGF983091:MGG983091 MQB983091:MQC983091 MZX983091:MZY983091 NJT983091:NJU983091 NTP983091:NTQ983091 ODL983091:ODM983091 ONH983091:ONI983091 OXD983091:OXE983091 PGZ983091:PHA983091 PQV983091:PQW983091 QAR983091:QAS983091 QKN983091:QKO983091 QUJ983091:QUK983091 REF983091:REG983091 ROB983091:ROC983091 RXX983091:RXY983091 SHT983091:SHU983091 SRP983091:SRQ983091 TBL983091:TBM983091 TLH983091:TLI983091 TVD983091:TVE983091 UEZ983091:UFA983091 UOV983091:UOW983091 UYR983091:UYS983091 VIN983091:VIO983091 VSJ983091:VSK983091 WCF983091:WCG983091 WMB983091:WMC983091 WVX983091:WVY983091 P38:R38 JL38:JN38 TH38:TJ38 ADD38:ADF38 AMZ38:ANB38 AWV38:AWX38 BGR38:BGT38 BQN38:BQP38 CAJ38:CAL38 CKF38:CKH38 CUB38:CUD38 DDX38:DDZ38 DNT38:DNV38 DXP38:DXR38 EHL38:EHN38 ERH38:ERJ38 FBD38:FBF38 FKZ38:FLB38 FUV38:FUX38 GER38:GET38 GON38:GOP38 GYJ38:GYL38 HIF38:HIH38 HSB38:HSD38 IBX38:IBZ38 ILT38:ILV38 IVP38:IVR38 JFL38:JFN38 JPH38:JPJ38 JZD38:JZF38 KIZ38:KJB38 KSV38:KSX38 LCR38:LCT38 LMN38:LMP38 LWJ38:LWL38 MGF38:MGH38 MQB38:MQD38 MZX38:MZZ38 NJT38:NJV38 NTP38:NTR38 ODL38:ODN38 ONH38:ONJ38 OXD38:OXF38 PGZ38:PHB38 PQV38:PQX38 QAR38:QAT38 QKN38:QKP38 QUJ38:QUL38 REF38:REH38 ROB38:ROD38 RXX38:RXZ38 SHT38:SHV38 SRP38:SRR38 TBL38:TBN38 TLH38:TLJ38 TVD38:TVF38 UEZ38:UFB38 UOV38:UOX38 UYR38:UYT38 VIN38:VIP38 VSJ38:VSL38 WCF38:WCH38 WMB38:WMD38 WVX38:WVZ38 P65586:R65586 JL65586:JN65586 TH65586:TJ65586 ADD65586:ADF65586 AMZ65586:ANB65586 AWV65586:AWX65586 BGR65586:BGT65586 BQN65586:BQP65586 CAJ65586:CAL65586 CKF65586:CKH65586 CUB65586:CUD65586 DDX65586:DDZ65586 DNT65586:DNV65586 DXP65586:DXR65586 EHL65586:EHN65586 ERH65586:ERJ65586 FBD65586:FBF65586 FKZ65586:FLB65586 FUV65586:FUX65586 GER65586:GET65586 GON65586:GOP65586 GYJ65586:GYL65586 HIF65586:HIH65586 HSB65586:HSD65586 IBX65586:IBZ65586 ILT65586:ILV65586 IVP65586:IVR65586 JFL65586:JFN65586 JPH65586:JPJ65586 JZD65586:JZF65586 KIZ65586:KJB65586 KSV65586:KSX65586 LCR65586:LCT65586 LMN65586:LMP65586 LWJ65586:LWL65586 MGF65586:MGH65586 MQB65586:MQD65586 MZX65586:MZZ65586 NJT65586:NJV65586 NTP65586:NTR65586 ODL65586:ODN65586 ONH65586:ONJ65586 OXD65586:OXF65586 PGZ65586:PHB65586 PQV65586:PQX65586 QAR65586:QAT65586 QKN65586:QKP65586 QUJ65586:QUL65586 REF65586:REH65586 ROB65586:ROD65586 RXX65586:RXZ65586 SHT65586:SHV65586 SRP65586:SRR65586 TBL65586:TBN65586 TLH65586:TLJ65586 TVD65586:TVF65586 UEZ65586:UFB65586 UOV65586:UOX65586 UYR65586:UYT65586 VIN65586:VIP65586 VSJ65586:VSL65586 WCF65586:WCH65586 WMB65586:WMD65586 WVX65586:WVZ65586 P131122:R131122 JL131122:JN131122 TH131122:TJ131122 ADD131122:ADF131122 AMZ131122:ANB131122 AWV131122:AWX131122 BGR131122:BGT131122 BQN131122:BQP131122 CAJ131122:CAL131122 CKF131122:CKH131122 CUB131122:CUD131122 DDX131122:DDZ131122 DNT131122:DNV131122 DXP131122:DXR131122 EHL131122:EHN131122 ERH131122:ERJ131122 FBD131122:FBF131122 FKZ131122:FLB131122 FUV131122:FUX131122 GER131122:GET131122 GON131122:GOP131122 GYJ131122:GYL131122 HIF131122:HIH131122 HSB131122:HSD131122 IBX131122:IBZ131122 ILT131122:ILV131122 IVP131122:IVR131122 JFL131122:JFN131122 JPH131122:JPJ131122 JZD131122:JZF131122 KIZ131122:KJB131122 KSV131122:KSX131122 LCR131122:LCT131122 LMN131122:LMP131122 LWJ131122:LWL131122 MGF131122:MGH131122 MQB131122:MQD131122 MZX131122:MZZ131122 NJT131122:NJV131122 NTP131122:NTR131122 ODL131122:ODN131122 ONH131122:ONJ131122 OXD131122:OXF131122 PGZ131122:PHB131122 PQV131122:PQX131122 QAR131122:QAT131122 QKN131122:QKP131122 QUJ131122:QUL131122 REF131122:REH131122 ROB131122:ROD131122 RXX131122:RXZ131122 SHT131122:SHV131122 SRP131122:SRR131122 TBL131122:TBN131122 TLH131122:TLJ131122 TVD131122:TVF131122 UEZ131122:UFB131122 UOV131122:UOX131122 UYR131122:UYT131122 VIN131122:VIP131122 VSJ131122:VSL131122 WCF131122:WCH131122 WMB131122:WMD131122 WVX131122:WVZ131122 P196658:R196658 JL196658:JN196658 TH196658:TJ196658 ADD196658:ADF196658 AMZ196658:ANB196658 AWV196658:AWX196658 BGR196658:BGT196658 BQN196658:BQP196658 CAJ196658:CAL196658 CKF196658:CKH196658 CUB196658:CUD196658 DDX196658:DDZ196658 DNT196658:DNV196658 DXP196658:DXR196658 EHL196658:EHN196658 ERH196658:ERJ196658 FBD196658:FBF196658 FKZ196658:FLB196658 FUV196658:FUX196658 GER196658:GET196658 GON196658:GOP196658 GYJ196658:GYL196658 HIF196658:HIH196658 HSB196658:HSD196658 IBX196658:IBZ196658 ILT196658:ILV196658 IVP196658:IVR196658 JFL196658:JFN196658 JPH196658:JPJ196658 JZD196658:JZF196658 KIZ196658:KJB196658 KSV196658:KSX196658 LCR196658:LCT196658 LMN196658:LMP196658 LWJ196658:LWL196658 MGF196658:MGH196658 MQB196658:MQD196658 MZX196658:MZZ196658 NJT196658:NJV196658 NTP196658:NTR196658 ODL196658:ODN196658 ONH196658:ONJ196658 OXD196658:OXF196658 PGZ196658:PHB196658 PQV196658:PQX196658 QAR196658:QAT196658 QKN196658:QKP196658 QUJ196658:QUL196658 REF196658:REH196658 ROB196658:ROD196658 RXX196658:RXZ196658 SHT196658:SHV196658 SRP196658:SRR196658 TBL196658:TBN196658 TLH196658:TLJ196658 TVD196658:TVF196658 UEZ196658:UFB196658 UOV196658:UOX196658 UYR196658:UYT196658 VIN196658:VIP196658 VSJ196658:VSL196658 WCF196658:WCH196658 WMB196658:WMD196658 WVX196658:WVZ196658 P262194:R262194 JL262194:JN262194 TH262194:TJ262194 ADD262194:ADF262194 AMZ262194:ANB262194 AWV262194:AWX262194 BGR262194:BGT262194 BQN262194:BQP262194 CAJ262194:CAL262194 CKF262194:CKH262194 CUB262194:CUD262194 DDX262194:DDZ262194 DNT262194:DNV262194 DXP262194:DXR262194 EHL262194:EHN262194 ERH262194:ERJ262194 FBD262194:FBF262194 FKZ262194:FLB262194 FUV262194:FUX262194 GER262194:GET262194 GON262194:GOP262194 GYJ262194:GYL262194 HIF262194:HIH262194 HSB262194:HSD262194 IBX262194:IBZ262194 ILT262194:ILV262194 IVP262194:IVR262194 JFL262194:JFN262194 JPH262194:JPJ262194 JZD262194:JZF262194 KIZ262194:KJB262194 KSV262194:KSX262194 LCR262194:LCT262194 LMN262194:LMP262194 LWJ262194:LWL262194 MGF262194:MGH262194 MQB262194:MQD262194 MZX262194:MZZ262194 NJT262194:NJV262194 NTP262194:NTR262194 ODL262194:ODN262194 ONH262194:ONJ262194 OXD262194:OXF262194 PGZ262194:PHB262194 PQV262194:PQX262194 QAR262194:QAT262194 QKN262194:QKP262194 QUJ262194:QUL262194 REF262194:REH262194 ROB262194:ROD262194 RXX262194:RXZ262194 SHT262194:SHV262194 SRP262194:SRR262194 TBL262194:TBN262194 TLH262194:TLJ262194 TVD262194:TVF262194 UEZ262194:UFB262194 UOV262194:UOX262194 UYR262194:UYT262194 VIN262194:VIP262194 VSJ262194:VSL262194 WCF262194:WCH262194 WMB262194:WMD262194 WVX262194:WVZ262194 P327730:R327730 JL327730:JN327730 TH327730:TJ327730 ADD327730:ADF327730 AMZ327730:ANB327730 AWV327730:AWX327730 BGR327730:BGT327730 BQN327730:BQP327730 CAJ327730:CAL327730 CKF327730:CKH327730 CUB327730:CUD327730 DDX327730:DDZ327730 DNT327730:DNV327730 DXP327730:DXR327730 EHL327730:EHN327730 ERH327730:ERJ327730 FBD327730:FBF327730 FKZ327730:FLB327730 FUV327730:FUX327730 GER327730:GET327730 GON327730:GOP327730 GYJ327730:GYL327730 HIF327730:HIH327730 HSB327730:HSD327730 IBX327730:IBZ327730 ILT327730:ILV327730 IVP327730:IVR327730 JFL327730:JFN327730 JPH327730:JPJ327730 JZD327730:JZF327730 KIZ327730:KJB327730 KSV327730:KSX327730 LCR327730:LCT327730 LMN327730:LMP327730 LWJ327730:LWL327730 MGF327730:MGH327730 MQB327730:MQD327730 MZX327730:MZZ327730 NJT327730:NJV327730 NTP327730:NTR327730 ODL327730:ODN327730 ONH327730:ONJ327730 OXD327730:OXF327730 PGZ327730:PHB327730 PQV327730:PQX327730 QAR327730:QAT327730 QKN327730:QKP327730 QUJ327730:QUL327730 REF327730:REH327730 ROB327730:ROD327730 RXX327730:RXZ327730 SHT327730:SHV327730 SRP327730:SRR327730 TBL327730:TBN327730 TLH327730:TLJ327730 TVD327730:TVF327730 UEZ327730:UFB327730 UOV327730:UOX327730 UYR327730:UYT327730 VIN327730:VIP327730 VSJ327730:VSL327730 WCF327730:WCH327730 WMB327730:WMD327730 WVX327730:WVZ327730 P393266:R393266 JL393266:JN393266 TH393266:TJ393266 ADD393266:ADF393266 AMZ393266:ANB393266 AWV393266:AWX393266 BGR393266:BGT393266 BQN393266:BQP393266 CAJ393266:CAL393266 CKF393266:CKH393266 CUB393266:CUD393266 DDX393266:DDZ393266 DNT393266:DNV393266 DXP393266:DXR393266 EHL393266:EHN393266 ERH393266:ERJ393266 FBD393266:FBF393266 FKZ393266:FLB393266 FUV393266:FUX393266 GER393266:GET393266 GON393266:GOP393266 GYJ393266:GYL393266 HIF393266:HIH393266 HSB393266:HSD393266 IBX393266:IBZ393266 ILT393266:ILV393266 IVP393266:IVR393266 JFL393266:JFN393266 JPH393266:JPJ393266 JZD393266:JZF393266 KIZ393266:KJB393266 KSV393266:KSX393266 LCR393266:LCT393266 LMN393266:LMP393266 LWJ393266:LWL393266 MGF393266:MGH393266 MQB393266:MQD393266 MZX393266:MZZ393266 NJT393266:NJV393266 NTP393266:NTR393266 ODL393266:ODN393266 ONH393266:ONJ393266 OXD393266:OXF393266 PGZ393266:PHB393266 PQV393266:PQX393266 QAR393266:QAT393266 QKN393266:QKP393266 QUJ393266:QUL393266 REF393266:REH393266 ROB393266:ROD393266 RXX393266:RXZ393266 SHT393266:SHV393266 SRP393266:SRR393266 TBL393266:TBN393266 TLH393266:TLJ393266 TVD393266:TVF393266 UEZ393266:UFB393266 UOV393266:UOX393266 UYR393266:UYT393266 VIN393266:VIP393266 VSJ393266:VSL393266 WCF393266:WCH393266 WMB393266:WMD393266 WVX393266:WVZ393266 P458802:R458802 JL458802:JN458802 TH458802:TJ458802 ADD458802:ADF458802 AMZ458802:ANB458802 AWV458802:AWX458802 BGR458802:BGT458802 BQN458802:BQP458802 CAJ458802:CAL458802 CKF458802:CKH458802 CUB458802:CUD458802 DDX458802:DDZ458802 DNT458802:DNV458802 DXP458802:DXR458802 EHL458802:EHN458802 ERH458802:ERJ458802 FBD458802:FBF458802 FKZ458802:FLB458802 FUV458802:FUX458802 GER458802:GET458802 GON458802:GOP458802 GYJ458802:GYL458802 HIF458802:HIH458802 HSB458802:HSD458802 IBX458802:IBZ458802 ILT458802:ILV458802 IVP458802:IVR458802 JFL458802:JFN458802 JPH458802:JPJ458802 JZD458802:JZF458802 KIZ458802:KJB458802 KSV458802:KSX458802 LCR458802:LCT458802 LMN458802:LMP458802 LWJ458802:LWL458802 MGF458802:MGH458802 MQB458802:MQD458802 MZX458802:MZZ458802 NJT458802:NJV458802 NTP458802:NTR458802 ODL458802:ODN458802 ONH458802:ONJ458802 OXD458802:OXF458802 PGZ458802:PHB458802 PQV458802:PQX458802 QAR458802:QAT458802 QKN458802:QKP458802 QUJ458802:QUL458802 REF458802:REH458802 ROB458802:ROD458802 RXX458802:RXZ458802 SHT458802:SHV458802 SRP458802:SRR458802 TBL458802:TBN458802 TLH458802:TLJ458802 TVD458802:TVF458802 UEZ458802:UFB458802 UOV458802:UOX458802 UYR458802:UYT458802 VIN458802:VIP458802 VSJ458802:VSL458802 WCF458802:WCH458802 WMB458802:WMD458802 WVX458802:WVZ458802 P524338:R524338 JL524338:JN524338 TH524338:TJ524338 ADD524338:ADF524338 AMZ524338:ANB524338 AWV524338:AWX524338 BGR524338:BGT524338 BQN524338:BQP524338 CAJ524338:CAL524338 CKF524338:CKH524338 CUB524338:CUD524338 DDX524338:DDZ524338 DNT524338:DNV524338 DXP524338:DXR524338 EHL524338:EHN524338 ERH524338:ERJ524338 FBD524338:FBF524338 FKZ524338:FLB524338 FUV524338:FUX524338 GER524338:GET524338 GON524338:GOP524338 GYJ524338:GYL524338 HIF524338:HIH524338 HSB524338:HSD524338 IBX524338:IBZ524338 ILT524338:ILV524338 IVP524338:IVR524338 JFL524338:JFN524338 JPH524338:JPJ524338 JZD524338:JZF524338 KIZ524338:KJB524338 KSV524338:KSX524338 LCR524338:LCT524338 LMN524338:LMP524338 LWJ524338:LWL524338 MGF524338:MGH524338 MQB524338:MQD524338 MZX524338:MZZ524338 NJT524338:NJV524338 NTP524338:NTR524338 ODL524338:ODN524338 ONH524338:ONJ524338 OXD524338:OXF524338 PGZ524338:PHB524338 PQV524338:PQX524338 QAR524338:QAT524338 QKN524338:QKP524338 QUJ524338:QUL524338 REF524338:REH524338 ROB524338:ROD524338 RXX524338:RXZ524338 SHT524338:SHV524338 SRP524338:SRR524338 TBL524338:TBN524338 TLH524338:TLJ524338 TVD524338:TVF524338 UEZ524338:UFB524338 UOV524338:UOX524338 UYR524338:UYT524338 VIN524338:VIP524338 VSJ524338:VSL524338 WCF524338:WCH524338 WMB524338:WMD524338 WVX524338:WVZ524338 P589874:R589874 JL589874:JN589874 TH589874:TJ589874 ADD589874:ADF589874 AMZ589874:ANB589874 AWV589874:AWX589874 BGR589874:BGT589874 BQN589874:BQP589874 CAJ589874:CAL589874 CKF589874:CKH589874 CUB589874:CUD589874 DDX589874:DDZ589874 DNT589874:DNV589874 DXP589874:DXR589874 EHL589874:EHN589874 ERH589874:ERJ589874 FBD589874:FBF589874 FKZ589874:FLB589874 FUV589874:FUX589874 GER589874:GET589874 GON589874:GOP589874 GYJ589874:GYL589874 HIF589874:HIH589874 HSB589874:HSD589874 IBX589874:IBZ589874 ILT589874:ILV589874 IVP589874:IVR589874 JFL589874:JFN589874 JPH589874:JPJ589874 JZD589874:JZF589874 KIZ589874:KJB589874 KSV589874:KSX589874 LCR589874:LCT589874 LMN589874:LMP589874 LWJ589874:LWL589874 MGF589874:MGH589874 MQB589874:MQD589874 MZX589874:MZZ589874 NJT589874:NJV589874 NTP589874:NTR589874 ODL589874:ODN589874 ONH589874:ONJ589874 OXD589874:OXF589874 PGZ589874:PHB589874 PQV589874:PQX589874 QAR589874:QAT589874 QKN589874:QKP589874 QUJ589874:QUL589874 REF589874:REH589874 ROB589874:ROD589874 RXX589874:RXZ589874 SHT589874:SHV589874 SRP589874:SRR589874 TBL589874:TBN589874 TLH589874:TLJ589874 TVD589874:TVF589874 UEZ589874:UFB589874 UOV589874:UOX589874 UYR589874:UYT589874 VIN589874:VIP589874 VSJ589874:VSL589874 WCF589874:WCH589874 WMB589874:WMD589874 WVX589874:WVZ589874 P655410:R655410 JL655410:JN655410 TH655410:TJ655410 ADD655410:ADF655410 AMZ655410:ANB655410 AWV655410:AWX655410 BGR655410:BGT655410 BQN655410:BQP655410 CAJ655410:CAL655410 CKF655410:CKH655410 CUB655410:CUD655410 DDX655410:DDZ655410 DNT655410:DNV655410 DXP655410:DXR655410 EHL655410:EHN655410 ERH655410:ERJ655410 FBD655410:FBF655410 FKZ655410:FLB655410 FUV655410:FUX655410 GER655410:GET655410 GON655410:GOP655410 GYJ655410:GYL655410 HIF655410:HIH655410 HSB655410:HSD655410 IBX655410:IBZ655410 ILT655410:ILV655410 IVP655410:IVR655410 JFL655410:JFN655410 JPH655410:JPJ655410 JZD655410:JZF655410 KIZ655410:KJB655410 KSV655410:KSX655410 LCR655410:LCT655410 LMN655410:LMP655410 LWJ655410:LWL655410 MGF655410:MGH655410 MQB655410:MQD655410 MZX655410:MZZ655410 NJT655410:NJV655410 NTP655410:NTR655410 ODL655410:ODN655410 ONH655410:ONJ655410 OXD655410:OXF655410 PGZ655410:PHB655410 PQV655410:PQX655410 QAR655410:QAT655410 QKN655410:QKP655410 QUJ655410:QUL655410 REF655410:REH655410 ROB655410:ROD655410 RXX655410:RXZ655410 SHT655410:SHV655410 SRP655410:SRR655410 TBL655410:TBN655410 TLH655410:TLJ655410 TVD655410:TVF655410 UEZ655410:UFB655410 UOV655410:UOX655410 UYR655410:UYT655410 VIN655410:VIP655410 VSJ655410:VSL655410 WCF655410:WCH655410 WMB655410:WMD655410 WVX655410:WVZ655410 P720946:R720946 JL720946:JN720946 TH720946:TJ720946 ADD720946:ADF720946 AMZ720946:ANB720946 AWV720946:AWX720946 BGR720946:BGT720946 BQN720946:BQP720946 CAJ720946:CAL720946 CKF720946:CKH720946 CUB720946:CUD720946 DDX720946:DDZ720946 DNT720946:DNV720946 DXP720946:DXR720946 EHL720946:EHN720946 ERH720946:ERJ720946 FBD720946:FBF720946 FKZ720946:FLB720946 FUV720946:FUX720946 GER720946:GET720946 GON720946:GOP720946 GYJ720946:GYL720946 HIF720946:HIH720946 HSB720946:HSD720946 IBX720946:IBZ720946 ILT720946:ILV720946 IVP720946:IVR720946 JFL720946:JFN720946 JPH720946:JPJ720946 JZD720946:JZF720946 KIZ720946:KJB720946 KSV720946:KSX720946 LCR720946:LCT720946 LMN720946:LMP720946 LWJ720946:LWL720946 MGF720946:MGH720946 MQB720946:MQD720946 MZX720946:MZZ720946 NJT720946:NJV720946 NTP720946:NTR720946 ODL720946:ODN720946 ONH720946:ONJ720946 OXD720946:OXF720946 PGZ720946:PHB720946 PQV720946:PQX720946 QAR720946:QAT720946 QKN720946:QKP720946 QUJ720946:QUL720946 REF720946:REH720946 ROB720946:ROD720946 RXX720946:RXZ720946 SHT720946:SHV720946 SRP720946:SRR720946 TBL720946:TBN720946 TLH720946:TLJ720946 TVD720946:TVF720946 UEZ720946:UFB720946 UOV720946:UOX720946 UYR720946:UYT720946 VIN720946:VIP720946 VSJ720946:VSL720946 WCF720946:WCH720946 WMB720946:WMD720946 WVX720946:WVZ720946 P786482:R786482 JL786482:JN786482 TH786482:TJ786482 ADD786482:ADF786482 AMZ786482:ANB786482 AWV786482:AWX786482 BGR786482:BGT786482 BQN786482:BQP786482 CAJ786482:CAL786482 CKF786482:CKH786482 CUB786482:CUD786482 DDX786482:DDZ786482 DNT786482:DNV786482 DXP786482:DXR786482 EHL786482:EHN786482 ERH786482:ERJ786482 FBD786482:FBF786482 FKZ786482:FLB786482 FUV786482:FUX786482 GER786482:GET786482 GON786482:GOP786482 GYJ786482:GYL786482 HIF786482:HIH786482 HSB786482:HSD786482 IBX786482:IBZ786482 ILT786482:ILV786482 IVP786482:IVR786482 JFL786482:JFN786482 JPH786482:JPJ786482 JZD786482:JZF786482 KIZ786482:KJB786482 KSV786482:KSX786482 LCR786482:LCT786482 LMN786482:LMP786482 LWJ786482:LWL786482 MGF786482:MGH786482 MQB786482:MQD786482 MZX786482:MZZ786482 NJT786482:NJV786482 NTP786482:NTR786482 ODL786482:ODN786482 ONH786482:ONJ786482 OXD786482:OXF786482 PGZ786482:PHB786482 PQV786482:PQX786482 QAR786482:QAT786482 QKN786482:QKP786482 QUJ786482:QUL786482 REF786482:REH786482 ROB786482:ROD786482 RXX786482:RXZ786482 SHT786482:SHV786482 SRP786482:SRR786482 TBL786482:TBN786482 TLH786482:TLJ786482 TVD786482:TVF786482 UEZ786482:UFB786482 UOV786482:UOX786482 UYR786482:UYT786482 VIN786482:VIP786482 VSJ786482:VSL786482 WCF786482:WCH786482 WMB786482:WMD786482 WVX786482:WVZ786482 P852018:R852018 JL852018:JN852018 TH852018:TJ852018 ADD852018:ADF852018 AMZ852018:ANB852018 AWV852018:AWX852018 BGR852018:BGT852018 BQN852018:BQP852018 CAJ852018:CAL852018 CKF852018:CKH852018 CUB852018:CUD852018 DDX852018:DDZ852018 DNT852018:DNV852018 DXP852018:DXR852018 EHL852018:EHN852018 ERH852018:ERJ852018 FBD852018:FBF852018 FKZ852018:FLB852018 FUV852018:FUX852018 GER852018:GET852018 GON852018:GOP852018 GYJ852018:GYL852018 HIF852018:HIH852018 HSB852018:HSD852018 IBX852018:IBZ852018 ILT852018:ILV852018 IVP852018:IVR852018 JFL852018:JFN852018 JPH852018:JPJ852018 JZD852018:JZF852018 KIZ852018:KJB852018 KSV852018:KSX852018 LCR852018:LCT852018 LMN852018:LMP852018 LWJ852018:LWL852018 MGF852018:MGH852018 MQB852018:MQD852018 MZX852018:MZZ852018 NJT852018:NJV852018 NTP852018:NTR852018 ODL852018:ODN852018 ONH852018:ONJ852018 OXD852018:OXF852018 PGZ852018:PHB852018 PQV852018:PQX852018 QAR852018:QAT852018 QKN852018:QKP852018 QUJ852018:QUL852018 REF852018:REH852018 ROB852018:ROD852018 RXX852018:RXZ852018 SHT852018:SHV852018 SRP852018:SRR852018 TBL852018:TBN852018 TLH852018:TLJ852018 TVD852018:TVF852018 UEZ852018:UFB852018 UOV852018:UOX852018 UYR852018:UYT852018 VIN852018:VIP852018 VSJ852018:VSL852018 WCF852018:WCH852018 WMB852018:WMD852018 WVX852018:WVZ852018 P917554:R917554 JL917554:JN917554 TH917554:TJ917554 ADD917554:ADF917554 AMZ917554:ANB917554 AWV917554:AWX917554 BGR917554:BGT917554 BQN917554:BQP917554 CAJ917554:CAL917554 CKF917554:CKH917554 CUB917554:CUD917554 DDX917554:DDZ917554 DNT917554:DNV917554 DXP917554:DXR917554 EHL917554:EHN917554 ERH917554:ERJ917554 FBD917554:FBF917554 FKZ917554:FLB917554 FUV917554:FUX917554 GER917554:GET917554 GON917554:GOP917554 GYJ917554:GYL917554 HIF917554:HIH917554 HSB917554:HSD917554 IBX917554:IBZ917554 ILT917554:ILV917554 IVP917554:IVR917554 JFL917554:JFN917554 JPH917554:JPJ917554 JZD917554:JZF917554 KIZ917554:KJB917554 KSV917554:KSX917554 LCR917554:LCT917554 LMN917554:LMP917554 LWJ917554:LWL917554 MGF917554:MGH917554 MQB917554:MQD917554 MZX917554:MZZ917554 NJT917554:NJV917554 NTP917554:NTR917554 ODL917554:ODN917554 ONH917554:ONJ917554 OXD917554:OXF917554 PGZ917554:PHB917554 PQV917554:PQX917554 QAR917554:QAT917554 QKN917554:QKP917554 QUJ917554:QUL917554 REF917554:REH917554 ROB917554:ROD917554 RXX917554:RXZ917554 SHT917554:SHV917554 SRP917554:SRR917554 TBL917554:TBN917554 TLH917554:TLJ917554 TVD917554:TVF917554 UEZ917554:UFB917554 UOV917554:UOX917554 UYR917554:UYT917554 VIN917554:VIP917554 VSJ917554:VSL917554 WCF917554:WCH917554 WMB917554:WMD917554 WVX917554:WVZ917554 P983090:R983090 JL983090:JN983090 TH983090:TJ983090 ADD983090:ADF983090 AMZ983090:ANB983090 AWV983090:AWX983090 BGR983090:BGT983090 BQN983090:BQP983090 CAJ983090:CAL983090 CKF983090:CKH983090 CUB983090:CUD983090 DDX983090:DDZ983090 DNT983090:DNV983090 DXP983090:DXR983090 EHL983090:EHN983090 ERH983090:ERJ983090 FBD983090:FBF983090 FKZ983090:FLB983090 FUV983090:FUX983090 GER983090:GET983090 GON983090:GOP983090 GYJ983090:GYL983090 HIF983090:HIH983090 HSB983090:HSD983090 IBX983090:IBZ983090 ILT983090:ILV983090 IVP983090:IVR983090 JFL983090:JFN983090 JPH983090:JPJ983090 JZD983090:JZF983090 KIZ983090:KJB983090 KSV983090:KSX983090 LCR983090:LCT983090 LMN983090:LMP983090 LWJ983090:LWL983090 MGF983090:MGH983090 MQB983090:MQD983090 MZX983090:MZZ983090 NJT983090:NJV983090 NTP983090:NTR983090 ODL983090:ODN983090 ONH983090:ONJ983090 OXD983090:OXF983090 PGZ983090:PHB983090 PQV983090:PQX983090 QAR983090:QAT983090 QKN983090:QKP983090 QUJ983090:QUL983090 REF983090:REH983090 ROB983090:ROD983090 RXX983090:RXZ983090 SHT983090:SHV983090 SRP983090:SRR983090 TBL983090:TBN983090 TLH983090:TLJ983090 TVD983090:TVF983090 UEZ983090:UFB983090 UOV983090:UOX983090 UYR983090:UYT983090 VIN983090:VIP983090 VSJ983090:VSL983090 WCF983090:WCH983090 WMB983090:WMD983090 WVX983090:WVZ983090">
      <formula1>#REF!</formula1>
    </dataValidation>
  </dataValidations>
  <hyperlinks>
    <hyperlink ref="S8" location="Portada!A1" display="Volver"/>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IS38"/>
  <sheetViews>
    <sheetView showZeros="0" workbookViewId="0">
      <selection activeCell="B33" sqref="B33:R33"/>
    </sheetView>
  </sheetViews>
  <sheetFormatPr baseColWidth="10" defaultColWidth="0" defaultRowHeight="12.75" customHeight="1"/>
  <cols>
    <col min="1" max="1" width="1.42578125" style="1" customWidth="1"/>
    <col min="2" max="2" width="12.7109375" style="883" customWidth="1"/>
    <col min="3" max="3" width="10" style="883" customWidth="1"/>
    <col min="4" max="4" width="11.42578125" style="882" customWidth="1"/>
    <col min="5" max="5" width="9.42578125" style="882" customWidth="1"/>
    <col min="6" max="6" width="12.5703125" style="882" customWidth="1"/>
    <col min="7" max="7" width="10.5703125" style="881" customWidth="1"/>
    <col min="8" max="8" width="6.140625" style="881" customWidth="1"/>
    <col min="9" max="9" width="6.85546875" style="881" customWidth="1"/>
    <col min="10" max="10" width="10.5703125" style="881" customWidth="1"/>
    <col min="11" max="11" width="10.140625" style="881" customWidth="1"/>
    <col min="12" max="12" width="11.42578125" style="881" customWidth="1"/>
    <col min="13" max="13" width="9.28515625" style="881" bestFit="1" customWidth="1"/>
    <col min="14" max="14" width="9.28515625" style="881" customWidth="1"/>
    <col min="15" max="16" width="10.7109375" style="1" customWidth="1"/>
    <col min="17" max="17" width="10.28515625" style="1" customWidth="1"/>
    <col min="18" max="18" width="9.7109375" style="1" customWidth="1"/>
    <col min="19" max="19" width="6.28515625" style="9" bestFit="1" customWidth="1"/>
    <col min="20" max="20" width="4.28515625" style="1" hidden="1" customWidth="1"/>
    <col min="21" max="21" width="4" style="1" hidden="1" customWidth="1"/>
    <col min="22" max="22" width="10.140625" style="1" hidden="1" customWidth="1"/>
    <col min="23" max="23" width="14.5703125" style="1" hidden="1" customWidth="1"/>
    <col min="24" max="253" width="1.85546875" style="1" hidden="1" customWidth="1"/>
    <col min="254" max="16384" width="11.42578125" style="1" hidden="1"/>
  </cols>
  <sheetData>
    <row r="1" spans="2:48" ht="18" customHeight="1">
      <c r="B1" s="1436" t="s">
        <v>2643</v>
      </c>
      <c r="C1" s="1436"/>
      <c r="D1" s="1436"/>
      <c r="E1" s="1436"/>
      <c r="F1" s="1436"/>
      <c r="G1" s="1436"/>
      <c r="H1" s="1436"/>
      <c r="I1" s="1436"/>
      <c r="J1" s="1436"/>
      <c r="K1" s="1436"/>
      <c r="L1" s="1436"/>
      <c r="M1" s="1436"/>
      <c r="N1" s="1436"/>
      <c r="O1" s="1436"/>
      <c r="P1" s="1436"/>
      <c r="Q1" s="1436"/>
      <c r="R1" s="880"/>
    </row>
    <row r="2" spans="2:48" ht="16.5" customHeight="1">
      <c r="B2" s="1436" t="s">
        <v>2634</v>
      </c>
      <c r="C2" s="1436"/>
      <c r="D2" s="1436"/>
      <c r="E2" s="1436"/>
      <c r="F2" s="1436"/>
      <c r="G2" s="1436"/>
      <c r="H2" s="1436"/>
      <c r="I2" s="1436"/>
      <c r="J2" s="1436"/>
      <c r="K2" s="1436"/>
      <c r="L2" s="1436"/>
      <c r="M2" s="1436"/>
      <c r="N2" s="1436"/>
      <c r="O2" s="1436"/>
      <c r="P2" s="1436"/>
      <c r="Q2" s="1436"/>
      <c r="R2" s="880"/>
    </row>
    <row r="3" spans="2:48" ht="6.75" customHeight="1">
      <c r="B3" s="874"/>
      <c r="C3" s="874"/>
      <c r="D3" s="873"/>
      <c r="E3" s="1438"/>
      <c r="F3" s="1438"/>
      <c r="G3" s="1438"/>
      <c r="H3" s="1438"/>
      <c r="I3" s="1438"/>
      <c r="J3" s="1438"/>
      <c r="K3" s="1438"/>
      <c r="L3" s="1438"/>
      <c r="M3" s="1438"/>
      <c r="N3" s="1438"/>
      <c r="O3" s="1438"/>
      <c r="P3" s="874"/>
      <c r="Q3" s="879"/>
      <c r="R3" s="879"/>
    </row>
    <row r="4" spans="2:48" ht="15" customHeight="1">
      <c r="B4" s="874"/>
      <c r="C4" s="878"/>
      <c r="D4" s="878"/>
      <c r="E4" s="878"/>
      <c r="F4" s="878"/>
      <c r="G4" s="878"/>
      <c r="H4" s="878"/>
      <c r="I4" s="878"/>
      <c r="J4" s="878"/>
      <c r="K4" s="878"/>
      <c r="L4" s="878"/>
      <c r="M4" s="878"/>
      <c r="N4" s="878"/>
      <c r="O4" s="874"/>
      <c r="P4" s="877"/>
      <c r="Q4" s="877"/>
      <c r="R4" s="877"/>
    </row>
    <row r="5" spans="2:48" ht="20.25">
      <c r="B5" s="874"/>
      <c r="C5" s="874"/>
      <c r="D5" s="1030" t="str">
        <f>IF(E5=W16,V16,IF(E5=W17,V17,IF(E5=W18,V18,IF(E5=W19,V19,"PLAN DE DESARROLLO"))))</f>
        <v>OBJ_1</v>
      </c>
      <c r="E5" s="1463" t="s">
        <v>43</v>
      </c>
      <c r="F5" s="1464"/>
      <c r="G5" s="1464"/>
      <c r="H5" s="1464"/>
      <c r="I5" s="1464"/>
      <c r="J5" s="1464"/>
      <c r="K5" s="1464"/>
      <c r="L5" s="1465"/>
      <c r="M5" s="874"/>
      <c r="N5" s="1100"/>
      <c r="O5" s="1100"/>
      <c r="P5" s="1100"/>
      <c r="Q5" s="874"/>
      <c r="R5" s="875"/>
    </row>
    <row r="6" spans="2:48" ht="2.25" customHeight="1">
      <c r="B6" s="958"/>
      <c r="C6" s="958"/>
      <c r="D6" s="959"/>
      <c r="E6" s="965"/>
      <c r="F6" s="965"/>
      <c r="G6" s="965"/>
      <c r="H6" s="965"/>
      <c r="I6" s="965"/>
      <c r="J6" s="965"/>
      <c r="K6" s="965"/>
      <c r="L6" s="965"/>
      <c r="M6" s="958"/>
      <c r="N6" s="958"/>
      <c r="O6" s="958"/>
      <c r="P6" s="958"/>
      <c r="Q6" s="958"/>
      <c r="R6" s="960"/>
    </row>
    <row r="7" spans="2:48" ht="5.25" customHeight="1">
      <c r="B7" s="874"/>
      <c r="C7" s="874"/>
      <c r="D7" s="961"/>
      <c r="E7" s="962"/>
      <c r="F7" s="962"/>
      <c r="G7" s="962"/>
      <c r="H7" s="962"/>
      <c r="I7" s="962"/>
      <c r="J7" s="962"/>
      <c r="K7" s="962"/>
      <c r="L7" s="962"/>
      <c r="M7" s="874"/>
      <c r="N7" s="874"/>
      <c r="O7" s="874"/>
      <c r="P7" s="874"/>
      <c r="Q7" s="874"/>
      <c r="R7" s="875"/>
    </row>
    <row r="8" spans="2:48" ht="20.25">
      <c r="B8" s="961"/>
      <c r="C8" s="1484" t="s">
        <v>2762</v>
      </c>
      <c r="D8" s="1485"/>
      <c r="E8" s="1480" t="s">
        <v>2660</v>
      </c>
      <c r="F8" s="1481"/>
      <c r="G8" s="1481"/>
      <c r="H8" s="1481"/>
      <c r="I8" s="1481"/>
      <c r="J8" s="1481"/>
      <c r="K8" s="1481"/>
      <c r="L8" s="1482"/>
      <c r="M8" s="957"/>
      <c r="N8" s="1100"/>
      <c r="O8" s="1100"/>
      <c r="P8" s="1100"/>
      <c r="Q8" s="957"/>
      <c r="R8" s="875"/>
      <c r="S8" s="865" t="s">
        <v>47</v>
      </c>
    </row>
    <row r="9" spans="2:48" ht="4.5" customHeight="1">
      <c r="B9" s="961"/>
      <c r="C9" s="963"/>
      <c r="D9" s="963"/>
      <c r="E9" s="964"/>
      <c r="F9" s="964"/>
      <c r="G9" s="964"/>
      <c r="H9" s="964"/>
      <c r="I9" s="964"/>
      <c r="J9" s="964"/>
      <c r="K9" s="964"/>
      <c r="L9" s="964"/>
      <c r="M9" s="957"/>
      <c r="N9" s="957"/>
      <c r="O9" s="957"/>
      <c r="P9" s="957"/>
      <c r="Q9" s="957"/>
      <c r="R9" s="875"/>
    </row>
    <row r="10" spans="2:48" ht="30" customHeight="1">
      <c r="B10" s="967" t="s">
        <v>2763</v>
      </c>
      <c r="C10" s="967"/>
      <c r="D10" s="1466" t="str">
        <f>VLOOKUP($E$8,Datos_Prog!$B$23:$AP$56,2,FALSE)</f>
        <v>CONTRIBUIR AL PLENO DESARROLLO DE POTENCIALIDADES, CAPACIDADES Y EMPODERAMIENTO DE LAS MUJERES EN CUNDINAMARCA, PARA EL GOCE EFECTIVO DE SUS DERECHOS, EN UNA RELACIÓN DE GÉNERO EQUITATIVA, JUSTA E INCLUYENTE.</v>
      </c>
      <c r="E10" s="1467"/>
      <c r="F10" s="1467"/>
      <c r="G10" s="1467"/>
      <c r="H10" s="1467"/>
      <c r="I10" s="1467"/>
      <c r="J10" s="1467"/>
      <c r="K10" s="1467"/>
      <c r="L10" s="1467"/>
      <c r="M10" s="1467"/>
      <c r="N10" s="1467"/>
      <c r="O10" s="1467"/>
      <c r="P10" s="1467"/>
      <c r="Q10" s="1467"/>
      <c r="R10" s="1468"/>
    </row>
    <row r="11" spans="2:48" ht="15.75">
      <c r="B11" s="967" t="s">
        <v>2764</v>
      </c>
      <c r="C11" s="967"/>
      <c r="D11" s="975">
        <f>VLOOKUP($E$8,Datos_Prog!$B$23:$AP$56,3,FALSE)</f>
        <v>247</v>
      </c>
      <c r="E11" s="975">
        <f>VLOOKUP($E$8,Datos_Prog!$B$23:$AP$56,4,FALSE)</f>
        <v>0</v>
      </c>
      <c r="F11" s="975">
        <f>VLOOKUP($E$8,Datos_Prog!$B$23:$AP$56,5,FALSE)</f>
        <v>0</v>
      </c>
      <c r="G11" s="975">
        <f>VLOOKUP($E$8,Datos_Prog!$B$23:$AP$56,6,FALSE)</f>
        <v>0</v>
      </c>
      <c r="H11" s="975">
        <f>VLOOKUP($E$8,Datos_Prog!$B$23:$AP$56,7,FALSE)</f>
        <v>0</v>
      </c>
      <c r="I11" s="975">
        <f>VLOOKUP($E$8,Datos_Prog!$B$23:$AP$56,8,FALSE)</f>
        <v>0</v>
      </c>
      <c r="J11" s="975">
        <f>VLOOKUP($E$8,Datos_Prog!$B$23:$AP$56,9,FALSE)</f>
        <v>0</v>
      </c>
      <c r="K11" s="975">
        <f>VLOOKUP($E$8,Datos_Prog!$B$23:$AP$56,10,FALSE)</f>
        <v>0</v>
      </c>
      <c r="L11" s="975">
        <f>VLOOKUP($E$8,Datos_Prog!$B$23:$AP$56,11,FALSE)</f>
        <v>0</v>
      </c>
      <c r="M11" s="975">
        <f>VLOOKUP($E$8,Datos_Prog!$B$23:$AP$56,12,FALSE)</f>
        <v>0</v>
      </c>
      <c r="N11" s="975"/>
      <c r="O11" s="975"/>
      <c r="P11" s="975"/>
      <c r="Q11" s="975"/>
      <c r="R11" s="974"/>
    </row>
    <row r="12" spans="2:48" ht="15.75" customHeight="1">
      <c r="B12" s="967" t="s">
        <v>2765</v>
      </c>
      <c r="C12" s="967"/>
      <c r="D12" s="1471" t="str">
        <f>VLOOKUP($E$8,Datos_Prog!$B$23:$AP$56,14,FALSE)</f>
        <v>SECRETARIA DE DESARROLLO SOCIAL</v>
      </c>
      <c r="E12" s="1472"/>
      <c r="F12" s="1472"/>
      <c r="G12" s="1472"/>
      <c r="H12" s="1472"/>
      <c r="I12" s="1472"/>
      <c r="J12" s="1472"/>
      <c r="K12" s="1472"/>
      <c r="L12" s="1472"/>
      <c r="M12" s="1472"/>
      <c r="N12" s="1472"/>
      <c r="O12" s="1472"/>
      <c r="P12" s="1472"/>
      <c r="Q12" s="1472"/>
      <c r="R12" s="1473"/>
    </row>
    <row r="13" spans="2:48">
      <c r="B13" s="1498" t="s">
        <v>2766</v>
      </c>
      <c r="C13" s="1498"/>
      <c r="D13" s="1499" t="str">
        <f>VLOOKUP($E$8,Datos_Prog!$B$23:$AP$56,15,FALSE)</f>
        <v>INSTITUTO DE ACCION COMUNAL</v>
      </c>
      <c r="E13" s="1500"/>
      <c r="F13" s="1501"/>
      <c r="G13" s="1499">
        <f>VLOOKUP($E$8,Datos_Prog!$B$23:$AP$56,16,FALSE)</f>
        <v>0</v>
      </c>
      <c r="H13" s="1500"/>
      <c r="I13" s="1501"/>
      <c r="J13" s="1499">
        <f>VLOOKUP($E$8,Datos_Prog!$B$23:$AP$56,17,FALSE)</f>
        <v>0</v>
      </c>
      <c r="K13" s="1500"/>
      <c r="L13" s="1501"/>
      <c r="M13" s="1499">
        <f>VLOOKUP($E$8,Datos_Prog!$B$23:$AP$56,18,FALSE)</f>
        <v>0</v>
      </c>
      <c r="N13" s="1500"/>
      <c r="O13" s="1501"/>
      <c r="P13" s="1499">
        <f>VLOOKUP($E$8,Datos_Prog!$B$23:$AP$56,19,FALSE)</f>
        <v>0</v>
      </c>
      <c r="Q13" s="1500"/>
      <c r="R13" s="1501"/>
    </row>
    <row r="14" spans="2:48">
      <c r="B14" s="1498"/>
      <c r="C14" s="1498"/>
      <c r="D14" s="1499">
        <f>VLOOKUP($E$8,Datos_Prog!$B$23:$AP$56,20,FALSE)</f>
        <v>0</v>
      </c>
      <c r="E14" s="1500"/>
      <c r="F14" s="1501"/>
      <c r="G14" s="1502">
        <f>VLOOKUP($E$8,Datos_Prog!$B$23:$AP$56,21,FALSE)</f>
        <v>0</v>
      </c>
      <c r="H14" s="1503"/>
      <c r="I14" s="1504"/>
      <c r="J14" s="1499">
        <f>VLOOKUP($E$8,Datos_Prog!$B$23:$AP$56,22,FALSE)</f>
        <v>0</v>
      </c>
      <c r="K14" s="1500"/>
      <c r="L14" s="1501"/>
      <c r="M14" s="1499">
        <f>VLOOKUP($E$8,Datos_Prog!$B$23:$AP$56,23,FALSE)</f>
        <v>0</v>
      </c>
      <c r="N14" s="1500"/>
      <c r="O14" s="1501"/>
      <c r="P14" s="1499">
        <f>VLOOKUP($E$8,Datos_Prog!$B$23:$AP$56,24,FALSE)</f>
        <v>0</v>
      </c>
      <c r="Q14" s="1500"/>
      <c r="R14" s="1501"/>
    </row>
    <row r="15" spans="2:48">
      <c r="B15" s="1498"/>
      <c r="C15" s="1498"/>
      <c r="D15" s="1499">
        <f>VLOOKUP($E$8,Datos_Prog!$B$23:$AP$56,25,FALSE)</f>
        <v>0</v>
      </c>
      <c r="E15" s="1500"/>
      <c r="F15" s="1501"/>
      <c r="G15" s="1499">
        <f>VLOOKUP($E$8,Datos_Prog!$B$23:$AP$56,26,FALSE)</f>
        <v>0</v>
      </c>
      <c r="H15" s="1500"/>
      <c r="I15" s="1501"/>
      <c r="J15" s="1474"/>
      <c r="K15" s="1475"/>
      <c r="L15" s="1476"/>
      <c r="M15" s="1474"/>
      <c r="N15" s="1475"/>
      <c r="O15" s="1476"/>
      <c r="P15" s="1474"/>
      <c r="Q15" s="1475"/>
      <c r="R15" s="1476"/>
    </row>
    <row r="16" spans="2:48" ht="6.75" customHeight="1">
      <c r="B16" s="874"/>
      <c r="C16" s="874"/>
      <c r="D16" s="873"/>
      <c r="E16" s="872"/>
      <c r="F16" s="872"/>
      <c r="G16" s="872"/>
      <c r="H16" s="872"/>
      <c r="I16" s="872"/>
      <c r="J16" s="872"/>
      <c r="K16" s="872"/>
      <c r="L16" s="872"/>
      <c r="M16" s="872"/>
      <c r="N16" s="872"/>
      <c r="O16" s="872"/>
      <c r="P16" s="872"/>
      <c r="Q16" s="872"/>
      <c r="R16" s="872"/>
      <c r="V16" s="929" t="s">
        <v>2692</v>
      </c>
      <c r="W16" s="930" t="s">
        <v>43</v>
      </c>
      <c r="X16" s="924"/>
      <c r="Y16" s="924"/>
      <c r="Z16" s="924"/>
      <c r="AA16" s="924"/>
      <c r="AB16" s="924"/>
      <c r="AC16" s="924"/>
      <c r="AD16" s="924"/>
      <c r="AE16" s="931"/>
      <c r="AF16" s="931"/>
      <c r="AG16" s="931"/>
      <c r="AH16" s="931"/>
      <c r="AI16" s="931"/>
      <c r="AJ16" s="931"/>
      <c r="AK16" s="931"/>
      <c r="AL16" s="931"/>
      <c r="AM16" s="931"/>
      <c r="AN16" s="931"/>
      <c r="AO16" s="931"/>
      <c r="AP16" s="931"/>
      <c r="AQ16" s="931"/>
      <c r="AR16" s="931"/>
      <c r="AS16" s="931"/>
      <c r="AT16" s="931"/>
      <c r="AU16" s="931"/>
      <c r="AV16" s="931"/>
    </row>
    <row r="17" spans="1:48" ht="3" customHeight="1" thickBot="1">
      <c r="B17" s="8"/>
      <c r="C17" s="8"/>
      <c r="D17" s="870"/>
      <c r="E17" s="871"/>
      <c r="F17" s="871"/>
      <c r="G17" s="871"/>
      <c r="H17" s="871"/>
      <c r="I17" s="871"/>
      <c r="J17" s="871"/>
      <c r="K17" s="871"/>
      <c r="L17" s="871"/>
      <c r="M17" s="871"/>
      <c r="N17" s="871"/>
      <c r="O17" s="871"/>
      <c r="P17" s="871"/>
      <c r="Q17" s="870"/>
      <c r="R17" s="870"/>
      <c r="S17" s="869"/>
      <c r="V17" s="929" t="s">
        <v>2693</v>
      </c>
      <c r="W17" s="930" t="s">
        <v>44</v>
      </c>
      <c r="X17" s="932"/>
      <c r="Y17" s="932"/>
      <c r="Z17" s="932"/>
      <c r="AA17" s="932"/>
      <c r="AB17" s="932"/>
      <c r="AC17" s="932"/>
      <c r="AD17" s="932"/>
      <c r="AE17" s="931"/>
      <c r="AF17" s="931"/>
      <c r="AG17" s="931"/>
      <c r="AH17" s="931"/>
      <c r="AI17" s="931"/>
      <c r="AJ17" s="931"/>
      <c r="AK17" s="931"/>
      <c r="AL17" s="931"/>
      <c r="AM17" s="931"/>
      <c r="AN17" s="931"/>
      <c r="AO17" s="931"/>
      <c r="AP17" s="931"/>
      <c r="AQ17" s="931"/>
      <c r="AR17" s="931"/>
      <c r="AS17" s="931"/>
      <c r="AT17" s="931"/>
      <c r="AU17" s="931"/>
      <c r="AV17" s="931"/>
    </row>
    <row r="18" spans="1:48" s="3" customFormat="1" ht="15.75" customHeight="1" thickBot="1">
      <c r="B18" s="1477" t="s">
        <v>2767</v>
      </c>
      <c r="C18" s="1478"/>
      <c r="D18" s="1478"/>
      <c r="E18" s="1478"/>
      <c r="F18" s="1478"/>
      <c r="G18" s="1478"/>
      <c r="H18" s="1478"/>
      <c r="I18" s="1478"/>
      <c r="J18" s="1478"/>
      <c r="K18" s="1478"/>
      <c r="L18" s="1478"/>
      <c r="M18" s="1478"/>
      <c r="N18" s="1478"/>
      <c r="O18" s="1478"/>
      <c r="P18" s="1478"/>
      <c r="Q18" s="1478"/>
      <c r="R18" s="1479"/>
      <c r="S18" s="858"/>
      <c r="V18" s="929" t="s">
        <v>2694</v>
      </c>
      <c r="W18" s="930" t="s">
        <v>45</v>
      </c>
      <c r="X18" s="924"/>
      <c r="Y18" s="924"/>
      <c r="Z18" s="924"/>
      <c r="AA18" s="924"/>
      <c r="AB18" s="924"/>
      <c r="AC18" s="924"/>
      <c r="AD18" s="933"/>
      <c r="AE18" s="934"/>
      <c r="AF18" s="934"/>
      <c r="AG18" s="934"/>
      <c r="AH18" s="934"/>
      <c r="AI18" s="934"/>
      <c r="AJ18" s="934"/>
      <c r="AK18" s="934"/>
      <c r="AL18" s="934"/>
      <c r="AM18" s="934"/>
      <c r="AN18" s="934"/>
      <c r="AO18" s="934"/>
      <c r="AP18" s="934"/>
      <c r="AQ18" s="934"/>
      <c r="AR18" s="934"/>
      <c r="AS18" s="934"/>
      <c r="AT18" s="934"/>
      <c r="AU18" s="934"/>
      <c r="AV18" s="934"/>
    </row>
    <row r="19" spans="1:48" s="3" customFormat="1" ht="14.25" customHeight="1">
      <c r="B19" s="973" t="s">
        <v>2768</v>
      </c>
      <c r="C19" s="1492" t="str">
        <f>VLOOKUP($E$8,Datos_Prog!$B$23:$AP$56,1,FALSE)</f>
        <v>1.9. MUJERES LIDERES Y LIBRES DE VIOLENCIA</v>
      </c>
      <c r="D19" s="1493"/>
      <c r="E19" s="1493"/>
      <c r="F19" s="1493"/>
      <c r="G19" s="1493"/>
      <c r="H19" s="1493"/>
      <c r="I19" s="1493"/>
      <c r="J19" s="1497" t="s">
        <v>2796</v>
      </c>
      <c r="K19" s="1497"/>
      <c r="L19" s="1497"/>
      <c r="M19" s="1497"/>
      <c r="N19" s="1035"/>
      <c r="O19" s="1461" t="s">
        <v>2797</v>
      </c>
      <c r="P19" s="1461"/>
      <c r="Q19" s="1461"/>
      <c r="R19" s="1036"/>
      <c r="S19" s="858"/>
      <c r="V19" s="929" t="s">
        <v>2695</v>
      </c>
      <c r="W19" s="930" t="s">
        <v>46</v>
      </c>
      <c r="X19" s="924"/>
      <c r="Y19" s="924"/>
      <c r="Z19" s="924"/>
      <c r="AA19" s="924"/>
      <c r="AB19" s="924"/>
      <c r="AC19" s="924"/>
      <c r="AD19" s="933"/>
      <c r="AE19" s="934"/>
      <c r="AF19" s="934"/>
      <c r="AG19" s="934"/>
      <c r="AH19" s="934"/>
      <c r="AI19" s="934"/>
      <c r="AJ19" s="934"/>
      <c r="AK19" s="934"/>
      <c r="AL19" s="934"/>
      <c r="AM19" s="934"/>
      <c r="AN19" s="934"/>
      <c r="AO19" s="934"/>
      <c r="AP19" s="934"/>
      <c r="AQ19" s="934"/>
      <c r="AR19" s="934"/>
      <c r="AS19" s="934"/>
      <c r="AT19" s="934"/>
      <c r="AU19" s="934"/>
      <c r="AV19" s="934"/>
    </row>
    <row r="20" spans="1:48" s="3" customFormat="1" ht="15" customHeight="1">
      <c r="B20" s="968" t="s">
        <v>2631</v>
      </c>
      <c r="C20" s="1067" t="s">
        <v>40</v>
      </c>
      <c r="D20" s="1067" t="s">
        <v>148</v>
      </c>
      <c r="E20" s="1067" t="s">
        <v>42</v>
      </c>
      <c r="F20" s="1067" t="s">
        <v>2769</v>
      </c>
      <c r="G20" s="1067" t="s">
        <v>2630</v>
      </c>
      <c r="H20" s="1494" t="s">
        <v>2795</v>
      </c>
      <c r="I20" s="1494"/>
      <c r="J20" s="846"/>
      <c r="K20" s="846"/>
      <c r="L20" s="846"/>
      <c r="M20" s="846"/>
      <c r="N20" s="1037"/>
      <c r="O20" s="1462"/>
      <c r="P20" s="1462"/>
      <c r="Q20" s="1462"/>
      <c r="R20" s="1037"/>
      <c r="S20" s="858"/>
      <c r="X20" s="860"/>
      <c r="Y20" s="860"/>
      <c r="Z20" s="860"/>
      <c r="AA20" s="860"/>
      <c r="AB20" s="860"/>
      <c r="AC20" s="860"/>
      <c r="AD20" s="860"/>
      <c r="AE20" s="860"/>
    </row>
    <row r="21" spans="1:48" s="3" customFormat="1" ht="15" customHeight="1">
      <c r="B21" s="970">
        <v>2012</v>
      </c>
      <c r="C21" s="1101">
        <f>VLOOKUP($E$8,Datos_Prog!$B$23:$AP$56,28,FALSE)</f>
        <v>0.39920689655172414</v>
      </c>
      <c r="D21" s="1101">
        <f>+C21</f>
        <v>0.39920689655172414</v>
      </c>
      <c r="E21" s="1101">
        <f>VLOOKUP($E$8,Datos_Prog!$B$23:$AP$56,29,FALSE)</f>
        <v>0.29281034482758617</v>
      </c>
      <c r="F21" s="1101">
        <f>+E21</f>
        <v>0.29281034482758617</v>
      </c>
      <c r="G21" s="1102">
        <f>IFERROR(+IF((E21/C21)&lt;1, (E21/C21), 100%)," ")</f>
        <v>0.73348017621145367</v>
      </c>
      <c r="H21" s="1495">
        <f>VLOOKUP($E$8,Datos_Prog!$B$23:$BB$56,50,FALSE)</f>
        <v>719.02049999999997</v>
      </c>
      <c r="I21" s="1495"/>
      <c r="J21" s="845"/>
      <c r="K21" s="845"/>
      <c r="L21" s="845"/>
      <c r="M21" s="845"/>
      <c r="N21" s="1038"/>
      <c r="O21" s="1038"/>
      <c r="P21" s="1038"/>
      <c r="Q21" s="1038"/>
      <c r="R21" s="1038"/>
      <c r="S21" s="858"/>
    </row>
    <row r="22" spans="1:48" s="3" customFormat="1" ht="15" customHeight="1">
      <c r="B22" s="971">
        <v>2013</v>
      </c>
      <c r="C22" s="1103">
        <f>VLOOKUP($E$8,Datos_Prog!$B$23:$AP$56,30,FALSE)</f>
        <v>0.34367241379310348</v>
      </c>
      <c r="D22" s="1103">
        <f>+D21+C22</f>
        <v>0.74287931034482768</v>
      </c>
      <c r="E22" s="1103">
        <f>VLOOKUP($E$8,Datos_Prog!$B$23:$AP$56,31,FALSE)</f>
        <v>0.32156241379310346</v>
      </c>
      <c r="F22" s="1103">
        <f>+F21+E22</f>
        <v>0.61437275862068963</v>
      </c>
      <c r="G22" s="1104">
        <f>IFERROR(+IF((E22/C22)&lt;1, (E22/C22), 100%)," ")</f>
        <v>0.93566547935584199</v>
      </c>
      <c r="H22" s="1496">
        <f>VLOOKUP($E$8,Datos_Prog!$B$23:$BB$56,51,FALSE)</f>
        <v>691.86189999999999</v>
      </c>
      <c r="I22" s="1496"/>
      <c r="J22" s="844"/>
      <c r="K22" s="844"/>
      <c r="L22" s="844"/>
      <c r="M22" s="844"/>
      <c r="N22" s="1039"/>
      <c r="O22" s="1039"/>
      <c r="P22" s="1039"/>
      <c r="Q22" s="1039"/>
      <c r="R22" s="1039"/>
      <c r="S22" s="858"/>
    </row>
    <row r="23" spans="1:48" ht="15" customHeight="1">
      <c r="B23" s="970">
        <v>2014</v>
      </c>
      <c r="C23" s="1101">
        <f>VLOOKUP($E$8,Datos_Prog!$B$23:$AP$56,32,FALSE)</f>
        <v>0.33534913793103455</v>
      </c>
      <c r="D23" s="1101">
        <f>+D22+C23</f>
        <v>1.0782284482758622</v>
      </c>
      <c r="E23" s="1101">
        <f>VLOOKUP($E$8,Datos_Prog!$B$23:$AP$56,33,FALSE)</f>
        <v>0.22050913793103452</v>
      </c>
      <c r="F23" s="1101">
        <f>+F22+E23</f>
        <v>0.83488189655172418</v>
      </c>
      <c r="G23" s="1102">
        <f>IFERROR(+IF((E23/C23)&lt;1, (E23/C23), 100%)," ")</f>
        <v>0.65755093122196373</v>
      </c>
      <c r="H23" s="1495">
        <f>VLOOKUP($E$8,Datos_Prog!$B$23:$BB$56,52,FALSE)</f>
        <v>912.90474400000005</v>
      </c>
      <c r="I23" s="1495"/>
      <c r="J23" s="843"/>
      <c r="K23" s="843"/>
      <c r="L23" s="843"/>
      <c r="M23" s="843"/>
      <c r="N23" s="1040"/>
      <c r="O23" s="1040"/>
      <c r="P23" s="1041"/>
      <c r="Q23" s="1041"/>
      <c r="R23" s="1041"/>
      <c r="S23" s="854"/>
      <c r="V23" s="853"/>
    </row>
    <row r="24" spans="1:48" ht="15" customHeight="1">
      <c r="B24" s="972">
        <v>2015</v>
      </c>
      <c r="C24" s="1103">
        <f>VLOOKUP($E$8,Datos_Prog!$B$23:$AP$56,34,FALSE)</f>
        <v>0.41577155172413793</v>
      </c>
      <c r="D24" s="1103">
        <f>+D23+C24</f>
        <v>1.4940000000000002</v>
      </c>
      <c r="E24" s="1103">
        <f>VLOOKUP($E$8,Datos_Prog!$B$23:$AP$56,35,FALSE)</f>
        <v>0.39514655172413798</v>
      </c>
      <c r="F24" s="1103">
        <f>+F23+E24</f>
        <v>1.2300284482758621</v>
      </c>
      <c r="G24" s="1104">
        <f>IFERROR(+IF((E24/C24)&lt;1, (E24/C24), 100%)," ")</f>
        <v>0.95039343140608978</v>
      </c>
      <c r="H24" s="1496">
        <f>VLOOKUP($E$8,Datos_Prog!$B$23:$BB$56,53,FALSE)</f>
        <v>265.92</v>
      </c>
      <c r="I24" s="1496"/>
      <c r="J24" s="841"/>
      <c r="K24" s="841"/>
      <c r="L24" s="841"/>
      <c r="M24" s="841"/>
      <c r="N24" s="1041"/>
      <c r="O24" s="1041"/>
      <c r="P24" s="1041"/>
      <c r="Q24" s="1041"/>
      <c r="R24" s="1041"/>
      <c r="S24" s="840"/>
      <c r="V24" s="884"/>
      <c r="X24" s="884"/>
      <c r="Y24" s="884"/>
      <c r="Z24" s="884"/>
      <c r="AA24" s="884"/>
      <c r="AB24" s="884"/>
      <c r="AC24" s="884"/>
      <c r="AD24" s="884"/>
    </row>
    <row r="25" spans="1:48" ht="15" customHeight="1">
      <c r="B25" s="1020" t="s">
        <v>2628</v>
      </c>
      <c r="C25" s="1105">
        <f>SUM(C21:C24)</f>
        <v>1.4940000000000002</v>
      </c>
      <c r="D25" s="1106"/>
      <c r="E25" s="1469">
        <f>VLOOKUP($E$8,Datos_Prog!$B$23:$AP$56,36,FALSE)</f>
        <v>1.4940000000000002</v>
      </c>
      <c r="F25" s="1470"/>
      <c r="G25" s="1107">
        <f>IFERROR(+IF((E25/C25)&lt;1, (E25/C25), 100%)," ")</f>
        <v>1</v>
      </c>
      <c r="H25" s="1505">
        <f>SUM(H21:H24)</f>
        <v>2589.707144</v>
      </c>
      <c r="I25" s="1505"/>
      <c r="J25" s="841"/>
      <c r="K25" s="841"/>
      <c r="L25" s="841"/>
      <c r="M25" s="841"/>
      <c r="N25" s="1041"/>
      <c r="O25" s="1041"/>
      <c r="P25" s="1041"/>
      <c r="Q25" s="1041"/>
      <c r="R25" s="1041"/>
      <c r="S25" s="840"/>
    </row>
    <row r="26" spans="1:48" ht="25.5" customHeight="1">
      <c r="B26" s="885"/>
      <c r="C26" s="818"/>
      <c r="D26" s="818"/>
      <c r="E26" s="817"/>
      <c r="F26" s="818"/>
      <c r="G26" s="818"/>
      <c r="H26" s="817"/>
      <c r="I26" s="841"/>
      <c r="J26" s="841"/>
      <c r="K26" s="841"/>
      <c r="L26" s="841"/>
      <c r="M26" s="841"/>
      <c r="N26" s="1041"/>
      <c r="O26" s="1041"/>
      <c r="P26" s="1041"/>
      <c r="Q26" s="1041"/>
      <c r="R26" s="1041"/>
      <c r="S26" s="840"/>
    </row>
    <row r="27" spans="1:48" ht="13.5" customHeight="1">
      <c r="B27" s="1460"/>
      <c r="C27" s="1460"/>
      <c r="D27" s="1460"/>
      <c r="E27" s="1460"/>
      <c r="F27" s="1460"/>
      <c r="G27" s="1460"/>
      <c r="H27" s="1460"/>
      <c r="I27" s="823"/>
      <c r="J27" s="823"/>
      <c r="K27" s="823"/>
      <c r="L27" s="823"/>
      <c r="M27" s="1483" t="s">
        <v>2802</v>
      </c>
      <c r="N27" s="1483"/>
      <c r="O27" s="1483"/>
      <c r="P27" s="1483"/>
      <c r="Q27" s="1483"/>
      <c r="R27" s="1483"/>
      <c r="S27" s="840"/>
    </row>
    <row r="28" spans="1:48" ht="15.75" customHeight="1">
      <c r="B28" s="1489" t="s">
        <v>2627</v>
      </c>
      <c r="C28" s="1490"/>
      <c r="D28" s="1490"/>
      <c r="E28" s="1490"/>
      <c r="F28" s="1490"/>
      <c r="G28" s="1490"/>
      <c r="H28" s="1490"/>
      <c r="I28" s="1490"/>
      <c r="J28" s="1490"/>
      <c r="K28" s="1490"/>
      <c r="L28" s="1490"/>
      <c r="M28" s="1491"/>
      <c r="N28" s="1486"/>
      <c r="O28" s="1487"/>
      <c r="P28" s="1487"/>
      <c r="Q28" s="1487"/>
      <c r="R28" s="1488"/>
      <c r="S28" s="840"/>
    </row>
    <row r="29" spans="1:48" s="1147" customFormat="1" ht="24.75" customHeight="1">
      <c r="A29" s="1"/>
      <c r="B29" s="1506" t="str">
        <f>UPPER(IFERROR(VLOOKUP($E$8,Datos_Prog!$B$23:$BB$56,39,FALSE),""))</f>
        <v>59 ORGANIZACIONES DE MUJERES CON EMPRENDIMIENTOS PARTICIPARON EN LA FERIA DE LAS COLONIAS.</v>
      </c>
      <c r="C29" s="1507"/>
      <c r="D29" s="1507"/>
      <c r="E29" s="1507"/>
      <c r="F29" s="1507"/>
      <c r="G29" s="1507"/>
      <c r="H29" s="1507"/>
      <c r="I29" s="1507"/>
      <c r="J29" s="1507"/>
      <c r="K29" s="1507"/>
      <c r="L29" s="1507"/>
      <c r="M29" s="1507"/>
      <c r="N29" s="1507"/>
      <c r="O29" s="1507"/>
      <c r="P29" s="1507"/>
      <c r="Q29" s="1507"/>
      <c r="R29" s="1508"/>
      <c r="S29" s="840"/>
    </row>
    <row r="30" spans="1:48" s="1147" customFormat="1" ht="24.75" customHeight="1">
      <c r="A30" s="1"/>
      <c r="B30" s="1509" t="str">
        <f>UPPER(IFERROR(VLOOKUP($E$8,Datos_Prog!$B$23:$BB$56,40,FALSE),""))</f>
        <v>1.066 MUJERES FORMADAS PARA EL TRABAJO EN MANUALIDADES Y BELLEZA.</v>
      </c>
      <c r="C30" s="1510"/>
      <c r="D30" s="1510"/>
      <c r="E30" s="1510"/>
      <c r="F30" s="1510"/>
      <c r="G30" s="1510"/>
      <c r="H30" s="1510"/>
      <c r="I30" s="1510"/>
      <c r="J30" s="1510"/>
      <c r="K30" s="1510"/>
      <c r="L30" s="1510"/>
      <c r="M30" s="1510"/>
      <c r="N30" s="1510"/>
      <c r="O30" s="1510"/>
      <c r="P30" s="1510"/>
      <c r="Q30" s="1510"/>
      <c r="R30" s="1511"/>
      <c r="S30" s="840"/>
    </row>
    <row r="31" spans="1:48" s="1147" customFormat="1" ht="24.75" customHeight="1">
      <c r="A31" s="1"/>
      <c r="B31" s="1506" t="str">
        <f>UPPER(IFERROR(VLOOKUP($E$8,Datos_Prog!$B$23:$BB$56,41,FALSE),""))</f>
        <v>5.517 MUJERES DE 2.970 ORGANIZACIONES PARTICIPARON EN ENCUENTROS, EVENTOS Y JORNADAS DE CAPACITACIÓN, QUE PROMUEVEN EL LIDERAZGO Y LA PARTICIPACIÓN</v>
      </c>
      <c r="C31" s="1507"/>
      <c r="D31" s="1507"/>
      <c r="E31" s="1507"/>
      <c r="F31" s="1507"/>
      <c r="G31" s="1507"/>
      <c r="H31" s="1507"/>
      <c r="I31" s="1507"/>
      <c r="J31" s="1507"/>
      <c r="K31" s="1507"/>
      <c r="L31" s="1507"/>
      <c r="M31" s="1507"/>
      <c r="N31" s="1507"/>
      <c r="O31" s="1507"/>
      <c r="P31" s="1507"/>
      <c r="Q31" s="1507"/>
      <c r="R31" s="1508"/>
      <c r="S31" s="9"/>
    </row>
    <row r="32" spans="1:48" s="1147" customFormat="1" ht="24.75" customHeight="1">
      <c r="A32" s="1"/>
      <c r="B32" s="1509" t="str">
        <f>UPPER(IFERROR(VLOOKUP($E$8,Datos_Prog!$B$23:$BB$56,42,FALSE),""))</f>
        <v>SE CREARON 63 CONSEJOS CONSULTIVOS DE MUJER EN EL MARCO DE LA POLÍTICA DE MUJER.</v>
      </c>
      <c r="C32" s="1510"/>
      <c r="D32" s="1510"/>
      <c r="E32" s="1510"/>
      <c r="F32" s="1510"/>
      <c r="G32" s="1510"/>
      <c r="H32" s="1510"/>
      <c r="I32" s="1510"/>
      <c r="J32" s="1510"/>
      <c r="K32" s="1510"/>
      <c r="L32" s="1510"/>
      <c r="M32" s="1510"/>
      <c r="N32" s="1510"/>
      <c r="O32" s="1510"/>
      <c r="P32" s="1510"/>
      <c r="Q32" s="1510"/>
      <c r="R32" s="1511"/>
      <c r="S32" s="9"/>
    </row>
    <row r="33" spans="1:19" s="1147" customFormat="1" ht="24.75" customHeight="1">
      <c r="A33" s="1"/>
      <c r="B33" s="1506" t="str">
        <f>UPPER(IFERROR(VLOOKUP($E$8,Datos_Prog!$B$23:$BB$56,43,FALSE),""))</f>
        <v>SE INSTITUCIONALIZÓ LA CAMPAÑA “RUTA DE ATENCIÓN A NIÑAS Y MUJERES VÍCTIMAS DE VIOLENCIA” EN LOS 116 MUNICIPIOS MEDIANTE ACUERDO DE VOLUNTADES EN EL MARCO DE CUMPLIMIENTO DE LA LEY 1257 DE 2008. NO VIOLENCIA CONTRA LA MUJER.</v>
      </c>
      <c r="C33" s="1507"/>
      <c r="D33" s="1507"/>
      <c r="E33" s="1507"/>
      <c r="F33" s="1507"/>
      <c r="G33" s="1507"/>
      <c r="H33" s="1507"/>
      <c r="I33" s="1507"/>
      <c r="J33" s="1507"/>
      <c r="K33" s="1507"/>
      <c r="L33" s="1507"/>
      <c r="M33" s="1507"/>
      <c r="N33" s="1507"/>
      <c r="O33" s="1507"/>
      <c r="P33" s="1507"/>
      <c r="Q33" s="1507"/>
      <c r="R33" s="1508"/>
      <c r="S33" s="9"/>
    </row>
    <row r="34" spans="1:19" s="1147" customFormat="1" ht="24.75" customHeight="1">
      <c r="A34" s="1"/>
      <c r="B34" s="1509" t="str">
        <f>UPPER(IFERROR(VLOOKUP($E$8,Datos_Prog!$B$23:$BB$56,44,FALSE),""))</f>
        <v>SE CONFORMÓ Y PUSO EN MARCHA DEL COMITÉ DEPARTAMENTAL DE SEGUIMIENTO A LA LEY 1257 .NO VIOLENCIA CONTRA LA MUJER.</v>
      </c>
      <c r="C34" s="1510"/>
      <c r="D34" s="1510"/>
      <c r="E34" s="1510"/>
      <c r="F34" s="1510"/>
      <c r="G34" s="1510"/>
      <c r="H34" s="1510"/>
      <c r="I34" s="1510"/>
      <c r="J34" s="1510"/>
      <c r="K34" s="1510"/>
      <c r="L34" s="1510"/>
      <c r="M34" s="1510"/>
      <c r="N34" s="1510"/>
      <c r="O34" s="1510"/>
      <c r="P34" s="1510"/>
      <c r="Q34" s="1510"/>
      <c r="R34" s="1511"/>
      <c r="S34" s="9"/>
    </row>
    <row r="35" spans="1:19" s="1147" customFormat="1" ht="24.75" customHeight="1">
      <c r="A35" s="1"/>
      <c r="B35" s="1506" t="str">
        <f>UPPER(IFERROR(VLOOKUP($E$8,Datos_Prog!$B$23:$BB$56,45,FALSE),""))</f>
        <v/>
      </c>
      <c r="C35" s="1507"/>
      <c r="D35" s="1507"/>
      <c r="E35" s="1507"/>
      <c r="F35" s="1507"/>
      <c r="G35" s="1507"/>
      <c r="H35" s="1507"/>
      <c r="I35" s="1507"/>
      <c r="J35" s="1507"/>
      <c r="K35" s="1507"/>
      <c r="L35" s="1507"/>
      <c r="M35" s="1507"/>
      <c r="N35" s="1507"/>
      <c r="O35" s="1507"/>
      <c r="P35" s="1507"/>
      <c r="Q35" s="1507"/>
      <c r="R35" s="1508"/>
      <c r="S35" s="9"/>
    </row>
    <row r="36" spans="1:19" s="1147" customFormat="1" ht="24.75" customHeight="1">
      <c r="A36" s="1"/>
      <c r="B36" s="1509" t="str">
        <f>UPPER(IFERROR(VLOOKUP($E$8,Datos_Prog!$B$23:$BB$56,46,FALSE),""))</f>
        <v/>
      </c>
      <c r="C36" s="1510"/>
      <c r="D36" s="1510"/>
      <c r="E36" s="1510"/>
      <c r="F36" s="1510"/>
      <c r="G36" s="1510"/>
      <c r="H36" s="1510"/>
      <c r="I36" s="1510"/>
      <c r="J36" s="1510"/>
      <c r="K36" s="1510"/>
      <c r="L36" s="1510"/>
      <c r="M36" s="1510"/>
      <c r="N36" s="1510"/>
      <c r="O36" s="1510"/>
      <c r="P36" s="1510"/>
      <c r="Q36" s="1510"/>
      <c r="R36" s="1511"/>
      <c r="S36" s="9"/>
    </row>
    <row r="37" spans="1:19" s="1147" customFormat="1" ht="24.75" customHeight="1">
      <c r="A37" s="1"/>
      <c r="B37" s="1506" t="str">
        <f>UPPER(IFERROR(VLOOKUP($E$8,Datos_Prog!$B$23:$BB$56,47,FALSE),""))</f>
        <v/>
      </c>
      <c r="C37" s="1507"/>
      <c r="D37" s="1507"/>
      <c r="E37" s="1507"/>
      <c r="F37" s="1507"/>
      <c r="G37" s="1507"/>
      <c r="H37" s="1507"/>
      <c r="I37" s="1507"/>
      <c r="J37" s="1507"/>
      <c r="K37" s="1507"/>
      <c r="L37" s="1507"/>
      <c r="M37" s="1507"/>
      <c r="N37" s="1507"/>
      <c r="O37" s="1507"/>
      <c r="P37" s="1507"/>
      <c r="Q37" s="1507"/>
      <c r="R37" s="1508"/>
      <c r="S37" s="9"/>
    </row>
    <row r="38" spans="1:19" ht="24.75" customHeight="1">
      <c r="B38" s="1509" t="str">
        <f>UPPER(IFERROR(VLOOKUP($E$8,Datos_Prog!$B$23:$BB$56,48,FALSE),""))</f>
        <v/>
      </c>
      <c r="C38" s="1510"/>
      <c r="D38" s="1510"/>
      <c r="E38" s="1510"/>
      <c r="F38" s="1510"/>
      <c r="G38" s="1510"/>
      <c r="H38" s="1510"/>
      <c r="I38" s="1510"/>
      <c r="J38" s="1510"/>
      <c r="K38" s="1510"/>
      <c r="L38" s="1510"/>
      <c r="M38" s="1510"/>
      <c r="N38" s="1510"/>
      <c r="O38" s="1510"/>
      <c r="P38" s="1510"/>
      <c r="Q38" s="1510"/>
      <c r="R38" s="1511"/>
    </row>
  </sheetData>
  <sheetProtection algorithmName="SHA-512" hashValue="mMvIa7h+y7P/1jItFdSE43n3+574gzwdTcmjfTpXbuyyB9B/DldTe0s50jfecX1tK9qR6wKgUvEyGYacHk1EGw==" saltValue="+YC+juLM0wf6tH5MIlV1Dw==" spinCount="100000" sheet="1" objects="1" scenarios="1" formatCells="0" formatColumns="0" formatRows="0"/>
  <dataConsolidate link="1"/>
  <mergeCells count="50">
    <mergeCell ref="B38:R38"/>
    <mergeCell ref="B34:R34"/>
    <mergeCell ref="B32:R32"/>
    <mergeCell ref="B33:R33"/>
    <mergeCell ref="B35:R35"/>
    <mergeCell ref="B36:R36"/>
    <mergeCell ref="B37:R37"/>
    <mergeCell ref="H25:I25"/>
    <mergeCell ref="B29:R29"/>
    <mergeCell ref="B30:R30"/>
    <mergeCell ref="B31:R31"/>
    <mergeCell ref="G15:I15"/>
    <mergeCell ref="P13:R13"/>
    <mergeCell ref="D14:F14"/>
    <mergeCell ref="G14:I14"/>
    <mergeCell ref="J14:L14"/>
    <mergeCell ref="M14:O14"/>
    <mergeCell ref="P14:R14"/>
    <mergeCell ref="C8:D8"/>
    <mergeCell ref="N28:R28"/>
    <mergeCell ref="B28:M28"/>
    <mergeCell ref="C19:I19"/>
    <mergeCell ref="H20:I20"/>
    <mergeCell ref="H21:I21"/>
    <mergeCell ref="H22:I22"/>
    <mergeCell ref="H23:I23"/>
    <mergeCell ref="H24:I24"/>
    <mergeCell ref="J19:M19"/>
    <mergeCell ref="B13:C15"/>
    <mergeCell ref="D13:F13"/>
    <mergeCell ref="G13:I13"/>
    <mergeCell ref="J13:L13"/>
    <mergeCell ref="M13:O13"/>
    <mergeCell ref="D15:F15"/>
    <mergeCell ref="B1:Q1"/>
    <mergeCell ref="B2:Q2"/>
    <mergeCell ref="E3:O3"/>
    <mergeCell ref="B27:H27"/>
    <mergeCell ref="O19:Q19"/>
    <mergeCell ref="O20:Q20"/>
    <mergeCell ref="E5:L5"/>
    <mergeCell ref="D10:R10"/>
    <mergeCell ref="E25:F25"/>
    <mergeCell ref="D12:R12"/>
    <mergeCell ref="J15:L15"/>
    <mergeCell ref="M15:O15"/>
    <mergeCell ref="P15:R15"/>
    <mergeCell ref="B18:R18"/>
    <mergeCell ref="E8:L8"/>
    <mergeCell ref="M27:R27"/>
  </mergeCells>
  <dataValidations count="5">
    <dataValidation type="list" allowBlank="1" showInputMessage="1" showErrorMessage="1" sqref="D65440:H65440 IZ65440:JD65440 SV65440:SZ65440 ACR65440:ACV65440 AMN65440:AMR65440 AWJ65440:AWN65440 BGF65440:BGJ65440 BQB65440:BQF65440 BZX65440:CAB65440 CJT65440:CJX65440 CTP65440:CTT65440 DDL65440:DDP65440 DNH65440:DNL65440 DXD65440:DXH65440 EGZ65440:EHD65440 EQV65440:EQZ65440 FAR65440:FAV65440 FKN65440:FKR65440 FUJ65440:FUN65440 GEF65440:GEJ65440 GOB65440:GOF65440 GXX65440:GYB65440 HHT65440:HHX65440 HRP65440:HRT65440 IBL65440:IBP65440 ILH65440:ILL65440 IVD65440:IVH65440 JEZ65440:JFD65440 JOV65440:JOZ65440 JYR65440:JYV65440 KIN65440:KIR65440 KSJ65440:KSN65440 LCF65440:LCJ65440 LMB65440:LMF65440 LVX65440:LWB65440 MFT65440:MFX65440 MPP65440:MPT65440 MZL65440:MZP65440 NJH65440:NJL65440 NTD65440:NTH65440 OCZ65440:ODD65440 OMV65440:OMZ65440 OWR65440:OWV65440 PGN65440:PGR65440 PQJ65440:PQN65440 QAF65440:QAJ65440 QKB65440:QKF65440 QTX65440:QUB65440 RDT65440:RDX65440 RNP65440:RNT65440 RXL65440:RXP65440 SHH65440:SHL65440 SRD65440:SRH65440 TAZ65440:TBD65440 TKV65440:TKZ65440 TUR65440:TUV65440 UEN65440:UER65440 UOJ65440:UON65440 UYF65440:UYJ65440 VIB65440:VIF65440 VRX65440:VSB65440 WBT65440:WBX65440 WLP65440:WLT65440 WVL65440:WVP65440 D130976:H130976 IZ130976:JD130976 SV130976:SZ130976 ACR130976:ACV130976 AMN130976:AMR130976 AWJ130976:AWN130976 BGF130976:BGJ130976 BQB130976:BQF130976 BZX130976:CAB130976 CJT130976:CJX130976 CTP130976:CTT130976 DDL130976:DDP130976 DNH130976:DNL130976 DXD130976:DXH130976 EGZ130976:EHD130976 EQV130976:EQZ130976 FAR130976:FAV130976 FKN130976:FKR130976 FUJ130976:FUN130976 GEF130976:GEJ130976 GOB130976:GOF130976 GXX130976:GYB130976 HHT130976:HHX130976 HRP130976:HRT130976 IBL130976:IBP130976 ILH130976:ILL130976 IVD130976:IVH130976 JEZ130976:JFD130976 JOV130976:JOZ130976 JYR130976:JYV130976 KIN130976:KIR130976 KSJ130976:KSN130976 LCF130976:LCJ130976 LMB130976:LMF130976 LVX130976:LWB130976 MFT130976:MFX130976 MPP130976:MPT130976 MZL130976:MZP130976 NJH130976:NJL130976 NTD130976:NTH130976 OCZ130976:ODD130976 OMV130976:OMZ130976 OWR130976:OWV130976 PGN130976:PGR130976 PQJ130976:PQN130976 QAF130976:QAJ130976 QKB130976:QKF130976 QTX130976:QUB130976 RDT130976:RDX130976 RNP130976:RNT130976 RXL130976:RXP130976 SHH130976:SHL130976 SRD130976:SRH130976 TAZ130976:TBD130976 TKV130976:TKZ130976 TUR130976:TUV130976 UEN130976:UER130976 UOJ130976:UON130976 UYF130976:UYJ130976 VIB130976:VIF130976 VRX130976:VSB130976 WBT130976:WBX130976 WLP130976:WLT130976 WVL130976:WVP130976 D196512:H196512 IZ196512:JD196512 SV196512:SZ196512 ACR196512:ACV196512 AMN196512:AMR196512 AWJ196512:AWN196512 BGF196512:BGJ196512 BQB196512:BQF196512 BZX196512:CAB196512 CJT196512:CJX196512 CTP196512:CTT196512 DDL196512:DDP196512 DNH196512:DNL196512 DXD196512:DXH196512 EGZ196512:EHD196512 EQV196512:EQZ196512 FAR196512:FAV196512 FKN196512:FKR196512 FUJ196512:FUN196512 GEF196512:GEJ196512 GOB196512:GOF196512 GXX196512:GYB196512 HHT196512:HHX196512 HRP196512:HRT196512 IBL196512:IBP196512 ILH196512:ILL196512 IVD196512:IVH196512 JEZ196512:JFD196512 JOV196512:JOZ196512 JYR196512:JYV196512 KIN196512:KIR196512 KSJ196512:KSN196512 LCF196512:LCJ196512 LMB196512:LMF196512 LVX196512:LWB196512 MFT196512:MFX196512 MPP196512:MPT196512 MZL196512:MZP196512 NJH196512:NJL196512 NTD196512:NTH196512 OCZ196512:ODD196512 OMV196512:OMZ196512 OWR196512:OWV196512 PGN196512:PGR196512 PQJ196512:PQN196512 QAF196512:QAJ196512 QKB196512:QKF196512 QTX196512:QUB196512 RDT196512:RDX196512 RNP196512:RNT196512 RXL196512:RXP196512 SHH196512:SHL196512 SRD196512:SRH196512 TAZ196512:TBD196512 TKV196512:TKZ196512 TUR196512:TUV196512 UEN196512:UER196512 UOJ196512:UON196512 UYF196512:UYJ196512 VIB196512:VIF196512 VRX196512:VSB196512 WBT196512:WBX196512 WLP196512:WLT196512 WVL196512:WVP196512 D262048:H262048 IZ262048:JD262048 SV262048:SZ262048 ACR262048:ACV262048 AMN262048:AMR262048 AWJ262048:AWN262048 BGF262048:BGJ262048 BQB262048:BQF262048 BZX262048:CAB262048 CJT262048:CJX262048 CTP262048:CTT262048 DDL262048:DDP262048 DNH262048:DNL262048 DXD262048:DXH262048 EGZ262048:EHD262048 EQV262048:EQZ262048 FAR262048:FAV262048 FKN262048:FKR262048 FUJ262048:FUN262048 GEF262048:GEJ262048 GOB262048:GOF262048 GXX262048:GYB262048 HHT262048:HHX262048 HRP262048:HRT262048 IBL262048:IBP262048 ILH262048:ILL262048 IVD262048:IVH262048 JEZ262048:JFD262048 JOV262048:JOZ262048 JYR262048:JYV262048 KIN262048:KIR262048 KSJ262048:KSN262048 LCF262048:LCJ262048 LMB262048:LMF262048 LVX262048:LWB262048 MFT262048:MFX262048 MPP262048:MPT262048 MZL262048:MZP262048 NJH262048:NJL262048 NTD262048:NTH262048 OCZ262048:ODD262048 OMV262048:OMZ262048 OWR262048:OWV262048 PGN262048:PGR262048 PQJ262048:PQN262048 QAF262048:QAJ262048 QKB262048:QKF262048 QTX262048:QUB262048 RDT262048:RDX262048 RNP262048:RNT262048 RXL262048:RXP262048 SHH262048:SHL262048 SRD262048:SRH262048 TAZ262048:TBD262048 TKV262048:TKZ262048 TUR262048:TUV262048 UEN262048:UER262048 UOJ262048:UON262048 UYF262048:UYJ262048 VIB262048:VIF262048 VRX262048:VSB262048 WBT262048:WBX262048 WLP262048:WLT262048 WVL262048:WVP262048 D327584:H327584 IZ327584:JD327584 SV327584:SZ327584 ACR327584:ACV327584 AMN327584:AMR327584 AWJ327584:AWN327584 BGF327584:BGJ327584 BQB327584:BQF327584 BZX327584:CAB327584 CJT327584:CJX327584 CTP327584:CTT327584 DDL327584:DDP327584 DNH327584:DNL327584 DXD327584:DXH327584 EGZ327584:EHD327584 EQV327584:EQZ327584 FAR327584:FAV327584 FKN327584:FKR327584 FUJ327584:FUN327584 GEF327584:GEJ327584 GOB327584:GOF327584 GXX327584:GYB327584 HHT327584:HHX327584 HRP327584:HRT327584 IBL327584:IBP327584 ILH327584:ILL327584 IVD327584:IVH327584 JEZ327584:JFD327584 JOV327584:JOZ327584 JYR327584:JYV327584 KIN327584:KIR327584 KSJ327584:KSN327584 LCF327584:LCJ327584 LMB327584:LMF327584 LVX327584:LWB327584 MFT327584:MFX327584 MPP327584:MPT327584 MZL327584:MZP327584 NJH327584:NJL327584 NTD327584:NTH327584 OCZ327584:ODD327584 OMV327584:OMZ327584 OWR327584:OWV327584 PGN327584:PGR327584 PQJ327584:PQN327584 QAF327584:QAJ327584 QKB327584:QKF327584 QTX327584:QUB327584 RDT327584:RDX327584 RNP327584:RNT327584 RXL327584:RXP327584 SHH327584:SHL327584 SRD327584:SRH327584 TAZ327584:TBD327584 TKV327584:TKZ327584 TUR327584:TUV327584 UEN327584:UER327584 UOJ327584:UON327584 UYF327584:UYJ327584 VIB327584:VIF327584 VRX327584:VSB327584 WBT327584:WBX327584 WLP327584:WLT327584 WVL327584:WVP327584 D393120:H393120 IZ393120:JD393120 SV393120:SZ393120 ACR393120:ACV393120 AMN393120:AMR393120 AWJ393120:AWN393120 BGF393120:BGJ393120 BQB393120:BQF393120 BZX393120:CAB393120 CJT393120:CJX393120 CTP393120:CTT393120 DDL393120:DDP393120 DNH393120:DNL393120 DXD393120:DXH393120 EGZ393120:EHD393120 EQV393120:EQZ393120 FAR393120:FAV393120 FKN393120:FKR393120 FUJ393120:FUN393120 GEF393120:GEJ393120 GOB393120:GOF393120 GXX393120:GYB393120 HHT393120:HHX393120 HRP393120:HRT393120 IBL393120:IBP393120 ILH393120:ILL393120 IVD393120:IVH393120 JEZ393120:JFD393120 JOV393120:JOZ393120 JYR393120:JYV393120 KIN393120:KIR393120 KSJ393120:KSN393120 LCF393120:LCJ393120 LMB393120:LMF393120 LVX393120:LWB393120 MFT393120:MFX393120 MPP393120:MPT393120 MZL393120:MZP393120 NJH393120:NJL393120 NTD393120:NTH393120 OCZ393120:ODD393120 OMV393120:OMZ393120 OWR393120:OWV393120 PGN393120:PGR393120 PQJ393120:PQN393120 QAF393120:QAJ393120 QKB393120:QKF393120 QTX393120:QUB393120 RDT393120:RDX393120 RNP393120:RNT393120 RXL393120:RXP393120 SHH393120:SHL393120 SRD393120:SRH393120 TAZ393120:TBD393120 TKV393120:TKZ393120 TUR393120:TUV393120 UEN393120:UER393120 UOJ393120:UON393120 UYF393120:UYJ393120 VIB393120:VIF393120 VRX393120:VSB393120 WBT393120:WBX393120 WLP393120:WLT393120 WVL393120:WVP393120 D458656:H458656 IZ458656:JD458656 SV458656:SZ458656 ACR458656:ACV458656 AMN458656:AMR458656 AWJ458656:AWN458656 BGF458656:BGJ458656 BQB458656:BQF458656 BZX458656:CAB458656 CJT458656:CJX458656 CTP458656:CTT458656 DDL458656:DDP458656 DNH458656:DNL458656 DXD458656:DXH458656 EGZ458656:EHD458656 EQV458656:EQZ458656 FAR458656:FAV458656 FKN458656:FKR458656 FUJ458656:FUN458656 GEF458656:GEJ458656 GOB458656:GOF458656 GXX458656:GYB458656 HHT458656:HHX458656 HRP458656:HRT458656 IBL458656:IBP458656 ILH458656:ILL458656 IVD458656:IVH458656 JEZ458656:JFD458656 JOV458656:JOZ458656 JYR458656:JYV458656 KIN458656:KIR458656 KSJ458656:KSN458656 LCF458656:LCJ458656 LMB458656:LMF458656 LVX458656:LWB458656 MFT458656:MFX458656 MPP458656:MPT458656 MZL458656:MZP458656 NJH458656:NJL458656 NTD458656:NTH458656 OCZ458656:ODD458656 OMV458656:OMZ458656 OWR458656:OWV458656 PGN458656:PGR458656 PQJ458656:PQN458656 QAF458656:QAJ458656 QKB458656:QKF458656 QTX458656:QUB458656 RDT458656:RDX458656 RNP458656:RNT458656 RXL458656:RXP458656 SHH458656:SHL458656 SRD458656:SRH458656 TAZ458656:TBD458656 TKV458656:TKZ458656 TUR458656:TUV458656 UEN458656:UER458656 UOJ458656:UON458656 UYF458656:UYJ458656 VIB458656:VIF458656 VRX458656:VSB458656 WBT458656:WBX458656 WLP458656:WLT458656 WVL458656:WVP458656 D524192:H524192 IZ524192:JD524192 SV524192:SZ524192 ACR524192:ACV524192 AMN524192:AMR524192 AWJ524192:AWN524192 BGF524192:BGJ524192 BQB524192:BQF524192 BZX524192:CAB524192 CJT524192:CJX524192 CTP524192:CTT524192 DDL524192:DDP524192 DNH524192:DNL524192 DXD524192:DXH524192 EGZ524192:EHD524192 EQV524192:EQZ524192 FAR524192:FAV524192 FKN524192:FKR524192 FUJ524192:FUN524192 GEF524192:GEJ524192 GOB524192:GOF524192 GXX524192:GYB524192 HHT524192:HHX524192 HRP524192:HRT524192 IBL524192:IBP524192 ILH524192:ILL524192 IVD524192:IVH524192 JEZ524192:JFD524192 JOV524192:JOZ524192 JYR524192:JYV524192 KIN524192:KIR524192 KSJ524192:KSN524192 LCF524192:LCJ524192 LMB524192:LMF524192 LVX524192:LWB524192 MFT524192:MFX524192 MPP524192:MPT524192 MZL524192:MZP524192 NJH524192:NJL524192 NTD524192:NTH524192 OCZ524192:ODD524192 OMV524192:OMZ524192 OWR524192:OWV524192 PGN524192:PGR524192 PQJ524192:PQN524192 QAF524192:QAJ524192 QKB524192:QKF524192 QTX524192:QUB524192 RDT524192:RDX524192 RNP524192:RNT524192 RXL524192:RXP524192 SHH524192:SHL524192 SRD524192:SRH524192 TAZ524192:TBD524192 TKV524192:TKZ524192 TUR524192:TUV524192 UEN524192:UER524192 UOJ524192:UON524192 UYF524192:UYJ524192 VIB524192:VIF524192 VRX524192:VSB524192 WBT524192:WBX524192 WLP524192:WLT524192 WVL524192:WVP524192 D589728:H589728 IZ589728:JD589728 SV589728:SZ589728 ACR589728:ACV589728 AMN589728:AMR589728 AWJ589728:AWN589728 BGF589728:BGJ589728 BQB589728:BQF589728 BZX589728:CAB589728 CJT589728:CJX589728 CTP589728:CTT589728 DDL589728:DDP589728 DNH589728:DNL589728 DXD589728:DXH589728 EGZ589728:EHD589728 EQV589728:EQZ589728 FAR589728:FAV589728 FKN589728:FKR589728 FUJ589728:FUN589728 GEF589728:GEJ589728 GOB589728:GOF589728 GXX589728:GYB589728 HHT589728:HHX589728 HRP589728:HRT589728 IBL589728:IBP589728 ILH589728:ILL589728 IVD589728:IVH589728 JEZ589728:JFD589728 JOV589728:JOZ589728 JYR589728:JYV589728 KIN589728:KIR589728 KSJ589728:KSN589728 LCF589728:LCJ589728 LMB589728:LMF589728 LVX589728:LWB589728 MFT589728:MFX589728 MPP589728:MPT589728 MZL589728:MZP589728 NJH589728:NJL589728 NTD589728:NTH589728 OCZ589728:ODD589728 OMV589728:OMZ589728 OWR589728:OWV589728 PGN589728:PGR589728 PQJ589728:PQN589728 QAF589728:QAJ589728 QKB589728:QKF589728 QTX589728:QUB589728 RDT589728:RDX589728 RNP589728:RNT589728 RXL589728:RXP589728 SHH589728:SHL589728 SRD589728:SRH589728 TAZ589728:TBD589728 TKV589728:TKZ589728 TUR589728:TUV589728 UEN589728:UER589728 UOJ589728:UON589728 UYF589728:UYJ589728 VIB589728:VIF589728 VRX589728:VSB589728 WBT589728:WBX589728 WLP589728:WLT589728 WVL589728:WVP589728 D655264:H655264 IZ655264:JD655264 SV655264:SZ655264 ACR655264:ACV655264 AMN655264:AMR655264 AWJ655264:AWN655264 BGF655264:BGJ655264 BQB655264:BQF655264 BZX655264:CAB655264 CJT655264:CJX655264 CTP655264:CTT655264 DDL655264:DDP655264 DNH655264:DNL655264 DXD655264:DXH655264 EGZ655264:EHD655264 EQV655264:EQZ655264 FAR655264:FAV655264 FKN655264:FKR655264 FUJ655264:FUN655264 GEF655264:GEJ655264 GOB655264:GOF655264 GXX655264:GYB655264 HHT655264:HHX655264 HRP655264:HRT655264 IBL655264:IBP655264 ILH655264:ILL655264 IVD655264:IVH655264 JEZ655264:JFD655264 JOV655264:JOZ655264 JYR655264:JYV655264 KIN655264:KIR655264 KSJ655264:KSN655264 LCF655264:LCJ655264 LMB655264:LMF655264 LVX655264:LWB655264 MFT655264:MFX655264 MPP655264:MPT655264 MZL655264:MZP655264 NJH655264:NJL655264 NTD655264:NTH655264 OCZ655264:ODD655264 OMV655264:OMZ655264 OWR655264:OWV655264 PGN655264:PGR655264 PQJ655264:PQN655264 QAF655264:QAJ655264 QKB655264:QKF655264 QTX655264:QUB655264 RDT655264:RDX655264 RNP655264:RNT655264 RXL655264:RXP655264 SHH655264:SHL655264 SRD655264:SRH655264 TAZ655264:TBD655264 TKV655264:TKZ655264 TUR655264:TUV655264 UEN655264:UER655264 UOJ655264:UON655264 UYF655264:UYJ655264 VIB655264:VIF655264 VRX655264:VSB655264 WBT655264:WBX655264 WLP655264:WLT655264 WVL655264:WVP655264 D720800:H720800 IZ720800:JD720800 SV720800:SZ720800 ACR720800:ACV720800 AMN720800:AMR720800 AWJ720800:AWN720800 BGF720800:BGJ720800 BQB720800:BQF720800 BZX720800:CAB720800 CJT720800:CJX720800 CTP720800:CTT720800 DDL720800:DDP720800 DNH720800:DNL720800 DXD720800:DXH720800 EGZ720800:EHD720800 EQV720800:EQZ720800 FAR720800:FAV720800 FKN720800:FKR720800 FUJ720800:FUN720800 GEF720800:GEJ720800 GOB720800:GOF720800 GXX720800:GYB720800 HHT720800:HHX720800 HRP720800:HRT720800 IBL720800:IBP720800 ILH720800:ILL720800 IVD720800:IVH720800 JEZ720800:JFD720800 JOV720800:JOZ720800 JYR720800:JYV720800 KIN720800:KIR720800 KSJ720800:KSN720800 LCF720800:LCJ720800 LMB720800:LMF720800 LVX720800:LWB720800 MFT720800:MFX720800 MPP720800:MPT720800 MZL720800:MZP720800 NJH720800:NJL720800 NTD720800:NTH720800 OCZ720800:ODD720800 OMV720800:OMZ720800 OWR720800:OWV720800 PGN720800:PGR720800 PQJ720800:PQN720800 QAF720800:QAJ720800 QKB720800:QKF720800 QTX720800:QUB720800 RDT720800:RDX720800 RNP720800:RNT720800 RXL720800:RXP720800 SHH720800:SHL720800 SRD720800:SRH720800 TAZ720800:TBD720800 TKV720800:TKZ720800 TUR720800:TUV720800 UEN720800:UER720800 UOJ720800:UON720800 UYF720800:UYJ720800 VIB720800:VIF720800 VRX720800:VSB720800 WBT720800:WBX720800 WLP720800:WLT720800 WVL720800:WVP720800 D786336:H786336 IZ786336:JD786336 SV786336:SZ786336 ACR786336:ACV786336 AMN786336:AMR786336 AWJ786336:AWN786336 BGF786336:BGJ786336 BQB786336:BQF786336 BZX786336:CAB786336 CJT786336:CJX786336 CTP786336:CTT786336 DDL786336:DDP786336 DNH786336:DNL786336 DXD786336:DXH786336 EGZ786336:EHD786336 EQV786336:EQZ786336 FAR786336:FAV786336 FKN786336:FKR786336 FUJ786336:FUN786336 GEF786336:GEJ786336 GOB786336:GOF786336 GXX786336:GYB786336 HHT786336:HHX786336 HRP786336:HRT786336 IBL786336:IBP786336 ILH786336:ILL786336 IVD786336:IVH786336 JEZ786336:JFD786336 JOV786336:JOZ786336 JYR786336:JYV786336 KIN786336:KIR786336 KSJ786336:KSN786336 LCF786336:LCJ786336 LMB786336:LMF786336 LVX786336:LWB786336 MFT786336:MFX786336 MPP786336:MPT786336 MZL786336:MZP786336 NJH786336:NJL786336 NTD786336:NTH786336 OCZ786336:ODD786336 OMV786336:OMZ786336 OWR786336:OWV786336 PGN786336:PGR786336 PQJ786336:PQN786336 QAF786336:QAJ786336 QKB786336:QKF786336 QTX786336:QUB786336 RDT786336:RDX786336 RNP786336:RNT786336 RXL786336:RXP786336 SHH786336:SHL786336 SRD786336:SRH786336 TAZ786336:TBD786336 TKV786336:TKZ786336 TUR786336:TUV786336 UEN786336:UER786336 UOJ786336:UON786336 UYF786336:UYJ786336 VIB786336:VIF786336 VRX786336:VSB786336 WBT786336:WBX786336 WLP786336:WLT786336 WVL786336:WVP786336 D851872:H851872 IZ851872:JD851872 SV851872:SZ851872 ACR851872:ACV851872 AMN851872:AMR851872 AWJ851872:AWN851872 BGF851872:BGJ851872 BQB851872:BQF851872 BZX851872:CAB851872 CJT851872:CJX851872 CTP851872:CTT851872 DDL851872:DDP851872 DNH851872:DNL851872 DXD851872:DXH851872 EGZ851872:EHD851872 EQV851872:EQZ851872 FAR851872:FAV851872 FKN851872:FKR851872 FUJ851872:FUN851872 GEF851872:GEJ851872 GOB851872:GOF851872 GXX851872:GYB851872 HHT851872:HHX851872 HRP851872:HRT851872 IBL851872:IBP851872 ILH851872:ILL851872 IVD851872:IVH851872 JEZ851872:JFD851872 JOV851872:JOZ851872 JYR851872:JYV851872 KIN851872:KIR851872 KSJ851872:KSN851872 LCF851872:LCJ851872 LMB851872:LMF851872 LVX851872:LWB851872 MFT851872:MFX851872 MPP851872:MPT851872 MZL851872:MZP851872 NJH851872:NJL851872 NTD851872:NTH851872 OCZ851872:ODD851872 OMV851872:OMZ851872 OWR851872:OWV851872 PGN851872:PGR851872 PQJ851872:PQN851872 QAF851872:QAJ851872 QKB851872:QKF851872 QTX851872:QUB851872 RDT851872:RDX851872 RNP851872:RNT851872 RXL851872:RXP851872 SHH851872:SHL851872 SRD851872:SRH851872 TAZ851872:TBD851872 TKV851872:TKZ851872 TUR851872:TUV851872 UEN851872:UER851872 UOJ851872:UON851872 UYF851872:UYJ851872 VIB851872:VIF851872 VRX851872:VSB851872 WBT851872:WBX851872 WLP851872:WLT851872 WVL851872:WVP851872 D917408:H917408 IZ917408:JD917408 SV917408:SZ917408 ACR917408:ACV917408 AMN917408:AMR917408 AWJ917408:AWN917408 BGF917408:BGJ917408 BQB917408:BQF917408 BZX917408:CAB917408 CJT917408:CJX917408 CTP917408:CTT917408 DDL917408:DDP917408 DNH917408:DNL917408 DXD917408:DXH917408 EGZ917408:EHD917408 EQV917408:EQZ917408 FAR917408:FAV917408 FKN917408:FKR917408 FUJ917408:FUN917408 GEF917408:GEJ917408 GOB917408:GOF917408 GXX917408:GYB917408 HHT917408:HHX917408 HRP917408:HRT917408 IBL917408:IBP917408 ILH917408:ILL917408 IVD917408:IVH917408 JEZ917408:JFD917408 JOV917408:JOZ917408 JYR917408:JYV917408 KIN917408:KIR917408 KSJ917408:KSN917408 LCF917408:LCJ917408 LMB917408:LMF917408 LVX917408:LWB917408 MFT917408:MFX917408 MPP917408:MPT917408 MZL917408:MZP917408 NJH917408:NJL917408 NTD917408:NTH917408 OCZ917408:ODD917408 OMV917408:OMZ917408 OWR917408:OWV917408 PGN917408:PGR917408 PQJ917408:PQN917408 QAF917408:QAJ917408 QKB917408:QKF917408 QTX917408:QUB917408 RDT917408:RDX917408 RNP917408:RNT917408 RXL917408:RXP917408 SHH917408:SHL917408 SRD917408:SRH917408 TAZ917408:TBD917408 TKV917408:TKZ917408 TUR917408:TUV917408 UEN917408:UER917408 UOJ917408:UON917408 UYF917408:UYJ917408 VIB917408:VIF917408 VRX917408:VSB917408 WBT917408:WBX917408 WLP917408:WLT917408 WVL917408:WVP917408 D982944:H982944 IZ982944:JD982944 SV982944:SZ982944 ACR982944:ACV982944 AMN982944:AMR982944 AWJ982944:AWN982944 BGF982944:BGJ982944 BQB982944:BQF982944 BZX982944:CAB982944 CJT982944:CJX982944 CTP982944:CTT982944 DDL982944:DDP982944 DNH982944:DNL982944 DXD982944:DXH982944 EGZ982944:EHD982944 EQV982944:EQZ982944 FAR982944:FAV982944 FKN982944:FKR982944 FUJ982944:FUN982944 GEF982944:GEJ982944 GOB982944:GOF982944 GXX982944:GYB982944 HHT982944:HHX982944 HRP982944:HRT982944 IBL982944:IBP982944 ILH982944:ILL982944 IVD982944:IVH982944 JEZ982944:JFD982944 JOV982944:JOZ982944 JYR982944:JYV982944 KIN982944:KIR982944 KSJ982944:KSN982944 LCF982944:LCJ982944 LMB982944:LMF982944 LVX982944:LWB982944 MFT982944:MFX982944 MPP982944:MPT982944 MZL982944:MZP982944 NJH982944:NJL982944 NTD982944:NTH982944 OCZ982944:ODD982944 OMV982944:OMZ982944 OWR982944:OWV982944 PGN982944:PGR982944 PQJ982944:PQN982944 QAF982944:QAJ982944 QKB982944:QKF982944 QTX982944:QUB982944 RDT982944:RDX982944 RNP982944:RNT982944 RXL982944:RXP982944 SHH982944:SHL982944 SRD982944:SRH982944 TAZ982944:TBD982944 TKV982944:TKZ982944 TUR982944:TUV982944 UEN982944:UER982944 UOJ982944:UON982944 UYF982944:UYJ982944 VIB982944:VIF982944 VRX982944:VSB982944 WBT982944:WBX982944 WLP982944:WLT982944 WVL982944:WVP982944 IZ5:JD15 SV5:SZ15 ACR5:ACV15 AMN5:AMR15 AWJ5:AWN15 BGF5:BGJ15 BQB5:BQF15 BZX5:CAB15 CJT5:CJX15 CTP5:CTT15 DDL5:DDP15 DNH5:DNL15 DXD5:DXH15 EGZ5:EHD15 EQV5:EQZ15 FAR5:FAV15 FKN5:FKR15 FUJ5:FUN15 GEF5:GEJ15 GOB5:GOF15 GXX5:GYB15 HHT5:HHX15 HRP5:HRT15 IBL5:IBP15 ILH5:ILL15 IVD5:IVH15 JEZ5:JFD15 JOV5:JOZ15 JYR5:JYV15 KIN5:KIR15 KSJ5:KSN15 LCF5:LCJ15 LMB5:LMF15 LVX5:LWB15 MFT5:MFX15 MPP5:MPT15 MZL5:MZP15 NJH5:NJL15 NTD5:NTH15 OCZ5:ODD15 OMV5:OMZ15 OWR5:OWV15 PGN5:PGR15 PQJ5:PQN15 QAF5:QAJ15 QKB5:QKF15 QTX5:QUB15 RDT5:RDX15 RNP5:RNT15 RXL5:RXP15 SHH5:SHL15 SRD5:SRH15 TAZ5:TBD15 TKV5:TKZ15 TUR5:TUV15 UEN5:UER15 UOJ5:UON15 UYF5:UYJ15 VIB5:VIF15 VRX5:VSB15 WBT5:WBX15 WLP5:WLT15 WVL5:WVP15 E6:E7 E5:L5">
      <formula1>EJES</formula1>
    </dataValidation>
    <dataValidation type="list" allowBlank="1" showInputMessage="1" showErrorMessage="1" sqref="JF65440 TB65440 ACX65440 AMT65440 AWP65440 BGL65440 BQH65440 CAD65440 CJZ65440 CTV65440 DDR65440 DNN65440 DXJ65440 EHF65440 ERB65440 FAX65440 FKT65440 FUP65440 GEL65440 GOH65440 GYD65440 HHZ65440 HRV65440 IBR65440 ILN65440 IVJ65440 JFF65440 JPB65440 JYX65440 KIT65440 KSP65440 LCL65440 LMH65440 LWD65440 MFZ65440 MPV65440 MZR65440 NJN65440 NTJ65440 ODF65440 ONB65440 OWX65440 PGT65440 PQP65440 QAL65440 QKH65440 QUD65440 RDZ65440 RNV65440 RXR65440 SHN65440 SRJ65440 TBF65440 TLB65440 TUX65440 UET65440 UOP65440 UYL65440 VIH65440 VSD65440 WBZ65440 WLV65440 WVR65440 JF130976 TB130976 ACX130976 AMT130976 AWP130976 BGL130976 BQH130976 CAD130976 CJZ130976 CTV130976 DDR130976 DNN130976 DXJ130976 EHF130976 ERB130976 FAX130976 FKT130976 FUP130976 GEL130976 GOH130976 GYD130976 HHZ130976 HRV130976 IBR130976 ILN130976 IVJ130976 JFF130976 JPB130976 JYX130976 KIT130976 KSP130976 LCL130976 LMH130976 LWD130976 MFZ130976 MPV130976 MZR130976 NJN130976 NTJ130976 ODF130976 ONB130976 OWX130976 PGT130976 PQP130976 QAL130976 QKH130976 QUD130976 RDZ130976 RNV130976 RXR130976 SHN130976 SRJ130976 TBF130976 TLB130976 TUX130976 UET130976 UOP130976 UYL130976 VIH130976 VSD130976 WBZ130976 WLV130976 WVR130976 JF196512 TB196512 ACX196512 AMT196512 AWP196512 BGL196512 BQH196512 CAD196512 CJZ196512 CTV196512 DDR196512 DNN196512 DXJ196512 EHF196512 ERB196512 FAX196512 FKT196512 FUP196512 GEL196512 GOH196512 GYD196512 HHZ196512 HRV196512 IBR196512 ILN196512 IVJ196512 JFF196512 JPB196512 JYX196512 KIT196512 KSP196512 LCL196512 LMH196512 LWD196512 MFZ196512 MPV196512 MZR196512 NJN196512 NTJ196512 ODF196512 ONB196512 OWX196512 PGT196512 PQP196512 QAL196512 QKH196512 QUD196512 RDZ196512 RNV196512 RXR196512 SHN196512 SRJ196512 TBF196512 TLB196512 TUX196512 UET196512 UOP196512 UYL196512 VIH196512 VSD196512 WBZ196512 WLV196512 WVR196512 JF262048 TB262048 ACX262048 AMT262048 AWP262048 BGL262048 BQH262048 CAD262048 CJZ262048 CTV262048 DDR262048 DNN262048 DXJ262048 EHF262048 ERB262048 FAX262048 FKT262048 FUP262048 GEL262048 GOH262048 GYD262048 HHZ262048 HRV262048 IBR262048 ILN262048 IVJ262048 JFF262048 JPB262048 JYX262048 KIT262048 KSP262048 LCL262048 LMH262048 LWD262048 MFZ262048 MPV262048 MZR262048 NJN262048 NTJ262048 ODF262048 ONB262048 OWX262048 PGT262048 PQP262048 QAL262048 QKH262048 QUD262048 RDZ262048 RNV262048 RXR262048 SHN262048 SRJ262048 TBF262048 TLB262048 TUX262048 UET262048 UOP262048 UYL262048 VIH262048 VSD262048 WBZ262048 WLV262048 WVR262048 JF327584 TB327584 ACX327584 AMT327584 AWP327584 BGL327584 BQH327584 CAD327584 CJZ327584 CTV327584 DDR327584 DNN327584 DXJ327584 EHF327584 ERB327584 FAX327584 FKT327584 FUP327584 GEL327584 GOH327584 GYD327584 HHZ327584 HRV327584 IBR327584 ILN327584 IVJ327584 JFF327584 JPB327584 JYX327584 KIT327584 KSP327584 LCL327584 LMH327584 LWD327584 MFZ327584 MPV327584 MZR327584 NJN327584 NTJ327584 ODF327584 ONB327584 OWX327584 PGT327584 PQP327584 QAL327584 QKH327584 QUD327584 RDZ327584 RNV327584 RXR327584 SHN327584 SRJ327584 TBF327584 TLB327584 TUX327584 UET327584 UOP327584 UYL327584 VIH327584 VSD327584 WBZ327584 WLV327584 WVR327584 JF393120 TB393120 ACX393120 AMT393120 AWP393120 BGL393120 BQH393120 CAD393120 CJZ393120 CTV393120 DDR393120 DNN393120 DXJ393120 EHF393120 ERB393120 FAX393120 FKT393120 FUP393120 GEL393120 GOH393120 GYD393120 HHZ393120 HRV393120 IBR393120 ILN393120 IVJ393120 JFF393120 JPB393120 JYX393120 KIT393120 KSP393120 LCL393120 LMH393120 LWD393120 MFZ393120 MPV393120 MZR393120 NJN393120 NTJ393120 ODF393120 ONB393120 OWX393120 PGT393120 PQP393120 QAL393120 QKH393120 QUD393120 RDZ393120 RNV393120 RXR393120 SHN393120 SRJ393120 TBF393120 TLB393120 TUX393120 UET393120 UOP393120 UYL393120 VIH393120 VSD393120 WBZ393120 WLV393120 WVR393120 JF458656 TB458656 ACX458656 AMT458656 AWP458656 BGL458656 BQH458656 CAD458656 CJZ458656 CTV458656 DDR458656 DNN458656 DXJ458656 EHF458656 ERB458656 FAX458656 FKT458656 FUP458656 GEL458656 GOH458656 GYD458656 HHZ458656 HRV458656 IBR458656 ILN458656 IVJ458656 JFF458656 JPB458656 JYX458656 KIT458656 KSP458656 LCL458656 LMH458656 LWD458656 MFZ458656 MPV458656 MZR458656 NJN458656 NTJ458656 ODF458656 ONB458656 OWX458656 PGT458656 PQP458656 QAL458656 QKH458656 QUD458656 RDZ458656 RNV458656 RXR458656 SHN458656 SRJ458656 TBF458656 TLB458656 TUX458656 UET458656 UOP458656 UYL458656 VIH458656 VSD458656 WBZ458656 WLV458656 WVR458656 JF524192 TB524192 ACX524192 AMT524192 AWP524192 BGL524192 BQH524192 CAD524192 CJZ524192 CTV524192 DDR524192 DNN524192 DXJ524192 EHF524192 ERB524192 FAX524192 FKT524192 FUP524192 GEL524192 GOH524192 GYD524192 HHZ524192 HRV524192 IBR524192 ILN524192 IVJ524192 JFF524192 JPB524192 JYX524192 KIT524192 KSP524192 LCL524192 LMH524192 LWD524192 MFZ524192 MPV524192 MZR524192 NJN524192 NTJ524192 ODF524192 ONB524192 OWX524192 PGT524192 PQP524192 QAL524192 QKH524192 QUD524192 RDZ524192 RNV524192 RXR524192 SHN524192 SRJ524192 TBF524192 TLB524192 TUX524192 UET524192 UOP524192 UYL524192 VIH524192 VSD524192 WBZ524192 WLV524192 WVR524192 JF589728 TB589728 ACX589728 AMT589728 AWP589728 BGL589728 BQH589728 CAD589728 CJZ589728 CTV589728 DDR589728 DNN589728 DXJ589728 EHF589728 ERB589728 FAX589728 FKT589728 FUP589728 GEL589728 GOH589728 GYD589728 HHZ589728 HRV589728 IBR589728 ILN589728 IVJ589728 JFF589728 JPB589728 JYX589728 KIT589728 KSP589728 LCL589728 LMH589728 LWD589728 MFZ589728 MPV589728 MZR589728 NJN589728 NTJ589728 ODF589728 ONB589728 OWX589728 PGT589728 PQP589728 QAL589728 QKH589728 QUD589728 RDZ589728 RNV589728 RXR589728 SHN589728 SRJ589728 TBF589728 TLB589728 TUX589728 UET589728 UOP589728 UYL589728 VIH589728 VSD589728 WBZ589728 WLV589728 WVR589728 JF655264 TB655264 ACX655264 AMT655264 AWP655264 BGL655264 BQH655264 CAD655264 CJZ655264 CTV655264 DDR655264 DNN655264 DXJ655264 EHF655264 ERB655264 FAX655264 FKT655264 FUP655264 GEL655264 GOH655264 GYD655264 HHZ655264 HRV655264 IBR655264 ILN655264 IVJ655264 JFF655264 JPB655264 JYX655264 KIT655264 KSP655264 LCL655264 LMH655264 LWD655264 MFZ655264 MPV655264 MZR655264 NJN655264 NTJ655264 ODF655264 ONB655264 OWX655264 PGT655264 PQP655264 QAL655264 QKH655264 QUD655264 RDZ655264 RNV655264 RXR655264 SHN655264 SRJ655264 TBF655264 TLB655264 TUX655264 UET655264 UOP655264 UYL655264 VIH655264 VSD655264 WBZ655264 WLV655264 WVR655264 JF720800 TB720800 ACX720800 AMT720800 AWP720800 BGL720800 BQH720800 CAD720800 CJZ720800 CTV720800 DDR720800 DNN720800 DXJ720800 EHF720800 ERB720800 FAX720800 FKT720800 FUP720800 GEL720800 GOH720800 GYD720800 HHZ720800 HRV720800 IBR720800 ILN720800 IVJ720800 JFF720800 JPB720800 JYX720800 KIT720800 KSP720800 LCL720800 LMH720800 LWD720800 MFZ720800 MPV720800 MZR720800 NJN720800 NTJ720800 ODF720800 ONB720800 OWX720800 PGT720800 PQP720800 QAL720800 QKH720800 QUD720800 RDZ720800 RNV720800 RXR720800 SHN720800 SRJ720800 TBF720800 TLB720800 TUX720800 UET720800 UOP720800 UYL720800 VIH720800 VSD720800 WBZ720800 WLV720800 WVR720800 JF786336 TB786336 ACX786336 AMT786336 AWP786336 BGL786336 BQH786336 CAD786336 CJZ786336 CTV786336 DDR786336 DNN786336 DXJ786336 EHF786336 ERB786336 FAX786336 FKT786336 FUP786336 GEL786336 GOH786336 GYD786336 HHZ786336 HRV786336 IBR786336 ILN786336 IVJ786336 JFF786336 JPB786336 JYX786336 KIT786336 KSP786336 LCL786336 LMH786336 LWD786336 MFZ786336 MPV786336 MZR786336 NJN786336 NTJ786336 ODF786336 ONB786336 OWX786336 PGT786336 PQP786336 QAL786336 QKH786336 QUD786336 RDZ786336 RNV786336 RXR786336 SHN786336 SRJ786336 TBF786336 TLB786336 TUX786336 UET786336 UOP786336 UYL786336 VIH786336 VSD786336 WBZ786336 WLV786336 WVR786336 JF851872 TB851872 ACX851872 AMT851872 AWP851872 BGL851872 BQH851872 CAD851872 CJZ851872 CTV851872 DDR851872 DNN851872 DXJ851872 EHF851872 ERB851872 FAX851872 FKT851872 FUP851872 GEL851872 GOH851872 GYD851872 HHZ851872 HRV851872 IBR851872 ILN851872 IVJ851872 JFF851872 JPB851872 JYX851872 KIT851872 KSP851872 LCL851872 LMH851872 LWD851872 MFZ851872 MPV851872 MZR851872 NJN851872 NTJ851872 ODF851872 ONB851872 OWX851872 PGT851872 PQP851872 QAL851872 QKH851872 QUD851872 RDZ851872 RNV851872 RXR851872 SHN851872 SRJ851872 TBF851872 TLB851872 TUX851872 UET851872 UOP851872 UYL851872 VIH851872 VSD851872 WBZ851872 WLV851872 WVR851872 JF917408 TB917408 ACX917408 AMT917408 AWP917408 BGL917408 BQH917408 CAD917408 CJZ917408 CTV917408 DDR917408 DNN917408 DXJ917408 EHF917408 ERB917408 FAX917408 FKT917408 FUP917408 GEL917408 GOH917408 GYD917408 HHZ917408 HRV917408 IBR917408 ILN917408 IVJ917408 JFF917408 JPB917408 JYX917408 KIT917408 KSP917408 LCL917408 LMH917408 LWD917408 MFZ917408 MPV917408 MZR917408 NJN917408 NTJ917408 ODF917408 ONB917408 OWX917408 PGT917408 PQP917408 QAL917408 QKH917408 QUD917408 RDZ917408 RNV917408 RXR917408 SHN917408 SRJ917408 TBF917408 TLB917408 TUX917408 UET917408 UOP917408 UYL917408 VIH917408 VSD917408 WBZ917408 WLV917408 WVR917408 JF982944 TB982944 ACX982944 AMT982944 AWP982944 BGL982944 BQH982944 CAD982944 CJZ982944 CTV982944 DDR982944 DNN982944 DXJ982944 EHF982944 ERB982944 FAX982944 FKT982944 FUP982944 GEL982944 GOH982944 GYD982944 HHZ982944 HRV982944 IBR982944 ILN982944 IVJ982944 JFF982944 JPB982944 JYX982944 KIT982944 KSP982944 LCL982944 LMH982944 LWD982944 MFZ982944 MPV982944 MZR982944 NJN982944 NTJ982944 ODF982944 ONB982944 OWX982944 PGT982944 PQP982944 QAL982944 QKH982944 QUD982944 RDZ982944 RNV982944 RXR982944 SHN982944 SRJ982944 TBF982944 TLB982944 TUX982944 UET982944 UOP982944 UYL982944 VIH982944 VSD982944 WBZ982944 WLV982944 WVR982944 JF5:JF15 TB5:TB15 ACX5:ACX15 AMT5:AMT15 AWP5:AWP15 BGL5:BGL15 BQH5:BQH15 CAD5:CAD15 CJZ5:CJZ15 CTV5:CTV15 DDR5:DDR15 DNN5:DNN15 DXJ5:DXJ15 EHF5:EHF15 ERB5:ERB15 FAX5:FAX15 FKT5:FKT15 FUP5:FUP15 GEL5:GEL15 GOH5:GOH15 GYD5:GYD15 HHZ5:HHZ15 HRV5:HRV15 IBR5:IBR15 ILN5:ILN15 IVJ5:IVJ15 JFF5:JFF15 JPB5:JPB15 JYX5:JYX15 KIT5:KIT15 KSP5:KSP15 LCL5:LCL15 LMH5:LMH15 LWD5:LWD15 MFZ5:MFZ15 MPV5:MPV15 MZR5:MZR15 NJN5:NJN15 NTJ5:NTJ15 ODF5:ODF15 ONB5:ONB15 OWX5:OWX15 PGT5:PGT15 PQP5:PQP15 QAL5:QAL15 QKH5:QKH15 QUD5:QUD15 RDZ5:RDZ15 RNV5:RNV15 RXR5:RXR15 SHN5:SHN15 SRJ5:SRJ15 TBF5:TBF15 TLB5:TLB15 TUX5:TUX15 UET5:UET15 UOP5:UOP15 UYL5:UYL15 VIH5:VIH15 VSD5:VSD15 WBZ5:WBZ15 WLV5:WLV15 WVR5:WVR15">
      <formula1>INDIRECT(IY$5)</formula1>
    </dataValidation>
    <dataValidation type="list" allowBlank="1" showInputMessage="1" showErrorMessage="1" sqref="P4:R4 JL4:JN4 TH4:TJ4 ADD4:ADF4 AMZ4:ANB4 AWV4:AWX4 BGR4:BGT4 BQN4:BQP4 CAJ4:CAL4 CKF4:CKH4 CUB4:CUD4 DDX4:DDZ4 DNT4:DNV4 DXP4:DXR4 EHL4:EHN4 ERH4:ERJ4 FBD4:FBF4 FKZ4:FLB4 FUV4:FUX4 GER4:GET4 GON4:GOP4 GYJ4:GYL4 HIF4:HIH4 HSB4:HSD4 IBX4:IBZ4 ILT4:ILV4 IVP4:IVR4 JFL4:JFN4 JPH4:JPJ4 JZD4:JZF4 KIZ4:KJB4 KSV4:KSX4 LCR4:LCT4 LMN4:LMP4 LWJ4:LWL4 MGF4:MGH4 MQB4:MQD4 MZX4:MZZ4 NJT4:NJV4 NTP4:NTR4 ODL4:ODN4 ONH4:ONJ4 OXD4:OXF4 PGZ4:PHB4 PQV4:PQX4 QAR4:QAT4 QKN4:QKP4 QUJ4:QUL4 REF4:REH4 ROB4:ROD4 RXX4:RXZ4 SHT4:SHV4 SRP4:SRR4 TBL4:TBN4 TLH4:TLJ4 TVD4:TVF4 UEZ4:UFB4 UOV4:UOX4 UYR4:UYT4 VIN4:VIP4 VSJ4:VSL4 WCF4:WCH4 WMB4:WMD4 WVX4:WVZ4 P65439:R65439 JL65439:JN65439 TH65439:TJ65439 ADD65439:ADF65439 AMZ65439:ANB65439 AWV65439:AWX65439 BGR65439:BGT65439 BQN65439:BQP65439 CAJ65439:CAL65439 CKF65439:CKH65439 CUB65439:CUD65439 DDX65439:DDZ65439 DNT65439:DNV65439 DXP65439:DXR65439 EHL65439:EHN65439 ERH65439:ERJ65439 FBD65439:FBF65439 FKZ65439:FLB65439 FUV65439:FUX65439 GER65439:GET65439 GON65439:GOP65439 GYJ65439:GYL65439 HIF65439:HIH65439 HSB65439:HSD65439 IBX65439:IBZ65439 ILT65439:ILV65439 IVP65439:IVR65439 JFL65439:JFN65439 JPH65439:JPJ65439 JZD65439:JZF65439 KIZ65439:KJB65439 KSV65439:KSX65439 LCR65439:LCT65439 LMN65439:LMP65439 LWJ65439:LWL65439 MGF65439:MGH65439 MQB65439:MQD65439 MZX65439:MZZ65439 NJT65439:NJV65439 NTP65439:NTR65439 ODL65439:ODN65439 ONH65439:ONJ65439 OXD65439:OXF65439 PGZ65439:PHB65439 PQV65439:PQX65439 QAR65439:QAT65439 QKN65439:QKP65439 QUJ65439:QUL65439 REF65439:REH65439 ROB65439:ROD65439 RXX65439:RXZ65439 SHT65439:SHV65439 SRP65439:SRR65439 TBL65439:TBN65439 TLH65439:TLJ65439 TVD65439:TVF65439 UEZ65439:UFB65439 UOV65439:UOX65439 UYR65439:UYT65439 VIN65439:VIP65439 VSJ65439:VSL65439 WCF65439:WCH65439 WMB65439:WMD65439 WVX65439:WVZ65439 P130975:R130975 JL130975:JN130975 TH130975:TJ130975 ADD130975:ADF130975 AMZ130975:ANB130975 AWV130975:AWX130975 BGR130975:BGT130975 BQN130975:BQP130975 CAJ130975:CAL130975 CKF130975:CKH130975 CUB130975:CUD130975 DDX130975:DDZ130975 DNT130975:DNV130975 DXP130975:DXR130975 EHL130975:EHN130975 ERH130975:ERJ130975 FBD130975:FBF130975 FKZ130975:FLB130975 FUV130975:FUX130975 GER130975:GET130975 GON130975:GOP130975 GYJ130975:GYL130975 HIF130975:HIH130975 HSB130975:HSD130975 IBX130975:IBZ130975 ILT130975:ILV130975 IVP130975:IVR130975 JFL130975:JFN130975 JPH130975:JPJ130975 JZD130975:JZF130975 KIZ130975:KJB130975 KSV130975:KSX130975 LCR130975:LCT130975 LMN130975:LMP130975 LWJ130975:LWL130975 MGF130975:MGH130975 MQB130975:MQD130975 MZX130975:MZZ130975 NJT130975:NJV130975 NTP130975:NTR130975 ODL130975:ODN130975 ONH130975:ONJ130975 OXD130975:OXF130975 PGZ130975:PHB130975 PQV130975:PQX130975 QAR130975:QAT130975 QKN130975:QKP130975 QUJ130975:QUL130975 REF130975:REH130975 ROB130975:ROD130975 RXX130975:RXZ130975 SHT130975:SHV130975 SRP130975:SRR130975 TBL130975:TBN130975 TLH130975:TLJ130975 TVD130975:TVF130975 UEZ130975:UFB130975 UOV130975:UOX130975 UYR130975:UYT130975 VIN130975:VIP130975 VSJ130975:VSL130975 WCF130975:WCH130975 WMB130975:WMD130975 WVX130975:WVZ130975 P196511:R196511 JL196511:JN196511 TH196511:TJ196511 ADD196511:ADF196511 AMZ196511:ANB196511 AWV196511:AWX196511 BGR196511:BGT196511 BQN196511:BQP196511 CAJ196511:CAL196511 CKF196511:CKH196511 CUB196511:CUD196511 DDX196511:DDZ196511 DNT196511:DNV196511 DXP196511:DXR196511 EHL196511:EHN196511 ERH196511:ERJ196511 FBD196511:FBF196511 FKZ196511:FLB196511 FUV196511:FUX196511 GER196511:GET196511 GON196511:GOP196511 GYJ196511:GYL196511 HIF196511:HIH196511 HSB196511:HSD196511 IBX196511:IBZ196511 ILT196511:ILV196511 IVP196511:IVR196511 JFL196511:JFN196511 JPH196511:JPJ196511 JZD196511:JZF196511 KIZ196511:KJB196511 KSV196511:KSX196511 LCR196511:LCT196511 LMN196511:LMP196511 LWJ196511:LWL196511 MGF196511:MGH196511 MQB196511:MQD196511 MZX196511:MZZ196511 NJT196511:NJV196511 NTP196511:NTR196511 ODL196511:ODN196511 ONH196511:ONJ196511 OXD196511:OXF196511 PGZ196511:PHB196511 PQV196511:PQX196511 QAR196511:QAT196511 QKN196511:QKP196511 QUJ196511:QUL196511 REF196511:REH196511 ROB196511:ROD196511 RXX196511:RXZ196511 SHT196511:SHV196511 SRP196511:SRR196511 TBL196511:TBN196511 TLH196511:TLJ196511 TVD196511:TVF196511 UEZ196511:UFB196511 UOV196511:UOX196511 UYR196511:UYT196511 VIN196511:VIP196511 VSJ196511:VSL196511 WCF196511:WCH196511 WMB196511:WMD196511 WVX196511:WVZ196511 P262047:R262047 JL262047:JN262047 TH262047:TJ262047 ADD262047:ADF262047 AMZ262047:ANB262047 AWV262047:AWX262047 BGR262047:BGT262047 BQN262047:BQP262047 CAJ262047:CAL262047 CKF262047:CKH262047 CUB262047:CUD262047 DDX262047:DDZ262047 DNT262047:DNV262047 DXP262047:DXR262047 EHL262047:EHN262047 ERH262047:ERJ262047 FBD262047:FBF262047 FKZ262047:FLB262047 FUV262047:FUX262047 GER262047:GET262047 GON262047:GOP262047 GYJ262047:GYL262047 HIF262047:HIH262047 HSB262047:HSD262047 IBX262047:IBZ262047 ILT262047:ILV262047 IVP262047:IVR262047 JFL262047:JFN262047 JPH262047:JPJ262047 JZD262047:JZF262047 KIZ262047:KJB262047 KSV262047:KSX262047 LCR262047:LCT262047 LMN262047:LMP262047 LWJ262047:LWL262047 MGF262047:MGH262047 MQB262047:MQD262047 MZX262047:MZZ262047 NJT262047:NJV262047 NTP262047:NTR262047 ODL262047:ODN262047 ONH262047:ONJ262047 OXD262047:OXF262047 PGZ262047:PHB262047 PQV262047:PQX262047 QAR262047:QAT262047 QKN262047:QKP262047 QUJ262047:QUL262047 REF262047:REH262047 ROB262047:ROD262047 RXX262047:RXZ262047 SHT262047:SHV262047 SRP262047:SRR262047 TBL262047:TBN262047 TLH262047:TLJ262047 TVD262047:TVF262047 UEZ262047:UFB262047 UOV262047:UOX262047 UYR262047:UYT262047 VIN262047:VIP262047 VSJ262047:VSL262047 WCF262047:WCH262047 WMB262047:WMD262047 WVX262047:WVZ262047 P327583:R327583 JL327583:JN327583 TH327583:TJ327583 ADD327583:ADF327583 AMZ327583:ANB327583 AWV327583:AWX327583 BGR327583:BGT327583 BQN327583:BQP327583 CAJ327583:CAL327583 CKF327583:CKH327583 CUB327583:CUD327583 DDX327583:DDZ327583 DNT327583:DNV327583 DXP327583:DXR327583 EHL327583:EHN327583 ERH327583:ERJ327583 FBD327583:FBF327583 FKZ327583:FLB327583 FUV327583:FUX327583 GER327583:GET327583 GON327583:GOP327583 GYJ327583:GYL327583 HIF327583:HIH327583 HSB327583:HSD327583 IBX327583:IBZ327583 ILT327583:ILV327583 IVP327583:IVR327583 JFL327583:JFN327583 JPH327583:JPJ327583 JZD327583:JZF327583 KIZ327583:KJB327583 KSV327583:KSX327583 LCR327583:LCT327583 LMN327583:LMP327583 LWJ327583:LWL327583 MGF327583:MGH327583 MQB327583:MQD327583 MZX327583:MZZ327583 NJT327583:NJV327583 NTP327583:NTR327583 ODL327583:ODN327583 ONH327583:ONJ327583 OXD327583:OXF327583 PGZ327583:PHB327583 PQV327583:PQX327583 QAR327583:QAT327583 QKN327583:QKP327583 QUJ327583:QUL327583 REF327583:REH327583 ROB327583:ROD327583 RXX327583:RXZ327583 SHT327583:SHV327583 SRP327583:SRR327583 TBL327583:TBN327583 TLH327583:TLJ327583 TVD327583:TVF327583 UEZ327583:UFB327583 UOV327583:UOX327583 UYR327583:UYT327583 VIN327583:VIP327583 VSJ327583:VSL327583 WCF327583:WCH327583 WMB327583:WMD327583 WVX327583:WVZ327583 P393119:R393119 JL393119:JN393119 TH393119:TJ393119 ADD393119:ADF393119 AMZ393119:ANB393119 AWV393119:AWX393119 BGR393119:BGT393119 BQN393119:BQP393119 CAJ393119:CAL393119 CKF393119:CKH393119 CUB393119:CUD393119 DDX393119:DDZ393119 DNT393119:DNV393119 DXP393119:DXR393119 EHL393119:EHN393119 ERH393119:ERJ393119 FBD393119:FBF393119 FKZ393119:FLB393119 FUV393119:FUX393119 GER393119:GET393119 GON393119:GOP393119 GYJ393119:GYL393119 HIF393119:HIH393119 HSB393119:HSD393119 IBX393119:IBZ393119 ILT393119:ILV393119 IVP393119:IVR393119 JFL393119:JFN393119 JPH393119:JPJ393119 JZD393119:JZF393119 KIZ393119:KJB393119 KSV393119:KSX393119 LCR393119:LCT393119 LMN393119:LMP393119 LWJ393119:LWL393119 MGF393119:MGH393119 MQB393119:MQD393119 MZX393119:MZZ393119 NJT393119:NJV393119 NTP393119:NTR393119 ODL393119:ODN393119 ONH393119:ONJ393119 OXD393119:OXF393119 PGZ393119:PHB393119 PQV393119:PQX393119 QAR393119:QAT393119 QKN393119:QKP393119 QUJ393119:QUL393119 REF393119:REH393119 ROB393119:ROD393119 RXX393119:RXZ393119 SHT393119:SHV393119 SRP393119:SRR393119 TBL393119:TBN393119 TLH393119:TLJ393119 TVD393119:TVF393119 UEZ393119:UFB393119 UOV393119:UOX393119 UYR393119:UYT393119 VIN393119:VIP393119 VSJ393119:VSL393119 WCF393119:WCH393119 WMB393119:WMD393119 WVX393119:WVZ393119 P458655:R458655 JL458655:JN458655 TH458655:TJ458655 ADD458655:ADF458655 AMZ458655:ANB458655 AWV458655:AWX458655 BGR458655:BGT458655 BQN458655:BQP458655 CAJ458655:CAL458655 CKF458655:CKH458655 CUB458655:CUD458655 DDX458655:DDZ458655 DNT458655:DNV458655 DXP458655:DXR458655 EHL458655:EHN458655 ERH458655:ERJ458655 FBD458655:FBF458655 FKZ458655:FLB458655 FUV458655:FUX458655 GER458655:GET458655 GON458655:GOP458655 GYJ458655:GYL458655 HIF458655:HIH458655 HSB458655:HSD458655 IBX458655:IBZ458655 ILT458655:ILV458655 IVP458655:IVR458655 JFL458655:JFN458655 JPH458655:JPJ458655 JZD458655:JZF458655 KIZ458655:KJB458655 KSV458655:KSX458655 LCR458655:LCT458655 LMN458655:LMP458655 LWJ458655:LWL458655 MGF458655:MGH458655 MQB458655:MQD458655 MZX458655:MZZ458655 NJT458655:NJV458655 NTP458655:NTR458655 ODL458655:ODN458655 ONH458655:ONJ458655 OXD458655:OXF458655 PGZ458655:PHB458655 PQV458655:PQX458655 QAR458655:QAT458655 QKN458655:QKP458655 QUJ458655:QUL458655 REF458655:REH458655 ROB458655:ROD458655 RXX458655:RXZ458655 SHT458655:SHV458655 SRP458655:SRR458655 TBL458655:TBN458655 TLH458655:TLJ458655 TVD458655:TVF458655 UEZ458655:UFB458655 UOV458655:UOX458655 UYR458655:UYT458655 VIN458655:VIP458655 VSJ458655:VSL458655 WCF458655:WCH458655 WMB458655:WMD458655 WVX458655:WVZ458655 P524191:R524191 JL524191:JN524191 TH524191:TJ524191 ADD524191:ADF524191 AMZ524191:ANB524191 AWV524191:AWX524191 BGR524191:BGT524191 BQN524191:BQP524191 CAJ524191:CAL524191 CKF524191:CKH524191 CUB524191:CUD524191 DDX524191:DDZ524191 DNT524191:DNV524191 DXP524191:DXR524191 EHL524191:EHN524191 ERH524191:ERJ524191 FBD524191:FBF524191 FKZ524191:FLB524191 FUV524191:FUX524191 GER524191:GET524191 GON524191:GOP524191 GYJ524191:GYL524191 HIF524191:HIH524191 HSB524191:HSD524191 IBX524191:IBZ524191 ILT524191:ILV524191 IVP524191:IVR524191 JFL524191:JFN524191 JPH524191:JPJ524191 JZD524191:JZF524191 KIZ524191:KJB524191 KSV524191:KSX524191 LCR524191:LCT524191 LMN524191:LMP524191 LWJ524191:LWL524191 MGF524191:MGH524191 MQB524191:MQD524191 MZX524191:MZZ524191 NJT524191:NJV524191 NTP524191:NTR524191 ODL524191:ODN524191 ONH524191:ONJ524191 OXD524191:OXF524191 PGZ524191:PHB524191 PQV524191:PQX524191 QAR524191:QAT524191 QKN524191:QKP524191 QUJ524191:QUL524191 REF524191:REH524191 ROB524191:ROD524191 RXX524191:RXZ524191 SHT524191:SHV524191 SRP524191:SRR524191 TBL524191:TBN524191 TLH524191:TLJ524191 TVD524191:TVF524191 UEZ524191:UFB524191 UOV524191:UOX524191 UYR524191:UYT524191 VIN524191:VIP524191 VSJ524191:VSL524191 WCF524191:WCH524191 WMB524191:WMD524191 WVX524191:WVZ524191 P589727:R589727 JL589727:JN589727 TH589727:TJ589727 ADD589727:ADF589727 AMZ589727:ANB589727 AWV589727:AWX589727 BGR589727:BGT589727 BQN589727:BQP589727 CAJ589727:CAL589727 CKF589727:CKH589727 CUB589727:CUD589727 DDX589727:DDZ589727 DNT589727:DNV589727 DXP589727:DXR589727 EHL589727:EHN589727 ERH589727:ERJ589727 FBD589727:FBF589727 FKZ589727:FLB589727 FUV589727:FUX589727 GER589727:GET589727 GON589727:GOP589727 GYJ589727:GYL589727 HIF589727:HIH589727 HSB589727:HSD589727 IBX589727:IBZ589727 ILT589727:ILV589727 IVP589727:IVR589727 JFL589727:JFN589727 JPH589727:JPJ589727 JZD589727:JZF589727 KIZ589727:KJB589727 KSV589727:KSX589727 LCR589727:LCT589727 LMN589727:LMP589727 LWJ589727:LWL589727 MGF589727:MGH589727 MQB589727:MQD589727 MZX589727:MZZ589727 NJT589727:NJV589727 NTP589727:NTR589727 ODL589727:ODN589727 ONH589727:ONJ589727 OXD589727:OXF589727 PGZ589727:PHB589727 PQV589727:PQX589727 QAR589727:QAT589727 QKN589727:QKP589727 QUJ589727:QUL589727 REF589727:REH589727 ROB589727:ROD589727 RXX589727:RXZ589727 SHT589727:SHV589727 SRP589727:SRR589727 TBL589727:TBN589727 TLH589727:TLJ589727 TVD589727:TVF589727 UEZ589727:UFB589727 UOV589727:UOX589727 UYR589727:UYT589727 VIN589727:VIP589727 VSJ589727:VSL589727 WCF589727:WCH589727 WMB589727:WMD589727 WVX589727:WVZ589727 P655263:R655263 JL655263:JN655263 TH655263:TJ655263 ADD655263:ADF655263 AMZ655263:ANB655263 AWV655263:AWX655263 BGR655263:BGT655263 BQN655263:BQP655263 CAJ655263:CAL655263 CKF655263:CKH655263 CUB655263:CUD655263 DDX655263:DDZ655263 DNT655263:DNV655263 DXP655263:DXR655263 EHL655263:EHN655263 ERH655263:ERJ655263 FBD655263:FBF655263 FKZ655263:FLB655263 FUV655263:FUX655263 GER655263:GET655263 GON655263:GOP655263 GYJ655263:GYL655263 HIF655263:HIH655263 HSB655263:HSD655263 IBX655263:IBZ655263 ILT655263:ILV655263 IVP655263:IVR655263 JFL655263:JFN655263 JPH655263:JPJ655263 JZD655263:JZF655263 KIZ655263:KJB655263 KSV655263:KSX655263 LCR655263:LCT655263 LMN655263:LMP655263 LWJ655263:LWL655263 MGF655263:MGH655263 MQB655263:MQD655263 MZX655263:MZZ655263 NJT655263:NJV655263 NTP655263:NTR655263 ODL655263:ODN655263 ONH655263:ONJ655263 OXD655263:OXF655263 PGZ655263:PHB655263 PQV655263:PQX655263 QAR655263:QAT655263 QKN655263:QKP655263 QUJ655263:QUL655263 REF655263:REH655263 ROB655263:ROD655263 RXX655263:RXZ655263 SHT655263:SHV655263 SRP655263:SRR655263 TBL655263:TBN655263 TLH655263:TLJ655263 TVD655263:TVF655263 UEZ655263:UFB655263 UOV655263:UOX655263 UYR655263:UYT655263 VIN655263:VIP655263 VSJ655263:VSL655263 WCF655263:WCH655263 WMB655263:WMD655263 WVX655263:WVZ655263 P720799:R720799 JL720799:JN720799 TH720799:TJ720799 ADD720799:ADF720799 AMZ720799:ANB720799 AWV720799:AWX720799 BGR720799:BGT720799 BQN720799:BQP720799 CAJ720799:CAL720799 CKF720799:CKH720799 CUB720799:CUD720799 DDX720799:DDZ720799 DNT720799:DNV720799 DXP720799:DXR720799 EHL720799:EHN720799 ERH720799:ERJ720799 FBD720799:FBF720799 FKZ720799:FLB720799 FUV720799:FUX720799 GER720799:GET720799 GON720799:GOP720799 GYJ720799:GYL720799 HIF720799:HIH720799 HSB720799:HSD720799 IBX720799:IBZ720799 ILT720799:ILV720799 IVP720799:IVR720799 JFL720799:JFN720799 JPH720799:JPJ720799 JZD720799:JZF720799 KIZ720799:KJB720799 KSV720799:KSX720799 LCR720799:LCT720799 LMN720799:LMP720799 LWJ720799:LWL720799 MGF720799:MGH720799 MQB720799:MQD720799 MZX720799:MZZ720799 NJT720799:NJV720799 NTP720799:NTR720799 ODL720799:ODN720799 ONH720799:ONJ720799 OXD720799:OXF720799 PGZ720799:PHB720799 PQV720799:PQX720799 QAR720799:QAT720799 QKN720799:QKP720799 QUJ720799:QUL720799 REF720799:REH720799 ROB720799:ROD720799 RXX720799:RXZ720799 SHT720799:SHV720799 SRP720799:SRR720799 TBL720799:TBN720799 TLH720799:TLJ720799 TVD720799:TVF720799 UEZ720799:UFB720799 UOV720799:UOX720799 UYR720799:UYT720799 VIN720799:VIP720799 VSJ720799:VSL720799 WCF720799:WCH720799 WMB720799:WMD720799 WVX720799:WVZ720799 P786335:R786335 JL786335:JN786335 TH786335:TJ786335 ADD786335:ADF786335 AMZ786335:ANB786335 AWV786335:AWX786335 BGR786335:BGT786335 BQN786335:BQP786335 CAJ786335:CAL786335 CKF786335:CKH786335 CUB786335:CUD786335 DDX786335:DDZ786335 DNT786335:DNV786335 DXP786335:DXR786335 EHL786335:EHN786335 ERH786335:ERJ786335 FBD786335:FBF786335 FKZ786335:FLB786335 FUV786335:FUX786335 GER786335:GET786335 GON786335:GOP786335 GYJ786335:GYL786335 HIF786335:HIH786335 HSB786335:HSD786335 IBX786335:IBZ786335 ILT786335:ILV786335 IVP786335:IVR786335 JFL786335:JFN786335 JPH786335:JPJ786335 JZD786335:JZF786335 KIZ786335:KJB786335 KSV786335:KSX786335 LCR786335:LCT786335 LMN786335:LMP786335 LWJ786335:LWL786335 MGF786335:MGH786335 MQB786335:MQD786335 MZX786335:MZZ786335 NJT786335:NJV786335 NTP786335:NTR786335 ODL786335:ODN786335 ONH786335:ONJ786335 OXD786335:OXF786335 PGZ786335:PHB786335 PQV786335:PQX786335 QAR786335:QAT786335 QKN786335:QKP786335 QUJ786335:QUL786335 REF786335:REH786335 ROB786335:ROD786335 RXX786335:RXZ786335 SHT786335:SHV786335 SRP786335:SRR786335 TBL786335:TBN786335 TLH786335:TLJ786335 TVD786335:TVF786335 UEZ786335:UFB786335 UOV786335:UOX786335 UYR786335:UYT786335 VIN786335:VIP786335 VSJ786335:VSL786335 WCF786335:WCH786335 WMB786335:WMD786335 WVX786335:WVZ786335 P851871:R851871 JL851871:JN851871 TH851871:TJ851871 ADD851871:ADF851871 AMZ851871:ANB851871 AWV851871:AWX851871 BGR851871:BGT851871 BQN851871:BQP851871 CAJ851871:CAL851871 CKF851871:CKH851871 CUB851871:CUD851871 DDX851871:DDZ851871 DNT851871:DNV851871 DXP851871:DXR851871 EHL851871:EHN851871 ERH851871:ERJ851871 FBD851871:FBF851871 FKZ851871:FLB851871 FUV851871:FUX851871 GER851871:GET851871 GON851871:GOP851871 GYJ851871:GYL851871 HIF851871:HIH851871 HSB851871:HSD851871 IBX851871:IBZ851871 ILT851871:ILV851871 IVP851871:IVR851871 JFL851871:JFN851871 JPH851871:JPJ851871 JZD851871:JZF851871 KIZ851871:KJB851871 KSV851871:KSX851871 LCR851871:LCT851871 LMN851871:LMP851871 LWJ851871:LWL851871 MGF851871:MGH851871 MQB851871:MQD851871 MZX851871:MZZ851871 NJT851871:NJV851871 NTP851871:NTR851871 ODL851871:ODN851871 ONH851871:ONJ851871 OXD851871:OXF851871 PGZ851871:PHB851871 PQV851871:PQX851871 QAR851871:QAT851871 QKN851871:QKP851871 QUJ851871:QUL851871 REF851871:REH851871 ROB851871:ROD851871 RXX851871:RXZ851871 SHT851871:SHV851871 SRP851871:SRR851871 TBL851871:TBN851871 TLH851871:TLJ851871 TVD851871:TVF851871 UEZ851871:UFB851871 UOV851871:UOX851871 UYR851871:UYT851871 VIN851871:VIP851871 VSJ851871:VSL851871 WCF851871:WCH851871 WMB851871:WMD851871 WVX851871:WVZ851871 P917407:R917407 JL917407:JN917407 TH917407:TJ917407 ADD917407:ADF917407 AMZ917407:ANB917407 AWV917407:AWX917407 BGR917407:BGT917407 BQN917407:BQP917407 CAJ917407:CAL917407 CKF917407:CKH917407 CUB917407:CUD917407 DDX917407:DDZ917407 DNT917407:DNV917407 DXP917407:DXR917407 EHL917407:EHN917407 ERH917407:ERJ917407 FBD917407:FBF917407 FKZ917407:FLB917407 FUV917407:FUX917407 GER917407:GET917407 GON917407:GOP917407 GYJ917407:GYL917407 HIF917407:HIH917407 HSB917407:HSD917407 IBX917407:IBZ917407 ILT917407:ILV917407 IVP917407:IVR917407 JFL917407:JFN917407 JPH917407:JPJ917407 JZD917407:JZF917407 KIZ917407:KJB917407 KSV917407:KSX917407 LCR917407:LCT917407 LMN917407:LMP917407 LWJ917407:LWL917407 MGF917407:MGH917407 MQB917407:MQD917407 MZX917407:MZZ917407 NJT917407:NJV917407 NTP917407:NTR917407 ODL917407:ODN917407 ONH917407:ONJ917407 OXD917407:OXF917407 PGZ917407:PHB917407 PQV917407:PQX917407 QAR917407:QAT917407 QKN917407:QKP917407 QUJ917407:QUL917407 REF917407:REH917407 ROB917407:ROD917407 RXX917407:RXZ917407 SHT917407:SHV917407 SRP917407:SRR917407 TBL917407:TBN917407 TLH917407:TLJ917407 TVD917407:TVF917407 UEZ917407:UFB917407 UOV917407:UOX917407 UYR917407:UYT917407 VIN917407:VIP917407 VSJ917407:VSL917407 WCF917407:WCH917407 WMB917407:WMD917407 WVX917407:WVZ917407 P982943:R982943 JL982943:JN982943 TH982943:TJ982943 ADD982943:ADF982943 AMZ982943:ANB982943 AWV982943:AWX982943 BGR982943:BGT982943 BQN982943:BQP982943 CAJ982943:CAL982943 CKF982943:CKH982943 CUB982943:CUD982943 DDX982943:DDZ982943 DNT982943:DNV982943 DXP982943:DXR982943 EHL982943:EHN982943 ERH982943:ERJ982943 FBD982943:FBF982943 FKZ982943:FLB982943 FUV982943:FUX982943 GER982943:GET982943 GON982943:GOP982943 GYJ982943:GYL982943 HIF982943:HIH982943 HSB982943:HSD982943 IBX982943:IBZ982943 ILT982943:ILV982943 IVP982943:IVR982943 JFL982943:JFN982943 JPH982943:JPJ982943 JZD982943:JZF982943 KIZ982943:KJB982943 KSV982943:KSX982943 LCR982943:LCT982943 LMN982943:LMP982943 LWJ982943:LWL982943 MGF982943:MGH982943 MQB982943:MQD982943 MZX982943:MZZ982943 NJT982943:NJV982943 NTP982943:NTR982943 ODL982943:ODN982943 ONH982943:ONJ982943 OXD982943:OXF982943 PGZ982943:PHB982943 PQV982943:PQX982943 QAR982943:QAT982943 QKN982943:QKP982943 QUJ982943:QUL982943 REF982943:REH982943 ROB982943:ROD982943 RXX982943:RXZ982943 SHT982943:SHV982943 SRP982943:SRR982943 TBL982943:TBN982943 TLH982943:TLJ982943 TVD982943:TVF982943 UEZ982943:UFB982943 UOV982943:UOX982943 UYR982943:UYT982943 VIN982943:VIP982943 VSJ982943:VSL982943 WCF982943:WCH982943 WMB982943:WMD982943 WVX982943:WVZ982943">
      <formula1>ENTIDADES</formula1>
    </dataValidation>
    <dataValidation type="list" allowBlank="1" showInputMessage="1" showErrorMessage="1" sqref="J65440 J982944 J130976 J196512 J262048 J327584 J393120 J458656 J524192 J589728 J655264 J720800 J786336 J851872 J917408">
      <formula1>INDIRECT(D$5)</formula1>
    </dataValidation>
    <dataValidation type="list" allowBlank="1" showInputMessage="1" showErrorMessage="1" sqref="E8:E9">
      <formula1>INDIRECT(D$5)</formula1>
    </dataValidation>
  </dataValidations>
  <hyperlinks>
    <hyperlink ref="S8" location="Portada!A1" display="Volver"/>
  </hyperlinks>
  <printOptions horizontalCentered="1" verticalCentered="1"/>
  <pageMargins left="0.78740157480314965" right="0.78740157480314965" top="0.35433070866141736" bottom="0.62992125984251968" header="0.23622047244094491" footer="0.70866141732283472"/>
  <pageSetup scale="70" orientation="landscape" r:id="rId1"/>
  <headerFooter alignWithMargins="0"/>
  <ignoredErrors>
    <ignoredError sqref="E21:E24"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IQ107"/>
  <sheetViews>
    <sheetView showGridLines="0" showZeros="0" zoomScale="112" zoomScaleNormal="112" workbookViewId="0">
      <selection activeCell="Q13" sqref="Q13"/>
    </sheetView>
  </sheetViews>
  <sheetFormatPr baseColWidth="10" defaultColWidth="0" defaultRowHeight="12.75" customHeight="1"/>
  <cols>
    <col min="1" max="1" width="1.42578125" style="1" customWidth="1"/>
    <col min="2" max="2" width="10.42578125" style="883" customWidth="1"/>
    <col min="3" max="3" width="10" style="883" customWidth="1"/>
    <col min="4" max="4" width="12" style="882" customWidth="1"/>
    <col min="5" max="5" width="9.42578125" style="882" customWidth="1"/>
    <col min="6" max="6" width="12.5703125" style="882" customWidth="1"/>
    <col min="7" max="7" width="10.5703125" style="881" customWidth="1"/>
    <col min="8" max="8" width="8.7109375" style="881" customWidth="1"/>
    <col min="9" max="9" width="11.42578125" style="881" customWidth="1"/>
    <col min="10" max="10" width="10.5703125" style="881" customWidth="1"/>
    <col min="11" max="11" width="10.140625" style="881" customWidth="1"/>
    <col min="12" max="12" width="11.42578125" style="881" customWidth="1"/>
    <col min="13" max="13" width="9.28515625" style="881" bestFit="1" customWidth="1"/>
    <col min="14" max="14" width="5.28515625" style="881" hidden="1" customWidth="1"/>
    <col min="15" max="15" width="4.7109375" style="1" hidden="1" customWidth="1"/>
    <col min="16" max="16" width="10.140625" style="1" customWidth="1"/>
    <col min="17" max="17" width="6.28515625" style="9" bestFit="1" customWidth="1"/>
    <col min="18" max="18" width="4.28515625" style="1" hidden="1" customWidth="1"/>
    <col min="19" max="19" width="4" style="1" hidden="1" customWidth="1"/>
    <col min="20" max="20" width="10.140625" style="1" hidden="1" customWidth="1"/>
    <col min="21" max="21" width="14.5703125" style="1" hidden="1" customWidth="1"/>
    <col min="22" max="251" width="1.85546875" style="1" hidden="1" customWidth="1"/>
    <col min="252" max="16384" width="11.42578125" style="1" hidden="1"/>
  </cols>
  <sheetData>
    <row r="1" spans="2:46" ht="18" customHeight="1">
      <c r="B1" s="1436" t="s">
        <v>2643</v>
      </c>
      <c r="C1" s="1436"/>
      <c r="D1" s="1436"/>
      <c r="E1" s="1436"/>
      <c r="F1" s="1436"/>
      <c r="G1" s="1436"/>
      <c r="H1" s="1436"/>
      <c r="I1" s="1436"/>
      <c r="J1" s="1436"/>
      <c r="K1" s="1436"/>
      <c r="L1" s="1436"/>
      <c r="M1" s="1436"/>
      <c r="N1" s="1436"/>
      <c r="O1" s="1436"/>
      <c r="P1" s="1436"/>
    </row>
    <row r="2" spans="2:46" ht="16.5" customHeight="1">
      <c r="B2" s="1436" t="s">
        <v>2634</v>
      </c>
      <c r="C2" s="1436"/>
      <c r="D2" s="1436"/>
      <c r="E2" s="1436"/>
      <c r="F2" s="1436"/>
      <c r="G2" s="1436"/>
      <c r="H2" s="1436"/>
      <c r="I2" s="1436"/>
      <c r="J2" s="1436"/>
      <c r="K2" s="1436"/>
      <c r="L2" s="1436"/>
      <c r="M2" s="1436"/>
      <c r="N2" s="1436"/>
      <c r="O2" s="1436"/>
      <c r="P2" s="1436"/>
    </row>
    <row r="3" spans="2:46" ht="6.75" customHeight="1">
      <c r="B3" s="874"/>
      <c r="C3" s="874"/>
      <c r="D3" s="873"/>
      <c r="E3" s="1438"/>
      <c r="F3" s="1438"/>
      <c r="G3" s="1438"/>
      <c r="H3" s="1438"/>
      <c r="I3" s="1438"/>
      <c r="J3" s="1438"/>
      <c r="K3" s="1438"/>
      <c r="L3" s="1438"/>
      <c r="M3" s="1438"/>
      <c r="N3" s="1438"/>
      <c r="O3" s="1438"/>
      <c r="P3" s="874"/>
    </row>
    <row r="4" spans="2:46" ht="12" customHeight="1">
      <c r="B4" s="874"/>
      <c r="C4" s="878"/>
      <c r="D4" s="878"/>
      <c r="E4" s="994"/>
      <c r="F4" s="994"/>
      <c r="G4" s="994"/>
      <c r="H4" s="994"/>
      <c r="I4" s="994"/>
      <c r="J4" s="994"/>
      <c r="K4" s="994"/>
      <c r="L4" s="994"/>
      <c r="M4" s="994"/>
      <c r="N4" s="994"/>
      <c r="O4" s="994"/>
      <c r="P4" s="874"/>
    </row>
    <row r="5" spans="2:46" ht="7.5" customHeight="1">
      <c r="B5" s="874"/>
      <c r="C5" s="874"/>
      <c r="D5" s="966"/>
      <c r="E5" s="1438"/>
      <c r="F5" s="1438"/>
      <c r="G5" s="1438"/>
      <c r="H5" s="1438"/>
      <c r="I5" s="1438"/>
      <c r="J5" s="1438"/>
      <c r="K5" s="1438"/>
      <c r="L5" s="1438"/>
      <c r="M5" s="1438"/>
      <c r="N5" s="1438"/>
      <c r="O5" s="1438"/>
      <c r="P5" s="874"/>
    </row>
    <row r="6" spans="2:46" ht="2.25" customHeight="1">
      <c r="B6" s="958"/>
      <c r="C6" s="958"/>
      <c r="D6" s="959"/>
      <c r="E6" s="965"/>
      <c r="F6" s="965"/>
      <c r="G6" s="965"/>
      <c r="H6" s="965"/>
      <c r="I6" s="965"/>
      <c r="J6" s="965"/>
      <c r="K6" s="965"/>
      <c r="L6" s="965"/>
      <c r="M6" s="958"/>
      <c r="N6" s="958"/>
      <c r="O6" s="958"/>
      <c r="P6" s="958"/>
    </row>
    <row r="7" spans="2:46" ht="5.25" customHeight="1">
      <c r="B7" s="874"/>
      <c r="C7" s="874"/>
      <c r="D7" s="961"/>
      <c r="E7" s="962"/>
      <c r="F7" s="962"/>
      <c r="G7" s="962"/>
      <c r="H7" s="962"/>
      <c r="I7" s="962"/>
      <c r="J7" s="962"/>
      <c r="K7" s="962"/>
      <c r="L7" s="962"/>
      <c r="M7" s="874"/>
      <c r="N7" s="874"/>
      <c r="O7" s="874"/>
      <c r="P7" s="874"/>
    </row>
    <row r="8" spans="2:46" ht="20.25">
      <c r="B8" s="961"/>
      <c r="C8" s="1524" t="s">
        <v>2781</v>
      </c>
      <c r="D8" s="1525"/>
      <c r="E8" s="1526" t="s">
        <v>19</v>
      </c>
      <c r="F8" s="1527"/>
      <c r="G8" s="1527"/>
      <c r="H8" s="1527"/>
      <c r="I8" s="1527"/>
      <c r="J8" s="1527"/>
      <c r="K8" s="1527"/>
      <c r="L8" s="1527"/>
      <c r="M8" s="1171"/>
      <c r="N8" s="1170"/>
      <c r="O8" s="984"/>
      <c r="P8" s="984"/>
      <c r="Q8" s="865" t="s">
        <v>47</v>
      </c>
    </row>
    <row r="9" spans="2:46" ht="6.75" customHeight="1">
      <c r="B9" s="874"/>
      <c r="C9" s="874"/>
      <c r="D9" s="873"/>
      <c r="E9" s="872"/>
      <c r="F9" s="872"/>
      <c r="G9" s="872"/>
      <c r="H9" s="872"/>
      <c r="I9" s="872"/>
      <c r="J9" s="872"/>
      <c r="K9" s="872"/>
      <c r="L9" s="872"/>
      <c r="M9" s="872"/>
      <c r="N9" s="872"/>
      <c r="O9" s="872"/>
      <c r="P9" s="872"/>
      <c r="T9" s="929"/>
      <c r="U9" s="930"/>
      <c r="V9" s="924"/>
      <c r="W9" s="924"/>
      <c r="X9" s="924"/>
      <c r="Y9" s="924"/>
      <c r="Z9" s="924"/>
      <c r="AA9" s="924"/>
      <c r="AB9" s="924"/>
      <c r="AC9" s="931"/>
      <c r="AD9" s="931"/>
      <c r="AE9" s="931"/>
      <c r="AF9" s="931"/>
      <c r="AG9" s="931"/>
      <c r="AH9" s="931"/>
      <c r="AI9" s="931"/>
      <c r="AJ9" s="931"/>
      <c r="AK9" s="931"/>
      <c r="AL9" s="931"/>
      <c r="AM9" s="931"/>
      <c r="AN9" s="931"/>
      <c r="AO9" s="931"/>
      <c r="AP9" s="931"/>
      <c r="AQ9" s="931"/>
      <c r="AR9" s="931"/>
      <c r="AS9" s="931"/>
      <c r="AT9" s="931"/>
    </row>
    <row r="10" spans="2:46" ht="3" customHeight="1" thickBot="1">
      <c r="B10" s="8"/>
      <c r="C10" s="8"/>
      <c r="D10" s="870"/>
      <c r="E10" s="871"/>
      <c r="F10" s="871"/>
      <c r="G10" s="871"/>
      <c r="H10" s="871"/>
      <c r="I10" s="871"/>
      <c r="J10" s="871"/>
      <c r="K10" s="871"/>
      <c r="L10" s="871"/>
      <c r="M10" s="871"/>
      <c r="N10" s="871"/>
      <c r="O10" s="871"/>
      <c r="P10" s="871"/>
      <c r="Q10" s="869"/>
      <c r="T10" s="929"/>
      <c r="U10" s="930"/>
      <c r="V10" s="932"/>
      <c r="W10" s="932"/>
      <c r="X10" s="932"/>
      <c r="Y10" s="932"/>
      <c r="Z10" s="932"/>
      <c r="AA10" s="932"/>
      <c r="AB10" s="932"/>
      <c r="AC10" s="931"/>
      <c r="AD10" s="931"/>
      <c r="AE10" s="931"/>
      <c r="AF10" s="931"/>
      <c r="AG10" s="931"/>
      <c r="AH10" s="931"/>
      <c r="AI10" s="931"/>
      <c r="AJ10" s="931"/>
      <c r="AK10" s="931"/>
      <c r="AL10" s="931"/>
      <c r="AM10" s="931"/>
      <c r="AN10" s="931"/>
      <c r="AO10" s="931"/>
      <c r="AP10" s="931"/>
      <c r="AQ10" s="931"/>
      <c r="AR10" s="931"/>
      <c r="AS10" s="931"/>
      <c r="AT10" s="931"/>
    </row>
    <row r="11" spans="2:46" s="3" customFormat="1" ht="15.75" customHeight="1" thickBot="1">
      <c r="B11" s="1477" t="s">
        <v>2767</v>
      </c>
      <c r="C11" s="1478"/>
      <c r="D11" s="1478"/>
      <c r="E11" s="1478"/>
      <c r="F11" s="1478"/>
      <c r="G11" s="1478"/>
      <c r="H11" s="1478"/>
      <c r="I11" s="1478"/>
      <c r="J11" s="1478"/>
      <c r="K11" s="1478"/>
      <c r="L11" s="1478"/>
      <c r="M11" s="1478"/>
      <c r="N11" s="1478"/>
      <c r="O11" s="1478"/>
      <c r="P11" s="1478"/>
      <c r="Q11" s="858"/>
      <c r="T11" s="929"/>
      <c r="U11" s="930"/>
      <c r="V11" s="924"/>
      <c r="W11" s="924"/>
      <c r="X11" s="924"/>
      <c r="Y11" s="924"/>
      <c r="Z11" s="924"/>
      <c r="AA11" s="924"/>
      <c r="AB11" s="933"/>
      <c r="AC11" s="934"/>
      <c r="AD11" s="934"/>
      <c r="AE11" s="934"/>
      <c r="AF11" s="934"/>
      <c r="AG11" s="934"/>
      <c r="AH11" s="934"/>
      <c r="AI11" s="934"/>
      <c r="AJ11" s="934"/>
      <c r="AK11" s="934"/>
      <c r="AL11" s="934"/>
      <c r="AM11" s="934"/>
      <c r="AN11" s="934"/>
      <c r="AO11" s="934"/>
      <c r="AP11" s="934"/>
      <c r="AQ11" s="934"/>
      <c r="AR11" s="934"/>
      <c r="AS11" s="934"/>
      <c r="AT11" s="934"/>
    </row>
    <row r="12" spans="2:46" s="3" customFormat="1" ht="18.75" customHeight="1">
      <c r="B12" s="1130" t="s">
        <v>2631</v>
      </c>
      <c r="C12" s="1131" t="s">
        <v>40</v>
      </c>
      <c r="D12" s="1131" t="s">
        <v>148</v>
      </c>
      <c r="E12" s="1131" t="s">
        <v>42</v>
      </c>
      <c r="F12" s="1131" t="s">
        <v>2769</v>
      </c>
      <c r="G12" s="1131" t="s">
        <v>2630</v>
      </c>
      <c r="H12" s="1046"/>
      <c r="I12" s="1047"/>
      <c r="J12" s="1047"/>
      <c r="K12" s="1047"/>
      <c r="L12" s="1047"/>
      <c r="M12" s="1047"/>
      <c r="N12" s="1047"/>
      <c r="O12" s="1523" t="s">
        <v>2633</v>
      </c>
      <c r="P12" s="1523"/>
      <c r="Q12" s="858"/>
      <c r="T12" s="929"/>
      <c r="U12" s="930"/>
      <c r="V12" s="924"/>
      <c r="W12" s="924"/>
      <c r="X12" s="924"/>
      <c r="Y12" s="924"/>
      <c r="Z12" s="924"/>
      <c r="AA12" s="924"/>
      <c r="AB12" s="933"/>
      <c r="AC12" s="934"/>
      <c r="AD12" s="934"/>
      <c r="AE12" s="934"/>
      <c r="AF12" s="934"/>
      <c r="AG12" s="934"/>
      <c r="AH12" s="934"/>
      <c r="AI12" s="934"/>
      <c r="AJ12" s="934"/>
      <c r="AK12" s="934"/>
      <c r="AL12" s="934"/>
      <c r="AM12" s="934"/>
      <c r="AN12" s="934"/>
      <c r="AO12" s="934"/>
      <c r="AP12" s="934"/>
      <c r="AQ12" s="934"/>
      <c r="AR12" s="934"/>
      <c r="AS12" s="934"/>
      <c r="AT12" s="934"/>
    </row>
    <row r="13" spans="2:46" s="3" customFormat="1" ht="15" customHeight="1">
      <c r="B13" s="1108">
        <v>2012</v>
      </c>
      <c r="C13" s="1132">
        <f>VLOOKUP($E$8,Datos_Prog!$B$117:$L$145,3,FALSE)</f>
        <v>0.90008452380952386</v>
      </c>
      <c r="D13" s="1133">
        <f>+C13</f>
        <v>0.90008452380952386</v>
      </c>
      <c r="E13" s="1132">
        <f>VLOOKUP($E$8,Datos_Prog!$B$117:$L$145,4,FALSE)</f>
        <v>0.75276309523809526</v>
      </c>
      <c r="F13" s="1133">
        <f>+E13</f>
        <v>0.75276309523809526</v>
      </c>
      <c r="G13" s="1134">
        <f>IFERROR(+IF((E13/C13)&lt;1, (E13/C13), 100%)," ")</f>
        <v>0.83632489541326138</v>
      </c>
      <c r="H13" s="1048"/>
      <c r="I13" s="1049"/>
      <c r="J13" s="1049"/>
      <c r="K13" s="1049"/>
      <c r="L13" s="1049"/>
      <c r="M13" s="1049"/>
      <c r="N13" s="1049"/>
      <c r="O13" s="1523"/>
      <c r="P13" s="1523"/>
      <c r="Q13" s="858"/>
      <c r="V13" s="860"/>
      <c r="W13" s="860"/>
      <c r="X13" s="860"/>
      <c r="Y13" s="860"/>
      <c r="Z13" s="860"/>
      <c r="AA13" s="860"/>
      <c r="AB13" s="860"/>
      <c r="AC13" s="860"/>
    </row>
    <row r="14" spans="2:46" s="3" customFormat="1" ht="15" customHeight="1">
      <c r="B14" s="1135">
        <v>2013</v>
      </c>
      <c r="C14" s="1136">
        <f>VLOOKUP($E$8,Datos_Prog!$B$117:$L$145,5,FALSE)</f>
        <v>1.0863440476190476</v>
      </c>
      <c r="D14" s="1137">
        <f>+D13+C14</f>
        <v>1.9864285714285714</v>
      </c>
      <c r="E14" s="1136">
        <f>VLOOKUP($E$8,Datos_Prog!$B$117:$L$145,6,FALSE)</f>
        <v>0.88674404761904768</v>
      </c>
      <c r="F14" s="1137">
        <f>+F13+E14</f>
        <v>1.6395071428571431</v>
      </c>
      <c r="G14" s="1138">
        <f>IFERROR(+IF((E14/C14)&lt;1, (E14/C14), 100%)," ")</f>
        <v>0.81626446940316422</v>
      </c>
      <c r="H14" s="1050"/>
      <c r="I14" s="1051"/>
      <c r="J14" s="1051"/>
      <c r="K14" s="1051"/>
      <c r="L14" s="1051"/>
      <c r="M14" s="1051"/>
      <c r="N14" s="1051"/>
      <c r="O14" s="1051"/>
      <c r="P14" s="1051"/>
      <c r="Q14" s="858"/>
    </row>
    <row r="15" spans="2:46" s="3" customFormat="1" ht="15" customHeight="1">
      <c r="B15" s="1108">
        <v>2014</v>
      </c>
      <c r="C15" s="1132">
        <f>VLOOKUP($E$8,Datos_Prog!$B$117:$L$145,7,FALSE)</f>
        <v>1.0885773809523809</v>
      </c>
      <c r="D15" s="1133">
        <f>+D14+C15</f>
        <v>3.0750059523809523</v>
      </c>
      <c r="E15" s="1132">
        <f>VLOOKUP($E$8,Datos_Prog!$B$117:$L$145,8,FALSE)</f>
        <v>0.84335654761904766</v>
      </c>
      <c r="F15" s="1133">
        <f>+F14+E15</f>
        <v>2.4828636904761909</v>
      </c>
      <c r="G15" s="1134">
        <f>IFERROR(+IF((E15/C15)&lt;1, (E15/C15), 100%)," ")</f>
        <v>0.77473274971156114</v>
      </c>
      <c r="H15" s="1050"/>
      <c r="I15" s="1052"/>
      <c r="J15" s="1052"/>
      <c r="K15" s="1052"/>
      <c r="L15" s="1052"/>
      <c r="M15" s="1052"/>
      <c r="N15" s="1052"/>
      <c r="O15" s="1052"/>
      <c r="P15" s="1052"/>
      <c r="Q15" s="858"/>
    </row>
    <row r="16" spans="2:46" ht="15" customHeight="1">
      <c r="B16" s="1139">
        <v>2015</v>
      </c>
      <c r="C16" s="1136">
        <f>VLOOKUP($E$8,Datos_Prog!$B$117:$L$145,9,FALSE)</f>
        <v>1.4879940476190479</v>
      </c>
      <c r="D16" s="1137">
        <f>+D15+C16</f>
        <v>4.5630000000000006</v>
      </c>
      <c r="E16" s="1136">
        <f>VLOOKUP($E$8,Datos_Prog!$B$117:$L$145,10,FALSE)</f>
        <v>0.8762500000000002</v>
      </c>
      <c r="F16" s="1137">
        <f>+F15+E16</f>
        <v>3.3591136904761911</v>
      </c>
      <c r="G16" s="1418">
        <f>IFERROR(+IF((E16/C16)&lt;1, (E16/C16), 100%)," ")</f>
        <v>0.58888004384298132</v>
      </c>
      <c r="H16" s="1050"/>
      <c r="I16" s="1053"/>
      <c r="J16" s="1053"/>
      <c r="K16" s="1053"/>
      <c r="L16" s="1053"/>
      <c r="M16" s="1053"/>
      <c r="N16" s="1053"/>
      <c r="O16" s="1053"/>
      <c r="P16" s="1054"/>
      <c r="Q16" s="854"/>
      <c r="T16" s="853"/>
    </row>
    <row r="17" spans="1:28" ht="15" customHeight="1">
      <c r="B17" s="1025" t="s">
        <v>2628</v>
      </c>
      <c r="C17" s="1026">
        <f>SUM(C13:C16)</f>
        <v>4.5630000000000006</v>
      </c>
      <c r="D17" s="1027"/>
      <c r="E17" s="1028">
        <f>VLOOKUP($E$8,Datos_Prog!$B$117:$L$145,11,FALSE)</f>
        <v>3.9521642857142854</v>
      </c>
      <c r="F17" s="1028"/>
      <c r="G17" s="1029">
        <f>IFERROR(+IF((E17/C17)&lt;1, (E17/C17), 100%)," ")</f>
        <v>0.86613286997902361</v>
      </c>
      <c r="H17" s="1050"/>
      <c r="I17" s="1054"/>
      <c r="J17" s="1054"/>
      <c r="K17" s="1054"/>
      <c r="L17" s="1054"/>
      <c r="M17" s="1054"/>
      <c r="N17" s="1054"/>
      <c r="O17" s="1054"/>
      <c r="P17" s="1054"/>
      <c r="Q17" s="840"/>
      <c r="T17" s="884"/>
      <c r="V17" s="884"/>
      <c r="W17" s="884"/>
      <c r="X17" s="884"/>
      <c r="Y17" s="884"/>
      <c r="Z17" s="884"/>
      <c r="AA17" s="884"/>
      <c r="AB17" s="884"/>
    </row>
    <row r="18" spans="1:28" ht="15" customHeight="1">
      <c r="B18" s="1021"/>
      <c r="C18" s="1022"/>
      <c r="D18" s="1022"/>
      <c r="E18" s="1023"/>
      <c r="F18" s="1022"/>
      <c r="G18" s="1022"/>
      <c r="H18" s="1050" t="str">
        <f>IFERROR(+IF((#REF!/#REF!)&lt;1, (#REF!/#REF!), 100%)," ")</f>
        <v xml:space="preserve"> </v>
      </c>
      <c r="I18" s="1054"/>
      <c r="J18" s="1054"/>
      <c r="K18" s="1054"/>
      <c r="L18" s="1054"/>
      <c r="M18" s="1054"/>
      <c r="N18" s="1054"/>
      <c r="O18" s="1054"/>
      <c r="P18" s="1054"/>
      <c r="Q18" s="840"/>
    </row>
    <row r="19" spans="1:28" ht="15" customHeight="1">
      <c r="A19" s="1489" t="s">
        <v>2803</v>
      </c>
      <c r="B19" s="1490"/>
      <c r="C19" s="1490"/>
      <c r="D19" s="1490"/>
      <c r="E19" s="1490"/>
      <c r="F19" s="1490"/>
      <c r="G19" s="1490"/>
      <c r="H19" s="1050"/>
      <c r="I19" s="1054"/>
      <c r="J19" s="1054"/>
      <c r="K19" s="1054"/>
      <c r="L19" s="1054"/>
      <c r="M19" s="1054"/>
      <c r="N19" s="1054"/>
      <c r="O19" s="1054"/>
      <c r="P19" s="1054"/>
      <c r="Q19" s="840"/>
    </row>
    <row r="20" spans="1:28" ht="7.5" customHeight="1">
      <c r="B20" s="1024" t="str">
        <f>VLOOKUP($E$8,Datos_Prog!$B$117:$M$145,12,FALSE)</f>
        <v>PLANEACION.</v>
      </c>
      <c r="C20" s="1024"/>
      <c r="D20" s="1024"/>
      <c r="E20" s="1024"/>
      <c r="F20" s="1024"/>
      <c r="G20" s="1024"/>
      <c r="H20" s="1055"/>
      <c r="I20" s="1056"/>
      <c r="J20" s="1056"/>
      <c r="K20" s="1056"/>
      <c r="L20" s="1056"/>
      <c r="M20" s="1056"/>
      <c r="N20" s="1056"/>
      <c r="O20" s="1056"/>
      <c r="P20" s="1056"/>
      <c r="Q20" s="840"/>
    </row>
    <row r="21" spans="1:28" ht="12.75" customHeight="1">
      <c r="B21" s="1512" t="s">
        <v>2785</v>
      </c>
      <c r="C21" s="1513"/>
      <c r="D21" s="999">
        <f>COUNTIF($P$31:$P$106,"&gt;=90%")</f>
        <v>17</v>
      </c>
      <c r="H21" s="1057"/>
      <c r="I21" s="1057"/>
      <c r="J21" s="1057"/>
      <c r="K21" s="1057"/>
      <c r="L21" s="1057"/>
      <c r="M21" s="1057"/>
      <c r="N21" s="1520"/>
      <c r="O21" s="1520"/>
      <c r="P21" s="1520"/>
      <c r="Q21" s="1003"/>
      <c r="R21" s="866"/>
      <c r="S21" s="866"/>
      <c r="T21" s="866"/>
      <c r="U21" s="866"/>
    </row>
    <row r="22" spans="1:28" s="2" customFormat="1" ht="18.75" customHeight="1">
      <c r="B22" s="1512" t="s">
        <v>2787</v>
      </c>
      <c r="C22" s="1513"/>
      <c r="D22" s="1000">
        <f>COUNTIFS(P31:P106,"&lt;90%",P31:P106,"&gt;=60%")</f>
        <v>6</v>
      </c>
      <c r="E22" s="1"/>
      <c r="F22" s="997"/>
      <c r="G22" s="997"/>
      <c r="H22" s="1058"/>
      <c r="I22" s="1058"/>
      <c r="J22" s="1058"/>
      <c r="K22" s="1058"/>
      <c r="L22" s="1058"/>
      <c r="M22" s="1058"/>
      <c r="N22" s="1059"/>
      <c r="O22" s="1059"/>
      <c r="P22" s="1059"/>
      <c r="Q22" s="1004"/>
      <c r="R22" s="1005"/>
      <c r="S22" s="1005"/>
      <c r="T22" s="1005"/>
      <c r="U22" s="1005"/>
    </row>
    <row r="23" spans="1:28" s="2" customFormat="1" ht="18" customHeight="1">
      <c r="B23" s="1512" t="s">
        <v>2786</v>
      </c>
      <c r="C23" s="1513"/>
      <c r="D23" s="1001">
        <f>COUNTIF($P$31:$P$106,"&lt;60%")</f>
        <v>2</v>
      </c>
      <c r="E23" s="998"/>
      <c r="F23" s="997"/>
      <c r="G23" s="997"/>
      <c r="H23" s="1058"/>
      <c r="I23" s="1058"/>
      <c r="J23" s="1058"/>
      <c r="K23" s="1058"/>
      <c r="L23" s="1058"/>
      <c r="M23" s="1058"/>
      <c r="N23" s="1059"/>
      <c r="O23" s="1059"/>
      <c r="P23" s="1059"/>
      <c r="Q23" s="1004"/>
      <c r="R23" s="1005"/>
      <c r="S23" s="1005"/>
      <c r="T23" s="1005"/>
      <c r="U23" s="1005"/>
    </row>
    <row r="24" spans="1:28" s="2" customFormat="1" ht="15.75">
      <c r="B24" s="1521" t="s">
        <v>2788</v>
      </c>
      <c r="C24" s="1522"/>
      <c r="D24" s="1002">
        <f>SUM(D21:D23)</f>
        <v>25</v>
      </c>
      <c r="E24" s="997"/>
      <c r="F24" s="997"/>
      <c r="G24" s="997"/>
      <c r="H24" s="1058"/>
      <c r="I24" s="1058"/>
      <c r="J24" s="1058"/>
      <c r="K24" s="1058"/>
      <c r="L24" s="1058"/>
      <c r="M24" s="1058"/>
      <c r="N24" s="1059"/>
      <c r="O24" s="1059"/>
      <c r="P24" s="1059"/>
      <c r="Q24" s="1004"/>
      <c r="R24" s="1005"/>
      <c r="S24" s="1005"/>
      <c r="T24" s="1005"/>
      <c r="U24" s="1005"/>
    </row>
    <row r="25" spans="1:28" s="2" customFormat="1" ht="16.5" customHeight="1">
      <c r="E25" s="997"/>
      <c r="F25" s="1"/>
      <c r="G25" s="997"/>
      <c r="H25" s="1058"/>
      <c r="I25" s="1058"/>
      <c r="J25" s="1058"/>
      <c r="K25" s="1058"/>
      <c r="L25" s="1058"/>
      <c r="M25" s="1058"/>
      <c r="N25" s="1059"/>
      <c r="O25" s="1059"/>
      <c r="P25" s="1059"/>
      <c r="Q25" s="1004"/>
      <c r="R25" s="1005"/>
      <c r="S25" s="1005"/>
      <c r="T25" s="1005"/>
      <c r="U25" s="1005"/>
    </row>
    <row r="26" spans="1:28" ht="3.75" customHeight="1">
      <c r="B26" s="1007"/>
      <c r="C26" s="1007"/>
      <c r="D26" s="1008"/>
      <c r="E26" s="1008"/>
      <c r="F26" s="1008"/>
      <c r="G26" s="810"/>
      <c r="H26" s="810"/>
      <c r="I26" s="810"/>
      <c r="J26" s="810"/>
      <c r="K26" s="810"/>
      <c r="L26" s="810"/>
      <c r="M26" s="810"/>
      <c r="N26" s="810"/>
      <c r="O26" s="1009"/>
      <c r="P26" s="1009"/>
      <c r="Q26" s="1006"/>
      <c r="R26" s="866"/>
      <c r="S26" s="866"/>
      <c r="T26" s="866"/>
      <c r="U26" s="866"/>
    </row>
    <row r="27" spans="1:28" ht="7.5" customHeight="1">
      <c r="Q27" s="1010"/>
      <c r="R27" s="1005"/>
      <c r="S27" s="1005"/>
      <c r="T27" s="1005"/>
      <c r="U27" s="866"/>
    </row>
    <row r="28" spans="1:28" ht="19.5" customHeight="1">
      <c r="B28" s="1519" t="s">
        <v>2789</v>
      </c>
      <c r="C28" s="1519"/>
      <c r="D28" s="1519"/>
      <c r="E28" s="1519"/>
      <c r="F28" s="1519"/>
      <c r="G28" s="1519"/>
      <c r="H28" s="1519"/>
      <c r="I28" s="1519"/>
      <c r="J28" s="1519"/>
      <c r="K28" s="1519"/>
      <c r="L28" s="1519"/>
      <c r="M28" s="1519"/>
      <c r="N28" s="1519"/>
      <c r="O28" s="1519"/>
      <c r="P28" s="1519"/>
      <c r="Q28" s="1010"/>
      <c r="R28" s="1005"/>
      <c r="S28" s="1005"/>
      <c r="T28" s="1005"/>
      <c r="U28" s="866"/>
    </row>
    <row r="29" spans="1:28" ht="6.75" customHeight="1">
      <c r="Q29" s="1010"/>
      <c r="R29" s="1005"/>
      <c r="S29" s="1005"/>
      <c r="T29" s="1005"/>
      <c r="U29" s="866"/>
    </row>
    <row r="30" spans="1:28" ht="12.75" customHeight="1">
      <c r="B30" s="993" t="s">
        <v>2784</v>
      </c>
      <c r="C30" s="1516" t="s">
        <v>2761</v>
      </c>
      <c r="D30" s="1517"/>
      <c r="E30" s="1517"/>
      <c r="F30" s="1517"/>
      <c r="G30" s="1517"/>
      <c r="H30" s="1517"/>
      <c r="I30" s="1517"/>
      <c r="J30" s="1517"/>
      <c r="K30" s="1517"/>
      <c r="L30" s="1517"/>
      <c r="M30" s="1518"/>
      <c r="N30" s="1515" t="s">
        <v>2799</v>
      </c>
      <c r="O30" s="1515"/>
      <c r="P30" s="1515"/>
    </row>
    <row r="31" spans="1:28" ht="22.5" customHeight="1">
      <c r="B31" s="991">
        <f>HLOOKUP($B$20,Datos_Producto!$I$559:$AI$635,2,FALSE)</f>
        <v>328</v>
      </c>
      <c r="C31" s="1514" t="str">
        <f>IFERROR(VLOOKUP(B31,Datos_Producto!$E$4:$EE$541,6,FALSE)," ")</f>
        <v>APOYAR TÉCNICA Y FINANCIERAMENTE LA REVISIÓN DE 25 PLANES DE ORDENAMIENTO TERRITORIAL DURANTE EL CUATRIENIO.</v>
      </c>
      <c r="D31" s="1514"/>
      <c r="E31" s="1514"/>
      <c r="F31" s="1514"/>
      <c r="G31" s="1514"/>
      <c r="H31" s="1514"/>
      <c r="I31" s="1514"/>
      <c r="J31" s="1514"/>
      <c r="K31" s="1514"/>
      <c r="L31" s="1514"/>
      <c r="M31" s="1514"/>
      <c r="N31" s="1042">
        <f>IFERROR(VLOOKUP(B31,Datos_Producto!$E$4:$EE$541,13,FALSE), " ")</f>
        <v>0.25</v>
      </c>
      <c r="O31" s="1042">
        <f>IFERROR(VLOOKUP(B31,Datos_Producto!$E$4:$EE$541,115,FALSE)," ")</f>
        <v>0.25</v>
      </c>
      <c r="P31" s="996">
        <f>IFERROR((+O31/N31), " ")</f>
        <v>1</v>
      </c>
    </row>
    <row r="32" spans="1:28" ht="22.5" customHeight="1">
      <c r="B32" s="991">
        <f>HLOOKUP($B$20,Datos_Producto!$I$559:$AI$635,3,FALSE)</f>
        <v>329</v>
      </c>
      <c r="C32" s="1514" t="str">
        <f>IFERROR(VLOOKUP(B32,Datos_Producto!$E$4:$EE$541,6,FALSE)," ")</f>
        <v xml:space="preserve">APOYAR AL 50% DE LAS ENTIDADES TERRITORIALES DEL DEPARTAMENTO , CON HERRAMIENTAS QUE PERMITAN LA ADECUADA TOMA DE DECISIONES EN EL ORDENAMIENTO DE SU TERRITORIO, TALES COMO CARTOGRAFÍA, FOTOGRAFÍAS ESPACIALES, CLASIFICACIÓN DEL SUELO, INDICADORES BÁSICOS </v>
      </c>
      <c r="D32" s="1514"/>
      <c r="E32" s="1514"/>
      <c r="F32" s="1514"/>
      <c r="G32" s="1514"/>
      <c r="H32" s="1514"/>
      <c r="I32" s="1514"/>
      <c r="J32" s="1514"/>
      <c r="K32" s="1514"/>
      <c r="L32" s="1514"/>
      <c r="M32" s="1514"/>
      <c r="N32" s="1042">
        <f>IFERROR(VLOOKUP(B32,Datos_Producto!$E$4:$EE$541,13,FALSE), " ")</f>
        <v>0.16500000000000001</v>
      </c>
      <c r="O32" s="1042">
        <f>IFERROR(VLOOKUP(B32,Datos_Producto!$E$4:$EE$541,115,FALSE)," ")</f>
        <v>0.16500000000000001</v>
      </c>
      <c r="P32" s="996">
        <f t="shared" ref="P32:P95" si="0">IFERROR((+O32/N32), " ")</f>
        <v>1</v>
      </c>
    </row>
    <row r="33" spans="2:16" ht="22.5" customHeight="1">
      <c r="B33" s="991">
        <f>HLOOKUP($B$20,Datos_Producto!$I$559:$AI$635,4,FALSE)</f>
        <v>331</v>
      </c>
      <c r="C33" s="1514" t="str">
        <f>IFERROR(VLOOKUP(B33,Datos_Producto!$E$4:$EE$541,6,FALSE)," ")</f>
        <v>FORTALECER LA GESTIÓN PARA EL DESARROLLO TERRITORIAL CON 4 INSTRUMENTOS DE GESTIÓN DEL SUELO. DURANTE EL PERIODO DE GOBIERNO</v>
      </c>
      <c r="D33" s="1514"/>
      <c r="E33" s="1514"/>
      <c r="F33" s="1514"/>
      <c r="G33" s="1514"/>
      <c r="H33" s="1514"/>
      <c r="I33" s="1514"/>
      <c r="J33" s="1514"/>
      <c r="K33" s="1514"/>
      <c r="L33" s="1514"/>
      <c r="M33" s="1514"/>
      <c r="N33" s="1042">
        <f>IFERROR(VLOOKUP(B33,Datos_Producto!$E$4:$EE$541,13,FALSE), " ")</f>
        <v>0.16500000000000001</v>
      </c>
      <c r="O33" s="1042">
        <f>IFERROR(VLOOKUP(B33,Datos_Producto!$E$4:$EE$541,115,FALSE)," ")</f>
        <v>0</v>
      </c>
      <c r="P33" s="996">
        <f t="shared" si="0"/>
        <v>0</v>
      </c>
    </row>
    <row r="34" spans="2:16" ht="22.5" customHeight="1">
      <c r="B34" s="991">
        <f>HLOOKUP($B$20,Datos_Producto!$I$559:$AI$635,5,FALSE)</f>
        <v>332</v>
      </c>
      <c r="C34" s="1514" t="str">
        <f>IFERROR(VLOOKUP(B34,Datos_Producto!$E$4:$EE$541,6,FALSE)," ")</f>
        <v>FORMULAR LOS LINEAMIENTOS Y ORIENTACIONES PARA EL ORDENAMIENTO DEL TERRITORIO DEL DEPARTAMENTO DE CUNDINAMARCA Y SU INCORPORACIÓN EN LOS POT, EN EL CUATRIENIO.</v>
      </c>
      <c r="D34" s="1514"/>
      <c r="E34" s="1514"/>
      <c r="F34" s="1514"/>
      <c r="G34" s="1514"/>
      <c r="H34" s="1514"/>
      <c r="I34" s="1514"/>
      <c r="J34" s="1514"/>
      <c r="K34" s="1514"/>
      <c r="L34" s="1514"/>
      <c r="M34" s="1514"/>
      <c r="N34" s="1042">
        <f>IFERROR(VLOOKUP(B34,Datos_Producto!$E$4:$EE$541,13,FALSE), " ")</f>
        <v>0.33</v>
      </c>
      <c r="O34" s="1042">
        <f>IFERROR(VLOOKUP(B34,Datos_Producto!$E$4:$EE$541,115,FALSE)," ")</f>
        <v>0.19800000000000001</v>
      </c>
      <c r="P34" s="1417">
        <f t="shared" si="0"/>
        <v>0.6</v>
      </c>
    </row>
    <row r="35" spans="2:16" ht="22.5" customHeight="1">
      <c r="B35" s="991">
        <f>HLOOKUP($B$20,Datos_Producto!$I$559:$AI$635,6,FALSE)</f>
        <v>538</v>
      </c>
      <c r="C35" s="1514" t="str">
        <f>IFERROR(VLOOKUP(B35,Datos_Producto!$E$4:$EE$541,6,FALSE)," ")</f>
        <v>ESTRATEGIAS IEC DURANTE LOS 4 AÑOS VINCULAN A LOS ACTORES EN LA GESTIÓN, PARA EL DESEMPEÑO DE ROLES, CORRESPONSABILIDAD INSTITUCIONAL Y CIVIL PARA EL CUMPLIMIENTO DE LOS OBJETIVOS Y RESULTADOS</v>
      </c>
      <c r="D35" s="1514"/>
      <c r="E35" s="1514"/>
      <c r="F35" s="1514"/>
      <c r="G35" s="1514"/>
      <c r="H35" s="1514"/>
      <c r="I35" s="1514"/>
      <c r="J35" s="1514"/>
      <c r="K35" s="1514"/>
      <c r="L35" s="1514"/>
      <c r="M35" s="1514"/>
      <c r="N35" s="1042">
        <f>IFERROR(VLOOKUP(B35,Datos_Producto!$E$4:$EE$541,13,FALSE), " ")</f>
        <v>8.8999999999999996E-2</v>
      </c>
      <c r="O35" s="1042">
        <f>IFERROR(VLOOKUP(B35,Datos_Producto!$E$4:$EE$541,115,FALSE)," ")</f>
        <v>7.5649999999999995E-2</v>
      </c>
      <c r="P35" s="996">
        <f t="shared" si="0"/>
        <v>0.85</v>
      </c>
    </row>
    <row r="36" spans="2:16" ht="22.5" customHeight="1">
      <c r="B36" s="991">
        <f>HLOOKUP($B$20,Datos_Producto!$I$559:$AI$635,7,FALSE)</f>
        <v>542</v>
      </c>
      <c r="C36" s="1514" t="str">
        <f>IFERROR(VLOOKUP(B36,Datos_Producto!$E$4:$EE$541,6,FALSE)," ")</f>
        <v xml:space="preserve">CONSOLIDAR POR LO MENOS 4 ESPACIOS Y MECANISMOS DE GESTIÓN DE ORDEN INTERNACIONAL, NACIONAL, REGIONAL O LOCAL CON ALIANZAS INSTITUCIONALES Y PÚBLICO PRIVADAS. </v>
      </c>
      <c r="D36" s="1514"/>
      <c r="E36" s="1514"/>
      <c r="F36" s="1514"/>
      <c r="G36" s="1514"/>
      <c r="H36" s="1514"/>
      <c r="I36" s="1514"/>
      <c r="J36" s="1514"/>
      <c r="K36" s="1514"/>
      <c r="L36" s="1514"/>
      <c r="M36" s="1514"/>
      <c r="N36" s="1042">
        <f>IFERROR(VLOOKUP(B36,Datos_Producto!$E$4:$EE$541,13,FALSE), " ")</f>
        <v>0.16500000000000001</v>
      </c>
      <c r="O36" s="1042">
        <f>IFERROR(VLOOKUP(B36,Datos_Producto!$E$4:$EE$541,115,FALSE)," ")</f>
        <v>0.12375</v>
      </c>
      <c r="P36" s="996">
        <f t="shared" si="0"/>
        <v>0.75</v>
      </c>
    </row>
    <row r="37" spans="2:16" ht="22.5" customHeight="1">
      <c r="B37" s="991">
        <f>HLOOKUP($B$20,Datos_Producto!$I$559:$AI$635,8,FALSE)</f>
        <v>543</v>
      </c>
      <c r="C37" s="1514" t="str">
        <f>IFERROR(VLOOKUP(B37,Datos_Producto!$E$4:$EE$541,6,FALSE)," ")</f>
        <v>FORMAR A 6000 FUNCIONARIOS MUNICIPALES Y SOCIEDAD CIVIL EN DESTREZAS Y HABILIDADES PARA LA GESTIÓN INTEGRAL DURANTE EL PERÍODO DE GOBIERNO.</v>
      </c>
      <c r="D37" s="1514"/>
      <c r="E37" s="1514"/>
      <c r="F37" s="1514"/>
      <c r="G37" s="1514"/>
      <c r="H37" s="1514"/>
      <c r="I37" s="1514"/>
      <c r="J37" s="1514"/>
      <c r="K37" s="1514"/>
      <c r="L37" s="1514"/>
      <c r="M37" s="1514"/>
      <c r="N37" s="1042">
        <f>IFERROR(VLOOKUP(B37,Datos_Producto!$E$4:$EE$541,13,FALSE), " ")</f>
        <v>0.25</v>
      </c>
      <c r="O37" s="1042">
        <f>IFERROR(VLOOKUP(B37,Datos_Producto!$E$4:$EE$541,115,FALSE)," ")</f>
        <v>0.25</v>
      </c>
      <c r="P37" s="996">
        <f t="shared" si="0"/>
        <v>1</v>
      </c>
    </row>
    <row r="38" spans="2:16" ht="22.5" customHeight="1">
      <c r="B38" s="991">
        <f>HLOOKUP($B$20,Datos_Producto!$I$559:$AI$635,9,FALSE)</f>
        <v>544</v>
      </c>
      <c r="C38" s="1514" t="str">
        <f>IFERROR(VLOOKUP(B38,Datos_Producto!$E$4:$EE$541,6,FALSE)," ")</f>
        <v>IMPLEMENTAR EN 40 MUNICIPIOS PRÁCTICAS DE BUEN GOBIERNO EN EL CUATRIENIO</v>
      </c>
      <c r="D38" s="1514"/>
      <c r="E38" s="1514"/>
      <c r="F38" s="1514"/>
      <c r="G38" s="1514"/>
      <c r="H38" s="1514"/>
      <c r="I38" s="1514"/>
      <c r="J38" s="1514"/>
      <c r="K38" s="1514"/>
      <c r="L38" s="1514"/>
      <c r="M38" s="1514"/>
      <c r="N38" s="1042">
        <f>IFERROR(VLOOKUP(B38,Datos_Producto!$E$4:$EE$541,13,FALSE), " ")</f>
        <v>0.25</v>
      </c>
      <c r="O38" s="1042">
        <f>IFERROR(VLOOKUP(B38,Datos_Producto!$E$4:$EE$541,115,FALSE)," ")</f>
        <v>0.25</v>
      </c>
      <c r="P38" s="996">
        <f t="shared" si="0"/>
        <v>1</v>
      </c>
    </row>
    <row r="39" spans="2:16" ht="22.5" customHeight="1">
      <c r="B39" s="991">
        <f>HLOOKUP($B$20,Datos_Producto!$I$559:$AI$635,10,FALSE)</f>
        <v>545</v>
      </c>
      <c r="C39" s="1514" t="str">
        <f>IFERROR(VLOOKUP(B39,Datos_Producto!$E$4:$EE$541,6,FALSE)," ")</f>
        <v>INCREMENTAR EN UN 50% EL NÚMERO DE USUARIOS DE LA RED DE CONOCIMIENTO DURANTE EL CUATRIENIO.</v>
      </c>
      <c r="D39" s="1514"/>
      <c r="E39" s="1514"/>
      <c r="F39" s="1514"/>
      <c r="G39" s="1514"/>
      <c r="H39" s="1514"/>
      <c r="I39" s="1514"/>
      <c r="J39" s="1514"/>
      <c r="K39" s="1514"/>
      <c r="L39" s="1514"/>
      <c r="M39" s="1514"/>
      <c r="N39" s="1042">
        <f>IFERROR(VLOOKUP(B39,Datos_Producto!$E$4:$EE$541,13,FALSE), " ")</f>
        <v>0.25</v>
      </c>
      <c r="O39" s="1042">
        <f>IFERROR(VLOOKUP(B39,Datos_Producto!$E$4:$EE$541,115,FALSE)," ")</f>
        <v>0.20879999999999999</v>
      </c>
      <c r="P39" s="996">
        <f t="shared" si="0"/>
        <v>0.83519999999999994</v>
      </c>
    </row>
    <row r="40" spans="2:16" ht="22.5" customHeight="1">
      <c r="B40" s="991">
        <f>HLOOKUP($B$20,Datos_Producto!$I$559:$AI$635,11,FALSE)</f>
        <v>547</v>
      </c>
      <c r="C40" s="1514" t="str">
        <f>IFERROR(VLOOKUP(B40,Datos_Producto!$E$4:$EE$541,6,FALSE)," ")</f>
        <v>CONTRIBUIR AL FORTALECIMIENTO DE LAS FINANZAS MUNICIPALES CON 5 ACTUALIZACIONES CATASTRALES.</v>
      </c>
      <c r="D40" s="1514"/>
      <c r="E40" s="1514"/>
      <c r="F40" s="1514"/>
      <c r="G40" s="1514"/>
      <c r="H40" s="1514"/>
      <c r="I40" s="1514"/>
      <c r="J40" s="1514"/>
      <c r="K40" s="1514"/>
      <c r="L40" s="1514"/>
      <c r="M40" s="1514"/>
      <c r="N40" s="1042">
        <f>IFERROR(VLOOKUP(B40,Datos_Producto!$E$4:$EE$541,13,FALSE), " ")</f>
        <v>0.16500000000000001</v>
      </c>
      <c r="O40" s="1042">
        <f>IFERROR(VLOOKUP(B40,Datos_Producto!$E$4:$EE$541,115,FALSE)," ")</f>
        <v>0.16500000000000001</v>
      </c>
      <c r="P40" s="996">
        <f t="shared" si="0"/>
        <v>1</v>
      </c>
    </row>
    <row r="41" spans="2:16" ht="22.5" customHeight="1">
      <c r="B41" s="991">
        <f>HLOOKUP($B$20,Datos_Producto!$I$559:$AI$635,12,FALSE)</f>
        <v>548</v>
      </c>
      <c r="C41" s="1514" t="str">
        <f>IFERROR(VLOOKUP(B41,Datos_Producto!$E$4:$EE$541,6,FALSE)," ")</f>
        <v>FORTALECER LA CAPACIDAD INSTITUCIONAL CON LA IMPLEMENTACIÓN 4 UNIDADES DE APOYO A LA GESTIÓN TERRITORIAL</v>
      </c>
      <c r="D41" s="1514"/>
      <c r="E41" s="1514"/>
      <c r="F41" s="1514"/>
      <c r="G41" s="1514"/>
      <c r="H41" s="1514"/>
      <c r="I41" s="1514"/>
      <c r="J41" s="1514"/>
      <c r="K41" s="1514"/>
      <c r="L41" s="1514"/>
      <c r="M41" s="1514"/>
      <c r="N41" s="1042">
        <f>IFERROR(VLOOKUP(B41,Datos_Producto!$E$4:$EE$541,13,FALSE), " ")</f>
        <v>0.25</v>
      </c>
      <c r="O41" s="1042">
        <f>IFERROR(VLOOKUP(B41,Datos_Producto!$E$4:$EE$541,115,FALSE)," ")</f>
        <v>0.25</v>
      </c>
      <c r="P41" s="996">
        <f t="shared" si="0"/>
        <v>1</v>
      </c>
    </row>
    <row r="42" spans="2:16" ht="22.5" customHeight="1">
      <c r="B42" s="991">
        <f>HLOOKUP($B$20,Datos_Producto!$I$559:$AI$635,13,FALSE)</f>
        <v>549</v>
      </c>
      <c r="C42" s="1514" t="str">
        <f>IFERROR(VLOOKUP(B42,Datos_Producto!$E$4:$EE$541,6,FALSE)," ")</f>
        <v>ACERCAMIENTO DE LA OFERTA INSTITUCIONAL PARA EL EMPODERAMIENTO Y LA GESTIÓN CON 4 FERIAS INSTITUCIONALES DURANTE EL PERIODO DE GOBIERNO</v>
      </c>
      <c r="D42" s="1514"/>
      <c r="E42" s="1514"/>
      <c r="F42" s="1514"/>
      <c r="G42" s="1514"/>
      <c r="H42" s="1514"/>
      <c r="I42" s="1514"/>
      <c r="J42" s="1514"/>
      <c r="K42" s="1514"/>
      <c r="L42" s="1514"/>
      <c r="M42" s="1514"/>
      <c r="N42" s="1042">
        <f>IFERROR(VLOOKUP(B42,Datos_Producto!$E$4:$EE$541,13,FALSE), " ")</f>
        <v>0.16500000000000001</v>
      </c>
      <c r="O42" s="1042">
        <f>IFERROR(VLOOKUP(B42,Datos_Producto!$E$4:$EE$541,115,FALSE)," ")</f>
        <v>0.16500000000000001</v>
      </c>
      <c r="P42" s="996">
        <f t="shared" si="0"/>
        <v>1</v>
      </c>
    </row>
    <row r="43" spans="2:16" ht="22.5" customHeight="1">
      <c r="B43" s="991">
        <f>HLOOKUP($B$20,Datos_Producto!$I$559:$AI$635,14,FALSE)</f>
        <v>550</v>
      </c>
      <c r="C43" s="1514" t="str">
        <f>IFERROR(VLOOKUP(B43,Datos_Producto!$E$4:$EE$541,6,FALSE)," ")</f>
        <v>FORTALECER 12 MUNICIPIOS EN GESTIÓN INTEGRAL A TRAVÉS DE PROCESOS DE COOPERACIÓN HORIZONTAL DURANTE DEL PERÍODO DE GOBIERNO</v>
      </c>
      <c r="D43" s="1514"/>
      <c r="E43" s="1514"/>
      <c r="F43" s="1514"/>
      <c r="G43" s="1514"/>
      <c r="H43" s="1514"/>
      <c r="I43" s="1514"/>
      <c r="J43" s="1514"/>
      <c r="K43" s="1514"/>
      <c r="L43" s="1514"/>
      <c r="M43" s="1514"/>
      <c r="N43" s="1042">
        <f>IFERROR(VLOOKUP(B43,Datos_Producto!$E$4:$EE$541,13,FALSE), " ")</f>
        <v>0.16500000000000001</v>
      </c>
      <c r="O43" s="1042">
        <f>IFERROR(VLOOKUP(B43,Datos_Producto!$E$4:$EE$541,115,FALSE)," ")</f>
        <v>4.1250000000000002E-2</v>
      </c>
      <c r="P43" s="996">
        <f t="shared" si="0"/>
        <v>0.25</v>
      </c>
    </row>
    <row r="44" spans="2:16" ht="22.5" customHeight="1">
      <c r="B44" s="991">
        <f>HLOOKUP($B$20,Datos_Producto!$I$559:$AI$635,15,FALSE)</f>
        <v>552</v>
      </c>
      <c r="C44" s="1514" t="str">
        <f>IFERROR(VLOOKUP(B44,Datos_Producto!$E$4:$EE$541,6,FALSE)," ")</f>
        <v>FORTALECER EN EL CUATRIENIO AL CONSEJO TERRITORIAL DE PLANEACIÓN.</v>
      </c>
      <c r="D44" s="1514"/>
      <c r="E44" s="1514"/>
      <c r="F44" s="1514"/>
      <c r="G44" s="1514"/>
      <c r="H44" s="1514"/>
      <c r="I44" s="1514"/>
      <c r="J44" s="1514"/>
      <c r="K44" s="1514"/>
      <c r="L44" s="1514"/>
      <c r="M44" s="1514"/>
      <c r="N44" s="1042">
        <f>IFERROR(VLOOKUP(B44,Datos_Producto!$E$4:$EE$541,13,FALSE), " ")</f>
        <v>8.8999999999999996E-2</v>
      </c>
      <c r="O44" s="1042">
        <f>IFERROR(VLOOKUP(B44,Datos_Producto!$E$4:$EE$541,115,FALSE)," ")</f>
        <v>8.900000000000001E-2</v>
      </c>
      <c r="P44" s="996">
        <f t="shared" si="0"/>
        <v>1.0000000000000002</v>
      </c>
    </row>
    <row r="45" spans="2:16" ht="22.5" customHeight="1">
      <c r="B45" s="991">
        <f>HLOOKUP($B$20,Datos_Producto!$I$559:$AI$635,16,FALSE)</f>
        <v>593</v>
      </c>
      <c r="C45" s="1514" t="str">
        <f>IFERROR(VLOOKUP(B45,Datos_Producto!$E$4:$EE$541,6,FALSE)," ")</f>
        <v>FORTALECER EL SISTEMA DE INFORMACIÓN GEOGRÁFICA REGIONAL (SIG R) COMO PLATAFORMA TECNOLÓGICA CORPORATIVA CON VARIABLES DE INFORMACIÓN DE ENTIDADES DEL NIVEL CENTRAL, DESCONCENTRADO Y MUNICIPAL.</v>
      </c>
      <c r="D45" s="1514"/>
      <c r="E45" s="1514"/>
      <c r="F45" s="1514"/>
      <c r="G45" s="1514"/>
      <c r="H45" s="1514"/>
      <c r="I45" s="1514"/>
      <c r="J45" s="1514"/>
      <c r="K45" s="1514"/>
      <c r="L45" s="1514"/>
      <c r="M45" s="1514"/>
      <c r="N45" s="1042">
        <f>IFERROR(VLOOKUP(B45,Datos_Producto!$E$4:$EE$541,13,FALSE), " ")</f>
        <v>0.16500000000000001</v>
      </c>
      <c r="O45" s="1042">
        <f>IFERROR(VLOOKUP(B45,Datos_Producto!$E$4:$EE$541,115,FALSE)," ")</f>
        <v>0.16500000000000001</v>
      </c>
      <c r="P45" s="996">
        <f t="shared" si="0"/>
        <v>1</v>
      </c>
    </row>
    <row r="46" spans="2:16" ht="22.5" customHeight="1">
      <c r="B46" s="991">
        <f>HLOOKUP($B$20,Datos_Producto!$I$559:$AI$635,17,FALSE)</f>
        <v>594</v>
      </c>
      <c r="C46" s="1514" t="str">
        <f>IFERROR(VLOOKUP(B46,Datos_Producto!$E$4:$EE$541,6,FALSE)," ")</f>
        <v>GENERAR INDICADORES E INFORMACIÓN GEOGRÁFICA Y ESTADÍSTICA A NIVEL DEPARTAMENTAL Y MUNICIPAL, A TRAVÉS DE PUBLICACIONES ANÁLOGAS Y/O DIGITALES COMO MATERIAL DE SOPORTE PARA LA TOMA DE DECISIONES EN LOS PROCESOS DE PLANIFICACIÓN Y ORDENAMIENTO DEL TERRITOR</v>
      </c>
      <c r="D46" s="1514"/>
      <c r="E46" s="1514"/>
      <c r="F46" s="1514"/>
      <c r="G46" s="1514"/>
      <c r="H46" s="1514"/>
      <c r="I46" s="1514"/>
      <c r="J46" s="1514"/>
      <c r="K46" s="1514"/>
      <c r="L46" s="1514"/>
      <c r="M46" s="1514"/>
      <c r="N46" s="1042">
        <f>IFERROR(VLOOKUP(B46,Datos_Producto!$E$4:$EE$541,13,FALSE), " ")</f>
        <v>0.16500000000000001</v>
      </c>
      <c r="O46" s="1042">
        <f>IFERROR(VLOOKUP(B46,Datos_Producto!$E$4:$EE$541,115,FALSE)," ")</f>
        <v>0.16500000000000001</v>
      </c>
      <c r="P46" s="996">
        <f t="shared" si="0"/>
        <v>1</v>
      </c>
    </row>
    <row r="47" spans="2:16" ht="22.5" customHeight="1">
      <c r="B47" s="991">
        <f>HLOOKUP($B$20,Datos_Producto!$I$559:$AI$635,18,FALSE)</f>
        <v>599</v>
      </c>
      <c r="C47" s="1514" t="str">
        <f>IFERROR(VLOOKUP(B47,Datos_Producto!$E$4:$EE$541,6,FALSE)," ")</f>
        <v xml:space="preserve">DEFINIR LOS LINEAMIENTOS Y/O ESTÁNDARES PARA LA CAPTURA Y ALMACENAMIENTO DE INFORMACIÓN </v>
      </c>
      <c r="D47" s="1514"/>
      <c r="E47" s="1514"/>
      <c r="F47" s="1514"/>
      <c r="G47" s="1514"/>
      <c r="H47" s="1514"/>
      <c r="I47" s="1514"/>
      <c r="J47" s="1514"/>
      <c r="K47" s="1514"/>
      <c r="L47" s="1514"/>
      <c r="M47" s="1514"/>
      <c r="N47" s="1042">
        <f>IFERROR(VLOOKUP(B47,Datos_Producto!$E$4:$EE$541,13,FALSE), " ")</f>
        <v>0.16500000000000001</v>
      </c>
      <c r="O47" s="1042">
        <f>IFERROR(VLOOKUP(B47,Datos_Producto!$E$4:$EE$541,115,FALSE)," ")</f>
        <v>0.16500000000000001</v>
      </c>
      <c r="P47" s="996">
        <f t="shared" si="0"/>
        <v>1</v>
      </c>
    </row>
    <row r="48" spans="2:16" ht="22.5" customHeight="1">
      <c r="B48" s="991">
        <f>HLOOKUP($B$20,Datos_Producto!$I$559:$AI$635,19,FALSE)</f>
        <v>601</v>
      </c>
      <c r="C48" s="1514" t="str">
        <f>IFERROR(VLOOKUP(B48,Datos_Producto!$E$4:$EE$541,6,FALSE)," ")</f>
        <v xml:space="preserve">GENERAR EN 100% MUNICIPIOS Y ENTIDADES DEPARTAMENTALES EN EL CUATRIENIO MAYORES CAPACIDADES DE S Y E </v>
      </c>
      <c r="D48" s="1514"/>
      <c r="E48" s="1514"/>
      <c r="F48" s="1514"/>
      <c r="G48" s="1514"/>
      <c r="H48" s="1514"/>
      <c r="I48" s="1514"/>
      <c r="J48" s="1514"/>
      <c r="K48" s="1514"/>
      <c r="L48" s="1514"/>
      <c r="M48" s="1514"/>
      <c r="N48" s="1042">
        <f>IFERROR(VLOOKUP(B48,Datos_Producto!$E$4:$EE$541,13,FALSE), " ")</f>
        <v>0.16500000000000001</v>
      </c>
      <c r="O48" s="1042">
        <f>IFERROR(VLOOKUP(B48,Datos_Producto!$E$4:$EE$541,115,FALSE)," ")</f>
        <v>0.16500000000000001</v>
      </c>
      <c r="P48" s="996">
        <f t="shared" si="0"/>
        <v>1</v>
      </c>
    </row>
    <row r="49" spans="2:16" ht="22.5" customHeight="1">
      <c r="B49" s="991">
        <f>HLOOKUP($B$20,Datos_Producto!$I$559:$AI$635,20,FALSE)</f>
        <v>602</v>
      </c>
      <c r="C49" s="1514" t="str">
        <f>IFERROR(VLOOKUP(B49,Datos_Producto!$E$4:$EE$541,6,FALSE)," ")</f>
        <v>EJECUTAR 8 PLANES DE MEJORAMIENTO EN EL CUATRIENIO POR PREVIO S Y E</v>
      </c>
      <c r="D49" s="1514"/>
      <c r="E49" s="1514"/>
      <c r="F49" s="1514"/>
      <c r="G49" s="1514"/>
      <c r="H49" s="1514"/>
      <c r="I49" s="1514"/>
      <c r="J49" s="1514"/>
      <c r="K49" s="1514"/>
      <c r="L49" s="1514"/>
      <c r="M49" s="1514"/>
      <c r="N49" s="1042">
        <f>IFERROR(VLOOKUP(B49,Datos_Producto!$E$4:$EE$541,13,FALSE), " ")</f>
        <v>0.16500000000000001</v>
      </c>
      <c r="O49" s="1042">
        <f>IFERROR(VLOOKUP(B49,Datos_Producto!$E$4:$EE$541,115,FALSE)," ")</f>
        <v>0.12375</v>
      </c>
      <c r="P49" s="996">
        <f t="shared" si="0"/>
        <v>0.75</v>
      </c>
    </row>
    <row r="50" spans="2:16" ht="22.5" customHeight="1">
      <c r="B50" s="991">
        <f>HLOOKUP($B$20,Datos_Producto!$I$559:$AI$635,21,FALSE)</f>
        <v>603</v>
      </c>
      <c r="C50" s="1514" t="str">
        <f>IFERROR(VLOOKUP(B50,Datos_Producto!$E$4:$EE$541,6,FALSE)," ")</f>
        <v>IMPLEMENTAR UNA RUTA METODOLÓGICA ANUAL DE RENDICIÓN DE CUENTAS PARA SOMETER EL AVANCE DE LA GESTIÓN TRIMESTRALMENTE , AL DEBATE, ARGUMENTACIÓN Y APORTE DEL CONSEJO DE GOBIERNO PARA EL MEJORAMIENTO DE LOS RESULTADOS DE LA GESTIÓN</v>
      </c>
      <c r="D50" s="1514"/>
      <c r="E50" s="1514"/>
      <c r="F50" s="1514"/>
      <c r="G50" s="1514"/>
      <c r="H50" s="1514"/>
      <c r="I50" s="1514"/>
      <c r="J50" s="1514"/>
      <c r="K50" s="1514"/>
      <c r="L50" s="1514"/>
      <c r="M50" s="1514"/>
      <c r="N50" s="1042">
        <f>IFERROR(VLOOKUP(B50,Datos_Producto!$E$4:$EE$541,13,FALSE), " ")</f>
        <v>0.16500000000000001</v>
      </c>
      <c r="O50" s="1042">
        <f>IFERROR(VLOOKUP(B50,Datos_Producto!$E$4:$EE$541,115,FALSE)," ")</f>
        <v>0.15321428571428572</v>
      </c>
      <c r="P50" s="996">
        <f t="shared" si="0"/>
        <v>0.9285714285714286</v>
      </c>
    </row>
    <row r="51" spans="2:16" ht="22.5" customHeight="1">
      <c r="B51" s="991">
        <f>HLOOKUP($B$20,Datos_Producto!$I$559:$AI$635,22,FALSE)</f>
        <v>604</v>
      </c>
      <c r="C51" s="1514" t="str">
        <f>IFERROR(VLOOKUP(B51,Datos_Producto!$E$4:$EE$541,6,FALSE)," ")</f>
        <v>IMPLEMENTAR UNA RUTA METODOLÓGICA ANUAL DE RENDICIÓN DE CUENTAS PARA SOMETER EL AVANCE DE LA GESTIÓN SEMESTRAL, AL DEBATE, ARGUMENTACIÓN Y APORTE DE ASAMBLEA DEPARTAMENTAL, CIUDADANÍA Y CONSEJO DE PLANEACIÓN DEPARTAMENTAL PARA EL MEJORAMIENTO DE LOS RESUL</v>
      </c>
      <c r="D51" s="1514"/>
      <c r="E51" s="1514"/>
      <c r="F51" s="1514"/>
      <c r="G51" s="1514"/>
      <c r="H51" s="1514"/>
      <c r="I51" s="1514"/>
      <c r="J51" s="1514"/>
      <c r="K51" s="1514"/>
      <c r="L51" s="1514"/>
      <c r="M51" s="1514"/>
      <c r="N51" s="1042">
        <f>IFERROR(VLOOKUP(B51,Datos_Producto!$E$4:$EE$541,13,FALSE), " ")</f>
        <v>0.16500000000000001</v>
      </c>
      <c r="O51" s="1042">
        <f>IFERROR(VLOOKUP(B51,Datos_Producto!$E$4:$EE$541,115,FALSE)," ")</f>
        <v>0.16500000000000001</v>
      </c>
      <c r="P51" s="996">
        <f t="shared" si="0"/>
        <v>1</v>
      </c>
    </row>
    <row r="52" spans="2:16" ht="22.5" customHeight="1">
      <c r="B52" s="991">
        <f>HLOOKUP($B$20,Datos_Producto!$I$559:$AI$635,23,FALSE)</f>
        <v>605</v>
      </c>
      <c r="C52" s="1514" t="str">
        <f>IFERROR(VLOOKUP(B52,Datos_Producto!$E$4:$EE$541,6,FALSE)," ")</f>
        <v>IMPLEMENTAR UNA RUTA METODOLÓGICA ANUAL DE RENDICIÓN DE CUENTAS PARA SOMETER EL AVANCE DE LA GESTIÓN ANUAL, INFANCIA Y ADOLESCENCIA EN EL ACCESO A DERECHOS, AL DEBATE, ARGUMENTACIÓN Y APORTE DE CONSEJO DE POLÍTICA SOCIAL, ASAMBLEA, CIUDADANÍA Y MUNICIPIO</v>
      </c>
      <c r="D52" s="1514"/>
      <c r="E52" s="1514"/>
      <c r="F52" s="1514"/>
      <c r="G52" s="1514"/>
      <c r="H52" s="1514"/>
      <c r="I52" s="1514"/>
      <c r="J52" s="1514"/>
      <c r="K52" s="1514"/>
      <c r="L52" s="1514"/>
      <c r="M52" s="1514"/>
      <c r="N52" s="1042">
        <f>IFERROR(VLOOKUP(B52,Datos_Producto!$E$4:$EE$541,13,FALSE), " ")</f>
        <v>0.16500000000000001</v>
      </c>
      <c r="O52" s="1042">
        <f>IFERROR(VLOOKUP(B52,Datos_Producto!$E$4:$EE$541,115,FALSE)," ")</f>
        <v>0.16500000000000001</v>
      </c>
      <c r="P52" s="996">
        <f t="shared" si="0"/>
        <v>1</v>
      </c>
    </row>
    <row r="53" spans="2:16" ht="22.5" customHeight="1">
      <c r="B53" s="991">
        <f>HLOOKUP($B$20,Datos_Producto!$I$559:$AI$635,24,FALSE)</f>
        <v>606</v>
      </c>
      <c r="C53" s="1514" t="str">
        <f>IFERROR(VLOOKUP(B53,Datos_Producto!$E$4:$EE$541,6,FALSE)," ")</f>
        <v>REALIZAR 8 PUBLICACIONES EN EL CUATRIENIO PARA DIVULGAR MEJORES PRÁCTICAS DE S Y E.</v>
      </c>
      <c r="D53" s="1514"/>
      <c r="E53" s="1514"/>
      <c r="F53" s="1514"/>
      <c r="G53" s="1514"/>
      <c r="H53" s="1514"/>
      <c r="I53" s="1514"/>
      <c r="J53" s="1514"/>
      <c r="K53" s="1514"/>
      <c r="L53" s="1514"/>
      <c r="M53" s="1514"/>
      <c r="N53" s="1042">
        <f>IFERROR(VLOOKUP(B53,Datos_Producto!$E$4:$EE$541,13,FALSE), " ")</f>
        <v>0.16500000000000001</v>
      </c>
      <c r="O53" s="1042">
        <f>IFERROR(VLOOKUP(B53,Datos_Producto!$E$4:$EE$541,115,FALSE)," ")</f>
        <v>0.16500000000000001</v>
      </c>
      <c r="P53" s="996">
        <f t="shared" si="0"/>
        <v>1</v>
      </c>
    </row>
    <row r="54" spans="2:16" ht="22.5" customHeight="1">
      <c r="B54" s="991">
        <f>HLOOKUP($B$20,Datos_Producto!$I$559:$AI$635,25,FALSE)</f>
        <v>607</v>
      </c>
      <c r="C54" s="1514" t="str">
        <f>IFERROR(VLOOKUP(B54,Datos_Producto!$E$4:$EE$541,6,FALSE)," ")</f>
        <v>REALIZAR 4 EVALUACIONES EXTERNAS DE RESULTADOS DE LA GESTIÓN.</v>
      </c>
      <c r="D54" s="1514"/>
      <c r="E54" s="1514"/>
      <c r="F54" s="1514"/>
      <c r="G54" s="1514"/>
      <c r="H54" s="1514"/>
      <c r="I54" s="1514"/>
      <c r="J54" s="1514"/>
      <c r="K54" s="1514"/>
      <c r="L54" s="1514"/>
      <c r="M54" s="1514"/>
      <c r="N54" s="1042">
        <f>IFERROR(VLOOKUP(B54,Datos_Producto!$E$4:$EE$541,13,FALSE), " ")</f>
        <v>0.16500000000000001</v>
      </c>
      <c r="O54" s="1042">
        <f>IFERROR(VLOOKUP(B54,Datos_Producto!$E$4:$EE$541,115,FALSE)," ")</f>
        <v>0.12375</v>
      </c>
      <c r="P54" s="996">
        <f t="shared" si="0"/>
        <v>0.75</v>
      </c>
    </row>
    <row r="55" spans="2:16" ht="22.5" customHeight="1">
      <c r="B55" s="991">
        <f>HLOOKUP($B$20,Datos_Producto!$I$559:$AI$635,26,FALSE)</f>
        <v>608</v>
      </c>
      <c r="C55" s="1514" t="str">
        <f>IFERROR(VLOOKUP(B55,Datos_Producto!$E$4:$EE$541,6,FALSE)," ")</f>
        <v>REALIZAR POR LO MENOS 8 ENCUESTAS EN EL CUATRIENIO DE PERCEPCIÓN CIUDADANA SOBRE GESTIÓN PÚBLICA</v>
      </c>
      <c r="D55" s="1514"/>
      <c r="E55" s="1514"/>
      <c r="F55" s="1514"/>
      <c r="G55" s="1514"/>
      <c r="H55" s="1514"/>
      <c r="I55" s="1514"/>
      <c r="J55" s="1514"/>
      <c r="K55" s="1514"/>
      <c r="L55" s="1514"/>
      <c r="M55" s="1514"/>
      <c r="N55" s="1042">
        <f>IFERROR(VLOOKUP(B55,Datos_Producto!$E$4:$EE$541,13,FALSE), " ")</f>
        <v>0.16500000000000001</v>
      </c>
      <c r="O55" s="1042">
        <f>IFERROR(VLOOKUP(B55,Datos_Producto!$E$4:$EE$541,115,FALSE)," ")</f>
        <v>0.16500000000000001</v>
      </c>
      <c r="P55" s="996">
        <f t="shared" si="0"/>
        <v>1</v>
      </c>
    </row>
    <row r="56" spans="2:16" ht="22.5" customHeight="1">
      <c r="B56" s="991">
        <f>HLOOKUP($B$20,Datos_Producto!$I$559:$AI$635,27,FALSE)</f>
        <v>0</v>
      </c>
      <c r="C56" s="1514" t="str">
        <f>IFERROR(VLOOKUP(B56,Datos_Producto!$E$4:$EE$541,6,FALSE)," ")</f>
        <v xml:space="preserve"> </v>
      </c>
      <c r="D56" s="1514"/>
      <c r="E56" s="1514"/>
      <c r="F56" s="1514"/>
      <c r="G56" s="1514"/>
      <c r="H56" s="1514"/>
      <c r="I56" s="1514"/>
      <c r="J56" s="1514"/>
      <c r="K56" s="1514"/>
      <c r="L56" s="1514"/>
      <c r="M56" s="1514"/>
      <c r="N56" s="1042" t="str">
        <f>IFERROR(VLOOKUP(B56,Datos_Producto!$E$4:$EE$541,13,FALSE), " ")</f>
        <v xml:space="preserve"> </v>
      </c>
      <c r="O56" s="1042" t="str">
        <f>IFERROR(VLOOKUP(B56,Datos_Producto!$E$4:$EE$541,115,FALSE)," ")</f>
        <v xml:space="preserve"> </v>
      </c>
      <c r="P56" s="996" t="str">
        <f t="shared" si="0"/>
        <v xml:space="preserve"> </v>
      </c>
    </row>
    <row r="57" spans="2:16" ht="22.5" customHeight="1">
      <c r="B57" s="991">
        <f>HLOOKUP($B$20,Datos_Producto!$I$559:$AI$635,28,FALSE)</f>
        <v>0</v>
      </c>
      <c r="C57" s="1514" t="str">
        <f>IFERROR(VLOOKUP(B57,Datos_Producto!$E$4:$EE$541,6,FALSE)," ")</f>
        <v xml:space="preserve"> </v>
      </c>
      <c r="D57" s="1514"/>
      <c r="E57" s="1514"/>
      <c r="F57" s="1514"/>
      <c r="G57" s="1514"/>
      <c r="H57" s="1514"/>
      <c r="I57" s="1514"/>
      <c r="J57" s="1514"/>
      <c r="K57" s="1514"/>
      <c r="L57" s="1514"/>
      <c r="M57" s="1514"/>
      <c r="N57" s="1042" t="str">
        <f>IFERROR(VLOOKUP(B57,Datos_Producto!$E$4:$EE$541,13,FALSE), " ")</f>
        <v xml:space="preserve"> </v>
      </c>
      <c r="O57" s="1042" t="str">
        <f>IFERROR(VLOOKUP(B57,Datos_Producto!$E$4:$EE$541,115,FALSE)," ")</f>
        <v xml:space="preserve"> </v>
      </c>
      <c r="P57" s="996" t="str">
        <f t="shared" si="0"/>
        <v xml:space="preserve"> </v>
      </c>
    </row>
    <row r="58" spans="2:16" ht="22.5" customHeight="1">
      <c r="B58" s="991">
        <f>HLOOKUP($B$20,Datos_Producto!$I$559:$AI$635,29,FALSE)</f>
        <v>0</v>
      </c>
      <c r="C58" s="1514" t="str">
        <f>IFERROR(VLOOKUP(B58,Datos_Producto!$E$4:$EE$541,6,FALSE)," ")</f>
        <v xml:space="preserve"> </v>
      </c>
      <c r="D58" s="1514"/>
      <c r="E58" s="1514"/>
      <c r="F58" s="1514"/>
      <c r="G58" s="1514"/>
      <c r="H58" s="1514"/>
      <c r="I58" s="1514"/>
      <c r="J58" s="1514"/>
      <c r="K58" s="1514"/>
      <c r="L58" s="1514"/>
      <c r="M58" s="1514"/>
      <c r="N58" s="1042" t="str">
        <f>IFERROR(VLOOKUP(B58,Datos_Producto!$E$4:$EE$541,13,FALSE), " ")</f>
        <v xml:space="preserve"> </v>
      </c>
      <c r="O58" s="1042" t="str">
        <f>IFERROR(VLOOKUP(B58,Datos_Producto!$E$4:$EE$541,115,FALSE)," ")</f>
        <v xml:space="preserve"> </v>
      </c>
      <c r="P58" s="996" t="str">
        <f t="shared" si="0"/>
        <v xml:space="preserve"> </v>
      </c>
    </row>
    <row r="59" spans="2:16" ht="22.5" customHeight="1">
      <c r="B59" s="991">
        <f>HLOOKUP($B$20,Datos_Producto!$I$559:$AI$635,30,FALSE)</f>
        <v>0</v>
      </c>
      <c r="C59" s="1514" t="str">
        <f>IFERROR(VLOOKUP(B59,Datos_Producto!$E$4:$EE$541,6,FALSE)," ")</f>
        <v xml:space="preserve"> </v>
      </c>
      <c r="D59" s="1514"/>
      <c r="E59" s="1514"/>
      <c r="F59" s="1514"/>
      <c r="G59" s="1514"/>
      <c r="H59" s="1514"/>
      <c r="I59" s="1514"/>
      <c r="J59" s="1514"/>
      <c r="K59" s="1514"/>
      <c r="L59" s="1514"/>
      <c r="M59" s="1514"/>
      <c r="N59" s="1042" t="str">
        <f>IFERROR(VLOOKUP(B59,Datos_Producto!$E$4:$EE$541,13,FALSE), " ")</f>
        <v xml:space="preserve"> </v>
      </c>
      <c r="O59" s="1042" t="str">
        <f>IFERROR(VLOOKUP(B59,Datos_Producto!$E$4:$EE$541,115,FALSE)," ")</f>
        <v xml:space="preserve"> </v>
      </c>
      <c r="P59" s="996" t="str">
        <f t="shared" si="0"/>
        <v xml:space="preserve"> </v>
      </c>
    </row>
    <row r="60" spans="2:16" ht="22.5" customHeight="1">
      <c r="B60" s="991">
        <f>HLOOKUP($B$20,Datos_Producto!$I$559:$AI$635,31,FALSE)</f>
        <v>0</v>
      </c>
      <c r="C60" s="1514" t="str">
        <f>IFERROR(VLOOKUP(B60,Datos_Producto!$E$4:$EE$541,6,FALSE)," ")</f>
        <v xml:space="preserve"> </v>
      </c>
      <c r="D60" s="1514"/>
      <c r="E60" s="1514"/>
      <c r="F60" s="1514"/>
      <c r="G60" s="1514"/>
      <c r="H60" s="1514"/>
      <c r="I60" s="1514"/>
      <c r="J60" s="1514"/>
      <c r="K60" s="1514"/>
      <c r="L60" s="1514"/>
      <c r="M60" s="1514"/>
      <c r="N60" s="1042" t="str">
        <f>IFERROR(VLOOKUP(B60,Datos_Producto!$E$4:$EE$541,13,FALSE), " ")</f>
        <v xml:space="preserve"> </v>
      </c>
      <c r="O60" s="1042" t="str">
        <f>IFERROR(VLOOKUP(B60,Datos_Producto!$E$4:$EE$541,115,FALSE)," ")</f>
        <v xml:space="preserve"> </v>
      </c>
      <c r="P60" s="996" t="str">
        <f t="shared" si="0"/>
        <v xml:space="preserve"> </v>
      </c>
    </row>
    <row r="61" spans="2:16" ht="22.5" customHeight="1">
      <c r="B61" s="991">
        <f>HLOOKUP($B$20,Datos_Producto!$I$559:$AI$635,32,FALSE)</f>
        <v>0</v>
      </c>
      <c r="C61" s="1514" t="str">
        <f>IFERROR(VLOOKUP(B61,Datos_Producto!$E$4:$EE$541,6,FALSE)," ")</f>
        <v xml:space="preserve"> </v>
      </c>
      <c r="D61" s="1514"/>
      <c r="E61" s="1514"/>
      <c r="F61" s="1514"/>
      <c r="G61" s="1514"/>
      <c r="H61" s="1514"/>
      <c r="I61" s="1514"/>
      <c r="J61" s="1514"/>
      <c r="K61" s="1514"/>
      <c r="L61" s="1514"/>
      <c r="M61" s="1514"/>
      <c r="N61" s="1042" t="str">
        <f>IFERROR(VLOOKUP(B61,Datos_Producto!$E$4:$EE$541,13,FALSE), " ")</f>
        <v xml:space="preserve"> </v>
      </c>
      <c r="O61" s="1042" t="str">
        <f>IFERROR(VLOOKUP(B61,Datos_Producto!$E$4:$EE$541,115,FALSE)," ")</f>
        <v xml:space="preserve"> </v>
      </c>
      <c r="P61" s="996" t="str">
        <f t="shared" si="0"/>
        <v xml:space="preserve"> </v>
      </c>
    </row>
    <row r="62" spans="2:16" ht="22.5" customHeight="1">
      <c r="B62" s="991">
        <f>HLOOKUP($B$20,Datos_Producto!$I$559:$AI$635,33,FALSE)</f>
        <v>0</v>
      </c>
      <c r="C62" s="1514" t="str">
        <f>IFERROR(VLOOKUP(B62,Datos_Producto!$E$4:$EE$541,6,FALSE)," ")</f>
        <v xml:space="preserve"> </v>
      </c>
      <c r="D62" s="1514"/>
      <c r="E62" s="1514"/>
      <c r="F62" s="1514"/>
      <c r="G62" s="1514"/>
      <c r="H62" s="1514"/>
      <c r="I62" s="1514"/>
      <c r="J62" s="1514"/>
      <c r="K62" s="1514"/>
      <c r="L62" s="1514"/>
      <c r="M62" s="1514"/>
      <c r="N62" s="1042" t="str">
        <f>IFERROR(VLOOKUP(B62,Datos_Producto!$E$4:$EE$541,13,FALSE), " ")</f>
        <v xml:space="preserve"> </v>
      </c>
      <c r="O62" s="1042" t="str">
        <f>IFERROR(VLOOKUP(B62,Datos_Producto!$E$4:$EE$541,115,FALSE)," ")</f>
        <v xml:space="preserve"> </v>
      </c>
      <c r="P62" s="996" t="str">
        <f t="shared" si="0"/>
        <v xml:space="preserve"> </v>
      </c>
    </row>
    <row r="63" spans="2:16" ht="22.5" customHeight="1">
      <c r="B63" s="991">
        <f>HLOOKUP($B$20,Datos_Producto!$I$559:$AI$635,34,FALSE)</f>
        <v>0</v>
      </c>
      <c r="C63" s="1514" t="str">
        <f>IFERROR(VLOOKUP(B63,Datos_Producto!$E$4:$EE$541,6,FALSE)," ")</f>
        <v xml:space="preserve"> </v>
      </c>
      <c r="D63" s="1514"/>
      <c r="E63" s="1514"/>
      <c r="F63" s="1514"/>
      <c r="G63" s="1514"/>
      <c r="H63" s="1514"/>
      <c r="I63" s="1514"/>
      <c r="J63" s="1514"/>
      <c r="K63" s="1514"/>
      <c r="L63" s="1514"/>
      <c r="M63" s="1514"/>
      <c r="N63" s="1042" t="str">
        <f>IFERROR(VLOOKUP(B63,Datos_Producto!$E$4:$EE$541,13,FALSE), " ")</f>
        <v xml:space="preserve"> </v>
      </c>
      <c r="O63" s="1042" t="str">
        <f>IFERROR(VLOOKUP(B63,Datos_Producto!$E$4:$EE$541,115,FALSE)," ")</f>
        <v xml:space="preserve"> </v>
      </c>
      <c r="P63" s="996" t="str">
        <f t="shared" si="0"/>
        <v xml:space="preserve"> </v>
      </c>
    </row>
    <row r="64" spans="2:16" ht="22.5" customHeight="1">
      <c r="B64" s="991">
        <f>HLOOKUP($B$20,Datos_Producto!$I$559:$AI$635,35,FALSE)</f>
        <v>0</v>
      </c>
      <c r="C64" s="1514" t="str">
        <f>IFERROR(VLOOKUP(B64,Datos_Producto!$E$4:$EE$541,6,FALSE)," ")</f>
        <v xml:space="preserve"> </v>
      </c>
      <c r="D64" s="1514"/>
      <c r="E64" s="1514"/>
      <c r="F64" s="1514"/>
      <c r="G64" s="1514"/>
      <c r="H64" s="1514"/>
      <c r="I64" s="1514"/>
      <c r="J64" s="1514"/>
      <c r="K64" s="1514"/>
      <c r="L64" s="1514"/>
      <c r="M64" s="1514"/>
      <c r="N64" s="1042" t="str">
        <f>IFERROR(VLOOKUP(B64,Datos_Producto!$E$4:$EE$541,13,FALSE), " ")</f>
        <v xml:space="preserve"> </v>
      </c>
      <c r="O64" s="1042" t="str">
        <f>IFERROR(VLOOKUP(B64,Datos_Producto!$E$4:$EE$541,115,FALSE)," ")</f>
        <v xml:space="preserve"> </v>
      </c>
      <c r="P64" s="996" t="str">
        <f t="shared" si="0"/>
        <v xml:space="preserve"> </v>
      </c>
    </row>
    <row r="65" spans="2:16" ht="22.5" customHeight="1">
      <c r="B65" s="991">
        <f>HLOOKUP($B$20,Datos_Producto!$I$559:$AI$635,36,FALSE)</f>
        <v>0</v>
      </c>
      <c r="C65" s="1514" t="str">
        <f>IFERROR(VLOOKUP(B65,Datos_Producto!$E$4:$EE$541,6,FALSE)," ")</f>
        <v xml:space="preserve"> </v>
      </c>
      <c r="D65" s="1514"/>
      <c r="E65" s="1514"/>
      <c r="F65" s="1514"/>
      <c r="G65" s="1514"/>
      <c r="H65" s="1514"/>
      <c r="I65" s="1514"/>
      <c r="J65" s="1514"/>
      <c r="K65" s="1514"/>
      <c r="L65" s="1514"/>
      <c r="M65" s="1514"/>
      <c r="N65" s="1042" t="str">
        <f>IFERROR(VLOOKUP(B65,Datos_Producto!$E$4:$EE$541,13,FALSE), " ")</f>
        <v xml:space="preserve"> </v>
      </c>
      <c r="O65" s="1042" t="str">
        <f>IFERROR(VLOOKUP(B65,Datos_Producto!$E$4:$EE$541,115,FALSE)," ")</f>
        <v xml:space="preserve"> </v>
      </c>
      <c r="P65" s="996" t="str">
        <f t="shared" si="0"/>
        <v xml:space="preserve"> </v>
      </c>
    </row>
    <row r="66" spans="2:16" ht="22.5" customHeight="1">
      <c r="B66" s="991">
        <f>HLOOKUP($B$20,Datos_Producto!$I$559:$AI$635,37,FALSE)</f>
        <v>0</v>
      </c>
      <c r="C66" s="1514" t="str">
        <f>IFERROR(VLOOKUP(B66,Datos_Producto!$E$4:$EE$541,6,FALSE)," ")</f>
        <v xml:space="preserve"> </v>
      </c>
      <c r="D66" s="1514"/>
      <c r="E66" s="1514"/>
      <c r="F66" s="1514"/>
      <c r="G66" s="1514"/>
      <c r="H66" s="1514"/>
      <c r="I66" s="1514"/>
      <c r="J66" s="1514"/>
      <c r="K66" s="1514"/>
      <c r="L66" s="1514"/>
      <c r="M66" s="1514"/>
      <c r="N66" s="1042" t="str">
        <f>IFERROR(VLOOKUP(B66,Datos_Producto!$E$4:$EE$541,13,FALSE), " ")</f>
        <v xml:space="preserve"> </v>
      </c>
      <c r="O66" s="1042" t="str">
        <f>IFERROR(VLOOKUP(B66,Datos_Producto!$E$4:$EE$541,115,FALSE)," ")</f>
        <v xml:space="preserve"> </v>
      </c>
      <c r="P66" s="996" t="str">
        <f t="shared" si="0"/>
        <v xml:space="preserve"> </v>
      </c>
    </row>
    <row r="67" spans="2:16" ht="22.5" customHeight="1">
      <c r="B67" s="991">
        <f>HLOOKUP($B$20,Datos_Producto!$I$559:$AI$635,38,FALSE)</f>
        <v>0</v>
      </c>
      <c r="C67" s="1514" t="str">
        <f>IFERROR(VLOOKUP(B67,Datos_Producto!$E$4:$EE$541,6,FALSE)," ")</f>
        <v xml:space="preserve"> </v>
      </c>
      <c r="D67" s="1514"/>
      <c r="E67" s="1514"/>
      <c r="F67" s="1514"/>
      <c r="G67" s="1514"/>
      <c r="H67" s="1514"/>
      <c r="I67" s="1514"/>
      <c r="J67" s="1514"/>
      <c r="K67" s="1514"/>
      <c r="L67" s="1514"/>
      <c r="M67" s="1514"/>
      <c r="N67" s="1042" t="str">
        <f>IFERROR(VLOOKUP(B67,Datos_Producto!$E$4:$EE$541,13,FALSE), " ")</f>
        <v xml:space="preserve"> </v>
      </c>
      <c r="O67" s="1042" t="str">
        <f>IFERROR(VLOOKUP(B67,Datos_Producto!$E$4:$EE$541,115,FALSE)," ")</f>
        <v xml:space="preserve"> </v>
      </c>
      <c r="P67" s="996" t="str">
        <f t="shared" si="0"/>
        <v xml:space="preserve"> </v>
      </c>
    </row>
    <row r="68" spans="2:16" ht="22.5" customHeight="1">
      <c r="B68" s="991">
        <f>HLOOKUP($B$20,Datos_Producto!$I$559:$AI$635,39,FALSE)</f>
        <v>0</v>
      </c>
      <c r="C68" s="1514" t="str">
        <f>IFERROR(VLOOKUP(B68,Datos_Producto!$E$4:$EE$541,6,FALSE)," ")</f>
        <v xml:space="preserve"> </v>
      </c>
      <c r="D68" s="1514"/>
      <c r="E68" s="1514"/>
      <c r="F68" s="1514"/>
      <c r="G68" s="1514"/>
      <c r="H68" s="1514"/>
      <c r="I68" s="1514"/>
      <c r="J68" s="1514"/>
      <c r="K68" s="1514"/>
      <c r="L68" s="1514"/>
      <c r="M68" s="1514"/>
      <c r="N68" s="1042" t="str">
        <f>IFERROR(VLOOKUP(B68,Datos_Producto!$E$4:$EE$541,13,FALSE), " ")</f>
        <v xml:space="preserve"> </v>
      </c>
      <c r="O68" s="1042" t="str">
        <f>IFERROR(VLOOKUP(B68,Datos_Producto!$E$4:$EE$541,115,FALSE)," ")</f>
        <v xml:space="preserve"> </v>
      </c>
      <c r="P68" s="996" t="str">
        <f t="shared" si="0"/>
        <v xml:space="preserve"> </v>
      </c>
    </row>
    <row r="69" spans="2:16" ht="22.5" customHeight="1">
      <c r="B69" s="991">
        <f>HLOOKUP($B$20,Datos_Producto!$I$559:$AI$635,40,FALSE)</f>
        <v>0</v>
      </c>
      <c r="C69" s="1514" t="str">
        <f>IFERROR(VLOOKUP(B69,Datos_Producto!$E$4:$EE$541,6,FALSE)," ")</f>
        <v xml:space="preserve"> </v>
      </c>
      <c r="D69" s="1514"/>
      <c r="E69" s="1514"/>
      <c r="F69" s="1514"/>
      <c r="G69" s="1514"/>
      <c r="H69" s="1514"/>
      <c r="I69" s="1514"/>
      <c r="J69" s="1514"/>
      <c r="K69" s="1514"/>
      <c r="L69" s="1514"/>
      <c r="M69" s="1514"/>
      <c r="N69" s="1042" t="str">
        <f>IFERROR(VLOOKUP(B69,Datos_Producto!$E$4:$EE$541,13,FALSE), " ")</f>
        <v xml:space="preserve"> </v>
      </c>
      <c r="O69" s="1042" t="str">
        <f>IFERROR(VLOOKUP(B69,Datos_Producto!$E$4:$EE$541,115,FALSE)," ")</f>
        <v xml:space="preserve"> </v>
      </c>
      <c r="P69" s="996" t="str">
        <f t="shared" si="0"/>
        <v xml:space="preserve"> </v>
      </c>
    </row>
    <row r="70" spans="2:16" ht="22.5" customHeight="1">
      <c r="B70" s="991">
        <f>HLOOKUP($B$20,Datos_Producto!$I$559:$AI$635,41,FALSE)</f>
        <v>0</v>
      </c>
      <c r="C70" s="1514" t="str">
        <f>IFERROR(VLOOKUP(B70,Datos_Producto!$E$4:$EE$541,6,FALSE)," ")</f>
        <v xml:space="preserve"> </v>
      </c>
      <c r="D70" s="1514"/>
      <c r="E70" s="1514"/>
      <c r="F70" s="1514"/>
      <c r="G70" s="1514"/>
      <c r="H70" s="1514"/>
      <c r="I70" s="1514"/>
      <c r="J70" s="1514"/>
      <c r="K70" s="1514"/>
      <c r="L70" s="1514"/>
      <c r="M70" s="1514"/>
      <c r="N70" s="1042" t="str">
        <f>IFERROR(VLOOKUP(B70,Datos_Producto!$E$4:$EE$541,13,FALSE), " ")</f>
        <v xml:space="preserve"> </v>
      </c>
      <c r="O70" s="1042" t="str">
        <f>IFERROR(VLOOKUP(B70,Datos_Producto!$E$4:$EE$541,115,FALSE)," ")</f>
        <v xml:space="preserve"> </v>
      </c>
      <c r="P70" s="996" t="str">
        <f t="shared" si="0"/>
        <v xml:space="preserve"> </v>
      </c>
    </row>
    <row r="71" spans="2:16" ht="22.5" customHeight="1">
      <c r="B71" s="991">
        <f>HLOOKUP($B$20,Datos_Producto!$I$559:$AI$635,42,FALSE)</f>
        <v>0</v>
      </c>
      <c r="C71" s="1514" t="str">
        <f>IFERROR(VLOOKUP(B71,Datos_Producto!$E$4:$EE$541,6,FALSE)," ")</f>
        <v xml:space="preserve"> </v>
      </c>
      <c r="D71" s="1514"/>
      <c r="E71" s="1514"/>
      <c r="F71" s="1514"/>
      <c r="G71" s="1514"/>
      <c r="H71" s="1514"/>
      <c r="I71" s="1514"/>
      <c r="J71" s="1514"/>
      <c r="K71" s="1514"/>
      <c r="L71" s="1514"/>
      <c r="M71" s="1514"/>
      <c r="N71" s="1042" t="str">
        <f>IFERROR(VLOOKUP(B71,Datos_Producto!$E$4:$EE$541,13,FALSE), " ")</f>
        <v xml:space="preserve"> </v>
      </c>
      <c r="O71" s="1042" t="str">
        <f>IFERROR(VLOOKUP(B71,Datos_Producto!$E$4:$EE$541,115,FALSE)," ")</f>
        <v xml:space="preserve"> </v>
      </c>
      <c r="P71" s="996" t="str">
        <f t="shared" si="0"/>
        <v xml:space="preserve"> </v>
      </c>
    </row>
    <row r="72" spans="2:16" ht="22.5" customHeight="1">
      <c r="B72" s="991">
        <f>HLOOKUP($B$20,Datos_Producto!$I$559:$AI$635,43,FALSE)</f>
        <v>0</v>
      </c>
      <c r="C72" s="1514" t="str">
        <f>IFERROR(VLOOKUP(B72,Datos_Producto!$E$4:$EE$541,6,FALSE)," ")</f>
        <v xml:space="preserve"> </v>
      </c>
      <c r="D72" s="1514"/>
      <c r="E72" s="1514"/>
      <c r="F72" s="1514"/>
      <c r="G72" s="1514"/>
      <c r="H72" s="1514"/>
      <c r="I72" s="1514"/>
      <c r="J72" s="1514"/>
      <c r="K72" s="1514"/>
      <c r="L72" s="1514"/>
      <c r="M72" s="1514"/>
      <c r="N72" s="1042" t="str">
        <f>IFERROR(VLOOKUP(B72,Datos_Producto!$E$4:$EE$541,13,FALSE), " ")</f>
        <v xml:space="preserve"> </v>
      </c>
      <c r="O72" s="1042" t="str">
        <f>IFERROR(VLOOKUP(B72,Datos_Producto!$E$4:$EE$541,115,FALSE)," ")</f>
        <v xml:space="preserve"> </v>
      </c>
      <c r="P72" s="996" t="str">
        <f t="shared" si="0"/>
        <v xml:space="preserve"> </v>
      </c>
    </row>
    <row r="73" spans="2:16" ht="22.5" customHeight="1">
      <c r="B73" s="991">
        <f>HLOOKUP($B$20,Datos_Producto!$I$559:$AI$635,44,FALSE)</f>
        <v>0</v>
      </c>
      <c r="C73" s="1514" t="str">
        <f>IFERROR(VLOOKUP(B73,Datos_Producto!$E$4:$EE$541,6,FALSE)," ")</f>
        <v xml:space="preserve"> </v>
      </c>
      <c r="D73" s="1514"/>
      <c r="E73" s="1514"/>
      <c r="F73" s="1514"/>
      <c r="G73" s="1514"/>
      <c r="H73" s="1514"/>
      <c r="I73" s="1514"/>
      <c r="J73" s="1514"/>
      <c r="K73" s="1514"/>
      <c r="L73" s="1514"/>
      <c r="M73" s="1514"/>
      <c r="N73" s="1042" t="str">
        <f>IFERROR(VLOOKUP(B73,Datos_Producto!$E$4:$EE$541,13,FALSE), " ")</f>
        <v xml:space="preserve"> </v>
      </c>
      <c r="O73" s="1042" t="str">
        <f>IFERROR(VLOOKUP(B73,Datos_Producto!$E$4:$EE$541,115,FALSE)," ")</f>
        <v xml:space="preserve"> </v>
      </c>
      <c r="P73" s="996" t="str">
        <f t="shared" si="0"/>
        <v xml:space="preserve"> </v>
      </c>
    </row>
    <row r="74" spans="2:16" ht="22.5" customHeight="1">
      <c r="B74" s="991">
        <f>HLOOKUP($B$20,Datos_Producto!$I$559:$AI$635,45,FALSE)</f>
        <v>0</v>
      </c>
      <c r="C74" s="1514" t="str">
        <f>IFERROR(VLOOKUP(B74,Datos_Producto!$E$4:$EE$541,6,FALSE)," ")</f>
        <v xml:space="preserve"> </v>
      </c>
      <c r="D74" s="1514"/>
      <c r="E74" s="1514"/>
      <c r="F74" s="1514"/>
      <c r="G74" s="1514"/>
      <c r="H74" s="1514"/>
      <c r="I74" s="1514"/>
      <c r="J74" s="1514"/>
      <c r="K74" s="1514"/>
      <c r="L74" s="1514"/>
      <c r="M74" s="1514"/>
      <c r="N74" s="1042" t="str">
        <f>IFERROR(VLOOKUP(B74,Datos_Producto!$E$4:$EE$541,13,FALSE), " ")</f>
        <v xml:space="preserve"> </v>
      </c>
      <c r="O74" s="1042" t="str">
        <f>IFERROR(VLOOKUP(B74,Datos_Producto!$E$4:$EE$541,115,FALSE)," ")</f>
        <v xml:space="preserve"> </v>
      </c>
      <c r="P74" s="996" t="str">
        <f t="shared" si="0"/>
        <v xml:space="preserve"> </v>
      </c>
    </row>
    <row r="75" spans="2:16" ht="22.5" customHeight="1">
      <c r="B75" s="991">
        <f>HLOOKUP($B$20,Datos_Producto!$I$559:$AI$635,46,FALSE)</f>
        <v>0</v>
      </c>
      <c r="C75" s="1514" t="str">
        <f>IFERROR(VLOOKUP(B75,Datos_Producto!$E$4:$EE$541,6,FALSE)," ")</f>
        <v xml:space="preserve"> </v>
      </c>
      <c r="D75" s="1514"/>
      <c r="E75" s="1514"/>
      <c r="F75" s="1514"/>
      <c r="G75" s="1514"/>
      <c r="H75" s="1514"/>
      <c r="I75" s="1514"/>
      <c r="J75" s="1514"/>
      <c r="K75" s="1514"/>
      <c r="L75" s="1514"/>
      <c r="M75" s="1514"/>
      <c r="N75" s="1042" t="str">
        <f>IFERROR(VLOOKUP(B75,Datos_Producto!$E$4:$EE$541,13,FALSE), " ")</f>
        <v xml:space="preserve"> </v>
      </c>
      <c r="O75" s="1042" t="str">
        <f>IFERROR(VLOOKUP(B75,Datos_Producto!$E$4:$EE$541,115,FALSE)," ")</f>
        <v xml:space="preserve"> </v>
      </c>
      <c r="P75" s="996" t="str">
        <f t="shared" si="0"/>
        <v xml:space="preserve"> </v>
      </c>
    </row>
    <row r="76" spans="2:16" ht="22.5" customHeight="1">
      <c r="B76" s="991">
        <f>HLOOKUP($B$20,Datos_Producto!$I$559:$AI$635,47,FALSE)</f>
        <v>0</v>
      </c>
      <c r="C76" s="1514" t="str">
        <f>IFERROR(VLOOKUP(B76,Datos_Producto!$E$4:$EE$541,6,FALSE)," ")</f>
        <v xml:space="preserve"> </v>
      </c>
      <c r="D76" s="1514"/>
      <c r="E76" s="1514"/>
      <c r="F76" s="1514"/>
      <c r="G76" s="1514"/>
      <c r="H76" s="1514"/>
      <c r="I76" s="1514"/>
      <c r="J76" s="1514"/>
      <c r="K76" s="1514"/>
      <c r="L76" s="1514"/>
      <c r="M76" s="1514"/>
      <c r="N76" s="1042" t="str">
        <f>IFERROR(VLOOKUP(B76,Datos_Producto!$E$4:$EE$541,13,FALSE), " ")</f>
        <v xml:space="preserve"> </v>
      </c>
      <c r="O76" s="1042" t="str">
        <f>IFERROR(VLOOKUP(B76,Datos_Producto!$E$4:$EE$541,115,FALSE)," ")</f>
        <v xml:space="preserve"> </v>
      </c>
      <c r="P76" s="996" t="str">
        <f t="shared" si="0"/>
        <v xml:space="preserve"> </v>
      </c>
    </row>
    <row r="77" spans="2:16" ht="22.5" customHeight="1">
      <c r="B77" s="991">
        <f>HLOOKUP($B$20,Datos_Producto!$I$559:$AI$635,48,FALSE)</f>
        <v>0</v>
      </c>
      <c r="C77" s="1514" t="str">
        <f>IFERROR(VLOOKUP(B77,Datos_Producto!$E$4:$EE$541,6,FALSE)," ")</f>
        <v xml:space="preserve"> </v>
      </c>
      <c r="D77" s="1514"/>
      <c r="E77" s="1514"/>
      <c r="F77" s="1514"/>
      <c r="G77" s="1514"/>
      <c r="H77" s="1514"/>
      <c r="I77" s="1514"/>
      <c r="J77" s="1514"/>
      <c r="K77" s="1514"/>
      <c r="L77" s="1514"/>
      <c r="M77" s="1514"/>
      <c r="N77" s="1042" t="str">
        <f>IFERROR(VLOOKUP(B77,Datos_Producto!$E$4:$EE$541,13,FALSE), " ")</f>
        <v xml:space="preserve"> </v>
      </c>
      <c r="O77" s="1042" t="str">
        <f>IFERROR(VLOOKUP(B77,Datos_Producto!$E$4:$EE$541,115,FALSE)," ")</f>
        <v xml:space="preserve"> </v>
      </c>
      <c r="P77" s="996" t="str">
        <f t="shared" si="0"/>
        <v xml:space="preserve"> </v>
      </c>
    </row>
    <row r="78" spans="2:16" ht="22.5" customHeight="1">
      <c r="B78" s="991">
        <f>HLOOKUP($B$20,Datos_Producto!$I$559:$AI$635,49,FALSE)</f>
        <v>0</v>
      </c>
      <c r="C78" s="1514" t="str">
        <f>IFERROR(VLOOKUP(B78,Datos_Producto!$E$4:$EE$541,6,FALSE)," ")</f>
        <v xml:space="preserve"> </v>
      </c>
      <c r="D78" s="1514"/>
      <c r="E78" s="1514"/>
      <c r="F78" s="1514"/>
      <c r="G78" s="1514"/>
      <c r="H78" s="1514"/>
      <c r="I78" s="1514"/>
      <c r="J78" s="1514"/>
      <c r="K78" s="1514"/>
      <c r="L78" s="1514"/>
      <c r="M78" s="1514"/>
      <c r="N78" s="1042" t="str">
        <f>IFERROR(VLOOKUP(B78,Datos_Producto!$E$4:$EE$541,13,FALSE), " ")</f>
        <v xml:space="preserve"> </v>
      </c>
      <c r="O78" s="1042" t="str">
        <f>IFERROR(VLOOKUP(B78,Datos_Producto!$E$4:$EE$541,115,FALSE)," ")</f>
        <v xml:space="preserve"> </v>
      </c>
      <c r="P78" s="996" t="str">
        <f t="shared" si="0"/>
        <v xml:space="preserve"> </v>
      </c>
    </row>
    <row r="79" spans="2:16" ht="22.5" customHeight="1">
      <c r="B79" s="991">
        <f>HLOOKUP($B$20,Datos_Producto!$I$559:$AI$635,50,FALSE)</f>
        <v>0</v>
      </c>
      <c r="C79" s="1514" t="str">
        <f>IFERROR(VLOOKUP(B79,Datos_Producto!$E$4:$EE$541,6,FALSE)," ")</f>
        <v xml:space="preserve"> </v>
      </c>
      <c r="D79" s="1514"/>
      <c r="E79" s="1514"/>
      <c r="F79" s="1514"/>
      <c r="G79" s="1514"/>
      <c r="H79" s="1514"/>
      <c r="I79" s="1514"/>
      <c r="J79" s="1514"/>
      <c r="K79" s="1514"/>
      <c r="L79" s="1514"/>
      <c r="M79" s="1514"/>
      <c r="N79" s="1042" t="str">
        <f>IFERROR(VLOOKUP(B79,Datos_Producto!$E$4:$EE$541,13,FALSE), " ")</f>
        <v xml:space="preserve"> </v>
      </c>
      <c r="O79" s="1042" t="str">
        <f>IFERROR(VLOOKUP(B79,Datos_Producto!$E$4:$EE$541,115,FALSE)," ")</f>
        <v xml:space="preserve"> </v>
      </c>
      <c r="P79" s="996" t="str">
        <f t="shared" si="0"/>
        <v xml:space="preserve"> </v>
      </c>
    </row>
    <row r="80" spans="2:16" ht="22.5" customHeight="1">
      <c r="B80" s="991">
        <f>HLOOKUP($B$20,Datos_Producto!$I$559:$AI$635,51,FALSE)</f>
        <v>0</v>
      </c>
      <c r="C80" s="1514" t="str">
        <f>IFERROR(VLOOKUP(B80,Datos_Producto!$E$4:$EE$541,6,FALSE)," ")</f>
        <v xml:space="preserve"> </v>
      </c>
      <c r="D80" s="1514"/>
      <c r="E80" s="1514"/>
      <c r="F80" s="1514"/>
      <c r="G80" s="1514"/>
      <c r="H80" s="1514"/>
      <c r="I80" s="1514"/>
      <c r="J80" s="1514"/>
      <c r="K80" s="1514"/>
      <c r="L80" s="1514"/>
      <c r="M80" s="1514"/>
      <c r="N80" s="1042" t="str">
        <f>IFERROR(VLOOKUP(B80,Datos_Producto!$E$4:$EE$541,13,FALSE), " ")</f>
        <v xml:space="preserve"> </v>
      </c>
      <c r="O80" s="1042" t="str">
        <f>IFERROR(VLOOKUP(B80,Datos_Producto!$E$4:$EE$541,115,FALSE)," ")</f>
        <v xml:space="preserve"> </v>
      </c>
      <c r="P80" s="996" t="str">
        <f t="shared" si="0"/>
        <v xml:space="preserve"> </v>
      </c>
    </row>
    <row r="81" spans="2:16" ht="22.5" customHeight="1">
      <c r="B81" s="991">
        <f>HLOOKUP($B$20,Datos_Producto!$I$559:$AI$635,52,FALSE)</f>
        <v>0</v>
      </c>
      <c r="C81" s="1514" t="str">
        <f>IFERROR(VLOOKUP(B81,Datos_Producto!$E$4:$EE$541,6,FALSE)," ")</f>
        <v xml:space="preserve"> </v>
      </c>
      <c r="D81" s="1514"/>
      <c r="E81" s="1514"/>
      <c r="F81" s="1514"/>
      <c r="G81" s="1514"/>
      <c r="H81" s="1514"/>
      <c r="I81" s="1514"/>
      <c r="J81" s="1514"/>
      <c r="K81" s="1514"/>
      <c r="L81" s="1514"/>
      <c r="M81" s="1514"/>
      <c r="N81" s="1042" t="str">
        <f>IFERROR(VLOOKUP(B81,Datos_Producto!$E$4:$EE$541,13,FALSE), " ")</f>
        <v xml:space="preserve"> </v>
      </c>
      <c r="O81" s="1042" t="str">
        <f>IFERROR(VLOOKUP(B81,Datos_Producto!$E$4:$EE$541,115,FALSE)," ")</f>
        <v xml:space="preserve"> </v>
      </c>
      <c r="P81" s="996" t="str">
        <f t="shared" si="0"/>
        <v xml:space="preserve"> </v>
      </c>
    </row>
    <row r="82" spans="2:16" ht="22.5" customHeight="1">
      <c r="B82" s="991">
        <f>HLOOKUP($B$20,Datos_Producto!$I$559:$AI$635,53,FALSE)</f>
        <v>0</v>
      </c>
      <c r="C82" s="1514" t="str">
        <f>IFERROR(VLOOKUP(B82,Datos_Producto!$E$4:$EE$541,6,FALSE)," ")</f>
        <v xml:space="preserve"> </v>
      </c>
      <c r="D82" s="1514"/>
      <c r="E82" s="1514"/>
      <c r="F82" s="1514"/>
      <c r="G82" s="1514"/>
      <c r="H82" s="1514"/>
      <c r="I82" s="1514"/>
      <c r="J82" s="1514"/>
      <c r="K82" s="1514"/>
      <c r="L82" s="1514"/>
      <c r="M82" s="1514"/>
      <c r="N82" s="1042" t="str">
        <f>IFERROR(VLOOKUP(B82,Datos_Producto!$E$4:$EE$541,13,FALSE), " ")</f>
        <v xml:space="preserve"> </v>
      </c>
      <c r="O82" s="1042" t="str">
        <f>IFERROR(VLOOKUP(B82,Datos_Producto!$E$4:$EE$541,115,FALSE)," ")</f>
        <v xml:space="preserve"> </v>
      </c>
      <c r="P82" s="996" t="str">
        <f t="shared" si="0"/>
        <v xml:space="preserve"> </v>
      </c>
    </row>
    <row r="83" spans="2:16" ht="22.5" customHeight="1">
      <c r="B83" s="991">
        <f>HLOOKUP($B$20,Datos_Producto!$I$559:$AI$635,54,FALSE)</f>
        <v>0</v>
      </c>
      <c r="C83" s="1514" t="str">
        <f>IFERROR(VLOOKUP(B83,Datos_Producto!$E$4:$EE$541,6,FALSE)," ")</f>
        <v xml:space="preserve"> </v>
      </c>
      <c r="D83" s="1514"/>
      <c r="E83" s="1514"/>
      <c r="F83" s="1514"/>
      <c r="G83" s="1514"/>
      <c r="H83" s="1514"/>
      <c r="I83" s="1514"/>
      <c r="J83" s="1514"/>
      <c r="K83" s="1514"/>
      <c r="L83" s="1514"/>
      <c r="M83" s="1514"/>
      <c r="N83" s="1042" t="str">
        <f>IFERROR(VLOOKUP(B83,Datos_Producto!$E$4:$EE$541,13,FALSE), " ")</f>
        <v xml:space="preserve"> </v>
      </c>
      <c r="O83" s="1042" t="str">
        <f>IFERROR(VLOOKUP(B83,Datos_Producto!$E$4:$EE$541,115,FALSE)," ")</f>
        <v xml:space="preserve"> </v>
      </c>
      <c r="P83" s="996" t="str">
        <f t="shared" si="0"/>
        <v xml:space="preserve"> </v>
      </c>
    </row>
    <row r="84" spans="2:16" ht="22.5" customHeight="1">
      <c r="B84" s="991">
        <f>HLOOKUP($B$20,Datos_Producto!$I$559:$AI$635,55,FALSE)</f>
        <v>0</v>
      </c>
      <c r="C84" s="1514" t="str">
        <f>IFERROR(VLOOKUP(B84,Datos_Producto!$E$4:$EE$541,6,FALSE)," ")</f>
        <v xml:space="preserve"> </v>
      </c>
      <c r="D84" s="1514"/>
      <c r="E84" s="1514"/>
      <c r="F84" s="1514"/>
      <c r="G84" s="1514"/>
      <c r="H84" s="1514"/>
      <c r="I84" s="1514"/>
      <c r="J84" s="1514"/>
      <c r="K84" s="1514"/>
      <c r="L84" s="1514"/>
      <c r="M84" s="1514"/>
      <c r="N84" s="1042" t="str">
        <f>IFERROR(VLOOKUP(B84,Datos_Producto!$E$4:$EE$541,13,FALSE), " ")</f>
        <v xml:space="preserve"> </v>
      </c>
      <c r="O84" s="1042" t="str">
        <f>IFERROR(VLOOKUP(B84,Datos_Producto!$E$4:$EE$541,115,FALSE)," ")</f>
        <v xml:space="preserve"> </v>
      </c>
      <c r="P84" s="996" t="str">
        <f t="shared" si="0"/>
        <v xml:space="preserve"> </v>
      </c>
    </row>
    <row r="85" spans="2:16" ht="22.5" customHeight="1">
      <c r="B85" s="991">
        <f>HLOOKUP($B$20,Datos_Producto!$I$559:$AI$635,56,FALSE)</f>
        <v>0</v>
      </c>
      <c r="C85" s="1514" t="str">
        <f>IFERROR(VLOOKUP(B85,Datos_Producto!$E$4:$EE$541,6,FALSE)," ")</f>
        <v xml:space="preserve"> </v>
      </c>
      <c r="D85" s="1514"/>
      <c r="E85" s="1514"/>
      <c r="F85" s="1514"/>
      <c r="G85" s="1514"/>
      <c r="H85" s="1514"/>
      <c r="I85" s="1514"/>
      <c r="J85" s="1514"/>
      <c r="K85" s="1514"/>
      <c r="L85" s="1514"/>
      <c r="M85" s="1514"/>
      <c r="N85" s="1042" t="str">
        <f>IFERROR(VLOOKUP(B85,Datos_Producto!$E$4:$EE$541,13,FALSE), " ")</f>
        <v xml:space="preserve"> </v>
      </c>
      <c r="O85" s="1042" t="str">
        <f>IFERROR(VLOOKUP(B85,Datos_Producto!$E$4:$EE$541,115,FALSE)," ")</f>
        <v xml:space="preserve"> </v>
      </c>
      <c r="P85" s="996" t="str">
        <f t="shared" si="0"/>
        <v xml:space="preserve"> </v>
      </c>
    </row>
    <row r="86" spans="2:16" ht="22.5" customHeight="1">
      <c r="B86" s="991">
        <f>HLOOKUP($B$20,Datos_Producto!$I$559:$AI$635,57,FALSE)</f>
        <v>0</v>
      </c>
      <c r="C86" s="1514" t="str">
        <f>IFERROR(VLOOKUP(B86,Datos_Producto!$E$4:$EE$541,6,FALSE)," ")</f>
        <v xml:space="preserve"> </v>
      </c>
      <c r="D86" s="1514"/>
      <c r="E86" s="1514"/>
      <c r="F86" s="1514"/>
      <c r="G86" s="1514"/>
      <c r="H86" s="1514"/>
      <c r="I86" s="1514"/>
      <c r="J86" s="1514"/>
      <c r="K86" s="1514"/>
      <c r="L86" s="1514"/>
      <c r="M86" s="1514"/>
      <c r="N86" s="1042" t="str">
        <f>IFERROR(VLOOKUP(B86,Datos_Producto!$E$4:$EE$541,13,FALSE), " ")</f>
        <v xml:space="preserve"> </v>
      </c>
      <c r="O86" s="1042" t="str">
        <f>IFERROR(VLOOKUP(B86,Datos_Producto!$E$4:$EE$541,115,FALSE)," ")</f>
        <v xml:space="preserve"> </v>
      </c>
      <c r="P86" s="996" t="str">
        <f t="shared" si="0"/>
        <v xml:space="preserve"> </v>
      </c>
    </row>
    <row r="87" spans="2:16" ht="22.5" customHeight="1">
      <c r="B87" s="991">
        <f>HLOOKUP($B$20,Datos_Producto!$I$559:$AI$635,58,FALSE)</f>
        <v>0</v>
      </c>
      <c r="C87" s="1514" t="str">
        <f>IFERROR(VLOOKUP(B87,Datos_Producto!$E$4:$EE$541,6,FALSE)," ")</f>
        <v xml:space="preserve"> </v>
      </c>
      <c r="D87" s="1514"/>
      <c r="E87" s="1514"/>
      <c r="F87" s="1514"/>
      <c r="G87" s="1514"/>
      <c r="H87" s="1514"/>
      <c r="I87" s="1514"/>
      <c r="J87" s="1514"/>
      <c r="K87" s="1514"/>
      <c r="L87" s="1514"/>
      <c r="M87" s="1514"/>
      <c r="N87" s="1042" t="str">
        <f>IFERROR(VLOOKUP(B87,Datos_Producto!$E$4:$EE$541,13,FALSE), " ")</f>
        <v xml:space="preserve"> </v>
      </c>
      <c r="O87" s="1042" t="str">
        <f>IFERROR(VLOOKUP(B87,Datos_Producto!$E$4:$EE$541,115,FALSE)," ")</f>
        <v xml:space="preserve"> </v>
      </c>
      <c r="P87" s="996" t="str">
        <f t="shared" si="0"/>
        <v xml:space="preserve"> </v>
      </c>
    </row>
    <row r="88" spans="2:16" ht="22.5" customHeight="1">
      <c r="B88" s="991">
        <f>HLOOKUP($B$20,Datos_Producto!$I$559:$AI$635,59,FALSE)</f>
        <v>0</v>
      </c>
      <c r="C88" s="1514" t="str">
        <f>IFERROR(VLOOKUP(B88,Datos_Producto!$E$4:$EE$541,6,FALSE)," ")</f>
        <v xml:space="preserve"> </v>
      </c>
      <c r="D88" s="1514"/>
      <c r="E88" s="1514"/>
      <c r="F88" s="1514"/>
      <c r="G88" s="1514"/>
      <c r="H88" s="1514"/>
      <c r="I88" s="1514"/>
      <c r="J88" s="1514"/>
      <c r="K88" s="1514"/>
      <c r="L88" s="1514"/>
      <c r="M88" s="1514"/>
      <c r="N88" s="1042" t="str">
        <f>IFERROR(VLOOKUP(B88,Datos_Producto!$E$4:$EE$541,13,FALSE), " ")</f>
        <v xml:space="preserve"> </v>
      </c>
      <c r="O88" s="1042" t="str">
        <f>IFERROR(VLOOKUP(B88,Datos_Producto!$E$4:$EE$541,115,FALSE)," ")</f>
        <v xml:space="preserve"> </v>
      </c>
      <c r="P88" s="996" t="str">
        <f t="shared" si="0"/>
        <v xml:space="preserve"> </v>
      </c>
    </row>
    <row r="89" spans="2:16" ht="22.5" customHeight="1">
      <c r="B89" s="991">
        <f>HLOOKUP($B$20,Datos_Producto!$I$559:$AI$635,60,FALSE)</f>
        <v>0</v>
      </c>
      <c r="C89" s="1514" t="str">
        <f>IFERROR(VLOOKUP(B89,Datos_Producto!$E$4:$EE$541,6,FALSE)," ")</f>
        <v xml:space="preserve"> </v>
      </c>
      <c r="D89" s="1514"/>
      <c r="E89" s="1514"/>
      <c r="F89" s="1514"/>
      <c r="G89" s="1514"/>
      <c r="H89" s="1514"/>
      <c r="I89" s="1514"/>
      <c r="J89" s="1514"/>
      <c r="K89" s="1514"/>
      <c r="L89" s="1514"/>
      <c r="M89" s="1514"/>
      <c r="N89" s="1042" t="str">
        <f>IFERROR(VLOOKUP(B89,Datos_Producto!$E$4:$EE$541,13,FALSE), " ")</f>
        <v xml:space="preserve"> </v>
      </c>
      <c r="O89" s="1042" t="str">
        <f>IFERROR(VLOOKUP(B89,Datos_Producto!$E$4:$EE$541,115,FALSE)," ")</f>
        <v xml:space="preserve"> </v>
      </c>
      <c r="P89" s="996" t="str">
        <f t="shared" si="0"/>
        <v xml:space="preserve"> </v>
      </c>
    </row>
    <row r="90" spans="2:16" ht="22.5" customHeight="1">
      <c r="B90" s="991">
        <f>HLOOKUP($B$20,Datos_Producto!$I$559:$AI$635,61,FALSE)</f>
        <v>0</v>
      </c>
      <c r="C90" s="1514" t="str">
        <f>IFERROR(VLOOKUP(B90,Datos_Producto!$E$4:$EE$541,6,FALSE)," ")</f>
        <v xml:space="preserve"> </v>
      </c>
      <c r="D90" s="1514"/>
      <c r="E90" s="1514"/>
      <c r="F90" s="1514"/>
      <c r="G90" s="1514"/>
      <c r="H90" s="1514"/>
      <c r="I90" s="1514"/>
      <c r="J90" s="1514"/>
      <c r="K90" s="1514"/>
      <c r="L90" s="1514"/>
      <c r="M90" s="1514"/>
      <c r="N90" s="1042" t="str">
        <f>IFERROR(VLOOKUP(B90,Datos_Producto!$E$4:$EE$541,13,FALSE), " ")</f>
        <v xml:space="preserve"> </v>
      </c>
      <c r="O90" s="1042" t="str">
        <f>IFERROR(VLOOKUP(B90,Datos_Producto!$E$4:$EE$541,115,FALSE)," ")</f>
        <v xml:space="preserve"> </v>
      </c>
      <c r="P90" s="996" t="str">
        <f t="shared" si="0"/>
        <v xml:space="preserve"> </v>
      </c>
    </row>
    <row r="91" spans="2:16" ht="22.5" customHeight="1">
      <c r="B91" s="991">
        <f>HLOOKUP($B$20,Datos_Producto!$I$559:$AI$635,62,FALSE)</f>
        <v>0</v>
      </c>
      <c r="C91" s="1514" t="str">
        <f>IFERROR(VLOOKUP(B91,Datos_Producto!$E$4:$EE$541,6,FALSE)," ")</f>
        <v xml:space="preserve"> </v>
      </c>
      <c r="D91" s="1514"/>
      <c r="E91" s="1514"/>
      <c r="F91" s="1514"/>
      <c r="G91" s="1514"/>
      <c r="H91" s="1514"/>
      <c r="I91" s="1514"/>
      <c r="J91" s="1514"/>
      <c r="K91" s="1514"/>
      <c r="L91" s="1514"/>
      <c r="M91" s="1514"/>
      <c r="N91" s="1042" t="str">
        <f>IFERROR(VLOOKUP(B91,Datos_Producto!$E$4:$EE$541,13,FALSE), " ")</f>
        <v xml:space="preserve"> </v>
      </c>
      <c r="O91" s="1042" t="str">
        <f>IFERROR(VLOOKUP(B91,Datos_Producto!$E$4:$EE$541,115,FALSE)," ")</f>
        <v xml:space="preserve"> </v>
      </c>
      <c r="P91" s="996" t="str">
        <f t="shared" si="0"/>
        <v xml:space="preserve"> </v>
      </c>
    </row>
    <row r="92" spans="2:16" ht="22.5" customHeight="1">
      <c r="B92" s="991">
        <f>HLOOKUP($B$20,Datos_Producto!$I$559:$AI$635,63,FALSE)</f>
        <v>0</v>
      </c>
      <c r="C92" s="1514" t="str">
        <f>IFERROR(VLOOKUP(B92,Datos_Producto!$E$4:$EE$541,6,FALSE)," ")</f>
        <v xml:space="preserve"> </v>
      </c>
      <c r="D92" s="1514"/>
      <c r="E92" s="1514"/>
      <c r="F92" s="1514"/>
      <c r="G92" s="1514"/>
      <c r="H92" s="1514"/>
      <c r="I92" s="1514"/>
      <c r="J92" s="1514"/>
      <c r="K92" s="1514"/>
      <c r="L92" s="1514"/>
      <c r="M92" s="1514"/>
      <c r="N92" s="1042" t="str">
        <f>IFERROR(VLOOKUP(B92,Datos_Producto!$E$4:$EE$541,13,FALSE), " ")</f>
        <v xml:space="preserve"> </v>
      </c>
      <c r="O92" s="1042" t="str">
        <f>IFERROR(VLOOKUP(B92,Datos_Producto!$E$4:$EE$541,115,FALSE)," ")</f>
        <v xml:space="preserve"> </v>
      </c>
      <c r="P92" s="996" t="str">
        <f t="shared" si="0"/>
        <v xml:space="preserve"> </v>
      </c>
    </row>
    <row r="93" spans="2:16" ht="22.5" customHeight="1">
      <c r="B93" s="991">
        <f>HLOOKUP($B$20,Datos_Producto!$I$559:$AI$635,64,FALSE)</f>
        <v>0</v>
      </c>
      <c r="C93" s="1514" t="str">
        <f>IFERROR(VLOOKUP(B93,Datos_Producto!$E$4:$EE$541,6,FALSE)," ")</f>
        <v xml:space="preserve"> </v>
      </c>
      <c r="D93" s="1514"/>
      <c r="E93" s="1514"/>
      <c r="F93" s="1514"/>
      <c r="G93" s="1514"/>
      <c r="H93" s="1514"/>
      <c r="I93" s="1514"/>
      <c r="J93" s="1514"/>
      <c r="K93" s="1514"/>
      <c r="L93" s="1514"/>
      <c r="M93" s="1514"/>
      <c r="N93" s="1042" t="str">
        <f>IFERROR(VLOOKUP(B93,Datos_Producto!$E$4:$EE$541,13,FALSE), " ")</f>
        <v xml:space="preserve"> </v>
      </c>
      <c r="O93" s="1042" t="str">
        <f>IFERROR(VLOOKUP(B93,Datos_Producto!$E$4:$EE$541,115,FALSE)," ")</f>
        <v xml:space="preserve"> </v>
      </c>
      <c r="P93" s="996" t="str">
        <f t="shared" si="0"/>
        <v xml:space="preserve"> </v>
      </c>
    </row>
    <row r="94" spans="2:16" ht="22.5" customHeight="1">
      <c r="B94" s="991">
        <f>HLOOKUP($B$20,Datos_Producto!$I$559:$AI$635,65,FALSE)</f>
        <v>0</v>
      </c>
      <c r="C94" s="1514" t="str">
        <f>IFERROR(VLOOKUP(B94,Datos_Producto!$E$4:$EE$541,6,FALSE)," ")</f>
        <v xml:space="preserve"> </v>
      </c>
      <c r="D94" s="1514"/>
      <c r="E94" s="1514"/>
      <c r="F94" s="1514"/>
      <c r="G94" s="1514"/>
      <c r="H94" s="1514"/>
      <c r="I94" s="1514"/>
      <c r="J94" s="1514"/>
      <c r="K94" s="1514"/>
      <c r="L94" s="1514"/>
      <c r="M94" s="1514"/>
      <c r="N94" s="1042" t="str">
        <f>IFERROR(VLOOKUP(B94,Datos_Producto!$E$4:$EE$541,13,FALSE), " ")</f>
        <v xml:space="preserve"> </v>
      </c>
      <c r="O94" s="1042" t="str">
        <f>IFERROR(VLOOKUP(B94,Datos_Producto!$E$4:$EE$541,115,FALSE)," ")</f>
        <v xml:space="preserve"> </v>
      </c>
      <c r="P94" s="996" t="str">
        <f t="shared" si="0"/>
        <v xml:space="preserve"> </v>
      </c>
    </row>
    <row r="95" spans="2:16" ht="22.5" customHeight="1">
      <c r="B95" s="991">
        <f>HLOOKUP($B$20,Datos_Producto!$I$559:$AI$635,66,FALSE)</f>
        <v>0</v>
      </c>
      <c r="C95" s="1514" t="str">
        <f>IFERROR(VLOOKUP(B95,Datos_Producto!$E$4:$EE$541,6,FALSE)," ")</f>
        <v xml:space="preserve"> </v>
      </c>
      <c r="D95" s="1514"/>
      <c r="E95" s="1514"/>
      <c r="F95" s="1514"/>
      <c r="G95" s="1514"/>
      <c r="H95" s="1514"/>
      <c r="I95" s="1514"/>
      <c r="J95" s="1514"/>
      <c r="K95" s="1514"/>
      <c r="L95" s="1514"/>
      <c r="M95" s="1514"/>
      <c r="N95" s="1042" t="str">
        <f>IFERROR(VLOOKUP(B95,Datos_Producto!$E$4:$EE$541,13,FALSE), " ")</f>
        <v xml:space="preserve"> </v>
      </c>
      <c r="O95" s="1042" t="str">
        <f>IFERROR(VLOOKUP(B95,Datos_Producto!$E$4:$EE$541,115,FALSE)," ")</f>
        <v xml:space="preserve"> </v>
      </c>
      <c r="P95" s="996" t="str">
        <f t="shared" si="0"/>
        <v xml:space="preserve"> </v>
      </c>
    </row>
    <row r="96" spans="2:16" ht="22.5" customHeight="1">
      <c r="B96" s="991">
        <f>HLOOKUP($B$20,Datos_Producto!$I$559:$AI$635,67,FALSE)</f>
        <v>0</v>
      </c>
      <c r="C96" s="1514" t="str">
        <f>IFERROR(VLOOKUP(B96,Datos_Producto!$E$4:$EE$541,6,FALSE)," ")</f>
        <v xml:space="preserve"> </v>
      </c>
      <c r="D96" s="1514"/>
      <c r="E96" s="1514"/>
      <c r="F96" s="1514"/>
      <c r="G96" s="1514"/>
      <c r="H96" s="1514"/>
      <c r="I96" s="1514"/>
      <c r="J96" s="1514"/>
      <c r="K96" s="1514"/>
      <c r="L96" s="1514"/>
      <c r="M96" s="1514"/>
      <c r="N96" s="1042" t="str">
        <f>IFERROR(VLOOKUP(B96,Datos_Producto!$E$4:$EE$541,13,FALSE), " ")</f>
        <v xml:space="preserve"> </v>
      </c>
      <c r="O96" s="1042" t="str">
        <f>IFERROR(VLOOKUP(B96,Datos_Producto!$E$4:$EE$541,115,FALSE)," ")</f>
        <v xml:space="preserve"> </v>
      </c>
      <c r="P96" s="996" t="str">
        <f t="shared" ref="P96:P106" si="1">IFERROR((+O96/N96), " ")</f>
        <v xml:space="preserve"> </v>
      </c>
    </row>
    <row r="97" spans="2:16" ht="22.5" customHeight="1">
      <c r="B97" s="991">
        <f>HLOOKUP($B$20,Datos_Producto!$I$559:$AI$635,68,FALSE)</f>
        <v>0</v>
      </c>
      <c r="C97" s="1514" t="str">
        <f>IFERROR(VLOOKUP(B97,Datos_Producto!$E$4:$EE$541,6,FALSE)," ")</f>
        <v xml:space="preserve"> </v>
      </c>
      <c r="D97" s="1514"/>
      <c r="E97" s="1514"/>
      <c r="F97" s="1514"/>
      <c r="G97" s="1514"/>
      <c r="H97" s="1514"/>
      <c r="I97" s="1514"/>
      <c r="J97" s="1514"/>
      <c r="K97" s="1514"/>
      <c r="L97" s="1514"/>
      <c r="M97" s="1514"/>
      <c r="N97" s="1042" t="str">
        <f>IFERROR(VLOOKUP(B97,Datos_Producto!$E$4:$EE$541,13,FALSE), " ")</f>
        <v xml:space="preserve"> </v>
      </c>
      <c r="O97" s="1042" t="str">
        <f>IFERROR(VLOOKUP(B97,Datos_Producto!$E$4:$EE$541,115,FALSE)," ")</f>
        <v xml:space="preserve"> </v>
      </c>
      <c r="P97" s="996" t="str">
        <f t="shared" si="1"/>
        <v xml:space="preserve"> </v>
      </c>
    </row>
    <row r="98" spans="2:16" ht="22.5" customHeight="1">
      <c r="B98" s="991">
        <f>HLOOKUP($B$20,Datos_Producto!$I$559:$AI$635,69,FALSE)</f>
        <v>0</v>
      </c>
      <c r="C98" s="1514" t="str">
        <f>IFERROR(VLOOKUP(B98,Datos_Producto!$E$4:$EE$541,6,FALSE)," ")</f>
        <v xml:space="preserve"> </v>
      </c>
      <c r="D98" s="1514"/>
      <c r="E98" s="1514"/>
      <c r="F98" s="1514"/>
      <c r="G98" s="1514"/>
      <c r="H98" s="1514"/>
      <c r="I98" s="1514"/>
      <c r="J98" s="1514"/>
      <c r="K98" s="1514"/>
      <c r="L98" s="1514"/>
      <c r="M98" s="1514"/>
      <c r="N98" s="1042" t="str">
        <f>IFERROR(VLOOKUP(B98,Datos_Producto!$E$4:$EE$541,13,FALSE), " ")</f>
        <v xml:space="preserve"> </v>
      </c>
      <c r="O98" s="1042" t="str">
        <f>IFERROR(VLOOKUP(B98,Datos_Producto!$E$4:$EE$541,115,FALSE)," ")</f>
        <v xml:space="preserve"> </v>
      </c>
      <c r="P98" s="996" t="str">
        <f t="shared" si="1"/>
        <v xml:space="preserve"> </v>
      </c>
    </row>
    <row r="99" spans="2:16" ht="22.5" customHeight="1">
      <c r="B99" s="991">
        <f>HLOOKUP($B$20,Datos_Producto!$I$559:$AI$635,70,FALSE)</f>
        <v>0</v>
      </c>
      <c r="C99" s="1514" t="str">
        <f>IFERROR(VLOOKUP(B99,Datos_Producto!$E$4:$EE$541,6,FALSE)," ")</f>
        <v xml:space="preserve"> </v>
      </c>
      <c r="D99" s="1514"/>
      <c r="E99" s="1514"/>
      <c r="F99" s="1514"/>
      <c r="G99" s="1514"/>
      <c r="H99" s="1514"/>
      <c r="I99" s="1514"/>
      <c r="J99" s="1514"/>
      <c r="K99" s="1514"/>
      <c r="L99" s="1514"/>
      <c r="M99" s="1514"/>
      <c r="N99" s="1042" t="str">
        <f>IFERROR(VLOOKUP(B99,Datos_Producto!$E$4:$EE$541,13,FALSE), " ")</f>
        <v xml:space="preserve"> </v>
      </c>
      <c r="O99" s="1042" t="str">
        <f>IFERROR(VLOOKUP(B99,Datos_Producto!$E$4:$EE$541,115,FALSE)," ")</f>
        <v xml:space="preserve"> </v>
      </c>
      <c r="P99" s="996" t="str">
        <f t="shared" si="1"/>
        <v xml:space="preserve"> </v>
      </c>
    </row>
    <row r="100" spans="2:16" ht="22.5" customHeight="1">
      <c r="B100" s="991">
        <f>HLOOKUP($B$20,Datos_Producto!$I$559:$AI$635,71,FALSE)</f>
        <v>0</v>
      </c>
      <c r="C100" s="1514" t="str">
        <f>IFERROR(VLOOKUP(B100,Datos_Producto!$E$4:$EE$541,6,FALSE)," ")</f>
        <v xml:space="preserve"> </v>
      </c>
      <c r="D100" s="1514"/>
      <c r="E100" s="1514"/>
      <c r="F100" s="1514"/>
      <c r="G100" s="1514"/>
      <c r="H100" s="1514"/>
      <c r="I100" s="1514"/>
      <c r="J100" s="1514"/>
      <c r="K100" s="1514"/>
      <c r="L100" s="1514"/>
      <c r="M100" s="1514"/>
      <c r="N100" s="1042" t="str">
        <f>IFERROR(VLOOKUP(B100,Datos_Producto!$E$4:$EE$541,13,FALSE), " ")</f>
        <v xml:space="preserve"> </v>
      </c>
      <c r="O100" s="1042" t="str">
        <f>IFERROR(VLOOKUP(B100,Datos_Producto!$E$4:$EE$541,115,FALSE)," ")</f>
        <v xml:space="preserve"> </v>
      </c>
      <c r="P100" s="996" t="str">
        <f t="shared" si="1"/>
        <v xml:space="preserve"> </v>
      </c>
    </row>
    <row r="101" spans="2:16" ht="22.5" customHeight="1">
      <c r="B101" s="991">
        <f>HLOOKUP($B$20,Datos_Producto!$I$559:$AI$635,72,FALSE)</f>
        <v>0</v>
      </c>
      <c r="C101" s="1514" t="str">
        <f>IFERROR(VLOOKUP(B101,Datos_Producto!$E$4:$EE$541,6,FALSE)," ")</f>
        <v xml:space="preserve"> </v>
      </c>
      <c r="D101" s="1514"/>
      <c r="E101" s="1514"/>
      <c r="F101" s="1514"/>
      <c r="G101" s="1514"/>
      <c r="H101" s="1514"/>
      <c r="I101" s="1514"/>
      <c r="J101" s="1514"/>
      <c r="K101" s="1514"/>
      <c r="L101" s="1514"/>
      <c r="M101" s="1514"/>
      <c r="N101" s="1042" t="str">
        <f>IFERROR(VLOOKUP(B101,Datos_Producto!$E$4:$EE$541,13,FALSE), " ")</f>
        <v xml:space="preserve"> </v>
      </c>
      <c r="O101" s="1042" t="str">
        <f>IFERROR(VLOOKUP(B101,Datos_Producto!$E$4:$EE$541,115,FALSE)," ")</f>
        <v xml:space="preserve"> </v>
      </c>
      <c r="P101" s="996" t="str">
        <f t="shared" si="1"/>
        <v xml:space="preserve"> </v>
      </c>
    </row>
    <row r="102" spans="2:16" ht="22.5" customHeight="1">
      <c r="B102" s="991">
        <f>HLOOKUP($B$20,Datos_Producto!$I$559:$AI$635,73,FALSE)</f>
        <v>0</v>
      </c>
      <c r="C102" s="1514" t="str">
        <f>IFERROR(VLOOKUP(B102,Datos_Producto!$E$4:$EE$541,6,FALSE)," ")</f>
        <v xml:space="preserve"> </v>
      </c>
      <c r="D102" s="1514"/>
      <c r="E102" s="1514"/>
      <c r="F102" s="1514"/>
      <c r="G102" s="1514"/>
      <c r="H102" s="1514"/>
      <c r="I102" s="1514"/>
      <c r="J102" s="1514"/>
      <c r="K102" s="1514"/>
      <c r="L102" s="1514"/>
      <c r="M102" s="1514"/>
      <c r="N102" s="1042" t="str">
        <f>IFERROR(VLOOKUP(B102,Datos_Producto!$E$4:$EE$541,13,FALSE), " ")</f>
        <v xml:space="preserve"> </v>
      </c>
      <c r="O102" s="1042" t="str">
        <f>IFERROR(VLOOKUP(B102,Datos_Producto!$E$4:$EE$541,115,FALSE)," ")</f>
        <v xml:space="preserve"> </v>
      </c>
      <c r="P102" s="996" t="str">
        <f t="shared" si="1"/>
        <v xml:space="preserve"> </v>
      </c>
    </row>
    <row r="103" spans="2:16" ht="22.5" customHeight="1">
      <c r="B103" s="991">
        <f>HLOOKUP($B$20,Datos_Producto!$I$559:$AI$635,74,FALSE)</f>
        <v>0</v>
      </c>
      <c r="C103" s="1514" t="str">
        <f>IFERROR(VLOOKUP(B103,Datos_Producto!$E$4:$EE$541,6,FALSE)," ")</f>
        <v xml:space="preserve"> </v>
      </c>
      <c r="D103" s="1514"/>
      <c r="E103" s="1514"/>
      <c r="F103" s="1514"/>
      <c r="G103" s="1514"/>
      <c r="H103" s="1514"/>
      <c r="I103" s="1514"/>
      <c r="J103" s="1514"/>
      <c r="K103" s="1514"/>
      <c r="L103" s="1514"/>
      <c r="M103" s="1514"/>
      <c r="N103" s="1042" t="str">
        <f>IFERROR(VLOOKUP(B103,Datos_Producto!$E$4:$EE$541,13,FALSE), " ")</f>
        <v xml:space="preserve"> </v>
      </c>
      <c r="O103" s="1042" t="str">
        <f>IFERROR(VLOOKUP(B103,Datos_Producto!$E$4:$EE$541,115,FALSE)," ")</f>
        <v xml:space="preserve"> </v>
      </c>
      <c r="P103" s="996" t="str">
        <f t="shared" si="1"/>
        <v xml:space="preserve"> </v>
      </c>
    </row>
    <row r="104" spans="2:16" ht="22.5" customHeight="1">
      <c r="B104" s="991">
        <f>HLOOKUP($B$20,Datos_Producto!$I$559:$AI$635,75,FALSE)</f>
        <v>0</v>
      </c>
      <c r="C104" s="1514" t="str">
        <f>IFERROR(VLOOKUP(B104,Datos_Producto!$E$4:$EE$541,6,FALSE)," ")</f>
        <v xml:space="preserve"> </v>
      </c>
      <c r="D104" s="1514"/>
      <c r="E104" s="1514"/>
      <c r="F104" s="1514"/>
      <c r="G104" s="1514"/>
      <c r="H104" s="1514"/>
      <c r="I104" s="1514"/>
      <c r="J104" s="1514"/>
      <c r="K104" s="1514"/>
      <c r="L104" s="1514"/>
      <c r="M104" s="1514"/>
      <c r="N104" s="1042" t="str">
        <f>IFERROR(VLOOKUP(B104,Datos_Producto!$E$4:$EE$541,13,FALSE), " ")</f>
        <v xml:space="preserve"> </v>
      </c>
      <c r="O104" s="1042" t="str">
        <f>IFERROR(VLOOKUP(B104,Datos_Producto!$E$4:$EE$541,115,FALSE)," ")</f>
        <v xml:space="preserve"> </v>
      </c>
      <c r="P104" s="996" t="str">
        <f t="shared" si="1"/>
        <v xml:space="preserve"> </v>
      </c>
    </row>
    <row r="105" spans="2:16" ht="22.5" customHeight="1">
      <c r="B105" s="991">
        <f>HLOOKUP($B$20,Datos_Producto!$I$559:$AI$635,76,FALSE)</f>
        <v>0</v>
      </c>
      <c r="C105" s="1514" t="str">
        <f>IFERROR(VLOOKUP(B105,Datos_Producto!$E$4:$EE$541,6,FALSE)," ")</f>
        <v xml:space="preserve"> </v>
      </c>
      <c r="D105" s="1514"/>
      <c r="E105" s="1514"/>
      <c r="F105" s="1514"/>
      <c r="G105" s="1514"/>
      <c r="H105" s="1514"/>
      <c r="I105" s="1514"/>
      <c r="J105" s="1514"/>
      <c r="K105" s="1514"/>
      <c r="L105" s="1514"/>
      <c r="M105" s="1514"/>
      <c r="N105" s="1042" t="str">
        <f>IFERROR(VLOOKUP(B105,Datos_Producto!$E$4:$EE$541,13,FALSE), " ")</f>
        <v xml:space="preserve"> </v>
      </c>
      <c r="O105" s="1042" t="str">
        <f>IFERROR(VLOOKUP(B105,Datos_Producto!$E$4:$EE$541,115,FALSE)," ")</f>
        <v xml:space="preserve"> </v>
      </c>
      <c r="P105" s="996" t="str">
        <f t="shared" si="1"/>
        <v xml:space="preserve"> </v>
      </c>
    </row>
    <row r="106" spans="2:16" ht="22.5" customHeight="1">
      <c r="B106" s="991">
        <f>HLOOKUP($B$20,Datos_Producto!$I$559:$AI$635,77,FALSE)</f>
        <v>0</v>
      </c>
      <c r="C106" s="1514" t="str">
        <f>IFERROR(VLOOKUP(B106,Datos_Producto!$E$4:$EE$541,6,FALSE)," ")</f>
        <v xml:space="preserve"> </v>
      </c>
      <c r="D106" s="1514"/>
      <c r="E106" s="1514"/>
      <c r="F106" s="1514"/>
      <c r="G106" s="1514"/>
      <c r="H106" s="1514"/>
      <c r="I106" s="1514"/>
      <c r="J106" s="1514"/>
      <c r="K106" s="1514"/>
      <c r="L106" s="1514"/>
      <c r="M106" s="1514"/>
      <c r="N106" s="1042" t="str">
        <f>IFERROR(VLOOKUP(B106,Datos_Producto!$E$4:$EE$541,13,FALSE), " ")</f>
        <v xml:space="preserve"> </v>
      </c>
      <c r="O106" s="1042" t="str">
        <f>IFERROR(VLOOKUP(B106,Datos_Producto!$E$4:$EE$541,115,FALSE)," ")</f>
        <v xml:space="preserve"> </v>
      </c>
      <c r="P106" s="996" t="str">
        <f t="shared" si="1"/>
        <v xml:space="preserve"> </v>
      </c>
    </row>
    <row r="107" spans="2:16" ht="12.75" customHeight="1">
      <c r="B107" s="992"/>
      <c r="P107" s="995"/>
    </row>
  </sheetData>
  <sheetProtection algorithmName="SHA-512" hashValue="AdT0HRvjGIYVGliv5nDEhxia3GfrQPvG8jiqSczQ344tgj6bUq+itD4EGnuzH9CAz4bQv54lUiGj8vUFO/HOeQ==" saltValue="Zc5HD1kRR5HNN44GHXpv1g==" spinCount="100000" sheet="1" objects="1" scenarios="1" formatCells="0" formatColumns="0" formatRows="0" insertColumns="0"/>
  <dataConsolidate/>
  <mergeCells count="94">
    <mergeCell ref="B21:C21"/>
    <mergeCell ref="A19:G19"/>
    <mergeCell ref="O12:P12"/>
    <mergeCell ref="O13:P13"/>
    <mergeCell ref="B1:P1"/>
    <mergeCell ref="B2:P2"/>
    <mergeCell ref="E3:O3"/>
    <mergeCell ref="C8:D8"/>
    <mergeCell ref="E5:O5"/>
    <mergeCell ref="B11:P11"/>
    <mergeCell ref="E8:L8"/>
    <mergeCell ref="C41:M41"/>
    <mergeCell ref="C42:M42"/>
    <mergeCell ref="B28:P28"/>
    <mergeCell ref="N21:P21"/>
    <mergeCell ref="C36:M36"/>
    <mergeCell ref="C37:M37"/>
    <mergeCell ref="C38:M38"/>
    <mergeCell ref="C39:M39"/>
    <mergeCell ref="C40:M40"/>
    <mergeCell ref="C31:M31"/>
    <mergeCell ref="C32:M32"/>
    <mergeCell ref="C33:M33"/>
    <mergeCell ref="C34:M34"/>
    <mergeCell ref="C35:M35"/>
    <mergeCell ref="B24:C24"/>
    <mergeCell ref="B22:C22"/>
    <mergeCell ref="C43:M43"/>
    <mergeCell ref="C44:M44"/>
    <mergeCell ref="C45:M45"/>
    <mergeCell ref="C46:M46"/>
    <mergeCell ref="C47:M47"/>
    <mergeCell ref="C48:M48"/>
    <mergeCell ref="C49:M49"/>
    <mergeCell ref="C50:M50"/>
    <mergeCell ref="C51:M51"/>
    <mergeCell ref="C52:M52"/>
    <mergeCell ref="C53:M53"/>
    <mergeCell ref="C54:M54"/>
    <mergeCell ref="C55:M55"/>
    <mergeCell ref="C56:M56"/>
    <mergeCell ref="C57:M57"/>
    <mergeCell ref="C58:M58"/>
    <mergeCell ref="C59:M59"/>
    <mergeCell ref="C60:M60"/>
    <mergeCell ref="C61:M61"/>
    <mergeCell ref="C62:M62"/>
    <mergeCell ref="C63:M63"/>
    <mergeCell ref="C64:M64"/>
    <mergeCell ref="C65:M65"/>
    <mergeCell ref="C66:M66"/>
    <mergeCell ref="C67:M67"/>
    <mergeCell ref="C68:M68"/>
    <mergeCell ref="C69:M69"/>
    <mergeCell ref="C70:M70"/>
    <mergeCell ref="C71:M71"/>
    <mergeCell ref="C72:M72"/>
    <mergeCell ref="C73:M73"/>
    <mergeCell ref="C74:M74"/>
    <mergeCell ref="C75:M75"/>
    <mergeCell ref="C76:M76"/>
    <mergeCell ref="C77:M77"/>
    <mergeCell ref="C104:M104"/>
    <mergeCell ref="C105:M105"/>
    <mergeCell ref="C106:M106"/>
    <mergeCell ref="N30:P30"/>
    <mergeCell ref="C30:M30"/>
    <mergeCell ref="C98:M98"/>
    <mergeCell ref="C99:M99"/>
    <mergeCell ref="C100:M100"/>
    <mergeCell ref="C101:M101"/>
    <mergeCell ref="C102:M102"/>
    <mergeCell ref="C93:M93"/>
    <mergeCell ref="C94:M94"/>
    <mergeCell ref="C95:M95"/>
    <mergeCell ref="C96:M96"/>
    <mergeCell ref="C97:M97"/>
    <mergeCell ref="C88:M88"/>
    <mergeCell ref="B23:C23"/>
    <mergeCell ref="C103:M103"/>
    <mergeCell ref="C89:M89"/>
    <mergeCell ref="C90:M90"/>
    <mergeCell ref="C91:M91"/>
    <mergeCell ref="C92:M92"/>
    <mergeCell ref="C83:M83"/>
    <mergeCell ref="C84:M84"/>
    <mergeCell ref="C85:M85"/>
    <mergeCell ref="C86:M86"/>
    <mergeCell ref="C87:M87"/>
    <mergeCell ref="C78:M78"/>
    <mergeCell ref="C79:M79"/>
    <mergeCell ref="C80:M80"/>
    <mergeCell ref="C81:M81"/>
    <mergeCell ref="C82:M82"/>
  </mergeCells>
  <conditionalFormatting sqref="P31:P106">
    <cfRule type="iconSet" priority="2">
      <iconSet iconSet="3Symbols">
        <cfvo type="percent" val="0"/>
        <cfvo type="num" val="0.6"/>
        <cfvo type="num" val="0.9"/>
      </iconSet>
    </cfRule>
    <cfRule type="dataBar" priority="5">
      <dataBar>
        <cfvo type="min"/>
        <cfvo type="max"/>
        <color theme="0" tint="-0.34998626667073579"/>
      </dataBar>
      <extLst>
        <ext xmlns:x14="http://schemas.microsoft.com/office/spreadsheetml/2009/9/main" uri="{B025F937-C7B1-47D3-B67F-A62EFF666E3E}">
          <x14:id>{DAEDB30E-88B8-43CA-840D-735F395D7D45}</x14:id>
        </ext>
      </extLst>
    </cfRule>
  </conditionalFormatting>
  <dataValidations count="5">
    <dataValidation type="list" allowBlank="1" showInputMessage="1" showErrorMessage="1" sqref="J65260 J982764 J130796 J196332 J261868 J327404 J392940 J458476 J524012 J589548 J655084 J720620 J786156 J851692 J917228">
      <formula1>INDIRECT(D$5)</formula1>
    </dataValidation>
    <dataValidation type="list" allowBlank="1" showInputMessage="1" showErrorMessage="1" sqref="P4 JJ4:JL4 TF4:TH4 ADB4:ADD4 AMX4:AMZ4 AWT4:AWV4 BGP4:BGR4 BQL4:BQN4 CAH4:CAJ4 CKD4:CKF4 CTZ4:CUB4 DDV4:DDX4 DNR4:DNT4 DXN4:DXP4 EHJ4:EHL4 ERF4:ERH4 FBB4:FBD4 FKX4:FKZ4 FUT4:FUV4 GEP4:GER4 GOL4:GON4 GYH4:GYJ4 HID4:HIF4 HRZ4:HSB4 IBV4:IBX4 ILR4:ILT4 IVN4:IVP4 JFJ4:JFL4 JPF4:JPH4 JZB4:JZD4 KIX4:KIZ4 KST4:KSV4 LCP4:LCR4 LML4:LMN4 LWH4:LWJ4 MGD4:MGF4 MPZ4:MQB4 MZV4:MZX4 NJR4:NJT4 NTN4:NTP4 ODJ4:ODL4 ONF4:ONH4 OXB4:OXD4 PGX4:PGZ4 PQT4:PQV4 QAP4:QAR4 QKL4:QKN4 QUH4:QUJ4 RED4:REF4 RNZ4:ROB4 RXV4:RXX4 SHR4:SHT4 SRN4:SRP4 TBJ4:TBL4 TLF4:TLH4 TVB4:TVD4 UEX4:UEZ4 UOT4:UOV4 UYP4:UYR4 VIL4:VIN4 VSH4:VSJ4 WCD4:WCF4 WLZ4:WMB4 WVV4:WVX4 P65259 JJ65259:JL65259 TF65259:TH65259 ADB65259:ADD65259 AMX65259:AMZ65259 AWT65259:AWV65259 BGP65259:BGR65259 BQL65259:BQN65259 CAH65259:CAJ65259 CKD65259:CKF65259 CTZ65259:CUB65259 DDV65259:DDX65259 DNR65259:DNT65259 DXN65259:DXP65259 EHJ65259:EHL65259 ERF65259:ERH65259 FBB65259:FBD65259 FKX65259:FKZ65259 FUT65259:FUV65259 GEP65259:GER65259 GOL65259:GON65259 GYH65259:GYJ65259 HID65259:HIF65259 HRZ65259:HSB65259 IBV65259:IBX65259 ILR65259:ILT65259 IVN65259:IVP65259 JFJ65259:JFL65259 JPF65259:JPH65259 JZB65259:JZD65259 KIX65259:KIZ65259 KST65259:KSV65259 LCP65259:LCR65259 LML65259:LMN65259 LWH65259:LWJ65259 MGD65259:MGF65259 MPZ65259:MQB65259 MZV65259:MZX65259 NJR65259:NJT65259 NTN65259:NTP65259 ODJ65259:ODL65259 ONF65259:ONH65259 OXB65259:OXD65259 PGX65259:PGZ65259 PQT65259:PQV65259 QAP65259:QAR65259 QKL65259:QKN65259 QUH65259:QUJ65259 RED65259:REF65259 RNZ65259:ROB65259 RXV65259:RXX65259 SHR65259:SHT65259 SRN65259:SRP65259 TBJ65259:TBL65259 TLF65259:TLH65259 TVB65259:TVD65259 UEX65259:UEZ65259 UOT65259:UOV65259 UYP65259:UYR65259 VIL65259:VIN65259 VSH65259:VSJ65259 WCD65259:WCF65259 WLZ65259:WMB65259 WVV65259:WVX65259 P130795 JJ130795:JL130795 TF130795:TH130795 ADB130795:ADD130795 AMX130795:AMZ130795 AWT130795:AWV130795 BGP130795:BGR130795 BQL130795:BQN130795 CAH130795:CAJ130795 CKD130795:CKF130795 CTZ130795:CUB130795 DDV130795:DDX130795 DNR130795:DNT130795 DXN130795:DXP130795 EHJ130795:EHL130795 ERF130795:ERH130795 FBB130795:FBD130795 FKX130795:FKZ130795 FUT130795:FUV130795 GEP130795:GER130795 GOL130795:GON130795 GYH130795:GYJ130795 HID130795:HIF130795 HRZ130795:HSB130795 IBV130795:IBX130795 ILR130795:ILT130795 IVN130795:IVP130795 JFJ130795:JFL130795 JPF130795:JPH130795 JZB130795:JZD130795 KIX130795:KIZ130795 KST130795:KSV130795 LCP130795:LCR130795 LML130795:LMN130795 LWH130795:LWJ130795 MGD130795:MGF130795 MPZ130795:MQB130795 MZV130795:MZX130795 NJR130795:NJT130795 NTN130795:NTP130795 ODJ130795:ODL130795 ONF130795:ONH130795 OXB130795:OXD130795 PGX130795:PGZ130795 PQT130795:PQV130795 QAP130795:QAR130795 QKL130795:QKN130795 QUH130795:QUJ130795 RED130795:REF130795 RNZ130795:ROB130795 RXV130795:RXX130795 SHR130795:SHT130795 SRN130795:SRP130795 TBJ130795:TBL130795 TLF130795:TLH130795 TVB130795:TVD130795 UEX130795:UEZ130795 UOT130795:UOV130795 UYP130795:UYR130795 VIL130795:VIN130795 VSH130795:VSJ130795 WCD130795:WCF130795 WLZ130795:WMB130795 WVV130795:WVX130795 P196331 JJ196331:JL196331 TF196331:TH196331 ADB196331:ADD196331 AMX196331:AMZ196331 AWT196331:AWV196331 BGP196331:BGR196331 BQL196331:BQN196331 CAH196331:CAJ196331 CKD196331:CKF196331 CTZ196331:CUB196331 DDV196331:DDX196331 DNR196331:DNT196331 DXN196331:DXP196331 EHJ196331:EHL196331 ERF196331:ERH196331 FBB196331:FBD196331 FKX196331:FKZ196331 FUT196331:FUV196331 GEP196331:GER196331 GOL196331:GON196331 GYH196331:GYJ196331 HID196331:HIF196331 HRZ196331:HSB196331 IBV196331:IBX196331 ILR196331:ILT196331 IVN196331:IVP196331 JFJ196331:JFL196331 JPF196331:JPH196331 JZB196331:JZD196331 KIX196331:KIZ196331 KST196331:KSV196331 LCP196331:LCR196331 LML196331:LMN196331 LWH196331:LWJ196331 MGD196331:MGF196331 MPZ196331:MQB196331 MZV196331:MZX196331 NJR196331:NJT196331 NTN196331:NTP196331 ODJ196331:ODL196331 ONF196331:ONH196331 OXB196331:OXD196331 PGX196331:PGZ196331 PQT196331:PQV196331 QAP196331:QAR196331 QKL196331:QKN196331 QUH196331:QUJ196331 RED196331:REF196331 RNZ196331:ROB196331 RXV196331:RXX196331 SHR196331:SHT196331 SRN196331:SRP196331 TBJ196331:TBL196331 TLF196331:TLH196331 TVB196331:TVD196331 UEX196331:UEZ196331 UOT196331:UOV196331 UYP196331:UYR196331 VIL196331:VIN196331 VSH196331:VSJ196331 WCD196331:WCF196331 WLZ196331:WMB196331 WVV196331:WVX196331 P261867 JJ261867:JL261867 TF261867:TH261867 ADB261867:ADD261867 AMX261867:AMZ261867 AWT261867:AWV261867 BGP261867:BGR261867 BQL261867:BQN261867 CAH261867:CAJ261867 CKD261867:CKF261867 CTZ261867:CUB261867 DDV261867:DDX261867 DNR261867:DNT261867 DXN261867:DXP261867 EHJ261867:EHL261867 ERF261867:ERH261867 FBB261867:FBD261867 FKX261867:FKZ261867 FUT261867:FUV261867 GEP261867:GER261867 GOL261867:GON261867 GYH261867:GYJ261867 HID261867:HIF261867 HRZ261867:HSB261867 IBV261867:IBX261867 ILR261867:ILT261867 IVN261867:IVP261867 JFJ261867:JFL261867 JPF261867:JPH261867 JZB261867:JZD261867 KIX261867:KIZ261867 KST261867:KSV261867 LCP261867:LCR261867 LML261867:LMN261867 LWH261867:LWJ261867 MGD261867:MGF261867 MPZ261867:MQB261867 MZV261867:MZX261867 NJR261867:NJT261867 NTN261867:NTP261867 ODJ261867:ODL261867 ONF261867:ONH261867 OXB261867:OXD261867 PGX261867:PGZ261867 PQT261867:PQV261867 QAP261867:QAR261867 QKL261867:QKN261867 QUH261867:QUJ261867 RED261867:REF261867 RNZ261867:ROB261867 RXV261867:RXX261867 SHR261867:SHT261867 SRN261867:SRP261867 TBJ261867:TBL261867 TLF261867:TLH261867 TVB261867:TVD261867 UEX261867:UEZ261867 UOT261867:UOV261867 UYP261867:UYR261867 VIL261867:VIN261867 VSH261867:VSJ261867 WCD261867:WCF261867 WLZ261867:WMB261867 WVV261867:WVX261867 P327403 JJ327403:JL327403 TF327403:TH327403 ADB327403:ADD327403 AMX327403:AMZ327403 AWT327403:AWV327403 BGP327403:BGR327403 BQL327403:BQN327403 CAH327403:CAJ327403 CKD327403:CKF327403 CTZ327403:CUB327403 DDV327403:DDX327403 DNR327403:DNT327403 DXN327403:DXP327403 EHJ327403:EHL327403 ERF327403:ERH327403 FBB327403:FBD327403 FKX327403:FKZ327403 FUT327403:FUV327403 GEP327403:GER327403 GOL327403:GON327403 GYH327403:GYJ327403 HID327403:HIF327403 HRZ327403:HSB327403 IBV327403:IBX327403 ILR327403:ILT327403 IVN327403:IVP327403 JFJ327403:JFL327403 JPF327403:JPH327403 JZB327403:JZD327403 KIX327403:KIZ327403 KST327403:KSV327403 LCP327403:LCR327403 LML327403:LMN327403 LWH327403:LWJ327403 MGD327403:MGF327403 MPZ327403:MQB327403 MZV327403:MZX327403 NJR327403:NJT327403 NTN327403:NTP327403 ODJ327403:ODL327403 ONF327403:ONH327403 OXB327403:OXD327403 PGX327403:PGZ327403 PQT327403:PQV327403 QAP327403:QAR327403 QKL327403:QKN327403 QUH327403:QUJ327403 RED327403:REF327403 RNZ327403:ROB327403 RXV327403:RXX327403 SHR327403:SHT327403 SRN327403:SRP327403 TBJ327403:TBL327403 TLF327403:TLH327403 TVB327403:TVD327403 UEX327403:UEZ327403 UOT327403:UOV327403 UYP327403:UYR327403 VIL327403:VIN327403 VSH327403:VSJ327403 WCD327403:WCF327403 WLZ327403:WMB327403 WVV327403:WVX327403 P392939 JJ392939:JL392939 TF392939:TH392939 ADB392939:ADD392939 AMX392939:AMZ392939 AWT392939:AWV392939 BGP392939:BGR392939 BQL392939:BQN392939 CAH392939:CAJ392939 CKD392939:CKF392939 CTZ392939:CUB392939 DDV392939:DDX392939 DNR392939:DNT392939 DXN392939:DXP392939 EHJ392939:EHL392939 ERF392939:ERH392939 FBB392939:FBD392939 FKX392939:FKZ392939 FUT392939:FUV392939 GEP392939:GER392939 GOL392939:GON392939 GYH392939:GYJ392939 HID392939:HIF392939 HRZ392939:HSB392939 IBV392939:IBX392939 ILR392939:ILT392939 IVN392939:IVP392939 JFJ392939:JFL392939 JPF392939:JPH392939 JZB392939:JZD392939 KIX392939:KIZ392939 KST392939:KSV392939 LCP392939:LCR392939 LML392939:LMN392939 LWH392939:LWJ392939 MGD392939:MGF392939 MPZ392939:MQB392939 MZV392939:MZX392939 NJR392939:NJT392939 NTN392939:NTP392939 ODJ392939:ODL392939 ONF392939:ONH392939 OXB392939:OXD392939 PGX392939:PGZ392939 PQT392939:PQV392939 QAP392939:QAR392939 QKL392939:QKN392939 QUH392939:QUJ392939 RED392939:REF392939 RNZ392939:ROB392939 RXV392939:RXX392939 SHR392939:SHT392939 SRN392939:SRP392939 TBJ392939:TBL392939 TLF392939:TLH392939 TVB392939:TVD392939 UEX392939:UEZ392939 UOT392939:UOV392939 UYP392939:UYR392939 VIL392939:VIN392939 VSH392939:VSJ392939 WCD392939:WCF392939 WLZ392939:WMB392939 WVV392939:WVX392939 P458475 JJ458475:JL458475 TF458475:TH458475 ADB458475:ADD458475 AMX458475:AMZ458475 AWT458475:AWV458475 BGP458475:BGR458475 BQL458475:BQN458475 CAH458475:CAJ458475 CKD458475:CKF458475 CTZ458475:CUB458475 DDV458475:DDX458475 DNR458475:DNT458475 DXN458475:DXP458475 EHJ458475:EHL458475 ERF458475:ERH458475 FBB458475:FBD458475 FKX458475:FKZ458475 FUT458475:FUV458475 GEP458475:GER458475 GOL458475:GON458475 GYH458475:GYJ458475 HID458475:HIF458475 HRZ458475:HSB458475 IBV458475:IBX458475 ILR458475:ILT458475 IVN458475:IVP458475 JFJ458475:JFL458475 JPF458475:JPH458475 JZB458475:JZD458475 KIX458475:KIZ458475 KST458475:KSV458475 LCP458475:LCR458475 LML458475:LMN458475 LWH458475:LWJ458475 MGD458475:MGF458475 MPZ458475:MQB458475 MZV458475:MZX458475 NJR458475:NJT458475 NTN458475:NTP458475 ODJ458475:ODL458475 ONF458475:ONH458475 OXB458475:OXD458475 PGX458475:PGZ458475 PQT458475:PQV458475 QAP458475:QAR458475 QKL458475:QKN458475 QUH458475:QUJ458475 RED458475:REF458475 RNZ458475:ROB458475 RXV458475:RXX458475 SHR458475:SHT458475 SRN458475:SRP458475 TBJ458475:TBL458475 TLF458475:TLH458475 TVB458475:TVD458475 UEX458475:UEZ458475 UOT458475:UOV458475 UYP458475:UYR458475 VIL458475:VIN458475 VSH458475:VSJ458475 WCD458475:WCF458475 WLZ458475:WMB458475 WVV458475:WVX458475 P524011 JJ524011:JL524011 TF524011:TH524011 ADB524011:ADD524011 AMX524011:AMZ524011 AWT524011:AWV524011 BGP524011:BGR524011 BQL524011:BQN524011 CAH524011:CAJ524011 CKD524011:CKF524011 CTZ524011:CUB524011 DDV524011:DDX524011 DNR524011:DNT524011 DXN524011:DXP524011 EHJ524011:EHL524011 ERF524011:ERH524011 FBB524011:FBD524011 FKX524011:FKZ524011 FUT524011:FUV524011 GEP524011:GER524011 GOL524011:GON524011 GYH524011:GYJ524011 HID524011:HIF524011 HRZ524011:HSB524011 IBV524011:IBX524011 ILR524011:ILT524011 IVN524011:IVP524011 JFJ524011:JFL524011 JPF524011:JPH524011 JZB524011:JZD524011 KIX524011:KIZ524011 KST524011:KSV524011 LCP524011:LCR524011 LML524011:LMN524011 LWH524011:LWJ524011 MGD524011:MGF524011 MPZ524011:MQB524011 MZV524011:MZX524011 NJR524011:NJT524011 NTN524011:NTP524011 ODJ524011:ODL524011 ONF524011:ONH524011 OXB524011:OXD524011 PGX524011:PGZ524011 PQT524011:PQV524011 QAP524011:QAR524011 QKL524011:QKN524011 QUH524011:QUJ524011 RED524011:REF524011 RNZ524011:ROB524011 RXV524011:RXX524011 SHR524011:SHT524011 SRN524011:SRP524011 TBJ524011:TBL524011 TLF524011:TLH524011 TVB524011:TVD524011 UEX524011:UEZ524011 UOT524011:UOV524011 UYP524011:UYR524011 VIL524011:VIN524011 VSH524011:VSJ524011 WCD524011:WCF524011 WLZ524011:WMB524011 WVV524011:WVX524011 P589547 JJ589547:JL589547 TF589547:TH589547 ADB589547:ADD589547 AMX589547:AMZ589547 AWT589547:AWV589547 BGP589547:BGR589547 BQL589547:BQN589547 CAH589547:CAJ589547 CKD589547:CKF589547 CTZ589547:CUB589547 DDV589547:DDX589547 DNR589547:DNT589547 DXN589547:DXP589547 EHJ589547:EHL589547 ERF589547:ERH589547 FBB589547:FBD589547 FKX589547:FKZ589547 FUT589547:FUV589547 GEP589547:GER589547 GOL589547:GON589547 GYH589547:GYJ589547 HID589547:HIF589547 HRZ589547:HSB589547 IBV589547:IBX589547 ILR589547:ILT589547 IVN589547:IVP589547 JFJ589547:JFL589547 JPF589547:JPH589547 JZB589547:JZD589547 KIX589547:KIZ589547 KST589547:KSV589547 LCP589547:LCR589547 LML589547:LMN589547 LWH589547:LWJ589547 MGD589547:MGF589547 MPZ589547:MQB589547 MZV589547:MZX589547 NJR589547:NJT589547 NTN589547:NTP589547 ODJ589547:ODL589547 ONF589547:ONH589547 OXB589547:OXD589547 PGX589547:PGZ589547 PQT589547:PQV589547 QAP589547:QAR589547 QKL589547:QKN589547 QUH589547:QUJ589547 RED589547:REF589547 RNZ589547:ROB589547 RXV589547:RXX589547 SHR589547:SHT589547 SRN589547:SRP589547 TBJ589547:TBL589547 TLF589547:TLH589547 TVB589547:TVD589547 UEX589547:UEZ589547 UOT589547:UOV589547 UYP589547:UYR589547 VIL589547:VIN589547 VSH589547:VSJ589547 WCD589547:WCF589547 WLZ589547:WMB589547 WVV589547:WVX589547 P655083 JJ655083:JL655083 TF655083:TH655083 ADB655083:ADD655083 AMX655083:AMZ655083 AWT655083:AWV655083 BGP655083:BGR655083 BQL655083:BQN655083 CAH655083:CAJ655083 CKD655083:CKF655083 CTZ655083:CUB655083 DDV655083:DDX655083 DNR655083:DNT655083 DXN655083:DXP655083 EHJ655083:EHL655083 ERF655083:ERH655083 FBB655083:FBD655083 FKX655083:FKZ655083 FUT655083:FUV655083 GEP655083:GER655083 GOL655083:GON655083 GYH655083:GYJ655083 HID655083:HIF655083 HRZ655083:HSB655083 IBV655083:IBX655083 ILR655083:ILT655083 IVN655083:IVP655083 JFJ655083:JFL655083 JPF655083:JPH655083 JZB655083:JZD655083 KIX655083:KIZ655083 KST655083:KSV655083 LCP655083:LCR655083 LML655083:LMN655083 LWH655083:LWJ655083 MGD655083:MGF655083 MPZ655083:MQB655083 MZV655083:MZX655083 NJR655083:NJT655083 NTN655083:NTP655083 ODJ655083:ODL655083 ONF655083:ONH655083 OXB655083:OXD655083 PGX655083:PGZ655083 PQT655083:PQV655083 QAP655083:QAR655083 QKL655083:QKN655083 QUH655083:QUJ655083 RED655083:REF655083 RNZ655083:ROB655083 RXV655083:RXX655083 SHR655083:SHT655083 SRN655083:SRP655083 TBJ655083:TBL655083 TLF655083:TLH655083 TVB655083:TVD655083 UEX655083:UEZ655083 UOT655083:UOV655083 UYP655083:UYR655083 VIL655083:VIN655083 VSH655083:VSJ655083 WCD655083:WCF655083 WLZ655083:WMB655083 WVV655083:WVX655083 P720619 JJ720619:JL720619 TF720619:TH720619 ADB720619:ADD720619 AMX720619:AMZ720619 AWT720619:AWV720619 BGP720619:BGR720619 BQL720619:BQN720619 CAH720619:CAJ720619 CKD720619:CKF720619 CTZ720619:CUB720619 DDV720619:DDX720619 DNR720619:DNT720619 DXN720619:DXP720619 EHJ720619:EHL720619 ERF720619:ERH720619 FBB720619:FBD720619 FKX720619:FKZ720619 FUT720619:FUV720619 GEP720619:GER720619 GOL720619:GON720619 GYH720619:GYJ720619 HID720619:HIF720619 HRZ720619:HSB720619 IBV720619:IBX720619 ILR720619:ILT720619 IVN720619:IVP720619 JFJ720619:JFL720619 JPF720619:JPH720619 JZB720619:JZD720619 KIX720619:KIZ720619 KST720619:KSV720619 LCP720619:LCR720619 LML720619:LMN720619 LWH720619:LWJ720619 MGD720619:MGF720619 MPZ720619:MQB720619 MZV720619:MZX720619 NJR720619:NJT720619 NTN720619:NTP720619 ODJ720619:ODL720619 ONF720619:ONH720619 OXB720619:OXD720619 PGX720619:PGZ720619 PQT720619:PQV720619 QAP720619:QAR720619 QKL720619:QKN720619 QUH720619:QUJ720619 RED720619:REF720619 RNZ720619:ROB720619 RXV720619:RXX720619 SHR720619:SHT720619 SRN720619:SRP720619 TBJ720619:TBL720619 TLF720619:TLH720619 TVB720619:TVD720619 UEX720619:UEZ720619 UOT720619:UOV720619 UYP720619:UYR720619 VIL720619:VIN720619 VSH720619:VSJ720619 WCD720619:WCF720619 WLZ720619:WMB720619 WVV720619:WVX720619 P786155 JJ786155:JL786155 TF786155:TH786155 ADB786155:ADD786155 AMX786155:AMZ786155 AWT786155:AWV786155 BGP786155:BGR786155 BQL786155:BQN786155 CAH786155:CAJ786155 CKD786155:CKF786155 CTZ786155:CUB786155 DDV786155:DDX786155 DNR786155:DNT786155 DXN786155:DXP786155 EHJ786155:EHL786155 ERF786155:ERH786155 FBB786155:FBD786155 FKX786155:FKZ786155 FUT786155:FUV786155 GEP786155:GER786155 GOL786155:GON786155 GYH786155:GYJ786155 HID786155:HIF786155 HRZ786155:HSB786155 IBV786155:IBX786155 ILR786155:ILT786155 IVN786155:IVP786155 JFJ786155:JFL786155 JPF786155:JPH786155 JZB786155:JZD786155 KIX786155:KIZ786155 KST786155:KSV786155 LCP786155:LCR786155 LML786155:LMN786155 LWH786155:LWJ786155 MGD786155:MGF786155 MPZ786155:MQB786155 MZV786155:MZX786155 NJR786155:NJT786155 NTN786155:NTP786155 ODJ786155:ODL786155 ONF786155:ONH786155 OXB786155:OXD786155 PGX786155:PGZ786155 PQT786155:PQV786155 QAP786155:QAR786155 QKL786155:QKN786155 QUH786155:QUJ786155 RED786155:REF786155 RNZ786155:ROB786155 RXV786155:RXX786155 SHR786155:SHT786155 SRN786155:SRP786155 TBJ786155:TBL786155 TLF786155:TLH786155 TVB786155:TVD786155 UEX786155:UEZ786155 UOT786155:UOV786155 UYP786155:UYR786155 VIL786155:VIN786155 VSH786155:VSJ786155 WCD786155:WCF786155 WLZ786155:WMB786155 WVV786155:WVX786155 P851691 JJ851691:JL851691 TF851691:TH851691 ADB851691:ADD851691 AMX851691:AMZ851691 AWT851691:AWV851691 BGP851691:BGR851691 BQL851691:BQN851691 CAH851691:CAJ851691 CKD851691:CKF851691 CTZ851691:CUB851691 DDV851691:DDX851691 DNR851691:DNT851691 DXN851691:DXP851691 EHJ851691:EHL851691 ERF851691:ERH851691 FBB851691:FBD851691 FKX851691:FKZ851691 FUT851691:FUV851691 GEP851691:GER851691 GOL851691:GON851691 GYH851691:GYJ851691 HID851691:HIF851691 HRZ851691:HSB851691 IBV851691:IBX851691 ILR851691:ILT851691 IVN851691:IVP851691 JFJ851691:JFL851691 JPF851691:JPH851691 JZB851691:JZD851691 KIX851691:KIZ851691 KST851691:KSV851691 LCP851691:LCR851691 LML851691:LMN851691 LWH851691:LWJ851691 MGD851691:MGF851691 MPZ851691:MQB851691 MZV851691:MZX851691 NJR851691:NJT851691 NTN851691:NTP851691 ODJ851691:ODL851691 ONF851691:ONH851691 OXB851691:OXD851691 PGX851691:PGZ851691 PQT851691:PQV851691 QAP851691:QAR851691 QKL851691:QKN851691 QUH851691:QUJ851691 RED851691:REF851691 RNZ851691:ROB851691 RXV851691:RXX851691 SHR851691:SHT851691 SRN851691:SRP851691 TBJ851691:TBL851691 TLF851691:TLH851691 TVB851691:TVD851691 UEX851691:UEZ851691 UOT851691:UOV851691 UYP851691:UYR851691 VIL851691:VIN851691 VSH851691:VSJ851691 WCD851691:WCF851691 WLZ851691:WMB851691 WVV851691:WVX851691 P917227 JJ917227:JL917227 TF917227:TH917227 ADB917227:ADD917227 AMX917227:AMZ917227 AWT917227:AWV917227 BGP917227:BGR917227 BQL917227:BQN917227 CAH917227:CAJ917227 CKD917227:CKF917227 CTZ917227:CUB917227 DDV917227:DDX917227 DNR917227:DNT917227 DXN917227:DXP917227 EHJ917227:EHL917227 ERF917227:ERH917227 FBB917227:FBD917227 FKX917227:FKZ917227 FUT917227:FUV917227 GEP917227:GER917227 GOL917227:GON917227 GYH917227:GYJ917227 HID917227:HIF917227 HRZ917227:HSB917227 IBV917227:IBX917227 ILR917227:ILT917227 IVN917227:IVP917227 JFJ917227:JFL917227 JPF917227:JPH917227 JZB917227:JZD917227 KIX917227:KIZ917227 KST917227:KSV917227 LCP917227:LCR917227 LML917227:LMN917227 LWH917227:LWJ917227 MGD917227:MGF917227 MPZ917227:MQB917227 MZV917227:MZX917227 NJR917227:NJT917227 NTN917227:NTP917227 ODJ917227:ODL917227 ONF917227:ONH917227 OXB917227:OXD917227 PGX917227:PGZ917227 PQT917227:PQV917227 QAP917227:QAR917227 QKL917227:QKN917227 QUH917227:QUJ917227 RED917227:REF917227 RNZ917227:ROB917227 RXV917227:RXX917227 SHR917227:SHT917227 SRN917227:SRP917227 TBJ917227:TBL917227 TLF917227:TLH917227 TVB917227:TVD917227 UEX917227:UEZ917227 UOT917227:UOV917227 UYP917227:UYR917227 VIL917227:VIN917227 VSH917227:VSJ917227 WCD917227:WCF917227 WLZ917227:WMB917227 WVV917227:WVX917227 P982763 JJ982763:JL982763 TF982763:TH982763 ADB982763:ADD982763 AMX982763:AMZ982763 AWT982763:AWV982763 BGP982763:BGR982763 BQL982763:BQN982763 CAH982763:CAJ982763 CKD982763:CKF982763 CTZ982763:CUB982763 DDV982763:DDX982763 DNR982763:DNT982763 DXN982763:DXP982763 EHJ982763:EHL982763 ERF982763:ERH982763 FBB982763:FBD982763 FKX982763:FKZ982763 FUT982763:FUV982763 GEP982763:GER982763 GOL982763:GON982763 GYH982763:GYJ982763 HID982763:HIF982763 HRZ982763:HSB982763 IBV982763:IBX982763 ILR982763:ILT982763 IVN982763:IVP982763 JFJ982763:JFL982763 JPF982763:JPH982763 JZB982763:JZD982763 KIX982763:KIZ982763 KST982763:KSV982763 LCP982763:LCR982763 LML982763:LMN982763 LWH982763:LWJ982763 MGD982763:MGF982763 MPZ982763:MQB982763 MZV982763:MZX982763 NJR982763:NJT982763 NTN982763:NTP982763 ODJ982763:ODL982763 ONF982763:ONH982763 OXB982763:OXD982763 PGX982763:PGZ982763 PQT982763:PQV982763 QAP982763:QAR982763 QKL982763:QKN982763 QUH982763:QUJ982763 RED982763:REF982763 RNZ982763:ROB982763 RXV982763:RXX982763 SHR982763:SHT982763 SRN982763:SRP982763 TBJ982763:TBL982763 TLF982763:TLH982763 TVB982763:TVD982763 UEX982763:UEZ982763 UOT982763:UOV982763 UYP982763:UYR982763 VIL982763:VIN982763 VSH982763:VSJ982763 WCD982763:WCF982763 WLZ982763:WMB982763 WVV982763:WVX982763">
      <formula1>ENTIDADES</formula1>
    </dataValidation>
    <dataValidation type="list" allowBlank="1" showInputMessage="1" showErrorMessage="1" sqref="JD65260 SZ65260 ACV65260 AMR65260 AWN65260 BGJ65260 BQF65260 CAB65260 CJX65260 CTT65260 DDP65260 DNL65260 DXH65260 EHD65260 EQZ65260 FAV65260 FKR65260 FUN65260 GEJ65260 GOF65260 GYB65260 HHX65260 HRT65260 IBP65260 ILL65260 IVH65260 JFD65260 JOZ65260 JYV65260 KIR65260 KSN65260 LCJ65260 LMF65260 LWB65260 MFX65260 MPT65260 MZP65260 NJL65260 NTH65260 ODD65260 OMZ65260 OWV65260 PGR65260 PQN65260 QAJ65260 QKF65260 QUB65260 RDX65260 RNT65260 RXP65260 SHL65260 SRH65260 TBD65260 TKZ65260 TUV65260 UER65260 UON65260 UYJ65260 VIF65260 VSB65260 WBX65260 WLT65260 WVP65260 JD130796 SZ130796 ACV130796 AMR130796 AWN130796 BGJ130796 BQF130796 CAB130796 CJX130796 CTT130796 DDP130796 DNL130796 DXH130796 EHD130796 EQZ130796 FAV130796 FKR130796 FUN130796 GEJ130796 GOF130796 GYB130796 HHX130796 HRT130796 IBP130796 ILL130796 IVH130796 JFD130796 JOZ130796 JYV130796 KIR130796 KSN130796 LCJ130796 LMF130796 LWB130796 MFX130796 MPT130796 MZP130796 NJL130796 NTH130796 ODD130796 OMZ130796 OWV130796 PGR130796 PQN130796 QAJ130796 QKF130796 QUB130796 RDX130796 RNT130796 RXP130796 SHL130796 SRH130796 TBD130796 TKZ130796 TUV130796 UER130796 UON130796 UYJ130796 VIF130796 VSB130796 WBX130796 WLT130796 WVP130796 JD196332 SZ196332 ACV196332 AMR196332 AWN196332 BGJ196332 BQF196332 CAB196332 CJX196332 CTT196332 DDP196332 DNL196332 DXH196332 EHD196332 EQZ196332 FAV196332 FKR196332 FUN196332 GEJ196332 GOF196332 GYB196332 HHX196332 HRT196332 IBP196332 ILL196332 IVH196332 JFD196332 JOZ196332 JYV196332 KIR196332 KSN196332 LCJ196332 LMF196332 LWB196332 MFX196332 MPT196332 MZP196332 NJL196332 NTH196332 ODD196332 OMZ196332 OWV196332 PGR196332 PQN196332 QAJ196332 QKF196332 QUB196332 RDX196332 RNT196332 RXP196332 SHL196332 SRH196332 TBD196332 TKZ196332 TUV196332 UER196332 UON196332 UYJ196332 VIF196332 VSB196332 WBX196332 WLT196332 WVP196332 JD261868 SZ261868 ACV261868 AMR261868 AWN261868 BGJ261868 BQF261868 CAB261868 CJX261868 CTT261868 DDP261868 DNL261868 DXH261868 EHD261868 EQZ261868 FAV261868 FKR261868 FUN261868 GEJ261868 GOF261868 GYB261868 HHX261868 HRT261868 IBP261868 ILL261868 IVH261868 JFD261868 JOZ261868 JYV261868 KIR261868 KSN261868 LCJ261868 LMF261868 LWB261868 MFX261868 MPT261868 MZP261868 NJL261868 NTH261868 ODD261868 OMZ261868 OWV261868 PGR261868 PQN261868 QAJ261868 QKF261868 QUB261868 RDX261868 RNT261868 RXP261868 SHL261868 SRH261868 TBD261868 TKZ261868 TUV261868 UER261868 UON261868 UYJ261868 VIF261868 VSB261868 WBX261868 WLT261868 WVP261868 JD327404 SZ327404 ACV327404 AMR327404 AWN327404 BGJ327404 BQF327404 CAB327404 CJX327404 CTT327404 DDP327404 DNL327404 DXH327404 EHD327404 EQZ327404 FAV327404 FKR327404 FUN327404 GEJ327404 GOF327404 GYB327404 HHX327404 HRT327404 IBP327404 ILL327404 IVH327404 JFD327404 JOZ327404 JYV327404 KIR327404 KSN327404 LCJ327404 LMF327404 LWB327404 MFX327404 MPT327404 MZP327404 NJL327404 NTH327404 ODD327404 OMZ327404 OWV327404 PGR327404 PQN327404 QAJ327404 QKF327404 QUB327404 RDX327404 RNT327404 RXP327404 SHL327404 SRH327404 TBD327404 TKZ327404 TUV327404 UER327404 UON327404 UYJ327404 VIF327404 VSB327404 WBX327404 WLT327404 WVP327404 JD392940 SZ392940 ACV392940 AMR392940 AWN392940 BGJ392940 BQF392940 CAB392940 CJX392940 CTT392940 DDP392940 DNL392940 DXH392940 EHD392940 EQZ392940 FAV392940 FKR392940 FUN392940 GEJ392940 GOF392940 GYB392940 HHX392940 HRT392940 IBP392940 ILL392940 IVH392940 JFD392940 JOZ392940 JYV392940 KIR392940 KSN392940 LCJ392940 LMF392940 LWB392940 MFX392940 MPT392940 MZP392940 NJL392940 NTH392940 ODD392940 OMZ392940 OWV392940 PGR392940 PQN392940 QAJ392940 QKF392940 QUB392940 RDX392940 RNT392940 RXP392940 SHL392940 SRH392940 TBD392940 TKZ392940 TUV392940 UER392940 UON392940 UYJ392940 VIF392940 VSB392940 WBX392940 WLT392940 WVP392940 JD458476 SZ458476 ACV458476 AMR458476 AWN458476 BGJ458476 BQF458476 CAB458476 CJX458476 CTT458476 DDP458476 DNL458476 DXH458476 EHD458476 EQZ458476 FAV458476 FKR458476 FUN458476 GEJ458476 GOF458476 GYB458476 HHX458476 HRT458476 IBP458476 ILL458476 IVH458476 JFD458476 JOZ458476 JYV458476 KIR458476 KSN458476 LCJ458476 LMF458476 LWB458476 MFX458476 MPT458476 MZP458476 NJL458476 NTH458476 ODD458476 OMZ458476 OWV458476 PGR458476 PQN458476 QAJ458476 QKF458476 QUB458476 RDX458476 RNT458476 RXP458476 SHL458476 SRH458476 TBD458476 TKZ458476 TUV458476 UER458476 UON458476 UYJ458476 VIF458476 VSB458476 WBX458476 WLT458476 WVP458476 JD524012 SZ524012 ACV524012 AMR524012 AWN524012 BGJ524012 BQF524012 CAB524012 CJX524012 CTT524012 DDP524012 DNL524012 DXH524012 EHD524012 EQZ524012 FAV524012 FKR524012 FUN524012 GEJ524012 GOF524012 GYB524012 HHX524012 HRT524012 IBP524012 ILL524012 IVH524012 JFD524012 JOZ524012 JYV524012 KIR524012 KSN524012 LCJ524012 LMF524012 LWB524012 MFX524012 MPT524012 MZP524012 NJL524012 NTH524012 ODD524012 OMZ524012 OWV524012 PGR524012 PQN524012 QAJ524012 QKF524012 QUB524012 RDX524012 RNT524012 RXP524012 SHL524012 SRH524012 TBD524012 TKZ524012 TUV524012 UER524012 UON524012 UYJ524012 VIF524012 VSB524012 WBX524012 WLT524012 WVP524012 JD589548 SZ589548 ACV589548 AMR589548 AWN589548 BGJ589548 BQF589548 CAB589548 CJX589548 CTT589548 DDP589548 DNL589548 DXH589548 EHD589548 EQZ589548 FAV589548 FKR589548 FUN589548 GEJ589548 GOF589548 GYB589548 HHX589548 HRT589548 IBP589548 ILL589548 IVH589548 JFD589548 JOZ589548 JYV589548 KIR589548 KSN589548 LCJ589548 LMF589548 LWB589548 MFX589548 MPT589548 MZP589548 NJL589548 NTH589548 ODD589548 OMZ589548 OWV589548 PGR589548 PQN589548 QAJ589548 QKF589548 QUB589548 RDX589548 RNT589548 RXP589548 SHL589548 SRH589548 TBD589548 TKZ589548 TUV589548 UER589548 UON589548 UYJ589548 VIF589548 VSB589548 WBX589548 WLT589548 WVP589548 JD655084 SZ655084 ACV655084 AMR655084 AWN655084 BGJ655084 BQF655084 CAB655084 CJX655084 CTT655084 DDP655084 DNL655084 DXH655084 EHD655084 EQZ655084 FAV655084 FKR655084 FUN655084 GEJ655084 GOF655084 GYB655084 HHX655084 HRT655084 IBP655084 ILL655084 IVH655084 JFD655084 JOZ655084 JYV655084 KIR655084 KSN655084 LCJ655084 LMF655084 LWB655084 MFX655084 MPT655084 MZP655084 NJL655084 NTH655084 ODD655084 OMZ655084 OWV655084 PGR655084 PQN655084 QAJ655084 QKF655084 QUB655084 RDX655084 RNT655084 RXP655084 SHL655084 SRH655084 TBD655084 TKZ655084 TUV655084 UER655084 UON655084 UYJ655084 VIF655084 VSB655084 WBX655084 WLT655084 WVP655084 JD720620 SZ720620 ACV720620 AMR720620 AWN720620 BGJ720620 BQF720620 CAB720620 CJX720620 CTT720620 DDP720620 DNL720620 DXH720620 EHD720620 EQZ720620 FAV720620 FKR720620 FUN720620 GEJ720620 GOF720620 GYB720620 HHX720620 HRT720620 IBP720620 ILL720620 IVH720620 JFD720620 JOZ720620 JYV720620 KIR720620 KSN720620 LCJ720620 LMF720620 LWB720620 MFX720620 MPT720620 MZP720620 NJL720620 NTH720620 ODD720620 OMZ720620 OWV720620 PGR720620 PQN720620 QAJ720620 QKF720620 QUB720620 RDX720620 RNT720620 RXP720620 SHL720620 SRH720620 TBD720620 TKZ720620 TUV720620 UER720620 UON720620 UYJ720620 VIF720620 VSB720620 WBX720620 WLT720620 WVP720620 JD786156 SZ786156 ACV786156 AMR786156 AWN786156 BGJ786156 BQF786156 CAB786156 CJX786156 CTT786156 DDP786156 DNL786156 DXH786156 EHD786156 EQZ786156 FAV786156 FKR786156 FUN786156 GEJ786156 GOF786156 GYB786156 HHX786156 HRT786156 IBP786156 ILL786156 IVH786156 JFD786156 JOZ786156 JYV786156 KIR786156 KSN786156 LCJ786156 LMF786156 LWB786156 MFX786156 MPT786156 MZP786156 NJL786156 NTH786156 ODD786156 OMZ786156 OWV786156 PGR786156 PQN786156 QAJ786156 QKF786156 QUB786156 RDX786156 RNT786156 RXP786156 SHL786156 SRH786156 TBD786156 TKZ786156 TUV786156 UER786156 UON786156 UYJ786156 VIF786156 VSB786156 WBX786156 WLT786156 WVP786156 JD851692 SZ851692 ACV851692 AMR851692 AWN851692 BGJ851692 BQF851692 CAB851692 CJX851692 CTT851692 DDP851692 DNL851692 DXH851692 EHD851692 EQZ851692 FAV851692 FKR851692 FUN851692 GEJ851692 GOF851692 GYB851692 HHX851692 HRT851692 IBP851692 ILL851692 IVH851692 JFD851692 JOZ851692 JYV851692 KIR851692 KSN851692 LCJ851692 LMF851692 LWB851692 MFX851692 MPT851692 MZP851692 NJL851692 NTH851692 ODD851692 OMZ851692 OWV851692 PGR851692 PQN851692 QAJ851692 QKF851692 QUB851692 RDX851692 RNT851692 RXP851692 SHL851692 SRH851692 TBD851692 TKZ851692 TUV851692 UER851692 UON851692 UYJ851692 VIF851692 VSB851692 WBX851692 WLT851692 WVP851692 JD917228 SZ917228 ACV917228 AMR917228 AWN917228 BGJ917228 BQF917228 CAB917228 CJX917228 CTT917228 DDP917228 DNL917228 DXH917228 EHD917228 EQZ917228 FAV917228 FKR917228 FUN917228 GEJ917228 GOF917228 GYB917228 HHX917228 HRT917228 IBP917228 ILL917228 IVH917228 JFD917228 JOZ917228 JYV917228 KIR917228 KSN917228 LCJ917228 LMF917228 LWB917228 MFX917228 MPT917228 MZP917228 NJL917228 NTH917228 ODD917228 OMZ917228 OWV917228 PGR917228 PQN917228 QAJ917228 QKF917228 QUB917228 RDX917228 RNT917228 RXP917228 SHL917228 SRH917228 TBD917228 TKZ917228 TUV917228 UER917228 UON917228 UYJ917228 VIF917228 VSB917228 WBX917228 WLT917228 WVP917228 JD982764 SZ982764 ACV982764 AMR982764 AWN982764 BGJ982764 BQF982764 CAB982764 CJX982764 CTT982764 DDP982764 DNL982764 DXH982764 EHD982764 EQZ982764 FAV982764 FKR982764 FUN982764 GEJ982764 GOF982764 GYB982764 HHX982764 HRT982764 IBP982764 ILL982764 IVH982764 JFD982764 JOZ982764 JYV982764 KIR982764 KSN982764 LCJ982764 LMF982764 LWB982764 MFX982764 MPT982764 MZP982764 NJL982764 NTH982764 ODD982764 OMZ982764 OWV982764 PGR982764 PQN982764 QAJ982764 QKF982764 QUB982764 RDX982764 RNT982764 RXP982764 SHL982764 SRH982764 TBD982764 TKZ982764 TUV982764 UER982764 UON982764 UYJ982764 VIF982764 VSB982764 WBX982764 WLT982764 WVP982764 JD5:JD8 SZ5:SZ8 ACV5:ACV8 AMR5:AMR8 AWN5:AWN8 BGJ5:BGJ8 BQF5:BQF8 CAB5:CAB8 CJX5:CJX8 CTT5:CTT8 DDP5:DDP8 DNL5:DNL8 DXH5:DXH8 EHD5:EHD8 EQZ5:EQZ8 FAV5:FAV8 FKR5:FKR8 FUN5:FUN8 GEJ5:GEJ8 GOF5:GOF8 GYB5:GYB8 HHX5:HHX8 HRT5:HRT8 IBP5:IBP8 ILL5:ILL8 IVH5:IVH8 JFD5:JFD8 JOZ5:JOZ8 JYV5:JYV8 KIR5:KIR8 KSN5:KSN8 LCJ5:LCJ8 LMF5:LMF8 LWB5:LWB8 MFX5:MFX8 MPT5:MPT8 MZP5:MZP8 NJL5:NJL8 NTH5:NTH8 ODD5:ODD8 OMZ5:OMZ8 OWV5:OWV8 PGR5:PGR8 PQN5:PQN8 QAJ5:QAJ8 QKF5:QKF8 QUB5:QUB8 RDX5:RDX8 RNT5:RNT8 RXP5:RXP8 SHL5:SHL8 SRH5:SRH8 TBD5:TBD8 TKZ5:TKZ8 TUV5:TUV8 UER5:UER8 UON5:UON8 UYJ5:UYJ8 VIF5:VIF8 VSB5:VSB8 WBX5:WBX8 WLT5:WLT8 WVP5:WVP8">
      <formula1>INDIRECT(IW$5)</formula1>
    </dataValidation>
    <dataValidation type="list" allowBlank="1" showInputMessage="1" showErrorMessage="1" sqref="D65260:H65260 IX65260:JB65260 ST65260:SX65260 ACP65260:ACT65260 AML65260:AMP65260 AWH65260:AWL65260 BGD65260:BGH65260 BPZ65260:BQD65260 BZV65260:BZZ65260 CJR65260:CJV65260 CTN65260:CTR65260 DDJ65260:DDN65260 DNF65260:DNJ65260 DXB65260:DXF65260 EGX65260:EHB65260 EQT65260:EQX65260 FAP65260:FAT65260 FKL65260:FKP65260 FUH65260:FUL65260 GED65260:GEH65260 GNZ65260:GOD65260 GXV65260:GXZ65260 HHR65260:HHV65260 HRN65260:HRR65260 IBJ65260:IBN65260 ILF65260:ILJ65260 IVB65260:IVF65260 JEX65260:JFB65260 JOT65260:JOX65260 JYP65260:JYT65260 KIL65260:KIP65260 KSH65260:KSL65260 LCD65260:LCH65260 LLZ65260:LMD65260 LVV65260:LVZ65260 MFR65260:MFV65260 MPN65260:MPR65260 MZJ65260:MZN65260 NJF65260:NJJ65260 NTB65260:NTF65260 OCX65260:ODB65260 OMT65260:OMX65260 OWP65260:OWT65260 PGL65260:PGP65260 PQH65260:PQL65260 QAD65260:QAH65260 QJZ65260:QKD65260 QTV65260:QTZ65260 RDR65260:RDV65260 RNN65260:RNR65260 RXJ65260:RXN65260 SHF65260:SHJ65260 SRB65260:SRF65260 TAX65260:TBB65260 TKT65260:TKX65260 TUP65260:TUT65260 UEL65260:UEP65260 UOH65260:UOL65260 UYD65260:UYH65260 VHZ65260:VID65260 VRV65260:VRZ65260 WBR65260:WBV65260 WLN65260:WLR65260 WVJ65260:WVN65260 D130796:H130796 IX130796:JB130796 ST130796:SX130796 ACP130796:ACT130796 AML130796:AMP130796 AWH130796:AWL130796 BGD130796:BGH130796 BPZ130796:BQD130796 BZV130796:BZZ130796 CJR130796:CJV130796 CTN130796:CTR130796 DDJ130796:DDN130796 DNF130796:DNJ130796 DXB130796:DXF130796 EGX130796:EHB130796 EQT130796:EQX130796 FAP130796:FAT130796 FKL130796:FKP130796 FUH130796:FUL130796 GED130796:GEH130796 GNZ130796:GOD130796 GXV130796:GXZ130796 HHR130796:HHV130796 HRN130796:HRR130796 IBJ130796:IBN130796 ILF130796:ILJ130796 IVB130796:IVF130796 JEX130796:JFB130796 JOT130796:JOX130796 JYP130796:JYT130796 KIL130796:KIP130796 KSH130796:KSL130796 LCD130796:LCH130796 LLZ130796:LMD130796 LVV130796:LVZ130796 MFR130796:MFV130796 MPN130796:MPR130796 MZJ130796:MZN130796 NJF130796:NJJ130796 NTB130796:NTF130796 OCX130796:ODB130796 OMT130796:OMX130796 OWP130796:OWT130796 PGL130796:PGP130796 PQH130796:PQL130796 QAD130796:QAH130796 QJZ130796:QKD130796 QTV130796:QTZ130796 RDR130796:RDV130796 RNN130796:RNR130796 RXJ130796:RXN130796 SHF130796:SHJ130796 SRB130796:SRF130796 TAX130796:TBB130796 TKT130796:TKX130796 TUP130796:TUT130796 UEL130796:UEP130796 UOH130796:UOL130796 UYD130796:UYH130796 VHZ130796:VID130796 VRV130796:VRZ130796 WBR130796:WBV130796 WLN130796:WLR130796 WVJ130796:WVN130796 D196332:H196332 IX196332:JB196332 ST196332:SX196332 ACP196332:ACT196332 AML196332:AMP196332 AWH196332:AWL196332 BGD196332:BGH196332 BPZ196332:BQD196332 BZV196332:BZZ196332 CJR196332:CJV196332 CTN196332:CTR196332 DDJ196332:DDN196332 DNF196332:DNJ196332 DXB196332:DXF196332 EGX196332:EHB196332 EQT196332:EQX196332 FAP196332:FAT196332 FKL196332:FKP196332 FUH196332:FUL196332 GED196332:GEH196332 GNZ196332:GOD196332 GXV196332:GXZ196332 HHR196332:HHV196332 HRN196332:HRR196332 IBJ196332:IBN196332 ILF196332:ILJ196332 IVB196332:IVF196332 JEX196332:JFB196332 JOT196332:JOX196332 JYP196332:JYT196332 KIL196332:KIP196332 KSH196332:KSL196332 LCD196332:LCH196332 LLZ196332:LMD196332 LVV196332:LVZ196332 MFR196332:MFV196332 MPN196332:MPR196332 MZJ196332:MZN196332 NJF196332:NJJ196332 NTB196332:NTF196332 OCX196332:ODB196332 OMT196332:OMX196332 OWP196332:OWT196332 PGL196332:PGP196332 PQH196332:PQL196332 QAD196332:QAH196332 QJZ196332:QKD196332 QTV196332:QTZ196332 RDR196332:RDV196332 RNN196332:RNR196332 RXJ196332:RXN196332 SHF196332:SHJ196332 SRB196332:SRF196332 TAX196332:TBB196332 TKT196332:TKX196332 TUP196332:TUT196332 UEL196332:UEP196332 UOH196332:UOL196332 UYD196332:UYH196332 VHZ196332:VID196332 VRV196332:VRZ196332 WBR196332:WBV196332 WLN196332:WLR196332 WVJ196332:WVN196332 D261868:H261868 IX261868:JB261868 ST261868:SX261868 ACP261868:ACT261868 AML261868:AMP261868 AWH261868:AWL261868 BGD261868:BGH261868 BPZ261868:BQD261868 BZV261868:BZZ261868 CJR261868:CJV261868 CTN261868:CTR261868 DDJ261868:DDN261868 DNF261868:DNJ261868 DXB261868:DXF261868 EGX261868:EHB261868 EQT261868:EQX261868 FAP261868:FAT261868 FKL261868:FKP261868 FUH261868:FUL261868 GED261868:GEH261868 GNZ261868:GOD261868 GXV261868:GXZ261868 HHR261868:HHV261868 HRN261868:HRR261868 IBJ261868:IBN261868 ILF261868:ILJ261868 IVB261868:IVF261868 JEX261868:JFB261868 JOT261868:JOX261868 JYP261868:JYT261868 KIL261868:KIP261868 KSH261868:KSL261868 LCD261868:LCH261868 LLZ261868:LMD261868 LVV261868:LVZ261868 MFR261868:MFV261868 MPN261868:MPR261868 MZJ261868:MZN261868 NJF261868:NJJ261868 NTB261868:NTF261868 OCX261868:ODB261868 OMT261868:OMX261868 OWP261868:OWT261868 PGL261868:PGP261868 PQH261868:PQL261868 QAD261868:QAH261868 QJZ261868:QKD261868 QTV261868:QTZ261868 RDR261868:RDV261868 RNN261868:RNR261868 RXJ261868:RXN261868 SHF261868:SHJ261868 SRB261868:SRF261868 TAX261868:TBB261868 TKT261868:TKX261868 TUP261868:TUT261868 UEL261868:UEP261868 UOH261868:UOL261868 UYD261868:UYH261868 VHZ261868:VID261868 VRV261868:VRZ261868 WBR261868:WBV261868 WLN261868:WLR261868 WVJ261868:WVN261868 D327404:H327404 IX327404:JB327404 ST327404:SX327404 ACP327404:ACT327404 AML327404:AMP327404 AWH327404:AWL327404 BGD327404:BGH327404 BPZ327404:BQD327404 BZV327404:BZZ327404 CJR327404:CJV327404 CTN327404:CTR327404 DDJ327404:DDN327404 DNF327404:DNJ327404 DXB327404:DXF327404 EGX327404:EHB327404 EQT327404:EQX327404 FAP327404:FAT327404 FKL327404:FKP327404 FUH327404:FUL327404 GED327404:GEH327404 GNZ327404:GOD327404 GXV327404:GXZ327404 HHR327404:HHV327404 HRN327404:HRR327404 IBJ327404:IBN327404 ILF327404:ILJ327404 IVB327404:IVF327404 JEX327404:JFB327404 JOT327404:JOX327404 JYP327404:JYT327404 KIL327404:KIP327404 KSH327404:KSL327404 LCD327404:LCH327404 LLZ327404:LMD327404 LVV327404:LVZ327404 MFR327404:MFV327404 MPN327404:MPR327404 MZJ327404:MZN327404 NJF327404:NJJ327404 NTB327404:NTF327404 OCX327404:ODB327404 OMT327404:OMX327404 OWP327404:OWT327404 PGL327404:PGP327404 PQH327404:PQL327404 QAD327404:QAH327404 QJZ327404:QKD327404 QTV327404:QTZ327404 RDR327404:RDV327404 RNN327404:RNR327404 RXJ327404:RXN327404 SHF327404:SHJ327404 SRB327404:SRF327404 TAX327404:TBB327404 TKT327404:TKX327404 TUP327404:TUT327404 UEL327404:UEP327404 UOH327404:UOL327404 UYD327404:UYH327404 VHZ327404:VID327404 VRV327404:VRZ327404 WBR327404:WBV327404 WLN327404:WLR327404 WVJ327404:WVN327404 D392940:H392940 IX392940:JB392940 ST392940:SX392940 ACP392940:ACT392940 AML392940:AMP392940 AWH392940:AWL392940 BGD392940:BGH392940 BPZ392940:BQD392940 BZV392940:BZZ392940 CJR392940:CJV392940 CTN392940:CTR392940 DDJ392940:DDN392940 DNF392940:DNJ392940 DXB392940:DXF392940 EGX392940:EHB392940 EQT392940:EQX392940 FAP392940:FAT392940 FKL392940:FKP392940 FUH392940:FUL392940 GED392940:GEH392940 GNZ392940:GOD392940 GXV392940:GXZ392940 HHR392940:HHV392940 HRN392940:HRR392940 IBJ392940:IBN392940 ILF392940:ILJ392940 IVB392940:IVF392940 JEX392940:JFB392940 JOT392940:JOX392940 JYP392940:JYT392940 KIL392940:KIP392940 KSH392940:KSL392940 LCD392940:LCH392940 LLZ392940:LMD392940 LVV392940:LVZ392940 MFR392940:MFV392940 MPN392940:MPR392940 MZJ392940:MZN392940 NJF392940:NJJ392940 NTB392940:NTF392940 OCX392940:ODB392940 OMT392940:OMX392940 OWP392940:OWT392940 PGL392940:PGP392940 PQH392940:PQL392940 QAD392940:QAH392940 QJZ392940:QKD392940 QTV392940:QTZ392940 RDR392940:RDV392940 RNN392940:RNR392940 RXJ392940:RXN392940 SHF392940:SHJ392940 SRB392940:SRF392940 TAX392940:TBB392940 TKT392940:TKX392940 TUP392940:TUT392940 UEL392940:UEP392940 UOH392940:UOL392940 UYD392940:UYH392940 VHZ392940:VID392940 VRV392940:VRZ392940 WBR392940:WBV392940 WLN392940:WLR392940 WVJ392940:WVN392940 D458476:H458476 IX458476:JB458476 ST458476:SX458476 ACP458476:ACT458476 AML458476:AMP458476 AWH458476:AWL458476 BGD458476:BGH458476 BPZ458476:BQD458476 BZV458476:BZZ458476 CJR458476:CJV458476 CTN458476:CTR458476 DDJ458476:DDN458476 DNF458476:DNJ458476 DXB458476:DXF458476 EGX458476:EHB458476 EQT458476:EQX458476 FAP458476:FAT458476 FKL458476:FKP458476 FUH458476:FUL458476 GED458476:GEH458476 GNZ458476:GOD458476 GXV458476:GXZ458476 HHR458476:HHV458476 HRN458476:HRR458476 IBJ458476:IBN458476 ILF458476:ILJ458476 IVB458476:IVF458476 JEX458476:JFB458476 JOT458476:JOX458476 JYP458476:JYT458476 KIL458476:KIP458476 KSH458476:KSL458476 LCD458476:LCH458476 LLZ458476:LMD458476 LVV458476:LVZ458476 MFR458476:MFV458476 MPN458476:MPR458476 MZJ458476:MZN458476 NJF458476:NJJ458476 NTB458476:NTF458476 OCX458476:ODB458476 OMT458476:OMX458476 OWP458476:OWT458476 PGL458476:PGP458476 PQH458476:PQL458476 QAD458476:QAH458476 QJZ458476:QKD458476 QTV458476:QTZ458476 RDR458476:RDV458476 RNN458476:RNR458476 RXJ458476:RXN458476 SHF458476:SHJ458476 SRB458476:SRF458476 TAX458476:TBB458476 TKT458476:TKX458476 TUP458476:TUT458476 UEL458476:UEP458476 UOH458476:UOL458476 UYD458476:UYH458476 VHZ458476:VID458476 VRV458476:VRZ458476 WBR458476:WBV458476 WLN458476:WLR458476 WVJ458476:WVN458476 D524012:H524012 IX524012:JB524012 ST524012:SX524012 ACP524012:ACT524012 AML524012:AMP524012 AWH524012:AWL524012 BGD524012:BGH524012 BPZ524012:BQD524012 BZV524012:BZZ524012 CJR524012:CJV524012 CTN524012:CTR524012 DDJ524012:DDN524012 DNF524012:DNJ524012 DXB524012:DXF524012 EGX524012:EHB524012 EQT524012:EQX524012 FAP524012:FAT524012 FKL524012:FKP524012 FUH524012:FUL524012 GED524012:GEH524012 GNZ524012:GOD524012 GXV524012:GXZ524012 HHR524012:HHV524012 HRN524012:HRR524012 IBJ524012:IBN524012 ILF524012:ILJ524012 IVB524012:IVF524012 JEX524012:JFB524012 JOT524012:JOX524012 JYP524012:JYT524012 KIL524012:KIP524012 KSH524012:KSL524012 LCD524012:LCH524012 LLZ524012:LMD524012 LVV524012:LVZ524012 MFR524012:MFV524012 MPN524012:MPR524012 MZJ524012:MZN524012 NJF524012:NJJ524012 NTB524012:NTF524012 OCX524012:ODB524012 OMT524012:OMX524012 OWP524012:OWT524012 PGL524012:PGP524012 PQH524012:PQL524012 QAD524012:QAH524012 QJZ524012:QKD524012 QTV524012:QTZ524012 RDR524012:RDV524012 RNN524012:RNR524012 RXJ524012:RXN524012 SHF524012:SHJ524012 SRB524012:SRF524012 TAX524012:TBB524012 TKT524012:TKX524012 TUP524012:TUT524012 UEL524012:UEP524012 UOH524012:UOL524012 UYD524012:UYH524012 VHZ524012:VID524012 VRV524012:VRZ524012 WBR524012:WBV524012 WLN524012:WLR524012 WVJ524012:WVN524012 D589548:H589548 IX589548:JB589548 ST589548:SX589548 ACP589548:ACT589548 AML589548:AMP589548 AWH589548:AWL589548 BGD589548:BGH589548 BPZ589548:BQD589548 BZV589548:BZZ589548 CJR589548:CJV589548 CTN589548:CTR589548 DDJ589548:DDN589548 DNF589548:DNJ589548 DXB589548:DXF589548 EGX589548:EHB589548 EQT589548:EQX589548 FAP589548:FAT589548 FKL589548:FKP589548 FUH589548:FUL589548 GED589548:GEH589548 GNZ589548:GOD589548 GXV589548:GXZ589548 HHR589548:HHV589548 HRN589548:HRR589548 IBJ589548:IBN589548 ILF589548:ILJ589548 IVB589548:IVF589548 JEX589548:JFB589548 JOT589548:JOX589548 JYP589548:JYT589548 KIL589548:KIP589548 KSH589548:KSL589548 LCD589548:LCH589548 LLZ589548:LMD589548 LVV589548:LVZ589548 MFR589548:MFV589548 MPN589548:MPR589548 MZJ589548:MZN589548 NJF589548:NJJ589548 NTB589548:NTF589548 OCX589548:ODB589548 OMT589548:OMX589548 OWP589548:OWT589548 PGL589548:PGP589548 PQH589548:PQL589548 QAD589548:QAH589548 QJZ589548:QKD589548 QTV589548:QTZ589548 RDR589548:RDV589548 RNN589548:RNR589548 RXJ589548:RXN589548 SHF589548:SHJ589548 SRB589548:SRF589548 TAX589548:TBB589548 TKT589548:TKX589548 TUP589548:TUT589548 UEL589548:UEP589548 UOH589548:UOL589548 UYD589548:UYH589548 VHZ589548:VID589548 VRV589548:VRZ589548 WBR589548:WBV589548 WLN589548:WLR589548 WVJ589548:WVN589548 D655084:H655084 IX655084:JB655084 ST655084:SX655084 ACP655084:ACT655084 AML655084:AMP655084 AWH655084:AWL655084 BGD655084:BGH655084 BPZ655084:BQD655084 BZV655084:BZZ655084 CJR655084:CJV655084 CTN655084:CTR655084 DDJ655084:DDN655084 DNF655084:DNJ655084 DXB655084:DXF655084 EGX655084:EHB655084 EQT655084:EQX655084 FAP655084:FAT655084 FKL655084:FKP655084 FUH655084:FUL655084 GED655084:GEH655084 GNZ655084:GOD655084 GXV655084:GXZ655084 HHR655084:HHV655084 HRN655084:HRR655084 IBJ655084:IBN655084 ILF655084:ILJ655084 IVB655084:IVF655084 JEX655084:JFB655084 JOT655084:JOX655084 JYP655084:JYT655084 KIL655084:KIP655084 KSH655084:KSL655084 LCD655084:LCH655084 LLZ655084:LMD655084 LVV655084:LVZ655084 MFR655084:MFV655084 MPN655084:MPR655084 MZJ655084:MZN655084 NJF655084:NJJ655084 NTB655084:NTF655084 OCX655084:ODB655084 OMT655084:OMX655084 OWP655084:OWT655084 PGL655084:PGP655084 PQH655084:PQL655084 QAD655084:QAH655084 QJZ655084:QKD655084 QTV655084:QTZ655084 RDR655084:RDV655084 RNN655084:RNR655084 RXJ655084:RXN655084 SHF655084:SHJ655084 SRB655084:SRF655084 TAX655084:TBB655084 TKT655084:TKX655084 TUP655084:TUT655084 UEL655084:UEP655084 UOH655084:UOL655084 UYD655084:UYH655084 VHZ655084:VID655084 VRV655084:VRZ655084 WBR655084:WBV655084 WLN655084:WLR655084 WVJ655084:WVN655084 D720620:H720620 IX720620:JB720620 ST720620:SX720620 ACP720620:ACT720620 AML720620:AMP720620 AWH720620:AWL720620 BGD720620:BGH720620 BPZ720620:BQD720620 BZV720620:BZZ720620 CJR720620:CJV720620 CTN720620:CTR720620 DDJ720620:DDN720620 DNF720620:DNJ720620 DXB720620:DXF720620 EGX720620:EHB720620 EQT720620:EQX720620 FAP720620:FAT720620 FKL720620:FKP720620 FUH720620:FUL720620 GED720620:GEH720620 GNZ720620:GOD720620 GXV720620:GXZ720620 HHR720620:HHV720620 HRN720620:HRR720620 IBJ720620:IBN720620 ILF720620:ILJ720620 IVB720620:IVF720620 JEX720620:JFB720620 JOT720620:JOX720620 JYP720620:JYT720620 KIL720620:KIP720620 KSH720620:KSL720620 LCD720620:LCH720620 LLZ720620:LMD720620 LVV720620:LVZ720620 MFR720620:MFV720620 MPN720620:MPR720620 MZJ720620:MZN720620 NJF720620:NJJ720620 NTB720620:NTF720620 OCX720620:ODB720620 OMT720620:OMX720620 OWP720620:OWT720620 PGL720620:PGP720620 PQH720620:PQL720620 QAD720620:QAH720620 QJZ720620:QKD720620 QTV720620:QTZ720620 RDR720620:RDV720620 RNN720620:RNR720620 RXJ720620:RXN720620 SHF720620:SHJ720620 SRB720620:SRF720620 TAX720620:TBB720620 TKT720620:TKX720620 TUP720620:TUT720620 UEL720620:UEP720620 UOH720620:UOL720620 UYD720620:UYH720620 VHZ720620:VID720620 VRV720620:VRZ720620 WBR720620:WBV720620 WLN720620:WLR720620 WVJ720620:WVN720620 D786156:H786156 IX786156:JB786156 ST786156:SX786156 ACP786156:ACT786156 AML786156:AMP786156 AWH786156:AWL786156 BGD786156:BGH786156 BPZ786156:BQD786156 BZV786156:BZZ786156 CJR786156:CJV786156 CTN786156:CTR786156 DDJ786156:DDN786156 DNF786156:DNJ786156 DXB786156:DXF786156 EGX786156:EHB786156 EQT786156:EQX786156 FAP786156:FAT786156 FKL786156:FKP786156 FUH786156:FUL786156 GED786156:GEH786156 GNZ786156:GOD786156 GXV786156:GXZ786156 HHR786156:HHV786156 HRN786156:HRR786156 IBJ786156:IBN786156 ILF786156:ILJ786156 IVB786156:IVF786156 JEX786156:JFB786156 JOT786156:JOX786156 JYP786156:JYT786156 KIL786156:KIP786156 KSH786156:KSL786156 LCD786156:LCH786156 LLZ786156:LMD786156 LVV786156:LVZ786156 MFR786156:MFV786156 MPN786156:MPR786156 MZJ786156:MZN786156 NJF786156:NJJ786156 NTB786156:NTF786156 OCX786156:ODB786156 OMT786156:OMX786156 OWP786156:OWT786156 PGL786156:PGP786156 PQH786156:PQL786156 QAD786156:QAH786156 QJZ786156:QKD786156 QTV786156:QTZ786156 RDR786156:RDV786156 RNN786156:RNR786156 RXJ786156:RXN786156 SHF786156:SHJ786156 SRB786156:SRF786156 TAX786156:TBB786156 TKT786156:TKX786156 TUP786156:TUT786156 UEL786156:UEP786156 UOH786156:UOL786156 UYD786156:UYH786156 VHZ786156:VID786156 VRV786156:VRZ786156 WBR786156:WBV786156 WLN786156:WLR786156 WVJ786156:WVN786156 D851692:H851692 IX851692:JB851692 ST851692:SX851692 ACP851692:ACT851692 AML851692:AMP851692 AWH851692:AWL851692 BGD851692:BGH851692 BPZ851692:BQD851692 BZV851692:BZZ851692 CJR851692:CJV851692 CTN851692:CTR851692 DDJ851692:DDN851692 DNF851692:DNJ851692 DXB851692:DXF851692 EGX851692:EHB851692 EQT851692:EQX851692 FAP851692:FAT851692 FKL851692:FKP851692 FUH851692:FUL851692 GED851692:GEH851692 GNZ851692:GOD851692 GXV851692:GXZ851692 HHR851692:HHV851692 HRN851692:HRR851692 IBJ851692:IBN851692 ILF851692:ILJ851692 IVB851692:IVF851692 JEX851692:JFB851692 JOT851692:JOX851692 JYP851692:JYT851692 KIL851692:KIP851692 KSH851692:KSL851692 LCD851692:LCH851692 LLZ851692:LMD851692 LVV851692:LVZ851692 MFR851692:MFV851692 MPN851692:MPR851692 MZJ851692:MZN851692 NJF851692:NJJ851692 NTB851692:NTF851692 OCX851692:ODB851692 OMT851692:OMX851692 OWP851692:OWT851692 PGL851692:PGP851692 PQH851692:PQL851692 QAD851692:QAH851692 QJZ851692:QKD851692 QTV851692:QTZ851692 RDR851692:RDV851692 RNN851692:RNR851692 RXJ851692:RXN851692 SHF851692:SHJ851692 SRB851692:SRF851692 TAX851692:TBB851692 TKT851692:TKX851692 TUP851692:TUT851692 UEL851692:UEP851692 UOH851692:UOL851692 UYD851692:UYH851692 VHZ851692:VID851692 VRV851692:VRZ851692 WBR851692:WBV851692 WLN851692:WLR851692 WVJ851692:WVN851692 D917228:H917228 IX917228:JB917228 ST917228:SX917228 ACP917228:ACT917228 AML917228:AMP917228 AWH917228:AWL917228 BGD917228:BGH917228 BPZ917228:BQD917228 BZV917228:BZZ917228 CJR917228:CJV917228 CTN917228:CTR917228 DDJ917228:DDN917228 DNF917228:DNJ917228 DXB917228:DXF917228 EGX917228:EHB917228 EQT917228:EQX917228 FAP917228:FAT917228 FKL917228:FKP917228 FUH917228:FUL917228 GED917228:GEH917228 GNZ917228:GOD917228 GXV917228:GXZ917228 HHR917228:HHV917228 HRN917228:HRR917228 IBJ917228:IBN917228 ILF917228:ILJ917228 IVB917228:IVF917228 JEX917228:JFB917228 JOT917228:JOX917228 JYP917228:JYT917228 KIL917228:KIP917228 KSH917228:KSL917228 LCD917228:LCH917228 LLZ917228:LMD917228 LVV917228:LVZ917228 MFR917228:MFV917228 MPN917228:MPR917228 MZJ917228:MZN917228 NJF917228:NJJ917228 NTB917228:NTF917228 OCX917228:ODB917228 OMT917228:OMX917228 OWP917228:OWT917228 PGL917228:PGP917228 PQH917228:PQL917228 QAD917228:QAH917228 QJZ917228:QKD917228 QTV917228:QTZ917228 RDR917228:RDV917228 RNN917228:RNR917228 RXJ917228:RXN917228 SHF917228:SHJ917228 SRB917228:SRF917228 TAX917228:TBB917228 TKT917228:TKX917228 TUP917228:TUT917228 UEL917228:UEP917228 UOH917228:UOL917228 UYD917228:UYH917228 VHZ917228:VID917228 VRV917228:VRZ917228 WBR917228:WBV917228 WLN917228:WLR917228 WVJ917228:WVN917228 D982764:H982764 IX982764:JB982764 ST982764:SX982764 ACP982764:ACT982764 AML982764:AMP982764 AWH982764:AWL982764 BGD982764:BGH982764 BPZ982764:BQD982764 BZV982764:BZZ982764 CJR982764:CJV982764 CTN982764:CTR982764 DDJ982764:DDN982764 DNF982764:DNJ982764 DXB982764:DXF982764 EGX982764:EHB982764 EQT982764:EQX982764 FAP982764:FAT982764 FKL982764:FKP982764 FUH982764:FUL982764 GED982764:GEH982764 GNZ982764:GOD982764 GXV982764:GXZ982764 HHR982764:HHV982764 HRN982764:HRR982764 IBJ982764:IBN982764 ILF982764:ILJ982764 IVB982764:IVF982764 JEX982764:JFB982764 JOT982764:JOX982764 JYP982764:JYT982764 KIL982764:KIP982764 KSH982764:KSL982764 LCD982764:LCH982764 LLZ982764:LMD982764 LVV982764:LVZ982764 MFR982764:MFV982764 MPN982764:MPR982764 MZJ982764:MZN982764 NJF982764:NJJ982764 NTB982764:NTF982764 OCX982764:ODB982764 OMT982764:OMX982764 OWP982764:OWT982764 PGL982764:PGP982764 PQH982764:PQL982764 QAD982764:QAH982764 QJZ982764:QKD982764 QTV982764:QTZ982764 RDR982764:RDV982764 RNN982764:RNR982764 RXJ982764:RXN982764 SHF982764:SHJ982764 SRB982764:SRF982764 TAX982764:TBB982764 TKT982764:TKX982764 TUP982764:TUT982764 UEL982764:UEP982764 UOH982764:UOL982764 UYD982764:UYH982764 VHZ982764:VID982764 VRV982764:VRZ982764 WBR982764:WBV982764 WLN982764:WLR982764 WVJ982764:WVN982764 IX5:JB8 ST5:SX8 ACP5:ACT8 AML5:AMP8 AWH5:AWL8 BGD5:BGH8 BPZ5:BQD8 BZV5:BZZ8 CJR5:CJV8 CTN5:CTR8 DDJ5:DDN8 DNF5:DNJ8 DXB5:DXF8 EGX5:EHB8 EQT5:EQX8 FAP5:FAT8 FKL5:FKP8 FUH5:FUL8 GED5:GEH8 GNZ5:GOD8 GXV5:GXZ8 HHR5:HHV8 HRN5:HRR8 IBJ5:IBN8 ILF5:ILJ8 IVB5:IVF8 JEX5:JFB8 JOT5:JOX8 JYP5:JYT8 KIL5:KIP8 KSH5:KSL8 LCD5:LCH8 LLZ5:LMD8 LVV5:LVZ8 MFR5:MFV8 MPN5:MPR8 MZJ5:MZN8 NJF5:NJJ8 NTB5:NTF8 OCX5:ODB8 OMT5:OMX8 OWP5:OWT8 PGL5:PGP8 PQH5:PQL8 QAD5:QAH8 QJZ5:QKD8 QTV5:QTZ8 RDR5:RDV8 RNN5:RNR8 RXJ5:RXN8 SHF5:SHJ8 SRB5:SRF8 TAX5:TBB8 TKT5:TKX8 TUP5:TUT8 UEL5:UEP8 UOH5:UOL8 UYD5:UYH8 VHZ5:VID8 VRV5:VRZ8 WBR5:WBV8 WLN5:WLR8 WVJ5:WVN8 E6:E7">
      <formula1>EJES</formula1>
    </dataValidation>
    <dataValidation type="list" allowBlank="1" showInputMessage="1" showErrorMessage="1" sqref="E8:L8">
      <formula1>ENTIDADES_1</formula1>
    </dataValidation>
  </dataValidations>
  <hyperlinks>
    <hyperlink ref="Q8" location="Portada!A1" display="Volver"/>
    <hyperlink ref="B24:C24" location="'Meta de Producto'!A1" display="TOTAL DE METAS"/>
  </hyperlinks>
  <printOptions horizontalCentered="1" verticalCentered="1"/>
  <pageMargins left="0.78740157480314965" right="0.78740157480314965" top="0.35433070866141736" bottom="0.62992125984251968" header="0.23622047244094491" footer="0.70866141732283472"/>
  <pageSetup scale="70" orientation="landscape" r:id="rId1"/>
  <headerFooter alignWithMargins="0"/>
  <ignoredErrors>
    <ignoredError sqref="B20 B31 B32:B106 C13:D16" unlockedFormula="1"/>
    <ignoredError sqref="E13:E16" formula="1" unlockedFormula="1"/>
    <ignoredError sqref="E17" formula="1"/>
  </ignoredErrors>
  <drawing r:id="rId2"/>
  <extLst>
    <ext xmlns:x14="http://schemas.microsoft.com/office/spreadsheetml/2009/9/main" uri="{78C0D931-6437-407d-A8EE-F0AAD7539E65}">
      <x14:conditionalFormattings>
        <x14:conditionalFormatting xmlns:xm="http://schemas.microsoft.com/office/excel/2006/main">
          <x14:cfRule type="dataBar" id="{DAEDB30E-88B8-43CA-840D-735F395D7D45}">
            <x14:dataBar minLength="0" maxLength="100">
              <x14:cfvo type="autoMin"/>
              <x14:cfvo type="autoMax"/>
              <x14:negativeFillColor rgb="FFFF0000"/>
              <x14:axisColor rgb="FF000000"/>
            </x14:dataBar>
          </x14:cfRule>
          <xm:sqref>P31:P106</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theme="0"/>
  </sheetPr>
  <dimension ref="A2:IV145"/>
  <sheetViews>
    <sheetView topLeftCell="A13" zoomScale="91" zoomScaleNormal="91" workbookViewId="0">
      <pane xSplit="3" ySplit="11" topLeftCell="D113" activePane="bottomRight" state="frozen"/>
      <selection activeCell="R16" sqref="R16:U16"/>
      <selection pane="topRight" activeCell="R16" sqref="R16:U16"/>
      <selection pane="bottomLeft" activeCell="R16" sqref="R16:U16"/>
      <selection pane="bottomRight" activeCell="C136" sqref="C136"/>
    </sheetView>
  </sheetViews>
  <sheetFormatPr baseColWidth="10" defaultRowHeight="11.25"/>
  <cols>
    <col min="1" max="1" width="7.28515625" style="20" bestFit="1" customWidth="1"/>
    <col min="2" max="2" width="56.140625" style="15" customWidth="1"/>
    <col min="3" max="3" width="42.85546875" style="14" customWidth="1"/>
    <col min="4" max="4" width="39.5703125" style="15" customWidth="1"/>
    <col min="5" max="5" width="27.140625" style="15" customWidth="1"/>
    <col min="6" max="6" width="32" style="15" customWidth="1"/>
    <col min="7" max="7" width="16.5703125" style="15" bestFit="1" customWidth="1"/>
    <col min="8" max="8" width="15" style="15" bestFit="1" customWidth="1"/>
    <col min="9" max="9" width="21.42578125" style="15" bestFit="1" customWidth="1"/>
    <col min="10" max="10" width="19.140625" style="15" bestFit="1" customWidth="1"/>
    <col min="11" max="11" width="16.7109375" style="15" bestFit="1" customWidth="1"/>
    <col min="12" max="13" width="19.140625" style="15" bestFit="1" customWidth="1"/>
    <col min="14" max="14" width="14.42578125" style="15" customWidth="1"/>
    <col min="15" max="15" width="16.7109375" style="15" bestFit="1" customWidth="1"/>
    <col min="16" max="17" width="19.140625" style="15" bestFit="1" customWidth="1"/>
    <col min="18" max="18" width="18" style="15" bestFit="1" customWidth="1"/>
    <col min="19" max="19" width="16.7109375" style="15" bestFit="1" customWidth="1"/>
    <col min="20" max="20" width="42.85546875" style="15" customWidth="1"/>
    <col min="21" max="21" width="32.42578125" style="15" customWidth="1"/>
    <col min="22" max="22" width="32.28515625" style="15" customWidth="1"/>
    <col min="23" max="23" width="47.5703125" style="15" customWidth="1"/>
    <col min="24" max="24" width="59.42578125" style="15" customWidth="1"/>
    <col min="25" max="25" width="37.5703125" style="15" customWidth="1"/>
    <col min="26" max="26" width="39" style="15" customWidth="1"/>
    <col min="27" max="27" width="38.5703125" style="15" customWidth="1"/>
    <col min="28" max="28" width="30" style="15" customWidth="1"/>
    <col min="29" max="29" width="41.7109375" style="15" customWidth="1"/>
    <col min="30" max="30" width="44.5703125" style="15" customWidth="1"/>
    <col min="31" max="31" width="18.42578125" style="15" customWidth="1"/>
    <col min="32" max="32" width="13.140625" style="15" bestFit="1" customWidth="1"/>
    <col min="33" max="33" width="17" style="15" customWidth="1"/>
    <col min="34" max="34" width="14.5703125" style="15" customWidth="1"/>
    <col min="35" max="35" width="24.85546875" style="15" customWidth="1"/>
    <col min="36" max="36" width="13.5703125" style="15" customWidth="1"/>
    <col min="37" max="37" width="15.42578125" style="15" customWidth="1"/>
    <col min="38" max="38" width="13.7109375" style="15" customWidth="1"/>
    <col min="39" max="39" width="10.42578125" style="15" bestFit="1" customWidth="1"/>
    <col min="40" max="40" width="28.7109375" style="15" customWidth="1"/>
    <col min="41" max="41" width="33" style="15" customWidth="1"/>
    <col min="42" max="42" width="32" style="15" customWidth="1"/>
    <col min="43" max="43" width="42.85546875" style="15" customWidth="1"/>
    <col min="44" max="44" width="30.140625" style="15" customWidth="1"/>
    <col min="45" max="45" width="29.42578125" style="15" customWidth="1"/>
    <col min="46" max="46" width="31.140625" style="15" customWidth="1"/>
    <col min="47" max="47" width="36.85546875" style="15" customWidth="1"/>
    <col min="48" max="48" width="33.7109375" style="15" customWidth="1"/>
    <col min="49" max="49" width="33" style="15" customWidth="1"/>
    <col min="50" max="50" width="7.42578125" style="15" bestFit="1" customWidth="1"/>
    <col min="51" max="51" width="12.140625" style="15" bestFit="1" customWidth="1"/>
    <col min="52" max="52" width="16.5703125" style="15" customWidth="1"/>
    <col min="53" max="53" width="9.5703125" style="7" customWidth="1"/>
    <col min="54" max="54" width="11.140625" style="7" bestFit="1" customWidth="1"/>
    <col min="55" max="56" width="12.140625" style="7" bestFit="1" customWidth="1"/>
    <col min="57" max="57" width="6.42578125" style="7" bestFit="1" customWidth="1"/>
    <col min="58" max="58" width="11.42578125" style="7" bestFit="1" customWidth="1"/>
    <col min="59" max="60" width="12.140625" style="7" bestFit="1" customWidth="1"/>
    <col min="61" max="61" width="6.28515625" style="7" bestFit="1" customWidth="1"/>
    <col min="62" max="62" width="11.140625" style="7" bestFit="1" customWidth="1"/>
    <col min="63" max="63" width="13.85546875" style="7" customWidth="1"/>
    <col min="64" max="64" width="10.85546875" style="7" bestFit="1" customWidth="1"/>
    <col min="65" max="65" width="6.28515625" style="7" bestFit="1" customWidth="1"/>
    <col min="66" max="67" width="10" style="7" bestFit="1" customWidth="1"/>
    <col min="68" max="68" width="9.140625" style="7" bestFit="1" customWidth="1"/>
    <col min="69" max="69" width="25.42578125" style="7" customWidth="1"/>
    <col min="70" max="70" width="7.42578125" style="7" bestFit="1" customWidth="1"/>
    <col min="71" max="71" width="5.85546875" style="7" bestFit="1" customWidth="1"/>
    <col min="72" max="72" width="35.85546875" style="7" customWidth="1"/>
    <col min="73" max="79" width="6.42578125" style="7" customWidth="1"/>
    <col min="80" max="80" width="10.42578125" style="7" bestFit="1" customWidth="1"/>
    <col min="81" max="81" width="12.28515625" style="7" bestFit="1" customWidth="1"/>
    <col min="82" max="82" width="8.85546875" style="7" customWidth="1"/>
    <col min="83" max="83" width="6.42578125" style="7" customWidth="1"/>
    <col min="84" max="84" width="11.5703125" style="7" customWidth="1"/>
    <col min="85" max="85" width="13.140625" style="7" customWidth="1"/>
    <col min="86" max="86" width="11.7109375" style="7" bestFit="1" customWidth="1"/>
    <col min="87" max="87" width="6.42578125" style="7" customWidth="1"/>
    <col min="88" max="88" width="10.42578125" style="7" bestFit="1" customWidth="1"/>
    <col min="89" max="89" width="9.140625" style="7" bestFit="1" customWidth="1"/>
    <col min="90" max="90" width="6.42578125" style="7" customWidth="1"/>
    <col min="91" max="91" width="22.28515625" style="7" bestFit="1" customWidth="1"/>
    <col min="92" max="93" width="6.42578125" style="7" customWidth="1"/>
    <col min="94" max="94" width="25.28515625" style="7" customWidth="1"/>
    <col min="95" max="95" width="12.85546875" style="7" customWidth="1"/>
    <col min="96" max="96" width="17.7109375" style="7" bestFit="1" customWidth="1"/>
    <col min="97" max="98" width="6.42578125" style="7" customWidth="1"/>
    <col min="99" max="100" width="10.85546875" style="7" bestFit="1" customWidth="1"/>
    <col min="101" max="102" width="6.42578125" style="7" customWidth="1"/>
    <col min="103" max="104" width="10.85546875" style="7" bestFit="1" customWidth="1"/>
    <col min="105" max="106" width="6.42578125" style="7" customWidth="1"/>
    <col min="107" max="107" width="11.140625" style="7" bestFit="1" customWidth="1"/>
    <col min="108" max="110" width="6.42578125" style="7" customWidth="1"/>
    <col min="111" max="111" width="9.140625" style="7" bestFit="1" customWidth="1"/>
    <col min="112" max="113" width="6.42578125" style="7" customWidth="1"/>
    <col min="114" max="114" width="8.7109375" style="7" bestFit="1" customWidth="1"/>
    <col min="115" max="115" width="8.42578125" style="7" bestFit="1" customWidth="1"/>
    <col min="116" max="116" width="34.85546875" style="7" bestFit="1" customWidth="1"/>
    <col min="117" max="117" width="8.140625" style="7" bestFit="1" customWidth="1"/>
    <col min="118" max="118" width="8.5703125" style="7" bestFit="1" customWidth="1"/>
    <col min="119" max="119" width="8.140625" style="7" bestFit="1" customWidth="1"/>
    <col min="120" max="120" width="8.7109375" style="7" bestFit="1" customWidth="1"/>
    <col min="121" max="121" width="8.42578125" style="7" bestFit="1" customWidth="1"/>
    <col min="122" max="122" width="8.5703125" style="7" bestFit="1" customWidth="1"/>
    <col min="123" max="123" width="8.140625" style="7" bestFit="1" customWidth="1"/>
    <col min="124" max="124" width="12.85546875" style="7" bestFit="1" customWidth="1"/>
    <col min="125" max="125" width="12.140625" style="7" bestFit="1" customWidth="1"/>
    <col min="126" max="126" width="8.5703125" style="7" bestFit="1" customWidth="1"/>
    <col min="127" max="127" width="8.140625" style="7" bestFit="1" customWidth="1"/>
    <col min="128" max="128" width="13.140625" style="7" bestFit="1" customWidth="1"/>
    <col min="129" max="129" width="12.85546875" style="7" bestFit="1" customWidth="1"/>
    <col min="130" max="130" width="8.5703125" style="7" bestFit="1" customWidth="1"/>
    <col min="131" max="131" width="8.140625" style="7" bestFit="1" customWidth="1"/>
    <col min="132" max="132" width="13.140625" style="7" bestFit="1" customWidth="1"/>
    <col min="133" max="133" width="8.42578125" style="7" bestFit="1" customWidth="1"/>
    <col min="134" max="134" width="10" style="7" bestFit="1" customWidth="1"/>
    <col min="135" max="135" width="10.28515625" style="7" bestFit="1" customWidth="1"/>
    <col min="136" max="136" width="8.7109375" style="7" bestFit="1" customWidth="1"/>
    <col min="137" max="137" width="8.42578125" style="7" bestFit="1" customWidth="1"/>
    <col min="138" max="138" width="30" style="7" bestFit="1" customWidth="1"/>
    <col min="139" max="139" width="8.140625" style="7" bestFit="1" customWidth="1"/>
    <col min="140" max="140" width="8.5703125" style="7" bestFit="1" customWidth="1"/>
    <col min="141" max="141" width="8.140625" style="7" bestFit="1" customWidth="1"/>
    <col min="142" max="143" width="11.42578125" style="7" bestFit="1" customWidth="1"/>
    <col min="144" max="144" width="8.5703125" style="7" bestFit="1" customWidth="1"/>
    <col min="145" max="145" width="8.140625" style="7" bestFit="1" customWidth="1"/>
    <col min="146" max="146" width="12.140625" style="7" bestFit="1" customWidth="1"/>
    <col min="147" max="147" width="12.42578125" style="7" bestFit="1" customWidth="1"/>
    <col min="148" max="148" width="8.5703125" style="7" bestFit="1" customWidth="1"/>
    <col min="149" max="149" width="8.140625" style="7" bestFit="1" customWidth="1"/>
    <col min="150" max="151" width="12.42578125" style="7" bestFit="1" customWidth="1"/>
    <col min="152" max="152" width="8.5703125" style="7" bestFit="1" customWidth="1"/>
    <col min="153" max="153" width="8.140625" style="7" bestFit="1" customWidth="1"/>
    <col min="154" max="154" width="12.42578125" style="7" bestFit="1" customWidth="1"/>
    <col min="155" max="155" width="8.42578125" style="7" bestFit="1" customWidth="1"/>
    <col min="156" max="156" width="8.5703125" style="7" bestFit="1" customWidth="1"/>
    <col min="157" max="157" width="9.28515625" style="7" bestFit="1" customWidth="1"/>
    <col min="158" max="158" width="8.7109375" style="7" bestFit="1" customWidth="1"/>
    <col min="159" max="159" width="8.42578125" style="7" bestFit="1" customWidth="1"/>
    <col min="160" max="160" width="48" style="7" customWidth="1"/>
    <col min="161" max="161" width="8.140625" style="7" bestFit="1" customWidth="1"/>
    <col min="162" max="162" width="8.5703125" style="7" bestFit="1" customWidth="1"/>
    <col min="163" max="163" width="8.140625" style="7" bestFit="1" customWidth="1"/>
    <col min="164" max="164" width="11.42578125" style="18" bestFit="1" customWidth="1"/>
    <col min="165" max="165" width="11.42578125" style="7" bestFit="1" customWidth="1"/>
    <col min="166" max="166" width="8.5703125" style="7" bestFit="1" customWidth="1"/>
    <col min="167" max="167" width="8.140625" style="7" bestFit="1" customWidth="1"/>
    <col min="168" max="168" width="11.7109375" style="7" bestFit="1" customWidth="1"/>
    <col min="169" max="169" width="11" style="7" bestFit="1" customWidth="1"/>
    <col min="170" max="170" width="8.5703125" style="7" bestFit="1" customWidth="1"/>
    <col min="171" max="171" width="8.140625" style="7" bestFit="1" customWidth="1"/>
    <col min="172" max="172" width="12.140625" style="7" bestFit="1" customWidth="1"/>
    <col min="173" max="173" width="11.42578125" style="7" bestFit="1" customWidth="1"/>
    <col min="174" max="174" width="8.5703125" style="7" bestFit="1" customWidth="1"/>
    <col min="175" max="175" width="8.140625" style="7" bestFit="1" customWidth="1"/>
    <col min="176" max="176" width="12.140625" style="7" bestFit="1" customWidth="1"/>
    <col min="177" max="177" width="8.42578125" style="7" bestFit="1" customWidth="1"/>
    <col min="178" max="178" width="10" style="7" bestFit="1" customWidth="1"/>
    <col min="179" max="179" width="9.28515625" style="7" bestFit="1" customWidth="1"/>
    <col min="180" max="180" width="8.7109375" style="7" bestFit="1" customWidth="1"/>
    <col min="181" max="181" width="8.42578125" style="7" bestFit="1" customWidth="1"/>
    <col min="182" max="182" width="42.28515625" style="7" bestFit="1" customWidth="1"/>
    <col min="183" max="183" width="5.85546875" style="7" customWidth="1"/>
    <col min="184" max="184" width="39.28515625" style="7" customWidth="1"/>
    <col min="185" max="185" width="6.28515625" style="7" bestFit="1" customWidth="1"/>
    <col min="186" max="186" width="12.42578125" style="7" bestFit="1" customWidth="1"/>
    <col min="187" max="187" width="12.140625" style="7" bestFit="1" customWidth="1"/>
    <col min="188" max="188" width="8.5703125" style="7" bestFit="1" customWidth="1"/>
    <col min="189" max="189" width="8.140625" style="7" bestFit="1" customWidth="1"/>
    <col min="190" max="190" width="12.140625" style="7" bestFit="1" customWidth="1"/>
    <col min="191" max="191" width="12.42578125" style="7" bestFit="1" customWidth="1"/>
    <col min="192" max="192" width="8.5703125" style="7" bestFit="1" customWidth="1"/>
    <col min="193" max="193" width="8.140625" style="7" bestFit="1" customWidth="1"/>
    <col min="194" max="194" width="13.140625" style="7" bestFit="1" customWidth="1"/>
    <col min="195" max="195" width="12.42578125" style="7" bestFit="1" customWidth="1"/>
    <col min="196" max="196" width="8.5703125" style="7" bestFit="1" customWidth="1"/>
    <col min="197" max="197" width="8.140625" style="7" bestFit="1" customWidth="1"/>
    <col min="198" max="198" width="12.140625" style="7" bestFit="1" customWidth="1"/>
    <col min="199" max="199" width="8.42578125" style="7" bestFit="1" customWidth="1"/>
    <col min="200" max="201" width="10" style="7" bestFit="1" customWidth="1"/>
    <col min="202" max="202" width="8.7109375" style="7" bestFit="1" customWidth="1"/>
    <col min="203" max="203" width="8.42578125" style="7" bestFit="1" customWidth="1"/>
    <col min="204" max="204" width="27.28515625" style="7" bestFit="1" customWidth="1"/>
    <col min="205" max="205" width="8.140625" style="7" bestFit="1" customWidth="1"/>
    <col min="206" max="206" width="8.5703125" style="7" bestFit="1" customWidth="1"/>
    <col min="207" max="207" width="8.140625" style="7" bestFit="1" customWidth="1"/>
    <col min="208" max="209" width="11.42578125" style="7" bestFit="1" customWidth="1"/>
    <col min="210" max="210" width="8.5703125" style="7" bestFit="1" customWidth="1"/>
    <col min="211" max="211" width="8.140625" style="7" bestFit="1" customWidth="1"/>
    <col min="212" max="212" width="11.42578125" style="7" bestFit="1" customWidth="1"/>
    <col min="213" max="213" width="12.140625" style="7" bestFit="1" customWidth="1"/>
    <col min="214" max="214" width="8.5703125" style="7" bestFit="1" customWidth="1"/>
    <col min="215" max="215" width="8.140625" style="7" bestFit="1" customWidth="1"/>
    <col min="216" max="216" width="12.42578125" style="7" bestFit="1" customWidth="1"/>
    <col min="217" max="217" width="12.140625" style="7" bestFit="1" customWidth="1"/>
    <col min="218" max="218" width="8.5703125" style="7" bestFit="1" customWidth="1"/>
    <col min="219" max="219" width="8.140625" style="7" bestFit="1" customWidth="1"/>
    <col min="220" max="220" width="12.140625" style="7" bestFit="1" customWidth="1"/>
    <col min="221" max="221" width="8.42578125" style="7" bestFit="1" customWidth="1"/>
    <col min="222" max="222" width="10" style="7" bestFit="1" customWidth="1"/>
    <col min="223" max="223" width="9.28515625" style="7" bestFit="1" customWidth="1"/>
    <col min="224" max="224" width="8.7109375" style="7" bestFit="1" customWidth="1"/>
    <col min="225" max="225" width="8.42578125" style="7" bestFit="1" customWidth="1"/>
    <col min="226" max="227" width="6.42578125" style="7" bestFit="1" customWidth="1"/>
    <col min="228" max="228" width="7" style="7" bestFit="1" customWidth="1"/>
    <col min="229" max="229" width="6.7109375" style="7" bestFit="1" customWidth="1"/>
    <col min="230" max="231" width="7" style="7" bestFit="1" customWidth="1"/>
    <col min="232" max="240" width="7.85546875" style="7" bestFit="1" customWidth="1"/>
    <col min="241" max="247" width="5.7109375" style="7" bestFit="1" customWidth="1"/>
    <col min="248" max="16384" width="11.42578125" style="7"/>
  </cols>
  <sheetData>
    <row r="2" spans="1:188" ht="26.25">
      <c r="B2" s="1528" t="s">
        <v>2644</v>
      </c>
      <c r="C2" s="1528"/>
    </row>
    <row r="5" spans="1:188" ht="21">
      <c r="B5" s="891">
        <v>1</v>
      </c>
      <c r="C5" s="892">
        <v>2</v>
      </c>
      <c r="D5" s="891">
        <v>3</v>
      </c>
      <c r="E5" s="892">
        <v>4</v>
      </c>
      <c r="F5" s="891">
        <v>5</v>
      </c>
      <c r="G5" s="892">
        <v>6</v>
      </c>
      <c r="H5" s="891">
        <v>7</v>
      </c>
      <c r="I5" s="892">
        <v>8</v>
      </c>
      <c r="J5" s="891">
        <v>9</v>
      </c>
      <c r="K5" s="892">
        <v>10</v>
      </c>
      <c r="L5" s="891">
        <v>11</v>
      </c>
      <c r="M5" s="892">
        <v>12</v>
      </c>
      <c r="N5" s="891">
        <v>13</v>
      </c>
      <c r="O5" s="892">
        <v>14</v>
      </c>
      <c r="P5" s="891">
        <v>15</v>
      </c>
      <c r="Q5" s="892">
        <v>16</v>
      </c>
      <c r="R5" s="891">
        <v>17</v>
      </c>
      <c r="S5" s="892">
        <v>18</v>
      </c>
      <c r="T5" s="891">
        <v>19</v>
      </c>
      <c r="U5" s="892">
        <v>20</v>
      </c>
      <c r="V5" s="891">
        <v>21</v>
      </c>
      <c r="W5" s="892">
        <v>22</v>
      </c>
      <c r="X5" s="891">
        <v>23</v>
      </c>
      <c r="Y5" s="892">
        <v>24</v>
      </c>
      <c r="Z5" s="891">
        <v>25</v>
      </c>
      <c r="AA5" s="892">
        <v>26</v>
      </c>
      <c r="AB5" s="891">
        <v>27</v>
      </c>
      <c r="AC5" s="892">
        <v>28</v>
      </c>
      <c r="AD5" s="891">
        <v>29</v>
      </c>
      <c r="AE5" s="892">
        <v>30</v>
      </c>
      <c r="AF5" s="891">
        <v>31</v>
      </c>
      <c r="AG5" s="892">
        <v>32</v>
      </c>
      <c r="AH5" s="891">
        <v>33</v>
      </c>
      <c r="AI5" s="922">
        <v>34</v>
      </c>
      <c r="AJ5" s="923">
        <v>35</v>
      </c>
      <c r="AK5" s="922">
        <v>36</v>
      </c>
      <c r="AL5" s="923">
        <v>37</v>
      </c>
      <c r="AM5" s="922">
        <v>38</v>
      </c>
      <c r="AN5" s="923">
        <v>39</v>
      </c>
      <c r="AO5" s="922">
        <v>40</v>
      </c>
      <c r="AP5" s="923">
        <v>41</v>
      </c>
      <c r="AQ5" s="922">
        <v>42</v>
      </c>
      <c r="AR5" s="923">
        <v>43</v>
      </c>
      <c r="AS5" s="922">
        <v>44</v>
      </c>
      <c r="AT5" s="923">
        <v>45</v>
      </c>
      <c r="AU5" s="922">
        <v>46</v>
      </c>
      <c r="AV5" s="923">
        <v>47</v>
      </c>
      <c r="AW5" s="922">
        <v>48</v>
      </c>
      <c r="AX5" s="923">
        <v>49</v>
      </c>
      <c r="AY5" s="922">
        <v>50</v>
      </c>
      <c r="AZ5" s="923">
        <v>51</v>
      </c>
      <c r="BA5" s="922">
        <v>52</v>
      </c>
      <c r="BB5" s="923">
        <v>53</v>
      </c>
      <c r="BC5" s="922">
        <v>54</v>
      </c>
      <c r="BD5" s="923">
        <v>55</v>
      </c>
      <c r="BE5" s="922">
        <v>56</v>
      </c>
      <c r="BF5" s="923">
        <v>57</v>
      </c>
      <c r="BG5" s="922">
        <v>58</v>
      </c>
      <c r="BH5" s="923">
        <v>59</v>
      </c>
      <c r="BI5" s="922">
        <v>60</v>
      </c>
      <c r="BJ5" s="923">
        <v>61</v>
      </c>
      <c r="BK5" s="922">
        <v>62</v>
      </c>
      <c r="BL5" s="923">
        <v>63</v>
      </c>
      <c r="BM5" s="922">
        <v>64</v>
      </c>
      <c r="BN5" s="923">
        <v>65</v>
      </c>
      <c r="BO5" s="922">
        <v>66</v>
      </c>
      <c r="BP5" s="923">
        <v>67</v>
      </c>
      <c r="BQ5" s="922">
        <v>68</v>
      </c>
      <c r="BR5" s="923">
        <v>69</v>
      </c>
      <c r="BS5" s="922">
        <v>70</v>
      </c>
      <c r="BT5" s="923">
        <v>71</v>
      </c>
      <c r="BU5" s="922">
        <v>72</v>
      </c>
      <c r="BV5" s="923">
        <v>73</v>
      </c>
      <c r="BW5" s="922">
        <v>74</v>
      </c>
      <c r="BX5" s="923">
        <v>75</v>
      </c>
      <c r="BY5" s="922">
        <v>76</v>
      </c>
      <c r="BZ5" s="923">
        <v>77</v>
      </c>
      <c r="CA5" s="922">
        <v>78</v>
      </c>
      <c r="CB5" s="923">
        <v>79</v>
      </c>
      <c r="CC5" s="922">
        <v>80</v>
      </c>
      <c r="CD5" s="923">
        <v>81</v>
      </c>
      <c r="CE5" s="922">
        <v>82</v>
      </c>
      <c r="CF5" s="923">
        <v>83</v>
      </c>
      <c r="CG5" s="922">
        <v>84</v>
      </c>
      <c r="CH5" s="923">
        <v>85</v>
      </c>
      <c r="CI5" s="922">
        <v>86</v>
      </c>
      <c r="CJ5" s="923">
        <v>87</v>
      </c>
      <c r="CK5" s="922">
        <v>88</v>
      </c>
      <c r="CL5" s="923">
        <v>89</v>
      </c>
      <c r="CM5" s="922">
        <v>90</v>
      </c>
      <c r="CN5" s="923">
        <v>91</v>
      </c>
      <c r="CO5" s="922">
        <v>92</v>
      </c>
      <c r="CP5" s="923">
        <v>93</v>
      </c>
      <c r="CQ5" s="922">
        <v>94</v>
      </c>
      <c r="CR5" s="923">
        <v>95</v>
      </c>
      <c r="CS5" s="922">
        <v>96</v>
      </c>
      <c r="CT5" s="923">
        <v>97</v>
      </c>
      <c r="CU5" s="922">
        <v>98</v>
      </c>
      <c r="CV5" s="923">
        <v>99</v>
      </c>
      <c r="CW5" s="922">
        <v>100</v>
      </c>
      <c r="CX5" s="923">
        <v>101</v>
      </c>
      <c r="CY5" s="922">
        <v>102</v>
      </c>
      <c r="CZ5" s="923">
        <v>103</v>
      </c>
      <c r="DA5" s="922">
        <v>104</v>
      </c>
      <c r="DB5" s="923">
        <v>105</v>
      </c>
      <c r="DC5" s="922">
        <v>106</v>
      </c>
      <c r="DD5" s="923">
        <v>107</v>
      </c>
      <c r="DE5" s="922">
        <v>108</v>
      </c>
      <c r="DF5" s="923">
        <v>109</v>
      </c>
      <c r="DG5" s="922">
        <v>110</v>
      </c>
      <c r="DH5" s="923">
        <v>111</v>
      </c>
      <c r="DI5" s="922">
        <v>112</v>
      </c>
    </row>
    <row r="6" spans="1:188" ht="33.75">
      <c r="A6" s="20">
        <v>1</v>
      </c>
      <c r="B6" s="950" t="s">
        <v>2</v>
      </c>
      <c r="C6" s="948" t="s">
        <v>2761</v>
      </c>
      <c r="D6" s="948" t="s">
        <v>2756</v>
      </c>
      <c r="E6" s="19" t="s">
        <v>2989</v>
      </c>
      <c r="F6" s="19" t="s">
        <v>2990</v>
      </c>
      <c r="G6" s="19" t="s">
        <v>2315</v>
      </c>
      <c r="H6" s="19" t="s">
        <v>2685</v>
      </c>
      <c r="I6" s="19" t="s">
        <v>2065</v>
      </c>
      <c r="J6" s="19" t="s">
        <v>2686</v>
      </c>
      <c r="K6" s="19" t="s">
        <v>2319</v>
      </c>
      <c r="L6" s="19" t="s">
        <v>2687</v>
      </c>
      <c r="M6" s="19" t="s">
        <v>2320</v>
      </c>
      <c r="N6" s="19" t="s">
        <v>2031</v>
      </c>
      <c r="O6" s="976" t="s">
        <v>2790</v>
      </c>
      <c r="P6" s="976" t="s">
        <v>2791</v>
      </c>
      <c r="Q6" s="976" t="s">
        <v>2792</v>
      </c>
      <c r="R6" s="976" t="s">
        <v>2793</v>
      </c>
      <c r="S6" s="976" t="s">
        <v>2798</v>
      </c>
      <c r="T6" s="1142" t="s">
        <v>2806</v>
      </c>
      <c r="U6" s="1142" t="s">
        <v>2807</v>
      </c>
      <c r="V6" s="1142" t="s">
        <v>2808</v>
      </c>
      <c r="W6" s="1142" t="s">
        <v>2809</v>
      </c>
      <c r="X6" s="1142" t="s">
        <v>2810</v>
      </c>
      <c r="Y6" s="19"/>
      <c r="Z6" s="19"/>
      <c r="AA6" s="19"/>
      <c r="AB6" s="19"/>
      <c r="AC6" s="19"/>
      <c r="AD6" s="19"/>
      <c r="AE6" s="19"/>
      <c r="AF6" s="19"/>
      <c r="AG6" s="19"/>
      <c r="AI6" s="180"/>
      <c r="AJ6" s="180"/>
      <c r="AK6" s="180"/>
      <c r="AL6" s="180"/>
      <c r="AM6" s="180"/>
      <c r="AN6" s="180"/>
      <c r="AO6" s="180"/>
      <c r="AP6" s="180"/>
      <c r="AQ6" s="180"/>
      <c r="AR6" s="180"/>
      <c r="AS6" s="180"/>
      <c r="AT6" s="180"/>
      <c r="AU6" s="916"/>
      <c r="AV6" s="43"/>
      <c r="AW6" s="180"/>
      <c r="AX6" s="180"/>
      <c r="AY6" s="180"/>
      <c r="AZ6" s="180"/>
      <c r="BA6" s="180"/>
      <c r="BB6" s="180"/>
      <c r="BC6" s="180"/>
      <c r="BD6" s="180"/>
      <c r="BE6" s="180"/>
      <c r="BF6" s="180"/>
      <c r="BG6" s="180"/>
      <c r="BH6" s="180"/>
      <c r="BI6" s="180"/>
      <c r="BJ6" s="180"/>
      <c r="BK6" s="180"/>
      <c r="BL6" s="180"/>
      <c r="BM6" s="180"/>
      <c r="BN6" s="180"/>
      <c r="BO6" s="180"/>
      <c r="BP6" s="180"/>
      <c r="BQ6" s="916"/>
      <c r="BR6" s="43"/>
      <c r="BS6" s="180"/>
      <c r="BT6" s="180"/>
      <c r="BU6" s="180"/>
      <c r="BV6" s="180"/>
      <c r="BW6" s="180"/>
      <c r="BX6" s="180"/>
      <c r="BY6" s="180"/>
      <c r="BZ6" s="180"/>
      <c r="CA6" s="180"/>
      <c r="CB6" s="180"/>
      <c r="CC6" s="180"/>
      <c r="CD6" s="180"/>
      <c r="CE6" s="180"/>
      <c r="CF6" s="180"/>
      <c r="CG6" s="180"/>
      <c r="CH6" s="180"/>
      <c r="CI6" s="180"/>
      <c r="CJ6" s="180"/>
      <c r="CK6" s="180"/>
      <c r="CL6" s="180"/>
      <c r="CM6" s="916"/>
      <c r="CN6" s="43"/>
      <c r="CO6" s="180"/>
      <c r="CP6" s="180"/>
      <c r="CQ6" s="180"/>
      <c r="CR6" s="180"/>
      <c r="CS6" s="180"/>
      <c r="CT6" s="180"/>
      <c r="CU6" s="180"/>
      <c r="CV6" s="180"/>
      <c r="CW6" s="180"/>
      <c r="CX6" s="180"/>
      <c r="CY6" s="180"/>
      <c r="CZ6" s="180"/>
      <c r="DA6" s="180"/>
      <c r="DB6" s="180"/>
      <c r="DC6" s="180"/>
      <c r="DD6" s="180"/>
      <c r="DE6" s="180"/>
      <c r="DF6" s="180"/>
      <c r="DG6" s="180"/>
      <c r="DH6" s="921"/>
      <c r="DI6" s="920"/>
      <c r="DJ6" s="43"/>
      <c r="DK6" s="43"/>
      <c r="DL6" s="43"/>
      <c r="DM6" s="43"/>
      <c r="DN6" s="43"/>
      <c r="DO6" s="43"/>
      <c r="DP6" s="43"/>
      <c r="DQ6" s="43"/>
      <c r="DR6" s="43"/>
      <c r="DS6" s="43"/>
      <c r="DT6" s="43"/>
      <c r="DU6" s="43"/>
      <c r="DV6" s="43"/>
      <c r="DW6" s="43"/>
      <c r="DX6" s="43"/>
      <c r="DY6" s="43"/>
      <c r="DZ6" s="43"/>
      <c r="EA6" s="43"/>
      <c r="EB6" s="43"/>
      <c r="EC6" s="43"/>
      <c r="ED6" s="43"/>
      <c r="EE6" s="920"/>
      <c r="EF6" s="43"/>
      <c r="EG6" s="43"/>
      <c r="EH6" s="43"/>
      <c r="EI6" s="43"/>
      <c r="EJ6" s="43"/>
      <c r="EK6" s="43"/>
      <c r="EL6" s="43"/>
      <c r="EM6" s="43"/>
      <c r="EN6" s="43"/>
      <c r="EO6" s="43"/>
      <c r="EP6" s="43"/>
      <c r="EQ6" s="43"/>
      <c r="ER6" s="43"/>
      <c r="ES6" s="43"/>
      <c r="ET6" s="43"/>
      <c r="EU6" s="43"/>
      <c r="EV6" s="43"/>
      <c r="EW6" s="43"/>
      <c r="EX6" s="43"/>
      <c r="EY6" s="43"/>
      <c r="EZ6" s="43"/>
      <c r="FA6" s="920"/>
      <c r="FB6" s="43"/>
      <c r="FC6" s="43"/>
      <c r="FD6" s="43"/>
      <c r="FE6" s="43"/>
      <c r="FF6" s="43"/>
      <c r="FG6" s="43"/>
      <c r="FH6" s="43"/>
      <c r="FI6" s="43"/>
      <c r="FJ6" s="43"/>
      <c r="FK6" s="43"/>
      <c r="FL6" s="43"/>
      <c r="FM6" s="43"/>
      <c r="FN6" s="43"/>
      <c r="FO6" s="43"/>
      <c r="FP6" s="43"/>
      <c r="FQ6" s="43"/>
      <c r="FR6" s="43"/>
      <c r="FS6" s="43"/>
      <c r="FT6" s="43"/>
      <c r="FU6" s="43"/>
      <c r="FV6" s="43"/>
      <c r="FW6" s="920"/>
      <c r="FX6" s="43"/>
      <c r="FY6" s="43"/>
      <c r="FZ6" s="43"/>
      <c r="GA6" s="43"/>
      <c r="GB6" s="43"/>
      <c r="GC6" s="43"/>
      <c r="GD6" s="43"/>
      <c r="GE6" s="43"/>
      <c r="GF6" s="43"/>
    </row>
    <row r="7" spans="1:188" ht="90">
      <c r="A7" s="20">
        <v>2</v>
      </c>
      <c r="B7" s="951" t="s">
        <v>2688</v>
      </c>
      <c r="C7" s="949" t="s">
        <v>43</v>
      </c>
      <c r="D7" s="1080" t="s">
        <v>2757</v>
      </c>
      <c r="E7" s="1081">
        <v>49.504519999999843</v>
      </c>
      <c r="F7" s="1081">
        <v>8.3576227812718589</v>
      </c>
      <c r="G7" s="1082">
        <v>7.0991844607339045</v>
      </c>
      <c r="H7" s="1082">
        <v>13.094237561805324</v>
      </c>
      <c r="I7" s="1082">
        <v>11.781928124828053</v>
      </c>
      <c r="J7" s="1082">
        <v>14.071635884989933</v>
      </c>
      <c r="K7" s="1082">
        <v>12.633291345159707</v>
      </c>
      <c r="L7" s="1082">
        <v>13.981023771932829</v>
      </c>
      <c r="M7" s="1082">
        <v>10.891063560353581</v>
      </c>
      <c r="N7" s="1082">
        <v>46.369393606882817</v>
      </c>
      <c r="O7" s="1060">
        <v>785788.82320800005</v>
      </c>
      <c r="P7" s="1060">
        <v>753178.16115599999</v>
      </c>
      <c r="Q7" s="1060">
        <v>862171.66980600008</v>
      </c>
      <c r="R7" s="1060">
        <v>660652.78100100008</v>
      </c>
      <c r="S7" s="1060">
        <f>+O7+P7+Q7+R7</f>
        <v>3061791.4351710002</v>
      </c>
      <c r="T7" s="1141" t="s">
        <v>2811</v>
      </c>
      <c r="U7" s="1141" t="s">
        <v>2812</v>
      </c>
      <c r="V7" s="1141" t="s">
        <v>2813</v>
      </c>
      <c r="W7" s="1141" t="s">
        <v>2814</v>
      </c>
      <c r="X7" s="1141" t="s">
        <v>2815</v>
      </c>
      <c r="Y7" s="19"/>
      <c r="Z7" s="19"/>
      <c r="AA7" s="19"/>
      <c r="AB7" s="19"/>
      <c r="AC7" s="19"/>
      <c r="AD7" s="19"/>
      <c r="AE7" s="19"/>
      <c r="AF7" s="19"/>
      <c r="AG7" s="19"/>
      <c r="AI7" s="915"/>
      <c r="AJ7" s="915"/>
      <c r="AK7" s="915"/>
      <c r="AL7" s="915"/>
      <c r="AM7" s="915"/>
      <c r="AN7" s="915"/>
      <c r="AO7" s="915"/>
      <c r="AP7" s="915"/>
      <c r="AQ7" s="915"/>
      <c r="AR7" s="915"/>
      <c r="AS7" s="915"/>
      <c r="AT7" s="915"/>
      <c r="AU7" s="28"/>
      <c r="AV7" s="915"/>
      <c r="AW7" s="915"/>
      <c r="AX7" s="915"/>
      <c r="AY7" s="915"/>
      <c r="AZ7" s="915"/>
      <c r="BA7" s="915"/>
      <c r="BB7" s="915"/>
      <c r="BC7" s="915"/>
      <c r="BD7" s="915"/>
      <c r="BE7" s="915"/>
      <c r="BF7" s="915"/>
      <c r="BG7" s="915"/>
      <c r="BH7" s="915"/>
      <c r="BI7" s="915"/>
      <c r="BJ7" s="915"/>
      <c r="BK7" s="915"/>
      <c r="BL7" s="915"/>
      <c r="BM7" s="915"/>
      <c r="BN7" s="915"/>
      <c r="BO7" s="915"/>
      <c r="BP7" s="915"/>
      <c r="BQ7" s="28"/>
      <c r="BR7" s="915"/>
      <c r="BS7" s="915"/>
      <c r="BT7" s="915"/>
      <c r="BU7" s="915"/>
      <c r="BV7" s="915"/>
      <c r="BW7" s="915"/>
      <c r="BX7" s="915"/>
      <c r="BY7" s="915"/>
      <c r="BZ7" s="915"/>
      <c r="CA7" s="915"/>
      <c r="CB7" s="915"/>
      <c r="CC7" s="915"/>
      <c r="CD7" s="915"/>
      <c r="CE7" s="915"/>
      <c r="CF7" s="915"/>
      <c r="CG7" s="915"/>
      <c r="CH7" s="915"/>
      <c r="CI7" s="915"/>
      <c r="CJ7" s="915"/>
      <c r="CK7" s="915"/>
      <c r="CL7" s="915"/>
      <c r="DL7" s="918"/>
    </row>
    <row r="8" spans="1:188" ht="157.5">
      <c r="A8" s="20">
        <v>3</v>
      </c>
      <c r="B8" s="951" t="s">
        <v>2689</v>
      </c>
      <c r="C8" s="949" t="s">
        <v>44</v>
      </c>
      <c r="D8" s="1080" t="s">
        <v>2758</v>
      </c>
      <c r="E8" s="1081">
        <v>16.571999999999971</v>
      </c>
      <c r="F8" s="1081">
        <v>1.8095931077330505</v>
      </c>
      <c r="G8" s="1082">
        <v>1.7300354778629206</v>
      </c>
      <c r="H8" s="1082">
        <v>4.4301762732959213</v>
      </c>
      <c r="I8" s="1082">
        <v>4.0029737732959223</v>
      </c>
      <c r="J8" s="1082">
        <v>4.79261944673042</v>
      </c>
      <c r="K8" s="1082">
        <v>3.7315391003401168</v>
      </c>
      <c r="L8" s="1082">
        <v>5.5396111722405976</v>
      </c>
      <c r="M8" s="1082">
        <v>3.7379868173572923</v>
      </c>
      <c r="N8" s="1082">
        <v>15.65865220316762</v>
      </c>
      <c r="O8" s="1060">
        <v>23137.930479000002</v>
      </c>
      <c r="P8" s="1060">
        <v>36381.895183000001</v>
      </c>
      <c r="Q8" s="1060">
        <v>38730.215075</v>
      </c>
      <c r="R8" s="1060">
        <v>62386.485008000003</v>
      </c>
      <c r="S8" s="1060">
        <f>+O8+P8+Q8+R8</f>
        <v>160636.52574499999</v>
      </c>
      <c r="T8" s="1141" t="s">
        <v>2816</v>
      </c>
      <c r="U8" s="1141" t="s">
        <v>2817</v>
      </c>
      <c r="V8" s="1141" t="s">
        <v>2818</v>
      </c>
      <c r="W8" s="1141" t="s">
        <v>2819</v>
      </c>
      <c r="X8" s="1141" t="s">
        <v>2830</v>
      </c>
      <c r="Y8" s="1141"/>
      <c r="Z8" s="1141"/>
      <c r="AA8" s="1141"/>
      <c r="AB8" s="1141"/>
      <c r="AC8" s="1141"/>
      <c r="AD8" s="19"/>
      <c r="AE8" s="19"/>
      <c r="AF8" s="19"/>
      <c r="AG8" s="19"/>
      <c r="AI8" s="915"/>
      <c r="AJ8" s="915"/>
      <c r="AK8" s="915"/>
      <c r="AL8" s="915"/>
      <c r="AM8" s="915"/>
      <c r="AN8" s="915"/>
      <c r="AO8" s="915"/>
      <c r="AP8" s="915"/>
      <c r="AQ8" s="915"/>
      <c r="AR8" s="915"/>
      <c r="AS8" s="915"/>
      <c r="AT8" s="915"/>
      <c r="AU8" s="28"/>
      <c r="AV8" s="915"/>
      <c r="AW8" s="915"/>
      <c r="AX8" s="915"/>
      <c r="AY8" s="915"/>
      <c r="AZ8" s="915"/>
      <c r="BA8" s="915"/>
      <c r="BB8" s="915"/>
      <c r="BC8" s="915"/>
      <c r="BD8" s="915"/>
      <c r="BE8" s="915"/>
      <c r="BF8" s="915"/>
      <c r="BG8" s="915"/>
      <c r="BH8" s="915"/>
      <c r="BI8" s="915"/>
      <c r="BJ8" s="915"/>
      <c r="BK8" s="915"/>
      <c r="BL8" s="915"/>
      <c r="BM8" s="915"/>
      <c r="BN8" s="915"/>
      <c r="BO8" s="915"/>
      <c r="BP8" s="915"/>
      <c r="BQ8" s="919"/>
      <c r="BR8" s="915"/>
      <c r="BS8" s="915"/>
      <c r="BT8" s="915"/>
      <c r="BU8" s="915"/>
      <c r="BV8" s="915"/>
      <c r="BW8" s="915"/>
      <c r="BX8" s="915"/>
      <c r="BY8" s="915"/>
      <c r="BZ8" s="915"/>
      <c r="CA8" s="915"/>
      <c r="CB8" s="915"/>
      <c r="CC8" s="915"/>
      <c r="CD8" s="915"/>
      <c r="CE8" s="915"/>
      <c r="CF8" s="915"/>
      <c r="CG8" s="915"/>
      <c r="CH8" s="915"/>
      <c r="CI8" s="915"/>
      <c r="CJ8" s="915"/>
      <c r="CK8" s="915"/>
      <c r="CL8" s="915"/>
      <c r="CM8" s="28"/>
      <c r="CN8" s="915"/>
      <c r="CO8" s="915"/>
      <c r="CP8" s="915"/>
      <c r="CQ8" s="915"/>
      <c r="CR8" s="915"/>
      <c r="CS8" s="915"/>
      <c r="CT8" s="915"/>
      <c r="CU8" s="915"/>
      <c r="CV8" s="915"/>
      <c r="CW8" s="915"/>
      <c r="CX8" s="915"/>
      <c r="CY8" s="915"/>
      <c r="CZ8" s="915"/>
      <c r="DA8" s="915"/>
      <c r="DB8" s="915"/>
      <c r="DC8" s="915"/>
      <c r="DD8" s="915"/>
      <c r="DE8" s="915"/>
      <c r="DF8" s="915"/>
      <c r="DG8" s="915"/>
      <c r="DH8" s="915"/>
      <c r="DL8" s="918"/>
    </row>
    <row r="9" spans="1:188" ht="33.75" customHeight="1">
      <c r="A9" s="20">
        <v>4</v>
      </c>
      <c r="B9" s="951" t="s">
        <v>2690</v>
      </c>
      <c r="C9" s="949" t="s">
        <v>45</v>
      </c>
      <c r="D9" s="1080" t="s">
        <v>2759</v>
      </c>
      <c r="E9" s="1081">
        <v>15.166639999999989</v>
      </c>
      <c r="F9" s="1081">
        <v>2.2535622832415445</v>
      </c>
      <c r="G9" s="1082">
        <v>1.7505020628114374</v>
      </c>
      <c r="H9" s="1082">
        <v>4.4447710168133554</v>
      </c>
      <c r="I9" s="1082">
        <v>3.99000904021237</v>
      </c>
      <c r="J9" s="1082">
        <v>4.3434019674810642</v>
      </c>
      <c r="K9" s="1082">
        <v>3.3286306804936494</v>
      </c>
      <c r="L9" s="1082">
        <v>4.1249047324640395</v>
      </c>
      <c r="M9" s="1082">
        <v>3.4111185361151186</v>
      </c>
      <c r="N9" s="1082">
        <v>14.566087556901769</v>
      </c>
      <c r="O9" s="1060">
        <v>199260.12509099999</v>
      </c>
      <c r="P9" s="1060">
        <v>237108.36742900003</v>
      </c>
      <c r="Q9" s="1060">
        <v>233381.88209699999</v>
      </c>
      <c r="R9" s="1060">
        <v>198156.34679299995</v>
      </c>
      <c r="S9" s="1060">
        <f>+O9+P9+Q9+R9</f>
        <v>867906.72141</v>
      </c>
      <c r="T9" s="1141" t="s">
        <v>2820</v>
      </c>
      <c r="U9" s="1141" t="s">
        <v>2821</v>
      </c>
      <c r="V9" s="1141" t="s">
        <v>2822</v>
      </c>
      <c r="W9" s="1141" t="s">
        <v>2823</v>
      </c>
      <c r="X9" s="1141" t="s">
        <v>2824</v>
      </c>
      <c r="Y9" s="1141"/>
      <c r="Z9" s="1141"/>
      <c r="AA9" s="1141"/>
      <c r="AB9" s="1141"/>
      <c r="AC9" s="1141"/>
      <c r="AD9" s="19"/>
      <c r="AE9" s="19"/>
      <c r="AF9" s="19"/>
      <c r="AG9" s="19"/>
      <c r="AI9" s="915"/>
      <c r="AJ9" s="915"/>
      <c r="AK9" s="915"/>
      <c r="AL9" s="915"/>
      <c r="AM9" s="915"/>
      <c r="AN9" s="915"/>
      <c r="AO9" s="915"/>
      <c r="AP9" s="915"/>
      <c r="AQ9" s="915"/>
      <c r="AR9" s="915"/>
      <c r="AS9" s="915"/>
      <c r="AT9" s="915"/>
      <c r="AU9" s="28"/>
      <c r="AV9" s="915"/>
      <c r="AW9" s="915"/>
      <c r="AX9" s="915"/>
      <c r="AY9" s="915"/>
      <c r="AZ9" s="915"/>
      <c r="BA9" s="915"/>
      <c r="BB9" s="915"/>
      <c r="BC9" s="915"/>
      <c r="BD9" s="915"/>
      <c r="BE9" s="915"/>
      <c r="BF9" s="915"/>
      <c r="BG9" s="915"/>
      <c r="BH9" s="915"/>
      <c r="BI9" s="915"/>
      <c r="BJ9" s="915"/>
      <c r="BK9" s="915"/>
      <c r="BL9" s="915"/>
      <c r="BM9" s="915"/>
      <c r="BN9" s="915"/>
      <c r="BO9" s="915"/>
      <c r="BP9" s="915"/>
      <c r="BQ9" s="919"/>
      <c r="BR9" s="915"/>
      <c r="BS9" s="915"/>
      <c r="BT9" s="915"/>
      <c r="BU9" s="915"/>
      <c r="BV9" s="915"/>
      <c r="BW9" s="915"/>
      <c r="BX9" s="915"/>
      <c r="BY9" s="915"/>
      <c r="BZ9" s="915"/>
      <c r="CA9" s="915"/>
      <c r="CB9" s="915"/>
      <c r="CC9" s="915"/>
      <c r="CD9" s="915"/>
      <c r="CE9" s="915"/>
      <c r="CF9" s="915"/>
      <c r="CG9" s="915"/>
      <c r="CH9" s="915"/>
      <c r="CI9" s="915"/>
      <c r="CJ9" s="915"/>
      <c r="CK9" s="915"/>
      <c r="CL9" s="915"/>
      <c r="CM9" s="28"/>
      <c r="CN9" s="915"/>
      <c r="CO9" s="915"/>
      <c r="CP9" s="915"/>
      <c r="CQ9" s="915"/>
      <c r="CR9" s="915"/>
      <c r="CS9" s="915"/>
      <c r="CT9" s="915"/>
      <c r="CU9" s="915"/>
      <c r="CV9" s="915"/>
      <c r="CW9" s="915"/>
      <c r="CX9" s="915"/>
      <c r="CY9" s="915"/>
      <c r="CZ9" s="915"/>
      <c r="DA9" s="915"/>
      <c r="DB9" s="915"/>
      <c r="DC9" s="915"/>
      <c r="DD9" s="915"/>
      <c r="DE9" s="915"/>
      <c r="DF9" s="915"/>
      <c r="DG9" s="915"/>
      <c r="DH9" s="915"/>
      <c r="DL9" s="918"/>
    </row>
    <row r="10" spans="1:188" ht="56.25" customHeight="1">
      <c r="A10" s="20">
        <v>5</v>
      </c>
      <c r="B10" s="951" t="s">
        <v>2691</v>
      </c>
      <c r="C10" s="949" t="s">
        <v>46</v>
      </c>
      <c r="D10" s="1080" t="s">
        <v>2760</v>
      </c>
      <c r="E10" s="1081">
        <v>18.761639999999979</v>
      </c>
      <c r="F10" s="1081">
        <v>2.6593656433524759</v>
      </c>
      <c r="G10" s="1082">
        <v>2.2298367768491301</v>
      </c>
      <c r="H10" s="1082">
        <v>5.6377657060491044</v>
      </c>
      <c r="I10" s="1082">
        <v>4.4633621625513715</v>
      </c>
      <c r="J10" s="1082">
        <v>5.1961853035912089</v>
      </c>
      <c r="K10" s="1082">
        <v>4.1817612173501768</v>
      </c>
      <c r="L10" s="1082">
        <v>5.2683233470072022</v>
      </c>
      <c r="M10" s="1082">
        <v>3.8157830665564454</v>
      </c>
      <c r="N10" s="1082">
        <v>17.67815347630966</v>
      </c>
      <c r="O10" s="1060">
        <v>309242.35819499998</v>
      </c>
      <c r="P10" s="1060">
        <v>346760.93192399997</v>
      </c>
      <c r="Q10" s="1060">
        <v>365478.12843200006</v>
      </c>
      <c r="R10" s="1060">
        <v>238432.72781500002</v>
      </c>
      <c r="S10" s="1060">
        <f>+O10+P10+Q10+R10</f>
        <v>1259914.1463660002</v>
      </c>
      <c r="T10" s="1141" t="s">
        <v>2825</v>
      </c>
      <c r="U10" s="1141" t="s">
        <v>2826</v>
      </c>
      <c r="V10" s="1141" t="s">
        <v>2827</v>
      </c>
      <c r="W10" s="1141" t="s">
        <v>2828</v>
      </c>
      <c r="X10" s="1141" t="s">
        <v>2829</v>
      </c>
      <c r="Y10" s="1141"/>
      <c r="Z10" s="1141"/>
      <c r="AA10" s="1141"/>
      <c r="AB10" s="1141"/>
      <c r="AC10" s="1141"/>
      <c r="AD10" s="19"/>
      <c r="AE10" s="19"/>
      <c r="AF10" s="19"/>
      <c r="AG10" s="19"/>
      <c r="AI10" s="915"/>
      <c r="AJ10" s="915"/>
      <c r="AK10" s="915"/>
      <c r="AL10" s="915"/>
      <c r="AM10" s="915"/>
      <c r="AN10" s="915"/>
      <c r="AO10" s="915"/>
      <c r="AP10" s="915"/>
      <c r="AQ10" s="915"/>
      <c r="AR10" s="915"/>
      <c r="AS10" s="915"/>
      <c r="AT10" s="915"/>
      <c r="AU10" s="28"/>
      <c r="AV10" s="915"/>
      <c r="AW10" s="915"/>
      <c r="AX10" s="915"/>
      <c r="AY10" s="915"/>
      <c r="AZ10" s="915"/>
      <c r="BA10" s="915"/>
      <c r="BB10" s="915"/>
      <c r="BC10" s="915"/>
      <c r="BD10" s="915"/>
      <c r="BE10" s="915"/>
      <c r="BF10" s="915"/>
      <c r="BG10" s="915"/>
      <c r="BH10" s="915"/>
      <c r="BI10" s="915"/>
      <c r="BJ10" s="915"/>
      <c r="BK10" s="915"/>
      <c r="BL10" s="915"/>
      <c r="BM10" s="915"/>
      <c r="BN10" s="915"/>
      <c r="BO10" s="915"/>
      <c r="BP10" s="915"/>
      <c r="BQ10" s="919"/>
      <c r="BR10" s="915"/>
      <c r="BS10" s="915"/>
      <c r="BT10" s="915"/>
      <c r="BU10" s="915"/>
      <c r="BV10" s="915"/>
      <c r="BW10" s="915"/>
      <c r="BX10" s="915"/>
      <c r="BY10" s="915"/>
      <c r="BZ10" s="915"/>
      <c r="CA10" s="915"/>
      <c r="CB10" s="915"/>
      <c r="CC10" s="915"/>
      <c r="CD10" s="915"/>
      <c r="CE10" s="915"/>
      <c r="CF10" s="915"/>
      <c r="CG10" s="915"/>
      <c r="CH10" s="915"/>
      <c r="CI10" s="915"/>
      <c r="CJ10" s="915"/>
      <c r="CK10" s="915"/>
      <c r="CL10" s="915"/>
      <c r="DL10" s="918"/>
    </row>
    <row r="11" spans="1:188" ht="12">
      <c r="B11" s="28" t="s">
        <v>2771</v>
      </c>
      <c r="C11" s="7" t="s">
        <v>2771</v>
      </c>
      <c r="D11" s="7"/>
      <c r="E11" s="1081">
        <v>100.00479999999979</v>
      </c>
      <c r="F11" s="1081">
        <v>15.08014381559893</v>
      </c>
      <c r="G11" s="1082">
        <v>12.809558778257392</v>
      </c>
      <c r="H11" s="1082">
        <v>27.606950557963707</v>
      </c>
      <c r="I11" s="1082">
        <v>24.238273100887717</v>
      </c>
      <c r="J11" s="1082">
        <v>28.403842602792622</v>
      </c>
      <c r="K11" s="1082">
        <v>23.875222343343651</v>
      </c>
      <c r="L11" s="1082">
        <v>28.913863023644666</v>
      </c>
      <c r="M11" s="1082">
        <v>21.855951980382439</v>
      </c>
      <c r="N11" s="1082">
        <v>94.272286843261867</v>
      </c>
      <c r="O11" s="1060">
        <f>SUM(O7:O10)</f>
        <v>1317429.236973</v>
      </c>
      <c r="P11" s="1060">
        <f>SUM(P7:P10)</f>
        <v>1373429.3556919999</v>
      </c>
      <c r="Q11" s="1060">
        <f>SUM(Q7:Q10)</f>
        <v>1499761.8954100001</v>
      </c>
      <c r="R11" s="1060">
        <f>SUM(R7:R10)</f>
        <v>1159628.3406170001</v>
      </c>
      <c r="S11" s="1060">
        <f>+O11+P11+Q11+R11</f>
        <v>5350248.8286920004</v>
      </c>
      <c r="T11" s="888"/>
      <c r="U11" s="888"/>
      <c r="V11" s="889"/>
      <c r="W11" s="888"/>
      <c r="X11" s="888"/>
      <c r="Y11" s="19"/>
      <c r="Z11" s="19"/>
      <c r="AA11" s="19"/>
      <c r="AB11" s="19"/>
      <c r="AC11" s="19"/>
      <c r="AD11" s="19"/>
      <c r="AE11" s="19"/>
      <c r="AF11" s="19"/>
      <c r="AG11" s="19"/>
      <c r="DL11" s="918"/>
    </row>
    <row r="12" spans="1:188" ht="12">
      <c r="U12" s="7"/>
      <c r="V12" s="917"/>
      <c r="W12" s="897"/>
      <c r="X12" s="898"/>
    </row>
    <row r="13" spans="1:188" ht="12">
      <c r="U13" s="7"/>
      <c r="V13" s="917"/>
      <c r="W13" s="897"/>
      <c r="X13" s="898"/>
      <c r="Y13" s="898"/>
    </row>
    <row r="14" spans="1:188" ht="12">
      <c r="C14" s="7"/>
      <c r="D14" s="7"/>
      <c r="E14" s="7"/>
      <c r="F14" s="7"/>
      <c r="G14" s="7"/>
      <c r="H14" s="7"/>
      <c r="I14" s="7"/>
      <c r="J14" s="7"/>
      <c r="K14" s="7"/>
      <c r="L14" s="7"/>
      <c r="M14" s="7"/>
      <c r="N14" s="7"/>
      <c r="O14" s="7"/>
      <c r="P14" s="7"/>
      <c r="Q14" s="7"/>
      <c r="R14" s="7"/>
      <c r="S14" s="7"/>
      <c r="T14" s="7"/>
      <c r="U14" s="7"/>
      <c r="V14" s="917"/>
      <c r="W14" s="897"/>
      <c r="X14" s="898"/>
      <c r="Y14" s="898"/>
    </row>
    <row r="17" spans="1:256" ht="26.25">
      <c r="B17" s="1528" t="s">
        <v>2625</v>
      </c>
      <c r="C17" s="1528"/>
    </row>
    <row r="18" spans="1:256" s="178" customFormat="1" ht="12">
      <c r="A18" s="179">
        <v>21</v>
      </c>
      <c r="B18" s="28"/>
      <c r="C18" s="28"/>
      <c r="D18" s="914"/>
      <c r="E18" s="896"/>
      <c r="F18" s="913"/>
      <c r="G18" s="896"/>
      <c r="H18" s="896"/>
      <c r="I18" s="896"/>
      <c r="J18" s="896"/>
      <c r="K18" s="896"/>
      <c r="L18" s="896"/>
      <c r="M18" s="896"/>
      <c r="N18" s="896"/>
      <c r="O18" s="896"/>
      <c r="P18" s="910"/>
      <c r="Q18" s="910"/>
      <c r="R18" s="910"/>
      <c r="S18" s="911"/>
      <c r="T18" s="911"/>
      <c r="U18" s="910"/>
      <c r="V18" s="910"/>
      <c r="W18" s="910"/>
      <c r="X18" s="911"/>
      <c r="Y18" s="911"/>
      <c r="Z18" s="911"/>
      <c r="AA18" s="911"/>
      <c r="AB18" s="910"/>
      <c r="AC18" s="910"/>
      <c r="AD18" s="910"/>
      <c r="AE18" s="911"/>
      <c r="AF18" s="911"/>
      <c r="AG18" s="911"/>
      <c r="AH18" s="911"/>
      <c r="AI18" s="911"/>
      <c r="AJ18" s="911"/>
      <c r="AK18" s="911"/>
      <c r="AL18" s="912"/>
      <c r="AM18" s="912"/>
      <c r="AN18" s="911"/>
      <c r="AO18" s="911"/>
      <c r="AP18" s="911"/>
      <c r="AQ18" s="911"/>
      <c r="AR18" s="911"/>
      <c r="AS18" s="911"/>
      <c r="AT18" s="911"/>
      <c r="AU18" s="911"/>
      <c r="AV18" s="911"/>
      <c r="AW18" s="911"/>
      <c r="AX18" s="911"/>
      <c r="AY18" s="911"/>
      <c r="AZ18" s="911"/>
      <c r="BA18" s="910"/>
      <c r="BB18" s="910"/>
      <c r="BC18" s="910"/>
      <c r="BD18" s="910"/>
      <c r="BE18" s="910"/>
      <c r="BF18" s="910"/>
      <c r="BG18" s="910"/>
      <c r="BH18" s="910"/>
      <c r="BI18" s="910"/>
      <c r="BJ18" s="910"/>
      <c r="BK18" s="910"/>
      <c r="BL18" s="910"/>
      <c r="BM18" s="910"/>
      <c r="BN18" s="910"/>
      <c r="BO18" s="910"/>
      <c r="BP18" s="910"/>
      <c r="BQ18" s="910"/>
      <c r="BR18" s="910"/>
      <c r="BS18" s="910"/>
      <c r="BT18" s="910"/>
      <c r="BU18" s="910"/>
      <c r="BV18" s="909"/>
      <c r="BW18" s="909"/>
      <c r="BX18" s="909"/>
      <c r="BY18" s="909"/>
      <c r="BZ18" s="909"/>
      <c r="CA18" s="909"/>
      <c r="CB18" s="909"/>
      <c r="CC18" s="909"/>
      <c r="CD18" s="909"/>
      <c r="CE18" s="909"/>
      <c r="CF18" s="909"/>
      <c r="CG18" s="909"/>
      <c r="CH18" s="909"/>
      <c r="CI18" s="909"/>
      <c r="CJ18" s="909"/>
      <c r="CK18" s="909"/>
      <c r="CL18" s="909"/>
      <c r="CM18" s="909"/>
      <c r="CN18" s="909"/>
      <c r="CO18" s="909"/>
      <c r="CP18" s="909"/>
      <c r="CQ18" s="909"/>
      <c r="CR18" s="896"/>
      <c r="CS18" s="896"/>
      <c r="CT18" s="896"/>
      <c r="CU18" s="896"/>
      <c r="CV18" s="896"/>
      <c r="CW18" s="896"/>
      <c r="CX18" s="896"/>
      <c r="CY18" s="896"/>
      <c r="CZ18" s="896"/>
      <c r="DA18" s="896"/>
      <c r="DB18" s="896"/>
      <c r="DC18" s="896"/>
      <c r="DD18" s="896"/>
      <c r="DE18" s="896"/>
      <c r="DF18" s="896"/>
      <c r="DG18" s="896"/>
      <c r="DH18" s="896"/>
      <c r="DI18" s="896"/>
      <c r="DJ18" s="896"/>
      <c r="DK18" s="896"/>
      <c r="DL18" s="896"/>
      <c r="DM18" s="896"/>
      <c r="DN18" s="896"/>
      <c r="DO18" s="896"/>
      <c r="DP18" s="896"/>
      <c r="DQ18" s="896"/>
      <c r="DR18" s="896"/>
      <c r="DS18" s="896"/>
      <c r="DT18" s="896"/>
      <c r="DU18" s="896"/>
      <c r="DV18" s="896"/>
      <c r="DW18" s="896"/>
      <c r="DX18" s="896"/>
      <c r="DY18" s="896"/>
      <c r="DZ18" s="896"/>
      <c r="EA18" s="896"/>
      <c r="EB18" s="896"/>
      <c r="EC18" s="896"/>
      <c r="ED18" s="896"/>
      <c r="EE18" s="896"/>
      <c r="EF18" s="896"/>
      <c r="EG18" s="896"/>
      <c r="EH18" s="896"/>
      <c r="EI18" s="896"/>
      <c r="EJ18" s="896"/>
      <c r="EK18" s="896"/>
      <c r="EL18" s="905"/>
      <c r="EM18" s="193"/>
      <c r="EN18" s="193"/>
      <c r="EO18" s="193"/>
      <c r="EP18" s="193"/>
      <c r="EQ18" s="193"/>
      <c r="ER18" s="193"/>
      <c r="ES18" s="193"/>
      <c r="ET18" s="193"/>
      <c r="EU18" s="193"/>
      <c r="EV18" s="193"/>
      <c r="EW18" s="193"/>
      <c r="EX18" s="193"/>
      <c r="EY18" s="193"/>
      <c r="EZ18" s="193"/>
      <c r="FA18" s="193"/>
      <c r="FB18" s="193"/>
      <c r="FC18" s="193"/>
      <c r="FD18" s="193"/>
      <c r="FE18" s="193"/>
      <c r="FF18" s="905"/>
      <c r="FG18" s="906"/>
      <c r="FH18" s="194"/>
      <c r="FI18" s="908"/>
      <c r="FJ18" s="908"/>
      <c r="FK18" s="908"/>
      <c r="FL18" s="908"/>
      <c r="FM18" s="908"/>
      <c r="FN18" s="908"/>
      <c r="FO18" s="908"/>
      <c r="FP18" s="908"/>
      <c r="FQ18" s="908"/>
      <c r="FR18" s="908"/>
      <c r="FS18" s="908"/>
      <c r="FT18" s="908"/>
      <c r="FU18" s="908"/>
      <c r="FV18" s="908"/>
      <c r="FW18" s="908"/>
      <c r="FX18" s="908"/>
      <c r="FY18" s="908"/>
      <c r="FZ18" s="908"/>
      <c r="GA18" s="908"/>
      <c r="GB18" s="907"/>
      <c r="GC18" s="194"/>
      <c r="GD18" s="906"/>
      <c r="GE18" s="906"/>
      <c r="GF18" s="906"/>
      <c r="GG18" s="906"/>
      <c r="GH18" s="906"/>
      <c r="GI18" s="906"/>
      <c r="GJ18" s="906"/>
      <c r="GK18" s="906"/>
      <c r="GL18" s="906"/>
      <c r="GM18" s="906"/>
      <c r="GN18" s="906"/>
      <c r="GO18" s="906"/>
      <c r="GP18" s="906"/>
      <c r="GQ18" s="906"/>
      <c r="GR18" s="906"/>
      <c r="GS18" s="906"/>
      <c r="GT18" s="906"/>
      <c r="GU18" s="906"/>
      <c r="GV18" s="906"/>
      <c r="GW18" s="906"/>
      <c r="GX18" s="906"/>
      <c r="GY18" s="906"/>
      <c r="GZ18" s="906"/>
      <c r="HA18" s="906"/>
      <c r="HB18" s="906"/>
      <c r="HC18" s="906"/>
      <c r="HD18" s="906"/>
      <c r="HE18" s="906"/>
      <c r="HF18" s="906"/>
      <c r="HG18" s="905"/>
      <c r="HH18" s="188"/>
      <c r="HI18" s="182"/>
      <c r="HJ18" s="182"/>
      <c r="HK18" s="182"/>
      <c r="HL18" s="182"/>
      <c r="HM18" s="189"/>
      <c r="HN18" s="189"/>
      <c r="HO18" s="904"/>
      <c r="HP18" s="192"/>
      <c r="HQ18" s="192"/>
      <c r="HR18" s="192"/>
      <c r="HS18" s="192"/>
      <c r="HT18" s="192"/>
      <c r="HU18" s="903"/>
      <c r="HV18" s="191"/>
      <c r="HW18" s="191"/>
      <c r="HX18" s="191"/>
      <c r="HY18" s="191"/>
      <c r="HZ18" s="191"/>
      <c r="IA18" s="191"/>
      <c r="IB18" s="191"/>
      <c r="IC18" s="191"/>
      <c r="ID18" s="191"/>
      <c r="IE18" s="192"/>
      <c r="IF18" s="192"/>
      <c r="IG18" s="192"/>
      <c r="IH18" s="192"/>
      <c r="II18" s="192"/>
      <c r="IJ18" s="192"/>
      <c r="IK18" s="192"/>
      <c r="IL18" s="192"/>
      <c r="IM18" s="192"/>
      <c r="IN18" s="192"/>
      <c r="IO18" s="192"/>
      <c r="IP18" s="192"/>
      <c r="IQ18" s="192"/>
      <c r="IR18" s="192"/>
      <c r="IS18" s="192"/>
      <c r="IT18" s="192"/>
      <c r="IU18" s="192"/>
      <c r="IV18" s="192"/>
    </row>
    <row r="19" spans="1:256" s="178" customFormat="1" ht="12">
      <c r="A19" s="179"/>
      <c r="B19" s="28"/>
      <c r="C19" s="28"/>
      <c r="D19" s="914"/>
      <c r="E19" s="896"/>
      <c r="F19" s="913"/>
      <c r="G19" s="896"/>
      <c r="H19" s="896"/>
      <c r="I19" s="896"/>
      <c r="J19" s="896"/>
      <c r="K19" s="896"/>
      <c r="L19" s="896"/>
      <c r="M19" s="896"/>
      <c r="N19" s="896"/>
      <c r="O19" s="896"/>
      <c r="P19" s="910"/>
      <c r="Q19" s="910"/>
      <c r="R19" s="910"/>
      <c r="S19" s="911"/>
      <c r="T19" s="911"/>
      <c r="U19" s="910"/>
      <c r="V19" s="910"/>
      <c r="W19" s="910"/>
      <c r="X19" s="911"/>
      <c r="Y19" s="911"/>
      <c r="Z19" s="911"/>
      <c r="AA19" s="911"/>
      <c r="AB19" s="910"/>
      <c r="AC19" s="910"/>
      <c r="AD19" s="910"/>
      <c r="AE19" s="911"/>
      <c r="AF19" s="911"/>
      <c r="AG19" s="911"/>
      <c r="AH19" s="911"/>
      <c r="AI19" s="911"/>
      <c r="AJ19" s="911"/>
      <c r="AK19" s="911"/>
      <c r="AL19" s="912"/>
      <c r="AM19" s="912"/>
      <c r="AN19" s="911"/>
      <c r="AO19" s="911"/>
      <c r="AP19" s="911"/>
      <c r="AQ19" s="911"/>
      <c r="AR19" s="911"/>
      <c r="AS19" s="911"/>
      <c r="AT19" s="911"/>
      <c r="AU19" s="911"/>
      <c r="AV19" s="911"/>
      <c r="AW19" s="911"/>
      <c r="AX19" s="911"/>
      <c r="AY19" s="911"/>
      <c r="AZ19" s="911"/>
      <c r="BA19" s="910"/>
      <c r="BB19" s="910"/>
      <c r="BC19" s="910"/>
      <c r="BD19" s="910"/>
      <c r="BE19" s="910"/>
      <c r="BF19" s="910"/>
      <c r="BG19" s="910"/>
      <c r="BH19" s="910"/>
      <c r="BI19" s="910"/>
      <c r="BJ19" s="910"/>
      <c r="BK19" s="910"/>
      <c r="BL19" s="910"/>
      <c r="BM19" s="910"/>
      <c r="BN19" s="910"/>
      <c r="BO19" s="910"/>
      <c r="BP19" s="910"/>
      <c r="BQ19" s="910"/>
      <c r="BR19" s="910"/>
      <c r="BS19" s="910"/>
      <c r="BT19" s="910"/>
      <c r="BU19" s="910"/>
      <c r="BV19" s="909"/>
      <c r="BW19" s="909"/>
      <c r="BX19" s="909"/>
      <c r="BY19" s="909"/>
      <c r="BZ19" s="909"/>
      <c r="CA19" s="909"/>
      <c r="CB19" s="909"/>
      <c r="CC19" s="909"/>
      <c r="CD19" s="909"/>
      <c r="CE19" s="909"/>
      <c r="CF19" s="909"/>
      <c r="CG19" s="909"/>
      <c r="CH19" s="909"/>
      <c r="CI19" s="909"/>
      <c r="CJ19" s="909"/>
      <c r="CK19" s="909"/>
      <c r="CL19" s="909"/>
      <c r="CM19" s="909"/>
      <c r="CN19" s="909"/>
      <c r="CO19" s="909"/>
      <c r="CP19" s="909"/>
      <c r="CQ19" s="909"/>
      <c r="CR19" s="896"/>
      <c r="CS19" s="896"/>
      <c r="CT19" s="896"/>
      <c r="CU19" s="896"/>
      <c r="CV19" s="896"/>
      <c r="CW19" s="896"/>
      <c r="CX19" s="896"/>
      <c r="CY19" s="896"/>
      <c r="CZ19" s="896"/>
      <c r="DA19" s="896"/>
      <c r="DB19" s="896"/>
      <c r="DC19" s="896"/>
      <c r="DD19" s="896"/>
      <c r="DE19" s="896"/>
      <c r="DF19" s="896"/>
      <c r="DG19" s="896"/>
      <c r="DH19" s="896"/>
      <c r="DI19" s="896"/>
      <c r="DJ19" s="896"/>
      <c r="DK19" s="896"/>
      <c r="DL19" s="896"/>
      <c r="DM19" s="896"/>
      <c r="DN19" s="896"/>
      <c r="DO19" s="896"/>
      <c r="DP19" s="896"/>
      <c r="DQ19" s="896"/>
      <c r="DR19" s="896"/>
      <c r="DS19" s="896"/>
      <c r="DT19" s="896"/>
      <c r="DU19" s="896"/>
      <c r="DV19" s="896"/>
      <c r="DW19" s="896"/>
      <c r="DX19" s="896"/>
      <c r="DY19" s="896"/>
      <c r="DZ19" s="896"/>
      <c r="EA19" s="896"/>
      <c r="EB19" s="896"/>
      <c r="EC19" s="896"/>
      <c r="ED19" s="896"/>
      <c r="EE19" s="896"/>
      <c r="EF19" s="896"/>
      <c r="EG19" s="896"/>
      <c r="EH19" s="896"/>
      <c r="EI19" s="896"/>
      <c r="EJ19" s="896"/>
      <c r="EK19" s="896"/>
      <c r="EL19" s="905"/>
      <c r="EM19" s="193"/>
      <c r="EN19" s="193"/>
      <c r="EO19" s="193"/>
      <c r="EP19" s="193"/>
      <c r="EQ19" s="193"/>
      <c r="ER19" s="193"/>
      <c r="ES19" s="193"/>
      <c r="ET19" s="193"/>
      <c r="EU19" s="193"/>
      <c r="EV19" s="193"/>
      <c r="EW19" s="193"/>
      <c r="EX19" s="193"/>
      <c r="EY19" s="193"/>
      <c r="EZ19" s="193"/>
      <c r="FA19" s="193"/>
      <c r="FB19" s="193"/>
      <c r="FC19" s="193"/>
      <c r="FD19" s="193"/>
      <c r="FE19" s="193"/>
      <c r="FF19" s="905"/>
      <c r="FG19" s="906"/>
      <c r="FH19" s="194"/>
      <c r="FI19" s="908"/>
      <c r="FJ19" s="908"/>
      <c r="FK19" s="908"/>
      <c r="FL19" s="908"/>
      <c r="FM19" s="908"/>
      <c r="FN19" s="908"/>
      <c r="FO19" s="908"/>
      <c r="FP19" s="908"/>
      <c r="FQ19" s="908"/>
      <c r="FR19" s="908"/>
      <c r="FS19" s="908"/>
      <c r="FT19" s="908"/>
      <c r="FU19" s="908"/>
      <c r="FV19" s="908"/>
      <c r="FW19" s="908"/>
      <c r="FX19" s="908"/>
      <c r="FY19" s="908"/>
      <c r="FZ19" s="908"/>
      <c r="GA19" s="908"/>
      <c r="GB19" s="907"/>
      <c r="GC19" s="194"/>
      <c r="GD19" s="906"/>
      <c r="GE19" s="906"/>
      <c r="GF19" s="906"/>
      <c r="GG19" s="906"/>
      <c r="GH19" s="906"/>
      <c r="GI19" s="906"/>
      <c r="GJ19" s="906"/>
      <c r="GK19" s="906"/>
      <c r="GL19" s="906"/>
      <c r="GM19" s="906"/>
      <c r="GN19" s="906"/>
      <c r="GO19" s="906"/>
      <c r="GP19" s="906"/>
      <c r="GQ19" s="906"/>
      <c r="GR19" s="906"/>
      <c r="GS19" s="906"/>
      <c r="GT19" s="906"/>
      <c r="GU19" s="906"/>
      <c r="GV19" s="906"/>
      <c r="GW19" s="906"/>
      <c r="GX19" s="906"/>
      <c r="GY19" s="906"/>
      <c r="GZ19" s="906"/>
      <c r="HA19" s="906"/>
      <c r="HB19" s="906"/>
      <c r="HC19" s="906"/>
      <c r="HD19" s="906"/>
      <c r="HE19" s="906"/>
      <c r="HF19" s="906"/>
      <c r="HG19" s="905"/>
      <c r="HH19" s="188"/>
      <c r="HI19" s="182"/>
      <c r="HJ19" s="182"/>
      <c r="HK19" s="182"/>
      <c r="HL19" s="182"/>
      <c r="HM19" s="189"/>
      <c r="HN19" s="189"/>
      <c r="HO19" s="904"/>
      <c r="HP19" s="192"/>
      <c r="HQ19" s="192"/>
      <c r="HR19" s="192"/>
      <c r="HS19" s="192"/>
      <c r="HT19" s="192"/>
      <c r="HU19" s="903"/>
      <c r="HV19" s="191"/>
      <c r="HW19" s="191"/>
      <c r="HX19" s="191"/>
      <c r="HY19" s="191"/>
      <c r="HZ19" s="191"/>
      <c r="IA19" s="191"/>
      <c r="IB19" s="191"/>
      <c r="IC19" s="191"/>
      <c r="ID19" s="191"/>
      <c r="IE19" s="192"/>
      <c r="IF19" s="192"/>
      <c r="IG19" s="192"/>
      <c r="IH19" s="192"/>
      <c r="II19" s="192"/>
      <c r="IJ19" s="192"/>
      <c r="IK19" s="192"/>
      <c r="IL19" s="192"/>
      <c r="IM19" s="192"/>
      <c r="IN19" s="192"/>
      <c r="IO19" s="192"/>
      <c r="IP19" s="192"/>
      <c r="IQ19" s="192"/>
      <c r="IR19" s="192"/>
      <c r="IS19" s="192"/>
      <c r="IT19" s="192"/>
      <c r="IU19" s="192"/>
      <c r="IV19" s="192"/>
    </row>
    <row r="20" spans="1:256" s="178" customFormat="1" ht="12">
      <c r="A20" s="179"/>
      <c r="B20" s="28"/>
      <c r="C20" s="28"/>
      <c r="D20" s="900"/>
      <c r="E20" s="896"/>
      <c r="F20" s="43"/>
      <c r="G20" s="896"/>
      <c r="H20" s="896"/>
      <c r="I20" s="896"/>
      <c r="J20" s="896"/>
      <c r="K20" s="896"/>
      <c r="L20" s="896"/>
      <c r="M20" s="896"/>
      <c r="N20" s="896"/>
      <c r="O20" s="896"/>
      <c r="P20" s="897"/>
      <c r="Q20" s="897"/>
      <c r="R20" s="897"/>
      <c r="S20" s="898"/>
      <c r="T20" s="898"/>
      <c r="U20" s="897"/>
      <c r="V20" s="897"/>
      <c r="W20" s="897"/>
      <c r="X20" s="898"/>
      <c r="Y20" s="898"/>
      <c r="Z20" s="898"/>
      <c r="AA20" s="898"/>
      <c r="AB20" s="897"/>
      <c r="AC20" s="897"/>
      <c r="AD20" s="897"/>
      <c r="AE20" s="898"/>
      <c r="AF20" s="898"/>
      <c r="AG20" s="898"/>
      <c r="AH20" s="898"/>
      <c r="AI20" s="898"/>
      <c r="AJ20" s="898"/>
      <c r="AK20" s="898"/>
      <c r="AL20" s="899"/>
      <c r="AM20" s="899"/>
      <c r="AN20" s="898"/>
      <c r="AO20" s="898"/>
      <c r="AP20" s="898"/>
      <c r="AQ20" s="898"/>
      <c r="AR20" s="898"/>
      <c r="AS20" s="898"/>
      <c r="AT20" s="898"/>
      <c r="AU20" s="898"/>
      <c r="AV20" s="898"/>
      <c r="AW20" s="898"/>
      <c r="AX20" s="898"/>
      <c r="AY20" s="898"/>
      <c r="AZ20" s="898"/>
      <c r="BA20" s="897"/>
      <c r="BB20" s="897"/>
      <c r="BC20" s="897"/>
      <c r="BD20" s="897"/>
      <c r="BE20" s="897"/>
      <c r="BF20" s="897"/>
      <c r="BG20" s="897"/>
      <c r="BH20" s="897"/>
      <c r="BI20" s="897"/>
      <c r="BJ20" s="897"/>
      <c r="BK20" s="897"/>
      <c r="BL20" s="897"/>
      <c r="BM20" s="897"/>
      <c r="BN20" s="897"/>
      <c r="BO20" s="897"/>
      <c r="BP20" s="897"/>
      <c r="BQ20" s="897"/>
      <c r="BR20" s="897"/>
      <c r="BS20" s="897"/>
      <c r="BT20" s="897"/>
      <c r="BU20" s="897"/>
      <c r="BV20" s="197"/>
      <c r="BW20" s="197"/>
      <c r="BX20" s="197"/>
      <c r="BY20" s="197"/>
      <c r="BZ20" s="197"/>
      <c r="CA20" s="197"/>
      <c r="CB20" s="197"/>
      <c r="CC20" s="197"/>
      <c r="CD20" s="197"/>
      <c r="CE20" s="197"/>
      <c r="CF20" s="197"/>
      <c r="CG20" s="197"/>
      <c r="CH20" s="197"/>
      <c r="CI20" s="197"/>
      <c r="CJ20" s="197"/>
      <c r="CK20" s="197"/>
      <c r="CL20" s="197"/>
      <c r="CM20" s="197"/>
      <c r="CN20" s="197"/>
      <c r="CO20" s="197"/>
      <c r="CP20" s="197"/>
      <c r="CQ20" s="197"/>
      <c r="CR20" s="896"/>
      <c r="CS20" s="896"/>
      <c r="CT20" s="896"/>
      <c r="CU20" s="896"/>
      <c r="CV20" s="896"/>
      <c r="CW20" s="896"/>
      <c r="CX20" s="896"/>
      <c r="CY20" s="896"/>
      <c r="CZ20" s="896"/>
      <c r="DA20" s="896"/>
      <c r="DB20" s="896"/>
      <c r="DC20" s="896"/>
      <c r="DD20" s="896"/>
      <c r="DE20" s="896"/>
      <c r="DF20" s="896"/>
      <c r="DG20" s="896"/>
      <c r="DH20" s="896"/>
      <c r="DI20" s="896"/>
      <c r="DJ20" s="896"/>
      <c r="DK20" s="896"/>
      <c r="DL20" s="896"/>
      <c r="DM20" s="896"/>
      <c r="DN20" s="896"/>
      <c r="DO20" s="896"/>
      <c r="DP20" s="896"/>
      <c r="DQ20" s="896"/>
      <c r="DR20" s="896"/>
      <c r="DS20" s="896"/>
      <c r="DT20" s="896"/>
      <c r="DU20" s="896"/>
      <c r="DV20" s="896"/>
      <c r="DW20" s="896"/>
      <c r="DX20" s="896"/>
      <c r="DY20" s="896"/>
      <c r="DZ20" s="896"/>
      <c r="EA20" s="896"/>
      <c r="EB20" s="896"/>
      <c r="EC20" s="896"/>
      <c r="ED20" s="896"/>
      <c r="EE20" s="896"/>
      <c r="EF20" s="896"/>
      <c r="EG20" s="896"/>
      <c r="EH20" s="896"/>
      <c r="EI20" s="896"/>
      <c r="EJ20" s="896"/>
      <c r="EK20" s="896"/>
      <c r="EL20" s="181"/>
      <c r="EM20" s="193"/>
      <c r="EN20" s="193"/>
      <c r="EO20" s="193"/>
      <c r="EP20" s="193"/>
      <c r="EQ20" s="193"/>
      <c r="ER20" s="193"/>
      <c r="ES20" s="193"/>
      <c r="ET20" s="193"/>
      <c r="EU20" s="193"/>
      <c r="EV20" s="193"/>
      <c r="EW20" s="193"/>
      <c r="EX20" s="193"/>
      <c r="EY20" s="193"/>
      <c r="EZ20" s="193"/>
      <c r="FA20" s="193"/>
      <c r="FB20" s="193"/>
      <c r="FC20" s="193"/>
      <c r="FD20" s="193"/>
      <c r="FE20" s="193"/>
      <c r="FF20" s="181"/>
      <c r="FG20" s="183"/>
      <c r="FH20" s="194"/>
      <c r="FI20" s="184"/>
      <c r="FJ20" s="184"/>
      <c r="FK20" s="184"/>
      <c r="FL20" s="184"/>
      <c r="FM20" s="184"/>
      <c r="FN20" s="184"/>
      <c r="FO20" s="184"/>
      <c r="FP20" s="184"/>
      <c r="FQ20" s="184"/>
      <c r="FR20" s="184"/>
      <c r="FS20" s="184"/>
      <c r="FT20" s="184"/>
      <c r="FU20" s="184"/>
      <c r="FV20" s="184"/>
      <c r="FW20" s="184"/>
      <c r="FX20" s="184"/>
      <c r="FY20" s="184"/>
      <c r="FZ20" s="184"/>
      <c r="GA20" s="184"/>
      <c r="GB20" s="185"/>
      <c r="GC20" s="195"/>
      <c r="GD20" s="183"/>
      <c r="GE20" s="186"/>
      <c r="GF20" s="186"/>
      <c r="GG20" s="186"/>
      <c r="GH20" s="186"/>
      <c r="GI20" s="186"/>
      <c r="GJ20" s="186"/>
      <c r="GK20" s="186"/>
      <c r="GL20" s="186"/>
      <c r="GM20" s="186"/>
      <c r="GN20" s="186"/>
      <c r="GO20" s="186"/>
      <c r="GP20" s="186"/>
      <c r="GQ20" s="186"/>
      <c r="GR20" s="186"/>
      <c r="GS20" s="186"/>
      <c r="GT20" s="186"/>
      <c r="GU20" s="186"/>
      <c r="GV20" s="186"/>
      <c r="GW20" s="186"/>
      <c r="GX20" s="186"/>
      <c r="GY20" s="186"/>
      <c r="GZ20" s="186"/>
      <c r="HA20" s="186"/>
      <c r="HB20" s="186"/>
      <c r="HC20" s="186"/>
      <c r="HD20" s="186"/>
      <c r="HE20" s="186"/>
      <c r="HF20" s="186"/>
      <c r="HG20" s="187"/>
      <c r="HH20" s="188"/>
      <c r="HI20" s="182"/>
      <c r="HJ20" s="182"/>
      <c r="HK20" s="182"/>
      <c r="HL20" s="182"/>
      <c r="HM20" s="189"/>
      <c r="HN20" s="189"/>
      <c r="HO20" s="190"/>
      <c r="HP20" s="191"/>
      <c r="HQ20" s="191"/>
      <c r="HR20" s="191"/>
      <c r="HS20" s="191"/>
      <c r="HT20" s="191"/>
      <c r="HU20" s="191"/>
      <c r="HV20" s="191"/>
      <c r="HW20" s="191"/>
      <c r="HX20" s="191"/>
      <c r="HY20" s="191"/>
      <c r="HZ20" s="191"/>
      <c r="IA20" s="191"/>
      <c r="IB20" s="191"/>
      <c r="IC20" s="191"/>
      <c r="ID20" s="191"/>
      <c r="IE20" s="192"/>
      <c r="IF20" s="192"/>
      <c r="IG20" s="192"/>
      <c r="IH20" s="192"/>
      <c r="II20" s="192"/>
      <c r="IJ20" s="192"/>
      <c r="IK20" s="192"/>
      <c r="IL20" s="192"/>
      <c r="IM20" s="192"/>
      <c r="IN20" s="192"/>
      <c r="IO20" s="192"/>
      <c r="IP20" s="192"/>
      <c r="IQ20" s="192"/>
      <c r="IR20" s="192"/>
      <c r="IS20" s="192"/>
      <c r="IT20" s="192"/>
      <c r="IU20" s="192"/>
      <c r="IV20" s="192"/>
    </row>
    <row r="21" spans="1:256" s="178" customFormat="1" ht="12">
      <c r="A21" s="179"/>
      <c r="B21" s="28"/>
      <c r="C21" s="28"/>
      <c r="D21" s="900"/>
      <c r="E21" s="896"/>
      <c r="F21" s="43"/>
      <c r="G21" s="896"/>
      <c r="H21" s="896"/>
      <c r="I21" s="896"/>
      <c r="J21" s="896"/>
      <c r="K21" s="896"/>
      <c r="L21" s="896"/>
      <c r="M21" s="896"/>
      <c r="N21" s="896"/>
      <c r="O21" s="896"/>
      <c r="P21" s="897"/>
      <c r="Q21" s="897"/>
      <c r="R21" s="897"/>
      <c r="S21" s="898"/>
      <c r="T21" s="898"/>
      <c r="U21" s="897"/>
      <c r="V21" s="897"/>
      <c r="W21" s="897"/>
      <c r="X21" s="898"/>
      <c r="Y21" s="898"/>
      <c r="Z21" s="898"/>
      <c r="AA21" s="898"/>
      <c r="AB21" s="897"/>
      <c r="AC21" s="897"/>
      <c r="AD21" s="897"/>
      <c r="AE21" s="898"/>
      <c r="AF21" s="898"/>
      <c r="AG21" s="898"/>
      <c r="AH21" s="898"/>
      <c r="AI21" s="898"/>
      <c r="AJ21" s="898"/>
      <c r="AK21" s="898"/>
      <c r="AL21" s="899"/>
      <c r="AM21" s="899"/>
      <c r="AN21" s="898"/>
      <c r="AO21" s="898"/>
      <c r="AP21" s="898"/>
      <c r="AQ21" s="898"/>
      <c r="AR21" s="898"/>
      <c r="AS21" s="898"/>
      <c r="AT21" s="898"/>
      <c r="AU21" s="898"/>
      <c r="AV21" s="898"/>
      <c r="AW21" s="898"/>
      <c r="AX21" s="898"/>
      <c r="AY21" s="898"/>
      <c r="AZ21" s="898"/>
      <c r="BA21" s="897"/>
      <c r="BB21" s="897"/>
      <c r="BC21" s="897"/>
      <c r="BD21" s="897"/>
      <c r="BE21" s="897"/>
      <c r="BF21" s="897"/>
      <c r="BG21" s="897"/>
      <c r="BH21" s="897"/>
      <c r="BI21" s="897"/>
      <c r="BJ21" s="897"/>
      <c r="BK21" s="897"/>
      <c r="BL21" s="897"/>
      <c r="BM21" s="897"/>
      <c r="BN21" s="897"/>
      <c r="BO21" s="897"/>
      <c r="BP21" s="897"/>
      <c r="BQ21" s="897"/>
      <c r="BR21" s="897"/>
      <c r="BS21" s="897"/>
      <c r="BT21" s="897"/>
      <c r="BU21" s="897"/>
      <c r="BV21" s="197"/>
      <c r="BW21" s="197"/>
      <c r="BX21" s="197"/>
      <c r="BY21" s="197"/>
      <c r="BZ21" s="197"/>
      <c r="CA21" s="197"/>
      <c r="CB21" s="197"/>
      <c r="CC21" s="197"/>
      <c r="CD21" s="197"/>
      <c r="CE21" s="197"/>
      <c r="CF21" s="197"/>
      <c r="CG21" s="197"/>
      <c r="CH21" s="197"/>
      <c r="CI21" s="197"/>
      <c r="CJ21" s="197"/>
      <c r="CK21" s="197"/>
      <c r="CL21" s="197"/>
      <c r="CM21" s="197"/>
      <c r="CN21" s="197"/>
      <c r="CO21" s="197"/>
      <c r="CP21" s="197"/>
      <c r="CQ21" s="197"/>
      <c r="CR21" s="896"/>
      <c r="CS21" s="896"/>
      <c r="CT21" s="896"/>
      <c r="CU21" s="896"/>
      <c r="CV21" s="896"/>
      <c r="CW21" s="896"/>
      <c r="CX21" s="896"/>
      <c r="CY21" s="896"/>
      <c r="CZ21" s="896"/>
      <c r="DA21" s="896"/>
      <c r="DB21" s="896"/>
      <c r="DC21" s="896"/>
      <c r="DD21" s="896"/>
      <c r="DE21" s="896"/>
      <c r="DF21" s="896"/>
      <c r="DG21" s="896"/>
      <c r="DH21" s="896"/>
      <c r="DI21" s="896"/>
      <c r="DJ21" s="896"/>
      <c r="DK21" s="896"/>
      <c r="DL21" s="896"/>
      <c r="DM21" s="896"/>
      <c r="DN21" s="896"/>
      <c r="DO21" s="896"/>
      <c r="DP21" s="896"/>
      <c r="DQ21" s="896"/>
      <c r="DR21" s="896"/>
      <c r="DS21" s="896"/>
      <c r="DT21" s="896"/>
      <c r="DU21" s="896"/>
      <c r="DV21" s="896"/>
      <c r="DW21" s="896"/>
      <c r="DX21" s="896"/>
      <c r="DY21" s="896"/>
      <c r="DZ21" s="896"/>
      <c r="EA21" s="896"/>
      <c r="EB21" s="896"/>
      <c r="EC21" s="896"/>
      <c r="ED21" s="896"/>
      <c r="EE21" s="896"/>
      <c r="EF21" s="896"/>
      <c r="EG21" s="896"/>
      <c r="EH21" s="896"/>
      <c r="EI21" s="896"/>
      <c r="EJ21" s="896"/>
      <c r="EK21" s="896"/>
      <c r="EL21" s="181"/>
      <c r="EM21" s="193"/>
      <c r="EN21" s="193"/>
      <c r="EO21" s="193"/>
      <c r="EP21" s="193"/>
      <c r="EQ21" s="193"/>
      <c r="ER21" s="193"/>
      <c r="ES21" s="193"/>
      <c r="ET21" s="193"/>
      <c r="EU21" s="193"/>
      <c r="EV21" s="193"/>
      <c r="EW21" s="193"/>
      <c r="EX21" s="193"/>
      <c r="EY21" s="193"/>
      <c r="EZ21" s="193"/>
      <c r="FA21" s="193"/>
      <c r="FB21" s="193"/>
      <c r="FC21" s="193"/>
      <c r="FD21" s="193"/>
      <c r="FE21" s="193"/>
      <c r="FF21" s="181"/>
      <c r="FG21" s="183"/>
      <c r="FH21" s="194"/>
      <c r="FI21" s="184"/>
      <c r="FJ21" s="184"/>
      <c r="FK21" s="184"/>
      <c r="FL21" s="184"/>
      <c r="FM21" s="184"/>
      <c r="FN21" s="184"/>
      <c r="FO21" s="184"/>
      <c r="FP21" s="184"/>
      <c r="FQ21" s="184"/>
      <c r="FR21" s="184"/>
      <c r="FS21" s="184"/>
      <c r="FT21" s="184"/>
      <c r="FU21" s="184"/>
      <c r="FV21" s="184"/>
      <c r="FW21" s="184"/>
      <c r="FX21" s="184"/>
      <c r="FY21" s="184"/>
      <c r="FZ21" s="184"/>
      <c r="GA21" s="184"/>
      <c r="GB21" s="185"/>
      <c r="GC21" s="195"/>
      <c r="GD21" s="183"/>
      <c r="GE21" s="186"/>
      <c r="GF21" s="186"/>
      <c r="GG21" s="186"/>
      <c r="GH21" s="186"/>
      <c r="GI21" s="186"/>
      <c r="GJ21" s="186"/>
      <c r="GK21" s="186"/>
      <c r="GL21" s="186"/>
      <c r="GM21" s="186"/>
      <c r="GN21" s="186"/>
      <c r="GO21" s="186"/>
      <c r="GP21" s="186"/>
      <c r="GQ21" s="186"/>
      <c r="GR21" s="186"/>
      <c r="GS21" s="186"/>
      <c r="GT21" s="186"/>
      <c r="GU21" s="186"/>
      <c r="GV21" s="186"/>
      <c r="GW21" s="186"/>
      <c r="GX21" s="186"/>
      <c r="GY21" s="186"/>
      <c r="GZ21" s="186"/>
      <c r="HA21" s="186"/>
      <c r="HB21" s="186"/>
      <c r="HC21" s="186"/>
      <c r="HD21" s="186"/>
      <c r="HE21" s="186"/>
      <c r="HF21" s="186"/>
      <c r="HG21" s="187"/>
      <c r="HH21" s="188"/>
      <c r="HI21" s="182"/>
      <c r="HJ21" s="182"/>
      <c r="HK21" s="182"/>
      <c r="HL21" s="182"/>
      <c r="HM21" s="189"/>
      <c r="HN21" s="189"/>
      <c r="HO21" s="190"/>
      <c r="HP21" s="191"/>
      <c r="HQ21" s="191"/>
      <c r="HR21" s="191"/>
      <c r="HS21" s="191"/>
      <c r="HT21" s="191"/>
      <c r="HU21" s="191"/>
      <c r="HV21" s="191"/>
      <c r="HW21" s="191"/>
      <c r="HX21" s="191"/>
      <c r="HY21" s="191"/>
      <c r="HZ21" s="191"/>
      <c r="IA21" s="191"/>
      <c r="IB21" s="191"/>
      <c r="IC21" s="191"/>
      <c r="ID21" s="191"/>
      <c r="IE21" s="192"/>
      <c r="IF21" s="192"/>
      <c r="IG21" s="192"/>
      <c r="IH21" s="192"/>
      <c r="II21" s="192"/>
      <c r="IJ21" s="192"/>
      <c r="IK21" s="192"/>
      <c r="IL21" s="192"/>
      <c r="IM21" s="192"/>
      <c r="IN21" s="192"/>
      <c r="IO21" s="192"/>
      <c r="IP21" s="192"/>
      <c r="IQ21" s="192"/>
      <c r="IR21" s="192"/>
      <c r="IS21" s="192"/>
      <c r="IT21" s="192"/>
      <c r="IU21" s="192"/>
      <c r="IV21" s="192"/>
    </row>
    <row r="22" spans="1:256" s="178" customFormat="1" ht="21">
      <c r="A22" s="179"/>
      <c r="B22" s="902">
        <v>1</v>
      </c>
      <c r="C22" s="902">
        <v>2</v>
      </c>
      <c r="D22" s="902">
        <v>3</v>
      </c>
      <c r="E22" s="902">
        <v>4</v>
      </c>
      <c r="F22" s="902">
        <v>5</v>
      </c>
      <c r="G22" s="902">
        <v>6</v>
      </c>
      <c r="H22" s="902">
        <v>7</v>
      </c>
      <c r="I22" s="902">
        <v>8</v>
      </c>
      <c r="J22" s="902">
        <v>9</v>
      </c>
      <c r="K22" s="902">
        <v>10</v>
      </c>
      <c r="L22" s="902">
        <v>11</v>
      </c>
      <c r="M22" s="902">
        <v>12</v>
      </c>
      <c r="N22" s="902">
        <v>13</v>
      </c>
      <c r="O22" s="902">
        <v>14</v>
      </c>
      <c r="P22" s="902">
        <v>15</v>
      </c>
      <c r="Q22" s="902">
        <v>16</v>
      </c>
      <c r="R22" s="902">
        <v>17</v>
      </c>
      <c r="S22" s="902">
        <v>18</v>
      </c>
      <c r="T22" s="902">
        <v>19</v>
      </c>
      <c r="U22" s="902">
        <v>20</v>
      </c>
      <c r="V22" s="902">
        <v>21</v>
      </c>
      <c r="W22" s="902">
        <v>22</v>
      </c>
      <c r="X22" s="902">
        <v>23</v>
      </c>
      <c r="Y22" s="902">
        <v>24</v>
      </c>
      <c r="Z22" s="902">
        <v>25</v>
      </c>
      <c r="AA22" s="902">
        <v>26</v>
      </c>
      <c r="AB22" s="902">
        <v>27</v>
      </c>
      <c r="AC22" s="902">
        <v>28</v>
      </c>
      <c r="AD22" s="902">
        <v>29</v>
      </c>
      <c r="AE22" s="902">
        <v>30</v>
      </c>
      <c r="AF22" s="902">
        <v>31</v>
      </c>
      <c r="AG22" s="902">
        <v>32</v>
      </c>
      <c r="AH22" s="902">
        <v>33</v>
      </c>
      <c r="AI22" s="902">
        <v>34</v>
      </c>
      <c r="AJ22" s="902">
        <v>35</v>
      </c>
      <c r="AK22" s="902">
        <v>36</v>
      </c>
      <c r="AL22" s="902">
        <v>37</v>
      </c>
      <c r="AM22" s="902">
        <v>38</v>
      </c>
      <c r="AN22" s="902">
        <v>39</v>
      </c>
      <c r="AO22" s="902">
        <v>40</v>
      </c>
      <c r="AP22" s="902">
        <v>41</v>
      </c>
      <c r="AQ22" s="902">
        <v>42</v>
      </c>
      <c r="AR22" s="902">
        <v>43</v>
      </c>
      <c r="AS22" s="902">
        <v>44</v>
      </c>
      <c r="AT22" s="902">
        <v>45</v>
      </c>
      <c r="AU22" s="902">
        <v>46</v>
      </c>
      <c r="AV22" s="902">
        <v>47</v>
      </c>
      <c r="AW22" s="902">
        <v>48</v>
      </c>
      <c r="AX22" s="902">
        <v>49</v>
      </c>
      <c r="AY22" s="902">
        <v>50</v>
      </c>
      <c r="AZ22" s="902">
        <v>51</v>
      </c>
      <c r="BA22" s="902">
        <v>52</v>
      </c>
      <c r="BB22" s="902">
        <v>53</v>
      </c>
      <c r="BC22" s="902"/>
      <c r="BD22" s="902"/>
      <c r="BE22" s="902"/>
      <c r="BF22" s="902"/>
      <c r="BG22" s="902"/>
      <c r="BH22" s="902"/>
      <c r="BI22" s="902"/>
      <c r="BJ22" s="902"/>
      <c r="BK22" s="902"/>
      <c r="BL22" s="902"/>
      <c r="BM22" s="902"/>
      <c r="BN22" s="902"/>
      <c r="BO22" s="902"/>
      <c r="BP22" s="902"/>
      <c r="BQ22" s="902"/>
      <c r="BR22" s="902"/>
      <c r="BS22" s="902"/>
      <c r="BT22" s="902"/>
      <c r="BU22" s="902"/>
      <c r="BV22" s="902"/>
      <c r="BW22" s="902"/>
      <c r="BX22" s="902"/>
      <c r="BY22" s="902"/>
      <c r="BZ22" s="902"/>
      <c r="CA22" s="902"/>
      <c r="CB22" s="902"/>
      <c r="CC22" s="902"/>
      <c r="CD22" s="902"/>
      <c r="CE22" s="902"/>
      <c r="CF22" s="902"/>
      <c r="CG22" s="902"/>
      <c r="CH22" s="902"/>
      <c r="CI22" s="902"/>
      <c r="CJ22" s="902"/>
      <c r="CK22" s="902"/>
      <c r="CL22" s="902"/>
      <c r="CM22" s="902"/>
      <c r="CN22" s="902"/>
      <c r="CO22" s="902"/>
      <c r="CP22" s="902"/>
      <c r="CQ22" s="902"/>
      <c r="CR22" s="902"/>
      <c r="CS22" s="902"/>
      <c r="CT22" s="902"/>
      <c r="CU22" s="902"/>
      <c r="CV22" s="902"/>
      <c r="CW22" s="902"/>
      <c r="CX22" s="902"/>
      <c r="CY22" s="902"/>
      <c r="CZ22" s="902"/>
      <c r="DA22" s="902"/>
      <c r="DB22" s="902"/>
      <c r="DC22" s="902"/>
      <c r="DD22" s="902"/>
      <c r="DE22" s="902"/>
      <c r="DF22" s="902"/>
      <c r="DG22" s="902"/>
      <c r="DH22" s="902"/>
      <c r="DI22" s="902"/>
      <c r="DJ22" s="902"/>
      <c r="DK22" s="902"/>
      <c r="DL22" s="902"/>
      <c r="DM22" s="902"/>
      <c r="DN22" s="902"/>
      <c r="DO22" s="902"/>
      <c r="DP22" s="902"/>
      <c r="DQ22" s="902"/>
      <c r="DR22" s="902"/>
      <c r="DS22" s="902"/>
      <c r="DT22" s="902"/>
      <c r="DU22" s="902"/>
      <c r="DV22" s="902"/>
      <c r="DW22" s="902"/>
      <c r="DX22" s="902"/>
      <c r="DY22" s="902"/>
      <c r="DZ22" s="902"/>
      <c r="EA22" s="902"/>
      <c r="EB22" s="902"/>
      <c r="EC22" s="902"/>
      <c r="ED22" s="902"/>
      <c r="EE22" s="902"/>
      <c r="EF22" s="902"/>
      <c r="EG22" s="902"/>
      <c r="EH22" s="902"/>
      <c r="EI22" s="902"/>
      <c r="EJ22" s="902"/>
      <c r="EK22" s="902"/>
      <c r="EL22" s="902"/>
      <c r="EM22" s="902"/>
      <c r="EN22" s="902"/>
      <c r="EO22" s="902"/>
      <c r="EP22" s="902"/>
      <c r="EQ22" s="902"/>
      <c r="ER22" s="902"/>
      <c r="ES22" s="902"/>
      <c r="ET22" s="902"/>
      <c r="EU22" s="902"/>
      <c r="EV22" s="902"/>
      <c r="EW22" s="902"/>
      <c r="EX22" s="902"/>
      <c r="EY22" s="902"/>
      <c r="EZ22" s="902"/>
      <c r="FA22" s="902"/>
      <c r="FB22" s="902"/>
      <c r="FC22" s="902"/>
      <c r="FD22" s="902"/>
      <c r="FE22" s="902"/>
      <c r="FF22" s="902"/>
      <c r="FG22" s="902"/>
      <c r="FH22" s="902"/>
      <c r="FI22" s="902"/>
      <c r="FJ22" s="902"/>
      <c r="FK22" s="902"/>
      <c r="FL22" s="902"/>
      <c r="FM22" s="902"/>
      <c r="FN22" s="902"/>
      <c r="FO22" s="902"/>
      <c r="FP22" s="902"/>
      <c r="FQ22" s="902"/>
      <c r="FR22" s="902"/>
      <c r="FS22" s="902"/>
      <c r="FT22" s="902"/>
      <c r="FU22" s="902"/>
      <c r="FV22" s="902"/>
      <c r="FW22" s="902"/>
      <c r="FX22" s="902"/>
      <c r="FY22" s="902"/>
      <c r="FZ22" s="902"/>
      <c r="GA22" s="902"/>
      <c r="GB22" s="902"/>
      <c r="GC22" s="902"/>
      <c r="GD22" s="902"/>
      <c r="GE22" s="902"/>
      <c r="GF22" s="902"/>
      <c r="GG22" s="902"/>
      <c r="GH22" s="902"/>
      <c r="GI22" s="902"/>
      <c r="GJ22" s="902"/>
      <c r="GK22" s="902"/>
      <c r="GL22" s="902"/>
      <c r="GM22" s="902"/>
      <c r="GN22" s="902"/>
      <c r="GO22" s="902"/>
      <c r="GP22" s="902"/>
      <c r="GQ22" s="902"/>
      <c r="GR22" s="902"/>
      <c r="GS22" s="902"/>
      <c r="GT22" s="902"/>
      <c r="GU22" s="902"/>
      <c r="GV22" s="902"/>
      <c r="GW22" s="902"/>
      <c r="GX22" s="902"/>
      <c r="GY22" s="902"/>
      <c r="GZ22" s="902"/>
      <c r="HA22" s="902"/>
      <c r="HB22" s="902"/>
      <c r="HC22" s="902"/>
      <c r="HD22" s="902"/>
      <c r="HE22" s="902"/>
      <c r="HF22" s="902"/>
      <c r="HG22" s="902"/>
      <c r="HH22" s="902"/>
      <c r="HI22" s="902"/>
      <c r="HJ22" s="902"/>
      <c r="HK22" s="902"/>
      <c r="HL22" s="902"/>
      <c r="HM22" s="902"/>
      <c r="HN22" s="902"/>
      <c r="HO22" s="902"/>
      <c r="HP22" s="902"/>
      <c r="HQ22" s="902"/>
      <c r="HR22" s="902"/>
      <c r="HS22" s="902"/>
      <c r="HT22" s="191"/>
      <c r="HU22" s="191"/>
      <c r="HV22" s="191"/>
      <c r="HW22" s="191"/>
      <c r="HX22" s="191"/>
      <c r="HY22" s="191"/>
      <c r="HZ22" s="191"/>
      <c r="IA22" s="191"/>
      <c r="IB22" s="191"/>
      <c r="IC22" s="191"/>
      <c r="ID22" s="191"/>
      <c r="IE22" s="192"/>
      <c r="IF22" s="192"/>
      <c r="IG22" s="192"/>
      <c r="IH22" s="192"/>
      <c r="II22" s="192"/>
      <c r="IJ22" s="192"/>
      <c r="IK22" s="192"/>
      <c r="IL22" s="192"/>
      <c r="IM22" s="192"/>
      <c r="IN22" s="192"/>
      <c r="IO22" s="192"/>
      <c r="IP22" s="192"/>
      <c r="IQ22" s="192"/>
      <c r="IR22" s="192"/>
      <c r="IS22" s="192"/>
      <c r="IT22" s="192"/>
      <c r="IU22" s="192"/>
      <c r="IV22" s="192"/>
    </row>
    <row r="23" spans="1:256" s="940" customFormat="1" ht="22.5">
      <c r="A23" s="938"/>
      <c r="B23" s="939" t="s">
        <v>2625</v>
      </c>
      <c r="C23" s="940" t="s">
        <v>2729</v>
      </c>
      <c r="D23" s="940" t="s">
        <v>2730</v>
      </c>
      <c r="E23" s="940" t="s">
        <v>2731</v>
      </c>
      <c r="F23" s="940" t="s">
        <v>2732</v>
      </c>
      <c r="G23" s="940" t="s">
        <v>2733</v>
      </c>
      <c r="H23" s="940" t="s">
        <v>2734</v>
      </c>
      <c r="I23" s="940" t="s">
        <v>2735</v>
      </c>
      <c r="J23" s="940" t="s">
        <v>2736</v>
      </c>
      <c r="K23" s="940" t="s">
        <v>2737</v>
      </c>
      <c r="L23" s="940" t="s">
        <v>2738</v>
      </c>
      <c r="M23" s="940" t="s">
        <v>2739</v>
      </c>
      <c r="N23" s="940" t="s">
        <v>2740</v>
      </c>
      <c r="O23" s="941" t="s">
        <v>2741</v>
      </c>
      <c r="P23" s="941" t="s">
        <v>2742</v>
      </c>
      <c r="Q23" s="941" t="s">
        <v>2743</v>
      </c>
      <c r="R23" s="941" t="s">
        <v>2744</v>
      </c>
      <c r="S23" s="941" t="s">
        <v>2745</v>
      </c>
      <c r="T23" s="941" t="s">
        <v>2746</v>
      </c>
      <c r="U23" s="941" t="s">
        <v>2747</v>
      </c>
      <c r="V23" s="941" t="s">
        <v>2748</v>
      </c>
      <c r="W23" s="941" t="s">
        <v>2749</v>
      </c>
      <c r="X23" s="941" t="s">
        <v>2750</v>
      </c>
      <c r="Y23" s="941" t="s">
        <v>2751</v>
      </c>
      <c r="Z23" s="941" t="s">
        <v>2752</v>
      </c>
      <c r="AA23" s="941" t="s">
        <v>2753</v>
      </c>
      <c r="AB23" s="942" t="s">
        <v>162</v>
      </c>
      <c r="AC23" s="886" t="s">
        <v>2075</v>
      </c>
      <c r="AD23" s="886" t="s">
        <v>2315</v>
      </c>
      <c r="AE23" s="886" t="s">
        <v>2070</v>
      </c>
      <c r="AF23" s="886" t="s">
        <v>2065</v>
      </c>
      <c r="AG23" s="886" t="s">
        <v>2059</v>
      </c>
      <c r="AH23" s="886" t="s">
        <v>2319</v>
      </c>
      <c r="AI23" s="886" t="s">
        <v>2051</v>
      </c>
      <c r="AJ23" s="886" t="s">
        <v>2320</v>
      </c>
      <c r="AK23" s="886" t="s">
        <v>2031</v>
      </c>
      <c r="AL23" s="886"/>
      <c r="AM23" s="886"/>
      <c r="AN23" s="976" t="s">
        <v>2770</v>
      </c>
      <c r="AO23" s="976" t="s">
        <v>2991</v>
      </c>
      <c r="AP23" s="976" t="s">
        <v>2992</v>
      </c>
      <c r="AQ23" s="976" t="s">
        <v>2993</v>
      </c>
      <c r="AR23" s="976" t="s">
        <v>2994</v>
      </c>
      <c r="AS23" s="976" t="s">
        <v>2995</v>
      </c>
      <c r="AT23" s="976" t="s">
        <v>2996</v>
      </c>
      <c r="AU23" s="976" t="s">
        <v>2997</v>
      </c>
      <c r="AV23" s="976" t="s">
        <v>2998</v>
      </c>
      <c r="AW23" s="976" t="s">
        <v>2999</v>
      </c>
      <c r="AX23" s="976"/>
      <c r="AY23" s="976" t="s">
        <v>2790</v>
      </c>
      <c r="AZ23" s="976" t="s">
        <v>2791</v>
      </c>
      <c r="BA23" s="976" t="s">
        <v>2792</v>
      </c>
      <c r="BB23" s="976" t="s">
        <v>2793</v>
      </c>
      <c r="BC23" s="943"/>
      <c r="BD23" s="943"/>
      <c r="BE23" s="943"/>
      <c r="BF23" s="943"/>
      <c r="BG23" s="943"/>
      <c r="BH23" s="943"/>
      <c r="BI23" s="943"/>
      <c r="BJ23" s="943"/>
      <c r="BK23" s="943"/>
      <c r="BL23" s="943"/>
      <c r="BM23" s="943"/>
      <c r="BN23" s="943"/>
      <c r="BO23" s="943"/>
      <c r="BP23" s="943"/>
      <c r="BQ23" s="943"/>
      <c r="BR23" s="943"/>
      <c r="BS23" s="943"/>
      <c r="BT23" s="943"/>
      <c r="BU23" s="943"/>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886"/>
      <c r="CS23" s="886"/>
      <c r="CT23" s="886"/>
      <c r="CU23" s="886"/>
      <c r="CV23" s="886"/>
      <c r="CW23" s="886"/>
      <c r="CX23" s="886"/>
      <c r="CY23" s="886"/>
      <c r="CZ23" s="886"/>
      <c r="DA23" s="886"/>
      <c r="DB23" s="886"/>
      <c r="DC23" s="886"/>
      <c r="DD23" s="886"/>
      <c r="DE23" s="886"/>
      <c r="DF23" s="886"/>
      <c r="DG23" s="886"/>
      <c r="DH23" s="886"/>
      <c r="DI23" s="886"/>
      <c r="DJ23" s="886"/>
      <c r="DK23" s="886"/>
      <c r="DL23" s="886"/>
      <c r="DM23" s="886"/>
      <c r="DN23" s="886"/>
      <c r="DO23" s="886"/>
      <c r="DP23" s="886"/>
      <c r="DQ23" s="886"/>
      <c r="DR23" s="886"/>
      <c r="DS23" s="886"/>
      <c r="DT23" s="886"/>
      <c r="DU23" s="886"/>
      <c r="DV23" s="886"/>
      <c r="DW23" s="886"/>
      <c r="DX23" s="886"/>
      <c r="DY23" s="886"/>
      <c r="DZ23" s="886"/>
      <c r="EA23" s="886"/>
      <c r="EB23" s="886"/>
      <c r="EC23" s="886"/>
      <c r="ED23" s="886"/>
      <c r="EE23" s="886"/>
      <c r="EF23" s="886"/>
      <c r="EG23" s="886"/>
      <c r="EH23" s="886"/>
      <c r="EI23" s="886"/>
      <c r="EJ23" s="886"/>
      <c r="EK23" s="886"/>
      <c r="EL23" s="31"/>
      <c r="FF23" s="31"/>
      <c r="FG23" s="31"/>
      <c r="FH23" s="887"/>
      <c r="FI23" s="945"/>
      <c r="FJ23" s="945"/>
      <c r="FK23" s="945"/>
      <c r="FL23" s="945"/>
      <c r="FM23" s="945"/>
      <c r="FN23" s="945"/>
      <c r="FO23" s="945"/>
      <c r="FP23" s="945"/>
      <c r="FQ23" s="945"/>
      <c r="FR23" s="945"/>
      <c r="FS23" s="945"/>
      <c r="FT23" s="945"/>
      <c r="FU23" s="945"/>
      <c r="FV23" s="945"/>
      <c r="FW23" s="945"/>
      <c r="FX23" s="945"/>
      <c r="FY23" s="945"/>
      <c r="FZ23" s="945"/>
      <c r="GA23" s="945"/>
      <c r="GB23" s="33"/>
      <c r="GC23" s="946"/>
      <c r="GD23" s="31"/>
      <c r="GE23" s="27"/>
      <c r="GF23" s="27"/>
      <c r="GG23" s="27"/>
      <c r="GH23" s="27"/>
      <c r="GI23" s="27"/>
      <c r="GJ23" s="27"/>
      <c r="GK23" s="27"/>
      <c r="GL23" s="27"/>
      <c r="GM23" s="27"/>
      <c r="GN23" s="27"/>
      <c r="GO23" s="27"/>
      <c r="GP23" s="27"/>
      <c r="GQ23" s="27"/>
      <c r="GR23" s="27"/>
      <c r="GS23" s="27"/>
      <c r="GT23" s="27"/>
      <c r="GU23" s="27"/>
      <c r="GV23" s="27"/>
      <c r="GW23" s="27"/>
      <c r="GX23" s="27"/>
      <c r="GY23" s="27"/>
      <c r="GZ23" s="27"/>
      <c r="HA23" s="27"/>
      <c r="HB23" s="27"/>
      <c r="HC23" s="27"/>
      <c r="HD23" s="27"/>
      <c r="HE23" s="27"/>
      <c r="HF23" s="27"/>
      <c r="HG23" s="27"/>
      <c r="HH23" s="947"/>
      <c r="HI23" s="947"/>
      <c r="HJ23" s="947"/>
      <c r="HK23" s="947"/>
      <c r="HL23" s="947"/>
      <c r="HM23" s="947"/>
      <c r="HN23" s="947"/>
      <c r="HO23" s="47"/>
      <c r="HP23" s="942"/>
      <c r="HQ23" s="942"/>
      <c r="HR23" s="942"/>
      <c r="HS23" s="942"/>
      <c r="HT23" s="942"/>
      <c r="HU23" s="942"/>
      <c r="HV23" s="942"/>
      <c r="HW23" s="942"/>
      <c r="HX23" s="942"/>
      <c r="HY23" s="942"/>
      <c r="HZ23" s="942"/>
      <c r="IA23" s="942"/>
      <c r="IB23" s="942"/>
      <c r="IC23" s="942"/>
      <c r="ID23" s="942"/>
      <c r="IE23" s="886"/>
      <c r="IF23" s="886"/>
      <c r="IG23" s="886"/>
      <c r="IH23" s="886"/>
      <c r="II23" s="886"/>
      <c r="IJ23" s="886"/>
      <c r="IK23" s="886"/>
      <c r="IL23" s="886"/>
      <c r="IM23" s="886"/>
      <c r="IN23" s="886"/>
      <c r="IO23" s="886"/>
      <c r="IP23" s="886"/>
      <c r="IQ23" s="886"/>
      <c r="IR23" s="886"/>
      <c r="IS23" s="886"/>
      <c r="IT23" s="886"/>
      <c r="IU23" s="886"/>
      <c r="IV23" s="886"/>
    </row>
    <row r="24" spans="1:256" s="178" customFormat="1" ht="56.25" customHeight="1">
      <c r="A24" s="179"/>
      <c r="B24" s="1017" t="s">
        <v>2651</v>
      </c>
      <c r="C24" s="50" t="s">
        <v>2696</v>
      </c>
      <c r="D24" s="935">
        <v>1</v>
      </c>
      <c r="E24" s="935">
        <v>2</v>
      </c>
      <c r="F24" s="935">
        <v>3</v>
      </c>
      <c r="G24" s="935">
        <v>4</v>
      </c>
      <c r="H24" s="935">
        <v>5</v>
      </c>
      <c r="I24" s="935">
        <v>6</v>
      </c>
      <c r="J24" s="935">
        <v>7</v>
      </c>
      <c r="K24" s="935">
        <v>8</v>
      </c>
      <c r="L24" s="935">
        <v>9</v>
      </c>
      <c r="M24" s="935">
        <v>10</v>
      </c>
      <c r="O24" s="936" t="s">
        <v>10</v>
      </c>
      <c r="P24" s="936" t="s">
        <v>3</v>
      </c>
      <c r="Q24" s="936" t="s">
        <v>7</v>
      </c>
      <c r="R24" s="936" t="s">
        <v>8</v>
      </c>
      <c r="S24" s="936" t="s">
        <v>9</v>
      </c>
      <c r="T24" s="936" t="s">
        <v>2754</v>
      </c>
      <c r="U24" s="7"/>
      <c r="V24" s="44"/>
      <c r="W24" s="44"/>
      <c r="X24" s="37"/>
      <c r="Y24" s="37"/>
      <c r="Z24" s="45"/>
      <c r="AA24" s="37"/>
      <c r="AB24" s="1083">
        <v>3.3940000000000001</v>
      </c>
      <c r="AC24" s="1083">
        <v>0.56202111111111119</v>
      </c>
      <c r="AD24" s="1083">
        <v>0.46820885057471268</v>
      </c>
      <c r="AE24" s="1082">
        <v>1.0409103467261904</v>
      </c>
      <c r="AF24" s="1082">
        <v>0.93479921248973741</v>
      </c>
      <c r="AG24" s="1083">
        <v>0.91813447941468251</v>
      </c>
      <c r="AH24" s="1083">
        <v>0.65586697941468264</v>
      </c>
      <c r="AI24" s="1082">
        <v>0.87293406274801588</v>
      </c>
      <c r="AJ24" s="1082">
        <v>0.58327331274801597</v>
      </c>
      <c r="AK24" s="1083">
        <v>2.8295718349753698</v>
      </c>
      <c r="AL24" s="888"/>
      <c r="AM24" s="888"/>
      <c r="AN24" s="977" t="s">
        <v>2831</v>
      </c>
      <c r="AO24" s="977" t="s">
        <v>2832</v>
      </c>
      <c r="AP24" s="977" t="s">
        <v>2833</v>
      </c>
      <c r="AQ24" s="977" t="s">
        <v>2834</v>
      </c>
      <c r="AR24" s="977" t="s">
        <v>2835</v>
      </c>
      <c r="AS24" s="977" t="s">
        <v>2836</v>
      </c>
      <c r="AT24" s="977" t="s">
        <v>2837</v>
      </c>
      <c r="AU24" s="977" t="s">
        <v>2838</v>
      </c>
      <c r="AV24" s="977" t="s">
        <v>2839</v>
      </c>
      <c r="AW24" s="977" t="s">
        <v>2840</v>
      </c>
      <c r="AY24" s="1032">
        <v>5490.9318389999999</v>
      </c>
      <c r="AZ24" s="1032">
        <v>8255.3248070000009</v>
      </c>
      <c r="BA24" s="1033">
        <v>8651.0975309999994</v>
      </c>
      <c r="BB24" s="1033">
        <v>5747.3956540000008</v>
      </c>
      <c r="BC24" s="897"/>
      <c r="BD24" s="897"/>
      <c r="BE24" s="897"/>
      <c r="BF24" s="897"/>
      <c r="BG24" s="897"/>
      <c r="BH24" s="897"/>
      <c r="BI24" s="897"/>
      <c r="BJ24" s="897"/>
      <c r="BK24" s="897"/>
      <c r="BL24" s="897"/>
      <c r="BM24" s="897"/>
      <c r="BN24" s="897"/>
      <c r="BO24" s="897"/>
      <c r="BP24" s="897"/>
      <c r="BQ24" s="897"/>
      <c r="BR24" s="897"/>
      <c r="BS24" s="897"/>
      <c r="BT24" s="897"/>
      <c r="BU24" s="897"/>
      <c r="BV24" s="197"/>
      <c r="BW24" s="197"/>
      <c r="BX24" s="197"/>
      <c r="BY24" s="197"/>
      <c r="BZ24" s="197"/>
      <c r="CA24" s="197"/>
      <c r="CB24" s="197"/>
      <c r="CC24" s="197"/>
      <c r="CD24" s="197"/>
      <c r="CE24" s="197"/>
      <c r="CF24" s="197"/>
      <c r="CG24" s="197"/>
      <c r="CH24" s="197"/>
      <c r="CI24" s="197"/>
      <c r="CJ24" s="197"/>
      <c r="CK24" s="197"/>
      <c r="CL24" s="197"/>
      <c r="CM24" s="197"/>
      <c r="CN24" s="197"/>
      <c r="CO24" s="197"/>
      <c r="CP24" s="197"/>
      <c r="CQ24" s="197"/>
      <c r="CR24" s="896"/>
      <c r="CS24" s="896"/>
      <c r="CT24" s="896"/>
      <c r="CU24" s="896"/>
      <c r="CV24" s="896"/>
      <c r="CW24" s="896"/>
      <c r="CX24" s="896"/>
      <c r="CY24" s="896"/>
      <c r="CZ24" s="896"/>
      <c r="DA24" s="896"/>
      <c r="DB24" s="896"/>
      <c r="DC24" s="896"/>
      <c r="DD24" s="896"/>
      <c r="DE24" s="896"/>
      <c r="DF24" s="896"/>
      <c r="DG24" s="896"/>
      <c r="DH24" s="896"/>
      <c r="DI24" s="896"/>
      <c r="DJ24" s="896"/>
      <c r="DK24" s="896"/>
      <c r="DL24" s="896"/>
      <c r="DM24" s="896"/>
      <c r="DN24" s="896"/>
      <c r="DO24" s="896"/>
      <c r="DP24" s="896"/>
      <c r="DQ24" s="896"/>
      <c r="DR24" s="896"/>
      <c r="DS24" s="896"/>
      <c r="DT24" s="896"/>
      <c r="DU24" s="896"/>
      <c r="DV24" s="896"/>
      <c r="DW24" s="896"/>
      <c r="DX24" s="896"/>
      <c r="DY24" s="896"/>
      <c r="DZ24" s="896"/>
      <c r="EA24" s="896"/>
      <c r="EB24" s="896"/>
      <c r="EC24" s="896"/>
      <c r="ED24" s="896"/>
      <c r="EE24" s="896"/>
      <c r="EF24" s="896"/>
      <c r="EG24" s="896"/>
      <c r="EH24" s="896"/>
      <c r="EI24" s="896"/>
      <c r="EJ24" s="896"/>
      <c r="EK24" s="896"/>
      <c r="EL24" s="181"/>
      <c r="EM24" s="193"/>
      <c r="EN24" s="193"/>
      <c r="EO24" s="193"/>
      <c r="EP24" s="193"/>
      <c r="EQ24" s="193"/>
      <c r="ER24" s="193"/>
      <c r="ES24" s="193"/>
      <c r="ET24" s="193"/>
      <c r="EU24" s="193"/>
      <c r="EV24" s="193"/>
      <c r="EW24" s="193"/>
      <c r="EX24" s="193"/>
      <c r="EY24" s="193"/>
      <c r="EZ24" s="193"/>
      <c r="FA24" s="193"/>
      <c r="FB24" s="193"/>
      <c r="FC24" s="193"/>
      <c r="FD24" s="193"/>
      <c r="FE24" s="193"/>
      <c r="FF24" s="181"/>
      <c r="FG24" s="183"/>
      <c r="FH24" s="194"/>
      <c r="FI24" s="184"/>
      <c r="FJ24" s="184"/>
      <c r="FK24" s="184"/>
      <c r="FL24" s="184"/>
      <c r="FM24" s="184"/>
      <c r="FN24" s="184"/>
      <c r="FO24" s="184"/>
      <c r="FP24" s="184"/>
      <c r="FQ24" s="184"/>
      <c r="FR24" s="184"/>
      <c r="FS24" s="184"/>
      <c r="FT24" s="184"/>
      <c r="FU24" s="184"/>
      <c r="FV24" s="184"/>
      <c r="FW24" s="184"/>
      <c r="FX24" s="184"/>
      <c r="FY24" s="184"/>
      <c r="FZ24" s="184"/>
      <c r="GA24" s="184"/>
      <c r="GB24" s="185"/>
      <c r="GC24" s="195"/>
      <c r="GD24" s="183"/>
      <c r="GE24" s="186"/>
      <c r="GF24" s="186"/>
      <c r="GG24" s="186"/>
      <c r="GH24" s="186"/>
      <c r="GI24" s="186"/>
      <c r="GJ24" s="186"/>
      <c r="GK24" s="186"/>
      <c r="GL24" s="186"/>
      <c r="GM24" s="186"/>
      <c r="GN24" s="186"/>
      <c r="GO24" s="186"/>
      <c r="GP24" s="186"/>
      <c r="GQ24" s="186"/>
      <c r="GR24" s="186"/>
      <c r="GS24" s="186"/>
      <c r="GT24" s="186"/>
      <c r="GU24" s="186"/>
      <c r="GV24" s="186"/>
      <c r="GW24" s="186"/>
      <c r="GX24" s="186"/>
      <c r="GY24" s="186"/>
      <c r="GZ24" s="186"/>
      <c r="HA24" s="186"/>
      <c r="HB24" s="186"/>
      <c r="HC24" s="186"/>
      <c r="HD24" s="186"/>
      <c r="HE24" s="186"/>
      <c r="HF24" s="186"/>
      <c r="HG24" s="187"/>
      <c r="HH24" s="188"/>
      <c r="HI24" s="182"/>
      <c r="HJ24" s="182"/>
      <c r="HK24" s="182"/>
      <c r="HL24" s="182"/>
      <c r="HM24" s="189"/>
      <c r="HN24" s="189"/>
      <c r="HO24" s="190"/>
      <c r="HP24" s="191"/>
      <c r="HQ24" s="191"/>
      <c r="HR24" s="191"/>
      <c r="HS24" s="191"/>
      <c r="HT24" s="191"/>
      <c r="HU24" s="191"/>
      <c r="HV24" s="191"/>
      <c r="HW24" s="191"/>
      <c r="HX24" s="191"/>
      <c r="HY24" s="191"/>
      <c r="HZ24" s="191"/>
      <c r="IA24" s="191"/>
      <c r="IB24" s="191"/>
      <c r="IC24" s="191"/>
      <c r="ID24" s="191"/>
      <c r="IE24" s="192"/>
      <c r="IF24" s="192"/>
      <c r="IG24" s="192"/>
      <c r="IH24" s="192"/>
      <c r="II24" s="192"/>
      <c r="IJ24" s="192"/>
      <c r="IK24" s="192"/>
      <c r="IL24" s="192"/>
      <c r="IM24" s="192"/>
      <c r="IN24" s="192"/>
      <c r="IO24" s="192"/>
      <c r="IP24" s="192"/>
      <c r="IQ24" s="192"/>
      <c r="IR24" s="192"/>
      <c r="IS24" s="192"/>
      <c r="IT24" s="192"/>
      <c r="IU24" s="192"/>
      <c r="IV24" s="192"/>
    </row>
    <row r="25" spans="1:256" s="178" customFormat="1" ht="56.25" customHeight="1">
      <c r="A25" s="179"/>
      <c r="B25" s="1017" t="s">
        <v>2652</v>
      </c>
      <c r="C25" s="50" t="s">
        <v>2697</v>
      </c>
      <c r="D25" s="935">
        <v>33</v>
      </c>
      <c r="E25" s="935">
        <v>34</v>
      </c>
      <c r="F25" s="935">
        <v>35</v>
      </c>
      <c r="G25" s="935">
        <v>36</v>
      </c>
      <c r="H25" s="935">
        <v>37</v>
      </c>
      <c r="I25" s="935">
        <v>38</v>
      </c>
      <c r="J25" s="935">
        <v>39</v>
      </c>
      <c r="K25" s="935">
        <v>40</v>
      </c>
      <c r="L25" s="935"/>
      <c r="M25" s="935"/>
      <c r="O25" s="936" t="s">
        <v>8</v>
      </c>
      <c r="P25" s="936" t="s">
        <v>2754</v>
      </c>
      <c r="Q25" s="936" t="s">
        <v>3</v>
      </c>
      <c r="R25" s="936" t="s">
        <v>12</v>
      </c>
      <c r="S25" s="936" t="s">
        <v>7</v>
      </c>
      <c r="T25" s="936" t="s">
        <v>11</v>
      </c>
      <c r="U25" s="936" t="s">
        <v>9</v>
      </c>
      <c r="V25" s="936" t="s">
        <v>10</v>
      </c>
      <c r="W25" s="49"/>
      <c r="X25" s="38"/>
      <c r="Y25" s="37"/>
      <c r="Z25" s="50"/>
      <c r="AA25" s="37"/>
      <c r="AB25" s="1083">
        <v>5.6610000000000005</v>
      </c>
      <c r="AC25" s="1083">
        <v>1.1676534522333837</v>
      </c>
      <c r="AD25" s="1083">
        <v>0.9806649608540734</v>
      </c>
      <c r="AE25" s="1082">
        <v>1.4236090760896329</v>
      </c>
      <c r="AF25" s="1082">
        <v>1.294810369193081</v>
      </c>
      <c r="AG25" s="1083">
        <v>1.4762166939705745</v>
      </c>
      <c r="AH25" s="1083">
        <v>1.3962044077712019</v>
      </c>
      <c r="AI25" s="1082">
        <v>1.5935207777064095</v>
      </c>
      <c r="AJ25" s="1082">
        <v>1.4711055991349808</v>
      </c>
      <c r="AK25" s="1083">
        <v>5.3893664638006298</v>
      </c>
      <c r="AL25" s="888"/>
      <c r="AM25" s="888"/>
      <c r="AN25" s="978" t="s">
        <v>2841</v>
      </c>
      <c r="AO25" s="978" t="s">
        <v>2842</v>
      </c>
      <c r="AP25" s="978" t="s">
        <v>2843</v>
      </c>
      <c r="AQ25" s="978" t="s">
        <v>2844</v>
      </c>
      <c r="AR25" s="978" t="s">
        <v>2845</v>
      </c>
      <c r="AS25" s="978" t="s">
        <v>2846</v>
      </c>
      <c r="AT25" s="978" t="s">
        <v>2847</v>
      </c>
      <c r="AU25" s="978" t="s">
        <v>2848</v>
      </c>
      <c r="AV25" s="978" t="s">
        <v>2849</v>
      </c>
      <c r="AW25" s="978" t="s">
        <v>2850</v>
      </c>
      <c r="AY25" s="1032">
        <v>408608.09286899999</v>
      </c>
      <c r="AZ25" s="1032">
        <v>455392.52271200001</v>
      </c>
      <c r="BA25" s="1033">
        <v>506421.90642799996</v>
      </c>
      <c r="BB25" s="1033">
        <v>383430.46611500002</v>
      </c>
      <c r="BC25" s="897"/>
      <c r="BD25" s="897"/>
      <c r="BE25" s="897"/>
      <c r="BF25" s="897"/>
      <c r="BG25" s="897"/>
      <c r="BH25" s="897"/>
      <c r="BI25" s="897"/>
      <c r="BJ25" s="897"/>
      <c r="BK25" s="897"/>
      <c r="BL25" s="897"/>
      <c r="BM25" s="897"/>
      <c r="BN25" s="897"/>
      <c r="BO25" s="897"/>
      <c r="BP25" s="897"/>
      <c r="BQ25" s="897"/>
      <c r="BR25" s="897"/>
      <c r="BS25" s="897"/>
      <c r="BT25" s="897"/>
      <c r="BU25" s="897"/>
      <c r="BV25" s="197"/>
      <c r="BW25" s="197"/>
      <c r="BX25" s="197"/>
      <c r="BY25" s="197"/>
      <c r="BZ25" s="197"/>
      <c r="CA25" s="197"/>
      <c r="CB25" s="197"/>
      <c r="CC25" s="197"/>
      <c r="CD25" s="197"/>
      <c r="CE25" s="197"/>
      <c r="CF25" s="197"/>
      <c r="CG25" s="197"/>
      <c r="CH25" s="197"/>
      <c r="CI25" s="197"/>
      <c r="CJ25" s="197"/>
      <c r="CK25" s="197"/>
      <c r="CL25" s="197"/>
      <c r="CM25" s="197"/>
      <c r="CN25" s="197"/>
      <c r="CO25" s="197"/>
      <c r="CP25" s="197"/>
      <c r="CQ25" s="197"/>
      <c r="CR25" s="896"/>
      <c r="CS25" s="896"/>
      <c r="CT25" s="896"/>
      <c r="CU25" s="896"/>
      <c r="CV25" s="896"/>
      <c r="CW25" s="896"/>
      <c r="CX25" s="896"/>
      <c r="CY25" s="896"/>
      <c r="CZ25" s="896"/>
      <c r="DA25" s="896"/>
      <c r="DB25" s="896"/>
      <c r="DC25" s="896"/>
      <c r="DD25" s="896"/>
      <c r="DE25" s="896"/>
      <c r="DF25" s="896"/>
      <c r="DG25" s="896"/>
      <c r="DH25" s="896"/>
      <c r="DI25" s="896"/>
      <c r="DJ25" s="896"/>
      <c r="DK25" s="896"/>
      <c r="DL25" s="896"/>
      <c r="DM25" s="896"/>
      <c r="DN25" s="896"/>
      <c r="DO25" s="896"/>
      <c r="DP25" s="896"/>
      <c r="DQ25" s="896"/>
      <c r="DR25" s="896"/>
      <c r="DS25" s="896"/>
      <c r="DT25" s="896"/>
      <c r="DU25" s="896"/>
      <c r="DV25" s="896"/>
      <c r="DW25" s="896"/>
      <c r="DX25" s="896"/>
      <c r="DY25" s="896"/>
      <c r="DZ25" s="896"/>
      <c r="EA25" s="896"/>
      <c r="EB25" s="896"/>
      <c r="EC25" s="896"/>
      <c r="ED25" s="896"/>
      <c r="EE25" s="896"/>
      <c r="EF25" s="896"/>
      <c r="EG25" s="896"/>
      <c r="EH25" s="896"/>
      <c r="EI25" s="896"/>
      <c r="EJ25" s="896"/>
      <c r="EK25" s="896"/>
      <c r="EL25" s="181"/>
      <c r="EM25" s="193"/>
      <c r="EN25" s="193"/>
      <c r="EO25" s="193"/>
      <c r="EP25" s="193"/>
      <c r="EQ25" s="193"/>
      <c r="ER25" s="193"/>
      <c r="ES25" s="193"/>
      <c r="ET25" s="193"/>
      <c r="EU25" s="193"/>
      <c r="EV25" s="193"/>
      <c r="EW25" s="193"/>
      <c r="EX25" s="193"/>
      <c r="EY25" s="193"/>
      <c r="EZ25" s="193"/>
      <c r="FA25" s="193"/>
      <c r="FB25" s="193"/>
      <c r="FC25" s="193"/>
      <c r="FD25" s="193"/>
      <c r="FE25" s="193"/>
      <c r="FF25" s="181"/>
      <c r="FG25" s="183"/>
      <c r="FH25" s="194"/>
      <c r="FI25" s="184"/>
      <c r="FJ25" s="184"/>
      <c r="FK25" s="184"/>
      <c r="FL25" s="184"/>
      <c r="FM25" s="184"/>
      <c r="FN25" s="184"/>
      <c r="FO25" s="184"/>
      <c r="FP25" s="184"/>
      <c r="FQ25" s="184"/>
      <c r="FR25" s="184"/>
      <c r="FS25" s="184"/>
      <c r="FT25" s="184"/>
      <c r="FU25" s="184"/>
      <c r="FV25" s="184"/>
      <c r="FW25" s="184"/>
      <c r="FX25" s="184"/>
      <c r="FY25" s="184"/>
      <c r="FZ25" s="184"/>
      <c r="GA25" s="184"/>
      <c r="GB25" s="185"/>
      <c r="GC25" s="195"/>
      <c r="GD25" s="183"/>
      <c r="GE25" s="186"/>
      <c r="GF25" s="186"/>
      <c r="GG25" s="186"/>
      <c r="GH25" s="186"/>
      <c r="GI25" s="186"/>
      <c r="GJ25" s="186"/>
      <c r="GK25" s="186"/>
      <c r="GL25" s="186"/>
      <c r="GM25" s="186"/>
      <c r="GN25" s="186"/>
      <c r="GO25" s="186"/>
      <c r="GP25" s="186"/>
      <c r="GQ25" s="186"/>
      <c r="GR25" s="186"/>
      <c r="GS25" s="186"/>
      <c r="GT25" s="186"/>
      <c r="GU25" s="186"/>
      <c r="GV25" s="186"/>
      <c r="GW25" s="186"/>
      <c r="GX25" s="186"/>
      <c r="GY25" s="186"/>
      <c r="GZ25" s="186"/>
      <c r="HA25" s="186"/>
      <c r="HB25" s="186"/>
      <c r="HC25" s="186"/>
      <c r="HD25" s="186"/>
      <c r="HE25" s="186"/>
      <c r="HF25" s="186"/>
      <c r="HG25" s="187"/>
      <c r="HH25" s="188"/>
      <c r="HI25" s="182"/>
      <c r="HJ25" s="182"/>
      <c r="HK25" s="182"/>
      <c r="HL25" s="182"/>
      <c r="HM25" s="189"/>
      <c r="HN25" s="189"/>
      <c r="HO25" s="190"/>
      <c r="HP25" s="191"/>
      <c r="HQ25" s="191"/>
      <c r="HR25" s="191"/>
      <c r="HS25" s="191"/>
      <c r="HT25" s="191"/>
      <c r="HU25" s="191"/>
      <c r="HV25" s="191"/>
      <c r="HW25" s="191"/>
      <c r="HX25" s="191"/>
      <c r="HY25" s="191"/>
      <c r="HZ25" s="191"/>
      <c r="IA25" s="191"/>
      <c r="IB25" s="191"/>
      <c r="IC25" s="191"/>
      <c r="ID25" s="191"/>
      <c r="IE25" s="192"/>
      <c r="IF25" s="192"/>
      <c r="IG25" s="192"/>
      <c r="IH25" s="192"/>
      <c r="II25" s="192"/>
      <c r="IJ25" s="192"/>
      <c r="IK25" s="192"/>
      <c r="IL25" s="192"/>
      <c r="IM25" s="192"/>
      <c r="IN25" s="192"/>
      <c r="IO25" s="192"/>
      <c r="IP25" s="192"/>
      <c r="IQ25" s="192"/>
      <c r="IR25" s="192"/>
      <c r="IS25" s="192"/>
      <c r="IT25" s="192"/>
      <c r="IU25" s="192"/>
      <c r="IV25" s="192"/>
    </row>
    <row r="26" spans="1:256" s="178" customFormat="1" ht="84" customHeight="1">
      <c r="A26" s="179"/>
      <c r="B26" s="1017" t="s">
        <v>2653</v>
      </c>
      <c r="C26" s="50" t="s">
        <v>2698</v>
      </c>
      <c r="D26" s="935">
        <v>72</v>
      </c>
      <c r="E26" s="935">
        <v>73</v>
      </c>
      <c r="F26" s="935">
        <v>74</v>
      </c>
      <c r="G26" s="935">
        <v>75</v>
      </c>
      <c r="H26" s="935">
        <v>76</v>
      </c>
      <c r="I26" s="935">
        <v>77</v>
      </c>
      <c r="J26" s="935">
        <v>78</v>
      </c>
      <c r="K26" s="935">
        <v>79</v>
      </c>
      <c r="L26" s="935"/>
      <c r="M26" s="935"/>
      <c r="O26" s="936" t="s">
        <v>8</v>
      </c>
      <c r="P26" s="936" t="s">
        <v>2754</v>
      </c>
      <c r="Q26" s="936" t="s">
        <v>3</v>
      </c>
      <c r="R26" s="936" t="s">
        <v>12</v>
      </c>
      <c r="S26" s="936" t="s">
        <v>7</v>
      </c>
      <c r="T26" s="936" t="s">
        <v>9</v>
      </c>
      <c r="U26" s="936" t="s">
        <v>10</v>
      </c>
      <c r="V26" s="936" t="s">
        <v>11</v>
      </c>
      <c r="W26" s="7"/>
      <c r="X26" s="38"/>
      <c r="Y26" s="37"/>
      <c r="Z26" s="50"/>
      <c r="AA26" s="37"/>
      <c r="AB26" s="1083">
        <v>7.2200000000000006</v>
      </c>
      <c r="AC26" s="1083">
        <v>1.4008769657872953</v>
      </c>
      <c r="AD26" s="1083">
        <v>1.1878609131557163</v>
      </c>
      <c r="AE26" s="1084">
        <v>2.3227369746651139</v>
      </c>
      <c r="AF26" s="1084">
        <v>2.1434819746651135</v>
      </c>
      <c r="AG26" s="1083">
        <v>1.7873574190448458</v>
      </c>
      <c r="AH26" s="1083">
        <v>1.6057091142157098</v>
      </c>
      <c r="AI26" s="1084">
        <v>1.7090286405027459</v>
      </c>
      <c r="AJ26" s="1084">
        <v>1.2939277501789588</v>
      </c>
      <c r="AK26" s="1083">
        <v>6.9976235605087878</v>
      </c>
      <c r="AL26" s="901"/>
      <c r="AM26" s="901"/>
      <c r="AN26" s="977" t="s">
        <v>2851</v>
      </c>
      <c r="AO26" s="977" t="s">
        <v>2852</v>
      </c>
      <c r="AP26" s="977" t="s">
        <v>2853</v>
      </c>
      <c r="AQ26" s="977" t="s">
        <v>2854</v>
      </c>
      <c r="AR26" s="977" t="s">
        <v>2855</v>
      </c>
      <c r="AS26" s="977" t="s">
        <v>2856</v>
      </c>
      <c r="AT26" s="977" t="s">
        <v>2857</v>
      </c>
      <c r="AU26" s="977" t="s">
        <v>2858</v>
      </c>
      <c r="AV26" s="977" t="s">
        <v>2859</v>
      </c>
      <c r="AW26" s="977" t="s">
        <v>2860</v>
      </c>
      <c r="AY26" s="1032">
        <v>18621.193799000001</v>
      </c>
      <c r="AZ26" s="1032">
        <v>20013.821448000002</v>
      </c>
      <c r="BA26" s="1033">
        <v>28578.118954999998</v>
      </c>
      <c r="BB26" s="1033">
        <v>20597.466737999999</v>
      </c>
      <c r="BC26" s="897"/>
      <c r="BD26" s="897"/>
      <c r="BE26" s="897"/>
      <c r="BF26" s="897"/>
      <c r="BG26" s="897"/>
      <c r="BH26" s="897"/>
      <c r="BI26" s="897"/>
      <c r="BJ26" s="897"/>
      <c r="BK26" s="897"/>
      <c r="BL26" s="897"/>
      <c r="BM26" s="897"/>
      <c r="BN26" s="897"/>
      <c r="BO26" s="897"/>
      <c r="BP26" s="897"/>
      <c r="BQ26" s="897"/>
      <c r="BR26" s="897"/>
      <c r="BS26" s="897"/>
      <c r="BT26" s="897"/>
      <c r="BU26" s="897"/>
      <c r="BV26" s="197"/>
      <c r="BW26" s="197"/>
      <c r="BX26" s="197"/>
      <c r="BY26" s="197"/>
      <c r="BZ26" s="197"/>
      <c r="CA26" s="197"/>
      <c r="CB26" s="197"/>
      <c r="CC26" s="197"/>
      <c r="CD26" s="197"/>
      <c r="CE26" s="197"/>
      <c r="CF26" s="197"/>
      <c r="CG26" s="197"/>
      <c r="CH26" s="197"/>
      <c r="CI26" s="197"/>
      <c r="CJ26" s="197"/>
      <c r="CK26" s="197"/>
      <c r="CL26" s="197"/>
      <c r="CM26" s="197"/>
      <c r="CN26" s="197"/>
      <c r="CO26" s="197"/>
      <c r="CP26" s="197"/>
      <c r="CQ26" s="197"/>
      <c r="CR26" s="896"/>
      <c r="CS26" s="896"/>
      <c r="CT26" s="896"/>
      <c r="CU26" s="896"/>
      <c r="CV26" s="896"/>
      <c r="CW26" s="896"/>
      <c r="CX26" s="896"/>
      <c r="CY26" s="896"/>
      <c r="CZ26" s="896"/>
      <c r="DA26" s="896"/>
      <c r="DB26" s="896"/>
      <c r="DC26" s="896"/>
      <c r="DD26" s="896"/>
      <c r="DE26" s="896"/>
      <c r="DF26" s="896"/>
      <c r="DG26" s="896"/>
      <c r="DH26" s="896"/>
      <c r="DI26" s="896"/>
      <c r="DJ26" s="896"/>
      <c r="DK26" s="896"/>
      <c r="DL26" s="896"/>
      <c r="DM26" s="896"/>
      <c r="DN26" s="896"/>
      <c r="DO26" s="896"/>
      <c r="DP26" s="896"/>
      <c r="DQ26" s="896"/>
      <c r="DR26" s="896"/>
      <c r="DS26" s="896"/>
      <c r="DT26" s="896"/>
      <c r="DU26" s="896"/>
      <c r="DV26" s="896"/>
      <c r="DW26" s="896"/>
      <c r="DX26" s="896"/>
      <c r="DY26" s="896"/>
      <c r="DZ26" s="896"/>
      <c r="EA26" s="896"/>
      <c r="EB26" s="896"/>
      <c r="EC26" s="896"/>
      <c r="ED26" s="896"/>
      <c r="EE26" s="896"/>
      <c r="EF26" s="896"/>
      <c r="EG26" s="896"/>
      <c r="EH26" s="896"/>
      <c r="EI26" s="896"/>
      <c r="EJ26" s="896"/>
      <c r="EK26" s="896"/>
      <c r="EL26" s="181"/>
      <c r="EM26" s="193"/>
      <c r="EN26" s="193"/>
      <c r="EO26" s="193"/>
      <c r="EP26" s="193"/>
      <c r="EQ26" s="193"/>
      <c r="ER26" s="193"/>
      <c r="ES26" s="193"/>
      <c r="ET26" s="193"/>
      <c r="EU26" s="193"/>
      <c r="EV26" s="193"/>
      <c r="EW26" s="193"/>
      <c r="EX26" s="193"/>
      <c r="EY26" s="193"/>
      <c r="EZ26" s="193"/>
      <c r="FA26" s="193"/>
      <c r="FB26" s="193"/>
      <c r="FC26" s="193"/>
      <c r="FD26" s="193"/>
      <c r="FE26" s="193"/>
      <c r="FF26" s="181"/>
      <c r="FG26" s="183"/>
      <c r="FH26" s="194"/>
      <c r="FI26" s="184"/>
      <c r="FJ26" s="184"/>
      <c r="FK26" s="184"/>
      <c r="FL26" s="184"/>
      <c r="FM26" s="184"/>
      <c r="FN26" s="184"/>
      <c r="FO26" s="184"/>
      <c r="FP26" s="184"/>
      <c r="FQ26" s="184"/>
      <c r="FR26" s="184"/>
      <c r="FS26" s="184"/>
      <c r="FT26" s="184"/>
      <c r="FU26" s="184"/>
      <c r="FV26" s="184"/>
      <c r="FW26" s="184"/>
      <c r="FX26" s="184"/>
      <c r="FY26" s="184"/>
      <c r="FZ26" s="184"/>
      <c r="GA26" s="184"/>
      <c r="GB26" s="185"/>
      <c r="GC26" s="195"/>
      <c r="GD26" s="183"/>
      <c r="GE26" s="186"/>
      <c r="GF26" s="186"/>
      <c r="GG26" s="186"/>
      <c r="GH26" s="186"/>
      <c r="GI26" s="186"/>
      <c r="GJ26" s="186"/>
      <c r="GK26" s="186"/>
      <c r="GL26" s="186"/>
      <c r="GM26" s="186"/>
      <c r="GN26" s="186"/>
      <c r="GO26" s="186"/>
      <c r="GP26" s="186"/>
      <c r="GQ26" s="186"/>
      <c r="GR26" s="186"/>
      <c r="GS26" s="186"/>
      <c r="GT26" s="186"/>
      <c r="GU26" s="186"/>
      <c r="GV26" s="186"/>
      <c r="GW26" s="186"/>
      <c r="GX26" s="186"/>
      <c r="GY26" s="186"/>
      <c r="GZ26" s="186"/>
      <c r="HA26" s="186"/>
      <c r="HB26" s="186"/>
      <c r="HC26" s="186"/>
      <c r="HD26" s="186"/>
      <c r="HE26" s="186"/>
      <c r="HF26" s="186"/>
      <c r="HG26" s="187"/>
      <c r="HH26" s="188"/>
      <c r="HI26" s="182"/>
      <c r="HJ26" s="182"/>
      <c r="HK26" s="182"/>
      <c r="HL26" s="182"/>
      <c r="HM26" s="189"/>
      <c r="HN26" s="189"/>
      <c r="HO26" s="190"/>
      <c r="HP26" s="191"/>
      <c r="HQ26" s="191"/>
      <c r="HR26" s="191"/>
      <c r="HS26" s="191"/>
      <c r="HT26" s="191"/>
      <c r="HU26" s="191"/>
      <c r="HV26" s="191"/>
      <c r="HW26" s="191"/>
      <c r="HX26" s="191"/>
      <c r="HY26" s="191"/>
      <c r="HZ26" s="191"/>
      <c r="IA26" s="191"/>
      <c r="IB26" s="191"/>
      <c r="IC26" s="191"/>
      <c r="ID26" s="191"/>
      <c r="IE26" s="192"/>
      <c r="IF26" s="192"/>
      <c r="IG26" s="192"/>
      <c r="IH26" s="192"/>
      <c r="II26" s="192"/>
      <c r="IJ26" s="192"/>
      <c r="IK26" s="192"/>
      <c r="IL26" s="192"/>
      <c r="IM26" s="192"/>
      <c r="IN26" s="192"/>
      <c r="IO26" s="192"/>
      <c r="IP26" s="192"/>
      <c r="IQ26" s="192"/>
      <c r="IR26" s="192"/>
      <c r="IS26" s="192"/>
      <c r="IT26" s="192"/>
      <c r="IU26" s="192"/>
      <c r="IV26" s="192"/>
    </row>
    <row r="27" spans="1:256" s="178" customFormat="1" ht="72" customHeight="1">
      <c r="A27" s="179"/>
      <c r="B27" s="1017" t="s">
        <v>2654</v>
      </c>
      <c r="C27" s="50" t="s">
        <v>2699</v>
      </c>
      <c r="D27" s="935">
        <v>115</v>
      </c>
      <c r="E27" s="935">
        <v>116</v>
      </c>
      <c r="F27" s="935">
        <v>117</v>
      </c>
      <c r="G27" s="935">
        <v>118</v>
      </c>
      <c r="H27" s="935">
        <v>119</v>
      </c>
      <c r="I27" s="935"/>
      <c r="J27" s="935"/>
      <c r="K27" s="935"/>
      <c r="L27" s="935"/>
      <c r="M27" s="935"/>
      <c r="O27" s="936" t="s">
        <v>7</v>
      </c>
      <c r="P27" s="936" t="s">
        <v>3</v>
      </c>
      <c r="Q27" s="936" t="s">
        <v>12</v>
      </c>
      <c r="R27" s="936" t="s">
        <v>13</v>
      </c>
      <c r="S27" s="936" t="s">
        <v>8</v>
      </c>
      <c r="T27" s="936" t="s">
        <v>9</v>
      </c>
      <c r="U27" s="936" t="s">
        <v>10</v>
      </c>
      <c r="V27" s="936" t="s">
        <v>2754</v>
      </c>
      <c r="W27" s="7"/>
      <c r="X27" s="38"/>
      <c r="Y27" s="37"/>
      <c r="Z27" s="50"/>
      <c r="AA27" s="37"/>
      <c r="AB27" s="1083">
        <v>6.700400000000001</v>
      </c>
      <c r="AC27" s="1083">
        <v>0.94691711823388158</v>
      </c>
      <c r="AD27" s="1083">
        <v>0.84752196636472266</v>
      </c>
      <c r="AE27" s="1084">
        <v>1.6377129954926735</v>
      </c>
      <c r="AF27" s="1084">
        <v>1.5446543496593403</v>
      </c>
      <c r="AG27" s="1083">
        <v>2.1191189390273411</v>
      </c>
      <c r="AH27" s="1083">
        <v>1.8933424323802559</v>
      </c>
      <c r="AI27" s="1084">
        <v>1.996650947246104</v>
      </c>
      <c r="AJ27" s="1084">
        <v>1.5152364936595211</v>
      </c>
      <c r="AK27" s="1083">
        <v>6.3149974640804603</v>
      </c>
      <c r="AL27" s="901"/>
      <c r="AM27" s="901"/>
      <c r="AN27" s="978" t="s">
        <v>2861</v>
      </c>
      <c r="AO27" s="978" t="s">
        <v>2862</v>
      </c>
      <c r="AP27" s="978" t="s">
        <v>2863</v>
      </c>
      <c r="AQ27" s="978" t="s">
        <v>2864</v>
      </c>
      <c r="AR27" s="978" t="s">
        <v>2865</v>
      </c>
      <c r="AS27" s="978" t="s">
        <v>2866</v>
      </c>
      <c r="AT27" s="978" t="s">
        <v>2867</v>
      </c>
      <c r="AU27" s="978" t="s">
        <v>2868</v>
      </c>
      <c r="AV27" s="978" t="s">
        <v>2869</v>
      </c>
      <c r="AW27" s="978" t="s">
        <v>2870</v>
      </c>
      <c r="AY27" s="1032">
        <v>8974.8113830000002</v>
      </c>
      <c r="AZ27" s="1032">
        <v>5813.7656649999999</v>
      </c>
      <c r="BA27" s="1033">
        <v>32366.839748999999</v>
      </c>
      <c r="BB27" s="1033">
        <v>6243.336663</v>
      </c>
      <c r="BC27" s="897"/>
      <c r="BD27" s="897"/>
      <c r="BE27" s="897"/>
      <c r="BF27" s="897"/>
      <c r="BG27" s="897"/>
      <c r="BH27" s="897"/>
      <c r="BI27" s="897"/>
      <c r="BJ27" s="897"/>
      <c r="BK27" s="897"/>
      <c r="BL27" s="897"/>
      <c r="BM27" s="897"/>
      <c r="BN27" s="897"/>
      <c r="BO27" s="897"/>
      <c r="BP27" s="897"/>
      <c r="BQ27" s="897"/>
      <c r="BR27" s="897"/>
      <c r="BS27" s="897"/>
      <c r="BT27" s="897"/>
      <c r="BU27" s="897"/>
      <c r="BV27" s="197"/>
      <c r="BW27" s="197"/>
      <c r="BX27" s="197"/>
      <c r="BY27" s="197"/>
      <c r="BZ27" s="197"/>
      <c r="CA27" s="197"/>
      <c r="CB27" s="197"/>
      <c r="CC27" s="197"/>
      <c r="CD27" s="197"/>
      <c r="CE27" s="197"/>
      <c r="CF27" s="197"/>
      <c r="CG27" s="197"/>
      <c r="CH27" s="197"/>
      <c r="CI27" s="197"/>
      <c r="CJ27" s="197"/>
      <c r="CK27" s="197"/>
      <c r="CL27" s="197"/>
      <c r="CM27" s="197"/>
      <c r="CN27" s="197"/>
      <c r="CO27" s="197"/>
      <c r="CP27" s="197"/>
      <c r="CQ27" s="197"/>
      <c r="CR27" s="896"/>
      <c r="CS27" s="896"/>
      <c r="CT27" s="896"/>
      <c r="CU27" s="896"/>
      <c r="CV27" s="896"/>
      <c r="CW27" s="896"/>
      <c r="CX27" s="896"/>
      <c r="CY27" s="896"/>
      <c r="CZ27" s="896"/>
      <c r="DA27" s="896"/>
      <c r="DB27" s="896"/>
      <c r="DC27" s="896"/>
      <c r="DD27" s="896"/>
      <c r="DE27" s="896"/>
      <c r="DF27" s="896"/>
      <c r="DG27" s="896"/>
      <c r="DH27" s="896"/>
      <c r="DI27" s="896"/>
      <c r="DJ27" s="896"/>
      <c r="DK27" s="896"/>
      <c r="DL27" s="896"/>
      <c r="DM27" s="896"/>
      <c r="DN27" s="896"/>
      <c r="DO27" s="896"/>
      <c r="DP27" s="896"/>
      <c r="DQ27" s="896"/>
      <c r="DR27" s="896"/>
      <c r="DS27" s="896"/>
      <c r="DT27" s="896"/>
      <c r="DU27" s="896"/>
      <c r="DV27" s="896"/>
      <c r="DW27" s="896"/>
      <c r="DX27" s="896"/>
      <c r="DY27" s="896"/>
      <c r="DZ27" s="896"/>
      <c r="EA27" s="896"/>
      <c r="EB27" s="896"/>
      <c r="EC27" s="896"/>
      <c r="ED27" s="896"/>
      <c r="EE27" s="896"/>
      <c r="EF27" s="896"/>
      <c r="EG27" s="896"/>
      <c r="EH27" s="896"/>
      <c r="EI27" s="896"/>
      <c r="EJ27" s="896"/>
      <c r="EK27" s="896"/>
      <c r="EL27" s="181"/>
      <c r="EM27" s="193"/>
      <c r="EN27" s="193"/>
      <c r="EO27" s="193"/>
      <c r="EP27" s="193"/>
      <c r="EQ27" s="193"/>
      <c r="ER27" s="193"/>
      <c r="ES27" s="193"/>
      <c r="ET27" s="193"/>
      <c r="EU27" s="193"/>
      <c r="EV27" s="193"/>
      <c r="EW27" s="193"/>
      <c r="EX27" s="193"/>
      <c r="EY27" s="193"/>
      <c r="EZ27" s="193"/>
      <c r="FA27" s="193"/>
      <c r="FB27" s="193"/>
      <c r="FC27" s="193"/>
      <c r="FD27" s="193"/>
      <c r="FE27" s="193"/>
      <c r="FF27" s="181"/>
      <c r="FG27" s="183"/>
      <c r="FH27" s="194"/>
      <c r="FI27" s="184"/>
      <c r="FJ27" s="184"/>
      <c r="FK27" s="184"/>
      <c r="FL27" s="184"/>
      <c r="FM27" s="184"/>
      <c r="FN27" s="184"/>
      <c r="FO27" s="184"/>
      <c r="FP27" s="184"/>
      <c r="FQ27" s="184"/>
      <c r="FR27" s="184"/>
      <c r="FS27" s="184"/>
      <c r="FT27" s="184"/>
      <c r="FU27" s="184"/>
      <c r="FV27" s="184"/>
      <c r="FW27" s="184"/>
      <c r="FX27" s="184"/>
      <c r="FY27" s="184"/>
      <c r="FZ27" s="184"/>
      <c r="GA27" s="184"/>
      <c r="GB27" s="185"/>
      <c r="GC27" s="195"/>
      <c r="GD27" s="183"/>
      <c r="GE27" s="186"/>
      <c r="GF27" s="186"/>
      <c r="GG27" s="186"/>
      <c r="GH27" s="186"/>
      <c r="GI27" s="186"/>
      <c r="GJ27" s="186"/>
      <c r="GK27" s="186"/>
      <c r="GL27" s="186"/>
      <c r="GM27" s="186"/>
      <c r="GN27" s="186"/>
      <c r="GO27" s="186"/>
      <c r="GP27" s="186"/>
      <c r="GQ27" s="186"/>
      <c r="GR27" s="186"/>
      <c r="GS27" s="186"/>
      <c r="GT27" s="186"/>
      <c r="GU27" s="186"/>
      <c r="GV27" s="186"/>
      <c r="GW27" s="186"/>
      <c r="GX27" s="186"/>
      <c r="GY27" s="186"/>
      <c r="GZ27" s="186"/>
      <c r="HA27" s="186"/>
      <c r="HB27" s="186"/>
      <c r="HC27" s="186"/>
      <c r="HD27" s="186"/>
      <c r="HE27" s="186"/>
      <c r="HF27" s="186"/>
      <c r="HG27" s="187"/>
      <c r="HH27" s="188"/>
      <c r="HI27" s="182"/>
      <c r="HJ27" s="182"/>
      <c r="HK27" s="182"/>
      <c r="HL27" s="182"/>
      <c r="HM27" s="189"/>
      <c r="HN27" s="189"/>
      <c r="HO27" s="190"/>
      <c r="HP27" s="191"/>
      <c r="HQ27" s="191"/>
      <c r="HR27" s="191"/>
      <c r="HS27" s="191"/>
      <c r="HT27" s="191"/>
      <c r="HU27" s="191"/>
      <c r="HV27" s="191"/>
      <c r="HW27" s="191"/>
      <c r="HX27" s="191"/>
      <c r="HY27" s="191"/>
      <c r="HZ27" s="191"/>
      <c r="IA27" s="191"/>
      <c r="IB27" s="191"/>
      <c r="IC27" s="191"/>
      <c r="ID27" s="191"/>
      <c r="IE27" s="192"/>
      <c r="IF27" s="192"/>
      <c r="IG27" s="192"/>
      <c r="IH27" s="192"/>
      <c r="II27" s="192"/>
      <c r="IJ27" s="192"/>
      <c r="IK27" s="192"/>
      <c r="IL27" s="192"/>
      <c r="IM27" s="192"/>
      <c r="IN27" s="192"/>
      <c r="IO27" s="192"/>
      <c r="IP27" s="192"/>
      <c r="IQ27" s="192"/>
      <c r="IR27" s="192"/>
      <c r="IS27" s="192"/>
      <c r="IT27" s="192"/>
      <c r="IU27" s="192"/>
      <c r="IV27" s="192"/>
    </row>
    <row r="28" spans="1:256" s="178" customFormat="1" ht="45" customHeight="1">
      <c r="A28" s="179"/>
      <c r="B28" s="1017" t="s">
        <v>2655</v>
      </c>
      <c r="C28" s="50" t="s">
        <v>2700</v>
      </c>
      <c r="D28" s="935">
        <v>158</v>
      </c>
      <c r="E28" s="935">
        <v>159</v>
      </c>
      <c r="F28" s="935">
        <v>160</v>
      </c>
      <c r="G28" s="935"/>
      <c r="H28" s="935"/>
      <c r="I28" s="935"/>
      <c r="J28" s="935"/>
      <c r="K28" s="935"/>
      <c r="L28" s="935"/>
      <c r="M28" s="935"/>
      <c r="O28" s="936" t="s">
        <v>7</v>
      </c>
      <c r="P28" s="936" t="s">
        <v>3</v>
      </c>
      <c r="Q28" s="936" t="s">
        <v>12</v>
      </c>
      <c r="R28" s="936" t="s">
        <v>2754</v>
      </c>
      <c r="S28" s="936" t="s">
        <v>8</v>
      </c>
      <c r="T28" s="936" t="s">
        <v>9</v>
      </c>
      <c r="U28" s="936" t="s">
        <v>10</v>
      </c>
      <c r="V28" s="44"/>
      <c r="W28" s="49"/>
      <c r="X28" s="38"/>
      <c r="Y28" s="39"/>
      <c r="Z28" s="50"/>
      <c r="AA28" s="37"/>
      <c r="AB28" s="1083">
        <v>2.8320000000000003</v>
      </c>
      <c r="AC28" s="1083">
        <v>0.46493917951610103</v>
      </c>
      <c r="AD28" s="1083">
        <v>0.43885081744713555</v>
      </c>
      <c r="AE28" s="1084">
        <v>0.89864776952824821</v>
      </c>
      <c r="AF28" s="1084">
        <v>0.87639776952824822</v>
      </c>
      <c r="AG28" s="1083">
        <v>0.74527200413991423</v>
      </c>
      <c r="AH28" s="1083">
        <v>0.67348206741614824</v>
      </c>
      <c r="AI28" s="1084">
        <v>0.72314104681573665</v>
      </c>
      <c r="AJ28" s="1084">
        <v>0.5585078866386276</v>
      </c>
      <c r="AK28" s="1083">
        <v>2.6553915561392198</v>
      </c>
      <c r="AL28" s="901"/>
      <c r="AM28" s="901"/>
      <c r="AN28" s="977" t="s">
        <v>2871</v>
      </c>
      <c r="AO28" s="977" t="s">
        <v>2872</v>
      </c>
      <c r="AP28" s="977" t="s">
        <v>2873</v>
      </c>
      <c r="AQ28" s="977" t="s">
        <v>2874</v>
      </c>
      <c r="AR28" s="977" t="s">
        <v>2875</v>
      </c>
      <c r="AS28" s="977" t="s">
        <v>2876</v>
      </c>
      <c r="AT28" s="977" t="s">
        <v>2877</v>
      </c>
      <c r="AU28" s="977" t="s">
        <v>2878</v>
      </c>
      <c r="AV28" s="977" t="s">
        <v>2879</v>
      </c>
      <c r="AW28" s="977" t="s">
        <v>2880</v>
      </c>
      <c r="AY28" s="1032">
        <v>3826.7363549999995</v>
      </c>
      <c r="AZ28" s="1032">
        <v>1791.0937289999999</v>
      </c>
      <c r="BA28" s="1033">
        <v>3268.9427580000001</v>
      </c>
      <c r="BB28" s="1033">
        <v>2499.4326249999999</v>
      </c>
      <c r="BC28" s="897"/>
      <c r="BD28" s="897"/>
      <c r="BE28" s="897"/>
      <c r="BF28" s="897"/>
      <c r="BG28" s="897"/>
      <c r="BH28" s="897"/>
      <c r="BI28" s="897"/>
      <c r="BJ28" s="897"/>
      <c r="BK28" s="897"/>
      <c r="BL28" s="897"/>
      <c r="BM28" s="897"/>
      <c r="BN28" s="897"/>
      <c r="BO28" s="897"/>
      <c r="BP28" s="897"/>
      <c r="BQ28" s="897"/>
      <c r="BR28" s="897"/>
      <c r="BS28" s="897"/>
      <c r="BT28" s="897"/>
      <c r="BU28" s="897"/>
      <c r="BV28" s="197"/>
      <c r="BW28" s="197"/>
      <c r="BX28" s="197"/>
      <c r="BY28" s="197"/>
      <c r="BZ28" s="197"/>
      <c r="CA28" s="197"/>
      <c r="CB28" s="197"/>
      <c r="CC28" s="197"/>
      <c r="CD28" s="197"/>
      <c r="CE28" s="197"/>
      <c r="CF28" s="197"/>
      <c r="CG28" s="197"/>
      <c r="CH28" s="197"/>
      <c r="CI28" s="197"/>
      <c r="CJ28" s="197"/>
      <c r="CK28" s="197"/>
      <c r="CL28" s="197"/>
      <c r="CM28" s="197"/>
      <c r="CN28" s="197"/>
      <c r="CO28" s="197"/>
      <c r="CP28" s="197"/>
      <c r="CQ28" s="197"/>
      <c r="CR28" s="896"/>
      <c r="CS28" s="896"/>
      <c r="CT28" s="896"/>
      <c r="CU28" s="896"/>
      <c r="CV28" s="896"/>
      <c r="CW28" s="896"/>
      <c r="CX28" s="896"/>
      <c r="CY28" s="896"/>
      <c r="CZ28" s="896"/>
      <c r="DA28" s="896"/>
      <c r="DB28" s="896"/>
      <c r="DC28" s="896"/>
      <c r="DD28" s="896"/>
      <c r="DE28" s="896"/>
      <c r="DF28" s="896"/>
      <c r="DG28" s="896"/>
      <c r="DH28" s="896"/>
      <c r="DI28" s="896"/>
      <c r="DJ28" s="896"/>
      <c r="DK28" s="896"/>
      <c r="DL28" s="896"/>
      <c r="DM28" s="896"/>
      <c r="DN28" s="896"/>
      <c r="DO28" s="896"/>
      <c r="DP28" s="896"/>
      <c r="DQ28" s="896"/>
      <c r="DR28" s="896"/>
      <c r="DS28" s="896"/>
      <c r="DT28" s="896"/>
      <c r="DU28" s="896"/>
      <c r="DV28" s="896"/>
      <c r="DW28" s="896"/>
      <c r="DX28" s="896"/>
      <c r="DY28" s="896"/>
      <c r="DZ28" s="896"/>
      <c r="EA28" s="896"/>
      <c r="EB28" s="896"/>
      <c r="EC28" s="896"/>
      <c r="ED28" s="896"/>
      <c r="EE28" s="896"/>
      <c r="EF28" s="896"/>
      <c r="EG28" s="896"/>
      <c r="EH28" s="896"/>
      <c r="EI28" s="896"/>
      <c r="EJ28" s="896"/>
      <c r="EK28" s="896"/>
      <c r="EL28" s="181"/>
      <c r="EM28" s="193"/>
      <c r="EN28" s="193"/>
      <c r="EO28" s="193"/>
      <c r="EP28" s="193"/>
      <c r="EQ28" s="193"/>
      <c r="ER28" s="193"/>
      <c r="ES28" s="193"/>
      <c r="ET28" s="193"/>
      <c r="EU28" s="193"/>
      <c r="EV28" s="193"/>
      <c r="EW28" s="193"/>
      <c r="EX28" s="193"/>
      <c r="EY28" s="193"/>
      <c r="EZ28" s="193"/>
      <c r="FA28" s="193"/>
      <c r="FB28" s="193"/>
      <c r="FC28" s="193"/>
      <c r="FD28" s="193"/>
      <c r="FE28" s="193"/>
      <c r="FF28" s="181"/>
      <c r="FG28" s="183"/>
      <c r="FH28" s="194"/>
      <c r="FI28" s="184"/>
      <c r="FJ28" s="184"/>
      <c r="FK28" s="184"/>
      <c r="FL28" s="184"/>
      <c r="FM28" s="184"/>
      <c r="FN28" s="184"/>
      <c r="FO28" s="184"/>
      <c r="FP28" s="184"/>
      <c r="FQ28" s="184"/>
      <c r="FR28" s="184"/>
      <c r="FS28" s="184"/>
      <c r="FT28" s="184"/>
      <c r="FU28" s="184"/>
      <c r="FV28" s="184"/>
      <c r="FW28" s="184"/>
      <c r="FX28" s="184"/>
      <c r="FY28" s="184"/>
      <c r="FZ28" s="184"/>
      <c r="GA28" s="184"/>
      <c r="GB28" s="185"/>
      <c r="GC28" s="195"/>
      <c r="GD28" s="183"/>
      <c r="GE28" s="186"/>
      <c r="GF28" s="186"/>
      <c r="GG28" s="186"/>
      <c r="GH28" s="186"/>
      <c r="GI28" s="186"/>
      <c r="GJ28" s="186"/>
      <c r="GK28" s="186"/>
      <c r="GL28" s="186"/>
      <c r="GM28" s="186"/>
      <c r="GN28" s="186"/>
      <c r="GO28" s="186"/>
      <c r="GP28" s="186"/>
      <c r="GQ28" s="186"/>
      <c r="GR28" s="186"/>
      <c r="GS28" s="186"/>
      <c r="GT28" s="186"/>
      <c r="GU28" s="186"/>
      <c r="GV28" s="186"/>
      <c r="GW28" s="186"/>
      <c r="GX28" s="186"/>
      <c r="GY28" s="186"/>
      <c r="GZ28" s="186"/>
      <c r="HA28" s="186"/>
      <c r="HB28" s="186"/>
      <c r="HC28" s="186"/>
      <c r="HD28" s="186"/>
      <c r="HE28" s="186"/>
      <c r="HF28" s="186"/>
      <c r="HG28" s="187"/>
      <c r="HH28" s="188"/>
      <c r="HI28" s="182"/>
      <c r="HJ28" s="182"/>
      <c r="HK28" s="182"/>
      <c r="HL28" s="182"/>
      <c r="HM28" s="189"/>
      <c r="HN28" s="189"/>
      <c r="HO28" s="190"/>
      <c r="HP28" s="191"/>
      <c r="HQ28" s="191"/>
      <c r="HR28" s="191"/>
      <c r="HS28" s="191"/>
      <c r="HT28" s="191"/>
      <c r="HU28" s="191"/>
      <c r="HV28" s="191"/>
      <c r="HW28" s="191"/>
      <c r="HX28" s="191"/>
      <c r="HY28" s="191"/>
      <c r="HZ28" s="191"/>
      <c r="IA28" s="191"/>
      <c r="IB28" s="191"/>
      <c r="IC28" s="191"/>
      <c r="ID28" s="191"/>
      <c r="IE28" s="192"/>
      <c r="IF28" s="192"/>
      <c r="IG28" s="192"/>
      <c r="IH28" s="192"/>
      <c r="II28" s="192"/>
      <c r="IJ28" s="192"/>
      <c r="IK28" s="192"/>
      <c r="IL28" s="192"/>
      <c r="IM28" s="192"/>
      <c r="IN28" s="192"/>
      <c r="IO28" s="192"/>
      <c r="IP28" s="192"/>
      <c r="IQ28" s="192"/>
      <c r="IR28" s="192"/>
      <c r="IS28" s="192"/>
      <c r="IT28" s="192"/>
      <c r="IU28" s="192"/>
      <c r="IV28" s="192"/>
    </row>
    <row r="29" spans="1:256" s="178" customFormat="1" ht="45" customHeight="1">
      <c r="A29" s="179"/>
      <c r="B29" s="1017" t="s">
        <v>2656</v>
      </c>
      <c r="C29" s="50" t="s">
        <v>2701</v>
      </c>
      <c r="D29" s="935">
        <v>177</v>
      </c>
      <c r="E29" s="935">
        <v>178</v>
      </c>
      <c r="F29" s="935">
        <v>179</v>
      </c>
      <c r="G29" s="935"/>
      <c r="H29" s="935"/>
      <c r="I29" s="935"/>
      <c r="J29" s="935"/>
      <c r="K29" s="935"/>
      <c r="L29" s="935"/>
      <c r="M29" s="935"/>
      <c r="O29" s="936" t="s">
        <v>7</v>
      </c>
      <c r="P29" s="936" t="s">
        <v>2754</v>
      </c>
      <c r="Q29" s="936" t="s">
        <v>3</v>
      </c>
      <c r="R29" s="936" t="s">
        <v>11</v>
      </c>
      <c r="S29" s="936" t="s">
        <v>10</v>
      </c>
      <c r="T29" s="16"/>
      <c r="U29" s="17"/>
      <c r="V29" s="44"/>
      <c r="W29" s="49"/>
      <c r="X29" s="38"/>
      <c r="Y29" s="39"/>
      <c r="Z29" s="50"/>
      <c r="AA29" s="37"/>
      <c r="AB29" s="1083">
        <v>3.2906400000000007</v>
      </c>
      <c r="AC29" s="1083">
        <v>0.48504049368060886</v>
      </c>
      <c r="AD29" s="1083">
        <v>0.44379049368060886</v>
      </c>
      <c r="AE29" s="1084">
        <v>0.65465509845623671</v>
      </c>
      <c r="AF29" s="1084">
        <v>0.64482843178956994</v>
      </c>
      <c r="AG29" s="1083">
        <v>1.0016160177302864</v>
      </c>
      <c r="AH29" s="1083">
        <v>0.93234684166450077</v>
      </c>
      <c r="AI29" s="1084">
        <v>1.1493283901328684</v>
      </c>
      <c r="AJ29" s="1084">
        <v>1.0507703544185825</v>
      </c>
      <c r="AK29" s="1083">
        <v>3.1096378448275863</v>
      </c>
      <c r="AL29" s="901"/>
      <c r="AM29" s="901"/>
      <c r="AN29" s="978" t="s">
        <v>2881</v>
      </c>
      <c r="AO29" s="978" t="s">
        <v>2882</v>
      </c>
      <c r="AP29" s="978" t="s">
        <v>2883</v>
      </c>
      <c r="AQ29" s="978" t="s">
        <v>2884</v>
      </c>
      <c r="AR29" s="978" t="s">
        <v>2885</v>
      </c>
      <c r="AS29" s="978" t="s">
        <v>2886</v>
      </c>
      <c r="AT29" s="978" t="s">
        <v>2887</v>
      </c>
      <c r="AU29" s="978" t="s">
        <v>2888</v>
      </c>
      <c r="AV29" s="978" t="s">
        <v>2889</v>
      </c>
      <c r="AW29" s="978" t="s">
        <v>2890</v>
      </c>
      <c r="AY29" s="1032">
        <v>109176.63967599999</v>
      </c>
      <c r="AZ29" s="1032">
        <v>47060.761689999999</v>
      </c>
      <c r="BA29" s="1033">
        <v>48086.121131</v>
      </c>
      <c r="BB29" s="1033">
        <v>41149.769417999996</v>
      </c>
      <c r="BC29" s="897"/>
      <c r="BD29" s="897"/>
      <c r="BE29" s="897"/>
      <c r="BF29" s="897"/>
      <c r="BG29" s="897"/>
      <c r="BH29" s="897"/>
      <c r="BI29" s="897"/>
      <c r="BJ29" s="897"/>
      <c r="BK29" s="897"/>
      <c r="BL29" s="897"/>
      <c r="BM29" s="897"/>
      <c r="BN29" s="897"/>
      <c r="BO29" s="897"/>
      <c r="BP29" s="897"/>
      <c r="BQ29" s="897"/>
      <c r="BR29" s="897"/>
      <c r="BS29" s="897"/>
      <c r="BT29" s="897"/>
      <c r="BU29" s="897"/>
      <c r="BV29" s="197"/>
      <c r="BW29" s="197"/>
      <c r="BX29" s="197"/>
      <c r="BY29" s="197"/>
      <c r="BZ29" s="197"/>
      <c r="CA29" s="197"/>
      <c r="CB29" s="197"/>
      <c r="CC29" s="197"/>
      <c r="CD29" s="197"/>
      <c r="CE29" s="197"/>
      <c r="CF29" s="197"/>
      <c r="CG29" s="197"/>
      <c r="CH29" s="197"/>
      <c r="CI29" s="197"/>
      <c r="CJ29" s="197"/>
      <c r="CK29" s="197"/>
      <c r="CL29" s="197"/>
      <c r="CM29" s="197"/>
      <c r="CN29" s="197"/>
      <c r="CO29" s="197"/>
      <c r="CP29" s="197"/>
      <c r="CQ29" s="197"/>
      <c r="CR29" s="896"/>
      <c r="CS29" s="896"/>
      <c r="CT29" s="896"/>
      <c r="CU29" s="896"/>
      <c r="CV29" s="896"/>
      <c r="CW29" s="896"/>
      <c r="CX29" s="896"/>
      <c r="CY29" s="896"/>
      <c r="CZ29" s="896"/>
      <c r="DA29" s="896"/>
      <c r="DB29" s="896"/>
      <c r="DC29" s="896"/>
      <c r="DD29" s="896"/>
      <c r="DE29" s="896"/>
      <c r="DF29" s="896"/>
      <c r="DG29" s="896"/>
      <c r="DH29" s="896"/>
      <c r="DI29" s="896"/>
      <c r="DJ29" s="896"/>
      <c r="DK29" s="896"/>
      <c r="DL29" s="896"/>
      <c r="DM29" s="896"/>
      <c r="DN29" s="896"/>
      <c r="DO29" s="896"/>
      <c r="DP29" s="896"/>
      <c r="DQ29" s="896"/>
      <c r="DR29" s="896"/>
      <c r="DS29" s="896"/>
      <c r="DT29" s="896"/>
      <c r="DU29" s="896"/>
      <c r="DV29" s="896"/>
      <c r="DW29" s="896"/>
      <c r="DX29" s="896"/>
      <c r="DY29" s="896"/>
      <c r="DZ29" s="896"/>
      <c r="EA29" s="896"/>
      <c r="EB29" s="896"/>
      <c r="EC29" s="896"/>
      <c r="ED29" s="896"/>
      <c r="EE29" s="896"/>
      <c r="EF29" s="896"/>
      <c r="EG29" s="896"/>
      <c r="EH29" s="896"/>
      <c r="EI29" s="896"/>
      <c r="EJ29" s="896"/>
      <c r="EK29" s="896"/>
      <c r="EL29" s="181"/>
      <c r="EM29" s="193"/>
      <c r="EN29" s="193"/>
      <c r="EO29" s="193"/>
      <c r="EP29" s="193"/>
      <c r="EQ29" s="193"/>
      <c r="ER29" s="193"/>
      <c r="ES29" s="193"/>
      <c r="ET29" s="193"/>
      <c r="EU29" s="193"/>
      <c r="EV29" s="193"/>
      <c r="EW29" s="193"/>
      <c r="EX29" s="193"/>
      <c r="EY29" s="193"/>
      <c r="EZ29" s="193"/>
      <c r="FA29" s="193"/>
      <c r="FB29" s="193"/>
      <c r="FC29" s="193"/>
      <c r="FD29" s="193"/>
      <c r="FE29" s="193"/>
      <c r="FF29" s="181"/>
      <c r="FG29" s="183"/>
      <c r="FH29" s="194"/>
      <c r="FI29" s="184"/>
      <c r="FJ29" s="184"/>
      <c r="FK29" s="184"/>
      <c r="FL29" s="184"/>
      <c r="FM29" s="184"/>
      <c r="FN29" s="184"/>
      <c r="FO29" s="184"/>
      <c r="FP29" s="184"/>
      <c r="FQ29" s="184"/>
      <c r="FR29" s="184"/>
      <c r="FS29" s="184"/>
      <c r="FT29" s="184"/>
      <c r="FU29" s="184"/>
      <c r="FV29" s="184"/>
      <c r="FW29" s="184"/>
      <c r="FX29" s="184"/>
      <c r="FY29" s="184"/>
      <c r="FZ29" s="184"/>
      <c r="GA29" s="184"/>
      <c r="GB29" s="185"/>
      <c r="GC29" s="195"/>
      <c r="GD29" s="183"/>
      <c r="GE29" s="186"/>
      <c r="GF29" s="186"/>
      <c r="GG29" s="186"/>
      <c r="GH29" s="186"/>
      <c r="GI29" s="186"/>
      <c r="GJ29" s="186"/>
      <c r="GK29" s="186"/>
      <c r="GL29" s="186"/>
      <c r="GM29" s="186"/>
      <c r="GN29" s="186"/>
      <c r="GO29" s="186"/>
      <c r="GP29" s="186"/>
      <c r="GQ29" s="186"/>
      <c r="GR29" s="186"/>
      <c r="GS29" s="186"/>
      <c r="GT29" s="186"/>
      <c r="GU29" s="186"/>
      <c r="GV29" s="186"/>
      <c r="GW29" s="186"/>
      <c r="GX29" s="186"/>
      <c r="GY29" s="186"/>
      <c r="GZ29" s="186"/>
      <c r="HA29" s="186"/>
      <c r="HB29" s="186"/>
      <c r="HC29" s="186"/>
      <c r="HD29" s="186"/>
      <c r="HE29" s="186"/>
      <c r="HF29" s="186"/>
      <c r="HG29" s="187"/>
      <c r="HH29" s="188"/>
      <c r="HI29" s="182"/>
      <c r="HJ29" s="182"/>
      <c r="HK29" s="182"/>
      <c r="HL29" s="182"/>
      <c r="HM29" s="189"/>
      <c r="HN29" s="189"/>
      <c r="HO29" s="190"/>
      <c r="HP29" s="191"/>
      <c r="HQ29" s="191"/>
      <c r="HR29" s="191"/>
      <c r="HS29" s="191"/>
      <c r="HT29" s="191"/>
      <c r="HU29" s="191"/>
      <c r="HV29" s="191"/>
      <c r="HW29" s="191"/>
      <c r="HX29" s="191"/>
      <c r="HY29" s="191"/>
      <c r="HZ29" s="191"/>
      <c r="IA29" s="191"/>
      <c r="IB29" s="191"/>
      <c r="IC29" s="191"/>
      <c r="ID29" s="191"/>
      <c r="IE29" s="192"/>
      <c r="IF29" s="192"/>
      <c r="IG29" s="192"/>
      <c r="IH29" s="192"/>
      <c r="II29" s="192"/>
      <c r="IJ29" s="192"/>
      <c r="IK29" s="192"/>
      <c r="IL29" s="192"/>
      <c r="IM29" s="192"/>
      <c r="IN29" s="192"/>
      <c r="IO29" s="192"/>
      <c r="IP29" s="192"/>
      <c r="IQ29" s="192"/>
      <c r="IR29" s="192"/>
      <c r="IS29" s="192"/>
      <c r="IT29" s="192"/>
      <c r="IU29" s="192"/>
      <c r="IV29" s="192"/>
    </row>
    <row r="30" spans="1:256" s="178" customFormat="1" ht="56.25" customHeight="1">
      <c r="A30" s="179"/>
      <c r="B30" s="1017" t="s">
        <v>2659</v>
      </c>
      <c r="C30" s="50" t="s">
        <v>2705</v>
      </c>
      <c r="D30" s="43">
        <v>269</v>
      </c>
      <c r="E30" s="935"/>
      <c r="F30" s="935"/>
      <c r="G30" s="935"/>
      <c r="H30" s="935"/>
      <c r="I30" s="935"/>
      <c r="J30" s="935"/>
      <c r="K30" s="935"/>
      <c r="L30" s="935"/>
      <c r="M30" s="935"/>
      <c r="O30" s="936" t="s">
        <v>9</v>
      </c>
      <c r="P30" s="936" t="s">
        <v>14</v>
      </c>
      <c r="Q30" s="936" t="s">
        <v>16</v>
      </c>
      <c r="R30" s="936" t="s">
        <v>17</v>
      </c>
      <c r="S30" s="936" t="s">
        <v>7</v>
      </c>
      <c r="T30" s="936" t="s">
        <v>8</v>
      </c>
      <c r="U30" s="936" t="s">
        <v>12</v>
      </c>
      <c r="V30" s="936" t="s">
        <v>10</v>
      </c>
      <c r="W30" s="936" t="s">
        <v>11</v>
      </c>
      <c r="X30" s="936" t="s">
        <v>2755</v>
      </c>
      <c r="Y30" s="37" t="s">
        <v>15</v>
      </c>
      <c r="Z30" s="50" t="s">
        <v>3</v>
      </c>
      <c r="AA30" s="37" t="s">
        <v>2754</v>
      </c>
      <c r="AB30" s="1083">
        <v>9.525999999999998</v>
      </c>
      <c r="AC30" s="1083">
        <v>1.6062214928535949</v>
      </c>
      <c r="AD30" s="1083">
        <v>1.382615992853595</v>
      </c>
      <c r="AE30" s="1084">
        <v>2.4132754884374283</v>
      </c>
      <c r="AF30" s="1084">
        <v>1.9783998698807275</v>
      </c>
      <c r="AG30" s="1083">
        <v>2.8146441854713267</v>
      </c>
      <c r="AH30" s="1083">
        <v>2.7162127271379934</v>
      </c>
      <c r="AI30" s="1084">
        <v>2.6918588332376494</v>
      </c>
      <c r="AJ30" s="1084">
        <v>2.0216358605834475</v>
      </c>
      <c r="AK30" s="1083">
        <v>8.9215328333333321</v>
      </c>
      <c r="AL30" s="901"/>
      <c r="AM30" s="901"/>
      <c r="AN30" s="977" t="s">
        <v>2907</v>
      </c>
      <c r="AO30" s="977" t="s">
        <v>2908</v>
      </c>
      <c r="AP30" s="977" t="s">
        <v>2909</v>
      </c>
      <c r="AQ30" s="977" t="s">
        <v>2910</v>
      </c>
      <c r="AR30" s="977" t="s">
        <v>2911</v>
      </c>
      <c r="AS30" s="977" t="s">
        <v>2912</v>
      </c>
      <c r="AT30" s="977" t="s">
        <v>2913</v>
      </c>
      <c r="AU30" s="977" t="s">
        <v>2914</v>
      </c>
      <c r="AV30" s="977" t="s">
        <v>2915</v>
      </c>
      <c r="AW30" s="977" t="s">
        <v>2916</v>
      </c>
      <c r="AY30" s="1032">
        <v>3653.2441640000002</v>
      </c>
      <c r="AZ30" s="1032">
        <v>5559.0467209999997</v>
      </c>
      <c r="BA30" s="1033">
        <v>9274.8115380000017</v>
      </c>
      <c r="BB30" s="1033">
        <v>5918.1460269999998</v>
      </c>
      <c r="BC30" s="897"/>
      <c r="BD30" s="897"/>
      <c r="BE30" s="897"/>
      <c r="BF30" s="897"/>
      <c r="BG30" s="897"/>
      <c r="BH30" s="897"/>
      <c r="BI30" s="897"/>
      <c r="BJ30" s="897"/>
      <c r="BK30" s="897"/>
      <c r="BL30" s="897"/>
      <c r="BM30" s="897"/>
      <c r="BN30" s="897"/>
      <c r="BO30" s="897"/>
      <c r="BP30" s="897"/>
      <c r="BQ30" s="897"/>
      <c r="BR30" s="897"/>
      <c r="BS30" s="897"/>
      <c r="BT30" s="897"/>
      <c r="BU30" s="897"/>
      <c r="BV30" s="197"/>
      <c r="BW30" s="197"/>
      <c r="BX30" s="197"/>
      <c r="BY30" s="197"/>
      <c r="BZ30" s="197"/>
      <c r="CA30" s="197"/>
      <c r="CB30" s="197"/>
      <c r="CC30" s="197"/>
      <c r="CD30" s="197"/>
      <c r="CE30" s="197"/>
      <c r="CF30" s="197"/>
      <c r="CG30" s="197"/>
      <c r="CH30" s="197"/>
      <c r="CI30" s="197"/>
      <c r="CJ30" s="197"/>
      <c r="CK30" s="197"/>
      <c r="CL30" s="197"/>
      <c r="CM30" s="197"/>
      <c r="CN30" s="197"/>
      <c r="CO30" s="197"/>
      <c r="CP30" s="197"/>
      <c r="CQ30" s="197"/>
      <c r="CR30" s="896"/>
      <c r="CS30" s="896"/>
      <c r="CT30" s="896"/>
      <c r="CU30" s="896"/>
      <c r="CV30" s="896"/>
      <c r="CW30" s="896"/>
      <c r="CX30" s="896"/>
      <c r="CY30" s="896"/>
      <c r="CZ30" s="896"/>
      <c r="DA30" s="896"/>
      <c r="DB30" s="896"/>
      <c r="DC30" s="896"/>
      <c r="DD30" s="896"/>
      <c r="DE30" s="896"/>
      <c r="DF30" s="896"/>
      <c r="DG30" s="896"/>
      <c r="DH30" s="896"/>
      <c r="DI30" s="896"/>
      <c r="DJ30" s="896"/>
      <c r="DK30" s="896"/>
      <c r="DL30" s="896"/>
      <c r="DM30" s="896"/>
      <c r="DN30" s="896"/>
      <c r="DO30" s="896"/>
      <c r="DP30" s="896"/>
      <c r="DQ30" s="896"/>
      <c r="DR30" s="896"/>
      <c r="DS30" s="896"/>
      <c r="DT30" s="896"/>
      <c r="DU30" s="896"/>
      <c r="DV30" s="896"/>
      <c r="DW30" s="896"/>
      <c r="DX30" s="896"/>
      <c r="DY30" s="896"/>
      <c r="DZ30" s="896"/>
      <c r="EA30" s="896"/>
      <c r="EB30" s="896"/>
      <c r="EC30" s="896"/>
      <c r="ED30" s="896"/>
      <c r="EE30" s="896"/>
      <c r="EF30" s="896"/>
      <c r="EG30" s="896"/>
      <c r="EH30" s="896"/>
      <c r="EI30" s="896"/>
      <c r="EJ30" s="896"/>
      <c r="EK30" s="896"/>
      <c r="EL30" s="181"/>
      <c r="EM30" s="193"/>
      <c r="EN30" s="193"/>
      <c r="EO30" s="193"/>
      <c r="EP30" s="193"/>
      <c r="EQ30" s="193"/>
      <c r="ER30" s="193"/>
      <c r="ES30" s="193"/>
      <c r="ET30" s="193"/>
      <c r="EU30" s="193"/>
      <c r="EV30" s="193"/>
      <c r="EW30" s="193"/>
      <c r="EX30" s="193"/>
      <c r="EY30" s="193"/>
      <c r="EZ30" s="193"/>
      <c r="FA30" s="193"/>
      <c r="FB30" s="193"/>
      <c r="FC30" s="193"/>
      <c r="FD30" s="193"/>
      <c r="FE30" s="193"/>
      <c r="FF30" s="181"/>
      <c r="FG30" s="183"/>
      <c r="FH30" s="194"/>
      <c r="FI30" s="184"/>
      <c r="FJ30" s="184"/>
      <c r="FK30" s="184"/>
      <c r="FL30" s="184"/>
      <c r="FM30" s="184"/>
      <c r="FN30" s="184"/>
      <c r="FO30" s="184"/>
      <c r="FP30" s="184"/>
      <c r="FQ30" s="184"/>
      <c r="FR30" s="184"/>
      <c r="FS30" s="184"/>
      <c r="FT30" s="184"/>
      <c r="FU30" s="184"/>
      <c r="FV30" s="184"/>
      <c r="FW30" s="184"/>
      <c r="FX30" s="184"/>
      <c r="FY30" s="184"/>
      <c r="FZ30" s="184"/>
      <c r="GA30" s="184"/>
      <c r="GB30" s="185"/>
      <c r="GC30" s="195"/>
      <c r="GD30" s="183"/>
      <c r="GE30" s="186"/>
      <c r="GF30" s="186"/>
      <c r="GG30" s="186"/>
      <c r="GH30" s="186"/>
      <c r="GI30" s="186"/>
      <c r="GJ30" s="186"/>
      <c r="GK30" s="186"/>
      <c r="GL30" s="186"/>
      <c r="GM30" s="186"/>
      <c r="GN30" s="186"/>
      <c r="GO30" s="186"/>
      <c r="GP30" s="186"/>
      <c r="GQ30" s="186"/>
      <c r="GR30" s="186"/>
      <c r="GS30" s="186"/>
      <c r="GT30" s="186"/>
      <c r="GU30" s="186"/>
      <c r="GV30" s="186"/>
      <c r="GW30" s="186"/>
      <c r="GX30" s="186"/>
      <c r="GY30" s="186"/>
      <c r="GZ30" s="186"/>
      <c r="HA30" s="186"/>
      <c r="HB30" s="186"/>
      <c r="HC30" s="186"/>
      <c r="HD30" s="186"/>
      <c r="HE30" s="186"/>
      <c r="HF30" s="186"/>
      <c r="HG30" s="187"/>
      <c r="HH30" s="188"/>
      <c r="HI30" s="182"/>
      <c r="HJ30" s="182"/>
      <c r="HK30" s="182"/>
      <c r="HL30" s="182"/>
      <c r="HM30" s="189"/>
      <c r="HN30" s="189"/>
      <c r="HO30" s="190"/>
      <c r="HP30" s="191"/>
      <c r="HQ30" s="191"/>
      <c r="HR30" s="191"/>
      <c r="HS30" s="191"/>
      <c r="HT30" s="191"/>
      <c r="HU30" s="191"/>
      <c r="HV30" s="191"/>
      <c r="HW30" s="191"/>
      <c r="HX30" s="191"/>
      <c r="HY30" s="191"/>
      <c r="HZ30" s="191"/>
      <c r="IA30" s="191"/>
      <c r="IB30" s="191"/>
      <c r="IC30" s="191"/>
      <c r="ID30" s="191"/>
      <c r="IE30" s="192"/>
      <c r="IF30" s="192"/>
      <c r="IG30" s="192"/>
      <c r="IH30" s="192"/>
      <c r="II30" s="192"/>
      <c r="IJ30" s="192"/>
      <c r="IK30" s="192"/>
      <c r="IL30" s="192"/>
      <c r="IM30" s="192"/>
      <c r="IN30" s="192"/>
      <c r="IO30" s="192"/>
      <c r="IP30" s="192"/>
      <c r="IQ30" s="192"/>
      <c r="IR30" s="192"/>
      <c r="IS30" s="192"/>
      <c r="IT30" s="192"/>
      <c r="IU30" s="192"/>
      <c r="IV30" s="192"/>
    </row>
    <row r="31" spans="1:256" s="178" customFormat="1" ht="90" customHeight="1">
      <c r="A31" s="179"/>
      <c r="B31" s="1017" t="s">
        <v>2657</v>
      </c>
      <c r="C31" s="50" t="s">
        <v>2702</v>
      </c>
      <c r="D31" s="43">
        <v>199</v>
      </c>
      <c r="E31" s="43">
        <v>200</v>
      </c>
      <c r="F31" s="43">
        <v>201</v>
      </c>
      <c r="G31" s="43">
        <v>202</v>
      </c>
      <c r="H31" s="43">
        <v>203</v>
      </c>
      <c r="I31" s="935"/>
      <c r="J31" s="935"/>
      <c r="K31" s="935"/>
      <c r="L31" s="935"/>
      <c r="M31" s="935"/>
      <c r="O31" s="936" t="s">
        <v>7</v>
      </c>
      <c r="P31" s="936" t="s">
        <v>2754</v>
      </c>
      <c r="Q31" s="7" t="s">
        <v>3</v>
      </c>
      <c r="R31" s="936" t="s">
        <v>14</v>
      </c>
      <c r="S31" s="936" t="s">
        <v>11</v>
      </c>
      <c r="T31" s="936" t="s">
        <v>8</v>
      </c>
      <c r="U31" s="936" t="s">
        <v>9</v>
      </c>
      <c r="V31" s="936" t="s">
        <v>10</v>
      </c>
      <c r="W31" s="936"/>
      <c r="X31" s="936"/>
      <c r="Y31" s="37"/>
      <c r="Z31" s="50"/>
      <c r="AA31" s="37"/>
      <c r="AB31" s="1083">
        <v>7.5610000000000008</v>
      </c>
      <c r="AC31" s="1083">
        <v>1.0368484522565555</v>
      </c>
      <c r="AD31" s="1083">
        <v>0.85845297811862475</v>
      </c>
      <c r="AE31" s="1084">
        <v>1.9777340652833759</v>
      </c>
      <c r="AF31" s="1084">
        <v>1.7534913528767662</v>
      </c>
      <c r="AG31" s="1083">
        <v>2.5170008177837486</v>
      </c>
      <c r="AH31" s="1083">
        <v>2.2355343038948603</v>
      </c>
      <c r="AI31" s="1084">
        <v>2.0294166646763196</v>
      </c>
      <c r="AJ31" s="1084">
        <v>1.5995442274577985</v>
      </c>
      <c r="AK31" s="1083">
        <v>7.2826339539794498</v>
      </c>
      <c r="AL31" s="901"/>
      <c r="AM31" s="901"/>
      <c r="AN31" s="978" t="s">
        <v>2897</v>
      </c>
      <c r="AO31" s="978" t="s">
        <v>2898</v>
      </c>
      <c r="AP31" s="978" t="s">
        <v>2899</v>
      </c>
      <c r="AQ31" s="978" t="s">
        <v>2900</v>
      </c>
      <c r="AR31" s="978" t="s">
        <v>2901</v>
      </c>
      <c r="AS31" s="978" t="s">
        <v>2902</v>
      </c>
      <c r="AT31" s="978" t="s">
        <v>2903</v>
      </c>
      <c r="AU31" s="978" t="s">
        <v>2904</v>
      </c>
      <c r="AV31" s="978" t="s">
        <v>2905</v>
      </c>
      <c r="AW31" s="978" t="s">
        <v>2906</v>
      </c>
      <c r="AY31" s="1032">
        <v>199311.93434700003</v>
      </c>
      <c r="AZ31" s="1032">
        <v>179239.67499999999</v>
      </c>
      <c r="BA31" s="1033">
        <v>202927.39092800004</v>
      </c>
      <c r="BB31" s="1033">
        <v>172815.707658</v>
      </c>
      <c r="BC31" s="897"/>
      <c r="BD31" s="897"/>
      <c r="BE31" s="897"/>
      <c r="BF31" s="897"/>
      <c r="BG31" s="897"/>
      <c r="BH31" s="897"/>
      <c r="BI31" s="897"/>
      <c r="BJ31" s="897"/>
      <c r="BK31" s="897"/>
      <c r="BL31" s="897"/>
      <c r="BM31" s="897"/>
      <c r="BN31" s="897"/>
      <c r="BO31" s="897"/>
      <c r="BP31" s="897"/>
      <c r="BQ31" s="897"/>
      <c r="BR31" s="897"/>
      <c r="BS31" s="897"/>
      <c r="BT31" s="897"/>
      <c r="BU31" s="897"/>
      <c r="BV31" s="197"/>
      <c r="BW31" s="197"/>
      <c r="BX31" s="197"/>
      <c r="BY31" s="197"/>
      <c r="BZ31" s="197"/>
      <c r="CA31" s="197"/>
      <c r="CB31" s="197"/>
      <c r="CC31" s="197"/>
      <c r="CD31" s="197"/>
      <c r="CE31" s="197"/>
      <c r="CF31" s="197"/>
      <c r="CG31" s="197"/>
      <c r="CH31" s="197"/>
      <c r="CI31" s="197"/>
      <c r="CJ31" s="197"/>
      <c r="CK31" s="197"/>
      <c r="CL31" s="197"/>
      <c r="CM31" s="197"/>
      <c r="CN31" s="197"/>
      <c r="CO31" s="197"/>
      <c r="CP31" s="197"/>
      <c r="CQ31" s="197"/>
      <c r="CR31" s="896"/>
      <c r="CS31" s="896"/>
      <c r="CT31" s="896"/>
      <c r="CU31" s="896"/>
      <c r="CV31" s="896"/>
      <c r="CW31" s="896"/>
      <c r="CX31" s="896"/>
      <c r="CY31" s="896"/>
      <c r="CZ31" s="896"/>
      <c r="DA31" s="896"/>
      <c r="DB31" s="896"/>
      <c r="DC31" s="896"/>
      <c r="DD31" s="896"/>
      <c r="DE31" s="896"/>
      <c r="DF31" s="896"/>
      <c r="DG31" s="896"/>
      <c r="DH31" s="896"/>
      <c r="DI31" s="896"/>
      <c r="DJ31" s="896"/>
      <c r="DK31" s="896"/>
      <c r="DL31" s="896"/>
      <c r="DM31" s="896"/>
      <c r="DN31" s="896"/>
      <c r="DO31" s="896"/>
      <c r="DP31" s="896"/>
      <c r="DQ31" s="896"/>
      <c r="DR31" s="896"/>
      <c r="DS31" s="896"/>
      <c r="DT31" s="896"/>
      <c r="DU31" s="896"/>
      <c r="DV31" s="896"/>
      <c r="DW31" s="896"/>
      <c r="DX31" s="896"/>
      <c r="DY31" s="896"/>
      <c r="DZ31" s="896"/>
      <c r="EA31" s="896"/>
      <c r="EB31" s="896"/>
      <c r="EC31" s="896"/>
      <c r="ED31" s="896"/>
      <c r="EE31" s="896"/>
      <c r="EF31" s="896"/>
      <c r="EG31" s="896"/>
      <c r="EH31" s="896"/>
      <c r="EI31" s="896"/>
      <c r="EJ31" s="896"/>
      <c r="EK31" s="896"/>
      <c r="EL31" s="181"/>
      <c r="EM31" s="193"/>
      <c r="EN31" s="193"/>
      <c r="EO31" s="193"/>
      <c r="EP31" s="193"/>
      <c r="EQ31" s="193"/>
      <c r="ER31" s="193"/>
      <c r="ES31" s="193"/>
      <c r="ET31" s="193"/>
      <c r="EU31" s="193"/>
      <c r="EV31" s="193"/>
      <c r="EW31" s="193"/>
      <c r="EX31" s="193"/>
      <c r="EY31" s="193"/>
      <c r="EZ31" s="193"/>
      <c r="FA31" s="193"/>
      <c r="FB31" s="193"/>
      <c r="FC31" s="193"/>
      <c r="FD31" s="193"/>
      <c r="FE31" s="193"/>
      <c r="FF31" s="181"/>
      <c r="FG31" s="183"/>
      <c r="FH31" s="194"/>
      <c r="FI31" s="184"/>
      <c r="FJ31" s="184"/>
      <c r="FK31" s="184"/>
      <c r="FL31" s="184"/>
      <c r="FM31" s="184"/>
      <c r="FN31" s="184"/>
      <c r="FO31" s="184"/>
      <c r="FP31" s="184"/>
      <c r="FQ31" s="184"/>
      <c r="FR31" s="184"/>
      <c r="FS31" s="184"/>
      <c r="FT31" s="184"/>
      <c r="FU31" s="184"/>
      <c r="FV31" s="184"/>
      <c r="FW31" s="184"/>
      <c r="FX31" s="184"/>
      <c r="FY31" s="184"/>
      <c r="FZ31" s="184"/>
      <c r="GA31" s="184"/>
      <c r="GB31" s="185"/>
      <c r="GC31" s="195"/>
      <c r="GD31" s="183"/>
      <c r="GE31" s="186"/>
      <c r="GF31" s="186"/>
      <c r="GG31" s="186"/>
      <c r="GH31" s="186"/>
      <c r="GI31" s="186"/>
      <c r="GJ31" s="186"/>
      <c r="GK31" s="186"/>
      <c r="GL31" s="186"/>
      <c r="GM31" s="186"/>
      <c r="GN31" s="186"/>
      <c r="GO31" s="186"/>
      <c r="GP31" s="186"/>
      <c r="GQ31" s="186"/>
      <c r="GR31" s="186"/>
      <c r="GS31" s="186"/>
      <c r="GT31" s="186"/>
      <c r="GU31" s="186"/>
      <c r="GV31" s="186"/>
      <c r="GW31" s="186"/>
      <c r="GX31" s="186"/>
      <c r="GY31" s="186"/>
      <c r="GZ31" s="186"/>
      <c r="HA31" s="186"/>
      <c r="HB31" s="186"/>
      <c r="HC31" s="186"/>
      <c r="HD31" s="186"/>
      <c r="HE31" s="186"/>
      <c r="HF31" s="186"/>
      <c r="HG31" s="187"/>
      <c r="HH31" s="188"/>
      <c r="HI31" s="182"/>
      <c r="HJ31" s="182"/>
      <c r="HK31" s="182"/>
      <c r="HL31" s="182"/>
      <c r="HM31" s="189"/>
      <c r="HN31" s="189"/>
      <c r="HO31" s="190"/>
      <c r="HP31" s="191"/>
      <c r="HQ31" s="191"/>
      <c r="HR31" s="191"/>
      <c r="HS31" s="191"/>
      <c r="HT31" s="191"/>
      <c r="HU31" s="191"/>
      <c r="HV31" s="191"/>
      <c r="HW31" s="191"/>
      <c r="HX31" s="191"/>
      <c r="HY31" s="191"/>
      <c r="HZ31" s="191"/>
      <c r="IA31" s="191"/>
      <c r="IB31" s="191"/>
      <c r="IC31" s="191"/>
      <c r="ID31" s="191"/>
      <c r="IE31" s="192"/>
      <c r="IF31" s="192"/>
      <c r="IG31" s="192"/>
      <c r="IH31" s="192"/>
      <c r="II31" s="192"/>
      <c r="IJ31" s="192"/>
      <c r="IK31" s="192"/>
      <c r="IL31" s="192"/>
      <c r="IM31" s="192"/>
      <c r="IN31" s="192"/>
      <c r="IO31" s="192"/>
      <c r="IP31" s="192"/>
      <c r="IQ31" s="192"/>
      <c r="IR31" s="192"/>
      <c r="IS31" s="192"/>
      <c r="IT31" s="192"/>
      <c r="IU31" s="192"/>
      <c r="IV31" s="192"/>
    </row>
    <row r="32" spans="1:256" s="178" customFormat="1" ht="45" customHeight="1">
      <c r="A32" s="179"/>
      <c r="B32" s="1018" t="s">
        <v>2660</v>
      </c>
      <c r="C32" s="50" t="s">
        <v>2703</v>
      </c>
      <c r="D32" s="43">
        <v>247</v>
      </c>
      <c r="O32" s="936" t="s">
        <v>7</v>
      </c>
      <c r="P32" s="936" t="s">
        <v>12</v>
      </c>
      <c r="Q32" s="7"/>
      <c r="AB32" s="1092">
        <v>1.4940000000000002</v>
      </c>
      <c r="AC32" s="1092">
        <v>0.39920689655172414</v>
      </c>
      <c r="AD32" s="1092">
        <v>0.29281034482758617</v>
      </c>
      <c r="AE32" s="1092">
        <v>0.34367241379310348</v>
      </c>
      <c r="AF32" s="1092">
        <v>0.32156241379310346</v>
      </c>
      <c r="AG32" s="1092">
        <v>0.33534913793103455</v>
      </c>
      <c r="AH32" s="1092">
        <v>0.22050913793103452</v>
      </c>
      <c r="AI32" s="1092">
        <v>0.41577155172413793</v>
      </c>
      <c r="AJ32" s="1092">
        <v>0.39514655172413798</v>
      </c>
      <c r="AK32" s="1092">
        <v>1.4940000000000002</v>
      </c>
      <c r="AN32" s="978" t="s">
        <v>2891</v>
      </c>
      <c r="AO32" s="978" t="s">
        <v>2892</v>
      </c>
      <c r="AP32" s="978" t="s">
        <v>2896</v>
      </c>
      <c r="AQ32" s="978" t="s">
        <v>2893</v>
      </c>
      <c r="AR32" s="978" t="s">
        <v>2894</v>
      </c>
      <c r="AS32" s="978" t="s">
        <v>2895</v>
      </c>
      <c r="AT32" s="978"/>
      <c r="AU32" s="978"/>
      <c r="AV32" s="978"/>
      <c r="AW32" s="978"/>
      <c r="AY32" s="1032">
        <v>719.02049999999997</v>
      </c>
      <c r="AZ32" s="1032">
        <v>691.86189999999999</v>
      </c>
      <c r="BA32" s="1034">
        <v>912.90474400000005</v>
      </c>
      <c r="BB32" s="1034">
        <v>265.92</v>
      </c>
      <c r="BL32" s="897"/>
      <c r="BM32" s="897"/>
      <c r="BN32" s="897"/>
      <c r="BO32" s="897"/>
      <c r="BP32" s="897"/>
      <c r="BQ32" s="897"/>
      <c r="BR32" s="897"/>
      <c r="BS32" s="897"/>
      <c r="BT32" s="897"/>
      <c r="BU32" s="897"/>
      <c r="BV32" s="197"/>
      <c r="BW32" s="197"/>
      <c r="BX32" s="197"/>
      <c r="BY32" s="197"/>
      <c r="BZ32" s="197"/>
      <c r="CA32" s="197"/>
      <c r="CB32" s="197"/>
      <c r="CC32" s="197"/>
      <c r="CD32" s="197"/>
      <c r="CE32" s="197"/>
      <c r="CF32" s="197"/>
      <c r="CG32" s="197"/>
      <c r="CH32" s="197"/>
      <c r="CI32" s="197"/>
      <c r="CJ32" s="197"/>
      <c r="CK32" s="197"/>
      <c r="CL32" s="197"/>
      <c r="CM32" s="197"/>
      <c r="CN32" s="197"/>
      <c r="CO32" s="197"/>
      <c r="CP32" s="197"/>
      <c r="CQ32" s="197"/>
      <c r="CR32" s="896"/>
      <c r="CS32" s="896"/>
      <c r="CT32" s="896"/>
      <c r="CU32" s="896"/>
      <c r="CV32" s="896"/>
      <c r="CW32" s="896"/>
      <c r="CX32" s="896"/>
      <c r="CY32" s="896"/>
      <c r="CZ32" s="896"/>
      <c r="DA32" s="896"/>
      <c r="DB32" s="896"/>
      <c r="DC32" s="896"/>
      <c r="DD32" s="896"/>
      <c r="DE32" s="896"/>
      <c r="DF32" s="896"/>
      <c r="DG32" s="896"/>
      <c r="DH32" s="896"/>
      <c r="DI32" s="896"/>
      <c r="DJ32" s="896"/>
      <c r="DK32" s="896"/>
      <c r="DL32" s="896"/>
      <c r="DM32" s="896"/>
      <c r="DN32" s="896"/>
      <c r="DO32" s="896"/>
      <c r="DP32" s="896"/>
      <c r="DQ32" s="896"/>
      <c r="DR32" s="896"/>
      <c r="DS32" s="896"/>
      <c r="DT32" s="896"/>
      <c r="DU32" s="896"/>
      <c r="DV32" s="896"/>
      <c r="DW32" s="896"/>
      <c r="DX32" s="896"/>
      <c r="DY32" s="896"/>
      <c r="DZ32" s="896"/>
      <c r="EA32" s="896"/>
      <c r="EB32" s="896"/>
      <c r="EC32" s="896"/>
      <c r="ED32" s="896"/>
      <c r="EE32" s="896"/>
      <c r="EF32" s="896"/>
      <c r="EG32" s="896"/>
      <c r="EH32" s="896"/>
      <c r="EI32" s="896"/>
      <c r="EJ32" s="896"/>
      <c r="EK32" s="896"/>
      <c r="EL32" s="181"/>
      <c r="EM32" s="193"/>
      <c r="EN32" s="193"/>
      <c r="EO32" s="193"/>
      <c r="EP32" s="193"/>
      <c r="EQ32" s="193"/>
      <c r="ER32" s="193"/>
      <c r="ES32" s="193"/>
      <c r="ET32" s="193"/>
      <c r="EU32" s="193"/>
      <c r="EV32" s="193"/>
      <c r="EW32" s="193"/>
      <c r="EX32" s="193"/>
      <c r="EY32" s="193"/>
      <c r="EZ32" s="193"/>
      <c r="FA32" s="193"/>
      <c r="FB32" s="193"/>
      <c r="FC32" s="193"/>
      <c r="FD32" s="193"/>
      <c r="FE32" s="193"/>
      <c r="FF32" s="181"/>
      <c r="FG32" s="183"/>
      <c r="FH32" s="194"/>
      <c r="FI32" s="184"/>
      <c r="FJ32" s="184"/>
      <c r="FK32" s="184"/>
      <c r="FL32" s="184"/>
      <c r="FM32" s="184"/>
      <c r="FN32" s="184"/>
      <c r="FO32" s="184"/>
      <c r="FP32" s="184"/>
      <c r="FQ32" s="184"/>
      <c r="FR32" s="184"/>
      <c r="FS32" s="184"/>
      <c r="FT32" s="184"/>
      <c r="FU32" s="184"/>
      <c r="FV32" s="184"/>
      <c r="FW32" s="184"/>
      <c r="FX32" s="184"/>
      <c r="FY32" s="184"/>
      <c r="FZ32" s="184"/>
      <c r="GA32" s="184"/>
      <c r="GB32" s="185"/>
      <c r="GC32" s="195"/>
      <c r="GD32" s="183"/>
      <c r="GE32" s="186"/>
      <c r="GF32" s="186"/>
      <c r="GG32" s="186"/>
      <c r="GH32" s="186"/>
      <c r="GI32" s="186"/>
      <c r="GJ32" s="186"/>
      <c r="GK32" s="186"/>
      <c r="GL32" s="186"/>
      <c r="GM32" s="186"/>
      <c r="GN32" s="186"/>
      <c r="GO32" s="186"/>
      <c r="GP32" s="186"/>
      <c r="GQ32" s="186"/>
      <c r="GR32" s="186"/>
      <c r="GS32" s="186"/>
      <c r="GT32" s="186"/>
      <c r="GU32" s="186"/>
      <c r="GV32" s="186"/>
      <c r="GW32" s="186"/>
      <c r="GX32" s="186"/>
      <c r="GY32" s="186"/>
      <c r="GZ32" s="186"/>
      <c r="HA32" s="186"/>
      <c r="HB32" s="186"/>
      <c r="HC32" s="186"/>
      <c r="HD32" s="186"/>
      <c r="HE32" s="186"/>
      <c r="HF32" s="186"/>
      <c r="HG32" s="187"/>
      <c r="HH32" s="188"/>
      <c r="HI32" s="182"/>
      <c r="HJ32" s="182"/>
      <c r="HK32" s="182"/>
      <c r="HL32" s="182"/>
      <c r="HM32" s="189"/>
      <c r="HN32" s="189"/>
      <c r="HO32" s="190"/>
      <c r="HP32" s="191"/>
      <c r="HQ32" s="191"/>
      <c r="HR32" s="191"/>
      <c r="HS32" s="191"/>
      <c r="HT32" s="191"/>
      <c r="HU32" s="191"/>
      <c r="HV32" s="191"/>
      <c r="HW32" s="191"/>
      <c r="HX32" s="191"/>
      <c r="HY32" s="191"/>
      <c r="HZ32" s="191"/>
      <c r="IA32" s="191"/>
      <c r="IB32" s="191"/>
      <c r="IC32" s="191"/>
      <c r="ID32" s="191"/>
      <c r="IE32" s="192"/>
      <c r="IF32" s="192"/>
      <c r="IG32" s="192"/>
      <c r="IH32" s="192"/>
      <c r="II32" s="192"/>
      <c r="IJ32" s="192"/>
      <c r="IK32" s="192"/>
      <c r="IL32" s="192"/>
      <c r="IM32" s="192"/>
      <c r="IN32" s="192"/>
      <c r="IO32" s="192"/>
      <c r="IP32" s="192"/>
      <c r="IQ32" s="192"/>
      <c r="IR32" s="192"/>
      <c r="IS32" s="192"/>
      <c r="IT32" s="192"/>
      <c r="IU32" s="192"/>
      <c r="IV32" s="192"/>
    </row>
    <row r="33" spans="1:256" s="178" customFormat="1" ht="45" customHeight="1">
      <c r="A33" s="179"/>
      <c r="B33" s="1018" t="s">
        <v>2658</v>
      </c>
      <c r="C33" s="50" t="s">
        <v>2704</v>
      </c>
      <c r="D33" s="43">
        <v>257</v>
      </c>
      <c r="E33" s="935"/>
      <c r="F33" s="935"/>
      <c r="G33" s="935"/>
      <c r="H33" s="935"/>
      <c r="I33" s="935"/>
      <c r="J33" s="935"/>
      <c r="K33" s="935"/>
      <c r="L33" s="935"/>
      <c r="M33" s="935"/>
      <c r="O33" s="936" t="s">
        <v>15</v>
      </c>
      <c r="P33" s="936" t="s">
        <v>2754</v>
      </c>
      <c r="Q33" s="936"/>
      <c r="R33" s="936"/>
      <c r="S33" s="936"/>
      <c r="T33" s="936"/>
      <c r="U33" s="936"/>
      <c r="V33" s="936"/>
      <c r="W33" s="936"/>
      <c r="X33" s="936"/>
      <c r="Y33" s="936"/>
      <c r="Z33" s="936"/>
      <c r="AA33" s="936"/>
      <c r="AB33" s="1083">
        <v>1.8254799999999998</v>
      </c>
      <c r="AC33" s="1083">
        <v>0.28789761904761901</v>
      </c>
      <c r="AD33" s="1083">
        <v>0.19840714285714287</v>
      </c>
      <c r="AE33" s="1084">
        <v>0.38128333333333331</v>
      </c>
      <c r="AF33" s="1084">
        <v>0.2895023809523809</v>
      </c>
      <c r="AG33" s="1083">
        <v>0.35692619047619051</v>
      </c>
      <c r="AH33" s="1083">
        <v>0.30408333333333337</v>
      </c>
      <c r="AI33" s="1084">
        <v>0.79937285714285711</v>
      </c>
      <c r="AJ33" s="1084">
        <v>0.40191552380952378</v>
      </c>
      <c r="AK33" s="1083">
        <v>1.3746380952380952</v>
      </c>
      <c r="AL33" s="901"/>
      <c r="AM33" s="901"/>
      <c r="AN33" s="978" t="s">
        <v>2917</v>
      </c>
      <c r="AO33" s="978" t="s">
        <v>2918</v>
      </c>
      <c r="AP33" s="978" t="s">
        <v>2919</v>
      </c>
      <c r="AQ33" s="978" t="s">
        <v>2920</v>
      </c>
      <c r="AR33" s="978" t="s">
        <v>2921</v>
      </c>
      <c r="AS33" s="978" t="s">
        <v>2922</v>
      </c>
      <c r="AT33" s="978"/>
      <c r="AU33" s="978"/>
      <c r="AV33" s="978"/>
      <c r="AW33" s="978"/>
      <c r="AY33" s="1032">
        <v>31059.462440000003</v>
      </c>
      <c r="AZ33" s="1032">
        <v>34919.334205000006</v>
      </c>
      <c r="BA33" s="1033">
        <v>30958.347581999999</v>
      </c>
      <c r="BB33" s="1033">
        <v>27903.28613</v>
      </c>
      <c r="BC33" s="897"/>
      <c r="BD33" s="897"/>
      <c r="BE33" s="897"/>
      <c r="BF33" s="897"/>
      <c r="BG33" s="897"/>
      <c r="BH33" s="897"/>
      <c r="BI33" s="897"/>
      <c r="BJ33" s="897"/>
      <c r="BK33" s="897"/>
      <c r="BL33" s="897"/>
      <c r="BM33" s="897"/>
      <c r="BN33" s="897"/>
      <c r="BO33" s="897"/>
      <c r="BP33" s="897"/>
      <c r="BQ33" s="897"/>
      <c r="BR33" s="897"/>
      <c r="BS33" s="897"/>
      <c r="BT33" s="897"/>
      <c r="BU33" s="897"/>
      <c r="BV33" s="197"/>
      <c r="BW33" s="197"/>
      <c r="BX33" s="197"/>
      <c r="BY33" s="197"/>
      <c r="BZ33" s="197"/>
      <c r="CA33" s="197"/>
      <c r="CB33" s="197"/>
      <c r="CC33" s="197"/>
      <c r="CD33" s="197"/>
      <c r="CE33" s="197"/>
      <c r="CF33" s="197"/>
      <c r="CG33" s="197"/>
      <c r="CH33" s="197"/>
      <c r="CI33" s="197"/>
      <c r="CJ33" s="197"/>
      <c r="CK33" s="197"/>
      <c r="CL33" s="197"/>
      <c r="CM33" s="197"/>
      <c r="CN33" s="197"/>
      <c r="CO33" s="197"/>
      <c r="CP33" s="197"/>
      <c r="CQ33" s="197"/>
      <c r="CR33" s="896"/>
      <c r="CS33" s="896"/>
      <c r="CT33" s="896"/>
      <c r="CU33" s="896"/>
      <c r="CV33" s="896"/>
      <c r="CW33" s="896"/>
      <c r="CX33" s="896"/>
      <c r="CY33" s="896"/>
      <c r="CZ33" s="896"/>
      <c r="DA33" s="896"/>
      <c r="DB33" s="896"/>
      <c r="DC33" s="896"/>
      <c r="DD33" s="896"/>
      <c r="DE33" s="896"/>
      <c r="DF33" s="896"/>
      <c r="DG33" s="896"/>
      <c r="DH33" s="896"/>
      <c r="DI33" s="896"/>
      <c r="DJ33" s="896"/>
      <c r="DK33" s="896"/>
      <c r="DL33" s="896"/>
      <c r="DM33" s="896"/>
      <c r="DN33" s="896"/>
      <c r="DO33" s="896"/>
      <c r="DP33" s="896"/>
      <c r="DQ33" s="896"/>
      <c r="DR33" s="896"/>
      <c r="DS33" s="896"/>
      <c r="DT33" s="896"/>
      <c r="DU33" s="896"/>
      <c r="DV33" s="896"/>
      <c r="DW33" s="896"/>
      <c r="DX33" s="896"/>
      <c r="DY33" s="896"/>
      <c r="DZ33" s="896"/>
      <c r="EA33" s="896"/>
      <c r="EB33" s="896"/>
      <c r="EC33" s="896"/>
      <c r="ED33" s="896"/>
      <c r="EE33" s="896"/>
      <c r="EF33" s="896"/>
      <c r="EG33" s="896"/>
      <c r="EH33" s="896"/>
      <c r="EI33" s="896"/>
      <c r="EJ33" s="896"/>
      <c r="EK33" s="896"/>
      <c r="EL33" s="181"/>
      <c r="EM33" s="193"/>
      <c r="EN33" s="193"/>
      <c r="EO33" s="193"/>
      <c r="EP33" s="193"/>
      <c r="EQ33" s="193"/>
      <c r="ER33" s="193"/>
      <c r="ES33" s="193"/>
      <c r="ET33" s="193"/>
      <c r="EU33" s="193"/>
      <c r="EV33" s="193"/>
      <c r="EW33" s="193"/>
      <c r="EX33" s="193"/>
      <c r="EY33" s="193"/>
      <c r="EZ33" s="193"/>
      <c r="FA33" s="193"/>
      <c r="FB33" s="193"/>
      <c r="FC33" s="193"/>
      <c r="FD33" s="193"/>
      <c r="FE33" s="193"/>
      <c r="FF33" s="181"/>
      <c r="FG33" s="183"/>
      <c r="FH33" s="194"/>
      <c r="FI33" s="184"/>
      <c r="FJ33" s="184"/>
      <c r="FK33" s="184"/>
      <c r="FL33" s="184"/>
      <c r="FM33" s="184"/>
      <c r="FN33" s="184"/>
      <c r="FO33" s="184"/>
      <c r="FP33" s="184"/>
      <c r="FQ33" s="184"/>
      <c r="FR33" s="184"/>
      <c r="FS33" s="184"/>
      <c r="FT33" s="184"/>
      <c r="FU33" s="184"/>
      <c r="FV33" s="184"/>
      <c r="FW33" s="184"/>
      <c r="FX33" s="184"/>
      <c r="FY33" s="184"/>
      <c r="FZ33" s="184"/>
      <c r="GA33" s="184"/>
      <c r="GB33" s="185"/>
      <c r="GC33" s="195"/>
      <c r="GD33" s="183"/>
      <c r="GE33" s="186"/>
      <c r="GF33" s="186"/>
      <c r="GG33" s="186"/>
      <c r="GH33" s="186"/>
      <c r="GI33" s="186"/>
      <c r="GJ33" s="186"/>
      <c r="GK33" s="186"/>
      <c r="GL33" s="186"/>
      <c r="GM33" s="186"/>
      <c r="GN33" s="186"/>
      <c r="GO33" s="186"/>
      <c r="GP33" s="186"/>
      <c r="GQ33" s="186"/>
      <c r="GR33" s="186"/>
      <c r="GS33" s="186"/>
      <c r="GT33" s="186"/>
      <c r="GU33" s="186"/>
      <c r="GV33" s="186"/>
      <c r="GW33" s="186"/>
      <c r="GX33" s="186"/>
      <c r="GY33" s="186"/>
      <c r="GZ33" s="186"/>
      <c r="HA33" s="186"/>
      <c r="HB33" s="186"/>
      <c r="HC33" s="186"/>
      <c r="HD33" s="186"/>
      <c r="HE33" s="186"/>
      <c r="HF33" s="186"/>
      <c r="HG33" s="187"/>
      <c r="HH33" s="188"/>
      <c r="HI33" s="182"/>
      <c r="HJ33" s="182"/>
      <c r="HK33" s="182"/>
      <c r="HL33" s="182"/>
      <c r="HM33" s="189"/>
      <c r="HN33" s="189"/>
      <c r="HO33" s="190"/>
      <c r="HP33" s="191"/>
      <c r="HQ33" s="191"/>
      <c r="HR33" s="191"/>
      <c r="HS33" s="191"/>
      <c r="HT33" s="191"/>
      <c r="HU33" s="191"/>
      <c r="HV33" s="191"/>
      <c r="HW33" s="191"/>
      <c r="HX33" s="191"/>
      <c r="HY33" s="191"/>
      <c r="HZ33" s="191"/>
      <c r="IA33" s="191"/>
      <c r="IB33" s="191"/>
      <c r="IC33" s="191"/>
      <c r="ID33" s="191"/>
      <c r="IE33" s="192"/>
      <c r="IF33" s="192"/>
      <c r="IG33" s="192"/>
      <c r="IH33" s="192"/>
      <c r="II33" s="192"/>
      <c r="IJ33" s="192"/>
      <c r="IK33" s="192"/>
      <c r="IL33" s="192"/>
      <c r="IM33" s="192"/>
      <c r="IN33" s="192"/>
      <c r="IO33" s="192"/>
      <c r="IP33" s="192"/>
      <c r="IQ33" s="192"/>
      <c r="IR33" s="192"/>
      <c r="IS33" s="192"/>
      <c r="IT33" s="192"/>
      <c r="IU33" s="192"/>
      <c r="IV33" s="192"/>
    </row>
    <row r="34" spans="1:256" s="178" customFormat="1" ht="51" customHeight="1">
      <c r="A34" s="179"/>
      <c r="B34" s="1018" t="s">
        <v>2661</v>
      </c>
      <c r="C34" s="50" t="s">
        <v>2706</v>
      </c>
      <c r="D34" s="935">
        <v>327</v>
      </c>
      <c r="E34" s="935"/>
      <c r="F34" s="935"/>
      <c r="G34" s="935"/>
      <c r="H34" s="935"/>
      <c r="I34" s="935"/>
      <c r="J34" s="935"/>
      <c r="K34" s="935"/>
      <c r="L34" s="935"/>
      <c r="M34" s="935"/>
      <c r="O34" s="19" t="s">
        <v>19</v>
      </c>
      <c r="P34" s="19" t="s">
        <v>18</v>
      </c>
      <c r="Q34" s="7"/>
      <c r="R34" s="19"/>
      <c r="S34" s="19"/>
      <c r="T34" s="19"/>
      <c r="U34" s="19"/>
      <c r="V34" s="19"/>
      <c r="W34" s="19"/>
      <c r="X34" s="19"/>
      <c r="Y34" s="37"/>
      <c r="Z34" s="45"/>
      <c r="AA34" s="37"/>
      <c r="AB34" s="1325">
        <v>1.1600000000000001</v>
      </c>
      <c r="AC34" s="1325">
        <v>0.1353</v>
      </c>
      <c r="AD34" s="1325">
        <v>0.1353</v>
      </c>
      <c r="AE34" s="1326">
        <v>0.1547</v>
      </c>
      <c r="AF34" s="1326">
        <v>0.1547</v>
      </c>
      <c r="AG34" s="1325">
        <v>0.26300000000000001</v>
      </c>
      <c r="AH34" s="1325">
        <v>0.155</v>
      </c>
      <c r="AI34" s="1326">
        <v>0.60699999999999998</v>
      </c>
      <c r="AJ34" s="1326">
        <v>0.34300000000000003</v>
      </c>
      <c r="AK34" s="1325">
        <v>0.83800000000000008</v>
      </c>
      <c r="AL34" s="901"/>
      <c r="AM34" s="901"/>
      <c r="AN34" s="1327" t="s">
        <v>2923</v>
      </c>
      <c r="AO34" s="1327" t="s">
        <v>2924</v>
      </c>
      <c r="AP34" s="1327" t="s">
        <v>2925</v>
      </c>
      <c r="AQ34" s="1327" t="s">
        <v>2942</v>
      </c>
      <c r="AR34" s="1327"/>
      <c r="AS34" s="1327"/>
      <c r="AT34" s="1327"/>
      <c r="AU34" s="1327"/>
      <c r="AV34" s="1327"/>
      <c r="AW34" s="1327"/>
      <c r="AY34" s="1033">
        <v>0</v>
      </c>
      <c r="AZ34" s="1328">
        <v>2947.9405000000002</v>
      </c>
      <c r="BA34" s="1033">
        <v>3966.7210399999999</v>
      </c>
      <c r="BB34" s="1033">
        <v>3579.024488</v>
      </c>
      <c r="BC34" s="897"/>
      <c r="BD34" s="897"/>
      <c r="BE34" s="897"/>
      <c r="BF34" s="897"/>
      <c r="BG34" s="897"/>
      <c r="BH34" s="897"/>
      <c r="BI34" s="897"/>
      <c r="BJ34" s="897"/>
      <c r="BK34" s="897"/>
      <c r="BL34" s="897"/>
      <c r="BM34" s="897"/>
      <c r="BN34" s="897"/>
      <c r="BO34" s="897"/>
      <c r="BP34" s="897"/>
      <c r="BQ34" s="897"/>
      <c r="BR34" s="897"/>
      <c r="BS34" s="897"/>
      <c r="BT34" s="897"/>
      <c r="BU34" s="897"/>
      <c r="BV34" s="197"/>
      <c r="BW34" s="197"/>
      <c r="BX34" s="197"/>
      <c r="BY34" s="197"/>
      <c r="BZ34" s="197"/>
      <c r="CA34" s="197"/>
      <c r="CB34" s="197"/>
      <c r="CC34" s="197"/>
      <c r="CD34" s="197"/>
      <c r="CE34" s="197"/>
      <c r="CF34" s="197"/>
      <c r="CG34" s="197"/>
      <c r="CH34" s="197"/>
      <c r="CI34" s="197"/>
      <c r="CJ34" s="197"/>
      <c r="CK34" s="197"/>
      <c r="CL34" s="197"/>
      <c r="CM34" s="197"/>
      <c r="CN34" s="197"/>
      <c r="CO34" s="197"/>
      <c r="CP34" s="197"/>
      <c r="CQ34" s="197"/>
      <c r="CR34" s="896"/>
      <c r="CS34" s="896"/>
      <c r="CT34" s="896"/>
      <c r="CU34" s="896"/>
      <c r="CV34" s="896"/>
      <c r="CW34" s="896"/>
      <c r="CX34" s="896"/>
      <c r="CY34" s="896"/>
      <c r="CZ34" s="896"/>
      <c r="DA34" s="896"/>
      <c r="DB34" s="896"/>
      <c r="DC34" s="896"/>
      <c r="DD34" s="896"/>
      <c r="DE34" s="896"/>
      <c r="DF34" s="896"/>
      <c r="DG34" s="896"/>
      <c r="DH34" s="896"/>
      <c r="DI34" s="896"/>
      <c r="DJ34" s="896"/>
      <c r="DK34" s="896"/>
      <c r="DL34" s="896"/>
      <c r="DM34" s="896"/>
      <c r="DN34" s="896"/>
      <c r="DO34" s="896"/>
      <c r="DP34" s="896"/>
      <c r="DQ34" s="896"/>
      <c r="DR34" s="896"/>
      <c r="DS34" s="896"/>
      <c r="DT34" s="896"/>
      <c r="DU34" s="896"/>
      <c r="DV34" s="896"/>
      <c r="DW34" s="896"/>
      <c r="DX34" s="896"/>
      <c r="DY34" s="896"/>
      <c r="DZ34" s="896"/>
      <c r="EA34" s="896"/>
      <c r="EB34" s="896"/>
      <c r="EC34" s="896"/>
      <c r="ED34" s="896"/>
      <c r="EE34" s="896"/>
      <c r="EF34" s="896"/>
      <c r="EG34" s="896"/>
      <c r="EH34" s="896"/>
      <c r="EI34" s="896"/>
      <c r="EJ34" s="896"/>
      <c r="EK34" s="896"/>
      <c r="EL34" s="181"/>
      <c r="EM34" s="193"/>
      <c r="EN34" s="193"/>
      <c r="EO34" s="193"/>
      <c r="EP34" s="193"/>
      <c r="EQ34" s="193"/>
      <c r="ER34" s="193"/>
      <c r="ES34" s="193"/>
      <c r="ET34" s="193"/>
      <c r="EU34" s="193"/>
      <c r="EV34" s="193"/>
      <c r="EW34" s="193"/>
      <c r="EX34" s="193"/>
      <c r="EY34" s="193"/>
      <c r="EZ34" s="193"/>
      <c r="FA34" s="193"/>
      <c r="FB34" s="193"/>
      <c r="FC34" s="193"/>
      <c r="FD34" s="193"/>
      <c r="FE34" s="193"/>
      <c r="FF34" s="181"/>
      <c r="FG34" s="183"/>
      <c r="FH34" s="194"/>
      <c r="FI34" s="184"/>
      <c r="FJ34" s="184"/>
      <c r="FK34" s="184"/>
      <c r="FL34" s="184"/>
      <c r="FM34" s="184"/>
      <c r="FN34" s="184"/>
      <c r="FO34" s="184"/>
      <c r="FP34" s="184"/>
      <c r="FQ34" s="184"/>
      <c r="FR34" s="184"/>
      <c r="FS34" s="184"/>
      <c r="FT34" s="184"/>
      <c r="FU34" s="184"/>
      <c r="FV34" s="184"/>
      <c r="FW34" s="184"/>
      <c r="FX34" s="184"/>
      <c r="FY34" s="184"/>
      <c r="FZ34" s="184"/>
      <c r="GA34" s="184"/>
      <c r="GB34" s="185"/>
      <c r="GC34" s="195"/>
      <c r="GD34" s="183"/>
      <c r="GE34" s="186"/>
      <c r="GF34" s="186"/>
      <c r="GG34" s="186"/>
      <c r="GH34" s="186"/>
      <c r="GI34" s="186"/>
      <c r="GJ34" s="186"/>
      <c r="GK34" s="186"/>
      <c r="GL34" s="186"/>
      <c r="GM34" s="186"/>
      <c r="GN34" s="186"/>
      <c r="GO34" s="186"/>
      <c r="GP34" s="186"/>
      <c r="GQ34" s="186"/>
      <c r="GR34" s="186"/>
      <c r="GS34" s="186"/>
      <c r="GT34" s="186"/>
      <c r="GU34" s="186"/>
      <c r="GV34" s="186"/>
      <c r="GW34" s="186"/>
      <c r="GX34" s="186"/>
      <c r="GY34" s="186"/>
      <c r="GZ34" s="186"/>
      <c r="HA34" s="186"/>
      <c r="HB34" s="186"/>
      <c r="HC34" s="186"/>
      <c r="HD34" s="186"/>
      <c r="HE34" s="186"/>
      <c r="HF34" s="186"/>
      <c r="HG34" s="187"/>
      <c r="HH34" s="188"/>
      <c r="HI34" s="182"/>
      <c r="HJ34" s="182"/>
      <c r="HK34" s="182"/>
      <c r="HL34" s="182"/>
      <c r="HM34" s="189"/>
      <c r="HN34" s="189"/>
      <c r="HO34" s="190"/>
      <c r="HP34" s="191"/>
      <c r="HQ34" s="191"/>
      <c r="HR34" s="191"/>
      <c r="HS34" s="191"/>
      <c r="HT34" s="191"/>
      <c r="HU34" s="191"/>
      <c r="HV34" s="191"/>
      <c r="HW34" s="191"/>
      <c r="HX34" s="191"/>
      <c r="HY34" s="191"/>
      <c r="HZ34" s="191"/>
      <c r="IA34" s="191"/>
      <c r="IB34" s="191"/>
      <c r="IC34" s="191"/>
      <c r="ID34" s="191"/>
      <c r="IE34" s="192"/>
      <c r="IF34" s="192"/>
      <c r="IG34" s="192"/>
      <c r="IH34" s="192"/>
      <c r="II34" s="192"/>
      <c r="IJ34" s="192"/>
      <c r="IK34" s="192"/>
      <c r="IL34" s="192"/>
      <c r="IM34" s="192"/>
      <c r="IN34" s="192"/>
      <c r="IO34" s="192"/>
      <c r="IP34" s="192"/>
      <c r="IQ34" s="192"/>
      <c r="IR34" s="192"/>
      <c r="IS34" s="192"/>
      <c r="IT34" s="192"/>
      <c r="IU34" s="192"/>
      <c r="IV34" s="192"/>
    </row>
    <row r="35" spans="1:256" s="178" customFormat="1" ht="72" customHeight="1">
      <c r="A35" s="179"/>
      <c r="B35" s="1018" t="s">
        <v>2662</v>
      </c>
      <c r="C35" s="50" t="s">
        <v>2707</v>
      </c>
      <c r="D35" s="935">
        <v>334</v>
      </c>
      <c r="E35" s="935">
        <v>335</v>
      </c>
      <c r="F35" s="935"/>
      <c r="G35" s="935"/>
      <c r="H35" s="935"/>
      <c r="I35" s="935"/>
      <c r="J35" s="935"/>
      <c r="K35" s="935"/>
      <c r="L35" s="935"/>
      <c r="M35" s="935"/>
      <c r="O35" s="19" t="s">
        <v>13</v>
      </c>
      <c r="P35" s="19"/>
      <c r="Q35" s="19"/>
      <c r="R35" s="19"/>
      <c r="S35" s="19"/>
      <c r="T35" s="50"/>
      <c r="U35" s="50"/>
      <c r="V35" s="50"/>
      <c r="W35" s="50"/>
      <c r="X35" s="50"/>
      <c r="Y35" s="50"/>
      <c r="Z35" s="50"/>
      <c r="AA35" s="50"/>
      <c r="AB35" s="1325">
        <v>2.3150000000000004</v>
      </c>
      <c r="AC35" s="1325">
        <v>0.25867499999999999</v>
      </c>
      <c r="AD35" s="1325">
        <v>0.24648750000000003</v>
      </c>
      <c r="AE35" s="1326">
        <v>0.71819568965517244</v>
      </c>
      <c r="AF35" s="1326">
        <v>0.64507568965517237</v>
      </c>
      <c r="AG35" s="1325">
        <v>0.75712068965517243</v>
      </c>
      <c r="AH35" s="1325">
        <v>0.58894568965517247</v>
      </c>
      <c r="AI35" s="1326">
        <v>0.58100862068965531</v>
      </c>
      <c r="AJ35" s="1326">
        <v>0.47375862068965524</v>
      </c>
      <c r="AK35" s="1325">
        <v>2.3150000000000004</v>
      </c>
      <c r="AL35" s="901"/>
      <c r="AM35" s="901"/>
      <c r="AN35" s="1327" t="s">
        <v>2940</v>
      </c>
      <c r="AO35" s="1327" t="s">
        <v>2941</v>
      </c>
      <c r="AP35" s="1327" t="s">
        <v>2926</v>
      </c>
      <c r="AQ35" s="1327" t="s">
        <v>2927</v>
      </c>
      <c r="AR35" s="1327" t="s">
        <v>2928</v>
      </c>
      <c r="AS35" s="1327" t="s">
        <v>2929</v>
      </c>
      <c r="AT35" s="1327"/>
      <c r="AU35" s="1327"/>
      <c r="AV35" s="178" t="s">
        <v>2930</v>
      </c>
      <c r="AY35" s="1328">
        <v>8210.7226480000008</v>
      </c>
      <c r="AZ35" s="1328">
        <v>13226.356502000001</v>
      </c>
      <c r="BA35" s="1033">
        <v>8634.5059600000004</v>
      </c>
      <c r="BB35" s="1033">
        <v>21738.301259</v>
      </c>
      <c r="BC35" s="897"/>
      <c r="BD35" s="897"/>
      <c r="BE35" s="897"/>
      <c r="BF35" s="897"/>
      <c r="BG35" s="897"/>
      <c r="BH35" s="897"/>
      <c r="BI35" s="897"/>
      <c r="BJ35" s="897"/>
      <c r="BK35" s="897"/>
      <c r="BL35" s="897"/>
      <c r="BM35" s="897"/>
      <c r="BN35" s="897"/>
      <c r="BO35" s="897"/>
      <c r="BP35" s="897"/>
      <c r="BQ35" s="897"/>
      <c r="BR35" s="897"/>
      <c r="BS35" s="897"/>
      <c r="BT35" s="897"/>
      <c r="BU35" s="897"/>
      <c r="BV35" s="197"/>
      <c r="BW35" s="197"/>
      <c r="BX35" s="197"/>
      <c r="BY35" s="197"/>
      <c r="BZ35" s="197"/>
      <c r="CA35" s="197"/>
      <c r="CB35" s="197"/>
      <c r="CC35" s="197"/>
      <c r="CD35" s="197"/>
      <c r="CE35" s="197"/>
      <c r="CF35" s="197"/>
      <c r="CG35" s="197"/>
      <c r="CH35" s="197"/>
      <c r="CI35" s="197"/>
      <c r="CJ35" s="197"/>
      <c r="CK35" s="197"/>
      <c r="CL35" s="197"/>
      <c r="CM35" s="197"/>
      <c r="CN35" s="197"/>
      <c r="CO35" s="197"/>
      <c r="CP35" s="197"/>
      <c r="CQ35" s="197"/>
      <c r="CR35" s="896"/>
      <c r="CS35" s="896"/>
      <c r="CT35" s="896"/>
      <c r="CU35" s="896"/>
      <c r="CV35" s="896"/>
      <c r="CW35" s="896"/>
      <c r="CX35" s="896"/>
      <c r="CY35" s="896"/>
      <c r="CZ35" s="896"/>
      <c r="DA35" s="896"/>
      <c r="DB35" s="896"/>
      <c r="DC35" s="896"/>
      <c r="DD35" s="896"/>
      <c r="DE35" s="896"/>
      <c r="DF35" s="896"/>
      <c r="DG35" s="896"/>
      <c r="DH35" s="896"/>
      <c r="DI35" s="896"/>
      <c r="DJ35" s="896"/>
      <c r="DK35" s="896"/>
      <c r="DL35" s="896"/>
      <c r="DM35" s="896"/>
      <c r="DN35" s="896"/>
      <c r="DO35" s="896"/>
      <c r="DP35" s="896"/>
      <c r="DQ35" s="896"/>
      <c r="DR35" s="896"/>
      <c r="DS35" s="896"/>
      <c r="DT35" s="896"/>
      <c r="DU35" s="896"/>
      <c r="DV35" s="896"/>
      <c r="DW35" s="896"/>
      <c r="DX35" s="896"/>
      <c r="DY35" s="896"/>
      <c r="DZ35" s="896"/>
      <c r="EA35" s="896"/>
      <c r="EB35" s="896"/>
      <c r="EC35" s="896"/>
      <c r="ED35" s="896"/>
      <c r="EE35" s="896"/>
      <c r="EF35" s="896"/>
      <c r="EG35" s="896"/>
      <c r="EH35" s="896"/>
      <c r="EI35" s="896"/>
      <c r="EJ35" s="896"/>
      <c r="EK35" s="896"/>
      <c r="EL35" s="181"/>
      <c r="EM35" s="193"/>
      <c r="EN35" s="193"/>
      <c r="EO35" s="193"/>
      <c r="EP35" s="193"/>
      <c r="EQ35" s="193"/>
      <c r="ER35" s="193"/>
      <c r="ES35" s="193"/>
      <c r="ET35" s="193"/>
      <c r="EU35" s="193"/>
      <c r="EV35" s="193"/>
      <c r="EW35" s="193"/>
      <c r="EX35" s="193"/>
      <c r="EY35" s="193"/>
      <c r="EZ35" s="193"/>
      <c r="FA35" s="193"/>
      <c r="FB35" s="193"/>
      <c r="FC35" s="193"/>
      <c r="FD35" s="193"/>
      <c r="FE35" s="193"/>
      <c r="FF35" s="181"/>
      <c r="FG35" s="183"/>
      <c r="FH35" s="194"/>
      <c r="FI35" s="184"/>
      <c r="FJ35" s="184"/>
      <c r="FK35" s="184"/>
      <c r="FL35" s="184"/>
      <c r="FM35" s="184"/>
      <c r="FN35" s="184"/>
      <c r="FO35" s="184"/>
      <c r="FP35" s="184"/>
      <c r="FQ35" s="184"/>
      <c r="FR35" s="184"/>
      <c r="FS35" s="184"/>
      <c r="FT35" s="184"/>
      <c r="FU35" s="184"/>
      <c r="FV35" s="184"/>
      <c r="FW35" s="184"/>
      <c r="FX35" s="184"/>
      <c r="FY35" s="184"/>
      <c r="FZ35" s="184"/>
      <c r="GA35" s="184"/>
      <c r="GB35" s="185"/>
      <c r="GC35" s="195"/>
      <c r="GD35" s="183"/>
      <c r="GE35" s="186"/>
      <c r="GF35" s="186"/>
      <c r="GG35" s="186"/>
      <c r="GH35" s="186"/>
      <c r="GI35" s="186"/>
      <c r="GJ35" s="186"/>
      <c r="GK35" s="186"/>
      <c r="GL35" s="186"/>
      <c r="GM35" s="186"/>
      <c r="GN35" s="186"/>
      <c r="GO35" s="186"/>
      <c r="GP35" s="186"/>
      <c r="GQ35" s="186"/>
      <c r="GR35" s="186"/>
      <c r="GS35" s="186"/>
      <c r="GT35" s="186"/>
      <c r="GU35" s="186"/>
      <c r="GV35" s="186"/>
      <c r="GW35" s="186"/>
      <c r="GX35" s="186"/>
      <c r="GY35" s="186"/>
      <c r="GZ35" s="186"/>
      <c r="HA35" s="186"/>
      <c r="HB35" s="186"/>
      <c r="HC35" s="186"/>
      <c r="HD35" s="186"/>
      <c r="HE35" s="186"/>
      <c r="HF35" s="186"/>
      <c r="HG35" s="187"/>
      <c r="HH35" s="188"/>
      <c r="HI35" s="182"/>
      <c r="HJ35" s="182"/>
      <c r="HK35" s="182"/>
      <c r="HL35" s="182"/>
      <c r="HM35" s="189"/>
      <c r="HN35" s="189"/>
      <c r="HO35" s="190"/>
      <c r="HP35" s="191"/>
      <c r="HQ35" s="191"/>
      <c r="HR35" s="191"/>
      <c r="HS35" s="191"/>
      <c r="HT35" s="191"/>
      <c r="HU35" s="191"/>
      <c r="HV35" s="191"/>
      <c r="HW35" s="191"/>
      <c r="HX35" s="191"/>
      <c r="HY35" s="191"/>
      <c r="HZ35" s="191"/>
      <c r="IA35" s="191"/>
      <c r="IB35" s="191"/>
      <c r="IC35" s="191"/>
      <c r="ID35" s="191"/>
      <c r="IE35" s="192"/>
      <c r="IF35" s="192"/>
      <c r="IG35" s="192"/>
      <c r="IH35" s="192"/>
      <c r="II35" s="192"/>
      <c r="IJ35" s="192"/>
      <c r="IK35" s="192"/>
      <c r="IL35" s="192"/>
      <c r="IM35" s="192"/>
      <c r="IN35" s="192"/>
      <c r="IO35" s="192"/>
      <c r="IP35" s="192"/>
      <c r="IQ35" s="192"/>
      <c r="IR35" s="192"/>
      <c r="IS35" s="192"/>
      <c r="IT35" s="192"/>
      <c r="IU35" s="192"/>
      <c r="IV35" s="192"/>
    </row>
    <row r="36" spans="1:256" s="178" customFormat="1" ht="45" customHeight="1">
      <c r="A36" s="179"/>
      <c r="B36" s="1018" t="s">
        <v>2794</v>
      </c>
      <c r="C36" s="50" t="s">
        <v>2708</v>
      </c>
      <c r="D36" s="935">
        <v>347</v>
      </c>
      <c r="E36" s="935">
        <v>348</v>
      </c>
      <c r="F36" s="935"/>
      <c r="G36" s="935"/>
      <c r="H36" s="935"/>
      <c r="I36" s="935"/>
      <c r="J36" s="935"/>
      <c r="K36" s="935"/>
      <c r="L36" s="935"/>
      <c r="M36" s="935"/>
      <c r="O36" s="19" t="s">
        <v>2755</v>
      </c>
      <c r="P36" s="19" t="s">
        <v>39</v>
      </c>
      <c r="Q36" s="19"/>
      <c r="R36" s="19"/>
      <c r="S36" s="19"/>
      <c r="T36" s="19"/>
      <c r="U36" s="19"/>
      <c r="V36" s="19"/>
      <c r="W36" s="19"/>
      <c r="X36" s="19"/>
      <c r="Y36" s="37"/>
      <c r="Z36" s="50"/>
      <c r="AA36" s="37"/>
      <c r="AB36" s="1326">
        <v>2.74</v>
      </c>
      <c r="AC36" s="1326">
        <v>7.6060606060606065E-2</v>
      </c>
      <c r="AD36" s="1326">
        <v>5.3333333333333337E-2</v>
      </c>
      <c r="AE36" s="1326">
        <v>0.60095291672024342</v>
      </c>
      <c r="AF36" s="1326">
        <v>0.55970291672024353</v>
      </c>
      <c r="AG36" s="1326">
        <v>0.7728639044618747</v>
      </c>
      <c r="AH36" s="1326">
        <v>0.49801692538144204</v>
      </c>
      <c r="AI36" s="1326">
        <v>1.2901225727572756</v>
      </c>
      <c r="AJ36" s="1326">
        <v>0.69254837362307653</v>
      </c>
      <c r="AK36" s="1326">
        <v>2.3139919527534816</v>
      </c>
      <c r="AL36" s="901"/>
      <c r="AM36" s="901"/>
      <c r="AN36" s="1327" t="s">
        <v>2931</v>
      </c>
      <c r="AO36" s="1327" t="s">
        <v>2932</v>
      </c>
      <c r="AP36" s="1327" t="s">
        <v>2933</v>
      </c>
      <c r="AQ36" s="1327" t="s">
        <v>2934</v>
      </c>
      <c r="AR36" s="1327" t="s">
        <v>2935</v>
      </c>
      <c r="AS36" s="1327" t="s">
        <v>2936</v>
      </c>
      <c r="AT36" s="1327" t="s">
        <v>2937</v>
      </c>
      <c r="AU36" s="1327" t="s">
        <v>2938</v>
      </c>
      <c r="AV36" s="1327" t="s">
        <v>2939</v>
      </c>
      <c r="AW36" s="1327"/>
      <c r="AY36" s="1328">
        <v>7501.4071800000002</v>
      </c>
      <c r="AZ36" s="1328">
        <v>6813.4319340000002</v>
      </c>
      <c r="BA36" s="1033">
        <v>10163.023377</v>
      </c>
      <c r="BB36" s="1033">
        <v>15972.166531999999</v>
      </c>
      <c r="BC36" s="897"/>
      <c r="BD36" s="897"/>
      <c r="BE36" s="897"/>
      <c r="BF36" s="897"/>
      <c r="BG36" s="897"/>
      <c r="BH36" s="897"/>
      <c r="BI36" s="897"/>
      <c r="BJ36" s="897"/>
      <c r="BK36" s="897"/>
      <c r="BL36" s="897"/>
      <c r="BM36" s="897"/>
      <c r="BN36" s="897"/>
      <c r="BO36" s="897"/>
      <c r="BP36" s="897"/>
      <c r="BQ36" s="897"/>
      <c r="BR36" s="897"/>
      <c r="BS36" s="897"/>
      <c r="BT36" s="897"/>
      <c r="BU36" s="897"/>
      <c r="BV36" s="197"/>
      <c r="BW36" s="197"/>
      <c r="BX36" s="197"/>
      <c r="BY36" s="197"/>
      <c r="BZ36" s="197"/>
      <c r="CA36" s="197"/>
      <c r="CB36" s="197"/>
      <c r="CC36" s="197"/>
      <c r="CD36" s="197"/>
      <c r="CE36" s="197"/>
      <c r="CF36" s="197"/>
      <c r="CG36" s="197"/>
      <c r="CH36" s="197"/>
      <c r="CI36" s="197"/>
      <c r="CJ36" s="197"/>
      <c r="CK36" s="197"/>
      <c r="CL36" s="197"/>
      <c r="CM36" s="197"/>
      <c r="CN36" s="197"/>
      <c r="CO36" s="197"/>
      <c r="CP36" s="197"/>
      <c r="CQ36" s="197"/>
      <c r="CR36" s="896"/>
      <c r="CS36" s="896"/>
      <c r="CT36" s="896"/>
      <c r="CU36" s="896"/>
      <c r="CV36" s="896"/>
      <c r="CW36" s="896"/>
      <c r="CX36" s="896"/>
      <c r="CY36" s="896"/>
      <c r="CZ36" s="896"/>
      <c r="DA36" s="896"/>
      <c r="DB36" s="896"/>
      <c r="DC36" s="896"/>
      <c r="DD36" s="896"/>
      <c r="DE36" s="896"/>
      <c r="DF36" s="896"/>
      <c r="DG36" s="896"/>
      <c r="DH36" s="896"/>
      <c r="DI36" s="896"/>
      <c r="DJ36" s="896"/>
      <c r="DK36" s="896"/>
      <c r="DL36" s="896"/>
      <c r="DM36" s="896"/>
      <c r="DN36" s="896"/>
      <c r="DO36" s="896"/>
      <c r="DP36" s="896"/>
      <c r="DQ36" s="896"/>
      <c r="DR36" s="896"/>
      <c r="DS36" s="896"/>
      <c r="DT36" s="896"/>
      <c r="DU36" s="896"/>
      <c r="DV36" s="896"/>
      <c r="DW36" s="896"/>
      <c r="DX36" s="896"/>
      <c r="DY36" s="896"/>
      <c r="DZ36" s="896"/>
      <c r="EA36" s="896"/>
      <c r="EB36" s="896"/>
      <c r="EC36" s="896"/>
      <c r="ED36" s="896"/>
      <c r="EE36" s="896"/>
      <c r="EF36" s="896"/>
      <c r="EG36" s="896"/>
      <c r="EH36" s="896"/>
      <c r="EI36" s="896"/>
      <c r="EJ36" s="896"/>
      <c r="EK36" s="896"/>
      <c r="EL36" s="181"/>
      <c r="EM36" s="193"/>
      <c r="EN36" s="193"/>
      <c r="EO36" s="193"/>
      <c r="EP36" s="193"/>
      <c r="EQ36" s="193"/>
      <c r="ER36" s="193"/>
      <c r="ES36" s="193"/>
      <c r="ET36" s="193"/>
      <c r="EU36" s="193"/>
      <c r="EV36" s="193"/>
      <c r="EW36" s="193"/>
      <c r="EX36" s="193"/>
      <c r="EY36" s="193"/>
      <c r="EZ36" s="193"/>
      <c r="FA36" s="193"/>
      <c r="FB36" s="193"/>
      <c r="FC36" s="193"/>
      <c r="FD36" s="193"/>
      <c r="FE36" s="193"/>
      <c r="FF36" s="181"/>
      <c r="FG36" s="183"/>
      <c r="FH36" s="194"/>
      <c r="FI36" s="184"/>
      <c r="FJ36" s="184"/>
      <c r="FK36" s="184"/>
      <c r="FL36" s="184"/>
      <c r="FM36" s="184"/>
      <c r="FN36" s="184"/>
      <c r="FO36" s="184"/>
      <c r="FP36" s="184"/>
      <c r="FQ36" s="184"/>
      <c r="FR36" s="184"/>
      <c r="FS36" s="184"/>
      <c r="FT36" s="184"/>
      <c r="FU36" s="184"/>
      <c r="FV36" s="184"/>
      <c r="FW36" s="184"/>
      <c r="FX36" s="184"/>
      <c r="FY36" s="184"/>
      <c r="FZ36" s="184"/>
      <c r="GA36" s="184"/>
      <c r="GB36" s="185"/>
      <c r="GC36" s="195"/>
      <c r="GD36" s="183"/>
      <c r="GE36" s="186"/>
      <c r="GF36" s="186"/>
      <c r="GG36" s="186"/>
      <c r="GH36" s="186"/>
      <c r="GI36" s="186"/>
      <c r="GJ36" s="186"/>
      <c r="GK36" s="186"/>
      <c r="GL36" s="186"/>
      <c r="GM36" s="186"/>
      <c r="GN36" s="186"/>
      <c r="GO36" s="186"/>
      <c r="GP36" s="186"/>
      <c r="GQ36" s="186"/>
      <c r="GR36" s="186"/>
      <c r="GS36" s="186"/>
      <c r="GT36" s="186"/>
      <c r="GU36" s="186"/>
      <c r="GV36" s="186"/>
      <c r="GW36" s="186"/>
      <c r="GX36" s="186"/>
      <c r="GY36" s="186"/>
      <c r="GZ36" s="186"/>
      <c r="HA36" s="186"/>
      <c r="HB36" s="186"/>
      <c r="HC36" s="186"/>
      <c r="HD36" s="186"/>
      <c r="HE36" s="186"/>
      <c r="HF36" s="186"/>
      <c r="HG36" s="187"/>
      <c r="HH36" s="188"/>
      <c r="HI36" s="182"/>
      <c r="HJ36" s="182"/>
      <c r="HK36" s="182"/>
      <c r="HL36" s="182"/>
      <c r="HM36" s="189"/>
      <c r="HN36" s="189"/>
      <c r="HO36" s="190"/>
      <c r="HP36" s="191"/>
      <c r="HQ36" s="191"/>
      <c r="HR36" s="191"/>
      <c r="HS36" s="191"/>
      <c r="HT36" s="191"/>
      <c r="HU36" s="191"/>
      <c r="HV36" s="191"/>
      <c r="HW36" s="191"/>
      <c r="HX36" s="191"/>
      <c r="HY36" s="191"/>
      <c r="HZ36" s="191"/>
      <c r="IA36" s="191"/>
      <c r="IB36" s="191"/>
      <c r="IC36" s="191"/>
      <c r="ID36" s="191"/>
      <c r="IE36" s="192"/>
      <c r="IF36" s="192"/>
      <c r="IG36" s="192"/>
      <c r="IH36" s="192"/>
      <c r="II36" s="192"/>
      <c r="IJ36" s="192"/>
      <c r="IK36" s="192"/>
      <c r="IL36" s="192"/>
      <c r="IM36" s="192"/>
      <c r="IN36" s="192"/>
      <c r="IO36" s="192"/>
      <c r="IP36" s="192"/>
      <c r="IQ36" s="192"/>
      <c r="IR36" s="192"/>
      <c r="IS36" s="192"/>
      <c r="IT36" s="192"/>
      <c r="IU36" s="192"/>
      <c r="IV36" s="192"/>
    </row>
    <row r="37" spans="1:256" s="178" customFormat="1" ht="45" customHeight="1">
      <c r="A37" s="179"/>
      <c r="B37" s="1018" t="s">
        <v>2664</v>
      </c>
      <c r="C37" s="50" t="s">
        <v>2709</v>
      </c>
      <c r="D37" s="935">
        <v>359</v>
      </c>
      <c r="E37" s="935">
        <v>360</v>
      </c>
      <c r="F37" s="935"/>
      <c r="G37" s="935"/>
      <c r="H37" s="935"/>
      <c r="I37" s="935"/>
      <c r="J37" s="935"/>
      <c r="K37" s="935"/>
      <c r="L37" s="935"/>
      <c r="M37" s="935"/>
      <c r="O37" s="19" t="s">
        <v>16</v>
      </c>
      <c r="P37" s="19"/>
      <c r="Q37" s="7"/>
      <c r="R37" s="19"/>
      <c r="S37" s="19"/>
      <c r="T37" s="19"/>
      <c r="U37" s="19"/>
      <c r="V37" s="19"/>
      <c r="W37" s="19"/>
      <c r="X37" s="19"/>
      <c r="Y37" s="39"/>
      <c r="Z37" s="50"/>
      <c r="AA37" s="37"/>
      <c r="AB37" s="1325">
        <v>2.7340000000000004</v>
      </c>
      <c r="AC37" s="1325">
        <v>0.62975000000000003</v>
      </c>
      <c r="AD37" s="1325">
        <v>0.62975000000000003</v>
      </c>
      <c r="AE37" s="1326">
        <v>0.73450000000000004</v>
      </c>
      <c r="AF37" s="1326">
        <v>0.61234250000000001</v>
      </c>
      <c r="AG37" s="1325">
        <v>0.7097500000000001</v>
      </c>
      <c r="AH37" s="1325">
        <v>0.61246379919433591</v>
      </c>
      <c r="AI37" s="1326">
        <v>0.66</v>
      </c>
      <c r="AJ37" s="1326">
        <v>0.57668160000000002</v>
      </c>
      <c r="AK37" s="1325">
        <v>2.7340000000000004</v>
      </c>
      <c r="AL37" s="901"/>
      <c r="AM37" s="901"/>
      <c r="AN37" s="1327" t="s">
        <v>2943</v>
      </c>
      <c r="AO37" s="1327" t="s">
        <v>2944</v>
      </c>
      <c r="AP37" s="1327" t="s">
        <v>2945</v>
      </c>
      <c r="AQ37" s="1327" t="s">
        <v>2946</v>
      </c>
      <c r="AR37" s="1327" t="s">
        <v>2947</v>
      </c>
      <c r="AS37" s="1327" t="s">
        <v>2948</v>
      </c>
      <c r="AT37" s="1327" t="s">
        <v>2949</v>
      </c>
      <c r="AU37" s="1327" t="s">
        <v>2950</v>
      </c>
      <c r="AV37" s="1327" t="s">
        <v>2951</v>
      </c>
      <c r="AW37" s="1327" t="s">
        <v>2952</v>
      </c>
      <c r="AY37" s="1328">
        <v>1886.750485</v>
      </c>
      <c r="AZ37" s="1328">
        <v>2705.3306990000001</v>
      </c>
      <c r="BA37" s="1033">
        <v>3139.9788020000001</v>
      </c>
      <c r="BB37" s="1033">
        <v>3451.008648</v>
      </c>
      <c r="BC37" s="897"/>
      <c r="BD37" s="897"/>
      <c r="BE37" s="897"/>
      <c r="BF37" s="897"/>
      <c r="BG37" s="897"/>
      <c r="BH37" s="897"/>
      <c r="BI37" s="897"/>
      <c r="BJ37" s="897"/>
      <c r="BK37" s="897"/>
      <c r="BL37" s="897"/>
      <c r="BM37" s="897"/>
      <c r="BN37" s="897"/>
      <c r="BO37" s="897"/>
      <c r="BP37" s="897"/>
      <c r="BQ37" s="897"/>
      <c r="BR37" s="897"/>
      <c r="BS37" s="897"/>
      <c r="BT37" s="897"/>
      <c r="BU37" s="897"/>
      <c r="BV37" s="197"/>
      <c r="BW37" s="197"/>
      <c r="BX37" s="197"/>
      <c r="BY37" s="197"/>
      <c r="BZ37" s="197"/>
      <c r="CA37" s="197"/>
      <c r="CB37" s="197"/>
      <c r="CC37" s="197"/>
      <c r="CD37" s="197"/>
      <c r="CE37" s="197"/>
      <c r="CF37" s="197"/>
      <c r="CG37" s="197"/>
      <c r="CH37" s="197"/>
      <c r="CI37" s="197"/>
      <c r="CJ37" s="197"/>
      <c r="CK37" s="197"/>
      <c r="CL37" s="197"/>
      <c r="CM37" s="197"/>
      <c r="CN37" s="197"/>
      <c r="CO37" s="197"/>
      <c r="CP37" s="197"/>
      <c r="CQ37" s="197"/>
      <c r="CR37" s="896"/>
      <c r="CS37" s="896"/>
      <c r="CT37" s="896"/>
      <c r="CU37" s="896"/>
      <c r="CV37" s="896"/>
      <c r="CW37" s="896"/>
      <c r="CX37" s="896"/>
      <c r="CY37" s="896"/>
      <c r="CZ37" s="896"/>
      <c r="DA37" s="896"/>
      <c r="DB37" s="896"/>
      <c r="DC37" s="896"/>
      <c r="DD37" s="896"/>
      <c r="DE37" s="896"/>
      <c r="DF37" s="896"/>
      <c r="DG37" s="896"/>
      <c r="DH37" s="896"/>
      <c r="DI37" s="896"/>
      <c r="DJ37" s="896"/>
      <c r="DK37" s="896"/>
      <c r="DL37" s="896"/>
      <c r="DM37" s="896"/>
      <c r="DN37" s="896"/>
      <c r="DO37" s="896"/>
      <c r="DP37" s="896"/>
      <c r="DQ37" s="896"/>
      <c r="DR37" s="896"/>
      <c r="DS37" s="896"/>
      <c r="DT37" s="896"/>
      <c r="DU37" s="896"/>
      <c r="DV37" s="896"/>
      <c r="DW37" s="896"/>
      <c r="DX37" s="896"/>
      <c r="DY37" s="896"/>
      <c r="DZ37" s="896"/>
      <c r="EA37" s="896"/>
      <c r="EB37" s="896"/>
      <c r="EC37" s="896"/>
      <c r="ED37" s="896"/>
      <c r="EE37" s="896"/>
      <c r="EF37" s="896"/>
      <c r="EG37" s="896"/>
      <c r="EH37" s="896"/>
      <c r="EI37" s="896"/>
      <c r="EJ37" s="896"/>
      <c r="EK37" s="896"/>
      <c r="EL37" s="181"/>
      <c r="EM37" s="193"/>
      <c r="EN37" s="193"/>
      <c r="EO37" s="193"/>
      <c r="EP37" s="193"/>
      <c r="EQ37" s="193"/>
      <c r="ER37" s="193"/>
      <c r="ES37" s="193"/>
      <c r="ET37" s="193"/>
      <c r="EU37" s="193"/>
      <c r="EV37" s="193"/>
      <c r="EW37" s="193"/>
      <c r="EX37" s="193"/>
      <c r="EY37" s="193"/>
      <c r="EZ37" s="193"/>
      <c r="FA37" s="193"/>
      <c r="FB37" s="193"/>
      <c r="FC37" s="193"/>
      <c r="FD37" s="193"/>
      <c r="FE37" s="193"/>
      <c r="FF37" s="181"/>
      <c r="FG37" s="183"/>
      <c r="FH37" s="194"/>
      <c r="FI37" s="184"/>
      <c r="FJ37" s="184"/>
      <c r="FK37" s="184"/>
      <c r="FL37" s="184"/>
      <c r="FM37" s="184"/>
      <c r="FN37" s="184"/>
      <c r="FO37" s="184"/>
      <c r="FP37" s="184"/>
      <c r="FQ37" s="184"/>
      <c r="FR37" s="184"/>
      <c r="FS37" s="184"/>
      <c r="FT37" s="184"/>
      <c r="FU37" s="184"/>
      <c r="FV37" s="184"/>
      <c r="FW37" s="184"/>
      <c r="FX37" s="184"/>
      <c r="FY37" s="184"/>
      <c r="FZ37" s="184"/>
      <c r="GA37" s="184"/>
      <c r="GB37" s="185"/>
      <c r="GC37" s="195"/>
      <c r="GD37" s="183"/>
      <c r="GE37" s="186"/>
      <c r="GF37" s="186"/>
      <c r="GG37" s="186"/>
      <c r="GH37" s="186"/>
      <c r="GI37" s="186"/>
      <c r="GJ37" s="186"/>
      <c r="GK37" s="186"/>
      <c r="GL37" s="186"/>
      <c r="GM37" s="186"/>
      <c r="GN37" s="186"/>
      <c r="GO37" s="186"/>
      <c r="GP37" s="186"/>
      <c r="GQ37" s="186"/>
      <c r="GR37" s="186"/>
      <c r="GS37" s="186"/>
      <c r="GT37" s="186"/>
      <c r="GU37" s="186"/>
      <c r="GV37" s="186"/>
      <c r="GW37" s="186"/>
      <c r="GX37" s="186"/>
      <c r="GY37" s="186"/>
      <c r="GZ37" s="186"/>
      <c r="HA37" s="186"/>
      <c r="HB37" s="186"/>
      <c r="HC37" s="186"/>
      <c r="HD37" s="186"/>
      <c r="HE37" s="186"/>
      <c r="HF37" s="186"/>
      <c r="HG37" s="187"/>
      <c r="HH37" s="188"/>
      <c r="HI37" s="182"/>
      <c r="HJ37" s="182"/>
      <c r="HK37" s="182"/>
      <c r="HL37" s="182"/>
      <c r="HM37" s="189"/>
      <c r="HN37" s="189"/>
      <c r="HO37" s="190"/>
      <c r="HP37" s="191"/>
      <c r="HQ37" s="191"/>
      <c r="HR37" s="191"/>
      <c r="HS37" s="191"/>
      <c r="HT37" s="191"/>
      <c r="HU37" s="191"/>
      <c r="HV37" s="191"/>
      <c r="HW37" s="191"/>
      <c r="HX37" s="191"/>
      <c r="HY37" s="191"/>
      <c r="HZ37" s="191"/>
      <c r="IA37" s="191"/>
      <c r="IB37" s="191"/>
      <c r="IC37" s="191"/>
      <c r="ID37" s="191"/>
      <c r="IE37" s="192"/>
      <c r="IF37" s="192"/>
      <c r="IG37" s="192"/>
      <c r="IH37" s="192"/>
      <c r="II37" s="192"/>
      <c r="IJ37" s="192"/>
      <c r="IK37" s="192"/>
      <c r="IL37" s="192"/>
      <c r="IM37" s="192"/>
      <c r="IN37" s="192"/>
      <c r="IO37" s="192"/>
      <c r="IP37" s="192"/>
      <c r="IQ37" s="192"/>
      <c r="IR37" s="192"/>
      <c r="IS37" s="192"/>
      <c r="IT37" s="192"/>
      <c r="IU37" s="192"/>
      <c r="IV37" s="192"/>
    </row>
    <row r="38" spans="1:256" s="178" customFormat="1" ht="45" customHeight="1">
      <c r="A38" s="179"/>
      <c r="B38" s="1018" t="s">
        <v>2665</v>
      </c>
      <c r="C38" s="50" t="s">
        <v>2710</v>
      </c>
      <c r="D38" s="935">
        <v>375</v>
      </c>
      <c r="E38" s="935"/>
      <c r="F38" s="935"/>
      <c r="G38" s="935"/>
      <c r="H38" s="935"/>
      <c r="I38" s="935"/>
      <c r="J38" s="935"/>
      <c r="K38" s="935"/>
      <c r="L38" s="935"/>
      <c r="M38" s="935"/>
      <c r="O38" s="19" t="s">
        <v>16</v>
      </c>
      <c r="P38" s="19"/>
      <c r="Q38" s="19"/>
      <c r="R38" s="19"/>
      <c r="S38" s="19"/>
      <c r="T38" s="19"/>
      <c r="U38" s="19"/>
      <c r="V38" s="19"/>
      <c r="W38" s="19"/>
      <c r="X38" s="19"/>
      <c r="Y38" s="39"/>
      <c r="Z38" s="50"/>
      <c r="AA38" s="37"/>
      <c r="AB38" s="1325">
        <v>2.1500000000000004</v>
      </c>
      <c r="AC38" s="1325">
        <v>0.30430996472663141</v>
      </c>
      <c r="AD38" s="1325">
        <v>0.30430996472663141</v>
      </c>
      <c r="AE38" s="1326">
        <v>0.61171693121693127</v>
      </c>
      <c r="AF38" s="1326">
        <v>0.51191693121693127</v>
      </c>
      <c r="AG38" s="1325">
        <v>0.64334193121693117</v>
      </c>
      <c r="AH38" s="1325">
        <v>0.52373478835978837</v>
      </c>
      <c r="AI38" s="1326">
        <v>0.59063117283950617</v>
      </c>
      <c r="AJ38" s="1326">
        <v>0.31678104056437395</v>
      </c>
      <c r="AK38" s="1325">
        <v>2.1500000000000004</v>
      </c>
      <c r="AL38" s="901"/>
      <c r="AM38" s="901"/>
      <c r="AN38" s="1327" t="s">
        <v>2953</v>
      </c>
      <c r="AO38" s="1327" t="s">
        <v>2954</v>
      </c>
      <c r="AP38" s="1327" t="s">
        <v>2955</v>
      </c>
      <c r="AQ38" s="1327" t="s">
        <v>2956</v>
      </c>
      <c r="AR38" s="1327" t="s">
        <v>2957</v>
      </c>
      <c r="AS38" s="1327" t="s">
        <v>2958</v>
      </c>
      <c r="AT38" s="1327" t="s">
        <v>2959</v>
      </c>
      <c r="AU38" s="1327"/>
      <c r="AV38" s="1327"/>
      <c r="AW38" s="1327"/>
      <c r="AY38" s="1328">
        <v>83</v>
      </c>
      <c r="AZ38" s="1328">
        <v>590.91557999999998</v>
      </c>
      <c r="BA38" s="1033">
        <v>679.57974000000002</v>
      </c>
      <c r="BB38" s="1033">
        <v>3285.0648489999999</v>
      </c>
      <c r="BC38" s="897"/>
      <c r="BD38" s="897"/>
      <c r="BE38" s="897"/>
      <c r="BF38" s="897"/>
      <c r="BG38" s="897"/>
      <c r="BH38" s="897"/>
      <c r="BI38" s="897"/>
      <c r="BJ38" s="897"/>
      <c r="BK38" s="897"/>
      <c r="BL38" s="897"/>
      <c r="BM38" s="897"/>
      <c r="BN38" s="897"/>
      <c r="BO38" s="897"/>
      <c r="BP38" s="897"/>
      <c r="BQ38" s="897"/>
      <c r="BR38" s="897"/>
      <c r="BS38" s="897"/>
      <c r="BT38" s="897"/>
      <c r="BU38" s="897"/>
      <c r="BV38" s="197"/>
      <c r="BW38" s="197"/>
      <c r="BX38" s="197"/>
      <c r="BY38" s="197"/>
      <c r="BZ38" s="197"/>
      <c r="CA38" s="197"/>
      <c r="CB38" s="197"/>
      <c r="CC38" s="197"/>
      <c r="CD38" s="197"/>
      <c r="CE38" s="197"/>
      <c r="CF38" s="197"/>
      <c r="CG38" s="197"/>
      <c r="CH38" s="197"/>
      <c r="CI38" s="197"/>
      <c r="CJ38" s="197"/>
      <c r="CK38" s="197"/>
      <c r="CL38" s="197"/>
      <c r="CM38" s="197"/>
      <c r="CN38" s="197"/>
      <c r="CO38" s="197"/>
      <c r="CP38" s="197"/>
      <c r="CQ38" s="197"/>
      <c r="CR38" s="896"/>
      <c r="CS38" s="896"/>
      <c r="CT38" s="896"/>
      <c r="CU38" s="896"/>
      <c r="CV38" s="896"/>
      <c r="CW38" s="896"/>
      <c r="CX38" s="896"/>
      <c r="CY38" s="896"/>
      <c r="CZ38" s="896"/>
      <c r="DA38" s="896"/>
      <c r="DB38" s="896"/>
      <c r="DC38" s="896"/>
      <c r="DD38" s="896"/>
      <c r="DE38" s="896"/>
      <c r="DF38" s="896"/>
      <c r="DG38" s="896"/>
      <c r="DH38" s="896"/>
      <c r="DI38" s="896"/>
      <c r="DJ38" s="896"/>
      <c r="DK38" s="896"/>
      <c r="DL38" s="896"/>
      <c r="DM38" s="896"/>
      <c r="DN38" s="896"/>
      <c r="DO38" s="896"/>
      <c r="DP38" s="896"/>
      <c r="DQ38" s="896"/>
      <c r="DR38" s="896"/>
      <c r="DS38" s="896"/>
      <c r="DT38" s="896"/>
      <c r="DU38" s="896"/>
      <c r="DV38" s="896"/>
      <c r="DW38" s="896"/>
      <c r="DX38" s="896"/>
      <c r="DY38" s="896"/>
      <c r="DZ38" s="896"/>
      <c r="EA38" s="896"/>
      <c r="EB38" s="896"/>
      <c r="EC38" s="896"/>
      <c r="ED38" s="896"/>
      <c r="EE38" s="896"/>
      <c r="EF38" s="896"/>
      <c r="EG38" s="896"/>
      <c r="EH38" s="896"/>
      <c r="EI38" s="896"/>
      <c r="EJ38" s="896"/>
      <c r="EK38" s="896"/>
      <c r="EL38" s="181"/>
      <c r="EM38" s="193"/>
      <c r="EN38" s="193"/>
      <c r="EO38" s="193"/>
      <c r="EP38" s="193"/>
      <c r="EQ38" s="193"/>
      <c r="ER38" s="193"/>
      <c r="ES38" s="193"/>
      <c r="ET38" s="193"/>
      <c r="EU38" s="193"/>
      <c r="EV38" s="193"/>
      <c r="EW38" s="193"/>
      <c r="EX38" s="193"/>
      <c r="EY38" s="193"/>
      <c r="EZ38" s="193"/>
      <c r="FA38" s="193"/>
      <c r="FB38" s="193"/>
      <c r="FC38" s="193"/>
      <c r="FD38" s="193"/>
      <c r="FE38" s="193"/>
      <c r="FF38" s="181"/>
      <c r="FG38" s="183"/>
      <c r="FH38" s="194"/>
      <c r="FI38" s="184"/>
      <c r="FJ38" s="184"/>
      <c r="FK38" s="184"/>
      <c r="FL38" s="184"/>
      <c r="FM38" s="184"/>
      <c r="FN38" s="184"/>
      <c r="FO38" s="184"/>
      <c r="FP38" s="184"/>
      <c r="FQ38" s="184"/>
      <c r="FR38" s="184"/>
      <c r="FS38" s="184"/>
      <c r="FT38" s="184"/>
      <c r="FU38" s="184"/>
      <c r="FV38" s="184"/>
      <c r="FW38" s="184"/>
      <c r="FX38" s="184"/>
      <c r="FY38" s="184"/>
      <c r="FZ38" s="184"/>
      <c r="GA38" s="184"/>
      <c r="GB38" s="185"/>
      <c r="GC38" s="195"/>
      <c r="GD38" s="183"/>
      <c r="GE38" s="186"/>
      <c r="GF38" s="186"/>
      <c r="GG38" s="186"/>
      <c r="GH38" s="186"/>
      <c r="GI38" s="186"/>
      <c r="GJ38" s="186"/>
      <c r="GK38" s="186"/>
      <c r="GL38" s="186"/>
      <c r="GM38" s="186"/>
      <c r="GN38" s="186"/>
      <c r="GO38" s="186"/>
      <c r="GP38" s="186"/>
      <c r="GQ38" s="186"/>
      <c r="GR38" s="186"/>
      <c r="GS38" s="186"/>
      <c r="GT38" s="186"/>
      <c r="GU38" s="186"/>
      <c r="GV38" s="186"/>
      <c r="GW38" s="186"/>
      <c r="GX38" s="186"/>
      <c r="GY38" s="186"/>
      <c r="GZ38" s="186"/>
      <c r="HA38" s="186"/>
      <c r="HB38" s="186"/>
      <c r="HC38" s="186"/>
      <c r="HD38" s="186"/>
      <c r="HE38" s="186"/>
      <c r="HF38" s="186"/>
      <c r="HG38" s="187"/>
      <c r="HH38" s="188"/>
      <c r="HI38" s="182"/>
      <c r="HJ38" s="182"/>
      <c r="HK38" s="182"/>
      <c r="HL38" s="182"/>
      <c r="HM38" s="189"/>
      <c r="HN38" s="189"/>
      <c r="HO38" s="190"/>
      <c r="HP38" s="191"/>
      <c r="HQ38" s="191"/>
      <c r="HR38" s="191"/>
      <c r="HS38" s="191"/>
      <c r="HT38" s="191"/>
      <c r="HU38" s="191"/>
      <c r="HV38" s="191"/>
      <c r="HW38" s="191"/>
      <c r="HX38" s="191"/>
      <c r="HY38" s="191"/>
      <c r="HZ38" s="191"/>
      <c r="IA38" s="191"/>
      <c r="IB38" s="191"/>
      <c r="IC38" s="191"/>
      <c r="ID38" s="191"/>
      <c r="IE38" s="192"/>
      <c r="IF38" s="192"/>
      <c r="IG38" s="192"/>
      <c r="IH38" s="192"/>
      <c r="II38" s="192"/>
      <c r="IJ38" s="192"/>
      <c r="IK38" s="192"/>
      <c r="IL38" s="192"/>
      <c r="IM38" s="192"/>
      <c r="IN38" s="192"/>
      <c r="IO38" s="192"/>
      <c r="IP38" s="192"/>
      <c r="IQ38" s="192"/>
      <c r="IR38" s="192"/>
      <c r="IS38" s="192"/>
      <c r="IT38" s="192"/>
      <c r="IU38" s="192"/>
      <c r="IV38" s="192"/>
    </row>
    <row r="39" spans="1:256" s="178" customFormat="1" ht="45" customHeight="1">
      <c r="A39" s="179"/>
      <c r="B39" s="1018" t="s">
        <v>2666</v>
      </c>
      <c r="C39" s="50" t="s">
        <v>2712</v>
      </c>
      <c r="D39" s="935">
        <v>388</v>
      </c>
      <c r="E39" s="935"/>
      <c r="F39" s="935"/>
      <c r="G39" s="935"/>
      <c r="H39" s="935"/>
      <c r="I39" s="935"/>
      <c r="J39" s="935"/>
      <c r="K39" s="935"/>
      <c r="L39" s="935"/>
      <c r="M39" s="935"/>
      <c r="O39" s="896" t="s">
        <v>13</v>
      </c>
      <c r="P39" s="19"/>
      <c r="Q39" s="19"/>
      <c r="R39" s="19"/>
      <c r="S39" s="19"/>
      <c r="T39" s="19"/>
      <c r="U39" s="19"/>
      <c r="V39" s="19"/>
      <c r="W39" s="19"/>
      <c r="X39" s="19"/>
      <c r="Y39" s="37"/>
      <c r="Z39" s="50"/>
      <c r="AA39" s="37"/>
      <c r="AB39" s="1325">
        <v>1.2530000000000001</v>
      </c>
      <c r="AC39" s="1325">
        <v>2.2249999999999999E-2</v>
      </c>
      <c r="AD39" s="1325">
        <v>2.2250000000000002E-2</v>
      </c>
      <c r="AE39" s="1326">
        <v>0.39467391304347821</v>
      </c>
      <c r="AF39" s="1326">
        <v>0.34917391304347822</v>
      </c>
      <c r="AG39" s="1325">
        <v>0.25737173913043476</v>
      </c>
      <c r="AH39" s="1325">
        <v>0.22437174011391142</v>
      </c>
      <c r="AI39" s="1326">
        <v>0.57870434782608704</v>
      </c>
      <c r="AJ39" s="1326">
        <v>0.50897173913043481</v>
      </c>
      <c r="AK39" s="1325">
        <v>1.1583923922878245</v>
      </c>
      <c r="AL39" s="901"/>
      <c r="AM39" s="901"/>
      <c r="AN39" s="1327" t="s">
        <v>2960</v>
      </c>
      <c r="AO39" s="1327" t="s">
        <v>2961</v>
      </c>
      <c r="AP39" s="1327" t="s">
        <v>2962</v>
      </c>
      <c r="AQ39" s="1327" t="s">
        <v>2963</v>
      </c>
      <c r="AR39" s="1327" t="s">
        <v>2964</v>
      </c>
      <c r="AS39" s="1327" t="s">
        <v>2965</v>
      </c>
      <c r="AT39" s="1327" t="s">
        <v>2966</v>
      </c>
      <c r="AU39" s="1327"/>
      <c r="AV39" s="1327"/>
      <c r="AW39" s="1327"/>
      <c r="AY39" s="1328">
        <v>4106.050166</v>
      </c>
      <c r="AZ39" s="1328">
        <v>8910.9199680000002</v>
      </c>
      <c r="BA39" s="1033">
        <v>10479.406155999999</v>
      </c>
      <c r="BB39" s="1033">
        <v>13145.288339999999</v>
      </c>
      <c r="BC39" s="897"/>
      <c r="BD39" s="897"/>
      <c r="BE39" s="897"/>
      <c r="BF39" s="897"/>
      <c r="BG39" s="897"/>
      <c r="BH39" s="897"/>
      <c r="BI39" s="897"/>
      <c r="BJ39" s="897"/>
      <c r="BK39" s="897"/>
      <c r="BL39" s="897"/>
      <c r="BM39" s="897"/>
      <c r="BN39" s="897"/>
      <c r="BO39" s="897"/>
      <c r="BP39" s="897"/>
      <c r="BQ39" s="897"/>
      <c r="BR39" s="897"/>
      <c r="BS39" s="897"/>
      <c r="BT39" s="897"/>
      <c r="BU39" s="897"/>
      <c r="BV39" s="197"/>
      <c r="BW39" s="197"/>
      <c r="BX39" s="197"/>
      <c r="BY39" s="197"/>
      <c r="BZ39" s="197"/>
      <c r="CA39" s="197"/>
      <c r="CB39" s="197"/>
      <c r="CC39" s="197"/>
      <c r="CD39" s="197"/>
      <c r="CE39" s="197"/>
      <c r="CF39" s="197"/>
      <c r="CG39" s="197"/>
      <c r="CH39" s="197"/>
      <c r="CI39" s="197"/>
      <c r="CJ39" s="197"/>
      <c r="CK39" s="197"/>
      <c r="CL39" s="197"/>
      <c r="CM39" s="197"/>
      <c r="CN39" s="197"/>
      <c r="CO39" s="197"/>
      <c r="CP39" s="197"/>
      <c r="CQ39" s="197"/>
      <c r="CR39" s="896"/>
      <c r="CS39" s="896"/>
      <c r="CT39" s="896"/>
      <c r="CU39" s="896"/>
      <c r="CV39" s="896"/>
      <c r="CW39" s="896"/>
      <c r="CX39" s="896"/>
      <c r="CY39" s="896"/>
      <c r="CZ39" s="896"/>
      <c r="DA39" s="896"/>
      <c r="DB39" s="896"/>
      <c r="DC39" s="896"/>
      <c r="DD39" s="896"/>
      <c r="DE39" s="896"/>
      <c r="DF39" s="896"/>
      <c r="DG39" s="896"/>
      <c r="DH39" s="896"/>
      <c r="DI39" s="896"/>
      <c r="DJ39" s="896"/>
      <c r="DK39" s="896"/>
      <c r="DL39" s="896"/>
      <c r="DM39" s="896"/>
      <c r="DN39" s="896"/>
      <c r="DO39" s="896"/>
      <c r="DP39" s="896"/>
      <c r="DQ39" s="896"/>
      <c r="DR39" s="896"/>
      <c r="DS39" s="896"/>
      <c r="DT39" s="896"/>
      <c r="DU39" s="896"/>
      <c r="DV39" s="896"/>
      <c r="DW39" s="896"/>
      <c r="DX39" s="896"/>
      <c r="DY39" s="896"/>
      <c r="DZ39" s="896"/>
      <c r="EA39" s="896"/>
      <c r="EB39" s="896"/>
      <c r="EC39" s="896"/>
      <c r="ED39" s="896"/>
      <c r="EE39" s="896"/>
      <c r="EF39" s="896"/>
      <c r="EG39" s="896"/>
      <c r="EH39" s="896"/>
      <c r="EI39" s="896"/>
      <c r="EJ39" s="896"/>
      <c r="EK39" s="896"/>
      <c r="EL39" s="181"/>
      <c r="EM39" s="193"/>
      <c r="EN39" s="193"/>
      <c r="EO39" s="193"/>
      <c r="EP39" s="193"/>
      <c r="EQ39" s="193"/>
      <c r="ER39" s="193"/>
      <c r="ES39" s="193"/>
      <c r="ET39" s="193"/>
      <c r="EU39" s="193"/>
      <c r="EV39" s="193"/>
      <c r="EW39" s="193"/>
      <c r="EX39" s="193"/>
      <c r="EY39" s="193"/>
      <c r="EZ39" s="193"/>
      <c r="FA39" s="193"/>
      <c r="FB39" s="193"/>
      <c r="FC39" s="193"/>
      <c r="FD39" s="193"/>
      <c r="FE39" s="193"/>
      <c r="FF39" s="181"/>
      <c r="FG39" s="183"/>
      <c r="FH39" s="194"/>
      <c r="FI39" s="184"/>
      <c r="FJ39" s="184"/>
      <c r="FK39" s="184"/>
      <c r="FL39" s="184"/>
      <c r="FM39" s="184"/>
      <c r="FN39" s="184"/>
      <c r="FO39" s="184"/>
      <c r="FP39" s="184"/>
      <c r="FQ39" s="184"/>
      <c r="FR39" s="184"/>
      <c r="FS39" s="184"/>
      <c r="FT39" s="184"/>
      <c r="FU39" s="184"/>
      <c r="FV39" s="184"/>
      <c r="FW39" s="184"/>
      <c r="FX39" s="184"/>
      <c r="FY39" s="184"/>
      <c r="FZ39" s="184"/>
      <c r="GA39" s="184"/>
      <c r="GB39" s="185"/>
      <c r="GC39" s="195"/>
      <c r="GD39" s="183"/>
      <c r="GE39" s="186"/>
      <c r="GF39" s="186"/>
      <c r="GG39" s="186"/>
      <c r="GH39" s="186"/>
      <c r="GI39" s="186"/>
      <c r="GJ39" s="186"/>
      <c r="GK39" s="186"/>
      <c r="GL39" s="186"/>
      <c r="GM39" s="186"/>
      <c r="GN39" s="186"/>
      <c r="GO39" s="186"/>
      <c r="GP39" s="186"/>
      <c r="GQ39" s="186"/>
      <c r="GR39" s="186"/>
      <c r="GS39" s="186"/>
      <c r="GT39" s="186"/>
      <c r="GU39" s="186"/>
      <c r="GV39" s="186"/>
      <c r="GW39" s="186"/>
      <c r="GX39" s="186"/>
      <c r="GY39" s="186"/>
      <c r="GZ39" s="186"/>
      <c r="HA39" s="186"/>
      <c r="HB39" s="186"/>
      <c r="HC39" s="186"/>
      <c r="HD39" s="186"/>
      <c r="HE39" s="186"/>
      <c r="HF39" s="186"/>
      <c r="HG39" s="187"/>
      <c r="HH39" s="188"/>
      <c r="HI39" s="182"/>
      <c r="HJ39" s="182"/>
      <c r="HK39" s="182"/>
      <c r="HL39" s="182"/>
      <c r="HM39" s="189"/>
      <c r="HN39" s="189"/>
      <c r="HO39" s="190"/>
      <c r="HP39" s="191"/>
      <c r="HQ39" s="191"/>
      <c r="HR39" s="191"/>
      <c r="HS39" s="191"/>
      <c r="HT39" s="191"/>
      <c r="HU39" s="191"/>
      <c r="HV39" s="191"/>
      <c r="HW39" s="191"/>
      <c r="HX39" s="191"/>
      <c r="HY39" s="191"/>
      <c r="HZ39" s="191"/>
      <c r="IA39" s="191"/>
      <c r="IB39" s="191"/>
      <c r="IC39" s="191"/>
      <c r="ID39" s="191"/>
      <c r="IE39" s="192"/>
      <c r="IF39" s="192"/>
      <c r="IG39" s="192"/>
      <c r="IH39" s="192"/>
      <c r="II39" s="192"/>
      <c r="IJ39" s="192"/>
      <c r="IK39" s="192"/>
      <c r="IL39" s="192"/>
      <c r="IM39" s="192"/>
      <c r="IN39" s="192"/>
      <c r="IO39" s="192"/>
      <c r="IP39" s="192"/>
      <c r="IQ39" s="192"/>
      <c r="IR39" s="192"/>
      <c r="IS39" s="192"/>
      <c r="IT39" s="192"/>
      <c r="IU39" s="192"/>
      <c r="IV39" s="192"/>
    </row>
    <row r="40" spans="1:256" s="178" customFormat="1" ht="67.5" customHeight="1">
      <c r="A40" s="179"/>
      <c r="B40" s="1018" t="s">
        <v>2667</v>
      </c>
      <c r="C40" s="50" t="s">
        <v>2711</v>
      </c>
      <c r="D40" s="935">
        <v>397</v>
      </c>
      <c r="E40" s="935">
        <v>398</v>
      </c>
      <c r="F40" s="935"/>
      <c r="G40" s="935"/>
      <c r="H40" s="935"/>
      <c r="I40" s="935"/>
      <c r="J40" s="935"/>
      <c r="K40" s="935"/>
      <c r="L40" s="935"/>
      <c r="M40" s="935"/>
      <c r="O40" s="19" t="s">
        <v>9</v>
      </c>
      <c r="P40" s="19" t="s">
        <v>18</v>
      </c>
      <c r="Q40" s="19" t="s">
        <v>10</v>
      </c>
      <c r="R40" s="19" t="s">
        <v>16</v>
      </c>
      <c r="S40" s="19" t="s">
        <v>20</v>
      </c>
      <c r="T40" s="19"/>
      <c r="U40" s="19"/>
      <c r="V40" s="19"/>
      <c r="W40" s="19"/>
      <c r="X40" s="19"/>
      <c r="Y40" s="37"/>
      <c r="Z40" s="50"/>
      <c r="AA40" s="37"/>
      <c r="AB40" s="1325">
        <v>2.1500000000000004</v>
      </c>
      <c r="AC40" s="1325">
        <v>0.24181896551724141</v>
      </c>
      <c r="AD40" s="1325">
        <v>0.24181896551724141</v>
      </c>
      <c r="AE40" s="1326">
        <v>0.61036539408866997</v>
      </c>
      <c r="AF40" s="1326">
        <v>0.59799039408866994</v>
      </c>
      <c r="AG40" s="1325">
        <v>0.66767118226600985</v>
      </c>
      <c r="AH40" s="1325">
        <v>0.59879187192118233</v>
      </c>
      <c r="AI40" s="1326">
        <v>0.63014445812807884</v>
      </c>
      <c r="AJ40" s="1326">
        <v>0.43353115763546801</v>
      </c>
      <c r="AK40" s="1325">
        <v>2.1321250009834771</v>
      </c>
      <c r="AL40" s="901"/>
      <c r="AM40" s="901"/>
      <c r="AN40" s="1327" t="s">
        <v>2967</v>
      </c>
      <c r="AO40" s="1327" t="s">
        <v>2968</v>
      </c>
      <c r="AP40" s="1327" t="s">
        <v>2969</v>
      </c>
      <c r="AQ40" s="1327" t="s">
        <v>2970</v>
      </c>
      <c r="AR40" s="1327" t="s">
        <v>2971</v>
      </c>
      <c r="AS40" s="1327" t="s">
        <v>2972</v>
      </c>
      <c r="AT40" s="1327" t="s">
        <v>2973</v>
      </c>
      <c r="AU40" s="1327"/>
      <c r="AV40" s="1327"/>
      <c r="AW40" s="1327"/>
      <c r="AY40" s="1328">
        <v>1350</v>
      </c>
      <c r="AZ40" s="1328">
        <v>1187</v>
      </c>
      <c r="BA40" s="1033">
        <v>1667</v>
      </c>
      <c r="BB40" s="1033">
        <v>1215.6308919999999</v>
      </c>
      <c r="BC40" s="897"/>
      <c r="BD40" s="897"/>
      <c r="BE40" s="897"/>
      <c r="BF40" s="897"/>
      <c r="BG40" s="897"/>
      <c r="BH40" s="897"/>
      <c r="BI40" s="897"/>
      <c r="BJ40" s="897"/>
      <c r="BK40" s="897"/>
      <c r="BL40" s="897"/>
      <c r="BM40" s="897"/>
      <c r="BN40" s="897"/>
      <c r="BO40" s="897"/>
      <c r="BP40" s="897"/>
      <c r="BQ40" s="897"/>
      <c r="BR40" s="897"/>
      <c r="BS40" s="897"/>
      <c r="BT40" s="897"/>
      <c r="BU40" s="897"/>
      <c r="BV40" s="197"/>
      <c r="BW40" s="197"/>
      <c r="BX40" s="197"/>
      <c r="BY40" s="197"/>
      <c r="BZ40" s="197"/>
      <c r="CA40" s="197"/>
      <c r="CB40" s="197"/>
      <c r="CC40" s="197"/>
      <c r="CD40" s="197"/>
      <c r="CE40" s="197"/>
      <c r="CF40" s="197"/>
      <c r="CG40" s="197"/>
      <c r="CH40" s="197"/>
      <c r="CI40" s="197"/>
      <c r="CJ40" s="197"/>
      <c r="CK40" s="197"/>
      <c r="CL40" s="197"/>
      <c r="CM40" s="197"/>
      <c r="CN40" s="197"/>
      <c r="CO40" s="197"/>
      <c r="CP40" s="197"/>
      <c r="CQ40" s="197"/>
      <c r="CR40" s="896"/>
      <c r="CS40" s="896"/>
      <c r="CT40" s="896"/>
      <c r="CU40" s="896"/>
      <c r="CV40" s="896"/>
      <c r="CW40" s="896"/>
      <c r="CX40" s="896"/>
      <c r="CY40" s="896"/>
      <c r="CZ40" s="896"/>
      <c r="DA40" s="896"/>
      <c r="DB40" s="896"/>
      <c r="DC40" s="896"/>
      <c r="DD40" s="896"/>
      <c r="DE40" s="896"/>
      <c r="DF40" s="896"/>
      <c r="DG40" s="896"/>
      <c r="DH40" s="896"/>
      <c r="DI40" s="896"/>
      <c r="DJ40" s="896"/>
      <c r="DK40" s="896"/>
      <c r="DL40" s="896"/>
      <c r="DM40" s="896"/>
      <c r="DN40" s="896"/>
      <c r="DO40" s="896"/>
      <c r="DP40" s="896"/>
      <c r="DQ40" s="896"/>
      <c r="DR40" s="896"/>
      <c r="DS40" s="896"/>
      <c r="DT40" s="896"/>
      <c r="DU40" s="896"/>
      <c r="DV40" s="896"/>
      <c r="DW40" s="896"/>
      <c r="DX40" s="896"/>
      <c r="DY40" s="896"/>
      <c r="DZ40" s="896"/>
      <c r="EA40" s="896"/>
      <c r="EB40" s="896"/>
      <c r="EC40" s="896"/>
      <c r="ED40" s="896"/>
      <c r="EE40" s="896"/>
      <c r="EF40" s="896"/>
      <c r="EG40" s="896"/>
      <c r="EH40" s="896"/>
      <c r="EI40" s="896"/>
      <c r="EJ40" s="896"/>
      <c r="EK40" s="896"/>
      <c r="EL40" s="181"/>
      <c r="EM40" s="193"/>
      <c r="EN40" s="193"/>
      <c r="EO40" s="193"/>
      <c r="EP40" s="193"/>
      <c r="EQ40" s="193"/>
      <c r="ER40" s="193"/>
      <c r="ES40" s="193"/>
      <c r="ET40" s="193"/>
      <c r="EU40" s="193"/>
      <c r="EV40" s="193"/>
      <c r="EW40" s="193"/>
      <c r="EX40" s="193"/>
      <c r="EY40" s="193"/>
      <c r="EZ40" s="193"/>
      <c r="FA40" s="193"/>
      <c r="FB40" s="193"/>
      <c r="FC40" s="193"/>
      <c r="FD40" s="193"/>
      <c r="FE40" s="193"/>
      <c r="FF40" s="181"/>
      <c r="FG40" s="183"/>
      <c r="FH40" s="194"/>
      <c r="FI40" s="184"/>
      <c r="FJ40" s="184"/>
      <c r="FK40" s="184"/>
      <c r="FL40" s="184"/>
      <c r="FM40" s="184"/>
      <c r="FN40" s="184"/>
      <c r="FO40" s="184"/>
      <c r="FP40" s="184"/>
      <c r="FQ40" s="184"/>
      <c r="FR40" s="184"/>
      <c r="FS40" s="184"/>
      <c r="FT40" s="184"/>
      <c r="FU40" s="184"/>
      <c r="FV40" s="184"/>
      <c r="FW40" s="184"/>
      <c r="FX40" s="184"/>
      <c r="FY40" s="184"/>
      <c r="FZ40" s="184"/>
      <c r="GA40" s="184"/>
      <c r="GB40" s="185"/>
      <c r="GC40" s="195"/>
      <c r="GD40" s="183"/>
      <c r="GE40" s="186"/>
      <c r="GF40" s="186"/>
      <c r="GG40" s="186"/>
      <c r="GH40" s="186"/>
      <c r="GI40" s="186"/>
      <c r="GJ40" s="186"/>
      <c r="GK40" s="186"/>
      <c r="GL40" s="186"/>
      <c r="GM40" s="186"/>
      <c r="GN40" s="186"/>
      <c r="GO40" s="186"/>
      <c r="GP40" s="186"/>
      <c r="GQ40" s="186"/>
      <c r="GR40" s="186"/>
      <c r="GS40" s="186"/>
      <c r="GT40" s="186"/>
      <c r="GU40" s="186"/>
      <c r="GV40" s="186"/>
      <c r="GW40" s="186"/>
      <c r="GX40" s="186"/>
      <c r="GY40" s="186"/>
      <c r="GZ40" s="186"/>
      <c r="HA40" s="186"/>
      <c r="HB40" s="186"/>
      <c r="HC40" s="186"/>
      <c r="HD40" s="186"/>
      <c r="HE40" s="186"/>
      <c r="HF40" s="186"/>
      <c r="HG40" s="187"/>
      <c r="HH40" s="188"/>
      <c r="HI40" s="182"/>
      <c r="HJ40" s="182"/>
      <c r="HK40" s="182"/>
      <c r="HL40" s="182"/>
      <c r="HM40" s="189"/>
      <c r="HN40" s="189"/>
      <c r="HO40" s="190"/>
      <c r="HP40" s="191"/>
      <c r="HQ40" s="191"/>
      <c r="HR40" s="191"/>
      <c r="HS40" s="191"/>
      <c r="HT40" s="191"/>
      <c r="HU40" s="191"/>
      <c r="HV40" s="191"/>
      <c r="HW40" s="191"/>
      <c r="HX40" s="191"/>
      <c r="HY40" s="191"/>
      <c r="HZ40" s="191"/>
      <c r="IA40" s="191"/>
      <c r="IB40" s="191"/>
      <c r="IC40" s="191"/>
      <c r="ID40" s="191"/>
      <c r="IE40" s="192"/>
      <c r="IF40" s="192"/>
      <c r="IG40" s="192"/>
      <c r="IH40" s="192"/>
      <c r="II40" s="192"/>
      <c r="IJ40" s="192"/>
      <c r="IK40" s="192"/>
      <c r="IL40" s="192"/>
      <c r="IM40" s="192"/>
      <c r="IN40" s="192"/>
      <c r="IO40" s="192"/>
      <c r="IP40" s="192"/>
      <c r="IQ40" s="192"/>
      <c r="IR40" s="192"/>
      <c r="IS40" s="192"/>
      <c r="IT40" s="192"/>
      <c r="IU40" s="192"/>
      <c r="IV40" s="192"/>
    </row>
    <row r="41" spans="1:256" s="178" customFormat="1" ht="56.25" customHeight="1">
      <c r="A41" s="179"/>
      <c r="B41" s="1018" t="s">
        <v>2668</v>
      </c>
      <c r="C41" s="50" t="s">
        <v>2713</v>
      </c>
      <c r="D41" s="935">
        <v>411</v>
      </c>
      <c r="E41" s="935"/>
      <c r="F41" s="935"/>
      <c r="G41" s="935"/>
      <c r="H41" s="935"/>
      <c r="I41" s="935"/>
      <c r="J41" s="935"/>
      <c r="K41" s="935"/>
      <c r="L41" s="935"/>
      <c r="M41" s="935"/>
      <c r="O41" s="19" t="s">
        <v>13</v>
      </c>
      <c r="P41" s="19"/>
      <c r="Q41" s="19"/>
      <c r="R41" s="19"/>
      <c r="S41" s="19"/>
      <c r="T41" s="19"/>
      <c r="U41" s="19"/>
      <c r="V41" s="19"/>
      <c r="W41" s="19"/>
      <c r="X41" s="19"/>
      <c r="Y41" s="37"/>
      <c r="Z41" s="50"/>
      <c r="AA41" s="37"/>
      <c r="AB41" s="1326">
        <v>2.0700000000000003</v>
      </c>
      <c r="AC41" s="1326">
        <v>0.14142857142857143</v>
      </c>
      <c r="AD41" s="1326">
        <v>9.678571428571428E-2</v>
      </c>
      <c r="AE41" s="1326">
        <v>0.60507142857142859</v>
      </c>
      <c r="AF41" s="1326">
        <v>0.57207142857142856</v>
      </c>
      <c r="AG41" s="1326">
        <v>0.72150000000000003</v>
      </c>
      <c r="AH41" s="1326">
        <v>0.53021428571428575</v>
      </c>
      <c r="AI41" s="1326">
        <v>0.60200000000000009</v>
      </c>
      <c r="AJ41" s="1326">
        <v>0.39271428571428574</v>
      </c>
      <c r="AK41" s="1326">
        <v>2.0171428571428573</v>
      </c>
      <c r="AL41" s="901"/>
      <c r="AM41" s="901"/>
      <c r="AN41" s="1327" t="s">
        <v>2974</v>
      </c>
      <c r="AO41" s="1327" t="s">
        <v>2975</v>
      </c>
      <c r="AP41" s="1327" t="s">
        <v>2976</v>
      </c>
      <c r="AQ41" s="1327" t="s">
        <v>2977</v>
      </c>
      <c r="AR41" s="1327" t="s">
        <v>2978</v>
      </c>
      <c r="AS41" s="1327" t="s">
        <v>2979</v>
      </c>
      <c r="AT41" s="1327"/>
      <c r="AU41" s="1327"/>
      <c r="AV41" s="1327"/>
      <c r="AW41" s="1327"/>
      <c r="AY41" s="1328">
        <v>2920.6220760000001</v>
      </c>
      <c r="AZ41" s="1328">
        <v>2869.9674500000001</v>
      </c>
      <c r="BA41" s="1033">
        <v>1928.908007</v>
      </c>
      <c r="BB41" s="1033">
        <v>1000.659945</v>
      </c>
      <c r="BC41" s="897"/>
      <c r="BD41" s="897"/>
      <c r="BE41" s="897"/>
      <c r="BF41" s="897"/>
      <c r="BG41" s="897"/>
      <c r="BH41" s="897"/>
      <c r="BI41" s="897"/>
      <c r="BJ41" s="897"/>
      <c r="BK41" s="897"/>
      <c r="BL41" s="897"/>
      <c r="BM41" s="897"/>
      <c r="BN41" s="897"/>
      <c r="BO41" s="897"/>
      <c r="BP41" s="897"/>
      <c r="BQ41" s="897"/>
      <c r="BR41" s="897"/>
      <c r="BS41" s="897"/>
      <c r="BT41" s="897"/>
      <c r="BU41" s="897"/>
      <c r="BV41" s="197"/>
      <c r="BW41" s="197"/>
      <c r="BX41" s="197"/>
      <c r="BY41" s="197"/>
      <c r="BZ41" s="197"/>
      <c r="CA41" s="197"/>
      <c r="CB41" s="197"/>
      <c r="CC41" s="197"/>
      <c r="CD41" s="197"/>
      <c r="CE41" s="197"/>
      <c r="CF41" s="197"/>
      <c r="CG41" s="197"/>
      <c r="CH41" s="197"/>
      <c r="CI41" s="197"/>
      <c r="CJ41" s="197"/>
      <c r="CK41" s="197"/>
      <c r="CL41" s="197"/>
      <c r="CM41" s="197"/>
      <c r="CN41" s="197"/>
      <c r="CO41" s="197"/>
      <c r="CP41" s="197"/>
      <c r="CQ41" s="197"/>
      <c r="CR41" s="896"/>
      <c r="CS41" s="896"/>
      <c r="CT41" s="896"/>
      <c r="CU41" s="896"/>
      <c r="CV41" s="896"/>
      <c r="CW41" s="896"/>
      <c r="CX41" s="896"/>
      <c r="CY41" s="896"/>
      <c r="CZ41" s="896"/>
      <c r="DA41" s="896"/>
      <c r="DB41" s="896"/>
      <c r="DC41" s="896"/>
      <c r="DD41" s="896"/>
      <c r="DE41" s="896"/>
      <c r="DF41" s="896"/>
      <c r="DG41" s="896"/>
      <c r="DH41" s="896"/>
      <c r="DI41" s="896"/>
      <c r="DJ41" s="896"/>
      <c r="DK41" s="896"/>
      <c r="DL41" s="896"/>
      <c r="DM41" s="896"/>
      <c r="DN41" s="896"/>
      <c r="DO41" s="896"/>
      <c r="DP41" s="896"/>
      <c r="DQ41" s="896"/>
      <c r="DR41" s="896"/>
      <c r="DS41" s="896"/>
      <c r="DT41" s="896"/>
      <c r="DU41" s="896"/>
      <c r="DV41" s="896"/>
      <c r="DW41" s="896"/>
      <c r="DX41" s="896"/>
      <c r="DY41" s="896"/>
      <c r="DZ41" s="896"/>
      <c r="EA41" s="896"/>
      <c r="EB41" s="896"/>
      <c r="EC41" s="896"/>
      <c r="ED41" s="896"/>
      <c r="EE41" s="896"/>
      <c r="EF41" s="896"/>
      <c r="EG41" s="896"/>
      <c r="EH41" s="896"/>
      <c r="EI41" s="896"/>
      <c r="EJ41" s="896"/>
      <c r="EK41" s="896"/>
      <c r="EL41" s="181"/>
      <c r="EM41" s="193"/>
      <c r="EN41" s="193"/>
      <c r="EO41" s="193"/>
      <c r="EP41" s="193"/>
      <c r="EQ41" s="193"/>
      <c r="ER41" s="193"/>
      <c r="ES41" s="193"/>
      <c r="ET41" s="193"/>
      <c r="EU41" s="193"/>
      <c r="EV41" s="193"/>
      <c r="EW41" s="193"/>
      <c r="EX41" s="193"/>
      <c r="EY41" s="193"/>
      <c r="EZ41" s="193"/>
      <c r="FA41" s="193"/>
      <c r="FB41" s="193"/>
      <c r="FC41" s="193"/>
      <c r="FD41" s="193"/>
      <c r="FE41" s="193"/>
      <c r="FF41" s="181"/>
      <c r="FG41" s="183"/>
      <c r="FH41" s="194"/>
      <c r="FI41" s="184"/>
      <c r="FJ41" s="184"/>
      <c r="FK41" s="184"/>
      <c r="FL41" s="184"/>
      <c r="FM41" s="184"/>
      <c r="FN41" s="184"/>
      <c r="FO41" s="184"/>
      <c r="FP41" s="184"/>
      <c r="FQ41" s="184"/>
      <c r="FR41" s="184"/>
      <c r="FS41" s="184"/>
      <c r="FT41" s="184"/>
      <c r="FU41" s="184"/>
      <c r="FV41" s="184"/>
      <c r="FW41" s="184"/>
      <c r="FX41" s="184"/>
      <c r="FY41" s="184"/>
      <c r="FZ41" s="184"/>
      <c r="GA41" s="184"/>
      <c r="GB41" s="185"/>
      <c r="GC41" s="195"/>
      <c r="GD41" s="183"/>
      <c r="GE41" s="186"/>
      <c r="GF41" s="186"/>
      <c r="GG41" s="186"/>
      <c r="GH41" s="186"/>
      <c r="GI41" s="186"/>
      <c r="GJ41" s="186"/>
      <c r="GK41" s="186"/>
      <c r="GL41" s="186"/>
      <c r="GM41" s="186"/>
      <c r="GN41" s="186"/>
      <c r="GO41" s="186"/>
      <c r="GP41" s="186"/>
      <c r="GQ41" s="186"/>
      <c r="GR41" s="186"/>
      <c r="GS41" s="186"/>
      <c r="GT41" s="186"/>
      <c r="GU41" s="186"/>
      <c r="GV41" s="186"/>
      <c r="GW41" s="186"/>
      <c r="GX41" s="186"/>
      <c r="GY41" s="186"/>
      <c r="GZ41" s="186"/>
      <c r="HA41" s="186"/>
      <c r="HB41" s="186"/>
      <c r="HC41" s="186"/>
      <c r="HD41" s="186"/>
      <c r="HE41" s="186"/>
      <c r="HF41" s="186"/>
      <c r="HG41" s="187"/>
      <c r="HH41" s="188"/>
      <c r="HI41" s="182"/>
      <c r="HJ41" s="182"/>
      <c r="HK41" s="182"/>
      <c r="HL41" s="182"/>
      <c r="HM41" s="189"/>
      <c r="HN41" s="189"/>
      <c r="HO41" s="190"/>
      <c r="HP41" s="191"/>
      <c r="HQ41" s="191"/>
      <c r="HR41" s="191"/>
      <c r="HS41" s="191"/>
      <c r="HT41" s="191"/>
      <c r="HU41" s="191"/>
      <c r="HV41" s="191"/>
      <c r="HW41" s="191"/>
      <c r="HX41" s="191"/>
      <c r="HY41" s="191"/>
      <c r="HZ41" s="191"/>
      <c r="IA41" s="191"/>
      <c r="IB41" s="191"/>
      <c r="IC41" s="191"/>
      <c r="ID41" s="191"/>
      <c r="IE41" s="192"/>
      <c r="IF41" s="192"/>
      <c r="IG41" s="192"/>
      <c r="IH41" s="192"/>
      <c r="II41" s="192"/>
      <c r="IJ41" s="192"/>
      <c r="IK41" s="192"/>
      <c r="IL41" s="192"/>
      <c r="IM41" s="192"/>
      <c r="IN41" s="192"/>
      <c r="IO41" s="192"/>
      <c r="IP41" s="192"/>
      <c r="IQ41" s="192"/>
      <c r="IR41" s="192"/>
      <c r="IS41" s="192"/>
      <c r="IT41" s="192"/>
      <c r="IU41" s="192"/>
      <c r="IV41" s="192"/>
    </row>
    <row r="42" spans="1:256" s="178" customFormat="1" ht="67.5" customHeight="1">
      <c r="A42" s="179"/>
      <c r="B42" s="1018" t="s">
        <v>2669</v>
      </c>
      <c r="C42" s="50" t="s">
        <v>2714</v>
      </c>
      <c r="D42" s="935">
        <v>422</v>
      </c>
      <c r="E42" s="935"/>
      <c r="F42" s="935"/>
      <c r="G42" s="935"/>
      <c r="H42" s="935"/>
      <c r="I42" s="935"/>
      <c r="J42" s="935"/>
      <c r="K42" s="935"/>
      <c r="L42" s="935"/>
      <c r="M42" s="935"/>
      <c r="O42" s="19" t="s">
        <v>17</v>
      </c>
      <c r="P42" s="19"/>
      <c r="Q42" s="19"/>
      <c r="R42" s="19"/>
      <c r="S42" s="19"/>
      <c r="T42" s="19"/>
      <c r="U42" s="19"/>
      <c r="V42" s="19"/>
      <c r="W42" s="19"/>
      <c r="X42" s="19"/>
      <c r="Y42" s="37"/>
      <c r="Z42" s="50"/>
      <c r="AA42" s="37"/>
      <c r="AB42" s="1326">
        <v>2.3250000000000002</v>
      </c>
      <c r="AC42" s="1326">
        <v>0.63014285714285712</v>
      </c>
      <c r="AD42" s="1326">
        <v>0.42860285714285712</v>
      </c>
      <c r="AE42" s="1326">
        <v>0.62499761904761908</v>
      </c>
      <c r="AF42" s="1326">
        <v>0.56693904761904756</v>
      </c>
      <c r="AG42" s="1326">
        <v>0.59046190476190474</v>
      </c>
      <c r="AH42" s="1326">
        <v>0.45707333333333333</v>
      </c>
      <c r="AI42" s="1326">
        <v>0.47939761904761907</v>
      </c>
      <c r="AJ42" s="1326">
        <v>0.46949761904761905</v>
      </c>
      <c r="AK42" s="1326">
        <v>2.1904485714285715</v>
      </c>
      <c r="AL42" s="901"/>
      <c r="AM42" s="901"/>
      <c r="AN42" s="1327" t="s">
        <v>2984</v>
      </c>
      <c r="AO42" s="1327" t="s">
        <v>2980</v>
      </c>
      <c r="AP42" s="1327" t="s">
        <v>2981</v>
      </c>
      <c r="AQ42" s="1327" t="s">
        <v>2982</v>
      </c>
      <c r="AR42" s="1327" t="s">
        <v>2983</v>
      </c>
      <c r="AS42" s="1327"/>
      <c r="AT42" s="1327"/>
      <c r="AU42" s="1327"/>
      <c r="AV42" s="1327"/>
      <c r="AW42" s="1327"/>
      <c r="AY42" s="1328">
        <v>43.355240000000002</v>
      </c>
      <c r="AZ42" s="1328">
        <v>522.17726600000003</v>
      </c>
      <c r="BA42" s="1033">
        <v>534.79965900000002</v>
      </c>
      <c r="BB42" s="1033">
        <v>841.74142600000005</v>
      </c>
      <c r="BC42" s="897"/>
      <c r="BD42" s="897"/>
      <c r="BE42" s="897"/>
      <c r="BF42" s="897"/>
      <c r="BG42" s="897"/>
      <c r="BH42" s="897"/>
      <c r="BI42" s="897"/>
      <c r="BJ42" s="897"/>
      <c r="BK42" s="897"/>
      <c r="BL42" s="897"/>
      <c r="BM42" s="897"/>
      <c r="BN42" s="897"/>
      <c r="BO42" s="897"/>
      <c r="BP42" s="897"/>
      <c r="BQ42" s="897"/>
      <c r="BR42" s="897"/>
      <c r="BS42" s="897"/>
      <c r="BT42" s="897"/>
      <c r="BU42" s="897"/>
      <c r="BV42" s="197"/>
      <c r="BW42" s="197"/>
      <c r="BX42" s="197"/>
      <c r="BY42" s="197"/>
      <c r="BZ42" s="197"/>
      <c r="CA42" s="197"/>
      <c r="CB42" s="197"/>
      <c r="CC42" s="197"/>
      <c r="CD42" s="197"/>
      <c r="CE42" s="197"/>
      <c r="CF42" s="197"/>
      <c r="CG42" s="197"/>
      <c r="CH42" s="197"/>
      <c r="CI42" s="197"/>
      <c r="CJ42" s="197"/>
      <c r="CK42" s="197"/>
      <c r="CL42" s="197"/>
      <c r="CM42" s="197"/>
      <c r="CN42" s="197"/>
      <c r="CO42" s="197"/>
      <c r="CP42" s="197"/>
      <c r="CQ42" s="197"/>
      <c r="CR42" s="896"/>
      <c r="CS42" s="896"/>
      <c r="CT42" s="896"/>
      <c r="CU42" s="896"/>
      <c r="CV42" s="896"/>
      <c r="CW42" s="896"/>
      <c r="CX42" s="896"/>
      <c r="CY42" s="896"/>
      <c r="CZ42" s="896"/>
      <c r="DA42" s="896"/>
      <c r="DB42" s="896"/>
      <c r="DC42" s="896"/>
      <c r="DD42" s="896"/>
      <c r="DE42" s="896"/>
      <c r="DF42" s="896"/>
      <c r="DG42" s="896"/>
      <c r="DH42" s="896"/>
      <c r="DI42" s="896"/>
      <c r="DJ42" s="896"/>
      <c r="DK42" s="896"/>
      <c r="DL42" s="896"/>
      <c r="DM42" s="896"/>
      <c r="DN42" s="896"/>
      <c r="DO42" s="896"/>
      <c r="DP42" s="896"/>
      <c r="DQ42" s="896"/>
      <c r="DR42" s="896"/>
      <c r="DS42" s="896"/>
      <c r="DT42" s="896"/>
      <c r="DU42" s="896"/>
      <c r="DV42" s="896"/>
      <c r="DW42" s="896"/>
      <c r="DX42" s="896"/>
      <c r="DY42" s="896"/>
      <c r="DZ42" s="896"/>
      <c r="EA42" s="896"/>
      <c r="EB42" s="896"/>
      <c r="EC42" s="896"/>
      <c r="ED42" s="896"/>
      <c r="EE42" s="896"/>
      <c r="EF42" s="896"/>
      <c r="EG42" s="896"/>
      <c r="EH42" s="896"/>
      <c r="EI42" s="896"/>
      <c r="EJ42" s="896"/>
      <c r="EK42" s="896"/>
      <c r="EL42" s="181"/>
      <c r="EM42" s="193"/>
      <c r="EN42" s="193"/>
      <c r="EO42" s="193"/>
      <c r="EP42" s="193"/>
      <c r="EQ42" s="193"/>
      <c r="ER42" s="193"/>
      <c r="ES42" s="193"/>
      <c r="ET42" s="193"/>
      <c r="EU42" s="193"/>
      <c r="EV42" s="193"/>
      <c r="EW42" s="193"/>
      <c r="EX42" s="193"/>
      <c r="EY42" s="193"/>
      <c r="EZ42" s="193"/>
      <c r="FA42" s="193"/>
      <c r="FB42" s="193"/>
      <c r="FC42" s="193"/>
      <c r="FD42" s="193"/>
      <c r="FE42" s="193"/>
      <c r="FF42" s="181"/>
      <c r="FG42" s="183"/>
      <c r="FH42" s="194"/>
      <c r="FI42" s="184"/>
      <c r="FJ42" s="184"/>
      <c r="FK42" s="184"/>
      <c r="FL42" s="184"/>
      <c r="FM42" s="184"/>
      <c r="FN42" s="184"/>
      <c r="FO42" s="184"/>
      <c r="FP42" s="184"/>
      <c r="FQ42" s="184"/>
      <c r="FR42" s="184"/>
      <c r="FS42" s="184"/>
      <c r="FT42" s="184"/>
      <c r="FU42" s="184"/>
      <c r="FV42" s="184"/>
      <c r="FW42" s="184"/>
      <c r="FX42" s="184"/>
      <c r="FY42" s="184"/>
      <c r="FZ42" s="184"/>
      <c r="GA42" s="184"/>
      <c r="GB42" s="185"/>
      <c r="GC42" s="195"/>
      <c r="GD42" s="183"/>
      <c r="GE42" s="186"/>
      <c r="GF42" s="186"/>
      <c r="GG42" s="186"/>
      <c r="GH42" s="186"/>
      <c r="GI42" s="186"/>
      <c r="GJ42" s="186"/>
      <c r="GK42" s="186"/>
      <c r="GL42" s="186"/>
      <c r="GM42" s="186"/>
      <c r="GN42" s="186"/>
      <c r="GO42" s="186"/>
      <c r="GP42" s="186"/>
      <c r="GQ42" s="186"/>
      <c r="GR42" s="186"/>
      <c r="GS42" s="186"/>
      <c r="GT42" s="186"/>
      <c r="GU42" s="186"/>
      <c r="GV42" s="186"/>
      <c r="GW42" s="186"/>
      <c r="GX42" s="186"/>
      <c r="GY42" s="186"/>
      <c r="GZ42" s="186"/>
      <c r="HA42" s="186"/>
      <c r="HB42" s="186"/>
      <c r="HC42" s="186"/>
      <c r="HD42" s="186"/>
      <c r="HE42" s="186"/>
      <c r="HF42" s="186"/>
      <c r="HG42" s="187"/>
      <c r="HH42" s="188"/>
      <c r="HI42" s="182"/>
      <c r="HJ42" s="182"/>
      <c r="HK42" s="182"/>
      <c r="HL42" s="182"/>
      <c r="HM42" s="189"/>
      <c r="HN42" s="189"/>
      <c r="HO42" s="190"/>
      <c r="HP42" s="191"/>
      <c r="HQ42" s="191"/>
      <c r="HR42" s="191"/>
      <c r="HS42" s="191"/>
      <c r="HT42" s="191"/>
      <c r="HU42" s="191"/>
      <c r="HV42" s="191"/>
      <c r="HW42" s="191"/>
      <c r="HX42" s="191"/>
      <c r="HY42" s="191"/>
      <c r="HZ42" s="191"/>
      <c r="IA42" s="191"/>
      <c r="IB42" s="191"/>
      <c r="IC42" s="191"/>
      <c r="ID42" s="191"/>
      <c r="IE42" s="192"/>
      <c r="IF42" s="192"/>
      <c r="IG42" s="192"/>
      <c r="IH42" s="192"/>
      <c r="II42" s="192"/>
      <c r="IJ42" s="192"/>
      <c r="IK42" s="192"/>
      <c r="IL42" s="192"/>
      <c r="IM42" s="192"/>
      <c r="IN42" s="192"/>
      <c r="IO42" s="192"/>
      <c r="IP42" s="192"/>
      <c r="IQ42" s="192"/>
      <c r="IR42" s="192"/>
      <c r="IS42" s="192"/>
      <c r="IT42" s="192"/>
      <c r="IU42" s="192"/>
      <c r="IV42" s="192"/>
    </row>
    <row r="43" spans="1:256" s="178" customFormat="1" ht="33.75" customHeight="1">
      <c r="A43" s="179"/>
      <c r="B43" s="1018" t="s">
        <v>2670</v>
      </c>
      <c r="C43" s="50" t="s">
        <v>2715</v>
      </c>
      <c r="D43" s="935">
        <v>434</v>
      </c>
      <c r="E43" s="935"/>
      <c r="F43" s="935"/>
      <c r="G43" s="935"/>
      <c r="H43" s="935"/>
      <c r="I43" s="935"/>
      <c r="J43" s="935"/>
      <c r="K43" s="935"/>
      <c r="L43" s="935"/>
      <c r="M43" s="935"/>
      <c r="O43" s="19" t="s">
        <v>17</v>
      </c>
      <c r="P43" s="19"/>
      <c r="Q43" s="19"/>
      <c r="R43" s="19"/>
      <c r="S43" s="19"/>
      <c r="T43" s="19"/>
      <c r="U43" s="19"/>
      <c r="V43" s="19"/>
      <c r="W43" s="19"/>
      <c r="X43" s="19"/>
      <c r="Y43" s="37"/>
      <c r="Z43" s="45"/>
      <c r="AA43" s="37"/>
      <c r="AB43" s="1326">
        <v>1.2450000000000001</v>
      </c>
      <c r="AC43" s="1326">
        <v>0.2847777777777778</v>
      </c>
      <c r="AD43" s="1326">
        <v>0.21712777777777775</v>
      </c>
      <c r="AE43" s="1326">
        <v>0.37080555555555561</v>
      </c>
      <c r="AF43" s="1326">
        <v>0.30480555555555555</v>
      </c>
      <c r="AG43" s="1326">
        <v>0.2905833333333333</v>
      </c>
      <c r="AH43" s="1326">
        <v>0.21357777782695159</v>
      </c>
      <c r="AI43" s="1326">
        <v>0.29883333333333334</v>
      </c>
      <c r="AJ43" s="1326">
        <v>0.29883333333333328</v>
      </c>
      <c r="AK43" s="1326">
        <v>1.2450000000000001</v>
      </c>
      <c r="AL43" s="901"/>
      <c r="AM43" s="901"/>
      <c r="AN43" s="1327" t="s">
        <v>2985</v>
      </c>
      <c r="AO43" s="1327" t="s">
        <v>2986</v>
      </c>
      <c r="AP43" s="1327" t="s">
        <v>2987</v>
      </c>
      <c r="AQ43" s="1327" t="s">
        <v>2988</v>
      </c>
      <c r="AR43" s="1327"/>
      <c r="AS43" s="1327"/>
      <c r="AT43" s="1327"/>
      <c r="AU43" s="1327"/>
      <c r="AV43" s="1327"/>
      <c r="AW43" s="1327"/>
      <c r="AY43" s="1328">
        <v>54647.135163999999</v>
      </c>
      <c r="AZ43" s="1328">
        <v>56072.271912999997</v>
      </c>
      <c r="BA43" s="1033">
        <v>48080.360071000003</v>
      </c>
      <c r="BB43" s="1033">
        <v>29654.390641999998</v>
      </c>
      <c r="BC43" s="897"/>
      <c r="BD43" s="897"/>
      <c r="BE43" s="897"/>
      <c r="BF43" s="897"/>
      <c r="BG43" s="897"/>
      <c r="BH43" s="897"/>
      <c r="BI43" s="897"/>
      <c r="BJ43" s="897"/>
      <c r="BK43" s="897"/>
      <c r="BL43" s="897"/>
      <c r="BM43" s="897"/>
      <c r="BN43" s="897"/>
      <c r="BO43" s="897"/>
      <c r="BP43" s="897"/>
      <c r="BQ43" s="897"/>
      <c r="BR43" s="897"/>
      <c r="BS43" s="897"/>
      <c r="BT43" s="897"/>
      <c r="BU43" s="897"/>
      <c r="BV43" s="197"/>
      <c r="BW43" s="197"/>
      <c r="BX43" s="197"/>
      <c r="BY43" s="197"/>
      <c r="BZ43" s="197"/>
      <c r="CA43" s="197"/>
      <c r="CB43" s="197"/>
      <c r="CC43" s="197"/>
      <c r="CD43" s="197"/>
      <c r="CE43" s="197"/>
      <c r="CF43" s="197"/>
      <c r="CG43" s="197"/>
      <c r="CH43" s="197"/>
      <c r="CI43" s="197"/>
      <c r="CJ43" s="197"/>
      <c r="CK43" s="197"/>
      <c r="CL43" s="197"/>
      <c r="CM43" s="197"/>
      <c r="CN43" s="197"/>
      <c r="CO43" s="197"/>
      <c r="CP43" s="197"/>
      <c r="CQ43" s="197"/>
      <c r="CR43" s="896"/>
      <c r="CS43" s="896"/>
      <c r="CT43" s="896"/>
      <c r="CU43" s="896"/>
      <c r="CV43" s="896"/>
      <c r="CW43" s="896"/>
      <c r="CX43" s="896"/>
      <c r="CY43" s="896"/>
      <c r="CZ43" s="896"/>
      <c r="DA43" s="896"/>
      <c r="DB43" s="896"/>
      <c r="DC43" s="896"/>
      <c r="DD43" s="896"/>
      <c r="DE43" s="896"/>
      <c r="DF43" s="896"/>
      <c r="DG43" s="896"/>
      <c r="DH43" s="896"/>
      <c r="DI43" s="896"/>
      <c r="DJ43" s="896"/>
      <c r="DK43" s="896"/>
      <c r="DL43" s="896"/>
      <c r="DM43" s="896"/>
      <c r="DN43" s="896"/>
      <c r="DO43" s="896"/>
      <c r="DP43" s="896"/>
      <c r="DQ43" s="896"/>
      <c r="DR43" s="896"/>
      <c r="DS43" s="896"/>
      <c r="DT43" s="896"/>
      <c r="DU43" s="896"/>
      <c r="DV43" s="896"/>
      <c r="DW43" s="896"/>
      <c r="DX43" s="896"/>
      <c r="DY43" s="896"/>
      <c r="DZ43" s="896"/>
      <c r="EA43" s="896"/>
      <c r="EB43" s="896"/>
      <c r="EC43" s="896"/>
      <c r="ED43" s="896"/>
      <c r="EE43" s="896"/>
      <c r="EF43" s="896"/>
      <c r="EG43" s="896"/>
      <c r="EH43" s="896"/>
      <c r="EI43" s="896"/>
      <c r="EJ43" s="896"/>
      <c r="EK43" s="896"/>
      <c r="EL43" s="181"/>
      <c r="EM43" s="193"/>
      <c r="EN43" s="193"/>
      <c r="EO43" s="193"/>
      <c r="EP43" s="193"/>
      <c r="EQ43" s="193"/>
      <c r="ER43" s="193"/>
      <c r="ES43" s="193"/>
      <c r="ET43" s="193"/>
      <c r="EU43" s="193"/>
      <c r="EV43" s="193"/>
      <c r="EW43" s="193"/>
      <c r="EX43" s="193"/>
      <c r="EY43" s="193"/>
      <c r="EZ43" s="193"/>
      <c r="FA43" s="193"/>
      <c r="FB43" s="193"/>
      <c r="FC43" s="193"/>
      <c r="FD43" s="193"/>
      <c r="FE43" s="193"/>
      <c r="FF43" s="181"/>
      <c r="FG43" s="183"/>
      <c r="FH43" s="194"/>
      <c r="FI43" s="184"/>
      <c r="FJ43" s="184"/>
      <c r="FK43" s="184"/>
      <c r="FL43" s="184"/>
      <c r="FM43" s="184"/>
      <c r="FN43" s="184"/>
      <c r="FO43" s="184"/>
      <c r="FP43" s="184"/>
      <c r="FQ43" s="184"/>
      <c r="FR43" s="184"/>
      <c r="FS43" s="184"/>
      <c r="FT43" s="184"/>
      <c r="FU43" s="184"/>
      <c r="FV43" s="184"/>
      <c r="FW43" s="184"/>
      <c r="FX43" s="184"/>
      <c r="FY43" s="184"/>
      <c r="FZ43" s="184"/>
      <c r="GA43" s="184"/>
      <c r="GB43" s="185"/>
      <c r="GC43" s="195"/>
      <c r="GD43" s="183"/>
      <c r="GE43" s="186"/>
      <c r="GF43" s="186"/>
      <c r="GG43" s="186"/>
      <c r="GH43" s="186"/>
      <c r="GI43" s="186"/>
      <c r="GJ43" s="186"/>
      <c r="GK43" s="186"/>
      <c r="GL43" s="186"/>
      <c r="GM43" s="186"/>
      <c r="GN43" s="186"/>
      <c r="GO43" s="186"/>
      <c r="GP43" s="186"/>
      <c r="GQ43" s="186"/>
      <c r="GR43" s="186"/>
      <c r="GS43" s="186"/>
      <c r="GT43" s="186"/>
      <c r="GU43" s="186"/>
      <c r="GV43" s="186"/>
      <c r="GW43" s="186"/>
      <c r="GX43" s="186"/>
      <c r="GY43" s="186"/>
      <c r="GZ43" s="186"/>
      <c r="HA43" s="186"/>
      <c r="HB43" s="186"/>
      <c r="HC43" s="186"/>
      <c r="HD43" s="186"/>
      <c r="HE43" s="186"/>
      <c r="HF43" s="186"/>
      <c r="HG43" s="187"/>
      <c r="HH43" s="188"/>
      <c r="HI43" s="182"/>
      <c r="HJ43" s="182"/>
      <c r="HK43" s="182"/>
      <c r="HL43" s="182"/>
      <c r="HM43" s="189"/>
      <c r="HN43" s="189"/>
      <c r="HO43" s="190"/>
      <c r="HP43" s="191"/>
      <c r="HQ43" s="191"/>
      <c r="HR43" s="191"/>
      <c r="HS43" s="191"/>
      <c r="HT43" s="191"/>
      <c r="HU43" s="191"/>
      <c r="HV43" s="191"/>
      <c r="HW43" s="191"/>
      <c r="HX43" s="191"/>
      <c r="HY43" s="191"/>
      <c r="HZ43" s="191"/>
      <c r="IA43" s="191"/>
      <c r="IB43" s="191"/>
      <c r="IC43" s="191"/>
      <c r="ID43" s="191"/>
      <c r="IE43" s="192"/>
      <c r="IF43" s="192"/>
      <c r="IG43" s="192"/>
      <c r="IH43" s="192"/>
      <c r="II43" s="192"/>
      <c r="IJ43" s="192"/>
      <c r="IK43" s="192"/>
      <c r="IL43" s="192"/>
      <c r="IM43" s="192"/>
      <c r="IN43" s="192"/>
      <c r="IO43" s="192"/>
      <c r="IP43" s="192"/>
      <c r="IQ43" s="192"/>
      <c r="IR43" s="192"/>
      <c r="IS43" s="192"/>
      <c r="IT43" s="192"/>
      <c r="IU43" s="192"/>
      <c r="IV43" s="192"/>
    </row>
    <row r="44" spans="1:256" s="178" customFormat="1" ht="22.5" customHeight="1">
      <c r="A44" s="179"/>
      <c r="B44" s="1018" t="s">
        <v>2671</v>
      </c>
      <c r="C44" s="50" t="s">
        <v>2716</v>
      </c>
      <c r="D44" s="935">
        <v>440</v>
      </c>
      <c r="E44" s="935">
        <v>441</v>
      </c>
      <c r="F44" s="935">
        <v>442</v>
      </c>
      <c r="G44" s="935"/>
      <c r="H44" s="935"/>
      <c r="I44" s="935"/>
      <c r="J44" s="935"/>
      <c r="K44" s="935"/>
      <c r="L44" s="935"/>
      <c r="M44" s="935"/>
      <c r="O44" s="19" t="s">
        <v>21</v>
      </c>
      <c r="P44" s="19"/>
      <c r="Q44" s="19"/>
      <c r="R44" s="19"/>
      <c r="S44" s="17"/>
      <c r="T44" s="52"/>
      <c r="U44" s="17"/>
      <c r="V44" s="44"/>
      <c r="W44" s="49"/>
      <c r="X44" s="38"/>
      <c r="Y44" s="37"/>
      <c r="Z44" s="50"/>
      <c r="AA44" s="37"/>
      <c r="AB44" s="1326">
        <v>0.99500000000000011</v>
      </c>
      <c r="AC44" s="1326">
        <v>0.112375</v>
      </c>
      <c r="AD44" s="1326">
        <v>6.0499999999999998E-2</v>
      </c>
      <c r="AE44" s="1326">
        <v>0.24137500000000001</v>
      </c>
      <c r="AF44" s="1326">
        <v>0.24137500000000001</v>
      </c>
      <c r="AG44" s="1326">
        <v>0.27500000000000002</v>
      </c>
      <c r="AH44" s="1326">
        <v>0.27500000000000002</v>
      </c>
      <c r="AI44" s="1326">
        <v>0.36625000000000002</v>
      </c>
      <c r="AJ44" s="1326">
        <v>0.26500000000000001</v>
      </c>
      <c r="AK44" s="1326">
        <v>0.91126250000000009</v>
      </c>
      <c r="AL44" s="901"/>
      <c r="AM44" s="901"/>
      <c r="AN44" s="1327" t="s">
        <v>3000</v>
      </c>
      <c r="AO44" s="1327" t="s">
        <v>3001</v>
      </c>
      <c r="AP44" s="1327" t="s">
        <v>3002</v>
      </c>
      <c r="AQ44" s="1329"/>
      <c r="AR44" s="1329"/>
      <c r="AS44" s="1329"/>
      <c r="AT44" s="1327"/>
      <c r="AU44" s="1327"/>
      <c r="AY44" s="1328">
        <v>2489.6244790000001</v>
      </c>
      <c r="AZ44" s="1328">
        <v>3669.4080429999999</v>
      </c>
      <c r="BA44" s="1033">
        <v>3818.4553559999999</v>
      </c>
      <c r="BB44" s="1033">
        <v>5814.5331900000001</v>
      </c>
      <c r="BC44" s="897"/>
      <c r="BD44" s="897"/>
      <c r="BE44" s="897"/>
      <c r="BF44" s="897"/>
      <c r="BG44" s="897"/>
      <c r="BH44" s="897"/>
      <c r="BI44" s="897"/>
      <c r="BJ44" s="897"/>
      <c r="BK44" s="897"/>
      <c r="BL44" s="897"/>
      <c r="BM44" s="897"/>
      <c r="BN44" s="897"/>
      <c r="BO44" s="897"/>
      <c r="BP44" s="897"/>
      <c r="BQ44" s="897"/>
      <c r="BR44" s="897"/>
      <c r="BS44" s="897"/>
      <c r="BT44" s="897"/>
      <c r="BU44" s="897"/>
      <c r="BV44" s="197"/>
      <c r="BW44" s="197"/>
      <c r="BX44" s="197"/>
      <c r="BY44" s="197"/>
      <c r="BZ44" s="197"/>
      <c r="CA44" s="197"/>
      <c r="CB44" s="197"/>
      <c r="CC44" s="197"/>
      <c r="CD44" s="197"/>
      <c r="CE44" s="197"/>
      <c r="CF44" s="197"/>
      <c r="CG44" s="197"/>
      <c r="CH44" s="197"/>
      <c r="CI44" s="197"/>
      <c r="CJ44" s="197"/>
      <c r="CK44" s="197"/>
      <c r="CL44" s="197"/>
      <c r="CM44" s="197"/>
      <c r="CN44" s="197"/>
      <c r="CO44" s="197"/>
      <c r="CP44" s="197"/>
      <c r="CQ44" s="197"/>
      <c r="CR44" s="896"/>
      <c r="CS44" s="896"/>
      <c r="CT44" s="896"/>
      <c r="CU44" s="896"/>
      <c r="CV44" s="896"/>
      <c r="CW44" s="896"/>
      <c r="CX44" s="896"/>
      <c r="CY44" s="896"/>
      <c r="CZ44" s="896"/>
      <c r="DA44" s="896"/>
      <c r="DB44" s="896"/>
      <c r="DC44" s="896"/>
      <c r="DD44" s="896"/>
      <c r="DE44" s="896"/>
      <c r="DF44" s="896"/>
      <c r="DG44" s="896"/>
      <c r="DH44" s="896"/>
      <c r="DI44" s="896"/>
      <c r="DJ44" s="896"/>
      <c r="DK44" s="896"/>
      <c r="DL44" s="896"/>
      <c r="DM44" s="896"/>
      <c r="DN44" s="896"/>
      <c r="DO44" s="896"/>
      <c r="DP44" s="896"/>
      <c r="DQ44" s="896"/>
      <c r="DR44" s="896"/>
      <c r="DS44" s="896"/>
      <c r="DT44" s="896"/>
      <c r="DU44" s="896"/>
      <c r="DV44" s="896"/>
      <c r="DW44" s="896"/>
      <c r="DX44" s="896"/>
      <c r="DY44" s="896"/>
      <c r="DZ44" s="896"/>
      <c r="EA44" s="896"/>
      <c r="EB44" s="896"/>
      <c r="EC44" s="896"/>
      <c r="ED44" s="896"/>
      <c r="EE44" s="896"/>
      <c r="EF44" s="896"/>
      <c r="EG44" s="896"/>
      <c r="EH44" s="896"/>
      <c r="EI44" s="896"/>
      <c r="EJ44" s="896"/>
      <c r="EK44" s="896"/>
      <c r="EL44" s="181"/>
      <c r="EM44" s="193"/>
      <c r="EN44" s="193"/>
      <c r="EO44" s="193"/>
      <c r="EP44" s="193"/>
      <c r="EQ44" s="193"/>
      <c r="ER44" s="193"/>
      <c r="ES44" s="193"/>
      <c r="ET44" s="193"/>
      <c r="EU44" s="193"/>
      <c r="EV44" s="193"/>
      <c r="EW44" s="193"/>
      <c r="EX44" s="193"/>
      <c r="EY44" s="193"/>
      <c r="EZ44" s="193"/>
      <c r="FA44" s="193"/>
      <c r="FB44" s="193"/>
      <c r="FC44" s="193"/>
      <c r="FD44" s="193"/>
      <c r="FE44" s="193"/>
      <c r="FF44" s="181"/>
      <c r="FG44" s="183"/>
      <c r="FH44" s="194"/>
      <c r="FI44" s="184"/>
      <c r="FJ44" s="184"/>
      <c r="FK44" s="184"/>
      <c r="FL44" s="184"/>
      <c r="FM44" s="184"/>
      <c r="FN44" s="184"/>
      <c r="FO44" s="184"/>
      <c r="FP44" s="184"/>
      <c r="FQ44" s="184"/>
      <c r="FR44" s="184"/>
      <c r="FS44" s="184"/>
      <c r="FT44" s="184"/>
      <c r="FU44" s="184"/>
      <c r="FV44" s="184"/>
      <c r="FW44" s="184"/>
      <c r="FX44" s="184"/>
      <c r="FY44" s="184"/>
      <c r="FZ44" s="184"/>
      <c r="GA44" s="184"/>
      <c r="GB44" s="185"/>
      <c r="GC44" s="195"/>
      <c r="GD44" s="183"/>
      <c r="GE44" s="186"/>
      <c r="GF44" s="186"/>
      <c r="GG44" s="186"/>
      <c r="GH44" s="186"/>
      <c r="GI44" s="186"/>
      <c r="GJ44" s="186"/>
      <c r="GK44" s="186"/>
      <c r="GL44" s="186"/>
      <c r="GM44" s="186"/>
      <c r="GN44" s="186"/>
      <c r="GO44" s="186"/>
      <c r="GP44" s="186"/>
      <c r="GQ44" s="186"/>
      <c r="GR44" s="186"/>
      <c r="GS44" s="186"/>
      <c r="GT44" s="186"/>
      <c r="GU44" s="186"/>
      <c r="GV44" s="186"/>
      <c r="GW44" s="186"/>
      <c r="GX44" s="186"/>
      <c r="GY44" s="186"/>
      <c r="GZ44" s="186"/>
      <c r="HA44" s="186"/>
      <c r="HB44" s="186"/>
      <c r="HC44" s="186"/>
      <c r="HD44" s="186"/>
      <c r="HE44" s="186"/>
      <c r="HF44" s="186"/>
      <c r="HG44" s="187"/>
      <c r="HH44" s="188"/>
      <c r="HI44" s="182"/>
      <c r="HJ44" s="182"/>
      <c r="HK44" s="182"/>
      <c r="HL44" s="182"/>
      <c r="HM44" s="189"/>
      <c r="HN44" s="189"/>
      <c r="HO44" s="190"/>
      <c r="HP44" s="191"/>
      <c r="HQ44" s="191"/>
      <c r="HR44" s="191"/>
      <c r="HS44" s="191"/>
      <c r="HT44" s="191"/>
      <c r="HU44" s="191"/>
      <c r="HV44" s="191"/>
      <c r="HW44" s="191"/>
      <c r="HX44" s="191"/>
      <c r="HY44" s="191"/>
      <c r="HZ44" s="191"/>
      <c r="IA44" s="191"/>
      <c r="IB44" s="191"/>
      <c r="IC44" s="191"/>
      <c r="ID44" s="191"/>
      <c r="IE44" s="192"/>
      <c r="IF44" s="192"/>
      <c r="IG44" s="192"/>
      <c r="IH44" s="192"/>
      <c r="II44" s="192"/>
      <c r="IJ44" s="192"/>
      <c r="IK44" s="192"/>
      <c r="IL44" s="192"/>
      <c r="IM44" s="192"/>
      <c r="IN44" s="192"/>
      <c r="IO44" s="192"/>
      <c r="IP44" s="192"/>
      <c r="IQ44" s="192"/>
      <c r="IR44" s="192"/>
      <c r="IS44" s="192"/>
      <c r="IT44" s="192"/>
      <c r="IU44" s="192"/>
      <c r="IV44" s="192"/>
    </row>
    <row r="45" spans="1:256" s="178" customFormat="1" ht="204" customHeight="1">
      <c r="A45" s="179"/>
      <c r="B45" s="1018" t="s">
        <v>2672</v>
      </c>
      <c r="C45" s="50" t="s">
        <v>2717</v>
      </c>
      <c r="D45" s="935">
        <v>449</v>
      </c>
      <c r="E45" s="935">
        <v>450</v>
      </c>
      <c r="F45" s="935"/>
      <c r="G45" s="935"/>
      <c r="H45" s="935"/>
      <c r="I45" s="935"/>
      <c r="J45" s="935"/>
      <c r="K45" s="935"/>
      <c r="L45" s="935"/>
      <c r="M45" s="935"/>
      <c r="O45" s="19" t="s">
        <v>15</v>
      </c>
      <c r="P45" s="19" t="s">
        <v>22</v>
      </c>
      <c r="Q45" s="19"/>
      <c r="R45" s="19"/>
      <c r="S45" s="17"/>
      <c r="T45" s="52"/>
      <c r="U45" s="17"/>
      <c r="V45" s="44"/>
      <c r="W45" s="49"/>
      <c r="X45" s="38"/>
      <c r="Y45" s="37"/>
      <c r="Z45" s="50"/>
      <c r="AA45" s="37"/>
      <c r="AB45" s="1326">
        <v>4.3766400000000001</v>
      </c>
      <c r="AC45" s="1326">
        <v>0.6900551098593718</v>
      </c>
      <c r="AD45" s="1326">
        <v>0.54105988942926408</v>
      </c>
      <c r="AE45" s="1326">
        <v>1.1566992524665898</v>
      </c>
      <c r="AF45" s="1326">
        <v>1.0569958472941758</v>
      </c>
      <c r="AG45" s="1326">
        <v>1.1647400627191578</v>
      </c>
      <c r="AH45" s="1326">
        <v>0.70167790367997596</v>
      </c>
      <c r="AI45" s="1326">
        <v>1.3651455749548806</v>
      </c>
      <c r="AJ45" s="1326">
        <v>1.1759239939905759</v>
      </c>
      <c r="AK45" s="1326">
        <v>4.2806264864864865</v>
      </c>
      <c r="AL45" s="901"/>
      <c r="AM45" s="901"/>
      <c r="AN45" s="1327" t="s">
        <v>3003</v>
      </c>
      <c r="AO45" s="1327" t="s">
        <v>3005</v>
      </c>
      <c r="AP45" s="1327" t="s">
        <v>3004</v>
      </c>
      <c r="AQ45" s="1327" t="s">
        <v>3006</v>
      </c>
      <c r="AR45" s="1327" t="s">
        <v>3007</v>
      </c>
      <c r="AS45" s="1327" t="s">
        <v>3008</v>
      </c>
      <c r="AT45" s="1327" t="s">
        <v>3009</v>
      </c>
      <c r="AU45" s="1327" t="s">
        <v>3010</v>
      </c>
      <c r="AV45" s="1327"/>
      <c r="AW45" s="1327"/>
      <c r="AY45" s="1328">
        <v>134439.47562399998</v>
      </c>
      <c r="AZ45" s="1328">
        <v>163335.55092800001</v>
      </c>
      <c r="BA45" s="1033">
        <v>164733.26432300001</v>
      </c>
      <c r="BB45" s="1033">
        <v>146585.81808</v>
      </c>
      <c r="BC45" s="897"/>
      <c r="BD45" s="897"/>
      <c r="BE45" s="897"/>
      <c r="BF45" s="897"/>
      <c r="BG45" s="897"/>
      <c r="BH45" s="897"/>
      <c r="BI45" s="897"/>
      <c r="BJ45" s="897"/>
      <c r="BK45" s="897"/>
      <c r="BL45" s="897"/>
      <c r="BM45" s="897"/>
      <c r="BN45" s="897"/>
      <c r="BO45" s="897"/>
      <c r="BP45" s="897"/>
      <c r="BQ45" s="897"/>
      <c r="BR45" s="897"/>
      <c r="BS45" s="897"/>
      <c r="BT45" s="897"/>
      <c r="BU45" s="897"/>
      <c r="BV45" s="197"/>
      <c r="BW45" s="197"/>
      <c r="BX45" s="197"/>
      <c r="BY45" s="197"/>
      <c r="BZ45" s="197"/>
      <c r="CA45" s="197"/>
      <c r="CB45" s="197"/>
      <c r="CC45" s="197"/>
      <c r="CD45" s="197"/>
      <c r="CE45" s="197"/>
      <c r="CF45" s="197"/>
      <c r="CG45" s="197"/>
      <c r="CH45" s="197"/>
      <c r="CI45" s="197"/>
      <c r="CJ45" s="197"/>
      <c r="CK45" s="197"/>
      <c r="CL45" s="197"/>
      <c r="CM45" s="197"/>
      <c r="CN45" s="197"/>
      <c r="CO45" s="197"/>
      <c r="CP45" s="197"/>
      <c r="CQ45" s="197"/>
      <c r="CR45" s="896"/>
      <c r="CS45" s="896"/>
      <c r="CT45" s="896"/>
      <c r="CU45" s="896"/>
      <c r="CV45" s="896"/>
      <c r="CW45" s="896"/>
      <c r="CX45" s="896"/>
      <c r="CY45" s="896"/>
      <c r="CZ45" s="896"/>
      <c r="DA45" s="896"/>
      <c r="DB45" s="896"/>
      <c r="DC45" s="896"/>
      <c r="DD45" s="896"/>
      <c r="DE45" s="896"/>
      <c r="DF45" s="896"/>
      <c r="DG45" s="896"/>
      <c r="DH45" s="896"/>
      <c r="DI45" s="896"/>
      <c r="DJ45" s="896"/>
      <c r="DK45" s="896"/>
      <c r="DL45" s="896"/>
      <c r="DM45" s="896"/>
      <c r="DN45" s="896"/>
      <c r="DO45" s="896"/>
      <c r="DP45" s="896"/>
      <c r="DQ45" s="896"/>
      <c r="DR45" s="896"/>
      <c r="DS45" s="896"/>
      <c r="DT45" s="896"/>
      <c r="DU45" s="896"/>
      <c r="DV45" s="896"/>
      <c r="DW45" s="896"/>
      <c r="DX45" s="896"/>
      <c r="DY45" s="896"/>
      <c r="DZ45" s="896"/>
      <c r="EA45" s="896"/>
      <c r="EB45" s="896"/>
      <c r="EC45" s="896"/>
      <c r="ED45" s="896"/>
      <c r="EE45" s="896"/>
      <c r="EF45" s="896"/>
      <c r="EG45" s="896"/>
      <c r="EH45" s="896"/>
      <c r="EI45" s="896"/>
      <c r="EJ45" s="896"/>
      <c r="EK45" s="896"/>
      <c r="EL45" s="181"/>
      <c r="EM45" s="193"/>
      <c r="EN45" s="193"/>
      <c r="EO45" s="193"/>
      <c r="EP45" s="193"/>
      <c r="EQ45" s="193"/>
      <c r="ER45" s="193"/>
      <c r="ES45" s="193"/>
      <c r="ET45" s="193"/>
      <c r="EU45" s="193"/>
      <c r="EV45" s="193"/>
      <c r="EW45" s="193"/>
      <c r="EX45" s="193"/>
      <c r="EY45" s="193"/>
      <c r="EZ45" s="193"/>
      <c r="FA45" s="193"/>
      <c r="FB45" s="193"/>
      <c r="FC45" s="193"/>
      <c r="FD45" s="193"/>
      <c r="FE45" s="193"/>
      <c r="FF45" s="181"/>
      <c r="FG45" s="183"/>
      <c r="FH45" s="194"/>
      <c r="FI45" s="184"/>
      <c r="FJ45" s="184"/>
      <c r="FK45" s="184"/>
      <c r="FL45" s="184"/>
      <c r="FM45" s="184"/>
      <c r="FN45" s="184"/>
      <c r="FO45" s="184"/>
      <c r="FP45" s="184"/>
      <c r="FQ45" s="184"/>
      <c r="FR45" s="184"/>
      <c r="FS45" s="184"/>
      <c r="FT45" s="184"/>
      <c r="FU45" s="184"/>
      <c r="FV45" s="184"/>
      <c r="FW45" s="184"/>
      <c r="FX45" s="184"/>
      <c r="FY45" s="184"/>
      <c r="FZ45" s="184"/>
      <c r="GA45" s="184"/>
      <c r="GB45" s="185"/>
      <c r="GC45" s="195"/>
      <c r="GD45" s="183"/>
      <c r="GE45" s="186"/>
      <c r="GF45" s="186"/>
      <c r="GG45" s="186"/>
      <c r="GH45" s="186"/>
      <c r="GI45" s="186"/>
      <c r="GJ45" s="186"/>
      <c r="GK45" s="186"/>
      <c r="GL45" s="186"/>
      <c r="GM45" s="186"/>
      <c r="GN45" s="186"/>
      <c r="GO45" s="186"/>
      <c r="GP45" s="186"/>
      <c r="GQ45" s="186"/>
      <c r="GR45" s="186"/>
      <c r="GS45" s="186"/>
      <c r="GT45" s="186"/>
      <c r="GU45" s="186"/>
      <c r="GV45" s="186"/>
      <c r="GW45" s="186"/>
      <c r="GX45" s="186"/>
      <c r="GY45" s="186"/>
      <c r="GZ45" s="186"/>
      <c r="HA45" s="186"/>
      <c r="HB45" s="186"/>
      <c r="HC45" s="186"/>
      <c r="HD45" s="186"/>
      <c r="HE45" s="186"/>
      <c r="HF45" s="186"/>
      <c r="HG45" s="187"/>
      <c r="HH45" s="188"/>
      <c r="HI45" s="182"/>
      <c r="HJ45" s="182"/>
      <c r="HK45" s="182"/>
      <c r="HL45" s="182"/>
      <c r="HM45" s="189"/>
      <c r="HN45" s="189"/>
      <c r="HO45" s="190"/>
      <c r="HP45" s="191"/>
      <c r="HQ45" s="191"/>
      <c r="HR45" s="191"/>
      <c r="HS45" s="191"/>
      <c r="HT45" s="191"/>
      <c r="HU45" s="191"/>
      <c r="HV45" s="191"/>
      <c r="HW45" s="191"/>
      <c r="HX45" s="191"/>
      <c r="HY45" s="191"/>
      <c r="HZ45" s="191"/>
      <c r="IA45" s="191"/>
      <c r="IB45" s="191"/>
      <c r="IC45" s="191"/>
      <c r="ID45" s="191"/>
      <c r="IE45" s="192"/>
      <c r="IF45" s="192"/>
      <c r="IG45" s="192"/>
      <c r="IH45" s="192"/>
      <c r="II45" s="192"/>
      <c r="IJ45" s="192"/>
      <c r="IK45" s="192"/>
      <c r="IL45" s="192"/>
      <c r="IM45" s="192"/>
      <c r="IN45" s="192"/>
      <c r="IO45" s="192"/>
      <c r="IP45" s="192"/>
      <c r="IQ45" s="192"/>
      <c r="IR45" s="192"/>
      <c r="IS45" s="192"/>
      <c r="IT45" s="192"/>
      <c r="IU45" s="192"/>
      <c r="IV45" s="192"/>
    </row>
    <row r="46" spans="1:256" s="178" customFormat="1" ht="180" customHeight="1">
      <c r="A46" s="179"/>
      <c r="B46" s="1018" t="s">
        <v>2673</v>
      </c>
      <c r="C46" s="50" t="s">
        <v>2718</v>
      </c>
      <c r="D46" s="935">
        <v>468</v>
      </c>
      <c r="E46" s="935"/>
      <c r="F46" s="935"/>
      <c r="G46" s="935"/>
      <c r="H46" s="935"/>
      <c r="I46" s="935"/>
      <c r="J46" s="935"/>
      <c r="K46" s="935"/>
      <c r="L46" s="935"/>
      <c r="M46" s="935"/>
      <c r="O46" s="936" t="s">
        <v>23</v>
      </c>
      <c r="P46" s="936" t="s">
        <v>10</v>
      </c>
      <c r="Q46" s="936"/>
      <c r="R46" s="936"/>
      <c r="S46" s="17"/>
      <c r="T46" s="52"/>
      <c r="U46" s="17"/>
      <c r="V46" s="44"/>
      <c r="W46" s="49"/>
      <c r="X46" s="38"/>
      <c r="Y46" s="37"/>
      <c r="Z46" s="50"/>
      <c r="AA46" s="37"/>
      <c r="AB46" s="1084">
        <v>3.74</v>
      </c>
      <c r="AC46" s="1084">
        <v>0.26175000000000004</v>
      </c>
      <c r="AD46" s="1084">
        <v>0.22875000000000001</v>
      </c>
      <c r="AE46" s="1084">
        <v>1.3189166666666665</v>
      </c>
      <c r="AF46" s="1084">
        <v>1.1539166666666667</v>
      </c>
      <c r="AG46" s="1084">
        <v>1.1901666666666666</v>
      </c>
      <c r="AH46" s="1084">
        <v>1.0131666656533875</v>
      </c>
      <c r="AI46" s="1084">
        <v>0.96916666666666673</v>
      </c>
      <c r="AJ46" s="1084">
        <v>0.70491666666666664</v>
      </c>
      <c r="AK46" s="1084">
        <v>3.5609999989867211</v>
      </c>
      <c r="AL46" s="901"/>
      <c r="AM46" s="901"/>
      <c r="AN46" s="977" t="s">
        <v>3011</v>
      </c>
      <c r="AO46" s="977" t="s">
        <v>3012</v>
      </c>
      <c r="AP46" s="977" t="s">
        <v>3013</v>
      </c>
      <c r="AQ46" s="977" t="s">
        <v>3014</v>
      </c>
      <c r="AR46" s="977" t="s">
        <v>3015</v>
      </c>
      <c r="AS46" s="977" t="s">
        <v>3016</v>
      </c>
      <c r="AT46" s="977"/>
      <c r="AU46" s="977"/>
      <c r="AV46" s="977"/>
      <c r="AW46" s="977"/>
      <c r="AY46" s="1032">
        <v>2620</v>
      </c>
      <c r="AZ46" s="1032">
        <v>4581.9197240000003</v>
      </c>
      <c r="BA46" s="1033">
        <v>6111.643556</v>
      </c>
      <c r="BB46" s="1033">
        <v>4264.848438</v>
      </c>
      <c r="BC46" s="897"/>
      <c r="BD46" s="897"/>
      <c r="BE46" s="897"/>
      <c r="BF46" s="897"/>
      <c r="BG46" s="897"/>
      <c r="BH46" s="897"/>
      <c r="BI46" s="897"/>
      <c r="BJ46" s="897"/>
      <c r="BK46" s="897"/>
      <c r="BL46" s="897"/>
      <c r="BM46" s="897"/>
      <c r="BN46" s="897"/>
      <c r="BO46" s="897"/>
      <c r="BP46" s="897"/>
      <c r="BQ46" s="897"/>
      <c r="BR46" s="897"/>
      <c r="BS46" s="897"/>
      <c r="BT46" s="897"/>
      <c r="BU46" s="897"/>
      <c r="BV46" s="197"/>
      <c r="BW46" s="197"/>
      <c r="BX46" s="197"/>
      <c r="BY46" s="197"/>
      <c r="BZ46" s="197"/>
      <c r="CA46" s="197"/>
      <c r="CB46" s="197"/>
      <c r="CC46" s="197"/>
      <c r="CD46" s="197"/>
      <c r="CE46" s="197"/>
      <c r="CF46" s="197"/>
      <c r="CG46" s="197"/>
      <c r="CH46" s="197"/>
      <c r="CI46" s="197"/>
      <c r="CJ46" s="197"/>
      <c r="CK46" s="197"/>
      <c r="CL46" s="197"/>
      <c r="CM46" s="197"/>
      <c r="CN46" s="197"/>
      <c r="CO46" s="197"/>
      <c r="CP46" s="197"/>
      <c r="CQ46" s="197"/>
      <c r="CR46" s="896"/>
      <c r="CS46" s="896"/>
      <c r="CT46" s="896"/>
      <c r="CU46" s="896"/>
      <c r="CV46" s="896"/>
      <c r="CW46" s="896"/>
      <c r="CX46" s="896"/>
      <c r="CY46" s="896"/>
      <c r="CZ46" s="896"/>
      <c r="DA46" s="896"/>
      <c r="DB46" s="896"/>
      <c r="DC46" s="896"/>
      <c r="DD46" s="896"/>
      <c r="DE46" s="896"/>
      <c r="DF46" s="896"/>
      <c r="DG46" s="896"/>
      <c r="DH46" s="896"/>
      <c r="DI46" s="896"/>
      <c r="DJ46" s="896"/>
      <c r="DK46" s="896"/>
      <c r="DL46" s="896"/>
      <c r="DM46" s="896"/>
      <c r="DN46" s="896"/>
      <c r="DO46" s="896"/>
      <c r="DP46" s="896"/>
      <c r="DQ46" s="896"/>
      <c r="DR46" s="896"/>
      <c r="DS46" s="896"/>
      <c r="DT46" s="896"/>
      <c r="DU46" s="896"/>
      <c r="DV46" s="896"/>
      <c r="DW46" s="896"/>
      <c r="DX46" s="896"/>
      <c r="DY46" s="896"/>
      <c r="DZ46" s="896"/>
      <c r="EA46" s="896"/>
      <c r="EB46" s="896"/>
      <c r="EC46" s="896"/>
      <c r="ED46" s="896"/>
      <c r="EE46" s="896"/>
      <c r="EF46" s="896"/>
      <c r="EG46" s="896"/>
      <c r="EH46" s="896"/>
      <c r="EI46" s="896"/>
      <c r="EJ46" s="896"/>
      <c r="EK46" s="896"/>
      <c r="EL46" s="181"/>
      <c r="EM46" s="193"/>
      <c r="EN46" s="193"/>
      <c r="EO46" s="193"/>
      <c r="EP46" s="193"/>
      <c r="EQ46" s="193"/>
      <c r="ER46" s="193"/>
      <c r="ES46" s="193"/>
      <c r="ET46" s="193"/>
      <c r="EU46" s="193"/>
      <c r="EV46" s="193"/>
      <c r="EW46" s="193"/>
      <c r="EX46" s="193"/>
      <c r="EY46" s="193"/>
      <c r="EZ46" s="193"/>
      <c r="FA46" s="193"/>
      <c r="FB46" s="193"/>
      <c r="FC46" s="193"/>
      <c r="FD46" s="193"/>
      <c r="FE46" s="193"/>
      <c r="FF46" s="181"/>
      <c r="FG46" s="183"/>
      <c r="FH46" s="194"/>
      <c r="FI46" s="184"/>
      <c r="FJ46" s="184"/>
      <c r="FK46" s="184"/>
      <c r="FL46" s="184"/>
      <c r="FM46" s="184"/>
      <c r="FN46" s="184"/>
      <c r="FO46" s="184"/>
      <c r="FP46" s="184"/>
      <c r="FQ46" s="184"/>
      <c r="FR46" s="184"/>
      <c r="FS46" s="184"/>
      <c r="FT46" s="184"/>
      <c r="FU46" s="184"/>
      <c r="FV46" s="184"/>
      <c r="FW46" s="184"/>
      <c r="FX46" s="184"/>
      <c r="FY46" s="184"/>
      <c r="FZ46" s="184"/>
      <c r="GA46" s="184"/>
      <c r="GB46" s="185"/>
      <c r="GC46" s="195"/>
      <c r="GD46" s="183"/>
      <c r="GE46" s="186"/>
      <c r="GF46" s="186"/>
      <c r="GG46" s="186"/>
      <c r="GH46" s="186"/>
      <c r="GI46" s="186"/>
      <c r="GJ46" s="186"/>
      <c r="GK46" s="186"/>
      <c r="GL46" s="186"/>
      <c r="GM46" s="186"/>
      <c r="GN46" s="186"/>
      <c r="GO46" s="186"/>
      <c r="GP46" s="186"/>
      <c r="GQ46" s="186"/>
      <c r="GR46" s="186"/>
      <c r="GS46" s="186"/>
      <c r="GT46" s="186"/>
      <c r="GU46" s="186"/>
      <c r="GV46" s="186"/>
      <c r="GW46" s="186"/>
      <c r="GX46" s="186"/>
      <c r="GY46" s="186"/>
      <c r="GZ46" s="186"/>
      <c r="HA46" s="186"/>
      <c r="HB46" s="186"/>
      <c r="HC46" s="186"/>
      <c r="HD46" s="186"/>
      <c r="HE46" s="186"/>
      <c r="HF46" s="186"/>
      <c r="HG46" s="187"/>
      <c r="HH46" s="188"/>
      <c r="HI46" s="182"/>
      <c r="HJ46" s="182"/>
      <c r="HK46" s="182"/>
      <c r="HL46" s="182"/>
      <c r="HM46" s="189"/>
      <c r="HN46" s="189"/>
      <c r="HO46" s="190"/>
      <c r="HP46" s="191"/>
      <c r="HQ46" s="191"/>
      <c r="HR46" s="191"/>
      <c r="HS46" s="191"/>
      <c r="HT46" s="191"/>
      <c r="HU46" s="191"/>
      <c r="HV46" s="191"/>
      <c r="HW46" s="191"/>
      <c r="HX46" s="191"/>
      <c r="HY46" s="191"/>
      <c r="HZ46" s="191"/>
      <c r="IA46" s="191"/>
      <c r="IB46" s="191"/>
      <c r="IC46" s="191"/>
      <c r="ID46" s="191"/>
      <c r="IE46" s="192"/>
      <c r="IF46" s="192"/>
      <c r="IG46" s="192"/>
      <c r="IH46" s="192"/>
      <c r="II46" s="192"/>
      <c r="IJ46" s="192"/>
      <c r="IK46" s="192"/>
      <c r="IL46" s="192"/>
      <c r="IM46" s="192"/>
      <c r="IN46" s="192"/>
      <c r="IO46" s="192"/>
      <c r="IP46" s="192"/>
      <c r="IQ46" s="192"/>
      <c r="IR46" s="192"/>
      <c r="IS46" s="192"/>
      <c r="IT46" s="192"/>
      <c r="IU46" s="192"/>
      <c r="IV46" s="192"/>
    </row>
    <row r="47" spans="1:256" s="178" customFormat="1" ht="22.5" customHeight="1">
      <c r="A47" s="179"/>
      <c r="B47" s="1018" t="s">
        <v>2674</v>
      </c>
      <c r="C47" s="50" t="s">
        <v>2719</v>
      </c>
      <c r="D47" s="935">
        <v>486</v>
      </c>
      <c r="E47" s="935"/>
      <c r="F47" s="935"/>
      <c r="G47" s="935"/>
      <c r="H47" s="935"/>
      <c r="I47" s="935"/>
      <c r="J47" s="935"/>
      <c r="K47" s="935"/>
      <c r="L47" s="935"/>
      <c r="M47" s="935"/>
      <c r="O47" s="936" t="s">
        <v>2754</v>
      </c>
      <c r="P47" s="7"/>
      <c r="Q47" s="936"/>
      <c r="R47" s="936"/>
      <c r="S47" s="936"/>
      <c r="T47" s="936"/>
      <c r="U47" s="936"/>
      <c r="V47" s="936"/>
      <c r="W47" s="936"/>
      <c r="X47" s="936"/>
      <c r="Y47" s="37"/>
      <c r="Z47" s="50"/>
      <c r="AA47" s="37"/>
      <c r="AB47" s="1084">
        <v>1.8200000000000003</v>
      </c>
      <c r="AC47" s="1084">
        <v>0.11676923076923078</v>
      </c>
      <c r="AD47" s="1084">
        <v>0.11676923076923078</v>
      </c>
      <c r="AE47" s="1084">
        <v>0.51653461538461531</v>
      </c>
      <c r="AF47" s="1084">
        <v>0.45053461538461548</v>
      </c>
      <c r="AG47" s="1084">
        <v>0.67277692307692305</v>
      </c>
      <c r="AH47" s="1084">
        <v>0.50846192307692306</v>
      </c>
      <c r="AI47" s="1084">
        <v>0.51391923076923074</v>
      </c>
      <c r="AJ47" s="1084">
        <v>0.36475461538461545</v>
      </c>
      <c r="AK47" s="1084">
        <v>1.7127500000000002</v>
      </c>
      <c r="AL47" s="901"/>
      <c r="AM47" s="901"/>
      <c r="AN47" s="978" t="s">
        <v>3017</v>
      </c>
      <c r="AO47" s="978" t="s">
        <v>3018</v>
      </c>
      <c r="AP47" s="978" t="s">
        <v>3019</v>
      </c>
      <c r="AQ47" s="978" t="s">
        <v>3020</v>
      </c>
      <c r="AR47" s="978" t="s">
        <v>3021</v>
      </c>
      <c r="AS47" s="978" t="s">
        <v>3022</v>
      </c>
      <c r="AT47" s="978"/>
      <c r="AU47" s="978"/>
      <c r="AV47" s="978"/>
      <c r="AW47" s="978"/>
      <c r="AY47" s="1032">
        <v>800</v>
      </c>
      <c r="AZ47" s="1032">
        <v>2550</v>
      </c>
      <c r="BA47" s="1033">
        <v>2602.6</v>
      </c>
      <c r="BB47" s="1033">
        <v>1312.8252379999999</v>
      </c>
      <c r="BC47" s="897"/>
      <c r="BD47" s="897"/>
      <c r="BE47" s="897"/>
      <c r="BF47" s="897"/>
      <c r="BG47" s="897"/>
      <c r="BH47" s="897"/>
      <c r="BI47" s="897"/>
      <c r="BJ47" s="897"/>
      <c r="BK47" s="897"/>
      <c r="BL47" s="897"/>
      <c r="BM47" s="897"/>
      <c r="BN47" s="897"/>
      <c r="BO47" s="897"/>
      <c r="BP47" s="897"/>
      <c r="BQ47" s="897"/>
      <c r="BR47" s="897"/>
      <c r="BS47" s="897"/>
      <c r="BT47" s="897"/>
      <c r="BU47" s="897"/>
      <c r="BV47" s="197"/>
      <c r="BW47" s="197"/>
      <c r="BX47" s="197"/>
      <c r="BY47" s="197"/>
      <c r="BZ47" s="197"/>
      <c r="CA47" s="197"/>
      <c r="CB47" s="197"/>
      <c r="CC47" s="197"/>
      <c r="CD47" s="197"/>
      <c r="CE47" s="197"/>
      <c r="CF47" s="197"/>
      <c r="CG47" s="197"/>
      <c r="CH47" s="197"/>
      <c r="CI47" s="197"/>
      <c r="CJ47" s="197"/>
      <c r="CK47" s="197"/>
      <c r="CL47" s="197"/>
      <c r="CM47" s="197"/>
      <c r="CN47" s="197"/>
      <c r="CO47" s="197"/>
      <c r="CP47" s="197"/>
      <c r="CQ47" s="197"/>
      <c r="CR47" s="896"/>
      <c r="CS47" s="896"/>
      <c r="CT47" s="896"/>
      <c r="CU47" s="896"/>
      <c r="CV47" s="896"/>
      <c r="CW47" s="896"/>
      <c r="CX47" s="896"/>
      <c r="CY47" s="896"/>
      <c r="CZ47" s="896"/>
      <c r="DA47" s="896"/>
      <c r="DB47" s="896"/>
      <c r="DC47" s="896"/>
      <c r="DD47" s="896"/>
      <c r="DE47" s="896"/>
      <c r="DF47" s="896"/>
      <c r="DG47" s="896"/>
      <c r="DH47" s="896"/>
      <c r="DI47" s="896"/>
      <c r="DJ47" s="896"/>
      <c r="DK47" s="896"/>
      <c r="DL47" s="896"/>
      <c r="DM47" s="896"/>
      <c r="DN47" s="896"/>
      <c r="DO47" s="896"/>
      <c r="DP47" s="896"/>
      <c r="DQ47" s="896"/>
      <c r="DR47" s="896"/>
      <c r="DS47" s="896"/>
      <c r="DT47" s="896"/>
      <c r="DU47" s="896"/>
      <c r="DV47" s="896"/>
      <c r="DW47" s="896"/>
      <c r="DX47" s="896"/>
      <c r="DY47" s="896"/>
      <c r="DZ47" s="896"/>
      <c r="EA47" s="896"/>
      <c r="EB47" s="896"/>
      <c r="EC47" s="896"/>
      <c r="ED47" s="896"/>
      <c r="EE47" s="896"/>
      <c r="EF47" s="896"/>
      <c r="EG47" s="896"/>
      <c r="EH47" s="896"/>
      <c r="EI47" s="896"/>
      <c r="EJ47" s="896"/>
      <c r="EK47" s="896"/>
      <c r="EL47" s="181"/>
      <c r="EM47" s="193"/>
      <c r="EN47" s="193"/>
      <c r="EO47" s="193"/>
      <c r="EP47" s="193"/>
      <c r="EQ47" s="193"/>
      <c r="ER47" s="193"/>
      <c r="ES47" s="193"/>
      <c r="ET47" s="193"/>
      <c r="EU47" s="193"/>
      <c r="EV47" s="193"/>
      <c r="EW47" s="193"/>
      <c r="EX47" s="193"/>
      <c r="EY47" s="193"/>
      <c r="EZ47" s="193"/>
      <c r="FA47" s="193"/>
      <c r="FB47" s="193"/>
      <c r="FC47" s="193"/>
      <c r="FD47" s="193"/>
      <c r="FE47" s="193"/>
      <c r="FF47" s="181"/>
      <c r="FG47" s="183"/>
      <c r="FH47" s="194"/>
      <c r="FI47" s="184"/>
      <c r="FJ47" s="184"/>
      <c r="FK47" s="184"/>
      <c r="FL47" s="184"/>
      <c r="FM47" s="184"/>
      <c r="FN47" s="184"/>
      <c r="FO47" s="184"/>
      <c r="FP47" s="184"/>
      <c r="FQ47" s="184"/>
      <c r="FR47" s="184"/>
      <c r="FS47" s="184"/>
      <c r="FT47" s="184"/>
      <c r="FU47" s="184"/>
      <c r="FV47" s="184"/>
      <c r="FW47" s="184"/>
      <c r="FX47" s="184"/>
      <c r="FY47" s="184"/>
      <c r="FZ47" s="184"/>
      <c r="GA47" s="184"/>
      <c r="GB47" s="185"/>
      <c r="GC47" s="195"/>
      <c r="GD47" s="183"/>
      <c r="GE47" s="186"/>
      <c r="GF47" s="186"/>
      <c r="GG47" s="186"/>
      <c r="GH47" s="186"/>
      <c r="GI47" s="186"/>
      <c r="GJ47" s="186"/>
      <c r="GK47" s="186"/>
      <c r="GL47" s="186"/>
      <c r="GM47" s="186"/>
      <c r="GN47" s="186"/>
      <c r="GO47" s="186"/>
      <c r="GP47" s="186"/>
      <c r="GQ47" s="186"/>
      <c r="GR47" s="186"/>
      <c r="GS47" s="186"/>
      <c r="GT47" s="186"/>
      <c r="GU47" s="186"/>
      <c r="GV47" s="186"/>
      <c r="GW47" s="186"/>
      <c r="GX47" s="186"/>
      <c r="GY47" s="186"/>
      <c r="GZ47" s="186"/>
      <c r="HA47" s="186"/>
      <c r="HB47" s="186"/>
      <c r="HC47" s="186"/>
      <c r="HD47" s="186"/>
      <c r="HE47" s="186"/>
      <c r="HF47" s="186"/>
      <c r="HG47" s="187"/>
      <c r="HH47" s="188"/>
      <c r="HI47" s="182"/>
      <c r="HJ47" s="182"/>
      <c r="HK47" s="182"/>
      <c r="HL47" s="182"/>
      <c r="HM47" s="189"/>
      <c r="HN47" s="189"/>
      <c r="HO47" s="190"/>
      <c r="HP47" s="191"/>
      <c r="HQ47" s="191"/>
      <c r="HR47" s="191"/>
      <c r="HS47" s="191"/>
      <c r="HT47" s="191"/>
      <c r="HU47" s="191"/>
      <c r="HV47" s="191"/>
      <c r="HW47" s="191"/>
      <c r="HX47" s="191"/>
      <c r="HY47" s="191"/>
      <c r="HZ47" s="191"/>
      <c r="IA47" s="191"/>
      <c r="IB47" s="191"/>
      <c r="IC47" s="191"/>
      <c r="ID47" s="191"/>
      <c r="IE47" s="192"/>
      <c r="IF47" s="192"/>
      <c r="IG47" s="192"/>
      <c r="IH47" s="192"/>
      <c r="II47" s="192"/>
      <c r="IJ47" s="192"/>
      <c r="IK47" s="192"/>
      <c r="IL47" s="192"/>
      <c r="IM47" s="192"/>
      <c r="IN47" s="192"/>
      <c r="IO47" s="192"/>
      <c r="IP47" s="192"/>
      <c r="IQ47" s="192"/>
      <c r="IR47" s="192"/>
      <c r="IS47" s="192"/>
      <c r="IT47" s="192"/>
      <c r="IU47" s="192"/>
      <c r="IV47" s="192"/>
    </row>
    <row r="48" spans="1:256" s="178" customFormat="1" ht="56.25" customHeight="1">
      <c r="A48" s="179"/>
      <c r="B48" s="1018" t="s">
        <v>2675</v>
      </c>
      <c r="C48" s="50" t="s">
        <v>2720</v>
      </c>
      <c r="D48" s="935">
        <v>497</v>
      </c>
      <c r="E48" s="935"/>
      <c r="F48" s="935"/>
      <c r="G48" s="935"/>
      <c r="H48" s="935"/>
      <c r="I48" s="935"/>
      <c r="J48" s="935"/>
      <c r="K48" s="935"/>
      <c r="L48" s="935"/>
      <c r="M48" s="935"/>
      <c r="O48" s="936" t="s">
        <v>18</v>
      </c>
      <c r="P48" s="936"/>
      <c r="Q48" s="936"/>
      <c r="R48" s="936"/>
      <c r="S48" s="936"/>
      <c r="T48" s="936"/>
      <c r="U48" s="936"/>
      <c r="V48" s="936"/>
      <c r="W48" s="936"/>
      <c r="X48" s="936"/>
      <c r="Y48" s="37"/>
      <c r="Z48" s="50"/>
      <c r="AA48" s="37"/>
      <c r="AB48" s="1084">
        <v>0.66500000000000004</v>
      </c>
      <c r="AC48" s="1084">
        <v>0.15769230769230769</v>
      </c>
      <c r="AD48" s="1084">
        <v>0.15769230769230769</v>
      </c>
      <c r="AE48" s="1084">
        <v>0.21544230769230771</v>
      </c>
      <c r="AF48" s="1084">
        <v>0.21544230769230768</v>
      </c>
      <c r="AG48" s="1084">
        <v>0.15967307692307692</v>
      </c>
      <c r="AH48" s="1084">
        <v>0.15967307692307692</v>
      </c>
      <c r="AI48" s="1084">
        <v>0.13219230769230772</v>
      </c>
      <c r="AJ48" s="1084">
        <v>0.13219230769230769</v>
      </c>
      <c r="AK48" s="1084">
        <v>0.66500000000000004</v>
      </c>
      <c r="AL48" s="901"/>
      <c r="AM48" s="901"/>
      <c r="AN48" s="978" t="s">
        <v>3023</v>
      </c>
      <c r="AO48" s="978" t="s">
        <v>3024</v>
      </c>
      <c r="AP48" s="978" t="s">
        <v>3025</v>
      </c>
      <c r="AQ48" s="978" t="s">
        <v>3026</v>
      </c>
      <c r="AR48" s="978" t="s">
        <v>3027</v>
      </c>
      <c r="AS48" s="978" t="s">
        <v>3028</v>
      </c>
      <c r="AT48" s="978"/>
      <c r="AU48" s="978"/>
      <c r="AV48" s="978"/>
      <c r="AW48" s="978"/>
      <c r="AY48" s="1032">
        <v>1299.9125080000001</v>
      </c>
      <c r="AZ48" s="1032">
        <v>3507.0721050000002</v>
      </c>
      <c r="BA48" s="1033">
        <v>5571.8511250000001</v>
      </c>
      <c r="BB48" s="1033">
        <v>8681.5298340000008</v>
      </c>
      <c r="BC48" s="897"/>
      <c r="BD48" s="897"/>
      <c r="BE48" s="897"/>
      <c r="BF48" s="897"/>
      <c r="BG48" s="897"/>
      <c r="BH48" s="897"/>
      <c r="BI48" s="897"/>
      <c r="BJ48" s="897"/>
      <c r="BK48" s="897"/>
      <c r="BL48" s="897"/>
      <c r="BM48" s="897"/>
      <c r="BN48" s="897"/>
      <c r="BO48" s="897"/>
      <c r="BP48" s="897"/>
      <c r="BQ48" s="897"/>
      <c r="BR48" s="897"/>
      <c r="BS48" s="897"/>
      <c r="BT48" s="897"/>
      <c r="BU48" s="897"/>
      <c r="BV48" s="197"/>
      <c r="BW48" s="197"/>
      <c r="BX48" s="197"/>
      <c r="BY48" s="197"/>
      <c r="BZ48" s="197"/>
      <c r="CA48" s="197"/>
      <c r="CB48" s="197"/>
      <c r="CC48" s="197"/>
      <c r="CD48" s="197"/>
      <c r="CE48" s="197"/>
      <c r="CF48" s="197"/>
      <c r="CG48" s="197"/>
      <c r="CH48" s="197"/>
      <c r="CI48" s="197"/>
      <c r="CJ48" s="197"/>
      <c r="CK48" s="197"/>
      <c r="CL48" s="197"/>
      <c r="CM48" s="197"/>
      <c r="CN48" s="197"/>
      <c r="CO48" s="197"/>
      <c r="CP48" s="197"/>
      <c r="CQ48" s="197"/>
      <c r="CR48" s="896"/>
      <c r="CS48" s="896"/>
      <c r="CT48" s="896"/>
      <c r="CU48" s="896"/>
      <c r="CV48" s="896"/>
      <c r="CW48" s="896"/>
      <c r="CX48" s="896"/>
      <c r="CY48" s="896"/>
      <c r="CZ48" s="896"/>
      <c r="DA48" s="896"/>
      <c r="DB48" s="896"/>
      <c r="DC48" s="896"/>
      <c r="DD48" s="896"/>
      <c r="DE48" s="896"/>
      <c r="DF48" s="896"/>
      <c r="DG48" s="896"/>
      <c r="DH48" s="896"/>
      <c r="DI48" s="896"/>
      <c r="DJ48" s="896"/>
      <c r="DK48" s="896"/>
      <c r="DL48" s="896"/>
      <c r="DM48" s="896"/>
      <c r="DN48" s="896"/>
      <c r="DO48" s="896"/>
      <c r="DP48" s="896"/>
      <c r="DQ48" s="896"/>
      <c r="DR48" s="896"/>
      <c r="DS48" s="896"/>
      <c r="DT48" s="896"/>
      <c r="DU48" s="896"/>
      <c r="DV48" s="896"/>
      <c r="DW48" s="896"/>
      <c r="DX48" s="896"/>
      <c r="DY48" s="896"/>
      <c r="DZ48" s="896"/>
      <c r="EA48" s="896"/>
      <c r="EB48" s="896"/>
      <c r="EC48" s="896"/>
      <c r="ED48" s="896"/>
      <c r="EE48" s="896"/>
      <c r="EF48" s="896"/>
      <c r="EG48" s="896"/>
      <c r="EH48" s="896"/>
      <c r="EI48" s="896"/>
      <c r="EJ48" s="896"/>
      <c r="EK48" s="896"/>
      <c r="EL48" s="181"/>
      <c r="EM48" s="193"/>
      <c r="EN48" s="193"/>
      <c r="EO48" s="193"/>
      <c r="EP48" s="193"/>
      <c r="EQ48" s="193"/>
      <c r="ER48" s="193"/>
      <c r="ES48" s="193"/>
      <c r="ET48" s="193"/>
      <c r="EU48" s="193"/>
      <c r="EV48" s="193"/>
      <c r="EW48" s="193"/>
      <c r="EX48" s="193"/>
      <c r="EY48" s="193"/>
      <c r="EZ48" s="193"/>
      <c r="FA48" s="193"/>
      <c r="FB48" s="193"/>
      <c r="FC48" s="193"/>
      <c r="FD48" s="193"/>
      <c r="FE48" s="193"/>
      <c r="FF48" s="181"/>
      <c r="FG48" s="183"/>
      <c r="FH48" s="194"/>
      <c r="FI48" s="184"/>
      <c r="FJ48" s="184"/>
      <c r="FK48" s="184"/>
      <c r="FL48" s="184"/>
      <c r="FM48" s="184"/>
      <c r="FN48" s="184"/>
      <c r="FO48" s="184"/>
      <c r="FP48" s="184"/>
      <c r="FQ48" s="184"/>
      <c r="FR48" s="184"/>
      <c r="FS48" s="184"/>
      <c r="FT48" s="184"/>
      <c r="FU48" s="184"/>
      <c r="FV48" s="184"/>
      <c r="FW48" s="184"/>
      <c r="FX48" s="184"/>
      <c r="FY48" s="184"/>
      <c r="FZ48" s="184"/>
      <c r="GA48" s="184"/>
      <c r="GB48" s="185"/>
      <c r="GC48" s="195"/>
      <c r="GD48" s="183"/>
      <c r="GE48" s="186"/>
      <c r="GF48" s="186"/>
      <c r="GG48" s="186"/>
      <c r="GH48" s="186"/>
      <c r="GI48" s="186"/>
      <c r="GJ48" s="186"/>
      <c r="GK48" s="186"/>
      <c r="GL48" s="186"/>
      <c r="GM48" s="186"/>
      <c r="GN48" s="186"/>
      <c r="GO48" s="186"/>
      <c r="GP48" s="186"/>
      <c r="GQ48" s="186"/>
      <c r="GR48" s="186"/>
      <c r="GS48" s="186"/>
      <c r="GT48" s="186"/>
      <c r="GU48" s="186"/>
      <c r="GV48" s="186"/>
      <c r="GW48" s="186"/>
      <c r="GX48" s="186"/>
      <c r="GY48" s="186"/>
      <c r="GZ48" s="186"/>
      <c r="HA48" s="186"/>
      <c r="HB48" s="186"/>
      <c r="HC48" s="186"/>
      <c r="HD48" s="186"/>
      <c r="HE48" s="186"/>
      <c r="HF48" s="186"/>
      <c r="HG48" s="187"/>
      <c r="HH48" s="188"/>
      <c r="HI48" s="182"/>
      <c r="HJ48" s="182"/>
      <c r="HK48" s="182"/>
      <c r="HL48" s="182"/>
      <c r="HM48" s="189"/>
      <c r="HN48" s="189"/>
      <c r="HO48" s="190"/>
      <c r="HP48" s="191"/>
      <c r="HQ48" s="191"/>
      <c r="HR48" s="191"/>
      <c r="HS48" s="191"/>
      <c r="HT48" s="191"/>
      <c r="HU48" s="191"/>
      <c r="HV48" s="191"/>
      <c r="HW48" s="191"/>
      <c r="HX48" s="191"/>
      <c r="HY48" s="191"/>
      <c r="HZ48" s="191"/>
      <c r="IA48" s="191"/>
      <c r="IB48" s="191"/>
      <c r="IC48" s="191"/>
      <c r="ID48" s="191"/>
      <c r="IE48" s="192"/>
      <c r="IF48" s="192"/>
      <c r="IG48" s="192"/>
      <c r="IH48" s="192"/>
      <c r="II48" s="192"/>
      <c r="IJ48" s="192"/>
      <c r="IK48" s="192"/>
      <c r="IL48" s="192"/>
      <c r="IM48" s="192"/>
      <c r="IN48" s="192"/>
      <c r="IO48" s="192"/>
      <c r="IP48" s="192"/>
      <c r="IQ48" s="192"/>
      <c r="IR48" s="192"/>
      <c r="IS48" s="192"/>
      <c r="IT48" s="192"/>
      <c r="IU48" s="192"/>
      <c r="IV48" s="192"/>
    </row>
    <row r="49" spans="1:256" s="178" customFormat="1" ht="67.5" customHeight="1">
      <c r="A49" s="179"/>
      <c r="B49" s="1018" t="s">
        <v>2676</v>
      </c>
      <c r="C49" s="50" t="s">
        <v>2721</v>
      </c>
      <c r="D49" s="935">
        <v>611</v>
      </c>
      <c r="E49" s="935"/>
      <c r="F49" s="935"/>
      <c r="G49" s="935"/>
      <c r="H49" s="935"/>
      <c r="I49" s="935"/>
      <c r="J49" s="935"/>
      <c r="K49" s="935"/>
      <c r="L49" s="935"/>
      <c r="M49" s="935"/>
      <c r="O49" s="936" t="s">
        <v>9</v>
      </c>
      <c r="P49" s="936"/>
      <c r="Q49" s="936"/>
      <c r="R49" s="936"/>
      <c r="S49" s="936"/>
      <c r="T49" s="936"/>
      <c r="U49" s="936"/>
      <c r="V49" s="936"/>
      <c r="W49" s="936"/>
      <c r="X49" s="936"/>
      <c r="Y49" s="37"/>
      <c r="Z49" s="50"/>
      <c r="AA49" s="37"/>
      <c r="AB49" s="1084">
        <v>2.5010000000000003</v>
      </c>
      <c r="AC49" s="1084">
        <v>0.35920000000000002</v>
      </c>
      <c r="AD49" s="1084">
        <v>0.19420000000000001</v>
      </c>
      <c r="AE49" s="1084">
        <v>0.6836844827586207</v>
      </c>
      <c r="AF49" s="1084">
        <v>0.49650212201591509</v>
      </c>
      <c r="AG49" s="1084">
        <v>0.59494568965517236</v>
      </c>
      <c r="AH49" s="1084">
        <v>0.57432068965517247</v>
      </c>
      <c r="AI49" s="1084">
        <v>0.86316982758620675</v>
      </c>
      <c r="AJ49" s="1084">
        <v>0.75008793103448279</v>
      </c>
      <c r="AK49" s="1084">
        <v>2.4455258620689655</v>
      </c>
      <c r="AL49" s="901"/>
      <c r="AM49" s="901"/>
      <c r="AN49" s="977" t="s">
        <v>3029</v>
      </c>
      <c r="AO49" s="977" t="s">
        <v>3030</v>
      </c>
      <c r="AP49" s="977" t="s">
        <v>3031</v>
      </c>
      <c r="AQ49" s="977" t="s">
        <v>3032</v>
      </c>
      <c r="AR49" s="977" t="s">
        <v>3033</v>
      </c>
      <c r="AS49" s="977" t="s">
        <v>3034</v>
      </c>
      <c r="AT49" s="977" t="s">
        <v>3035</v>
      </c>
      <c r="AU49" s="977" t="s">
        <v>3036</v>
      </c>
      <c r="AV49" s="977" t="s">
        <v>3037</v>
      </c>
      <c r="AW49" s="977"/>
      <c r="AY49" s="1032">
        <v>7785.6354039999997</v>
      </c>
      <c r="AZ49" s="1032">
        <v>18085.700463000001</v>
      </c>
      <c r="BA49" s="1033">
        <v>16197.801176000001</v>
      </c>
      <c r="BB49" s="1033">
        <v>15268.139639000001</v>
      </c>
      <c r="BC49" s="897"/>
      <c r="BD49" s="897"/>
      <c r="BE49" s="897"/>
      <c r="BF49" s="897"/>
      <c r="BG49" s="897"/>
      <c r="BH49" s="897"/>
      <c r="BI49" s="897"/>
      <c r="BJ49" s="897"/>
      <c r="BK49" s="897"/>
      <c r="BL49" s="897"/>
      <c r="BM49" s="897"/>
      <c r="BN49" s="897"/>
      <c r="BO49" s="897"/>
      <c r="BP49" s="897"/>
      <c r="BQ49" s="897"/>
      <c r="BR49" s="897"/>
      <c r="BS49" s="897"/>
      <c r="BT49" s="897"/>
      <c r="BU49" s="897"/>
      <c r="BV49" s="197"/>
      <c r="BW49" s="197"/>
      <c r="BX49" s="197"/>
      <c r="BY49" s="197"/>
      <c r="BZ49" s="197"/>
      <c r="CA49" s="197"/>
      <c r="CB49" s="197"/>
      <c r="CC49" s="197"/>
      <c r="CD49" s="197"/>
      <c r="CE49" s="197"/>
      <c r="CF49" s="197"/>
      <c r="CG49" s="197"/>
      <c r="CH49" s="197"/>
      <c r="CI49" s="197"/>
      <c r="CJ49" s="197"/>
      <c r="CK49" s="197"/>
      <c r="CL49" s="197"/>
      <c r="CM49" s="197"/>
      <c r="CN49" s="197"/>
      <c r="CO49" s="197"/>
      <c r="CP49" s="197"/>
      <c r="CQ49" s="197"/>
      <c r="CR49" s="896"/>
      <c r="CS49" s="896"/>
      <c r="CT49" s="896"/>
      <c r="CU49" s="896"/>
      <c r="CV49" s="896"/>
      <c r="CW49" s="896"/>
      <c r="CX49" s="896"/>
      <c r="CY49" s="896"/>
      <c r="CZ49" s="896"/>
      <c r="DA49" s="896"/>
      <c r="DB49" s="896"/>
      <c r="DC49" s="896"/>
      <c r="DD49" s="896"/>
      <c r="DE49" s="896"/>
      <c r="DF49" s="896"/>
      <c r="DG49" s="896"/>
      <c r="DH49" s="896"/>
      <c r="DI49" s="896"/>
      <c r="DJ49" s="896"/>
      <c r="DK49" s="896"/>
      <c r="DL49" s="896"/>
      <c r="DM49" s="896"/>
      <c r="DN49" s="896"/>
      <c r="DO49" s="896"/>
      <c r="DP49" s="896"/>
      <c r="DQ49" s="896"/>
      <c r="DR49" s="896"/>
      <c r="DS49" s="896"/>
      <c r="DT49" s="896"/>
      <c r="DU49" s="896"/>
      <c r="DV49" s="896"/>
      <c r="DW49" s="896"/>
      <c r="DX49" s="896"/>
      <c r="DY49" s="896"/>
      <c r="DZ49" s="896"/>
      <c r="EA49" s="896"/>
      <c r="EB49" s="896"/>
      <c r="EC49" s="896"/>
      <c r="ED49" s="896"/>
      <c r="EE49" s="896"/>
      <c r="EF49" s="896"/>
      <c r="EG49" s="896"/>
      <c r="EH49" s="896"/>
      <c r="EI49" s="896"/>
      <c r="EJ49" s="896"/>
      <c r="EK49" s="896"/>
      <c r="EL49" s="181"/>
      <c r="EM49" s="193"/>
      <c r="EN49" s="193"/>
      <c r="EO49" s="193"/>
      <c r="EP49" s="193"/>
      <c r="EQ49" s="193"/>
      <c r="ER49" s="193"/>
      <c r="ES49" s="193"/>
      <c r="ET49" s="193"/>
      <c r="EU49" s="193"/>
      <c r="EV49" s="193"/>
      <c r="EW49" s="193"/>
      <c r="EX49" s="193"/>
      <c r="EY49" s="193"/>
      <c r="EZ49" s="193"/>
      <c r="FA49" s="193"/>
      <c r="FB49" s="193"/>
      <c r="FC49" s="193"/>
      <c r="FD49" s="193"/>
      <c r="FE49" s="193"/>
      <c r="FF49" s="181"/>
      <c r="FG49" s="183"/>
      <c r="FH49" s="194"/>
      <c r="FI49" s="184"/>
      <c r="FJ49" s="184"/>
      <c r="FK49" s="184"/>
      <c r="FL49" s="184"/>
      <c r="FM49" s="184"/>
      <c r="FN49" s="184"/>
      <c r="FO49" s="184"/>
      <c r="FP49" s="184"/>
      <c r="FQ49" s="184"/>
      <c r="FR49" s="184"/>
      <c r="FS49" s="184"/>
      <c r="FT49" s="184"/>
      <c r="FU49" s="184"/>
      <c r="FV49" s="184"/>
      <c r="FW49" s="184"/>
      <c r="FX49" s="184"/>
      <c r="FY49" s="184"/>
      <c r="FZ49" s="184"/>
      <c r="GA49" s="184"/>
      <c r="GB49" s="185"/>
      <c r="GC49" s="195"/>
      <c r="GD49" s="183"/>
      <c r="GE49" s="186"/>
      <c r="GF49" s="186"/>
      <c r="GG49" s="186"/>
      <c r="GH49" s="186"/>
      <c r="GI49" s="186"/>
      <c r="GJ49" s="186"/>
      <c r="GK49" s="186"/>
      <c r="GL49" s="186"/>
      <c r="GM49" s="186"/>
      <c r="GN49" s="186"/>
      <c r="GO49" s="186"/>
      <c r="GP49" s="186"/>
      <c r="GQ49" s="186"/>
      <c r="GR49" s="186"/>
      <c r="GS49" s="186"/>
      <c r="GT49" s="186"/>
      <c r="GU49" s="186"/>
      <c r="GV49" s="186"/>
      <c r="GW49" s="186"/>
      <c r="GX49" s="186"/>
      <c r="GY49" s="186"/>
      <c r="GZ49" s="186"/>
      <c r="HA49" s="186"/>
      <c r="HB49" s="186"/>
      <c r="HC49" s="186"/>
      <c r="HD49" s="186"/>
      <c r="HE49" s="186"/>
      <c r="HF49" s="186"/>
      <c r="HG49" s="187"/>
      <c r="HH49" s="188"/>
      <c r="HI49" s="182"/>
      <c r="HJ49" s="182"/>
      <c r="HK49" s="182"/>
      <c r="HL49" s="182"/>
      <c r="HM49" s="189"/>
      <c r="HN49" s="189"/>
      <c r="HO49" s="190"/>
      <c r="HP49" s="191"/>
      <c r="HQ49" s="191"/>
      <c r="HR49" s="191"/>
      <c r="HS49" s="191"/>
      <c r="HT49" s="191"/>
      <c r="HU49" s="191"/>
      <c r="HV49" s="191"/>
      <c r="HW49" s="191"/>
      <c r="HX49" s="191"/>
      <c r="HY49" s="191"/>
      <c r="HZ49" s="191"/>
      <c r="IA49" s="191"/>
      <c r="IB49" s="191"/>
      <c r="IC49" s="191"/>
      <c r="ID49" s="191"/>
      <c r="IE49" s="192"/>
      <c r="IF49" s="192"/>
      <c r="IG49" s="192"/>
      <c r="IH49" s="192"/>
      <c r="II49" s="192"/>
      <c r="IJ49" s="192"/>
      <c r="IK49" s="192"/>
      <c r="IL49" s="192"/>
      <c r="IM49" s="192"/>
      <c r="IN49" s="192"/>
      <c r="IO49" s="192"/>
      <c r="IP49" s="192"/>
      <c r="IQ49" s="192"/>
      <c r="IR49" s="192"/>
      <c r="IS49" s="192"/>
      <c r="IT49" s="192"/>
      <c r="IU49" s="192"/>
      <c r="IV49" s="192"/>
    </row>
    <row r="50" spans="1:256" s="178" customFormat="1" ht="45" customHeight="1">
      <c r="A50" s="179"/>
      <c r="B50" s="1018" t="s">
        <v>2677</v>
      </c>
      <c r="C50" s="50" t="s">
        <v>2722</v>
      </c>
      <c r="D50" s="935">
        <v>521</v>
      </c>
      <c r="E50" s="935">
        <v>612</v>
      </c>
      <c r="F50" s="935">
        <v>613</v>
      </c>
      <c r="G50" s="935">
        <v>614</v>
      </c>
      <c r="H50" s="935">
        <v>615</v>
      </c>
      <c r="I50" s="935"/>
      <c r="J50" s="935"/>
      <c r="K50" s="935"/>
      <c r="L50" s="935"/>
      <c r="M50" s="935"/>
      <c r="O50" s="936" t="s">
        <v>26</v>
      </c>
      <c r="P50" s="936" t="s">
        <v>25</v>
      </c>
      <c r="Q50" s="936" t="s">
        <v>24</v>
      </c>
      <c r="R50" s="936" t="s">
        <v>27</v>
      </c>
      <c r="S50" s="936" t="s">
        <v>28</v>
      </c>
      <c r="T50" s="936" t="s">
        <v>19</v>
      </c>
      <c r="U50" s="936" t="s">
        <v>29</v>
      </c>
      <c r="V50" s="936" t="s">
        <v>10</v>
      </c>
      <c r="W50" s="936"/>
      <c r="X50" s="936"/>
      <c r="Y50" s="37"/>
      <c r="Z50" s="45"/>
      <c r="AA50" s="37"/>
      <c r="AB50" s="1084">
        <v>3.7356400000000001</v>
      </c>
      <c r="AC50" s="1084">
        <v>0.69594657368498025</v>
      </c>
      <c r="AD50" s="1084">
        <v>0.66018913575306326</v>
      </c>
      <c r="AE50" s="1084">
        <v>1.0648186123046932</v>
      </c>
      <c r="AF50" s="1084">
        <v>1.0066339445356416</v>
      </c>
      <c r="AG50" s="1084">
        <v>1.031783275426216</v>
      </c>
      <c r="AH50" s="1084">
        <v>0.96871121546076489</v>
      </c>
      <c r="AI50" s="1084">
        <v>0.94309153858411077</v>
      </c>
      <c r="AJ50" s="1084">
        <v>0.83643004780988828</v>
      </c>
      <c r="AK50" s="1084">
        <v>3.5812364432706718</v>
      </c>
      <c r="AL50" s="901"/>
      <c r="AM50" s="901"/>
      <c r="AN50" s="978" t="s">
        <v>3038</v>
      </c>
      <c r="AO50" s="978" t="s">
        <v>3039</v>
      </c>
      <c r="AP50" s="978" t="s">
        <v>3040</v>
      </c>
      <c r="AQ50" s="978" t="s">
        <v>3041</v>
      </c>
      <c r="AR50" s="978" t="s">
        <v>3042</v>
      </c>
      <c r="AS50" s="978" t="s">
        <v>3043</v>
      </c>
      <c r="AT50" s="978" t="s">
        <v>3044</v>
      </c>
      <c r="AU50" s="978" t="s">
        <v>3045</v>
      </c>
      <c r="AV50" s="978" t="s">
        <v>3046</v>
      </c>
      <c r="AW50" s="978" t="s">
        <v>3047</v>
      </c>
      <c r="AY50" s="1032">
        <v>287928.47567400004</v>
      </c>
      <c r="AZ50" s="1032">
        <v>293728.21939900005</v>
      </c>
      <c r="BA50" s="1033">
        <v>291440.665989</v>
      </c>
      <c r="BB50" s="1033">
        <v>197039.273888</v>
      </c>
      <c r="BC50" s="897"/>
      <c r="BD50" s="897"/>
      <c r="BE50" s="897"/>
      <c r="BF50" s="897"/>
      <c r="BG50" s="897"/>
      <c r="BH50" s="897"/>
      <c r="BI50" s="897"/>
      <c r="BJ50" s="897"/>
      <c r="BK50" s="897"/>
      <c r="BL50" s="897"/>
      <c r="BM50" s="897"/>
      <c r="BN50" s="897"/>
      <c r="BO50" s="897"/>
      <c r="BP50" s="897"/>
      <c r="BQ50" s="897"/>
      <c r="BR50" s="897"/>
      <c r="BS50" s="897"/>
      <c r="BT50" s="897"/>
      <c r="BU50" s="897"/>
      <c r="BV50" s="197"/>
      <c r="BW50" s="197"/>
      <c r="BX50" s="197"/>
      <c r="BY50" s="197"/>
      <c r="BZ50" s="197"/>
      <c r="CA50" s="197"/>
      <c r="CB50" s="197"/>
      <c r="CC50" s="197"/>
      <c r="CD50" s="197"/>
      <c r="CE50" s="197"/>
      <c r="CF50" s="197"/>
      <c r="CG50" s="197"/>
      <c r="CH50" s="197"/>
      <c r="CI50" s="197"/>
      <c r="CJ50" s="197"/>
      <c r="CK50" s="197"/>
      <c r="CL50" s="197"/>
      <c r="CM50" s="197"/>
      <c r="CN50" s="197"/>
      <c r="CO50" s="197"/>
      <c r="CP50" s="197"/>
      <c r="CQ50" s="197"/>
      <c r="CR50" s="896"/>
      <c r="CS50" s="896"/>
      <c r="CT50" s="896"/>
      <c r="CU50" s="896"/>
      <c r="CV50" s="896"/>
      <c r="CW50" s="896"/>
      <c r="CX50" s="896"/>
      <c r="CY50" s="896"/>
      <c r="CZ50" s="896"/>
      <c r="DA50" s="896"/>
      <c r="DB50" s="896"/>
      <c r="DC50" s="896"/>
      <c r="DD50" s="896"/>
      <c r="DE50" s="896"/>
      <c r="DF50" s="896"/>
      <c r="DG50" s="896"/>
      <c r="DH50" s="896"/>
      <c r="DI50" s="896"/>
      <c r="DJ50" s="896"/>
      <c r="DK50" s="896"/>
      <c r="DL50" s="896"/>
      <c r="DM50" s="896"/>
      <c r="DN50" s="896"/>
      <c r="DO50" s="896"/>
      <c r="DP50" s="896"/>
      <c r="DQ50" s="896"/>
      <c r="DR50" s="896"/>
      <c r="DS50" s="896"/>
      <c r="DT50" s="896"/>
      <c r="DU50" s="896"/>
      <c r="DV50" s="896"/>
      <c r="DW50" s="896"/>
      <c r="DX50" s="896"/>
      <c r="DY50" s="896"/>
      <c r="DZ50" s="896"/>
      <c r="EA50" s="896"/>
      <c r="EB50" s="896"/>
      <c r="EC50" s="896"/>
      <c r="ED50" s="896"/>
      <c r="EE50" s="896"/>
      <c r="EF50" s="896"/>
      <c r="EG50" s="896"/>
      <c r="EH50" s="896"/>
      <c r="EI50" s="896"/>
      <c r="EJ50" s="896"/>
      <c r="EK50" s="896"/>
      <c r="EL50" s="181"/>
      <c r="EM50" s="193"/>
      <c r="EN50" s="193"/>
      <c r="EO50" s="193"/>
      <c r="EP50" s="193"/>
      <c r="EQ50" s="193"/>
      <c r="ER50" s="193"/>
      <c r="ES50" s="193"/>
      <c r="ET50" s="193"/>
      <c r="EU50" s="193"/>
      <c r="EV50" s="193"/>
      <c r="EW50" s="193"/>
      <c r="EX50" s="193"/>
      <c r="EY50" s="193"/>
      <c r="EZ50" s="193"/>
      <c r="FA50" s="193"/>
      <c r="FB50" s="193"/>
      <c r="FC50" s="193"/>
      <c r="FD50" s="193"/>
      <c r="FE50" s="193"/>
      <c r="FF50" s="181"/>
      <c r="FG50" s="183"/>
      <c r="FH50" s="194"/>
      <c r="FI50" s="184"/>
      <c r="FJ50" s="184"/>
      <c r="FK50" s="184"/>
      <c r="FL50" s="184"/>
      <c r="FM50" s="184"/>
      <c r="FN50" s="184"/>
      <c r="FO50" s="184"/>
      <c r="FP50" s="184"/>
      <c r="FQ50" s="184"/>
      <c r="FR50" s="184"/>
      <c r="FS50" s="184"/>
      <c r="FT50" s="184"/>
      <c r="FU50" s="184"/>
      <c r="FV50" s="184"/>
      <c r="FW50" s="184"/>
      <c r="FX50" s="184"/>
      <c r="FY50" s="184"/>
      <c r="FZ50" s="184"/>
      <c r="GA50" s="184"/>
      <c r="GB50" s="185"/>
      <c r="GC50" s="195"/>
      <c r="GD50" s="183"/>
      <c r="GE50" s="186"/>
      <c r="GF50" s="186"/>
      <c r="GG50" s="186"/>
      <c r="GH50" s="186"/>
      <c r="GI50" s="186"/>
      <c r="GJ50" s="186"/>
      <c r="GK50" s="186"/>
      <c r="GL50" s="186"/>
      <c r="GM50" s="186"/>
      <c r="GN50" s="186"/>
      <c r="GO50" s="186"/>
      <c r="GP50" s="186"/>
      <c r="GQ50" s="186"/>
      <c r="GR50" s="186"/>
      <c r="GS50" s="186"/>
      <c r="GT50" s="186"/>
      <c r="GU50" s="186"/>
      <c r="GV50" s="186"/>
      <c r="GW50" s="186"/>
      <c r="GX50" s="186"/>
      <c r="GY50" s="186"/>
      <c r="GZ50" s="186"/>
      <c r="HA50" s="186"/>
      <c r="HB50" s="186"/>
      <c r="HC50" s="186"/>
      <c r="HD50" s="186"/>
      <c r="HE50" s="186"/>
      <c r="HF50" s="186"/>
      <c r="HG50" s="187"/>
      <c r="HH50" s="188"/>
      <c r="HI50" s="182"/>
      <c r="HJ50" s="182"/>
      <c r="HK50" s="182"/>
      <c r="HL50" s="182"/>
      <c r="HM50" s="189"/>
      <c r="HN50" s="189"/>
      <c r="HO50" s="190"/>
      <c r="HP50" s="191"/>
      <c r="HQ50" s="191"/>
      <c r="HR50" s="191"/>
      <c r="HS50" s="191"/>
      <c r="HT50" s="191"/>
      <c r="HU50" s="191"/>
      <c r="HV50" s="191"/>
      <c r="HW50" s="191"/>
      <c r="HX50" s="191"/>
      <c r="HY50" s="191"/>
      <c r="HZ50" s="191"/>
      <c r="IA50" s="191"/>
      <c r="IB50" s="191"/>
      <c r="IC50" s="191"/>
      <c r="ID50" s="191"/>
      <c r="IE50" s="192"/>
      <c r="IF50" s="192"/>
      <c r="IG50" s="192"/>
      <c r="IH50" s="192"/>
      <c r="II50" s="192"/>
      <c r="IJ50" s="192"/>
      <c r="IK50" s="192"/>
      <c r="IL50" s="192"/>
      <c r="IM50" s="192"/>
      <c r="IN50" s="192"/>
      <c r="IO50" s="192"/>
      <c r="IP50" s="192"/>
      <c r="IQ50" s="192"/>
      <c r="IR50" s="192"/>
      <c r="IS50" s="192"/>
      <c r="IT50" s="192"/>
      <c r="IU50" s="192"/>
      <c r="IV50" s="192"/>
    </row>
    <row r="51" spans="1:256" s="178" customFormat="1" ht="45" customHeight="1">
      <c r="A51" s="179"/>
      <c r="B51" s="1018" t="s">
        <v>2678</v>
      </c>
      <c r="C51" s="50" t="s">
        <v>2723</v>
      </c>
      <c r="D51" s="935">
        <v>616</v>
      </c>
      <c r="E51" s="935">
        <v>617</v>
      </c>
      <c r="F51" s="935">
        <v>618</v>
      </c>
      <c r="G51" s="935"/>
      <c r="H51" s="935"/>
      <c r="I51" s="935"/>
      <c r="J51" s="935"/>
      <c r="K51" s="935"/>
      <c r="L51" s="935"/>
      <c r="M51" s="935"/>
      <c r="O51" s="19" t="s">
        <v>19</v>
      </c>
      <c r="P51" s="19" t="s">
        <v>9</v>
      </c>
      <c r="Q51" s="7"/>
      <c r="R51" s="19"/>
      <c r="S51" s="19"/>
      <c r="T51" s="19"/>
      <c r="U51" s="19"/>
      <c r="V51" s="19"/>
      <c r="W51" s="19"/>
      <c r="X51" s="19"/>
      <c r="Y51" s="37"/>
      <c r="Z51" s="50"/>
      <c r="AA51" s="37"/>
      <c r="AB51" s="1082">
        <v>1.673</v>
      </c>
      <c r="AC51" s="1082">
        <v>0.31866666666666665</v>
      </c>
      <c r="AD51" s="1082">
        <v>0.27741666666666664</v>
      </c>
      <c r="AE51" s="1082">
        <v>0.40413333333333329</v>
      </c>
      <c r="AF51" s="1082">
        <v>0.30038333333333328</v>
      </c>
      <c r="AG51" s="1082">
        <v>0.53901666666666659</v>
      </c>
      <c r="AH51" s="1082">
        <v>0.43198333333333333</v>
      </c>
      <c r="AI51" s="1082">
        <v>0.41118333333333335</v>
      </c>
      <c r="AJ51" s="1082">
        <v>0.18659999999999999</v>
      </c>
      <c r="AK51" s="1082">
        <v>1.5080500000000001</v>
      </c>
      <c r="AL51" s="888"/>
      <c r="AM51" s="888"/>
      <c r="AN51" s="977" t="s">
        <v>3048</v>
      </c>
      <c r="AO51" s="977" t="s">
        <v>3049</v>
      </c>
      <c r="AP51" s="977" t="s">
        <v>3050</v>
      </c>
      <c r="AQ51" s="977" t="s">
        <v>3051</v>
      </c>
      <c r="AR51" s="977" t="s">
        <v>3052</v>
      </c>
      <c r="AS51" s="977" t="s">
        <v>3053</v>
      </c>
      <c r="AT51" s="977"/>
      <c r="AU51" s="977"/>
      <c r="AV51" s="977"/>
      <c r="AW51" s="977"/>
      <c r="AY51" s="1032">
        <v>1186.3477699999999</v>
      </c>
      <c r="AZ51" s="1032">
        <v>2300.27567</v>
      </c>
      <c r="BA51" s="1033">
        <v>5565.8231900000001</v>
      </c>
      <c r="BB51" s="1033">
        <v>3032.1667050000001</v>
      </c>
      <c r="BC51" s="897"/>
      <c r="BD51" s="897"/>
      <c r="BE51" s="897"/>
      <c r="BF51" s="897"/>
      <c r="BG51" s="897"/>
      <c r="BH51" s="897"/>
      <c r="BI51" s="897"/>
      <c r="BJ51" s="897"/>
      <c r="BK51" s="897"/>
      <c r="BL51" s="897"/>
      <c r="BM51" s="897"/>
      <c r="BN51" s="897"/>
      <c r="BO51" s="897"/>
      <c r="BP51" s="897"/>
      <c r="BQ51" s="897"/>
      <c r="BR51" s="897"/>
      <c r="BS51" s="897"/>
      <c r="BT51" s="897"/>
      <c r="BU51" s="897"/>
      <c r="BV51" s="197"/>
      <c r="BW51" s="197"/>
      <c r="BX51" s="197"/>
      <c r="BY51" s="197"/>
      <c r="BZ51" s="197"/>
      <c r="CA51" s="197"/>
      <c r="CB51" s="197"/>
      <c r="CC51" s="197"/>
      <c r="CD51" s="197"/>
      <c r="CE51" s="197"/>
      <c r="CF51" s="197"/>
      <c r="CG51" s="197"/>
      <c r="CH51" s="197"/>
      <c r="CI51" s="197"/>
      <c r="CJ51" s="197"/>
      <c r="CK51" s="197"/>
      <c r="CL51" s="197"/>
      <c r="CM51" s="197"/>
      <c r="CN51" s="197"/>
      <c r="CO51" s="197"/>
      <c r="CP51" s="197"/>
      <c r="CQ51" s="197"/>
      <c r="CR51" s="896"/>
      <c r="CS51" s="896"/>
      <c r="CT51" s="896"/>
      <c r="CU51" s="896"/>
      <c r="CV51" s="896"/>
      <c r="CW51" s="896"/>
      <c r="CX51" s="896"/>
      <c r="CY51" s="896"/>
      <c r="CZ51" s="896"/>
      <c r="DA51" s="896"/>
      <c r="DB51" s="896"/>
      <c r="DC51" s="896"/>
      <c r="DD51" s="896"/>
      <c r="DE51" s="896"/>
      <c r="DF51" s="896"/>
      <c r="DG51" s="896"/>
      <c r="DH51" s="896"/>
      <c r="DI51" s="896"/>
      <c r="DJ51" s="896"/>
      <c r="DK51" s="896"/>
      <c r="DL51" s="896"/>
      <c r="DM51" s="896"/>
      <c r="DN51" s="896"/>
      <c r="DO51" s="896"/>
      <c r="DP51" s="896"/>
      <c r="DQ51" s="896"/>
      <c r="DR51" s="896"/>
      <c r="DS51" s="896"/>
      <c r="DT51" s="896"/>
      <c r="DU51" s="896"/>
      <c r="DV51" s="896"/>
      <c r="DW51" s="896"/>
      <c r="DX51" s="896"/>
      <c r="DY51" s="896"/>
      <c r="DZ51" s="896"/>
      <c r="EA51" s="896"/>
      <c r="EB51" s="896"/>
      <c r="EC51" s="896"/>
      <c r="ED51" s="896"/>
      <c r="EE51" s="896"/>
      <c r="EF51" s="896"/>
      <c r="EG51" s="896"/>
      <c r="EH51" s="896"/>
      <c r="EI51" s="896"/>
      <c r="EJ51" s="896"/>
      <c r="EK51" s="896"/>
      <c r="EL51" s="181"/>
      <c r="EM51" s="193"/>
      <c r="EN51" s="193"/>
      <c r="EO51" s="193"/>
      <c r="EP51" s="193"/>
      <c r="EQ51" s="193"/>
      <c r="ER51" s="193"/>
      <c r="ES51" s="193"/>
      <c r="ET51" s="193"/>
      <c r="EU51" s="193"/>
      <c r="EV51" s="193"/>
      <c r="EW51" s="193"/>
      <c r="EX51" s="193"/>
      <c r="EY51" s="193"/>
      <c r="EZ51" s="193"/>
      <c r="FA51" s="193"/>
      <c r="FB51" s="193"/>
      <c r="FC51" s="193"/>
      <c r="FD51" s="193"/>
      <c r="FE51" s="193"/>
      <c r="FF51" s="181"/>
      <c r="FG51" s="183"/>
      <c r="FH51" s="194"/>
      <c r="FI51" s="184"/>
      <c r="FJ51" s="184"/>
      <c r="FK51" s="184"/>
      <c r="FL51" s="184"/>
      <c r="FM51" s="184"/>
      <c r="FN51" s="184"/>
      <c r="FO51" s="184"/>
      <c r="FP51" s="184"/>
      <c r="FQ51" s="184"/>
      <c r="FR51" s="184"/>
      <c r="FS51" s="184"/>
      <c r="FT51" s="184"/>
      <c r="FU51" s="184"/>
      <c r="FV51" s="184"/>
      <c r="FW51" s="184"/>
      <c r="FX51" s="184"/>
      <c r="FY51" s="184"/>
      <c r="FZ51" s="184"/>
      <c r="GA51" s="184"/>
      <c r="GB51" s="185"/>
      <c r="GC51" s="195"/>
      <c r="GD51" s="183"/>
      <c r="GE51" s="186"/>
      <c r="GF51" s="186"/>
      <c r="GG51" s="186"/>
      <c r="GH51" s="186"/>
      <c r="GI51" s="186"/>
      <c r="GJ51" s="186"/>
      <c r="GK51" s="186"/>
      <c r="GL51" s="186"/>
      <c r="GM51" s="186"/>
      <c r="GN51" s="186"/>
      <c r="GO51" s="186"/>
      <c r="GP51" s="186"/>
      <c r="GQ51" s="186"/>
      <c r="GR51" s="186"/>
      <c r="GS51" s="186"/>
      <c r="GT51" s="186"/>
      <c r="GU51" s="186"/>
      <c r="GV51" s="186"/>
      <c r="GW51" s="186"/>
      <c r="GX51" s="186"/>
      <c r="GY51" s="186"/>
      <c r="GZ51" s="186"/>
      <c r="HA51" s="186"/>
      <c r="HB51" s="186"/>
      <c r="HC51" s="186"/>
      <c r="HD51" s="186"/>
      <c r="HE51" s="186"/>
      <c r="HF51" s="186"/>
      <c r="HG51" s="187"/>
      <c r="HH51" s="188"/>
      <c r="HI51" s="182"/>
      <c r="HJ51" s="182"/>
      <c r="HK51" s="182"/>
      <c r="HL51" s="182"/>
      <c r="HM51" s="189"/>
      <c r="HN51" s="189"/>
      <c r="HO51" s="190"/>
      <c r="HP51" s="191"/>
      <c r="HQ51" s="191"/>
      <c r="HR51" s="191"/>
      <c r="HS51" s="191"/>
      <c r="HT51" s="191"/>
      <c r="HU51" s="191"/>
      <c r="HV51" s="191"/>
      <c r="HW51" s="191"/>
      <c r="HX51" s="191"/>
      <c r="HY51" s="191"/>
      <c r="HZ51" s="191"/>
      <c r="IA51" s="191"/>
      <c r="IB51" s="191"/>
      <c r="IC51" s="191"/>
      <c r="ID51" s="191"/>
      <c r="IE51" s="192"/>
      <c r="IF51" s="192"/>
      <c r="IG51" s="192"/>
      <c r="IH51" s="192"/>
      <c r="II51" s="192"/>
      <c r="IJ51" s="192"/>
      <c r="IK51" s="192"/>
      <c r="IL51" s="192"/>
      <c r="IM51" s="192"/>
      <c r="IN51" s="192"/>
      <c r="IO51" s="192"/>
      <c r="IP51" s="192"/>
      <c r="IQ51" s="192"/>
      <c r="IR51" s="192"/>
      <c r="IS51" s="192"/>
      <c r="IT51" s="192"/>
      <c r="IU51" s="192"/>
      <c r="IV51" s="192"/>
    </row>
    <row r="52" spans="1:256" s="178" customFormat="1" ht="56.25" customHeight="1">
      <c r="A52" s="179"/>
      <c r="B52" s="1018" t="s">
        <v>2679</v>
      </c>
      <c r="C52" s="50" t="s">
        <v>2724</v>
      </c>
      <c r="D52" s="935">
        <v>619</v>
      </c>
      <c r="E52" s="935"/>
      <c r="F52" s="935"/>
      <c r="G52" s="935"/>
      <c r="H52" s="935"/>
      <c r="I52" s="935"/>
      <c r="J52" s="935"/>
      <c r="K52" s="935"/>
      <c r="L52" s="935"/>
      <c r="M52" s="935"/>
      <c r="O52" s="19" t="s">
        <v>12</v>
      </c>
      <c r="P52" s="19" t="s">
        <v>7</v>
      </c>
      <c r="Q52" s="19" t="s">
        <v>9</v>
      </c>
      <c r="R52" s="19" t="s">
        <v>19</v>
      </c>
      <c r="S52" s="19" t="s">
        <v>10</v>
      </c>
      <c r="T52" s="19"/>
      <c r="U52" s="19"/>
      <c r="V52" s="19"/>
      <c r="W52" s="19"/>
      <c r="X52" s="19"/>
      <c r="Y52" s="37"/>
      <c r="Z52" s="50"/>
      <c r="AA52" s="37"/>
      <c r="AB52" s="1082">
        <v>2.1590000000000003</v>
      </c>
      <c r="AC52" s="1082">
        <v>0.23181443893437895</v>
      </c>
      <c r="AD52" s="1082">
        <v>0.21931443893437896</v>
      </c>
      <c r="AE52" s="1082">
        <v>0.85783882149357693</v>
      </c>
      <c r="AF52" s="1082">
        <v>0.66242215482691025</v>
      </c>
      <c r="AG52" s="1082">
        <v>0.62455832681027545</v>
      </c>
      <c r="AH52" s="1082">
        <v>0.43247911888948343</v>
      </c>
      <c r="AI52" s="1082">
        <v>0.44478841276176867</v>
      </c>
      <c r="AJ52" s="1082">
        <v>0.30483032916076641</v>
      </c>
      <c r="AK52" s="1082">
        <v>1.9417227722772279</v>
      </c>
      <c r="AL52" s="888"/>
      <c r="AM52" s="888"/>
      <c r="AN52" s="979" t="s">
        <v>3054</v>
      </c>
      <c r="AO52" s="979" t="s">
        <v>3055</v>
      </c>
      <c r="AP52" s="979" t="s">
        <v>3056</v>
      </c>
      <c r="AQ52" s="979" t="s">
        <v>3057</v>
      </c>
      <c r="AR52" s="979" t="s">
        <v>3058</v>
      </c>
      <c r="AS52" s="979" t="s">
        <v>3059</v>
      </c>
      <c r="AT52" s="979" t="s">
        <v>3060</v>
      </c>
      <c r="AU52" s="979" t="s">
        <v>3061</v>
      </c>
      <c r="AV52" s="979"/>
      <c r="AW52" s="979"/>
      <c r="AY52" s="1032">
        <v>5101.6069189999998</v>
      </c>
      <c r="AZ52" s="1032">
        <v>9300.6811340000022</v>
      </c>
      <c r="BA52" s="1033">
        <v>8782.6614900000004</v>
      </c>
      <c r="BB52" s="1033">
        <v>2290.0295380000002</v>
      </c>
      <c r="BC52" s="897"/>
      <c r="BD52" s="897"/>
      <c r="BE52" s="897"/>
      <c r="BF52" s="897"/>
      <c r="BG52" s="897"/>
      <c r="BH52" s="897"/>
      <c r="BI52" s="897"/>
      <c r="BJ52" s="897"/>
      <c r="BK52" s="897"/>
      <c r="BL52" s="897"/>
      <c r="BM52" s="897"/>
      <c r="BN52" s="897"/>
      <c r="BO52" s="897"/>
      <c r="BP52" s="897"/>
      <c r="BQ52" s="897"/>
      <c r="BR52" s="897"/>
      <c r="BS52" s="897"/>
      <c r="BT52" s="897"/>
      <c r="BU52" s="897"/>
      <c r="BV52" s="197"/>
      <c r="BW52" s="197"/>
      <c r="BX52" s="197"/>
      <c r="BY52" s="197"/>
      <c r="BZ52" s="197"/>
      <c r="CA52" s="197"/>
      <c r="CB52" s="197"/>
      <c r="CC52" s="197"/>
      <c r="CD52" s="197"/>
      <c r="CE52" s="197"/>
      <c r="CF52" s="197"/>
      <c r="CG52" s="197"/>
      <c r="CH52" s="197"/>
      <c r="CI52" s="197"/>
      <c r="CJ52" s="197"/>
      <c r="CK52" s="197"/>
      <c r="CL52" s="197"/>
      <c r="CM52" s="197"/>
      <c r="CN52" s="197"/>
      <c r="CO52" s="197"/>
      <c r="CP52" s="197"/>
      <c r="CQ52" s="197"/>
      <c r="CR52" s="896"/>
      <c r="CS52" s="896"/>
      <c r="CT52" s="896"/>
      <c r="CU52" s="896"/>
      <c r="CV52" s="896"/>
      <c r="CW52" s="896"/>
      <c r="CX52" s="896"/>
      <c r="CY52" s="896"/>
      <c r="CZ52" s="896"/>
      <c r="DA52" s="896"/>
      <c r="DB52" s="896"/>
      <c r="DC52" s="896"/>
      <c r="DD52" s="896"/>
      <c r="DE52" s="896"/>
      <c r="DF52" s="896"/>
      <c r="DG52" s="896"/>
      <c r="DH52" s="896"/>
      <c r="DI52" s="896"/>
      <c r="DJ52" s="896"/>
      <c r="DK52" s="896"/>
      <c r="DL52" s="896"/>
      <c r="DM52" s="896"/>
      <c r="DN52" s="896"/>
      <c r="DO52" s="896"/>
      <c r="DP52" s="896"/>
      <c r="DQ52" s="896"/>
      <c r="DR52" s="896"/>
      <c r="DS52" s="896"/>
      <c r="DT52" s="896"/>
      <c r="DU52" s="896"/>
      <c r="DV52" s="896"/>
      <c r="DW52" s="896"/>
      <c r="DX52" s="896"/>
      <c r="DY52" s="896"/>
      <c r="DZ52" s="896"/>
      <c r="EA52" s="896"/>
      <c r="EB52" s="896"/>
      <c r="EC52" s="896"/>
      <c r="ED52" s="896"/>
      <c r="EE52" s="896"/>
      <c r="EF52" s="896"/>
      <c r="EG52" s="896"/>
      <c r="EH52" s="896"/>
      <c r="EI52" s="896"/>
      <c r="EJ52" s="896"/>
      <c r="EK52" s="896"/>
      <c r="EL52" s="181"/>
      <c r="EM52" s="193"/>
      <c r="EN52" s="193"/>
      <c r="EO52" s="193"/>
      <c r="EP52" s="193"/>
      <c r="EQ52" s="193"/>
      <c r="ER52" s="193"/>
      <c r="ES52" s="193"/>
      <c r="ET52" s="193"/>
      <c r="EU52" s="193"/>
      <c r="EV52" s="193"/>
      <c r="EW52" s="193"/>
      <c r="EX52" s="193"/>
      <c r="EY52" s="193"/>
      <c r="EZ52" s="193"/>
      <c r="FA52" s="193"/>
      <c r="FB52" s="193"/>
      <c r="FC52" s="193"/>
      <c r="FD52" s="193"/>
      <c r="FE52" s="193"/>
      <c r="FF52" s="181"/>
      <c r="FG52" s="183"/>
      <c r="FH52" s="194"/>
      <c r="FI52" s="184"/>
      <c r="FJ52" s="184"/>
      <c r="FK52" s="184"/>
      <c r="FL52" s="184"/>
      <c r="FM52" s="184"/>
      <c r="FN52" s="184"/>
      <c r="FO52" s="184"/>
      <c r="FP52" s="184"/>
      <c r="FQ52" s="184"/>
      <c r="FR52" s="184"/>
      <c r="FS52" s="184"/>
      <c r="FT52" s="184"/>
      <c r="FU52" s="184"/>
      <c r="FV52" s="184"/>
      <c r="FW52" s="184"/>
      <c r="FX52" s="184"/>
      <c r="FY52" s="184"/>
      <c r="FZ52" s="184"/>
      <c r="GA52" s="184"/>
      <c r="GB52" s="185"/>
      <c r="GC52" s="195"/>
      <c r="GD52" s="183"/>
      <c r="GE52" s="186"/>
      <c r="GF52" s="186"/>
      <c r="GG52" s="186"/>
      <c r="GH52" s="186"/>
      <c r="GI52" s="186"/>
      <c r="GJ52" s="186"/>
      <c r="GK52" s="186"/>
      <c r="GL52" s="186"/>
      <c r="GM52" s="186"/>
      <c r="GN52" s="186"/>
      <c r="GO52" s="186"/>
      <c r="GP52" s="186"/>
      <c r="GQ52" s="186"/>
      <c r="GR52" s="186"/>
      <c r="GS52" s="186"/>
      <c r="GT52" s="186"/>
      <c r="GU52" s="186"/>
      <c r="GV52" s="186"/>
      <c r="GW52" s="186"/>
      <c r="GX52" s="186"/>
      <c r="GY52" s="186"/>
      <c r="GZ52" s="186"/>
      <c r="HA52" s="186"/>
      <c r="HB52" s="186"/>
      <c r="HC52" s="186"/>
      <c r="HD52" s="186"/>
      <c r="HE52" s="186"/>
      <c r="HF52" s="186"/>
      <c r="HG52" s="187"/>
      <c r="HH52" s="188"/>
      <c r="HI52" s="182"/>
      <c r="HJ52" s="182"/>
      <c r="HK52" s="182"/>
      <c r="HL52" s="182"/>
      <c r="HM52" s="189"/>
      <c r="HN52" s="189"/>
      <c r="HO52" s="190"/>
      <c r="HP52" s="191"/>
      <c r="HQ52" s="191"/>
      <c r="HR52" s="191"/>
      <c r="HS52" s="191"/>
      <c r="HT52" s="191"/>
      <c r="HU52" s="191"/>
      <c r="HV52" s="191"/>
      <c r="HW52" s="191"/>
      <c r="HX52" s="191"/>
      <c r="HY52" s="191"/>
      <c r="HZ52" s="191"/>
      <c r="IA52" s="191"/>
      <c r="IB52" s="191"/>
      <c r="IC52" s="191"/>
      <c r="ID52" s="191"/>
      <c r="IE52" s="192"/>
      <c r="IF52" s="192"/>
      <c r="IG52" s="192"/>
      <c r="IH52" s="192"/>
      <c r="II52" s="192"/>
      <c r="IJ52" s="192"/>
      <c r="IK52" s="192"/>
      <c r="IL52" s="192"/>
      <c r="IM52" s="192"/>
      <c r="IN52" s="192"/>
      <c r="IO52" s="192"/>
      <c r="IP52" s="192"/>
      <c r="IQ52" s="192"/>
      <c r="IR52" s="192"/>
      <c r="IS52" s="192"/>
      <c r="IT52" s="192"/>
      <c r="IU52" s="192"/>
      <c r="IV52" s="192"/>
    </row>
    <row r="53" spans="1:256" s="178" customFormat="1" ht="45" customHeight="1">
      <c r="A53" s="179"/>
      <c r="B53" s="1018" t="s">
        <v>2680</v>
      </c>
      <c r="C53" s="50" t="s">
        <v>2725</v>
      </c>
      <c r="D53" s="935">
        <v>620</v>
      </c>
      <c r="E53" s="935"/>
      <c r="F53" s="935"/>
      <c r="G53" s="935"/>
      <c r="H53" s="935"/>
      <c r="I53" s="935"/>
      <c r="J53" s="935"/>
      <c r="K53" s="935"/>
      <c r="L53" s="935"/>
      <c r="M53" s="935"/>
      <c r="O53" s="19" t="s">
        <v>2754</v>
      </c>
      <c r="P53" s="19"/>
      <c r="Q53" s="19"/>
      <c r="R53" s="19"/>
      <c r="S53" s="19"/>
      <c r="T53" s="19"/>
      <c r="U53" s="19"/>
      <c r="V53" s="19"/>
      <c r="W53" s="19"/>
      <c r="X53" s="19"/>
      <c r="Y53" s="37"/>
      <c r="Z53" s="50"/>
      <c r="AA53" s="37"/>
      <c r="AB53" s="1082">
        <v>0.58400000000000007</v>
      </c>
      <c r="AC53" s="1082">
        <v>3.875E-2</v>
      </c>
      <c r="AD53" s="1082">
        <v>3.8750000000000007E-2</v>
      </c>
      <c r="AE53" s="1082">
        <v>0.19</v>
      </c>
      <c r="AF53" s="1082">
        <v>0.19</v>
      </c>
      <c r="AG53" s="1082">
        <v>0.19825000000000001</v>
      </c>
      <c r="AH53" s="1082">
        <v>0.19825000000000001</v>
      </c>
      <c r="AI53" s="1082">
        <v>0.157</v>
      </c>
      <c r="AJ53" s="1082">
        <v>0.11575000000000001</v>
      </c>
      <c r="AK53" s="1082">
        <v>0.58400000000000007</v>
      </c>
      <c r="AL53" s="888"/>
      <c r="AM53" s="888"/>
      <c r="AN53" s="979" t="s">
        <v>3062</v>
      </c>
      <c r="AO53" s="979" t="s">
        <v>3063</v>
      </c>
      <c r="AP53" s="979" t="s">
        <v>3064</v>
      </c>
      <c r="AQ53" s="979" t="s">
        <v>3065</v>
      </c>
      <c r="AR53" s="979"/>
      <c r="AS53" s="979"/>
      <c r="AT53" s="979"/>
      <c r="AU53" s="979"/>
      <c r="AV53" s="979"/>
      <c r="AW53" s="979"/>
      <c r="AY53" s="1032">
        <v>384.09423199999998</v>
      </c>
      <c r="AZ53" s="1032">
        <v>427</v>
      </c>
      <c r="BA53" s="1033">
        <v>1174.480632</v>
      </c>
      <c r="BB53" s="1033">
        <v>823.74853299999995</v>
      </c>
      <c r="BC53" s="897"/>
      <c r="BD53" s="897"/>
      <c r="BE53" s="897"/>
      <c r="BF53" s="897"/>
      <c r="BG53" s="897"/>
      <c r="BH53" s="897"/>
      <c r="BI53" s="897"/>
      <c r="BJ53" s="897"/>
      <c r="BK53" s="897"/>
      <c r="BL53" s="897"/>
      <c r="BM53" s="897"/>
      <c r="BN53" s="897"/>
      <c r="BO53" s="897"/>
      <c r="BP53" s="897"/>
      <c r="BQ53" s="897"/>
      <c r="BR53" s="897"/>
      <c r="BS53" s="897"/>
      <c r="BT53" s="897"/>
      <c r="BU53" s="897"/>
      <c r="BV53" s="197"/>
      <c r="BW53" s="197"/>
      <c r="BX53" s="197"/>
      <c r="BY53" s="197"/>
      <c r="BZ53" s="197"/>
      <c r="CA53" s="197"/>
      <c r="CB53" s="197"/>
      <c r="CC53" s="197"/>
      <c r="CD53" s="197"/>
      <c r="CE53" s="197"/>
      <c r="CF53" s="197"/>
      <c r="CG53" s="197"/>
      <c r="CH53" s="197"/>
      <c r="CI53" s="197"/>
      <c r="CJ53" s="197"/>
      <c r="CK53" s="197"/>
      <c r="CL53" s="197"/>
      <c r="CM53" s="197"/>
      <c r="CN53" s="197"/>
      <c r="CO53" s="197"/>
      <c r="CP53" s="197"/>
      <c r="CQ53" s="197"/>
      <c r="CR53" s="896"/>
      <c r="CS53" s="896"/>
      <c r="CT53" s="896"/>
      <c r="CU53" s="896"/>
      <c r="CV53" s="896"/>
      <c r="CW53" s="896"/>
      <c r="CX53" s="896"/>
      <c r="CY53" s="896"/>
      <c r="CZ53" s="896"/>
      <c r="DA53" s="896"/>
      <c r="DB53" s="896"/>
      <c r="DC53" s="896"/>
      <c r="DD53" s="896"/>
      <c r="DE53" s="896"/>
      <c r="DF53" s="896"/>
      <c r="DG53" s="896"/>
      <c r="DH53" s="896"/>
      <c r="DI53" s="896"/>
      <c r="DJ53" s="896"/>
      <c r="DK53" s="896"/>
      <c r="DL53" s="896"/>
      <c r="DM53" s="896"/>
      <c r="DN53" s="896"/>
      <c r="DO53" s="896"/>
      <c r="DP53" s="896"/>
      <c r="DQ53" s="896"/>
      <c r="DR53" s="896"/>
      <c r="DS53" s="896"/>
      <c r="DT53" s="896"/>
      <c r="DU53" s="896"/>
      <c r="DV53" s="896"/>
      <c r="DW53" s="896"/>
      <c r="DX53" s="896"/>
      <c r="DY53" s="896"/>
      <c r="DZ53" s="896"/>
      <c r="EA53" s="896"/>
      <c r="EB53" s="896"/>
      <c r="EC53" s="896"/>
      <c r="ED53" s="896"/>
      <c r="EE53" s="896"/>
      <c r="EF53" s="896"/>
      <c r="EG53" s="896"/>
      <c r="EH53" s="896"/>
      <c r="EI53" s="896"/>
      <c r="EJ53" s="896"/>
      <c r="EK53" s="896"/>
      <c r="EL53" s="181"/>
      <c r="EM53" s="193"/>
      <c r="EN53" s="193"/>
      <c r="EO53" s="193"/>
      <c r="EP53" s="193"/>
      <c r="EQ53" s="193"/>
      <c r="ER53" s="193"/>
      <c r="ES53" s="193"/>
      <c r="ET53" s="193"/>
      <c r="EU53" s="193"/>
      <c r="EV53" s="193"/>
      <c r="EW53" s="193"/>
      <c r="EX53" s="193"/>
      <c r="EY53" s="193"/>
      <c r="EZ53" s="193"/>
      <c r="FA53" s="193"/>
      <c r="FB53" s="193"/>
      <c r="FC53" s="193"/>
      <c r="FD53" s="193"/>
      <c r="FE53" s="193"/>
      <c r="FF53" s="181"/>
      <c r="FG53" s="183"/>
      <c r="FH53" s="194"/>
      <c r="FI53" s="184"/>
      <c r="FJ53" s="184"/>
      <c r="FK53" s="184"/>
      <c r="FL53" s="184"/>
      <c r="FM53" s="184"/>
      <c r="FN53" s="184"/>
      <c r="FO53" s="184"/>
      <c r="FP53" s="184"/>
      <c r="FQ53" s="184"/>
      <c r="FR53" s="184"/>
      <c r="FS53" s="184"/>
      <c r="FT53" s="184"/>
      <c r="FU53" s="184"/>
      <c r="FV53" s="184"/>
      <c r="FW53" s="184"/>
      <c r="FX53" s="184"/>
      <c r="FY53" s="184"/>
      <c r="FZ53" s="184"/>
      <c r="GA53" s="184"/>
      <c r="GB53" s="185"/>
      <c r="GC53" s="195"/>
      <c r="GD53" s="183"/>
      <c r="GE53" s="186"/>
      <c r="GF53" s="186"/>
      <c r="GG53" s="186"/>
      <c r="GH53" s="186"/>
      <c r="GI53" s="186"/>
      <c r="GJ53" s="186"/>
      <c r="GK53" s="186"/>
      <c r="GL53" s="186"/>
      <c r="GM53" s="186"/>
      <c r="GN53" s="186"/>
      <c r="GO53" s="186"/>
      <c r="GP53" s="186"/>
      <c r="GQ53" s="186"/>
      <c r="GR53" s="186"/>
      <c r="GS53" s="186"/>
      <c r="GT53" s="186"/>
      <c r="GU53" s="186"/>
      <c r="GV53" s="186"/>
      <c r="GW53" s="186"/>
      <c r="GX53" s="186"/>
      <c r="GY53" s="186"/>
      <c r="GZ53" s="186"/>
      <c r="HA53" s="186"/>
      <c r="HB53" s="186"/>
      <c r="HC53" s="186"/>
      <c r="HD53" s="186"/>
      <c r="HE53" s="186"/>
      <c r="HF53" s="186"/>
      <c r="HG53" s="187"/>
      <c r="HH53" s="188"/>
      <c r="HI53" s="182"/>
      <c r="HJ53" s="182"/>
      <c r="HK53" s="182"/>
      <c r="HL53" s="182"/>
      <c r="HM53" s="189"/>
      <c r="HN53" s="189"/>
      <c r="HO53" s="190"/>
      <c r="HP53" s="191"/>
      <c r="HQ53" s="191"/>
      <c r="HR53" s="191"/>
      <c r="HS53" s="191"/>
      <c r="HT53" s="191"/>
      <c r="HU53" s="191"/>
      <c r="HV53" s="191"/>
      <c r="HW53" s="191"/>
      <c r="HX53" s="191"/>
      <c r="HY53" s="191"/>
      <c r="HZ53" s="191"/>
      <c r="IA53" s="191"/>
      <c r="IB53" s="191"/>
      <c r="IC53" s="191"/>
      <c r="ID53" s="191"/>
      <c r="IE53" s="192"/>
      <c r="IF53" s="192"/>
      <c r="IG53" s="192"/>
      <c r="IH53" s="192"/>
      <c r="II53" s="192"/>
      <c r="IJ53" s="192"/>
      <c r="IK53" s="192"/>
      <c r="IL53" s="192"/>
      <c r="IM53" s="192"/>
      <c r="IN53" s="192"/>
      <c r="IO53" s="192"/>
      <c r="IP53" s="192"/>
      <c r="IQ53" s="192"/>
      <c r="IR53" s="192"/>
      <c r="IS53" s="192"/>
      <c r="IT53" s="192"/>
      <c r="IU53" s="192"/>
      <c r="IV53" s="192"/>
    </row>
    <row r="54" spans="1:256" s="178" customFormat="1" ht="56.25" customHeight="1">
      <c r="A54" s="179"/>
      <c r="B54" s="1018" t="s">
        <v>2681</v>
      </c>
      <c r="C54" s="50" t="s">
        <v>2726</v>
      </c>
      <c r="D54" s="935">
        <v>574</v>
      </c>
      <c r="E54" s="935">
        <v>621</v>
      </c>
      <c r="F54" s="935"/>
      <c r="G54" s="935"/>
      <c r="H54" s="935"/>
      <c r="I54" s="935"/>
      <c r="J54" s="935"/>
      <c r="K54" s="935"/>
      <c r="L54" s="935"/>
      <c r="M54" s="935"/>
      <c r="O54" s="19" t="s">
        <v>30</v>
      </c>
      <c r="P54" s="19" t="s">
        <v>28</v>
      </c>
      <c r="Q54" s="19" t="s">
        <v>8</v>
      </c>
      <c r="R54" s="19" t="s">
        <v>10</v>
      </c>
      <c r="S54" s="19"/>
      <c r="T54" s="19"/>
      <c r="U54" s="19"/>
      <c r="V54" s="19"/>
      <c r="W54" s="19"/>
      <c r="X54" s="19"/>
      <c r="Y54" s="37"/>
      <c r="Z54" s="50"/>
      <c r="AA54" s="37"/>
      <c r="AB54" s="1082">
        <v>5.7990000000000004</v>
      </c>
      <c r="AC54" s="1082">
        <v>0.62822010692359287</v>
      </c>
      <c r="AD54" s="1082">
        <v>0.56092010692359284</v>
      </c>
      <c r="AE54" s="1082">
        <v>1.8532297418731694</v>
      </c>
      <c r="AF54" s="1082">
        <v>1.3058598935538577</v>
      </c>
      <c r="AG54" s="1082">
        <v>1.6224706307471679</v>
      </c>
      <c r="AH54" s="1082">
        <v>1.0960436457257094</v>
      </c>
      <c r="AI54" s="1082">
        <v>1.69507952045607</v>
      </c>
      <c r="AJ54" s="1082">
        <v>0.96648475855130778</v>
      </c>
      <c r="AK54" s="1082">
        <v>5.418404112978525</v>
      </c>
      <c r="AL54" s="888"/>
      <c r="AM54" s="888"/>
      <c r="AN54" s="979" t="s">
        <v>3066</v>
      </c>
      <c r="AO54" s="979" t="s">
        <v>3067</v>
      </c>
      <c r="AP54" s="979" t="s">
        <v>3068</v>
      </c>
      <c r="AQ54" s="979" t="s">
        <v>3069</v>
      </c>
      <c r="AR54" s="979" t="s">
        <v>3070</v>
      </c>
      <c r="AS54" s="979" t="s">
        <v>3071</v>
      </c>
      <c r="AT54" s="1148" t="s">
        <v>3072</v>
      </c>
      <c r="AU54" s="979" t="s">
        <v>3073</v>
      </c>
      <c r="AV54" s="979" t="s">
        <v>3074</v>
      </c>
      <c r="AW54" s="979" t="s">
        <v>3075</v>
      </c>
      <c r="AY54" s="1032">
        <v>6017.7676689999998</v>
      </c>
      <c r="AZ54" s="1032">
        <v>22395.759225000002</v>
      </c>
      <c r="BA54" s="1033">
        <v>40945.717266</v>
      </c>
      <c r="BB54" s="1033">
        <v>17661.181530000002</v>
      </c>
      <c r="BC54" s="897"/>
      <c r="BD54" s="897"/>
      <c r="BE54" s="897"/>
      <c r="BF54" s="897"/>
      <c r="BG54" s="897"/>
      <c r="BH54" s="897"/>
      <c r="BI54" s="897"/>
      <c r="BJ54" s="897"/>
      <c r="BK54" s="897"/>
      <c r="BL54" s="897"/>
      <c r="BM54" s="897"/>
      <c r="BN54" s="897"/>
      <c r="BO54" s="897"/>
      <c r="BP54" s="897"/>
      <c r="BQ54" s="897"/>
      <c r="BR54" s="897"/>
      <c r="BS54" s="897"/>
      <c r="BT54" s="897"/>
      <c r="BU54" s="897"/>
      <c r="BV54" s="197"/>
      <c r="BW54" s="197"/>
      <c r="BX54" s="197"/>
      <c r="BY54" s="197"/>
      <c r="BZ54" s="197"/>
      <c r="CA54" s="197"/>
      <c r="CB54" s="197"/>
      <c r="CC54" s="197"/>
      <c r="CD54" s="197"/>
      <c r="CE54" s="197"/>
      <c r="CF54" s="197"/>
      <c r="CG54" s="197"/>
      <c r="CH54" s="197"/>
      <c r="CI54" s="197"/>
      <c r="CJ54" s="197"/>
      <c r="CK54" s="197"/>
      <c r="CL54" s="197"/>
      <c r="CM54" s="197"/>
      <c r="CN54" s="197"/>
      <c r="CO54" s="197"/>
      <c r="CP54" s="197"/>
      <c r="CQ54" s="197"/>
      <c r="CR54" s="896"/>
      <c r="CS54" s="896"/>
      <c r="CT54" s="896"/>
      <c r="CU54" s="896"/>
      <c r="CV54" s="896"/>
      <c r="CW54" s="896"/>
      <c r="CX54" s="896"/>
      <c r="CY54" s="896"/>
      <c r="CZ54" s="896"/>
      <c r="DA54" s="896"/>
      <c r="DB54" s="896"/>
      <c r="DC54" s="896"/>
      <c r="DD54" s="896"/>
      <c r="DE54" s="896"/>
      <c r="DF54" s="896"/>
      <c r="DG54" s="896"/>
      <c r="DH54" s="896"/>
      <c r="DI54" s="896"/>
      <c r="DJ54" s="896"/>
      <c r="DK54" s="896"/>
      <c r="DL54" s="896"/>
      <c r="DM54" s="896"/>
      <c r="DN54" s="896"/>
      <c r="DO54" s="896"/>
      <c r="DP54" s="896"/>
      <c r="DQ54" s="896"/>
      <c r="DR54" s="896"/>
      <c r="DS54" s="896"/>
      <c r="DT54" s="896"/>
      <c r="DU54" s="896"/>
      <c r="DV54" s="896"/>
      <c r="DW54" s="896"/>
      <c r="DX54" s="896"/>
      <c r="DY54" s="896"/>
      <c r="DZ54" s="896"/>
      <c r="EA54" s="896"/>
      <c r="EB54" s="896"/>
      <c r="EC54" s="896"/>
      <c r="ED54" s="896"/>
      <c r="EE54" s="896"/>
      <c r="EF54" s="896"/>
      <c r="EG54" s="896"/>
      <c r="EH54" s="896"/>
      <c r="EI54" s="896"/>
      <c r="EJ54" s="896"/>
      <c r="EK54" s="896"/>
      <c r="EL54" s="181"/>
      <c r="EM54" s="193"/>
      <c r="EN54" s="193"/>
      <c r="EO54" s="193"/>
      <c r="EP54" s="193"/>
      <c r="EQ54" s="193"/>
      <c r="ER54" s="193"/>
      <c r="ES54" s="193"/>
      <c r="ET54" s="193"/>
      <c r="EU54" s="193"/>
      <c r="EV54" s="193"/>
      <c r="EW54" s="193"/>
      <c r="EX54" s="193"/>
      <c r="EY54" s="193"/>
      <c r="EZ54" s="193"/>
      <c r="FA54" s="193"/>
      <c r="FB54" s="193"/>
      <c r="FC54" s="193"/>
      <c r="FD54" s="193"/>
      <c r="FE54" s="193"/>
      <c r="FF54" s="181"/>
      <c r="FG54" s="183"/>
      <c r="FH54" s="194"/>
      <c r="FI54" s="184"/>
      <c r="FJ54" s="184"/>
      <c r="FK54" s="184"/>
      <c r="FL54" s="184"/>
      <c r="FM54" s="184"/>
      <c r="FN54" s="184"/>
      <c r="FO54" s="184"/>
      <c r="FP54" s="184"/>
      <c r="FQ54" s="184"/>
      <c r="FR54" s="184"/>
      <c r="FS54" s="184"/>
      <c r="FT54" s="184"/>
      <c r="FU54" s="184"/>
      <c r="FV54" s="184"/>
      <c r="FW54" s="184"/>
      <c r="FX54" s="184"/>
      <c r="FY54" s="184"/>
      <c r="FZ54" s="184"/>
      <c r="GA54" s="184"/>
      <c r="GB54" s="185"/>
      <c r="GC54" s="195"/>
      <c r="GD54" s="183"/>
      <c r="GE54" s="186"/>
      <c r="GF54" s="186"/>
      <c r="GG54" s="186"/>
      <c r="GH54" s="186"/>
      <c r="GI54" s="186"/>
      <c r="GJ54" s="186"/>
      <c r="GK54" s="186"/>
      <c r="GL54" s="186"/>
      <c r="GM54" s="186"/>
      <c r="GN54" s="186"/>
      <c r="GO54" s="186"/>
      <c r="GP54" s="186"/>
      <c r="GQ54" s="186"/>
      <c r="GR54" s="186"/>
      <c r="GS54" s="186"/>
      <c r="GT54" s="186"/>
      <c r="GU54" s="186"/>
      <c r="GV54" s="186"/>
      <c r="GW54" s="186"/>
      <c r="GX54" s="186"/>
      <c r="GY54" s="186"/>
      <c r="GZ54" s="186"/>
      <c r="HA54" s="186"/>
      <c r="HB54" s="186"/>
      <c r="HC54" s="186"/>
      <c r="HD54" s="186"/>
      <c r="HE54" s="186"/>
      <c r="HF54" s="186"/>
      <c r="HG54" s="187"/>
      <c r="HH54" s="188"/>
      <c r="HI54" s="182"/>
      <c r="HJ54" s="182"/>
      <c r="HK54" s="182"/>
      <c r="HL54" s="182"/>
      <c r="HM54" s="189"/>
      <c r="HN54" s="189"/>
      <c r="HO54" s="190"/>
      <c r="HP54" s="191"/>
      <c r="HQ54" s="191"/>
      <c r="HR54" s="191"/>
      <c r="HS54" s="191"/>
      <c r="HT54" s="191"/>
      <c r="HU54" s="191"/>
      <c r="HV54" s="191"/>
      <c r="HW54" s="191"/>
      <c r="HX54" s="191"/>
      <c r="HY54" s="191"/>
      <c r="HZ54" s="191"/>
      <c r="IA54" s="191"/>
      <c r="IB54" s="191"/>
      <c r="IC54" s="191"/>
      <c r="ID54" s="191"/>
      <c r="IE54" s="192"/>
      <c r="IF54" s="192"/>
      <c r="IG54" s="192"/>
      <c r="IH54" s="192"/>
      <c r="II54" s="192"/>
      <c r="IJ54" s="192"/>
      <c r="IK54" s="192"/>
      <c r="IL54" s="192"/>
      <c r="IM54" s="192"/>
      <c r="IN54" s="192"/>
      <c r="IO54" s="192"/>
      <c r="IP54" s="192"/>
      <c r="IQ54" s="192"/>
      <c r="IR54" s="192"/>
      <c r="IS54" s="192"/>
      <c r="IT54" s="192"/>
      <c r="IU54" s="192"/>
      <c r="IV54" s="192"/>
    </row>
    <row r="55" spans="1:256" s="178" customFormat="1" ht="33.75" customHeight="1">
      <c r="A55" s="179"/>
      <c r="B55" s="1018" t="s">
        <v>2682</v>
      </c>
      <c r="C55" s="50" t="s">
        <v>2727</v>
      </c>
      <c r="D55" s="935">
        <v>622</v>
      </c>
      <c r="E55" s="935"/>
      <c r="F55" s="935"/>
      <c r="G55" s="935"/>
      <c r="H55" s="935"/>
      <c r="I55" s="935"/>
      <c r="J55" s="935"/>
      <c r="K55" s="935"/>
      <c r="L55" s="935"/>
      <c r="M55" s="935"/>
      <c r="O55" s="19" t="s">
        <v>19</v>
      </c>
      <c r="P55" s="19" t="s">
        <v>10</v>
      </c>
      <c r="Q55" s="19" t="s">
        <v>8</v>
      </c>
      <c r="R55" s="7"/>
      <c r="S55" s="19"/>
      <c r="T55" s="19"/>
      <c r="U55" s="19"/>
      <c r="V55" s="19"/>
      <c r="W55" s="19"/>
      <c r="X55" s="19"/>
      <c r="Y55" s="45"/>
      <c r="Z55" s="45"/>
      <c r="AA55" s="45"/>
      <c r="AB55" s="1082">
        <v>0.82500000000000007</v>
      </c>
      <c r="AC55" s="1082">
        <v>0.20515</v>
      </c>
      <c r="AD55" s="1082">
        <v>0.16225000000000001</v>
      </c>
      <c r="AE55" s="1082">
        <v>0.22825000000000001</v>
      </c>
      <c r="AF55" s="1082">
        <v>0.22825000000000001</v>
      </c>
      <c r="AG55" s="1082">
        <v>0.15675</v>
      </c>
      <c r="AH55" s="1082">
        <v>0.15675</v>
      </c>
      <c r="AI55" s="1082">
        <v>0.23485</v>
      </c>
      <c r="AJ55" s="1082">
        <v>0.23485</v>
      </c>
      <c r="AK55" s="1082">
        <v>0.82500000000000007</v>
      </c>
      <c r="AL55" s="888"/>
      <c r="AM55" s="888"/>
      <c r="AN55" s="979" t="s">
        <v>3076</v>
      </c>
      <c r="AO55" s="979" t="s">
        <v>3077</v>
      </c>
      <c r="AP55" s="979" t="s">
        <v>3078</v>
      </c>
      <c r="AQ55" s="979" t="s">
        <v>3087</v>
      </c>
      <c r="AR55" s="979" t="s">
        <v>3079</v>
      </c>
      <c r="AS55" s="979" t="s">
        <v>3080</v>
      </c>
      <c r="AT55" s="979"/>
      <c r="AU55" s="979"/>
      <c r="AY55" s="1032">
        <v>224.807368</v>
      </c>
      <c r="AZ55" s="1032">
        <v>204.77603299999998</v>
      </c>
      <c r="BA55" s="1033">
        <v>545.53395399999999</v>
      </c>
      <c r="BB55" s="1033">
        <v>566.89603199999999</v>
      </c>
      <c r="BC55" s="897"/>
      <c r="BD55" s="897"/>
      <c r="BE55" s="897"/>
      <c r="BF55" s="897"/>
      <c r="BG55" s="897"/>
      <c r="BH55" s="897"/>
      <c r="BI55" s="897"/>
      <c r="BJ55" s="897"/>
      <c r="BK55" s="897"/>
      <c r="BL55" s="897"/>
      <c r="BM55" s="897"/>
      <c r="BN55" s="897"/>
      <c r="BO55" s="897"/>
      <c r="BP55" s="897"/>
      <c r="BQ55" s="897"/>
      <c r="BR55" s="897"/>
      <c r="BS55" s="897"/>
      <c r="BT55" s="897"/>
      <c r="BU55" s="897"/>
      <c r="BV55" s="197"/>
      <c r="BW55" s="197"/>
      <c r="BX55" s="197"/>
      <c r="BY55" s="197"/>
      <c r="BZ55" s="197"/>
      <c r="CA55" s="197"/>
      <c r="CB55" s="197"/>
      <c r="CC55" s="197"/>
      <c r="CD55" s="197"/>
      <c r="CE55" s="197"/>
      <c r="CF55" s="197"/>
      <c r="CG55" s="197"/>
      <c r="CH55" s="197"/>
      <c r="CI55" s="197"/>
      <c r="CJ55" s="197"/>
      <c r="CK55" s="197"/>
      <c r="CL55" s="197"/>
      <c r="CM55" s="197"/>
      <c r="CN55" s="197"/>
      <c r="CO55" s="197"/>
      <c r="CP55" s="197"/>
      <c r="CQ55" s="197"/>
      <c r="CR55" s="896"/>
      <c r="CS55" s="896"/>
      <c r="CT55" s="896"/>
      <c r="CU55" s="896"/>
      <c r="CV55" s="896"/>
      <c r="CW55" s="896"/>
      <c r="CX55" s="896"/>
      <c r="CY55" s="896"/>
      <c r="CZ55" s="896"/>
      <c r="DA55" s="896"/>
      <c r="DB55" s="896"/>
      <c r="DC55" s="896"/>
      <c r="DD55" s="896"/>
      <c r="DE55" s="896"/>
      <c r="DF55" s="896"/>
      <c r="DG55" s="896"/>
      <c r="DH55" s="896"/>
      <c r="DI55" s="896"/>
      <c r="DJ55" s="896"/>
      <c r="DK55" s="896"/>
      <c r="DL55" s="896"/>
      <c r="DM55" s="896"/>
      <c r="DN55" s="896"/>
      <c r="DO55" s="896"/>
      <c r="DP55" s="896"/>
      <c r="DQ55" s="896"/>
      <c r="DR55" s="896"/>
      <c r="DS55" s="896"/>
      <c r="DT55" s="896"/>
      <c r="DU55" s="896"/>
      <c r="DV55" s="896"/>
      <c r="DW55" s="896"/>
      <c r="DX55" s="896"/>
      <c r="DY55" s="896"/>
      <c r="DZ55" s="896"/>
      <c r="EA55" s="896"/>
      <c r="EB55" s="896"/>
      <c r="EC55" s="896"/>
      <c r="ED55" s="896"/>
      <c r="EE55" s="896"/>
      <c r="EF55" s="896"/>
      <c r="EG55" s="896"/>
      <c r="EH55" s="896"/>
      <c r="EI55" s="896"/>
      <c r="EJ55" s="896"/>
      <c r="EK55" s="896"/>
      <c r="EL55" s="181"/>
      <c r="EM55" s="193"/>
      <c r="EN55" s="193"/>
      <c r="EO55" s="193"/>
      <c r="EP55" s="193"/>
      <c r="EQ55" s="193"/>
      <c r="ER55" s="193"/>
      <c r="ES55" s="193"/>
      <c r="ET55" s="193"/>
      <c r="EU55" s="193"/>
      <c r="EV55" s="193"/>
      <c r="EW55" s="193"/>
      <c r="EX55" s="193"/>
      <c r="EY55" s="193"/>
      <c r="EZ55" s="193"/>
      <c r="FA55" s="193"/>
      <c r="FB55" s="193"/>
      <c r="FC55" s="193"/>
      <c r="FD55" s="193"/>
      <c r="FE55" s="193"/>
      <c r="FF55" s="181"/>
      <c r="FG55" s="183"/>
      <c r="FH55" s="194"/>
      <c r="FI55" s="184"/>
      <c r="FJ55" s="184"/>
      <c r="FK55" s="184"/>
      <c r="FL55" s="184"/>
      <c r="FM55" s="184"/>
      <c r="FN55" s="184"/>
      <c r="FO55" s="184"/>
      <c r="FP55" s="184"/>
      <c r="FQ55" s="184"/>
      <c r="FR55" s="184"/>
      <c r="FS55" s="184"/>
      <c r="FT55" s="184"/>
      <c r="FU55" s="184"/>
      <c r="FV55" s="184"/>
      <c r="FW55" s="184"/>
      <c r="FX55" s="184"/>
      <c r="FY55" s="184"/>
      <c r="FZ55" s="184"/>
      <c r="GA55" s="184"/>
      <c r="GB55" s="185"/>
      <c r="GC55" s="195"/>
      <c r="GD55" s="183"/>
      <c r="GE55" s="186"/>
      <c r="GF55" s="186"/>
      <c r="GG55" s="186"/>
      <c r="GH55" s="186"/>
      <c r="GI55" s="186"/>
      <c r="GJ55" s="186"/>
      <c r="GK55" s="186"/>
      <c r="GL55" s="186"/>
      <c r="GM55" s="186"/>
      <c r="GN55" s="186"/>
      <c r="GO55" s="186"/>
      <c r="GP55" s="186"/>
      <c r="GQ55" s="186"/>
      <c r="GR55" s="186"/>
      <c r="GS55" s="186"/>
      <c r="GT55" s="186"/>
      <c r="GU55" s="186"/>
      <c r="GV55" s="186"/>
      <c r="GW55" s="186"/>
      <c r="GX55" s="186"/>
      <c r="GY55" s="186"/>
      <c r="GZ55" s="186"/>
      <c r="HA55" s="186"/>
      <c r="HB55" s="186"/>
      <c r="HC55" s="186"/>
      <c r="HD55" s="186"/>
      <c r="HE55" s="186"/>
      <c r="HF55" s="186"/>
      <c r="HG55" s="187"/>
      <c r="HH55" s="188"/>
      <c r="HI55" s="182"/>
      <c r="HJ55" s="182"/>
      <c r="HK55" s="182"/>
      <c r="HL55" s="182"/>
      <c r="HM55" s="189"/>
      <c r="HN55" s="189"/>
      <c r="HO55" s="190"/>
      <c r="HP55" s="191"/>
      <c r="HQ55" s="191"/>
      <c r="HR55" s="191"/>
      <c r="HS55" s="191"/>
      <c r="HT55" s="191"/>
      <c r="HU55" s="191"/>
      <c r="HV55" s="191"/>
      <c r="HW55" s="191"/>
      <c r="HX55" s="191"/>
      <c r="HY55" s="191"/>
      <c r="HZ55" s="191"/>
      <c r="IA55" s="191"/>
      <c r="IB55" s="191"/>
      <c r="IC55" s="191"/>
      <c r="ID55" s="191"/>
      <c r="IE55" s="192"/>
      <c r="IF55" s="192"/>
      <c r="IG55" s="192"/>
      <c r="IH55" s="192"/>
      <c r="II55" s="192"/>
      <c r="IJ55" s="192"/>
      <c r="IK55" s="192"/>
      <c r="IL55" s="192"/>
      <c r="IM55" s="192"/>
      <c r="IN55" s="192"/>
      <c r="IO55" s="192"/>
      <c r="IP55" s="192"/>
      <c r="IQ55" s="192"/>
      <c r="IR55" s="192"/>
      <c r="IS55" s="192"/>
      <c r="IT55" s="192"/>
      <c r="IU55" s="192"/>
      <c r="IV55" s="192"/>
    </row>
    <row r="56" spans="1:256" s="178" customFormat="1" ht="45" customHeight="1">
      <c r="A56" s="179"/>
      <c r="B56" s="1018" t="s">
        <v>2683</v>
      </c>
      <c r="C56" s="50" t="s">
        <v>2728</v>
      </c>
      <c r="D56" s="935">
        <v>623</v>
      </c>
      <c r="E56" s="935"/>
      <c r="F56" s="935"/>
      <c r="G56" s="935"/>
      <c r="H56" s="935"/>
      <c r="I56" s="935"/>
      <c r="J56" s="935"/>
      <c r="K56" s="935"/>
      <c r="L56" s="935"/>
      <c r="M56" s="935"/>
      <c r="O56" s="19" t="s">
        <v>19</v>
      </c>
      <c r="P56" s="19" t="s">
        <v>7</v>
      </c>
      <c r="Q56" s="7"/>
      <c r="R56" s="7"/>
      <c r="S56" s="19"/>
      <c r="T56" s="19"/>
      <c r="U56" s="19"/>
      <c r="V56" s="19"/>
      <c r="W56" s="19"/>
      <c r="X56" s="19"/>
      <c r="Y56" s="39"/>
      <c r="Z56" s="50"/>
      <c r="AA56" s="37"/>
      <c r="AB56" s="1082">
        <v>1.4850000000000001</v>
      </c>
      <c r="AC56" s="1082">
        <v>0.18161785714285716</v>
      </c>
      <c r="AD56" s="1082">
        <v>0.11679642857142858</v>
      </c>
      <c r="AE56" s="1082">
        <v>0.35581071428571431</v>
      </c>
      <c r="AF56" s="1082">
        <v>0.27331071428571424</v>
      </c>
      <c r="AG56" s="1082">
        <v>0.42841071428571437</v>
      </c>
      <c r="AH56" s="1082">
        <v>0.32322321428571427</v>
      </c>
      <c r="AI56" s="1082">
        <v>0.51916071428571431</v>
      </c>
      <c r="AJ56" s="1082">
        <v>0.42075000000000001</v>
      </c>
      <c r="AK56" s="1082">
        <v>1.3742142857142858</v>
      </c>
      <c r="AL56" s="888"/>
      <c r="AM56" s="888"/>
      <c r="AN56" s="979" t="s">
        <v>3081</v>
      </c>
      <c r="AO56" s="979" t="s">
        <v>3082</v>
      </c>
      <c r="AP56" s="979" t="s">
        <v>3083</v>
      </c>
      <c r="AQ56" s="979" t="s">
        <v>3084</v>
      </c>
      <c r="AR56" s="979" t="s">
        <v>3085</v>
      </c>
      <c r="AS56" s="979" t="s">
        <v>3086</v>
      </c>
      <c r="AT56" s="979"/>
      <c r="AU56" s="979"/>
      <c r="AY56" s="1032">
        <v>613.62315899999999</v>
      </c>
      <c r="AZ56" s="1032">
        <v>318.52</v>
      </c>
      <c r="BA56" s="1033">
        <v>825.44473500000004</v>
      </c>
      <c r="BB56" s="1033">
        <v>1751.29195</v>
      </c>
      <c r="BC56" s="897"/>
      <c r="BD56" s="897"/>
      <c r="BE56" s="897"/>
      <c r="BF56" s="897"/>
      <c r="BG56" s="897"/>
      <c r="BH56" s="897"/>
      <c r="BI56" s="897"/>
      <c r="BJ56" s="897"/>
      <c r="BK56" s="897"/>
      <c r="BL56" s="897"/>
      <c r="BM56" s="897"/>
      <c r="BN56" s="897"/>
      <c r="BO56" s="897"/>
      <c r="BP56" s="897"/>
      <c r="BQ56" s="897"/>
      <c r="BR56" s="897"/>
      <c r="BS56" s="897"/>
      <c r="BT56" s="897"/>
      <c r="BU56" s="897"/>
      <c r="BV56" s="197"/>
      <c r="BW56" s="197"/>
      <c r="BX56" s="197"/>
      <c r="BY56" s="197"/>
      <c r="BZ56" s="197"/>
      <c r="CA56" s="197"/>
      <c r="CB56" s="197"/>
      <c r="CC56" s="197"/>
      <c r="CD56" s="197"/>
      <c r="CE56" s="197"/>
      <c r="CF56" s="197"/>
      <c r="CG56" s="197"/>
      <c r="CH56" s="197"/>
      <c r="CI56" s="197"/>
      <c r="CJ56" s="197"/>
      <c r="CK56" s="197"/>
      <c r="CL56" s="197"/>
      <c r="CM56" s="197"/>
      <c r="CN56" s="197"/>
      <c r="CO56" s="197"/>
      <c r="CP56" s="197"/>
      <c r="CQ56" s="197"/>
      <c r="CR56" s="896"/>
      <c r="CS56" s="896"/>
      <c r="CT56" s="896"/>
      <c r="CU56" s="896"/>
      <c r="CV56" s="896"/>
      <c r="CW56" s="896"/>
      <c r="CX56" s="896"/>
      <c r="CY56" s="896"/>
      <c r="CZ56" s="896"/>
      <c r="DA56" s="896"/>
      <c r="DB56" s="896"/>
      <c r="DC56" s="896"/>
      <c r="DD56" s="896"/>
      <c r="DE56" s="896"/>
      <c r="DF56" s="896"/>
      <c r="DG56" s="896"/>
      <c r="DH56" s="896"/>
      <c r="DI56" s="896"/>
      <c r="DJ56" s="896"/>
      <c r="DK56" s="896"/>
      <c r="DL56" s="896"/>
      <c r="DM56" s="896"/>
      <c r="DN56" s="896"/>
      <c r="DO56" s="896"/>
      <c r="DP56" s="896"/>
      <c r="DQ56" s="896"/>
      <c r="DR56" s="896"/>
      <c r="DS56" s="896"/>
      <c r="DT56" s="896"/>
      <c r="DU56" s="896"/>
      <c r="DV56" s="896"/>
      <c r="DW56" s="896"/>
      <c r="DX56" s="896"/>
      <c r="DY56" s="896"/>
      <c r="DZ56" s="896"/>
      <c r="EA56" s="896"/>
      <c r="EB56" s="896"/>
      <c r="EC56" s="896"/>
      <c r="ED56" s="896"/>
      <c r="EE56" s="896"/>
      <c r="EF56" s="896"/>
      <c r="EG56" s="896"/>
      <c r="EH56" s="896"/>
      <c r="EI56" s="896"/>
      <c r="EJ56" s="896"/>
      <c r="EK56" s="896"/>
      <c r="EL56" s="181"/>
      <c r="EM56" s="193"/>
      <c r="EN56" s="193"/>
      <c r="EO56" s="193"/>
      <c r="EP56" s="193"/>
      <c r="EQ56" s="193"/>
      <c r="ER56" s="193"/>
      <c r="ES56" s="193"/>
      <c r="ET56" s="193"/>
      <c r="EU56" s="193"/>
      <c r="EV56" s="193"/>
      <c r="EW56" s="193"/>
      <c r="EX56" s="193"/>
      <c r="EY56" s="193"/>
      <c r="EZ56" s="193"/>
      <c r="FA56" s="193"/>
      <c r="FB56" s="193"/>
      <c r="FC56" s="193"/>
      <c r="FD56" s="193"/>
      <c r="FE56" s="193"/>
      <c r="FF56" s="181"/>
      <c r="FG56" s="183"/>
      <c r="FH56" s="194"/>
      <c r="FI56" s="184"/>
      <c r="FJ56" s="184"/>
      <c r="FK56" s="184"/>
      <c r="FL56" s="184"/>
      <c r="FM56" s="184"/>
      <c r="FN56" s="184"/>
      <c r="FO56" s="184"/>
      <c r="FP56" s="184"/>
      <c r="FQ56" s="184"/>
      <c r="FR56" s="184"/>
      <c r="FS56" s="184"/>
      <c r="FT56" s="184"/>
      <c r="FU56" s="184"/>
      <c r="FV56" s="184"/>
      <c r="FW56" s="184"/>
      <c r="FX56" s="184"/>
      <c r="FY56" s="184"/>
      <c r="FZ56" s="184"/>
      <c r="GA56" s="184"/>
      <c r="GB56" s="185"/>
      <c r="GC56" s="195"/>
      <c r="GD56" s="183"/>
      <c r="GE56" s="186"/>
      <c r="GF56" s="186"/>
      <c r="GG56" s="186"/>
      <c r="GH56" s="186"/>
      <c r="GI56" s="186"/>
      <c r="GJ56" s="186"/>
      <c r="GK56" s="186"/>
      <c r="GL56" s="186"/>
      <c r="GM56" s="186"/>
      <c r="GN56" s="186"/>
      <c r="GO56" s="186"/>
      <c r="GP56" s="186"/>
      <c r="GQ56" s="186"/>
      <c r="GR56" s="186"/>
      <c r="GS56" s="186"/>
      <c r="GT56" s="186"/>
      <c r="GU56" s="186"/>
      <c r="GV56" s="186"/>
      <c r="GW56" s="186"/>
      <c r="GX56" s="186"/>
      <c r="GY56" s="186"/>
      <c r="GZ56" s="186"/>
      <c r="HA56" s="186"/>
      <c r="HB56" s="186"/>
      <c r="HC56" s="186"/>
      <c r="HD56" s="186"/>
      <c r="HE56" s="186"/>
      <c r="HF56" s="186"/>
      <c r="HG56" s="187"/>
      <c r="HH56" s="188"/>
      <c r="HI56" s="182"/>
      <c r="HJ56" s="182"/>
      <c r="HK56" s="182"/>
      <c r="HL56" s="182"/>
      <c r="HM56" s="189"/>
      <c r="HN56" s="189"/>
      <c r="HO56" s="190"/>
      <c r="HP56" s="191"/>
      <c r="HQ56" s="191"/>
      <c r="HR56" s="191"/>
      <c r="HS56" s="191"/>
      <c r="HT56" s="191"/>
      <c r="HU56" s="191"/>
      <c r="HV56" s="191"/>
      <c r="HW56" s="191"/>
      <c r="HX56" s="191"/>
      <c r="HY56" s="191"/>
      <c r="HZ56" s="191"/>
      <c r="IA56" s="191"/>
      <c r="IB56" s="191"/>
      <c r="IC56" s="191"/>
      <c r="ID56" s="191"/>
      <c r="IE56" s="192"/>
      <c r="IF56" s="192"/>
      <c r="IG56" s="192"/>
      <c r="IH56" s="192"/>
      <c r="II56" s="192"/>
      <c r="IJ56" s="192"/>
      <c r="IK56" s="192"/>
      <c r="IL56" s="192"/>
      <c r="IM56" s="192"/>
      <c r="IN56" s="192"/>
      <c r="IO56" s="192"/>
      <c r="IP56" s="192"/>
      <c r="IQ56" s="192"/>
      <c r="IR56" s="192"/>
      <c r="IS56" s="192"/>
      <c r="IT56" s="192"/>
      <c r="IU56" s="192"/>
      <c r="IV56" s="192"/>
    </row>
    <row r="57" spans="1:256" s="178" customFormat="1" ht="12.75">
      <c r="A57" s="179"/>
      <c r="B57" s="1019" t="s">
        <v>2637</v>
      </c>
      <c r="K57" s="889"/>
      <c r="L57" s="889"/>
      <c r="M57" s="889"/>
      <c r="N57" s="888"/>
      <c r="O57" s="888"/>
      <c r="P57" s="889"/>
      <c r="Q57" s="889"/>
      <c r="R57" s="888"/>
      <c r="S57" s="888"/>
      <c r="T57" s="889"/>
      <c r="U57" s="888"/>
      <c r="V57" s="888"/>
      <c r="W57" s="980"/>
      <c r="X57" s="980"/>
      <c r="Y57" s="980"/>
      <c r="Z57" s="7"/>
      <c r="AA57" s="937"/>
      <c r="AB57" s="1083">
        <v>100.00480000000003</v>
      </c>
      <c r="AC57" s="1083">
        <v>15.080143815598948</v>
      </c>
      <c r="AD57" s="1083">
        <v>12.809558778257406</v>
      </c>
      <c r="AE57" s="1093">
        <v>27.606950557963724</v>
      </c>
      <c r="AF57" s="1093">
        <v>24.238273100887731</v>
      </c>
      <c r="AG57" s="1093">
        <v>28.403842602792643</v>
      </c>
      <c r="AH57" s="1093">
        <v>23.875222343343669</v>
      </c>
      <c r="AI57" s="1093">
        <v>28.913863023644684</v>
      </c>
      <c r="AJ57" s="1093">
        <v>21.855951980382446</v>
      </c>
      <c r="AK57" s="1093">
        <v>94.272286843262037</v>
      </c>
      <c r="AL57" s="899"/>
      <c r="AM57" s="899"/>
      <c r="AN57" s="898"/>
      <c r="AO57" s="898"/>
      <c r="AP57" s="898"/>
      <c r="AQ57" s="898"/>
      <c r="AR57" s="898"/>
      <c r="AS57" s="898"/>
      <c r="AT57" s="898"/>
      <c r="AU57" s="898"/>
      <c r="AY57" s="898">
        <f>SUM(AY35:AY56)</f>
        <v>531640.41376499995</v>
      </c>
      <c r="AZ57" s="898">
        <f>SUM(AZ35:AZ56)</f>
        <v>617303.25403600011</v>
      </c>
      <c r="BA57" s="898">
        <f>SUM(BA35:BA56)</f>
        <v>633623.50456400006</v>
      </c>
      <c r="BB57" s="898">
        <f>SUM(BB35:BB56)</f>
        <v>495396.53512799996</v>
      </c>
      <c r="BC57" s="897"/>
      <c r="BD57" s="897"/>
      <c r="BE57" s="897"/>
      <c r="BF57" s="897"/>
      <c r="BG57" s="897"/>
      <c r="BH57" s="897"/>
      <c r="BI57" s="897"/>
      <c r="BJ57" s="897"/>
      <c r="BK57" s="897"/>
      <c r="BL57" s="897"/>
      <c r="BM57" s="897"/>
      <c r="BN57" s="897"/>
      <c r="BO57" s="897"/>
      <c r="BP57" s="897"/>
      <c r="BQ57" s="897"/>
      <c r="BR57" s="897"/>
      <c r="BS57" s="897"/>
      <c r="BT57" s="897"/>
      <c r="BU57" s="897"/>
      <c r="BV57" s="197"/>
      <c r="BW57" s="197"/>
      <c r="BX57" s="197"/>
      <c r="BY57" s="197"/>
      <c r="BZ57" s="197"/>
      <c r="CA57" s="197"/>
      <c r="CB57" s="197"/>
      <c r="CC57" s="197"/>
      <c r="CD57" s="197"/>
      <c r="CE57" s="197"/>
      <c r="CF57" s="197"/>
      <c r="CG57" s="197"/>
      <c r="CH57" s="197"/>
      <c r="CI57" s="197"/>
      <c r="CJ57" s="197"/>
      <c r="CK57" s="197"/>
      <c r="CL57" s="197"/>
      <c r="CM57" s="197"/>
      <c r="CN57" s="197"/>
      <c r="CO57" s="197"/>
      <c r="CP57" s="197"/>
      <c r="CQ57" s="197"/>
      <c r="CR57" s="896"/>
      <c r="CS57" s="896"/>
      <c r="CT57" s="896"/>
      <c r="CU57" s="896"/>
      <c r="CV57" s="896"/>
      <c r="CW57" s="896"/>
      <c r="CX57" s="896"/>
      <c r="CY57" s="896"/>
      <c r="CZ57" s="896"/>
      <c r="DA57" s="896"/>
      <c r="DB57" s="896"/>
      <c r="DC57" s="896"/>
      <c r="DD57" s="896"/>
      <c r="DE57" s="896"/>
      <c r="DF57" s="896"/>
      <c r="DG57" s="896"/>
      <c r="DH57" s="896"/>
      <c r="DI57" s="896"/>
      <c r="DJ57" s="896"/>
      <c r="DK57" s="896"/>
      <c r="DL57" s="896"/>
      <c r="DM57" s="896"/>
      <c r="DN57" s="896"/>
      <c r="DO57" s="896"/>
      <c r="DP57" s="896"/>
      <c r="DQ57" s="896"/>
      <c r="DR57" s="896"/>
      <c r="DS57" s="896"/>
      <c r="DT57" s="896"/>
      <c r="DU57" s="896"/>
      <c r="DV57" s="896"/>
      <c r="DW57" s="896"/>
      <c r="DX57" s="896"/>
      <c r="DY57" s="896"/>
      <c r="DZ57" s="896"/>
      <c r="EA57" s="896"/>
      <c r="EB57" s="896"/>
      <c r="EC57" s="896"/>
      <c r="ED57" s="896"/>
      <c r="EE57" s="896"/>
      <c r="EF57" s="896"/>
      <c r="EG57" s="896"/>
      <c r="EH57" s="896"/>
      <c r="EI57" s="896"/>
      <c r="EJ57" s="896"/>
      <c r="EK57" s="896"/>
      <c r="EL57" s="181"/>
      <c r="EM57" s="193"/>
      <c r="EN57" s="193"/>
      <c r="EO57" s="193"/>
      <c r="EP57" s="193"/>
      <c r="EQ57" s="193"/>
      <c r="ER57" s="193"/>
      <c r="ES57" s="193"/>
      <c r="ET57" s="193"/>
      <c r="EU57" s="193"/>
      <c r="EV57" s="193"/>
      <c r="EW57" s="193"/>
      <c r="EX57" s="193"/>
      <c r="EY57" s="193"/>
      <c r="EZ57" s="193"/>
      <c r="FA57" s="193"/>
      <c r="FB57" s="193"/>
      <c r="FC57" s="193"/>
      <c r="FD57" s="193"/>
      <c r="FE57" s="193"/>
      <c r="FF57" s="181"/>
      <c r="FG57" s="183"/>
      <c r="FH57" s="194"/>
      <c r="FI57" s="184"/>
      <c r="FJ57" s="184"/>
      <c r="FK57" s="184"/>
      <c r="FL57" s="184"/>
      <c r="FM57" s="184"/>
      <c r="FN57" s="184"/>
      <c r="FO57" s="184"/>
      <c r="FP57" s="184"/>
      <c r="FQ57" s="184"/>
      <c r="FR57" s="184"/>
      <c r="FS57" s="184"/>
      <c r="FT57" s="184"/>
      <c r="FU57" s="184"/>
      <c r="FV57" s="184"/>
      <c r="FW57" s="184"/>
      <c r="FX57" s="184"/>
      <c r="FY57" s="184"/>
      <c r="FZ57" s="184"/>
      <c r="GA57" s="184"/>
      <c r="GB57" s="185"/>
      <c r="GC57" s="195"/>
      <c r="GD57" s="183"/>
      <c r="GE57" s="186"/>
      <c r="GF57" s="186"/>
      <c r="GG57" s="186"/>
      <c r="GH57" s="186"/>
      <c r="GI57" s="186"/>
      <c r="GJ57" s="186"/>
      <c r="GK57" s="186"/>
      <c r="GL57" s="186"/>
      <c r="GM57" s="186"/>
      <c r="GN57" s="186"/>
      <c r="GO57" s="186"/>
      <c r="GP57" s="186"/>
      <c r="GQ57" s="186"/>
      <c r="GR57" s="186"/>
      <c r="GS57" s="186"/>
      <c r="GT57" s="186"/>
      <c r="GU57" s="186"/>
      <c r="GV57" s="186"/>
      <c r="GW57" s="186"/>
      <c r="GX57" s="186"/>
      <c r="GY57" s="186"/>
      <c r="GZ57" s="186"/>
      <c r="HA57" s="186"/>
      <c r="HB57" s="186"/>
      <c r="HC57" s="186"/>
      <c r="HD57" s="186"/>
      <c r="HE57" s="186"/>
      <c r="HF57" s="186"/>
      <c r="HG57" s="187"/>
      <c r="HH57" s="188"/>
      <c r="HI57" s="182"/>
      <c r="HJ57" s="182"/>
      <c r="HK57" s="182"/>
      <c r="HL57" s="182"/>
      <c r="HM57" s="189"/>
      <c r="HN57" s="189"/>
      <c r="HO57" s="190"/>
      <c r="HP57" s="191"/>
      <c r="HQ57" s="191"/>
      <c r="HR57" s="191"/>
      <c r="HS57" s="191"/>
      <c r="HT57" s="191"/>
      <c r="HU57" s="191"/>
      <c r="HV57" s="191"/>
      <c r="HW57" s="191"/>
      <c r="HX57" s="191"/>
      <c r="HY57" s="191"/>
      <c r="HZ57" s="191"/>
      <c r="IA57" s="191"/>
      <c r="IB57" s="191"/>
      <c r="IC57" s="191"/>
      <c r="ID57" s="191"/>
      <c r="IE57" s="192"/>
      <c r="IF57" s="192"/>
      <c r="IG57" s="192"/>
      <c r="IH57" s="192"/>
      <c r="II57" s="192"/>
      <c r="IJ57" s="192"/>
      <c r="IK57" s="192"/>
      <c r="IL57" s="192"/>
      <c r="IM57" s="192"/>
      <c r="IN57" s="192"/>
      <c r="IO57" s="192"/>
      <c r="IP57" s="192"/>
      <c r="IQ57" s="192"/>
      <c r="IR57" s="192"/>
      <c r="IS57" s="192"/>
      <c r="IT57" s="192"/>
      <c r="IU57" s="192"/>
      <c r="IV57" s="192"/>
    </row>
    <row r="58" spans="1:256" s="178" customFormat="1" ht="12">
      <c r="A58" s="179"/>
      <c r="B58" s="886"/>
      <c r="C58" s="889"/>
      <c r="D58" s="889"/>
      <c r="E58" s="889"/>
      <c r="F58" s="888"/>
      <c r="G58" s="888"/>
      <c r="H58" s="889"/>
      <c r="I58" s="889"/>
      <c r="J58" s="888"/>
      <c r="K58" s="888"/>
      <c r="L58" s="889"/>
      <c r="M58" s="889"/>
      <c r="N58" s="888"/>
      <c r="O58" s="888"/>
      <c r="P58" s="889"/>
      <c r="Q58" s="889"/>
      <c r="R58" s="888"/>
      <c r="S58" s="888"/>
      <c r="T58" s="889"/>
      <c r="U58" s="888"/>
      <c r="V58" s="888"/>
      <c r="W58" s="979"/>
      <c r="X58" s="979"/>
      <c r="Y58" s="979"/>
      <c r="AA58" s="898"/>
      <c r="AB58" s="897"/>
      <c r="AC58" s="897"/>
      <c r="AD58" s="897"/>
      <c r="AE58" s="898"/>
      <c r="AF58" s="898"/>
      <c r="AG58" s="898"/>
      <c r="AH58" s="898"/>
      <c r="AI58" s="898"/>
      <c r="AJ58" s="898"/>
      <c r="AK58" s="898"/>
      <c r="AL58" s="899"/>
      <c r="AM58" s="899"/>
      <c r="AN58" s="898"/>
      <c r="AO58" s="898"/>
      <c r="AP58" s="898"/>
      <c r="AQ58" s="898"/>
      <c r="AR58" s="898"/>
      <c r="AS58" s="898"/>
      <c r="AT58" s="898"/>
      <c r="AU58" s="898"/>
      <c r="AV58" s="898"/>
      <c r="AW58" s="898"/>
      <c r="AX58" s="898"/>
      <c r="AY58" s="898"/>
      <c r="AZ58" s="898"/>
      <c r="BA58" s="897"/>
      <c r="BB58" s="897"/>
      <c r="BC58" s="897"/>
      <c r="BD58" s="897"/>
      <c r="BE58" s="897"/>
      <c r="BF58" s="897"/>
      <c r="BG58" s="897"/>
      <c r="BH58" s="897"/>
      <c r="BI58" s="897"/>
      <c r="BJ58" s="897"/>
      <c r="BK58" s="897"/>
      <c r="BL58" s="897"/>
      <c r="BM58" s="897"/>
      <c r="BN58" s="897"/>
      <c r="BO58" s="897"/>
      <c r="BP58" s="897"/>
      <c r="BQ58" s="897"/>
      <c r="BR58" s="897"/>
      <c r="BS58" s="897"/>
      <c r="BT58" s="897"/>
      <c r="BU58" s="897"/>
      <c r="BV58" s="197"/>
      <c r="BW58" s="197"/>
      <c r="BX58" s="197"/>
      <c r="BY58" s="197"/>
      <c r="BZ58" s="197"/>
      <c r="CA58" s="197"/>
      <c r="CB58" s="197"/>
      <c r="CC58" s="197"/>
      <c r="CD58" s="197"/>
      <c r="CE58" s="197"/>
      <c r="CF58" s="197"/>
      <c r="CG58" s="197"/>
      <c r="CH58" s="197"/>
      <c r="CI58" s="197"/>
      <c r="CJ58" s="197"/>
      <c r="CK58" s="197"/>
      <c r="CL58" s="197"/>
      <c r="CM58" s="197"/>
      <c r="CN58" s="197"/>
      <c r="CO58" s="197"/>
      <c r="CP58" s="197"/>
      <c r="CQ58" s="197"/>
      <c r="CR58" s="896"/>
      <c r="CS58" s="896"/>
      <c r="CT58" s="896"/>
      <c r="CU58" s="896"/>
      <c r="CV58" s="896"/>
      <c r="CW58" s="896"/>
      <c r="CX58" s="896"/>
      <c r="CY58" s="896"/>
      <c r="CZ58" s="896"/>
      <c r="DA58" s="896"/>
      <c r="DB58" s="896"/>
      <c r="DC58" s="896"/>
      <c r="DD58" s="896"/>
      <c r="DE58" s="896"/>
      <c r="DF58" s="896"/>
      <c r="DG58" s="896"/>
      <c r="DH58" s="896"/>
      <c r="DI58" s="896"/>
      <c r="DJ58" s="896"/>
      <c r="DK58" s="896"/>
      <c r="DL58" s="896"/>
      <c r="DM58" s="896"/>
      <c r="DN58" s="896"/>
      <c r="DO58" s="896"/>
      <c r="DP58" s="896"/>
      <c r="DQ58" s="896"/>
      <c r="DR58" s="896"/>
      <c r="DS58" s="896"/>
      <c r="DT58" s="896"/>
      <c r="DU58" s="896"/>
      <c r="DV58" s="896"/>
      <c r="DW58" s="896"/>
      <c r="DX58" s="896"/>
      <c r="DY58" s="896"/>
      <c r="DZ58" s="896"/>
      <c r="EA58" s="896"/>
      <c r="EB58" s="896"/>
      <c r="EC58" s="896"/>
      <c r="ED58" s="896"/>
      <c r="EE58" s="896"/>
      <c r="EF58" s="896"/>
      <c r="EG58" s="896"/>
      <c r="EH58" s="896"/>
      <c r="EI58" s="896"/>
      <c r="EJ58" s="896"/>
      <c r="EK58" s="896"/>
      <c r="EL58" s="181"/>
      <c r="EM58" s="193"/>
      <c r="EN58" s="193"/>
      <c r="EO58" s="193"/>
      <c r="EP58" s="193"/>
      <c r="EQ58" s="193"/>
      <c r="ER58" s="193"/>
      <c r="ES58" s="193"/>
      <c r="ET58" s="193"/>
      <c r="EU58" s="193"/>
      <c r="EV58" s="193"/>
      <c r="EW58" s="193"/>
      <c r="EX58" s="193"/>
      <c r="EY58" s="193"/>
      <c r="EZ58" s="193"/>
      <c r="FA58" s="193"/>
      <c r="FB58" s="193"/>
      <c r="FC58" s="193"/>
      <c r="FD58" s="193"/>
      <c r="FE58" s="193"/>
      <c r="FF58" s="181"/>
      <c r="FG58" s="183"/>
      <c r="FH58" s="194"/>
      <c r="FI58" s="184"/>
      <c r="FJ58" s="184"/>
      <c r="FK58" s="184"/>
      <c r="FL58" s="184"/>
      <c r="FM58" s="184"/>
      <c r="FN58" s="184"/>
      <c r="FO58" s="184"/>
      <c r="FP58" s="184"/>
      <c r="FQ58" s="184"/>
      <c r="FR58" s="184"/>
      <c r="FS58" s="184"/>
      <c r="FT58" s="184"/>
      <c r="FU58" s="184"/>
      <c r="FV58" s="184"/>
      <c r="FW58" s="184"/>
      <c r="FX58" s="184"/>
      <c r="FY58" s="184"/>
      <c r="FZ58" s="184"/>
      <c r="GA58" s="184"/>
      <c r="GB58" s="185"/>
      <c r="GC58" s="195"/>
      <c r="GD58" s="183"/>
      <c r="GE58" s="186"/>
      <c r="GF58" s="186"/>
      <c r="GG58" s="186"/>
      <c r="GH58" s="186"/>
      <c r="GI58" s="186"/>
      <c r="GJ58" s="186"/>
      <c r="GK58" s="186"/>
      <c r="GL58" s="186"/>
      <c r="GM58" s="186"/>
      <c r="GN58" s="186"/>
      <c r="GO58" s="186"/>
      <c r="GP58" s="186"/>
      <c r="GQ58" s="186"/>
      <c r="GR58" s="186"/>
      <c r="GS58" s="186"/>
      <c r="GT58" s="186"/>
      <c r="GU58" s="186"/>
      <c r="GV58" s="186"/>
      <c r="GW58" s="186"/>
      <c r="GX58" s="186"/>
      <c r="GY58" s="186"/>
      <c r="GZ58" s="186"/>
      <c r="HA58" s="186"/>
      <c r="HB58" s="186"/>
      <c r="HC58" s="186"/>
      <c r="HD58" s="186"/>
      <c r="HE58" s="186"/>
      <c r="HF58" s="186"/>
      <c r="HG58" s="187"/>
      <c r="HH58" s="188"/>
      <c r="HI58" s="182"/>
      <c r="HJ58" s="182"/>
      <c r="HK58" s="182"/>
      <c r="HL58" s="182"/>
      <c r="HM58" s="189"/>
      <c r="HN58" s="189"/>
      <c r="HO58" s="190"/>
      <c r="HP58" s="191"/>
      <c r="HQ58" s="191"/>
      <c r="HR58" s="191"/>
      <c r="HS58" s="191"/>
      <c r="HT58" s="191"/>
      <c r="HU58" s="191"/>
      <c r="HV58" s="191"/>
      <c r="HW58" s="191"/>
      <c r="HX58" s="191"/>
      <c r="HY58" s="191"/>
      <c r="HZ58" s="191"/>
      <c r="IA58" s="191"/>
      <c r="IB58" s="191"/>
      <c r="IC58" s="191"/>
      <c r="ID58" s="191"/>
      <c r="IE58" s="192"/>
      <c r="IF58" s="192"/>
      <c r="IG58" s="192"/>
      <c r="IH58" s="192"/>
      <c r="II58" s="192"/>
      <c r="IJ58" s="192"/>
      <c r="IK58" s="192"/>
      <c r="IL58" s="192"/>
      <c r="IM58" s="192"/>
      <c r="IN58" s="192"/>
      <c r="IO58" s="192"/>
      <c r="IP58" s="192"/>
      <c r="IQ58" s="192"/>
      <c r="IR58" s="192"/>
      <c r="IS58" s="192"/>
      <c r="IT58" s="192"/>
      <c r="IU58" s="192"/>
      <c r="IV58" s="192"/>
    </row>
    <row r="59" spans="1:256" s="178" customFormat="1" ht="12">
      <c r="A59" s="179"/>
      <c r="B59" s="886"/>
      <c r="C59" s="889"/>
      <c r="D59" s="889"/>
      <c r="E59" s="889"/>
      <c r="F59" s="888"/>
      <c r="G59" s="888"/>
      <c r="H59" s="889"/>
      <c r="I59" s="889"/>
      <c r="J59" s="888"/>
      <c r="K59" s="888"/>
      <c r="L59" s="889"/>
      <c r="M59" s="889"/>
      <c r="N59" s="888"/>
      <c r="O59" s="888"/>
      <c r="P59" s="889"/>
      <c r="Q59" s="889"/>
      <c r="R59" s="888"/>
      <c r="S59" s="888"/>
      <c r="T59" s="889"/>
      <c r="U59" s="888"/>
      <c r="V59" s="888"/>
      <c r="W59" s="979"/>
      <c r="X59" s="979"/>
      <c r="Y59" s="979"/>
      <c r="AA59" s="898"/>
      <c r="AB59" s="897"/>
      <c r="AC59" s="897"/>
      <c r="AD59" s="897"/>
      <c r="AE59" s="898"/>
      <c r="AF59" s="898"/>
      <c r="AG59" s="898"/>
      <c r="AH59" s="898"/>
      <c r="AI59" s="898"/>
      <c r="AJ59" s="898"/>
      <c r="AK59" s="898"/>
      <c r="AL59" s="899"/>
      <c r="AM59" s="899"/>
      <c r="AN59" s="898"/>
      <c r="AO59" s="898"/>
      <c r="AP59" s="898"/>
      <c r="AQ59" s="898"/>
      <c r="AR59" s="898"/>
      <c r="AS59" s="898"/>
      <c r="AT59" s="898"/>
      <c r="AU59" s="898"/>
      <c r="AV59" s="898"/>
      <c r="AW59" s="898"/>
      <c r="AX59" s="898"/>
      <c r="AY59" s="898"/>
      <c r="AZ59" s="898"/>
      <c r="BA59" s="897"/>
      <c r="BB59" s="897"/>
      <c r="BC59" s="897"/>
      <c r="BD59" s="897"/>
      <c r="BE59" s="897"/>
      <c r="BF59" s="897"/>
      <c r="BG59" s="897"/>
      <c r="BH59" s="897"/>
      <c r="BI59" s="897"/>
      <c r="BJ59" s="897"/>
      <c r="BK59" s="897"/>
      <c r="BL59" s="897"/>
      <c r="BM59" s="897"/>
      <c r="BN59" s="897"/>
      <c r="BO59" s="897"/>
      <c r="BP59" s="897"/>
      <c r="BQ59" s="897"/>
      <c r="BR59" s="897"/>
      <c r="BS59" s="897"/>
      <c r="BT59" s="897"/>
      <c r="BU59" s="897"/>
      <c r="BV59" s="197"/>
      <c r="BW59" s="197"/>
      <c r="BX59" s="197"/>
      <c r="BY59" s="197"/>
      <c r="BZ59" s="197"/>
      <c r="CA59" s="197"/>
      <c r="CB59" s="197"/>
      <c r="CC59" s="197"/>
      <c r="CD59" s="197"/>
      <c r="CE59" s="197"/>
      <c r="CF59" s="197"/>
      <c r="CG59" s="197"/>
      <c r="CH59" s="197"/>
      <c r="CI59" s="197"/>
      <c r="CJ59" s="197"/>
      <c r="CK59" s="197"/>
      <c r="CL59" s="197"/>
      <c r="CM59" s="197"/>
      <c r="CN59" s="197"/>
      <c r="CO59" s="197"/>
      <c r="CP59" s="197"/>
      <c r="CQ59" s="197"/>
      <c r="CR59" s="896"/>
      <c r="CS59" s="896"/>
      <c r="CT59" s="896"/>
      <c r="CU59" s="896"/>
      <c r="CV59" s="896"/>
      <c r="CW59" s="896"/>
      <c r="CX59" s="896"/>
      <c r="CY59" s="896"/>
      <c r="CZ59" s="896"/>
      <c r="DA59" s="896"/>
      <c r="DB59" s="896"/>
      <c r="DC59" s="896"/>
      <c r="DD59" s="896"/>
      <c r="DE59" s="896"/>
      <c r="DF59" s="896"/>
      <c r="DG59" s="896"/>
      <c r="DH59" s="896"/>
      <c r="DI59" s="896"/>
      <c r="DJ59" s="896"/>
      <c r="DK59" s="896"/>
      <c r="DL59" s="896"/>
      <c r="DM59" s="896"/>
      <c r="DN59" s="896"/>
      <c r="DO59" s="896"/>
      <c r="DP59" s="896"/>
      <c r="DQ59" s="896"/>
      <c r="DR59" s="896"/>
      <c r="DS59" s="896"/>
      <c r="DT59" s="896"/>
      <c r="DU59" s="896"/>
      <c r="DV59" s="896"/>
      <c r="DW59" s="896"/>
      <c r="DX59" s="896"/>
      <c r="DY59" s="896"/>
      <c r="DZ59" s="896"/>
      <c r="EA59" s="896"/>
      <c r="EB59" s="896"/>
      <c r="EC59" s="896"/>
      <c r="ED59" s="896"/>
      <c r="EE59" s="896"/>
      <c r="EF59" s="896"/>
      <c r="EG59" s="896"/>
      <c r="EH59" s="896"/>
      <c r="EI59" s="896"/>
      <c r="EJ59" s="896"/>
      <c r="EK59" s="896"/>
      <c r="EL59" s="181"/>
      <c r="EM59" s="193"/>
      <c r="EN59" s="193"/>
      <c r="EO59" s="193"/>
      <c r="EP59" s="193"/>
      <c r="EQ59" s="193"/>
      <c r="ER59" s="193"/>
      <c r="ES59" s="193"/>
      <c r="ET59" s="193"/>
      <c r="EU59" s="193"/>
      <c r="EV59" s="193"/>
      <c r="EW59" s="193"/>
      <c r="EX59" s="193"/>
      <c r="EY59" s="193"/>
      <c r="EZ59" s="193"/>
      <c r="FA59" s="193"/>
      <c r="FB59" s="193"/>
      <c r="FC59" s="193"/>
      <c r="FD59" s="193"/>
      <c r="FE59" s="193"/>
      <c r="FF59" s="181"/>
      <c r="FG59" s="183"/>
      <c r="FH59" s="194"/>
      <c r="FI59" s="184"/>
      <c r="FJ59" s="184"/>
      <c r="FK59" s="184"/>
      <c r="FL59" s="184"/>
      <c r="FM59" s="184"/>
      <c r="FN59" s="184"/>
      <c r="FO59" s="184"/>
      <c r="FP59" s="184"/>
      <c r="FQ59" s="184"/>
      <c r="FR59" s="184"/>
      <c r="FS59" s="184"/>
      <c r="FT59" s="184"/>
      <c r="FU59" s="184"/>
      <c r="FV59" s="184"/>
      <c r="FW59" s="184"/>
      <c r="FX59" s="184"/>
      <c r="FY59" s="184"/>
      <c r="FZ59" s="184"/>
      <c r="GA59" s="184"/>
      <c r="GB59" s="185"/>
      <c r="GC59" s="195"/>
      <c r="GD59" s="183"/>
      <c r="GE59" s="186"/>
      <c r="GF59" s="186"/>
      <c r="GG59" s="186"/>
      <c r="GH59" s="186"/>
      <c r="GI59" s="186"/>
      <c r="GJ59" s="186"/>
      <c r="GK59" s="186"/>
      <c r="GL59" s="186"/>
      <c r="GM59" s="186"/>
      <c r="GN59" s="186"/>
      <c r="GO59" s="186"/>
      <c r="GP59" s="186"/>
      <c r="GQ59" s="186"/>
      <c r="GR59" s="186"/>
      <c r="GS59" s="186"/>
      <c r="GT59" s="186"/>
      <c r="GU59" s="186"/>
      <c r="GV59" s="186"/>
      <c r="GW59" s="186"/>
      <c r="GX59" s="186"/>
      <c r="GY59" s="186"/>
      <c r="GZ59" s="186"/>
      <c r="HA59" s="186"/>
      <c r="HB59" s="186"/>
      <c r="HC59" s="186"/>
      <c r="HD59" s="186"/>
      <c r="HE59" s="186"/>
      <c r="HF59" s="186"/>
      <c r="HG59" s="187"/>
      <c r="HH59" s="188"/>
      <c r="HI59" s="182"/>
      <c r="HJ59" s="182"/>
      <c r="HK59" s="182"/>
      <c r="HL59" s="182"/>
      <c r="HM59" s="189"/>
      <c r="HN59" s="189"/>
      <c r="HO59" s="190"/>
      <c r="HP59" s="191"/>
      <c r="HQ59" s="191"/>
      <c r="HR59" s="191"/>
      <c r="HS59" s="191"/>
      <c r="HT59" s="191"/>
      <c r="HU59" s="191"/>
      <c r="HV59" s="191"/>
      <c r="HW59" s="191"/>
      <c r="HX59" s="191"/>
      <c r="HY59" s="191"/>
      <c r="HZ59" s="191"/>
      <c r="IA59" s="191"/>
      <c r="IB59" s="191"/>
      <c r="IC59" s="191"/>
      <c r="ID59" s="191"/>
      <c r="IE59" s="192"/>
      <c r="IF59" s="192"/>
      <c r="IG59" s="192"/>
      <c r="IH59" s="192"/>
      <c r="II59" s="192"/>
      <c r="IJ59" s="192"/>
      <c r="IK59" s="192"/>
      <c r="IL59" s="192"/>
      <c r="IM59" s="192"/>
      <c r="IN59" s="192"/>
      <c r="IO59" s="192"/>
      <c r="IP59" s="192"/>
      <c r="IQ59" s="192"/>
      <c r="IR59" s="192"/>
      <c r="IS59" s="192"/>
      <c r="IT59" s="192"/>
      <c r="IU59" s="192"/>
      <c r="IV59" s="192"/>
    </row>
    <row r="60" spans="1:256" s="178" customFormat="1" ht="12">
      <c r="A60" s="179"/>
      <c r="B60" s="886"/>
      <c r="C60" s="889"/>
      <c r="D60" s="889"/>
      <c r="E60" s="889"/>
      <c r="F60" s="888"/>
      <c r="G60" s="888"/>
      <c r="H60" s="889"/>
      <c r="I60" s="889"/>
      <c r="J60" s="888"/>
      <c r="K60" s="888"/>
      <c r="L60" s="889"/>
      <c r="M60" s="889"/>
      <c r="N60" s="888"/>
      <c r="O60" s="888"/>
      <c r="P60" s="889"/>
      <c r="Q60" s="889"/>
      <c r="R60" s="888"/>
      <c r="S60" s="888"/>
      <c r="T60" s="889"/>
      <c r="U60" s="888"/>
      <c r="V60" s="888"/>
      <c r="W60" s="979"/>
      <c r="X60" s="979"/>
      <c r="Y60" s="979"/>
      <c r="AA60" s="898"/>
      <c r="AB60" s="897"/>
      <c r="AC60" s="897"/>
      <c r="AD60" s="897"/>
      <c r="AE60" s="898"/>
      <c r="AF60" s="898"/>
      <c r="AG60" s="898"/>
      <c r="AH60" s="898"/>
      <c r="AI60" s="898"/>
      <c r="AJ60" s="898"/>
      <c r="AK60" s="898"/>
      <c r="AL60" s="899"/>
      <c r="AM60" s="899"/>
      <c r="AN60" s="898"/>
      <c r="AO60" s="898"/>
      <c r="AP60" s="898"/>
      <c r="AQ60" s="898"/>
      <c r="AR60" s="898"/>
      <c r="AS60" s="898"/>
      <c r="AT60" s="898"/>
      <c r="AU60" s="898"/>
      <c r="AV60" s="898"/>
      <c r="AW60" s="898"/>
      <c r="AX60" s="898"/>
      <c r="AY60" s="898"/>
      <c r="AZ60" s="898"/>
      <c r="BA60" s="897"/>
      <c r="BB60" s="897"/>
      <c r="BC60" s="897"/>
      <c r="BD60" s="897"/>
      <c r="BE60" s="897"/>
      <c r="BF60" s="897"/>
      <c r="BG60" s="897"/>
      <c r="BH60" s="897"/>
      <c r="BI60" s="897"/>
      <c r="BJ60" s="897"/>
      <c r="BK60" s="897"/>
      <c r="BL60" s="897"/>
      <c r="BM60" s="897"/>
      <c r="BN60" s="897"/>
      <c r="BO60" s="897"/>
      <c r="BP60" s="897"/>
      <c r="BQ60" s="897"/>
      <c r="BR60" s="897"/>
      <c r="BS60" s="897"/>
      <c r="BT60" s="897"/>
      <c r="BU60" s="897"/>
      <c r="BV60" s="197"/>
      <c r="BW60" s="197"/>
      <c r="BX60" s="197"/>
      <c r="BY60" s="197"/>
      <c r="BZ60" s="197"/>
      <c r="CA60" s="197"/>
      <c r="CB60" s="197"/>
      <c r="CC60" s="197"/>
      <c r="CD60" s="197"/>
      <c r="CE60" s="197"/>
      <c r="CF60" s="197"/>
      <c r="CG60" s="197"/>
      <c r="CH60" s="197"/>
      <c r="CI60" s="197"/>
      <c r="CJ60" s="197"/>
      <c r="CK60" s="197"/>
      <c r="CL60" s="197"/>
      <c r="CM60" s="197"/>
      <c r="CN60" s="197"/>
      <c r="CO60" s="197"/>
      <c r="CP60" s="197"/>
      <c r="CQ60" s="197"/>
      <c r="CR60" s="896"/>
      <c r="CS60" s="896"/>
      <c r="CT60" s="896"/>
      <c r="CU60" s="896"/>
      <c r="CV60" s="896"/>
      <c r="CW60" s="896"/>
      <c r="CX60" s="896"/>
      <c r="CY60" s="896"/>
      <c r="CZ60" s="896"/>
      <c r="DA60" s="896"/>
      <c r="DB60" s="896"/>
      <c r="DC60" s="896"/>
      <c r="DD60" s="896"/>
      <c r="DE60" s="896"/>
      <c r="DF60" s="896"/>
      <c r="DG60" s="896"/>
      <c r="DH60" s="896"/>
      <c r="DI60" s="896"/>
      <c r="DJ60" s="896"/>
      <c r="DK60" s="896"/>
      <c r="DL60" s="896"/>
      <c r="DM60" s="896"/>
      <c r="DN60" s="896"/>
      <c r="DO60" s="896"/>
      <c r="DP60" s="896"/>
      <c r="DQ60" s="896"/>
      <c r="DR60" s="896"/>
      <c r="DS60" s="896"/>
      <c r="DT60" s="896"/>
      <c r="DU60" s="896"/>
      <c r="DV60" s="896"/>
      <c r="DW60" s="896"/>
      <c r="DX60" s="896"/>
      <c r="DY60" s="896"/>
      <c r="DZ60" s="896"/>
      <c r="EA60" s="896"/>
      <c r="EB60" s="896"/>
      <c r="EC60" s="896"/>
      <c r="ED60" s="896"/>
      <c r="EE60" s="896"/>
      <c r="EF60" s="896"/>
      <c r="EG60" s="896"/>
      <c r="EH60" s="896"/>
      <c r="EI60" s="896"/>
      <c r="EJ60" s="896"/>
      <c r="EK60" s="896"/>
      <c r="EL60" s="181"/>
      <c r="EM60" s="193"/>
      <c r="EN60" s="193"/>
      <c r="EO60" s="193"/>
      <c r="EP60" s="193"/>
      <c r="EQ60" s="193"/>
      <c r="ER60" s="193"/>
      <c r="ES60" s="193"/>
      <c r="ET60" s="193"/>
      <c r="EU60" s="193"/>
      <c r="EV60" s="193"/>
      <c r="EW60" s="193"/>
      <c r="EX60" s="193"/>
      <c r="EY60" s="193"/>
      <c r="EZ60" s="193"/>
      <c r="FA60" s="193"/>
      <c r="FB60" s="193"/>
      <c r="FC60" s="193"/>
      <c r="FD60" s="193"/>
      <c r="FE60" s="193"/>
      <c r="FF60" s="181"/>
      <c r="FG60" s="183"/>
      <c r="FH60" s="194"/>
      <c r="FI60" s="184"/>
      <c r="FJ60" s="184"/>
      <c r="FK60" s="184"/>
      <c r="FL60" s="184"/>
      <c r="FM60" s="184"/>
      <c r="FN60" s="184"/>
      <c r="FO60" s="184"/>
      <c r="FP60" s="184"/>
      <c r="FQ60" s="184"/>
      <c r="FR60" s="184"/>
      <c r="FS60" s="184"/>
      <c r="FT60" s="184"/>
      <c r="FU60" s="184"/>
      <c r="FV60" s="184"/>
      <c r="FW60" s="184"/>
      <c r="FX60" s="184"/>
      <c r="FY60" s="184"/>
      <c r="FZ60" s="184"/>
      <c r="GA60" s="184"/>
      <c r="GB60" s="185"/>
      <c r="GC60" s="195"/>
      <c r="GD60" s="183"/>
      <c r="GE60" s="186"/>
      <c r="GF60" s="186"/>
      <c r="GG60" s="186"/>
      <c r="GH60" s="186"/>
      <c r="GI60" s="186"/>
      <c r="GJ60" s="186"/>
      <c r="GK60" s="186"/>
      <c r="GL60" s="186"/>
      <c r="GM60" s="186"/>
      <c r="GN60" s="186"/>
      <c r="GO60" s="186"/>
      <c r="GP60" s="186"/>
      <c r="GQ60" s="186"/>
      <c r="GR60" s="186"/>
      <c r="GS60" s="186"/>
      <c r="GT60" s="186"/>
      <c r="GU60" s="186"/>
      <c r="GV60" s="186"/>
      <c r="GW60" s="186"/>
      <c r="GX60" s="186"/>
      <c r="GY60" s="186"/>
      <c r="GZ60" s="186"/>
      <c r="HA60" s="186"/>
      <c r="HB60" s="186"/>
      <c r="HC60" s="186"/>
      <c r="HD60" s="186"/>
      <c r="HE60" s="186"/>
      <c r="HF60" s="186"/>
      <c r="HG60" s="187"/>
      <c r="HH60" s="188"/>
      <c r="HI60" s="182"/>
      <c r="HJ60" s="182"/>
      <c r="HK60" s="182"/>
      <c r="HL60" s="182"/>
      <c r="HM60" s="189"/>
      <c r="HN60" s="189"/>
      <c r="HO60" s="190"/>
      <c r="HP60" s="191"/>
      <c r="HQ60" s="191"/>
      <c r="HR60" s="191"/>
      <c r="HS60" s="191"/>
      <c r="HT60" s="191"/>
      <c r="HU60" s="191"/>
      <c r="HV60" s="191"/>
      <c r="HW60" s="191"/>
      <c r="HX60" s="191"/>
      <c r="HY60" s="191"/>
      <c r="HZ60" s="191"/>
      <c r="IA60" s="191"/>
      <c r="IB60" s="191"/>
      <c r="IC60" s="191"/>
      <c r="ID60" s="191"/>
      <c r="IE60" s="192"/>
      <c r="IF60" s="192"/>
      <c r="IG60" s="192"/>
      <c r="IH60" s="192"/>
      <c r="II60" s="192"/>
      <c r="IJ60" s="192"/>
      <c r="IK60" s="192"/>
      <c r="IL60" s="192"/>
      <c r="IM60" s="192"/>
      <c r="IN60" s="192"/>
      <c r="IO60" s="192"/>
      <c r="IP60" s="192"/>
      <c r="IQ60" s="192"/>
      <c r="IR60" s="192"/>
      <c r="IS60" s="192"/>
      <c r="IT60" s="192"/>
      <c r="IU60" s="192"/>
      <c r="IV60" s="192"/>
    </row>
    <row r="61" spans="1:256" s="178" customFormat="1" ht="12">
      <c r="A61" s="179"/>
      <c r="B61" s="28"/>
      <c r="C61" s="28"/>
      <c r="D61" s="900"/>
      <c r="E61" s="896"/>
      <c r="F61" s="43"/>
      <c r="G61" s="896"/>
      <c r="H61" s="896"/>
      <c r="I61" s="896"/>
      <c r="J61" s="896"/>
      <c r="K61" s="896"/>
      <c r="L61" s="896"/>
      <c r="M61" s="896"/>
      <c r="N61" s="896"/>
      <c r="O61" s="896"/>
      <c r="P61" s="897"/>
      <c r="Q61" s="897"/>
      <c r="R61" s="897"/>
      <c r="S61" s="898"/>
      <c r="T61" s="898"/>
      <c r="U61" s="897"/>
      <c r="V61" s="897"/>
      <c r="W61" s="897"/>
      <c r="X61" s="898"/>
      <c r="Y61" s="898"/>
      <c r="Z61" s="898"/>
      <c r="AA61" s="898"/>
      <c r="AB61" s="897"/>
      <c r="AC61" s="897"/>
      <c r="AD61" s="897"/>
      <c r="AE61" s="898"/>
      <c r="AF61" s="898"/>
      <c r="AG61" s="898"/>
      <c r="AH61" s="898"/>
      <c r="AI61" s="898"/>
      <c r="AJ61" s="898"/>
      <c r="AK61" s="898"/>
      <c r="AL61" s="899"/>
      <c r="AM61" s="899"/>
      <c r="AN61" s="898"/>
      <c r="AO61" s="898"/>
      <c r="AP61" s="898"/>
      <c r="AQ61" s="898"/>
      <c r="AR61" s="898"/>
      <c r="AS61" s="898"/>
      <c r="AT61" s="898"/>
      <c r="AU61" s="898"/>
      <c r="AV61" s="898"/>
      <c r="AW61" s="898"/>
      <c r="AX61" s="898"/>
      <c r="AY61" s="898"/>
      <c r="AZ61" s="898"/>
      <c r="BA61" s="897"/>
      <c r="BB61" s="897"/>
      <c r="BC61" s="897"/>
      <c r="BD61" s="897"/>
      <c r="BE61" s="897"/>
      <c r="BF61" s="897"/>
      <c r="BG61" s="897"/>
      <c r="BH61" s="897"/>
      <c r="BI61" s="897"/>
      <c r="BJ61" s="897"/>
      <c r="BK61" s="897"/>
      <c r="BL61" s="897"/>
      <c r="BM61" s="897"/>
      <c r="BN61" s="897"/>
      <c r="BO61" s="897"/>
      <c r="BP61" s="897"/>
      <c r="BQ61" s="897"/>
      <c r="BR61" s="897"/>
      <c r="BS61" s="897"/>
      <c r="BT61" s="897"/>
      <c r="BU61" s="897"/>
      <c r="BV61" s="197"/>
      <c r="BW61" s="197"/>
      <c r="BX61" s="197"/>
      <c r="BY61" s="197"/>
      <c r="BZ61" s="197"/>
      <c r="CA61" s="197"/>
      <c r="CB61" s="197"/>
      <c r="CC61" s="197"/>
      <c r="CD61" s="197"/>
      <c r="CE61" s="197"/>
      <c r="CF61" s="197"/>
      <c r="CG61" s="197"/>
      <c r="CH61" s="197"/>
      <c r="CI61" s="197"/>
      <c r="CJ61" s="197"/>
      <c r="CK61" s="197"/>
      <c r="CL61" s="197"/>
      <c r="CM61" s="197"/>
      <c r="CN61" s="197"/>
      <c r="CO61" s="197"/>
      <c r="CP61" s="197"/>
      <c r="CQ61" s="197"/>
      <c r="CR61" s="896"/>
      <c r="CS61" s="896"/>
      <c r="CT61" s="896"/>
      <c r="CU61" s="896"/>
      <c r="CV61" s="896"/>
      <c r="CW61" s="896"/>
      <c r="CX61" s="896"/>
      <c r="CY61" s="896"/>
      <c r="CZ61" s="896"/>
      <c r="DA61" s="896"/>
      <c r="DB61" s="896"/>
      <c r="DC61" s="896"/>
      <c r="DD61" s="896"/>
      <c r="DE61" s="896"/>
      <c r="DF61" s="896"/>
      <c r="DG61" s="896"/>
      <c r="DH61" s="896"/>
      <c r="DI61" s="896"/>
      <c r="DJ61" s="896"/>
      <c r="DK61" s="896"/>
      <c r="DL61" s="896"/>
      <c r="DM61" s="896"/>
      <c r="DN61" s="896"/>
      <c r="DO61" s="896"/>
      <c r="DP61" s="896"/>
      <c r="DQ61" s="896"/>
      <c r="DR61" s="896"/>
      <c r="DS61" s="896"/>
      <c r="DT61" s="896"/>
      <c r="DU61" s="896"/>
      <c r="DV61" s="896"/>
      <c r="DW61" s="896"/>
      <c r="DX61" s="896"/>
      <c r="DY61" s="896"/>
      <c r="DZ61" s="896"/>
      <c r="EA61" s="896"/>
      <c r="EB61" s="896"/>
      <c r="EC61" s="896"/>
      <c r="ED61" s="896"/>
      <c r="EE61" s="896"/>
      <c r="EF61" s="896"/>
      <c r="EG61" s="896"/>
      <c r="EH61" s="896"/>
      <c r="EI61" s="896"/>
      <c r="EJ61" s="896"/>
      <c r="EK61" s="896"/>
      <c r="EL61" s="181"/>
      <c r="EM61" s="193"/>
      <c r="EN61" s="193"/>
      <c r="EO61" s="193"/>
      <c r="EP61" s="193"/>
      <c r="EQ61" s="193"/>
      <c r="ER61" s="193"/>
      <c r="ES61" s="193"/>
      <c r="ET61" s="193"/>
      <c r="EU61" s="193"/>
      <c r="EV61" s="193"/>
      <c r="EW61" s="193"/>
      <c r="EX61" s="193"/>
      <c r="EY61" s="193"/>
      <c r="EZ61" s="193"/>
      <c r="FA61" s="193"/>
      <c r="FB61" s="193"/>
      <c r="FC61" s="193"/>
      <c r="FD61" s="193"/>
      <c r="FE61" s="193"/>
      <c r="FF61" s="181"/>
      <c r="FG61" s="183"/>
      <c r="FH61" s="194"/>
      <c r="FI61" s="184"/>
      <c r="FJ61" s="184"/>
      <c r="FK61" s="184"/>
      <c r="FL61" s="184"/>
      <c r="FM61" s="184"/>
      <c r="FN61" s="184"/>
      <c r="FO61" s="184"/>
      <c r="FP61" s="184"/>
      <c r="FQ61" s="184"/>
      <c r="FR61" s="184"/>
      <c r="FS61" s="184"/>
      <c r="FT61" s="184"/>
      <c r="FU61" s="184"/>
      <c r="FV61" s="184"/>
      <c r="FW61" s="184"/>
      <c r="FX61" s="184"/>
      <c r="FY61" s="184"/>
      <c r="FZ61" s="184"/>
      <c r="GA61" s="184"/>
      <c r="GB61" s="185"/>
      <c r="GC61" s="195"/>
      <c r="GD61" s="183"/>
      <c r="GE61" s="186"/>
      <c r="GF61" s="186"/>
      <c r="GG61" s="186"/>
      <c r="GH61" s="186"/>
      <c r="GI61" s="186"/>
      <c r="GJ61" s="186"/>
      <c r="GK61" s="186"/>
      <c r="GL61" s="186"/>
      <c r="GM61" s="186"/>
      <c r="GN61" s="186"/>
      <c r="GO61" s="186"/>
      <c r="GP61" s="186"/>
      <c r="GQ61" s="186"/>
      <c r="GR61" s="186"/>
      <c r="GS61" s="186"/>
      <c r="GT61" s="186"/>
      <c r="GU61" s="186"/>
      <c r="GV61" s="186"/>
      <c r="GW61" s="186"/>
      <c r="GX61" s="186"/>
      <c r="GY61" s="186"/>
      <c r="GZ61" s="186"/>
      <c r="HA61" s="186"/>
      <c r="HB61" s="186"/>
      <c r="HC61" s="186"/>
      <c r="HD61" s="186"/>
      <c r="HE61" s="186"/>
      <c r="HF61" s="186"/>
      <c r="HG61" s="187"/>
      <c r="HH61" s="188"/>
      <c r="HI61" s="182"/>
      <c r="HJ61" s="182"/>
      <c r="HK61" s="182"/>
      <c r="HL61" s="182"/>
      <c r="HM61" s="189"/>
      <c r="HN61" s="189"/>
      <c r="HO61" s="190"/>
      <c r="HP61" s="191"/>
      <c r="HQ61" s="191"/>
      <c r="HR61" s="191"/>
      <c r="HS61" s="191"/>
      <c r="HT61" s="191"/>
      <c r="HU61" s="191"/>
      <c r="HV61" s="191"/>
      <c r="HW61" s="191"/>
      <c r="HX61" s="191"/>
      <c r="HY61" s="191"/>
      <c r="HZ61" s="191"/>
      <c r="IA61" s="191"/>
      <c r="IB61" s="191"/>
      <c r="IC61" s="191"/>
      <c r="ID61" s="191"/>
      <c r="IE61" s="192"/>
      <c r="IF61" s="192"/>
      <c r="IG61" s="192"/>
      <c r="IH61" s="192"/>
      <c r="II61" s="192"/>
      <c r="IJ61" s="192"/>
      <c r="IK61" s="192"/>
      <c r="IL61" s="192"/>
      <c r="IM61" s="192"/>
      <c r="IN61" s="192"/>
      <c r="IO61" s="192"/>
      <c r="IP61" s="192"/>
      <c r="IQ61" s="192"/>
      <c r="IR61" s="192"/>
      <c r="IS61" s="192"/>
      <c r="IT61" s="192"/>
      <c r="IU61" s="192"/>
      <c r="IV61" s="192"/>
    </row>
    <row r="62" spans="1:256" s="178" customFormat="1" ht="12">
      <c r="A62" s="179"/>
      <c r="B62" s="28"/>
      <c r="C62" s="28"/>
      <c r="D62" s="900"/>
      <c r="E62" s="896"/>
      <c r="F62" s="43"/>
      <c r="G62" s="896"/>
      <c r="H62" s="896"/>
      <c r="I62" s="896"/>
      <c r="J62" s="896"/>
      <c r="K62" s="896"/>
      <c r="L62" s="896"/>
      <c r="M62" s="896"/>
      <c r="N62" s="896"/>
      <c r="O62" s="896"/>
      <c r="P62" s="897"/>
      <c r="Q62" s="897"/>
      <c r="R62" s="897"/>
      <c r="S62" s="898"/>
      <c r="T62" s="898"/>
      <c r="U62" s="897"/>
      <c r="V62" s="897"/>
      <c r="W62" s="897"/>
      <c r="X62" s="898"/>
      <c r="Y62" s="898"/>
      <c r="Z62" s="898"/>
      <c r="AA62" s="898"/>
      <c r="AB62" s="897"/>
      <c r="AC62" s="897"/>
      <c r="AD62" s="897"/>
      <c r="AE62" s="898"/>
      <c r="AF62" s="898"/>
      <c r="AG62" s="898"/>
      <c r="AH62" s="898"/>
      <c r="AI62" s="898"/>
      <c r="AJ62" s="898"/>
      <c r="AK62" s="898"/>
      <c r="AL62" s="899"/>
      <c r="AM62" s="899"/>
      <c r="AN62" s="898"/>
      <c r="AO62" s="898"/>
      <c r="AP62" s="898"/>
      <c r="AQ62" s="898"/>
      <c r="AR62" s="898"/>
      <c r="AS62" s="898"/>
      <c r="AT62" s="898"/>
      <c r="AU62" s="898"/>
      <c r="AV62" s="898"/>
      <c r="AW62" s="898"/>
      <c r="AX62" s="898"/>
      <c r="AY62" s="898"/>
      <c r="AZ62" s="898"/>
      <c r="BA62" s="897"/>
      <c r="BB62" s="897"/>
      <c r="BC62" s="897"/>
      <c r="BD62" s="897"/>
      <c r="BE62" s="897"/>
      <c r="BF62" s="897"/>
      <c r="BG62" s="897"/>
      <c r="BH62" s="897"/>
      <c r="BI62" s="897"/>
      <c r="BJ62" s="897"/>
      <c r="BK62" s="897"/>
      <c r="BL62" s="897"/>
      <c r="BM62" s="897"/>
      <c r="BN62" s="897"/>
      <c r="BO62" s="897"/>
      <c r="BP62" s="897"/>
      <c r="BQ62" s="897"/>
      <c r="BR62" s="897"/>
      <c r="BS62" s="897"/>
      <c r="BT62" s="897"/>
      <c r="BU62" s="897"/>
      <c r="BV62" s="197"/>
      <c r="BW62" s="197"/>
      <c r="BX62" s="197"/>
      <c r="BY62" s="197"/>
      <c r="BZ62" s="197"/>
      <c r="CA62" s="197"/>
      <c r="CB62" s="197"/>
      <c r="CC62" s="197"/>
      <c r="CD62" s="197"/>
      <c r="CE62" s="197"/>
      <c r="CF62" s="197"/>
      <c r="CG62" s="197"/>
      <c r="CH62" s="197"/>
      <c r="CI62" s="197"/>
      <c r="CJ62" s="197"/>
      <c r="CK62" s="197"/>
      <c r="CL62" s="197"/>
      <c r="CM62" s="197"/>
      <c r="CN62" s="197"/>
      <c r="CO62" s="197"/>
      <c r="CP62" s="197"/>
      <c r="CQ62" s="197"/>
      <c r="CR62" s="896"/>
      <c r="CS62" s="896"/>
      <c r="CT62" s="896"/>
      <c r="CU62" s="896"/>
      <c r="CV62" s="896"/>
      <c r="CW62" s="896"/>
      <c r="CX62" s="896"/>
      <c r="CY62" s="896"/>
      <c r="CZ62" s="896"/>
      <c r="DA62" s="896"/>
      <c r="DB62" s="896"/>
      <c r="DC62" s="896"/>
      <c r="DD62" s="896"/>
      <c r="DE62" s="896"/>
      <c r="DF62" s="896"/>
      <c r="DG62" s="896"/>
      <c r="DH62" s="896"/>
      <c r="DI62" s="896"/>
      <c r="DJ62" s="896"/>
      <c r="DK62" s="896"/>
      <c r="DL62" s="896"/>
      <c r="DM62" s="896"/>
      <c r="DN62" s="896"/>
      <c r="DO62" s="896"/>
      <c r="DP62" s="896"/>
      <c r="DQ62" s="896"/>
      <c r="DR62" s="896"/>
      <c r="DS62" s="896"/>
      <c r="DT62" s="896"/>
      <c r="DU62" s="896"/>
      <c r="DV62" s="896"/>
      <c r="DW62" s="896"/>
      <c r="DX62" s="896"/>
      <c r="DY62" s="896"/>
      <c r="DZ62" s="896"/>
      <c r="EA62" s="896"/>
      <c r="EB62" s="896"/>
      <c r="EC62" s="896"/>
      <c r="ED62" s="896"/>
      <c r="EE62" s="896"/>
      <c r="EF62" s="896"/>
      <c r="EG62" s="896"/>
      <c r="EH62" s="896"/>
      <c r="EI62" s="896"/>
      <c r="EJ62" s="896"/>
      <c r="EK62" s="896"/>
      <c r="EL62" s="181"/>
      <c r="EM62" s="193"/>
      <c r="EN62" s="193"/>
      <c r="EO62" s="193"/>
      <c r="EP62" s="193"/>
      <c r="EQ62" s="193"/>
      <c r="ER62" s="193"/>
      <c r="ES62" s="193"/>
      <c r="ET62" s="193"/>
      <c r="EU62" s="193"/>
      <c r="EV62" s="193"/>
      <c r="EW62" s="193"/>
      <c r="EX62" s="193"/>
      <c r="EY62" s="193"/>
      <c r="EZ62" s="193"/>
      <c r="FA62" s="193"/>
      <c r="FB62" s="193"/>
      <c r="FC62" s="193"/>
      <c r="FD62" s="193"/>
      <c r="FE62" s="193"/>
      <c r="FF62" s="181"/>
      <c r="FG62" s="183"/>
      <c r="FH62" s="194"/>
      <c r="FI62" s="184"/>
      <c r="FJ62" s="184"/>
      <c r="FK62" s="184"/>
      <c r="FL62" s="184"/>
      <c r="FM62" s="184"/>
      <c r="FN62" s="184"/>
      <c r="FO62" s="184"/>
      <c r="FP62" s="184"/>
      <c r="FQ62" s="184"/>
      <c r="FR62" s="184"/>
      <c r="FS62" s="184"/>
      <c r="FT62" s="184"/>
      <c r="FU62" s="184"/>
      <c r="FV62" s="184"/>
      <c r="FW62" s="184"/>
      <c r="FX62" s="184"/>
      <c r="FY62" s="184"/>
      <c r="FZ62" s="184"/>
      <c r="GA62" s="184"/>
      <c r="GB62" s="185"/>
      <c r="GC62" s="195"/>
      <c r="GD62" s="183"/>
      <c r="GE62" s="186"/>
      <c r="GF62" s="186"/>
      <c r="GG62" s="186"/>
      <c r="GH62" s="186"/>
      <c r="GI62" s="186"/>
      <c r="GJ62" s="186"/>
      <c r="GK62" s="186"/>
      <c r="GL62" s="186"/>
      <c r="GM62" s="186"/>
      <c r="GN62" s="186"/>
      <c r="GO62" s="186"/>
      <c r="GP62" s="186"/>
      <c r="GQ62" s="186"/>
      <c r="GR62" s="186"/>
      <c r="GS62" s="186"/>
      <c r="GT62" s="186"/>
      <c r="GU62" s="186"/>
      <c r="GV62" s="186"/>
      <c r="GW62" s="186"/>
      <c r="GX62" s="186"/>
      <c r="GY62" s="186"/>
      <c r="GZ62" s="186"/>
      <c r="HA62" s="186"/>
      <c r="HB62" s="186"/>
      <c r="HC62" s="186"/>
      <c r="HD62" s="186"/>
      <c r="HE62" s="186"/>
      <c r="HF62" s="186"/>
      <c r="HG62" s="187"/>
      <c r="HH62" s="188"/>
      <c r="HI62" s="182"/>
      <c r="HJ62" s="182"/>
      <c r="HK62" s="182"/>
      <c r="HL62" s="182"/>
      <c r="HM62" s="189"/>
      <c r="HN62" s="189"/>
      <c r="HO62" s="190"/>
      <c r="HP62" s="191"/>
      <c r="HQ62" s="191"/>
      <c r="HR62" s="191"/>
      <c r="HS62" s="191"/>
      <c r="HT62" s="191"/>
      <c r="HU62" s="191"/>
      <c r="HV62" s="191"/>
      <c r="HW62" s="191"/>
      <c r="HX62" s="191"/>
      <c r="HY62" s="191"/>
      <c r="HZ62" s="191"/>
      <c r="IA62" s="191"/>
      <c r="IB62" s="191"/>
      <c r="IC62" s="191"/>
      <c r="ID62" s="191"/>
      <c r="IE62" s="192"/>
      <c r="IF62" s="192"/>
      <c r="IG62" s="192"/>
      <c r="IH62" s="192"/>
      <c r="II62" s="192"/>
      <c r="IJ62" s="192"/>
      <c r="IK62" s="192"/>
      <c r="IL62" s="192"/>
      <c r="IM62" s="192"/>
      <c r="IN62" s="192"/>
      <c r="IO62" s="192"/>
      <c r="IP62" s="192"/>
      <c r="IQ62" s="192"/>
      <c r="IR62" s="192"/>
      <c r="IS62" s="192"/>
      <c r="IT62" s="192"/>
      <c r="IU62" s="192"/>
      <c r="IV62" s="192"/>
    </row>
    <row r="63" spans="1:256">
      <c r="A63" s="53"/>
      <c r="B63" s="48"/>
      <c r="C63" s="18"/>
      <c r="D63" s="895"/>
      <c r="E63" s="48"/>
      <c r="F63" s="48"/>
      <c r="G63" s="48"/>
      <c r="H63" s="48"/>
      <c r="I63" s="48"/>
      <c r="J63" s="48"/>
      <c r="K63" s="48"/>
      <c r="L63" s="48"/>
      <c r="M63" s="48"/>
      <c r="N63" s="48"/>
      <c r="O63" s="48"/>
      <c r="P63" s="894"/>
      <c r="Q63" s="894"/>
      <c r="R63" s="894"/>
      <c r="S63" s="894"/>
      <c r="T63" s="894"/>
      <c r="U63" s="894"/>
      <c r="V63" s="894"/>
      <c r="W63" s="894"/>
      <c r="X63" s="894"/>
      <c r="Y63" s="894"/>
      <c r="Z63" s="894"/>
      <c r="AA63" s="894"/>
      <c r="AB63" s="894"/>
      <c r="AC63" s="894"/>
      <c r="AD63" s="894"/>
      <c r="AE63" s="894"/>
      <c r="AF63" s="894"/>
      <c r="AG63" s="894"/>
      <c r="AH63" s="894"/>
      <c r="AI63" s="894"/>
      <c r="AJ63" s="894"/>
      <c r="AK63" s="894"/>
      <c r="AL63" s="894"/>
      <c r="AM63" s="894"/>
      <c r="AN63" s="894"/>
      <c r="AO63" s="894"/>
      <c r="AP63" s="894"/>
      <c r="AQ63" s="894"/>
      <c r="AR63" s="894"/>
      <c r="AS63" s="894"/>
      <c r="AT63" s="894"/>
      <c r="AU63" s="894"/>
      <c r="AV63" s="894"/>
      <c r="AW63" s="894"/>
      <c r="AX63" s="894"/>
      <c r="AY63" s="894"/>
      <c r="AZ63" s="894"/>
      <c r="BA63" s="894"/>
      <c r="BB63" s="894"/>
      <c r="BC63" s="894"/>
      <c r="BD63" s="894"/>
      <c r="BE63" s="894"/>
      <c r="BF63" s="894"/>
      <c r="BG63" s="894"/>
      <c r="BH63" s="894"/>
      <c r="BI63" s="894"/>
      <c r="BJ63" s="894"/>
      <c r="BK63" s="894"/>
      <c r="BL63" s="894"/>
      <c r="BM63" s="894"/>
      <c r="BN63" s="894"/>
      <c r="BO63" s="894"/>
      <c r="BP63" s="894"/>
      <c r="BQ63" s="894"/>
      <c r="BR63" s="894"/>
      <c r="BS63" s="894"/>
      <c r="BT63" s="894"/>
      <c r="BU63" s="894"/>
      <c r="BV63" s="893"/>
      <c r="BW63" s="893"/>
      <c r="BX63" s="890"/>
      <c r="BY63" s="890"/>
      <c r="BZ63" s="890"/>
      <c r="CA63" s="890"/>
      <c r="CB63" s="890"/>
      <c r="CC63" s="890"/>
      <c r="CD63" s="890"/>
      <c r="CE63" s="890"/>
      <c r="CF63" s="890"/>
      <c r="CG63" s="890"/>
      <c r="CH63" s="890"/>
      <c r="CI63" s="890"/>
      <c r="CJ63" s="890"/>
      <c r="CK63" s="890"/>
      <c r="CL63" s="890"/>
      <c r="CM63" s="890"/>
      <c r="CN63" s="890"/>
      <c r="CO63" s="890"/>
      <c r="CP63" s="890"/>
      <c r="CQ63" s="890"/>
      <c r="CR63" s="19"/>
      <c r="CS63" s="19"/>
      <c r="CT63" s="19"/>
      <c r="CU63" s="19"/>
      <c r="CV63" s="19"/>
      <c r="CW63" s="19"/>
      <c r="CX63" s="19"/>
      <c r="CY63" s="19"/>
      <c r="CZ63" s="19"/>
      <c r="DA63" s="19"/>
      <c r="DB63" s="19"/>
      <c r="DC63" s="19"/>
      <c r="DD63" s="19"/>
      <c r="DE63" s="19"/>
      <c r="DF63" s="19"/>
      <c r="DG63" s="19"/>
      <c r="DH63" s="19"/>
      <c r="DI63" s="19"/>
      <c r="DJ63" s="19"/>
      <c r="DK63" s="19"/>
      <c r="DL63" s="19"/>
      <c r="DM63" s="19"/>
      <c r="DN63" s="19"/>
      <c r="DO63" s="19"/>
      <c r="DP63" s="19"/>
      <c r="DQ63" s="19"/>
      <c r="DR63" s="19"/>
      <c r="DS63" s="19"/>
      <c r="DT63" s="19"/>
      <c r="DU63" s="19"/>
      <c r="DV63" s="19"/>
      <c r="DW63" s="19"/>
      <c r="DX63" s="19"/>
      <c r="DY63" s="19"/>
      <c r="DZ63" s="19"/>
      <c r="EA63" s="19"/>
      <c r="EB63" s="19"/>
      <c r="EC63" s="19"/>
      <c r="ED63" s="19"/>
      <c r="EE63" s="19"/>
      <c r="EF63" s="19"/>
      <c r="EG63" s="19"/>
      <c r="EH63" s="19"/>
      <c r="EI63" s="19"/>
      <c r="EJ63" s="19"/>
      <c r="EK63" s="19"/>
      <c r="EL63" s="39"/>
      <c r="EM63" s="50"/>
      <c r="EN63" s="50"/>
      <c r="EO63" s="50"/>
      <c r="EP63" s="50"/>
      <c r="EQ63" s="50"/>
      <c r="ER63" s="50"/>
      <c r="ES63" s="50"/>
      <c r="ET63" s="50"/>
      <c r="EU63" s="50"/>
      <c r="EV63" s="50"/>
      <c r="EW63" s="50"/>
      <c r="EX63" s="50"/>
      <c r="EY63" s="50"/>
      <c r="EZ63" s="50"/>
      <c r="FA63" s="50"/>
      <c r="FB63" s="50"/>
      <c r="FC63" s="50"/>
      <c r="FD63" s="50"/>
      <c r="FE63" s="50"/>
      <c r="FF63" s="37"/>
      <c r="FG63" s="27"/>
      <c r="FH63" s="35"/>
      <c r="FI63" s="32"/>
      <c r="FJ63" s="32"/>
      <c r="FK63" s="32"/>
      <c r="FL63" s="32"/>
      <c r="FM63" s="32"/>
      <c r="FN63" s="32"/>
      <c r="FO63" s="32"/>
      <c r="FP63" s="32"/>
      <c r="FQ63" s="32"/>
      <c r="FR63" s="32"/>
      <c r="FS63" s="32"/>
      <c r="FT63" s="32"/>
      <c r="FU63" s="32"/>
      <c r="FV63" s="32"/>
      <c r="FW63" s="32"/>
      <c r="FX63" s="32"/>
      <c r="FY63" s="32"/>
      <c r="FZ63" s="32"/>
      <c r="GA63" s="32"/>
      <c r="GB63" s="33"/>
      <c r="GC63" s="34"/>
      <c r="GD63" s="31"/>
      <c r="GE63" s="27"/>
      <c r="GF63" s="27"/>
      <c r="GG63" s="27"/>
      <c r="GH63" s="27"/>
      <c r="GI63" s="27"/>
      <c r="GJ63" s="27"/>
      <c r="GK63" s="27"/>
      <c r="GL63" s="27"/>
      <c r="GM63" s="27"/>
      <c r="GN63" s="27"/>
      <c r="GO63" s="27"/>
      <c r="GP63" s="27"/>
      <c r="GQ63" s="27"/>
      <c r="GR63" s="27"/>
      <c r="GS63" s="27"/>
      <c r="GT63" s="27"/>
      <c r="GU63" s="27"/>
      <c r="GV63" s="27"/>
      <c r="GW63" s="27"/>
      <c r="GX63" s="27"/>
      <c r="GY63" s="27"/>
      <c r="GZ63" s="27"/>
      <c r="HA63" s="27"/>
      <c r="HB63" s="27"/>
      <c r="HC63" s="27"/>
      <c r="HD63" s="27"/>
      <c r="HE63" s="27"/>
      <c r="HF63" s="27"/>
      <c r="HG63" s="39"/>
      <c r="HH63" s="46"/>
      <c r="HI63" s="45"/>
      <c r="HJ63" s="45"/>
      <c r="HK63" s="45"/>
      <c r="HL63" s="45"/>
      <c r="HM63" s="25"/>
      <c r="HN63" s="25"/>
      <c r="HO63" s="47"/>
      <c r="HP63" s="47"/>
      <c r="HQ63" s="47"/>
      <c r="HR63" s="47"/>
      <c r="HS63" s="47"/>
      <c r="HT63" s="47"/>
      <c r="HU63" s="47"/>
      <c r="HV63" s="47"/>
      <c r="HW63" s="47"/>
      <c r="HX63" s="47"/>
      <c r="HY63" s="47"/>
      <c r="HZ63" s="47"/>
      <c r="IA63" s="47"/>
      <c r="IB63" s="48"/>
      <c r="IC63" s="48"/>
      <c r="ID63" s="48"/>
      <c r="IE63" s="18"/>
      <c r="IF63" s="18"/>
      <c r="IG63" s="18"/>
      <c r="IH63" s="18"/>
      <c r="II63" s="18"/>
      <c r="IJ63" s="18"/>
      <c r="IK63" s="18"/>
      <c r="IL63" s="18"/>
      <c r="IM63" s="18"/>
      <c r="IN63" s="18"/>
      <c r="IO63" s="18"/>
      <c r="IP63" s="18"/>
      <c r="IQ63" s="18"/>
      <c r="IR63" s="18"/>
      <c r="IS63" s="18"/>
      <c r="IT63" s="18"/>
      <c r="IU63" s="18"/>
      <c r="IV63" s="18"/>
    </row>
    <row r="64" spans="1:256">
      <c r="A64" s="53"/>
      <c r="B64" s="48"/>
      <c r="C64" s="18"/>
      <c r="D64" s="895"/>
      <c r="E64" s="48"/>
      <c r="F64" s="48"/>
      <c r="G64" s="48"/>
      <c r="H64" s="48"/>
      <c r="I64" s="48"/>
      <c r="J64" s="48"/>
      <c r="K64" s="48"/>
      <c r="L64" s="48"/>
      <c r="M64" s="48"/>
      <c r="N64" s="48"/>
      <c r="O64" s="48"/>
      <c r="P64" s="894"/>
      <c r="Q64" s="894"/>
      <c r="R64" s="894"/>
      <c r="S64" s="894"/>
      <c r="T64" s="894"/>
      <c r="U64" s="894"/>
      <c r="V64" s="894"/>
      <c r="W64" s="894"/>
      <c r="X64" s="894"/>
      <c r="Y64" s="894"/>
      <c r="Z64" s="894"/>
      <c r="AA64" s="894"/>
      <c r="AB64" s="894"/>
      <c r="AC64" s="894"/>
      <c r="AD64" s="894"/>
      <c r="AE64" s="894"/>
      <c r="AF64" s="894"/>
      <c r="AG64" s="894"/>
      <c r="AH64" s="894"/>
      <c r="AI64" s="894"/>
      <c r="AJ64" s="894"/>
      <c r="AK64" s="894"/>
      <c r="AL64" s="894"/>
      <c r="AM64" s="894"/>
      <c r="AN64" s="894"/>
      <c r="AO64" s="894"/>
      <c r="AP64" s="894"/>
      <c r="AQ64" s="894"/>
      <c r="AR64" s="894"/>
      <c r="AS64" s="894"/>
      <c r="AT64" s="894"/>
      <c r="AU64" s="894"/>
      <c r="AV64" s="894"/>
      <c r="AW64" s="894"/>
      <c r="AX64" s="894"/>
      <c r="AY64" s="894"/>
      <c r="AZ64" s="894"/>
      <c r="BA64" s="894"/>
      <c r="BB64" s="894"/>
      <c r="BC64" s="894"/>
      <c r="BD64" s="894"/>
      <c r="BE64" s="894"/>
      <c r="BF64" s="894"/>
      <c r="BG64" s="894"/>
      <c r="BH64" s="894"/>
      <c r="BI64" s="894"/>
      <c r="BJ64" s="894"/>
      <c r="BK64" s="894"/>
      <c r="BL64" s="894"/>
      <c r="BM64" s="894"/>
      <c r="BN64" s="894"/>
      <c r="BO64" s="894"/>
      <c r="BP64" s="894"/>
      <c r="BQ64" s="894"/>
      <c r="BR64" s="894"/>
      <c r="BS64" s="894"/>
      <c r="BT64" s="894"/>
      <c r="BU64" s="894"/>
      <c r="BV64" s="893"/>
      <c r="BW64" s="893"/>
      <c r="BX64" s="890"/>
      <c r="BY64" s="890"/>
      <c r="BZ64" s="890"/>
      <c r="CA64" s="890"/>
      <c r="CB64" s="890"/>
      <c r="CC64" s="890"/>
      <c r="CD64" s="890"/>
      <c r="CE64" s="890"/>
      <c r="CF64" s="890"/>
      <c r="CG64" s="890"/>
      <c r="CH64" s="890"/>
      <c r="CI64" s="890"/>
      <c r="CJ64" s="890"/>
      <c r="CK64" s="890"/>
      <c r="CL64" s="890"/>
      <c r="CM64" s="890"/>
      <c r="CN64" s="890"/>
      <c r="CO64" s="890"/>
      <c r="CP64" s="890"/>
      <c r="CQ64" s="890"/>
      <c r="CR64" s="19"/>
      <c r="CS64" s="19"/>
      <c r="CT64" s="19"/>
      <c r="CU64" s="19"/>
      <c r="CV64" s="19"/>
      <c r="CW64" s="19"/>
      <c r="CX64" s="19"/>
      <c r="CY64" s="19"/>
      <c r="CZ64" s="19"/>
      <c r="DA64" s="19"/>
      <c r="DB64" s="19"/>
      <c r="DC64" s="19"/>
      <c r="DD64" s="19"/>
      <c r="DE64" s="19"/>
      <c r="DF64" s="19"/>
      <c r="DG64" s="19"/>
      <c r="DH64" s="19"/>
      <c r="DI64" s="19"/>
      <c r="DJ64" s="19"/>
      <c r="DK64" s="19"/>
      <c r="DL64" s="19"/>
      <c r="DM64" s="19"/>
      <c r="DN64" s="19"/>
      <c r="DO64" s="19"/>
      <c r="DP64" s="19"/>
      <c r="DQ64" s="19"/>
      <c r="DR64" s="19"/>
      <c r="DS64" s="19"/>
      <c r="DT64" s="19"/>
      <c r="DU64" s="19"/>
      <c r="DV64" s="19"/>
      <c r="DW64" s="19"/>
      <c r="DX64" s="19"/>
      <c r="DY64" s="19"/>
      <c r="DZ64" s="19"/>
      <c r="EA64" s="19"/>
      <c r="EB64" s="19"/>
      <c r="EC64" s="19"/>
      <c r="ED64" s="19"/>
      <c r="EE64" s="19"/>
      <c r="EF64" s="19"/>
      <c r="EG64" s="19"/>
      <c r="EH64" s="19"/>
      <c r="EI64" s="19"/>
      <c r="EJ64" s="19"/>
      <c r="EK64" s="19"/>
      <c r="EL64" s="39"/>
      <c r="EM64" s="50"/>
      <c r="EN64" s="50"/>
      <c r="EO64" s="50"/>
      <c r="EP64" s="50"/>
      <c r="EQ64" s="50"/>
      <c r="ER64" s="50"/>
      <c r="ES64" s="50"/>
      <c r="ET64" s="50"/>
      <c r="EU64" s="50"/>
      <c r="EV64" s="50"/>
      <c r="EW64" s="50"/>
      <c r="EX64" s="50"/>
      <c r="EY64" s="50"/>
      <c r="EZ64" s="50"/>
      <c r="FA64" s="50"/>
      <c r="FB64" s="50"/>
      <c r="FC64" s="50"/>
      <c r="FD64" s="50"/>
      <c r="FE64" s="50"/>
      <c r="FF64" s="37"/>
      <c r="FG64" s="27"/>
      <c r="FH64" s="35"/>
      <c r="FI64" s="32"/>
      <c r="FJ64" s="32"/>
      <c r="FK64" s="32"/>
      <c r="FL64" s="32"/>
      <c r="FM64" s="32"/>
      <c r="FN64" s="32"/>
      <c r="FO64" s="32"/>
      <c r="FP64" s="32"/>
      <c r="FQ64" s="32"/>
      <c r="FR64" s="32"/>
      <c r="FS64" s="32"/>
      <c r="FT64" s="32"/>
      <c r="FU64" s="32"/>
      <c r="FV64" s="32"/>
      <c r="FW64" s="32"/>
      <c r="FX64" s="32"/>
      <c r="FY64" s="32"/>
      <c r="FZ64" s="32"/>
      <c r="GA64" s="32"/>
      <c r="GB64" s="33"/>
      <c r="GC64" s="34"/>
      <c r="GD64" s="31"/>
      <c r="GE64" s="27"/>
      <c r="GF64" s="27"/>
      <c r="GG64" s="27"/>
      <c r="GH64" s="27"/>
      <c r="GI64" s="27"/>
      <c r="GJ64" s="27"/>
      <c r="GK64" s="27"/>
      <c r="GL64" s="27"/>
      <c r="GM64" s="27"/>
      <c r="GN64" s="27"/>
      <c r="GO64" s="27"/>
      <c r="GP64" s="27"/>
      <c r="GQ64" s="27"/>
      <c r="GR64" s="27"/>
      <c r="GS64" s="27"/>
      <c r="GT64" s="27"/>
      <c r="GU64" s="27"/>
      <c r="GV64" s="27"/>
      <c r="GW64" s="27"/>
      <c r="GX64" s="27"/>
      <c r="GY64" s="27"/>
      <c r="GZ64" s="27"/>
      <c r="HA64" s="27"/>
      <c r="HB64" s="27"/>
      <c r="HC64" s="27"/>
      <c r="HD64" s="27"/>
      <c r="HE64" s="27"/>
      <c r="HF64" s="27"/>
      <c r="HG64" s="39"/>
      <c r="HH64" s="46"/>
      <c r="HI64" s="45"/>
      <c r="HJ64" s="45"/>
      <c r="HK64" s="45"/>
      <c r="HL64" s="45"/>
      <c r="HM64" s="25"/>
      <c r="HN64" s="25"/>
      <c r="HO64" s="47"/>
      <c r="HP64" s="47"/>
      <c r="HQ64" s="47"/>
      <c r="HR64" s="47"/>
      <c r="HS64" s="47"/>
      <c r="HT64" s="47"/>
      <c r="HU64" s="47"/>
      <c r="HV64" s="47"/>
      <c r="HW64" s="47"/>
      <c r="HX64" s="47"/>
      <c r="HY64" s="47"/>
      <c r="HZ64" s="47"/>
      <c r="IA64" s="47"/>
      <c r="IB64" s="48"/>
      <c r="IC64" s="48"/>
      <c r="ID64" s="48"/>
      <c r="IE64" s="18"/>
      <c r="IF64" s="18"/>
      <c r="IG64" s="18"/>
      <c r="IH64" s="18"/>
      <c r="II64" s="18"/>
      <c r="IJ64" s="18"/>
      <c r="IK64" s="18"/>
      <c r="IL64" s="18"/>
      <c r="IM64" s="18"/>
      <c r="IN64" s="18"/>
      <c r="IO64" s="18"/>
      <c r="IP64" s="18"/>
      <c r="IQ64" s="18"/>
      <c r="IR64" s="18"/>
      <c r="IS64" s="18"/>
      <c r="IT64" s="18"/>
      <c r="IU64" s="18"/>
      <c r="IV64" s="18"/>
    </row>
    <row r="65" spans="1:256" ht="26.25">
      <c r="A65" s="53"/>
      <c r="B65" s="956" t="s">
        <v>2636</v>
      </c>
      <c r="C65" s="895"/>
      <c r="D65" s="895"/>
      <c r="E65" s="48"/>
      <c r="F65" s="48"/>
      <c r="G65" s="48"/>
      <c r="H65" s="48"/>
      <c r="I65" s="48"/>
      <c r="J65" s="48"/>
      <c r="K65" s="48"/>
      <c r="L65" s="48"/>
      <c r="M65" s="48"/>
      <c r="N65" s="48"/>
      <c r="O65" s="48"/>
      <c r="P65" s="894"/>
      <c r="Q65" s="894"/>
      <c r="R65" s="894"/>
      <c r="S65" s="894"/>
      <c r="T65" s="894"/>
      <c r="U65" s="894"/>
      <c r="V65" s="894"/>
      <c r="W65" s="894"/>
      <c r="X65" s="894"/>
      <c r="Y65" s="894"/>
      <c r="Z65" s="894"/>
      <c r="AA65" s="894"/>
      <c r="AB65" s="894"/>
      <c r="AC65" s="894"/>
      <c r="AD65" s="894"/>
      <c r="AE65" s="894"/>
      <c r="AF65" s="894"/>
      <c r="AG65" s="894"/>
      <c r="AH65" s="894"/>
      <c r="AI65" s="894"/>
      <c r="AJ65" s="894"/>
      <c r="AK65" s="894"/>
      <c r="AL65" s="894"/>
      <c r="AM65" s="894"/>
      <c r="AN65" s="894"/>
      <c r="AO65" s="894"/>
      <c r="AP65" s="894"/>
      <c r="AQ65" s="894"/>
      <c r="AR65" s="894"/>
      <c r="AS65" s="894"/>
      <c r="AT65" s="894"/>
      <c r="AU65" s="894"/>
      <c r="AV65" s="894"/>
      <c r="AW65" s="894"/>
      <c r="AX65" s="894"/>
      <c r="AY65" s="894"/>
      <c r="AZ65" s="894"/>
      <c r="BA65" s="894"/>
      <c r="BB65" s="894"/>
      <c r="BC65" s="894"/>
      <c r="BD65" s="894"/>
      <c r="BE65" s="894"/>
      <c r="BF65" s="894"/>
      <c r="BG65" s="894"/>
      <c r="BH65" s="894"/>
      <c r="BI65" s="894"/>
      <c r="BJ65" s="894"/>
      <c r="BK65" s="894"/>
      <c r="BL65" s="894"/>
      <c r="BM65" s="894"/>
      <c r="BN65" s="894"/>
      <c r="BO65" s="894"/>
      <c r="BP65" s="894"/>
      <c r="BQ65" s="894"/>
      <c r="BR65" s="894"/>
      <c r="BS65" s="894"/>
      <c r="BT65" s="894"/>
      <c r="BU65" s="894"/>
      <c r="BV65" s="893"/>
      <c r="BW65" s="893"/>
      <c r="BX65" s="890"/>
      <c r="BY65" s="890"/>
      <c r="BZ65" s="890"/>
      <c r="CA65" s="890"/>
      <c r="CB65" s="890"/>
      <c r="CC65" s="890"/>
      <c r="CD65" s="890"/>
      <c r="CE65" s="890"/>
      <c r="CF65" s="890"/>
      <c r="CG65" s="890"/>
      <c r="CH65" s="890"/>
      <c r="CI65" s="890"/>
      <c r="CJ65" s="890"/>
      <c r="CK65" s="890"/>
      <c r="CL65" s="890"/>
      <c r="CM65" s="890"/>
      <c r="CN65" s="890"/>
      <c r="CO65" s="890"/>
      <c r="CP65" s="890"/>
      <c r="CQ65" s="890"/>
      <c r="CR65" s="19"/>
      <c r="CS65" s="19"/>
      <c r="CT65" s="19"/>
      <c r="CU65" s="19"/>
      <c r="CV65" s="19"/>
      <c r="CW65" s="19"/>
      <c r="CX65" s="19"/>
      <c r="CY65" s="19"/>
      <c r="CZ65" s="19"/>
      <c r="DA65" s="19"/>
      <c r="DB65" s="19"/>
      <c r="DC65" s="19"/>
      <c r="DD65" s="19"/>
      <c r="DE65" s="19"/>
      <c r="DF65" s="19"/>
      <c r="DG65" s="19"/>
      <c r="DH65" s="19"/>
      <c r="DI65" s="19"/>
      <c r="DJ65" s="19"/>
      <c r="DK65" s="19"/>
      <c r="DL65" s="19"/>
      <c r="DM65" s="19"/>
      <c r="DN65" s="19"/>
      <c r="DO65" s="19"/>
      <c r="DP65" s="19"/>
      <c r="DQ65" s="19"/>
      <c r="DR65" s="19"/>
      <c r="DS65" s="19"/>
      <c r="DT65" s="19"/>
      <c r="DU65" s="19"/>
      <c r="DV65" s="19"/>
      <c r="DW65" s="19"/>
      <c r="DX65" s="19"/>
      <c r="DY65" s="19"/>
      <c r="DZ65" s="19"/>
      <c r="EA65" s="19"/>
      <c r="EB65" s="19"/>
      <c r="EC65" s="19"/>
      <c r="ED65" s="19"/>
      <c r="EE65" s="19"/>
      <c r="EF65" s="19"/>
      <c r="EG65" s="19"/>
      <c r="EH65" s="19"/>
      <c r="EI65" s="19"/>
      <c r="EJ65" s="19"/>
      <c r="EK65" s="19"/>
      <c r="EL65" s="39"/>
      <c r="EM65" s="50"/>
      <c r="EN65" s="50"/>
      <c r="EO65" s="50"/>
      <c r="EP65" s="50"/>
      <c r="EQ65" s="50"/>
      <c r="ER65" s="50"/>
      <c r="ES65" s="50"/>
      <c r="ET65" s="50"/>
      <c r="EU65" s="50"/>
      <c r="EV65" s="50"/>
      <c r="EW65" s="50"/>
      <c r="EX65" s="50"/>
      <c r="EY65" s="50"/>
      <c r="EZ65" s="50"/>
      <c r="FA65" s="50"/>
      <c r="FB65" s="50"/>
      <c r="FC65" s="50"/>
      <c r="FD65" s="50"/>
      <c r="FE65" s="50"/>
      <c r="FF65" s="37"/>
      <c r="FG65" s="27"/>
      <c r="FH65" s="35"/>
      <c r="FI65" s="32"/>
      <c r="FJ65" s="32"/>
      <c r="FK65" s="32"/>
      <c r="FL65" s="32"/>
      <c r="FM65" s="32"/>
      <c r="FN65" s="32"/>
      <c r="FO65" s="32"/>
      <c r="FP65" s="32"/>
      <c r="FQ65" s="32"/>
      <c r="FR65" s="32"/>
      <c r="FS65" s="32"/>
      <c r="FT65" s="32"/>
      <c r="FU65" s="32"/>
      <c r="FV65" s="32"/>
      <c r="FW65" s="32"/>
      <c r="FX65" s="32"/>
      <c r="FY65" s="32"/>
      <c r="FZ65" s="32"/>
      <c r="GA65" s="32"/>
      <c r="GB65" s="33"/>
      <c r="GC65" s="34"/>
      <c r="GD65" s="31"/>
      <c r="GE65" s="27"/>
      <c r="GF65" s="27"/>
      <c r="GG65" s="27"/>
      <c r="GH65" s="27"/>
      <c r="GI65" s="27"/>
      <c r="GJ65" s="27"/>
      <c r="GK65" s="27"/>
      <c r="GL65" s="27"/>
      <c r="GM65" s="27"/>
      <c r="GN65" s="27"/>
      <c r="GO65" s="27"/>
      <c r="GP65" s="27"/>
      <c r="GQ65" s="27"/>
      <c r="GR65" s="27"/>
      <c r="GS65" s="27"/>
      <c r="GT65" s="27"/>
      <c r="GU65" s="27"/>
      <c r="GV65" s="27"/>
      <c r="GW65" s="27"/>
      <c r="GX65" s="27"/>
      <c r="GY65" s="27"/>
      <c r="GZ65" s="27"/>
      <c r="HA65" s="27"/>
      <c r="HB65" s="27"/>
      <c r="HC65" s="27"/>
      <c r="HD65" s="27"/>
      <c r="HE65" s="27"/>
      <c r="HF65" s="27"/>
      <c r="HG65" s="39"/>
      <c r="HH65" s="46"/>
      <c r="HI65" s="45"/>
      <c r="HJ65" s="45"/>
      <c r="HK65" s="45"/>
      <c r="HL65" s="45"/>
      <c r="HM65" s="25"/>
      <c r="HN65" s="25"/>
      <c r="HO65" s="47"/>
      <c r="HP65" s="47"/>
      <c r="HQ65" s="47"/>
      <c r="HR65" s="47"/>
      <c r="HS65" s="47"/>
      <c r="HT65" s="47"/>
      <c r="HU65" s="47"/>
      <c r="HV65" s="47"/>
      <c r="HW65" s="47"/>
      <c r="HX65" s="47"/>
      <c r="HY65" s="47"/>
      <c r="HZ65" s="47"/>
      <c r="IA65" s="47"/>
      <c r="IB65" s="48"/>
      <c r="IC65" s="48"/>
      <c r="ID65" s="48"/>
      <c r="IE65" s="18"/>
      <c r="IF65" s="18"/>
      <c r="IG65" s="18"/>
      <c r="IH65" s="18"/>
      <c r="II65" s="18"/>
      <c r="IJ65" s="18"/>
      <c r="IK65" s="18"/>
      <c r="IL65" s="18"/>
      <c r="IM65" s="18"/>
      <c r="IN65" s="18"/>
      <c r="IO65" s="18"/>
      <c r="IP65" s="18"/>
      <c r="IQ65" s="18"/>
      <c r="IR65" s="18"/>
      <c r="IS65" s="18"/>
      <c r="IT65" s="18"/>
      <c r="IU65" s="18"/>
      <c r="IV65" s="18"/>
    </row>
    <row r="66" spans="1:256">
      <c r="A66" s="53"/>
      <c r="B66" s="48"/>
      <c r="C66" s="18"/>
      <c r="D66" s="895"/>
      <c r="E66" s="48"/>
      <c r="F66" s="48"/>
      <c r="G66" s="48"/>
      <c r="H66" s="48"/>
      <c r="I66" s="48"/>
      <c r="J66" s="48"/>
      <c r="K66" s="48"/>
      <c r="L66" s="48"/>
      <c r="M66" s="48"/>
      <c r="N66" s="48"/>
      <c r="O66" s="48"/>
      <c r="P66" s="894"/>
      <c r="Q66" s="894"/>
      <c r="R66" s="894"/>
      <c r="S66" s="894"/>
      <c r="T66" s="894"/>
      <c r="U66" s="894"/>
      <c r="V66" s="894"/>
      <c r="W66" s="894"/>
      <c r="X66" s="894"/>
      <c r="Y66" s="894"/>
      <c r="Z66" s="894"/>
      <c r="AA66" s="894"/>
      <c r="AB66" s="894"/>
      <c r="AC66" s="894"/>
      <c r="AD66" s="894"/>
      <c r="AE66" s="894"/>
      <c r="AF66" s="894"/>
      <c r="AG66" s="894"/>
      <c r="AH66" s="894"/>
      <c r="AI66" s="894"/>
      <c r="AJ66" s="894"/>
      <c r="AK66" s="894"/>
      <c r="AL66" s="894"/>
      <c r="AM66" s="894"/>
      <c r="AN66" s="894"/>
      <c r="AO66" s="894"/>
      <c r="AP66" s="894"/>
      <c r="AQ66" s="894"/>
      <c r="AR66" s="894"/>
      <c r="AS66" s="894"/>
      <c r="AT66" s="894"/>
      <c r="AU66" s="894"/>
      <c r="AV66" s="894"/>
      <c r="AW66" s="894"/>
      <c r="AX66" s="894"/>
      <c r="AY66" s="894"/>
      <c r="AZ66" s="894"/>
      <c r="BA66" s="894"/>
      <c r="BB66" s="894"/>
      <c r="BC66" s="894"/>
      <c r="BD66" s="894"/>
      <c r="BE66" s="894"/>
      <c r="BF66" s="894"/>
      <c r="BG66" s="894"/>
      <c r="BH66" s="894"/>
      <c r="BI66" s="894"/>
      <c r="BJ66" s="894"/>
      <c r="BK66" s="894"/>
      <c r="BL66" s="894"/>
      <c r="BM66" s="894"/>
      <c r="BN66" s="894"/>
      <c r="BO66" s="894"/>
      <c r="BP66" s="894"/>
      <c r="BQ66" s="894"/>
      <c r="BR66" s="894"/>
      <c r="BS66" s="894"/>
      <c r="BT66" s="894"/>
      <c r="BU66" s="894"/>
      <c r="BV66" s="893"/>
      <c r="BW66" s="893"/>
      <c r="BX66" s="890"/>
      <c r="BY66" s="890"/>
      <c r="BZ66" s="890"/>
      <c r="CA66" s="890"/>
      <c r="CB66" s="890"/>
      <c r="CC66" s="890"/>
      <c r="CD66" s="890"/>
      <c r="CE66" s="890"/>
      <c r="CF66" s="890"/>
      <c r="CG66" s="890"/>
      <c r="CH66" s="890"/>
      <c r="CI66" s="890"/>
      <c r="CJ66" s="890"/>
      <c r="CK66" s="890"/>
      <c r="CL66" s="890"/>
      <c r="CM66" s="890"/>
      <c r="CN66" s="890"/>
      <c r="CO66" s="890"/>
      <c r="CP66" s="890"/>
      <c r="CQ66" s="890"/>
      <c r="CR66" s="19"/>
      <c r="CS66" s="19"/>
      <c r="CT66" s="19"/>
      <c r="CU66" s="19"/>
      <c r="CV66" s="19"/>
      <c r="CW66" s="19"/>
      <c r="CX66" s="19"/>
      <c r="CY66" s="19"/>
      <c r="CZ66" s="19"/>
      <c r="DA66" s="19"/>
      <c r="DB66" s="19"/>
      <c r="DC66" s="19"/>
      <c r="DD66" s="19"/>
      <c r="DE66" s="19"/>
      <c r="DF66" s="19"/>
      <c r="DG66" s="19"/>
      <c r="DH66" s="19"/>
      <c r="DI66" s="19"/>
      <c r="DJ66" s="19"/>
      <c r="DK66" s="19"/>
      <c r="DL66" s="19"/>
      <c r="DM66" s="19"/>
      <c r="DN66" s="19"/>
      <c r="DO66" s="19"/>
      <c r="DP66" s="19"/>
      <c r="DQ66" s="19"/>
      <c r="DR66" s="19"/>
      <c r="DS66" s="19"/>
      <c r="DT66" s="19"/>
      <c r="DU66" s="19"/>
      <c r="DV66" s="19"/>
      <c r="DW66" s="19"/>
      <c r="DX66" s="19"/>
      <c r="DY66" s="19"/>
      <c r="DZ66" s="19"/>
      <c r="EA66" s="19"/>
      <c r="EB66" s="19"/>
      <c r="EC66" s="19"/>
      <c r="ED66" s="19"/>
      <c r="EE66" s="19"/>
      <c r="EF66" s="19"/>
      <c r="EG66" s="19"/>
      <c r="EH66" s="19"/>
      <c r="EI66" s="19"/>
      <c r="EJ66" s="19"/>
      <c r="EK66" s="19"/>
      <c r="EL66" s="39"/>
      <c r="EM66" s="50"/>
      <c r="EN66" s="50"/>
      <c r="EO66" s="50"/>
      <c r="EP66" s="50"/>
      <c r="EQ66" s="50"/>
      <c r="ER66" s="50"/>
      <c r="ES66" s="50"/>
      <c r="ET66" s="50"/>
      <c r="EU66" s="50"/>
      <c r="EV66" s="50"/>
      <c r="EW66" s="50"/>
      <c r="EX66" s="50"/>
      <c r="EY66" s="50"/>
      <c r="EZ66" s="50"/>
      <c r="FA66" s="50"/>
      <c r="FB66" s="50"/>
      <c r="FC66" s="50"/>
      <c r="FD66" s="50"/>
      <c r="FE66" s="50"/>
      <c r="FF66" s="37"/>
      <c r="FG66" s="27"/>
      <c r="FH66" s="35"/>
      <c r="FI66" s="32"/>
      <c r="FJ66" s="32"/>
      <c r="FK66" s="32"/>
      <c r="FL66" s="32"/>
      <c r="FM66" s="32"/>
      <c r="FN66" s="32"/>
      <c r="FO66" s="32"/>
      <c r="FP66" s="32"/>
      <c r="FQ66" s="32"/>
      <c r="FR66" s="32"/>
      <c r="FS66" s="32"/>
      <c r="FT66" s="32"/>
      <c r="FU66" s="32"/>
      <c r="FV66" s="32"/>
      <c r="FW66" s="32"/>
      <c r="FX66" s="32"/>
      <c r="FY66" s="32"/>
      <c r="FZ66" s="32"/>
      <c r="GA66" s="32"/>
      <c r="GB66" s="33"/>
      <c r="GC66" s="34"/>
      <c r="GD66" s="31"/>
      <c r="GE66" s="27"/>
      <c r="GF66" s="27"/>
      <c r="GG66" s="27"/>
      <c r="GH66" s="27"/>
      <c r="GI66" s="27"/>
      <c r="GJ66" s="27"/>
      <c r="GK66" s="27"/>
      <c r="GL66" s="27"/>
      <c r="GM66" s="27"/>
      <c r="GN66" s="27"/>
      <c r="GO66" s="27"/>
      <c r="GP66" s="27"/>
      <c r="GQ66" s="27"/>
      <c r="GR66" s="27"/>
      <c r="GS66" s="27"/>
      <c r="GT66" s="27"/>
      <c r="GU66" s="27"/>
      <c r="GV66" s="27"/>
      <c r="GW66" s="27"/>
      <c r="GX66" s="27"/>
      <c r="GY66" s="27"/>
      <c r="GZ66" s="27"/>
      <c r="HA66" s="27"/>
      <c r="HB66" s="27"/>
      <c r="HC66" s="27"/>
      <c r="HD66" s="27"/>
      <c r="HE66" s="27"/>
      <c r="HF66" s="27"/>
      <c r="HG66" s="39"/>
      <c r="HH66" s="46"/>
      <c r="HI66" s="45"/>
      <c r="HJ66" s="45"/>
      <c r="HK66" s="45"/>
      <c r="HL66" s="45"/>
      <c r="HM66" s="25"/>
      <c r="HN66" s="25"/>
      <c r="HO66" s="47"/>
      <c r="HP66" s="47"/>
      <c r="HQ66" s="47"/>
      <c r="HR66" s="47"/>
      <c r="HS66" s="47"/>
      <c r="HT66" s="47"/>
      <c r="HU66" s="47"/>
      <c r="HV66" s="47"/>
      <c r="HW66" s="47"/>
      <c r="HX66" s="47"/>
      <c r="HY66" s="47"/>
      <c r="HZ66" s="47"/>
      <c r="IA66" s="47"/>
      <c r="IB66" s="48"/>
      <c r="IC66" s="48"/>
      <c r="ID66" s="48"/>
      <c r="IE66" s="18"/>
      <c r="IF66" s="18"/>
      <c r="IG66" s="18"/>
      <c r="IH66" s="18"/>
      <c r="II66" s="18"/>
      <c r="IJ66" s="18"/>
      <c r="IK66" s="18"/>
      <c r="IL66" s="18"/>
      <c r="IM66" s="18"/>
      <c r="IN66" s="18"/>
      <c r="IO66" s="18"/>
      <c r="IP66" s="18"/>
      <c r="IQ66" s="18"/>
      <c r="IR66" s="18"/>
      <c r="IS66" s="18"/>
      <c r="IT66" s="18"/>
      <c r="IU66" s="18"/>
      <c r="IV66" s="18"/>
    </row>
    <row r="67" spans="1:256">
      <c r="A67" s="21"/>
      <c r="B67" s="16"/>
      <c r="C67" s="51"/>
      <c r="D67" s="16"/>
      <c r="E67" s="16"/>
      <c r="F67" s="16"/>
      <c r="G67" s="16"/>
      <c r="H67" s="16"/>
      <c r="I67" s="16"/>
      <c r="J67" s="16"/>
      <c r="K67" s="16"/>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890"/>
      <c r="AM67" s="890"/>
      <c r="AN67" s="16"/>
      <c r="AO67" s="16"/>
      <c r="AP67" s="16"/>
      <c r="AQ67" s="16"/>
      <c r="AR67" s="16"/>
      <c r="AS67" s="16"/>
      <c r="AT67" s="16"/>
      <c r="AU67" s="16"/>
      <c r="AV67" s="16"/>
      <c r="AW67" s="16"/>
      <c r="AX67" s="16"/>
      <c r="AY67" s="16"/>
      <c r="AZ67" s="16"/>
      <c r="BA67" s="17"/>
      <c r="BB67" s="17"/>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c r="CP67" s="16"/>
      <c r="CQ67" s="16"/>
      <c r="CR67" s="19"/>
      <c r="CS67" s="19"/>
      <c r="CT67" s="19"/>
      <c r="CU67" s="19"/>
      <c r="CV67" s="19"/>
      <c r="CW67" s="19"/>
      <c r="CX67" s="19"/>
      <c r="CY67" s="19"/>
      <c r="CZ67" s="19"/>
      <c r="DA67" s="19"/>
      <c r="DB67" s="19"/>
      <c r="DC67" s="19"/>
      <c r="DD67" s="19"/>
      <c r="DE67" s="19"/>
      <c r="DF67" s="19"/>
      <c r="DG67" s="19"/>
      <c r="DH67" s="19"/>
      <c r="DI67" s="19"/>
      <c r="DJ67" s="19"/>
      <c r="DK67" s="19"/>
      <c r="DL67" s="19"/>
      <c r="DM67" s="19"/>
      <c r="DN67" s="19"/>
      <c r="DO67" s="19"/>
      <c r="DP67" s="19"/>
      <c r="DQ67" s="19"/>
      <c r="DR67" s="19"/>
      <c r="DS67" s="19"/>
      <c r="DT67" s="19"/>
      <c r="DU67" s="19"/>
      <c r="DV67" s="19"/>
      <c r="DW67" s="19"/>
      <c r="DX67" s="19"/>
      <c r="DY67" s="19"/>
      <c r="DZ67" s="19"/>
      <c r="EA67" s="19"/>
      <c r="EB67" s="19"/>
      <c r="EC67" s="19"/>
      <c r="ED67" s="19"/>
      <c r="EE67" s="19"/>
      <c r="EF67" s="19"/>
      <c r="EG67" s="19"/>
      <c r="EH67" s="19"/>
      <c r="EI67" s="19"/>
      <c r="EJ67" s="19"/>
      <c r="EK67" s="19"/>
      <c r="EL67" s="39"/>
      <c r="EM67" s="45"/>
      <c r="EN67" s="45"/>
      <c r="EO67" s="45"/>
      <c r="EP67" s="45"/>
      <c r="EQ67" s="45"/>
      <c r="ER67" s="45"/>
      <c r="ES67" s="45"/>
      <c r="ET67" s="45"/>
      <c r="EU67" s="45"/>
      <c r="EV67" s="45"/>
      <c r="EW67" s="45"/>
      <c r="EX67" s="45"/>
      <c r="EY67" s="45"/>
      <c r="EZ67" s="45"/>
      <c r="FA67" s="45"/>
      <c r="FB67" s="45"/>
      <c r="FC67" s="45"/>
      <c r="FD67" s="45"/>
      <c r="FE67" s="45"/>
      <c r="FF67" s="37"/>
      <c r="FG67" s="27"/>
      <c r="FH67" s="35"/>
      <c r="FI67" s="32"/>
      <c r="FJ67" s="32"/>
      <c r="FK67" s="32"/>
      <c r="FL67" s="32"/>
      <c r="FM67" s="32"/>
      <c r="FN67" s="32"/>
      <c r="FO67" s="32"/>
      <c r="FP67" s="32"/>
      <c r="FQ67" s="32"/>
      <c r="FR67" s="32"/>
      <c r="FS67" s="32"/>
      <c r="FT67" s="32"/>
      <c r="FU67" s="32"/>
      <c r="FV67" s="32"/>
      <c r="FW67" s="32"/>
      <c r="FX67" s="32"/>
      <c r="FY67" s="32"/>
      <c r="FZ67" s="32"/>
      <c r="GA67" s="32"/>
      <c r="GB67" s="33"/>
      <c r="GC67" s="34"/>
      <c r="GD67" s="31"/>
      <c r="GE67" s="27"/>
      <c r="GF67" s="27"/>
      <c r="GG67" s="27"/>
      <c r="GH67" s="27"/>
      <c r="GI67" s="27"/>
      <c r="GJ67" s="27"/>
      <c r="GK67" s="27"/>
      <c r="GL67" s="27"/>
      <c r="GM67" s="27"/>
      <c r="GN67" s="27"/>
      <c r="GO67" s="27"/>
      <c r="GP67" s="27"/>
      <c r="GQ67" s="27"/>
      <c r="GR67" s="27"/>
      <c r="GS67" s="27"/>
      <c r="GT67" s="27"/>
      <c r="GU67" s="27"/>
      <c r="GV67" s="27"/>
      <c r="GW67" s="27"/>
      <c r="GX67" s="27"/>
      <c r="GY67" s="27"/>
      <c r="GZ67" s="27"/>
      <c r="HA67" s="27"/>
      <c r="HB67" s="27"/>
      <c r="HC67" s="27"/>
      <c r="HD67" s="27"/>
      <c r="HE67" s="27"/>
      <c r="HF67" s="27"/>
      <c r="HG67" s="39"/>
      <c r="HH67" s="46"/>
      <c r="HI67" s="45"/>
      <c r="HJ67" s="45"/>
      <c r="HK67" s="45"/>
      <c r="HL67" s="45"/>
      <c r="HM67" s="25"/>
      <c r="HN67" s="25"/>
      <c r="HO67" s="47"/>
      <c r="HP67" s="47"/>
      <c r="HQ67" s="48"/>
      <c r="HR67" s="48"/>
      <c r="HS67" s="48"/>
      <c r="HT67" s="48"/>
      <c r="HU67" s="48"/>
      <c r="HV67" s="48"/>
      <c r="HW67" s="48"/>
      <c r="HX67" s="48"/>
      <c r="HY67" s="48"/>
      <c r="HZ67" s="48"/>
      <c r="IA67" s="48"/>
      <c r="IB67" s="48"/>
      <c r="IC67" s="48"/>
      <c r="ID67" s="48"/>
      <c r="IE67" s="18"/>
      <c r="IF67" s="18"/>
      <c r="IG67" s="18"/>
      <c r="IH67" s="18"/>
      <c r="II67" s="18"/>
      <c r="IJ67" s="18"/>
      <c r="IK67" s="18"/>
      <c r="IL67" s="18"/>
      <c r="IM67" s="18"/>
      <c r="IN67" s="18"/>
      <c r="IO67" s="18"/>
      <c r="IP67" s="18"/>
      <c r="IQ67" s="18"/>
      <c r="IR67" s="18"/>
      <c r="IS67" s="18"/>
      <c r="IT67" s="18"/>
      <c r="IU67" s="18"/>
      <c r="IV67" s="18"/>
    </row>
    <row r="68" spans="1:256" ht="12">
      <c r="A68" s="53"/>
      <c r="B68" s="16"/>
      <c r="C68" s="28"/>
      <c r="D68" s="28"/>
      <c r="E68" s="28"/>
      <c r="F68" s="28"/>
      <c r="G68" s="16"/>
      <c r="H68" s="16"/>
      <c r="I68" s="16"/>
      <c r="J68" s="16"/>
      <c r="K68" s="16"/>
      <c r="L68" s="16"/>
      <c r="M68" s="16"/>
      <c r="N68" s="16"/>
      <c r="O68" s="16"/>
      <c r="P68" s="16"/>
      <c r="Q68" s="16"/>
      <c r="R68" s="890"/>
      <c r="S68" s="890"/>
      <c r="T68" s="890"/>
      <c r="U68" s="16"/>
      <c r="V68" s="16"/>
      <c r="W68" s="16"/>
      <c r="X68" s="16"/>
      <c r="Y68" s="16"/>
      <c r="Z68" s="16"/>
      <c r="AA68" s="16"/>
      <c r="AB68" s="16"/>
      <c r="AC68" s="16"/>
      <c r="AD68" s="16"/>
      <c r="AE68" s="16"/>
      <c r="AF68" s="16"/>
      <c r="AG68" s="16"/>
      <c r="AH68" s="16"/>
      <c r="AI68" s="16"/>
      <c r="AJ68" s="16"/>
      <c r="AK68" s="16"/>
      <c r="AL68" s="890"/>
      <c r="AM68" s="890"/>
      <c r="AN68" s="16"/>
      <c r="AO68" s="16"/>
      <c r="AP68" s="16"/>
      <c r="AQ68" s="16"/>
      <c r="AR68" s="16"/>
      <c r="AS68" s="16"/>
      <c r="AT68" s="16"/>
      <c r="AU68" s="16"/>
      <c r="AV68" s="16"/>
      <c r="AW68" s="16"/>
      <c r="AX68" s="16"/>
      <c r="AY68" s="16"/>
      <c r="AZ68" s="16"/>
      <c r="BA68" s="17"/>
      <c r="BB68" s="17"/>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c r="CP68" s="16"/>
      <c r="CQ68" s="16"/>
      <c r="CR68" s="16"/>
      <c r="CS68" s="16"/>
      <c r="CT68" s="16"/>
      <c r="CU68" s="54"/>
      <c r="CV68" s="54"/>
      <c r="CW68" s="54"/>
      <c r="CX68" s="54"/>
      <c r="CY68" s="54"/>
      <c r="CZ68" s="54"/>
      <c r="DA68" s="54"/>
      <c r="DB68" s="54"/>
      <c r="DC68" s="54"/>
      <c r="DD68" s="54"/>
      <c r="DE68" s="54"/>
      <c r="DF68" s="54"/>
      <c r="DG68" s="54"/>
      <c r="DH68" s="54"/>
      <c r="DI68" s="54"/>
      <c r="DJ68" s="54"/>
      <c r="DK68" s="54"/>
      <c r="DL68" s="54"/>
      <c r="DM68" s="54"/>
      <c r="DN68" s="17"/>
      <c r="DO68" s="52"/>
      <c r="DP68" s="17"/>
      <c r="DQ68" s="44"/>
      <c r="DR68" s="44"/>
      <c r="DS68" s="44"/>
      <c r="DT68" s="44"/>
      <c r="DU68" s="44"/>
      <c r="DV68" s="44"/>
      <c r="DW68" s="44"/>
      <c r="DX68" s="44"/>
      <c r="DY68" s="44"/>
      <c r="DZ68" s="44"/>
      <c r="EA68" s="44"/>
      <c r="EB68" s="44"/>
      <c r="EC68" s="44"/>
      <c r="ED68" s="44"/>
      <c r="EE68" s="44"/>
      <c r="EF68" s="44"/>
      <c r="EG68" s="44"/>
      <c r="EH68" s="44"/>
      <c r="EI68" s="44"/>
      <c r="EJ68" s="49"/>
      <c r="EK68" s="38"/>
      <c r="EL68" s="37"/>
      <c r="EM68" s="50"/>
      <c r="EN68" s="50"/>
      <c r="EO68" s="50"/>
      <c r="EP68" s="50"/>
      <c r="EQ68" s="50"/>
      <c r="ER68" s="50"/>
      <c r="ES68" s="50"/>
      <c r="ET68" s="50"/>
      <c r="EU68" s="50"/>
      <c r="EV68" s="50"/>
      <c r="EW68" s="50"/>
      <c r="EX68" s="50"/>
      <c r="EY68" s="50"/>
      <c r="EZ68" s="50"/>
      <c r="FA68" s="50"/>
      <c r="FB68" s="50"/>
      <c r="FC68" s="50"/>
      <c r="FD68" s="50"/>
      <c r="FE68" s="50"/>
      <c r="FF68" s="37"/>
      <c r="FG68" s="31"/>
      <c r="FH68" s="35"/>
      <c r="FI68" s="32"/>
      <c r="FJ68" s="32"/>
      <c r="FK68" s="32"/>
      <c r="FL68" s="32"/>
      <c r="FM68" s="32"/>
      <c r="FN68" s="32"/>
      <c r="FO68" s="32"/>
      <c r="FP68" s="32"/>
      <c r="FQ68" s="32"/>
      <c r="FR68" s="32"/>
      <c r="FS68" s="32"/>
      <c r="FT68" s="32"/>
      <c r="FU68" s="32"/>
      <c r="FV68" s="32"/>
      <c r="FW68" s="32"/>
      <c r="FX68" s="32"/>
      <c r="FY68" s="32"/>
      <c r="FZ68" s="32"/>
      <c r="GA68" s="32"/>
      <c r="GB68" s="33"/>
      <c r="GC68" s="36"/>
      <c r="GD68" s="31"/>
      <c r="GE68" s="27"/>
      <c r="GF68" s="27"/>
      <c r="GG68" s="27"/>
      <c r="GH68" s="27"/>
      <c r="GI68" s="27"/>
      <c r="GJ68" s="27"/>
      <c r="GK68" s="27"/>
      <c r="GL68" s="27"/>
      <c r="GM68" s="27"/>
      <c r="GN68" s="27"/>
      <c r="GO68" s="27"/>
      <c r="GP68" s="27"/>
      <c r="GQ68" s="27"/>
      <c r="GR68" s="27"/>
      <c r="GS68" s="27"/>
      <c r="GT68" s="27"/>
      <c r="GU68" s="27"/>
      <c r="GV68" s="27"/>
      <c r="GW68" s="27"/>
      <c r="GX68" s="27"/>
      <c r="GY68" s="27"/>
      <c r="GZ68" s="27"/>
      <c r="HA68" s="27"/>
      <c r="HB68" s="27"/>
      <c r="HC68" s="27"/>
      <c r="HD68" s="27"/>
      <c r="HE68" s="27"/>
      <c r="HF68" s="27"/>
      <c r="HG68" s="39"/>
      <c r="HH68" s="46"/>
      <c r="HI68" s="45"/>
      <c r="HJ68" s="45"/>
      <c r="HK68" s="45"/>
      <c r="HL68" s="45"/>
      <c r="HM68" s="25"/>
      <c r="HN68" s="25"/>
      <c r="HO68" s="47"/>
      <c r="HP68" s="47"/>
      <c r="HQ68" s="47"/>
      <c r="HR68" s="47"/>
      <c r="HS68" s="48"/>
      <c r="HT68" s="48"/>
      <c r="HU68" s="48"/>
      <c r="HV68" s="48"/>
      <c r="HW68" s="48"/>
      <c r="HX68" s="48"/>
      <c r="HY68" s="48"/>
      <c r="HZ68" s="48"/>
      <c r="IA68" s="48"/>
      <c r="IB68" s="48"/>
      <c r="IC68" s="48"/>
      <c r="ID68" s="48"/>
      <c r="IE68" s="18"/>
      <c r="IF68" s="18"/>
      <c r="IG68" s="18"/>
      <c r="IH68" s="18"/>
      <c r="II68" s="18"/>
      <c r="IJ68" s="18"/>
      <c r="IK68" s="18"/>
      <c r="IL68" s="18"/>
      <c r="IM68" s="18"/>
      <c r="IN68" s="18"/>
      <c r="IO68" s="18"/>
      <c r="IP68" s="18"/>
      <c r="IQ68" s="18"/>
      <c r="IR68" s="18"/>
      <c r="IS68" s="18"/>
      <c r="IT68" s="18"/>
      <c r="IU68" s="18"/>
      <c r="IV68" s="18"/>
    </row>
    <row r="69" spans="1:256" ht="22.5">
      <c r="A69" s="21"/>
      <c r="B69" s="954" t="s">
        <v>36</v>
      </c>
      <c r="C69" s="953" t="s">
        <v>43</v>
      </c>
      <c r="D69" s="953" t="s">
        <v>44</v>
      </c>
      <c r="E69" s="953" t="s">
        <v>45</v>
      </c>
      <c r="F69" s="953" t="s">
        <v>46</v>
      </c>
      <c r="G69" s="16"/>
      <c r="H69" s="16"/>
      <c r="I69" s="16"/>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890"/>
      <c r="AM69" s="890"/>
      <c r="AN69" s="16"/>
      <c r="AO69" s="16"/>
      <c r="AP69" s="16"/>
      <c r="AQ69" s="16"/>
      <c r="AR69" s="16"/>
      <c r="AS69" s="16"/>
      <c r="AT69" s="16"/>
      <c r="AU69" s="16"/>
      <c r="AV69" s="16"/>
      <c r="AW69" s="16"/>
      <c r="AX69" s="16"/>
      <c r="AY69" s="16"/>
      <c r="AZ69" s="16"/>
      <c r="BA69" s="17"/>
      <c r="BB69" s="17"/>
      <c r="BC69" s="16"/>
      <c r="BD69" s="16"/>
      <c r="BE69" s="16"/>
      <c r="BF69" s="16"/>
      <c r="BG69" s="16"/>
      <c r="BH69" s="16"/>
      <c r="BI69" s="16"/>
      <c r="BJ69" s="16"/>
      <c r="BK69" s="16"/>
      <c r="BL69" s="16"/>
      <c r="BM69" s="16"/>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c r="CP69" s="16"/>
      <c r="CQ69" s="16"/>
      <c r="CR69" s="16"/>
      <c r="CS69" s="16"/>
      <c r="CT69" s="16"/>
      <c r="CU69" s="54"/>
      <c r="CV69" s="54"/>
      <c r="CW69" s="54"/>
      <c r="CX69" s="54"/>
      <c r="CY69" s="54"/>
      <c r="CZ69" s="54"/>
      <c r="DA69" s="54"/>
      <c r="DB69" s="54"/>
      <c r="DC69" s="54"/>
      <c r="DD69" s="54"/>
      <c r="DE69" s="54"/>
      <c r="DF69" s="54"/>
      <c r="DG69" s="54"/>
      <c r="DH69" s="54"/>
      <c r="DI69" s="54"/>
      <c r="DJ69" s="54"/>
      <c r="DK69" s="54"/>
      <c r="DL69" s="54"/>
      <c r="DM69" s="54"/>
      <c r="DN69" s="17"/>
      <c r="DO69" s="52"/>
      <c r="DP69" s="17"/>
      <c r="DQ69" s="44"/>
      <c r="DR69" s="44"/>
      <c r="DS69" s="44"/>
      <c r="DT69" s="44"/>
      <c r="DU69" s="44"/>
      <c r="DV69" s="44"/>
      <c r="DW69" s="44"/>
      <c r="DX69" s="44"/>
      <c r="DY69" s="44"/>
      <c r="DZ69" s="44"/>
      <c r="EA69" s="44"/>
      <c r="EB69" s="44"/>
      <c r="EC69" s="44"/>
      <c r="ED69" s="44"/>
      <c r="EE69" s="44"/>
      <c r="EF69" s="44"/>
      <c r="EG69" s="44"/>
      <c r="EH69" s="44"/>
      <c r="EI69" s="44"/>
      <c r="EJ69" s="49"/>
      <c r="EK69" s="38"/>
      <c r="EL69" s="37"/>
      <c r="EM69" s="50"/>
      <c r="EN69" s="50"/>
      <c r="EO69" s="50"/>
      <c r="EP69" s="50"/>
      <c r="EQ69" s="50"/>
      <c r="ER69" s="50"/>
      <c r="ES69" s="50"/>
      <c r="ET69" s="50"/>
      <c r="EU69" s="50"/>
      <c r="EV69" s="50"/>
      <c r="EW69" s="50"/>
      <c r="EX69" s="50"/>
      <c r="EY69" s="50"/>
      <c r="EZ69" s="50"/>
      <c r="FA69" s="50"/>
      <c r="FB69" s="50"/>
      <c r="FC69" s="50"/>
      <c r="FD69" s="50"/>
      <c r="FE69" s="50"/>
      <c r="FF69" s="37"/>
      <c r="FG69" s="31"/>
      <c r="FH69" s="35"/>
      <c r="FI69" s="32"/>
      <c r="FJ69" s="32"/>
      <c r="FK69" s="32"/>
      <c r="FL69" s="32"/>
      <c r="FM69" s="32"/>
      <c r="FN69" s="32"/>
      <c r="FO69" s="32"/>
      <c r="FP69" s="32"/>
      <c r="FQ69" s="32"/>
      <c r="FR69" s="32"/>
      <c r="FS69" s="32"/>
      <c r="FT69" s="32"/>
      <c r="FU69" s="32"/>
      <c r="FV69" s="32"/>
      <c r="FW69" s="32"/>
      <c r="FX69" s="32"/>
      <c r="FY69" s="32"/>
      <c r="FZ69" s="32"/>
      <c r="GA69" s="32"/>
      <c r="GB69" s="33"/>
      <c r="GC69" s="36"/>
      <c r="GD69" s="31"/>
      <c r="GE69" s="27"/>
      <c r="GF69" s="27"/>
      <c r="GG69" s="27"/>
      <c r="GH69" s="27"/>
      <c r="GI69" s="27"/>
      <c r="GJ69" s="27"/>
      <c r="GK69" s="27"/>
      <c r="GL69" s="27"/>
      <c r="GM69" s="27"/>
      <c r="GN69" s="27"/>
      <c r="GO69" s="27"/>
      <c r="GP69" s="27"/>
      <c r="GQ69" s="27"/>
      <c r="GR69" s="27"/>
      <c r="GS69" s="27"/>
      <c r="GT69" s="27"/>
      <c r="GU69" s="27"/>
      <c r="GV69" s="27"/>
      <c r="GW69" s="27"/>
      <c r="GX69" s="27"/>
      <c r="GY69" s="27"/>
      <c r="GZ69" s="27"/>
      <c r="HA69" s="27"/>
      <c r="HB69" s="27"/>
      <c r="HC69" s="27"/>
      <c r="HD69" s="27"/>
      <c r="HE69" s="27"/>
      <c r="HF69" s="27"/>
      <c r="HG69" s="39"/>
      <c r="HH69" s="46"/>
      <c r="HI69" s="45"/>
      <c r="HJ69" s="45"/>
      <c r="HK69" s="45"/>
      <c r="HL69" s="45"/>
      <c r="HM69" s="25"/>
      <c r="HN69" s="25"/>
      <c r="HO69" s="47"/>
      <c r="HP69" s="47"/>
      <c r="HQ69" s="47"/>
      <c r="HR69" s="47"/>
      <c r="HS69" s="47"/>
      <c r="HT69" s="47"/>
      <c r="HU69" s="47"/>
      <c r="HV69" s="47"/>
      <c r="HW69" s="47"/>
      <c r="HX69" s="47"/>
      <c r="HY69" s="47"/>
      <c r="HZ69" s="47"/>
      <c r="IA69" s="47"/>
      <c r="IB69" s="47"/>
      <c r="IC69" s="47"/>
      <c r="ID69" s="47"/>
      <c r="IE69" s="18"/>
      <c r="IF69" s="18"/>
      <c r="IG69" s="18"/>
      <c r="IH69" s="18"/>
      <c r="II69" s="18"/>
      <c r="IJ69" s="18"/>
      <c r="IK69" s="18"/>
      <c r="IL69" s="18"/>
      <c r="IM69" s="18"/>
      <c r="IN69" s="18"/>
      <c r="IO69" s="18"/>
      <c r="IP69" s="18"/>
      <c r="IQ69" s="18"/>
      <c r="IR69" s="18"/>
      <c r="IS69" s="18"/>
      <c r="IT69" s="18"/>
      <c r="IU69" s="18"/>
      <c r="IV69" s="18"/>
    </row>
    <row r="70" spans="1:256" ht="22.5">
      <c r="A70" s="21"/>
      <c r="B70" s="955" t="s">
        <v>2651</v>
      </c>
      <c r="C70" s="16" t="s">
        <v>2651</v>
      </c>
      <c r="D70" s="16" t="s">
        <v>2661</v>
      </c>
      <c r="E70" s="16" t="s">
        <v>2669</v>
      </c>
      <c r="F70" s="16" t="s">
        <v>2676</v>
      </c>
      <c r="G70" s="16"/>
      <c r="H70" s="28"/>
      <c r="I70" s="16"/>
      <c r="J70" s="16"/>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890"/>
      <c r="AM70" s="890"/>
      <c r="AN70" s="16"/>
      <c r="AO70" s="16"/>
      <c r="AP70" s="16"/>
      <c r="AQ70" s="16"/>
      <c r="AR70" s="16"/>
      <c r="AS70" s="16"/>
      <c r="AT70" s="16"/>
      <c r="AU70" s="16"/>
      <c r="AV70" s="16"/>
      <c r="AW70" s="16"/>
      <c r="AX70" s="16"/>
      <c r="AY70" s="16"/>
      <c r="AZ70" s="16"/>
      <c r="BA70" s="17"/>
      <c r="BB70" s="17"/>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c r="CP70" s="16"/>
      <c r="CQ70" s="16"/>
      <c r="CR70" s="16"/>
      <c r="CS70" s="16"/>
      <c r="CT70" s="16"/>
      <c r="CU70" s="54"/>
      <c r="CV70" s="54"/>
      <c r="CW70" s="54"/>
      <c r="CX70" s="54"/>
      <c r="CY70" s="54"/>
      <c r="CZ70" s="54"/>
      <c r="DA70" s="54"/>
      <c r="DB70" s="54"/>
      <c r="DC70" s="54"/>
      <c r="DD70" s="54"/>
      <c r="DE70" s="54"/>
      <c r="DF70" s="54"/>
      <c r="DG70" s="54"/>
      <c r="DH70" s="54"/>
      <c r="DI70" s="54"/>
      <c r="DJ70" s="54"/>
      <c r="DK70" s="54"/>
      <c r="DL70" s="54"/>
      <c r="DM70" s="54"/>
      <c r="DN70" s="17"/>
      <c r="DO70" s="52"/>
      <c r="DP70" s="17"/>
      <c r="DQ70" s="44"/>
      <c r="DR70" s="44"/>
      <c r="DS70" s="44"/>
      <c r="DT70" s="44"/>
      <c r="DU70" s="44"/>
      <c r="DV70" s="44"/>
      <c r="DW70" s="44"/>
      <c r="DX70" s="44"/>
      <c r="DY70" s="44"/>
      <c r="DZ70" s="44"/>
      <c r="EA70" s="44"/>
      <c r="EB70" s="44"/>
      <c r="EC70" s="44"/>
      <c r="ED70" s="44"/>
      <c r="EE70" s="44"/>
      <c r="EF70" s="44"/>
      <c r="EG70" s="44"/>
      <c r="EH70" s="44"/>
      <c r="EI70" s="44"/>
      <c r="EJ70" s="49"/>
      <c r="EK70" s="38"/>
      <c r="EL70" s="37"/>
      <c r="EM70" s="50"/>
      <c r="EN70" s="50"/>
      <c r="EO70" s="50"/>
      <c r="EP70" s="50"/>
      <c r="EQ70" s="50"/>
      <c r="ER70" s="50"/>
      <c r="ES70" s="50"/>
      <c r="ET70" s="50"/>
      <c r="EU70" s="50"/>
      <c r="EV70" s="50"/>
      <c r="EW70" s="50"/>
      <c r="EX70" s="50"/>
      <c r="EY70" s="50"/>
      <c r="EZ70" s="50"/>
      <c r="FA70" s="50"/>
      <c r="FB70" s="50"/>
      <c r="FC70" s="50"/>
      <c r="FD70" s="50"/>
      <c r="FE70" s="50"/>
      <c r="FF70" s="37"/>
      <c r="FG70" s="31"/>
      <c r="FH70" s="35"/>
      <c r="FI70" s="32"/>
      <c r="FJ70" s="32"/>
      <c r="FK70" s="32"/>
      <c r="FL70" s="32"/>
      <c r="FM70" s="32"/>
      <c r="FN70" s="32"/>
      <c r="FO70" s="32"/>
      <c r="FP70" s="32"/>
      <c r="FQ70" s="32"/>
      <c r="FR70" s="32"/>
      <c r="FS70" s="32"/>
      <c r="FT70" s="32"/>
      <c r="FU70" s="32"/>
      <c r="FV70" s="32"/>
      <c r="FW70" s="32"/>
      <c r="FX70" s="32"/>
      <c r="FY70" s="32"/>
      <c r="FZ70" s="32"/>
      <c r="GA70" s="32"/>
      <c r="GB70" s="33"/>
      <c r="GC70" s="36"/>
      <c r="GD70" s="31"/>
      <c r="GE70" s="27"/>
      <c r="GF70" s="27"/>
      <c r="GG70" s="27"/>
      <c r="GH70" s="27"/>
      <c r="GI70" s="27"/>
      <c r="GJ70" s="27"/>
      <c r="GK70" s="27"/>
      <c r="GL70" s="27"/>
      <c r="GM70" s="27"/>
      <c r="GN70" s="27"/>
      <c r="GO70" s="27"/>
      <c r="GP70" s="27"/>
      <c r="GQ70" s="27"/>
      <c r="GR70" s="27"/>
      <c r="GS70" s="27"/>
      <c r="GT70" s="27"/>
      <c r="GU70" s="27"/>
      <c r="GV70" s="27"/>
      <c r="GW70" s="27"/>
      <c r="GX70" s="27"/>
      <c r="GY70" s="27"/>
      <c r="GZ70" s="27"/>
      <c r="HA70" s="27"/>
      <c r="HB70" s="27"/>
      <c r="HC70" s="27"/>
      <c r="HD70" s="27"/>
      <c r="HE70" s="27"/>
      <c r="HF70" s="27"/>
      <c r="HG70" s="39"/>
      <c r="HH70" s="46"/>
      <c r="HI70" s="45"/>
      <c r="HJ70" s="45"/>
      <c r="HK70" s="45"/>
      <c r="HL70" s="45"/>
      <c r="HM70" s="25"/>
      <c r="HN70" s="25"/>
      <c r="HO70" s="47"/>
      <c r="HP70" s="47"/>
      <c r="HQ70" s="47"/>
      <c r="HR70" s="47"/>
      <c r="HS70" s="47"/>
      <c r="HT70" s="47"/>
      <c r="HU70" s="47"/>
      <c r="HV70" s="47"/>
      <c r="HW70" s="47"/>
      <c r="HX70" s="48"/>
      <c r="HY70" s="48"/>
      <c r="HZ70" s="48"/>
      <c r="IA70" s="48"/>
      <c r="IB70" s="48"/>
      <c r="IC70" s="48"/>
      <c r="ID70" s="48"/>
      <c r="IE70" s="18"/>
      <c r="IF70" s="18"/>
      <c r="IG70" s="18"/>
      <c r="IH70" s="18"/>
      <c r="II70" s="18"/>
      <c r="IJ70" s="18"/>
      <c r="IK70" s="18"/>
      <c r="IL70" s="18"/>
      <c r="IM70" s="18"/>
      <c r="IN70" s="18"/>
      <c r="IO70" s="18"/>
      <c r="IP70" s="18"/>
      <c r="IQ70" s="18"/>
      <c r="IR70" s="18"/>
      <c r="IS70" s="18"/>
      <c r="IT70" s="18"/>
      <c r="IU70" s="18"/>
      <c r="IV70" s="18"/>
    </row>
    <row r="71" spans="1:256" ht="22.5">
      <c r="A71" s="21"/>
      <c r="B71" s="955" t="s">
        <v>2652</v>
      </c>
      <c r="C71" s="16" t="s">
        <v>2652</v>
      </c>
      <c r="D71" s="16" t="s">
        <v>2662</v>
      </c>
      <c r="E71" s="16" t="s">
        <v>2670</v>
      </c>
      <c r="F71" s="16" t="s">
        <v>2677</v>
      </c>
      <c r="G71" s="16"/>
      <c r="H71" s="28"/>
      <c r="I71" s="16"/>
      <c r="J71" s="16"/>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890"/>
      <c r="AM71" s="890"/>
      <c r="AN71" s="16"/>
      <c r="AO71" s="16"/>
      <c r="AP71" s="16"/>
      <c r="AQ71" s="16"/>
      <c r="AR71" s="16"/>
      <c r="AS71" s="16"/>
      <c r="AT71" s="16"/>
      <c r="AU71" s="16"/>
      <c r="AV71" s="16"/>
      <c r="AW71" s="16"/>
      <c r="AX71" s="16"/>
      <c r="AY71" s="16"/>
      <c r="AZ71" s="16"/>
      <c r="BA71" s="19"/>
      <c r="BB71" s="19"/>
      <c r="BC71" s="19"/>
      <c r="BD71" s="19"/>
      <c r="BE71" s="19"/>
      <c r="BF71" s="19"/>
      <c r="BG71" s="19"/>
      <c r="BH71" s="19"/>
      <c r="BI71" s="19"/>
      <c r="BJ71" s="19"/>
      <c r="BK71" s="19"/>
      <c r="BL71" s="19"/>
      <c r="BM71" s="19"/>
      <c r="BN71" s="19"/>
      <c r="BO71" s="19"/>
      <c r="BP71" s="19"/>
      <c r="BQ71" s="19"/>
      <c r="BR71" s="19"/>
      <c r="BS71" s="19"/>
      <c r="BT71" s="19"/>
      <c r="BU71" s="19"/>
      <c r="BV71" s="19"/>
      <c r="BW71" s="16"/>
      <c r="BX71" s="16"/>
      <c r="BY71" s="16"/>
      <c r="BZ71" s="16"/>
      <c r="CA71" s="16"/>
      <c r="CB71" s="16"/>
      <c r="CC71" s="16"/>
      <c r="CD71" s="16"/>
      <c r="CE71" s="16"/>
      <c r="CF71" s="16"/>
      <c r="CG71" s="16"/>
      <c r="CH71" s="16"/>
      <c r="CI71" s="16"/>
      <c r="CJ71" s="16"/>
      <c r="CK71" s="16"/>
      <c r="CL71" s="16"/>
      <c r="CM71" s="16"/>
      <c r="CN71" s="16"/>
      <c r="CO71" s="16"/>
      <c r="CP71" s="16"/>
      <c r="CQ71" s="16"/>
      <c r="CR71" s="16"/>
      <c r="CS71" s="16"/>
      <c r="CT71" s="50"/>
      <c r="CU71" s="50"/>
      <c r="CV71" s="50"/>
      <c r="CW71" s="50"/>
      <c r="CX71" s="50"/>
      <c r="CY71" s="50"/>
      <c r="CZ71" s="50"/>
      <c r="DA71" s="50"/>
      <c r="DB71" s="50"/>
      <c r="DC71" s="50"/>
      <c r="DD71" s="50"/>
      <c r="DE71" s="50"/>
      <c r="DF71" s="50"/>
      <c r="DG71" s="50"/>
      <c r="DH71" s="50"/>
      <c r="DI71" s="50"/>
      <c r="DJ71" s="50"/>
      <c r="DK71" s="50"/>
      <c r="DL71" s="50"/>
      <c r="DM71" s="50"/>
      <c r="DN71" s="50"/>
      <c r="DO71" s="50"/>
      <c r="DP71" s="50"/>
      <c r="DQ71" s="44"/>
      <c r="DR71" s="44"/>
      <c r="DS71" s="44"/>
      <c r="DT71" s="44"/>
      <c r="DU71" s="44"/>
      <c r="DV71" s="44"/>
      <c r="DW71" s="44"/>
      <c r="DX71" s="44"/>
      <c r="DY71" s="44"/>
      <c r="DZ71" s="44"/>
      <c r="EA71" s="44"/>
      <c r="EB71" s="44"/>
      <c r="EC71" s="44"/>
      <c r="ED71" s="44"/>
      <c r="EE71" s="44"/>
      <c r="EF71" s="44"/>
      <c r="EG71" s="44"/>
      <c r="EH71" s="44"/>
      <c r="EI71" s="44"/>
      <c r="EJ71" s="50"/>
      <c r="EK71" s="38"/>
      <c r="EL71" s="50"/>
      <c r="EM71" s="50"/>
      <c r="EN71" s="50"/>
      <c r="EO71" s="50"/>
      <c r="EP71" s="50"/>
      <c r="EQ71" s="50"/>
      <c r="ER71" s="50"/>
      <c r="ES71" s="50"/>
      <c r="ET71" s="50"/>
      <c r="EU71" s="50"/>
      <c r="EV71" s="50"/>
      <c r="EW71" s="50"/>
      <c r="EX71" s="50"/>
      <c r="EY71" s="50"/>
      <c r="EZ71" s="50"/>
      <c r="FA71" s="50"/>
      <c r="FB71" s="50"/>
      <c r="FC71" s="50"/>
      <c r="FD71" s="50"/>
      <c r="FE71" s="50"/>
      <c r="FF71" s="45"/>
      <c r="FG71" s="25"/>
      <c r="FH71" s="25"/>
      <c r="FI71" s="25"/>
      <c r="FJ71" s="25"/>
      <c r="FK71" s="25"/>
      <c r="FL71" s="25"/>
      <c r="FM71" s="25"/>
      <c r="FN71" s="25"/>
      <c r="FO71" s="25"/>
      <c r="FP71" s="25"/>
      <c r="FQ71" s="25"/>
      <c r="FR71" s="25"/>
      <c r="FS71" s="25"/>
      <c r="FT71" s="25"/>
      <c r="FU71" s="25"/>
      <c r="FV71" s="25"/>
      <c r="FW71" s="25"/>
      <c r="FX71" s="25"/>
      <c r="FY71" s="25"/>
      <c r="FZ71" s="25"/>
      <c r="GA71" s="25"/>
      <c r="GB71" s="25"/>
      <c r="GC71" s="25"/>
      <c r="GD71" s="25"/>
      <c r="GE71" s="25"/>
      <c r="GF71" s="25"/>
      <c r="GG71" s="25"/>
      <c r="GH71" s="25"/>
      <c r="GI71" s="25"/>
      <c r="GJ71" s="25"/>
      <c r="GK71" s="25"/>
      <c r="GL71" s="25"/>
      <c r="GM71" s="25"/>
      <c r="GN71" s="25"/>
      <c r="GO71" s="25"/>
      <c r="GP71" s="25"/>
      <c r="GQ71" s="25"/>
      <c r="GR71" s="25"/>
      <c r="GS71" s="25"/>
      <c r="GT71" s="25"/>
      <c r="GU71" s="25"/>
      <c r="GV71" s="25"/>
      <c r="GW71" s="25"/>
      <c r="GX71" s="25"/>
      <c r="GY71" s="25"/>
      <c r="GZ71" s="25"/>
      <c r="HA71" s="25"/>
      <c r="HB71" s="25"/>
      <c r="HC71" s="25"/>
      <c r="HD71" s="25"/>
      <c r="HE71" s="25"/>
      <c r="HF71" s="25"/>
      <c r="HG71" s="25"/>
      <c r="HH71" s="25"/>
      <c r="HI71" s="25"/>
      <c r="HJ71" s="45"/>
      <c r="HK71" s="45"/>
      <c r="HL71" s="45"/>
      <c r="HM71" s="25"/>
      <c r="HN71" s="25"/>
      <c r="HO71" s="47"/>
      <c r="HP71" s="47"/>
      <c r="HQ71" s="47"/>
      <c r="HR71" s="47"/>
      <c r="HS71" s="47"/>
      <c r="HT71" s="47"/>
      <c r="HU71" s="47"/>
      <c r="HV71" s="47"/>
      <c r="HW71" s="47"/>
      <c r="HX71" s="47"/>
      <c r="HY71" s="48"/>
      <c r="HZ71" s="48"/>
      <c r="IA71" s="48"/>
      <c r="IB71" s="48"/>
      <c r="IC71" s="48"/>
      <c r="ID71" s="48"/>
      <c r="IE71" s="18"/>
      <c r="IF71" s="18"/>
      <c r="IG71" s="18"/>
      <c r="IH71" s="18"/>
      <c r="II71" s="18"/>
      <c r="IJ71" s="18"/>
      <c r="IK71" s="18"/>
      <c r="IL71" s="18"/>
      <c r="IM71" s="18"/>
      <c r="IN71" s="18"/>
      <c r="IO71" s="18"/>
      <c r="IP71" s="18"/>
      <c r="IQ71" s="18"/>
      <c r="IR71" s="18"/>
      <c r="IS71" s="18"/>
      <c r="IT71" s="18"/>
      <c r="IU71" s="18"/>
      <c r="IV71" s="18"/>
    </row>
    <row r="72" spans="1:256" ht="22.5">
      <c r="A72" s="21"/>
      <c r="B72" s="955" t="s">
        <v>2653</v>
      </c>
      <c r="C72" s="16" t="s">
        <v>2653</v>
      </c>
      <c r="D72" s="16" t="s">
        <v>2794</v>
      </c>
      <c r="E72" s="16" t="s">
        <v>2671</v>
      </c>
      <c r="F72" s="16" t="s">
        <v>2678</v>
      </c>
      <c r="G72" s="16"/>
      <c r="H72" s="28"/>
      <c r="I72" s="16"/>
      <c r="J72" s="16"/>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890"/>
      <c r="AM72" s="890"/>
      <c r="AN72" s="16"/>
      <c r="AO72" s="16"/>
      <c r="AP72" s="16"/>
      <c r="AQ72" s="16"/>
      <c r="AR72" s="16"/>
      <c r="AS72" s="16"/>
      <c r="AT72" s="16"/>
      <c r="AU72" s="16"/>
      <c r="AV72" s="16"/>
      <c r="AW72" s="16"/>
      <c r="AX72" s="16"/>
      <c r="AY72" s="16"/>
      <c r="AZ72" s="16"/>
      <c r="BA72" s="17"/>
      <c r="BB72" s="17"/>
      <c r="BC72" s="16"/>
      <c r="BD72" s="16"/>
      <c r="BE72" s="16"/>
      <c r="BF72" s="16"/>
      <c r="BG72" s="16"/>
      <c r="BH72" s="16"/>
      <c r="BI72" s="16"/>
      <c r="BJ72" s="16"/>
      <c r="BK72" s="16"/>
      <c r="BL72" s="16"/>
      <c r="BM72" s="16"/>
      <c r="BN72" s="16"/>
      <c r="BO72" s="16"/>
      <c r="BP72" s="16"/>
      <c r="BQ72" s="16"/>
      <c r="BR72" s="16"/>
      <c r="BS72" s="16"/>
      <c r="BT72" s="16"/>
      <c r="BU72" s="16"/>
      <c r="BV72" s="16"/>
      <c r="BW72" s="16"/>
      <c r="BX72" s="16"/>
      <c r="BY72" s="16"/>
      <c r="BZ72" s="16"/>
      <c r="CA72" s="16"/>
      <c r="CB72" s="16"/>
      <c r="CC72" s="16"/>
      <c r="CD72" s="16"/>
      <c r="CE72" s="16"/>
      <c r="CF72" s="16"/>
      <c r="CG72" s="16"/>
      <c r="CH72" s="16"/>
      <c r="CI72" s="16"/>
      <c r="CJ72" s="16"/>
      <c r="CK72" s="16"/>
      <c r="CL72" s="16"/>
      <c r="CM72" s="16"/>
      <c r="CN72" s="16"/>
      <c r="CO72" s="16"/>
      <c r="CP72" s="16"/>
      <c r="CQ72" s="16"/>
      <c r="CR72" s="16"/>
      <c r="CS72" s="16"/>
      <c r="CT72" s="16"/>
      <c r="CU72" s="54"/>
      <c r="CV72" s="54"/>
      <c r="CW72" s="54"/>
      <c r="CX72" s="54"/>
      <c r="CY72" s="54"/>
      <c r="CZ72" s="54"/>
      <c r="DA72" s="54"/>
      <c r="DB72" s="54"/>
      <c r="DC72" s="54"/>
      <c r="DD72" s="54"/>
      <c r="DE72" s="54"/>
      <c r="DF72" s="54"/>
      <c r="DG72" s="54"/>
      <c r="DH72" s="54"/>
      <c r="DI72" s="54"/>
      <c r="DJ72" s="54"/>
      <c r="DK72" s="54"/>
      <c r="DL72" s="54"/>
      <c r="DM72" s="54"/>
      <c r="DN72" s="17"/>
      <c r="DO72" s="52"/>
      <c r="DP72" s="17"/>
      <c r="DQ72" s="44"/>
      <c r="DR72" s="44"/>
      <c r="DS72" s="44"/>
      <c r="DT72" s="44"/>
      <c r="DU72" s="44"/>
      <c r="DV72" s="44"/>
      <c r="DW72" s="44"/>
      <c r="DX72" s="44"/>
      <c r="DY72" s="44"/>
      <c r="DZ72" s="44"/>
      <c r="EA72" s="44"/>
      <c r="EB72" s="44"/>
      <c r="EC72" s="44"/>
      <c r="ED72" s="44"/>
      <c r="EE72" s="44"/>
      <c r="EF72" s="44"/>
      <c r="EG72" s="44"/>
      <c r="EH72" s="44"/>
      <c r="EI72" s="44"/>
      <c r="EJ72" s="49"/>
      <c r="EK72" s="38"/>
      <c r="EL72" s="37"/>
      <c r="EM72" s="50"/>
      <c r="EN72" s="50"/>
      <c r="EO72" s="50"/>
      <c r="EP72" s="50"/>
      <c r="EQ72" s="50"/>
      <c r="ER72" s="50"/>
      <c r="ES72" s="50"/>
      <c r="ET72" s="50"/>
      <c r="EU72" s="50"/>
      <c r="EV72" s="50"/>
      <c r="EW72" s="50"/>
      <c r="EX72" s="50"/>
      <c r="EY72" s="50"/>
      <c r="EZ72" s="50"/>
      <c r="FA72" s="50"/>
      <c r="FB72" s="50"/>
      <c r="FC72" s="50"/>
      <c r="FD72" s="50"/>
      <c r="FE72" s="50"/>
      <c r="FF72" s="37"/>
      <c r="FG72" s="31"/>
      <c r="FH72" s="35"/>
      <c r="FI72" s="32"/>
      <c r="FJ72" s="32"/>
      <c r="FK72" s="32"/>
      <c r="FL72" s="32"/>
      <c r="FM72" s="32"/>
      <c r="FN72" s="32"/>
      <c r="FO72" s="32"/>
      <c r="FP72" s="32"/>
      <c r="FQ72" s="32"/>
      <c r="FR72" s="32"/>
      <c r="FS72" s="32"/>
      <c r="FT72" s="32"/>
      <c r="FU72" s="32"/>
      <c r="FV72" s="32"/>
      <c r="FW72" s="32"/>
      <c r="FX72" s="32"/>
      <c r="FY72" s="32"/>
      <c r="FZ72" s="32"/>
      <c r="GA72" s="32"/>
      <c r="GB72" s="33"/>
      <c r="GC72" s="36"/>
      <c r="GD72" s="31"/>
      <c r="GE72" s="27"/>
      <c r="GF72" s="27"/>
      <c r="GG72" s="27"/>
      <c r="GH72" s="27"/>
      <c r="GI72" s="27"/>
      <c r="GJ72" s="27"/>
      <c r="GK72" s="27"/>
      <c r="GL72" s="27"/>
      <c r="GM72" s="27"/>
      <c r="GN72" s="27"/>
      <c r="GO72" s="27"/>
      <c r="GP72" s="27"/>
      <c r="GQ72" s="27"/>
      <c r="GR72" s="27"/>
      <c r="GS72" s="27"/>
      <c r="GT72" s="27"/>
      <c r="GU72" s="27"/>
      <c r="GV72" s="27"/>
      <c r="GW72" s="27"/>
      <c r="GX72" s="27"/>
      <c r="GY72" s="27"/>
      <c r="GZ72" s="27"/>
      <c r="HA72" s="27"/>
      <c r="HB72" s="27"/>
      <c r="HC72" s="27"/>
      <c r="HD72" s="27"/>
      <c r="HE72" s="27"/>
      <c r="HF72" s="27"/>
      <c r="HG72" s="39"/>
      <c r="HH72" s="46"/>
      <c r="HI72" s="45"/>
      <c r="HJ72" s="45"/>
      <c r="HK72" s="45"/>
      <c r="HL72" s="45"/>
      <c r="HM72" s="25"/>
      <c r="HN72" s="25"/>
      <c r="HO72" s="47"/>
      <c r="HP72" s="47"/>
      <c r="HQ72" s="47"/>
      <c r="HR72" s="47"/>
      <c r="HS72" s="47"/>
      <c r="HT72" s="47"/>
      <c r="HU72" s="48"/>
      <c r="HV72" s="48"/>
      <c r="HW72" s="48"/>
      <c r="HX72" s="48"/>
      <c r="HY72" s="48"/>
      <c r="HZ72" s="48"/>
      <c r="IA72" s="48"/>
      <c r="IB72" s="48"/>
      <c r="IC72" s="48"/>
      <c r="ID72" s="48"/>
      <c r="IE72" s="18"/>
      <c r="IF72" s="18"/>
      <c r="IG72" s="18"/>
      <c r="IH72" s="18"/>
      <c r="II72" s="18"/>
      <c r="IJ72" s="18"/>
      <c r="IK72" s="18"/>
      <c r="IL72" s="18"/>
      <c r="IM72" s="18"/>
      <c r="IN72" s="18"/>
      <c r="IO72" s="18"/>
      <c r="IP72" s="18"/>
      <c r="IQ72" s="18"/>
      <c r="IR72" s="18"/>
      <c r="IS72" s="18"/>
      <c r="IT72" s="18"/>
      <c r="IU72" s="18"/>
      <c r="IV72" s="18"/>
    </row>
    <row r="73" spans="1:256" ht="33.75">
      <c r="A73" s="21"/>
      <c r="B73" s="955" t="s">
        <v>2654</v>
      </c>
      <c r="C73" s="16" t="s">
        <v>2654</v>
      </c>
      <c r="D73" s="16" t="s">
        <v>2664</v>
      </c>
      <c r="E73" s="16" t="s">
        <v>2672</v>
      </c>
      <c r="F73" s="16" t="s">
        <v>2679</v>
      </c>
      <c r="G73" s="16"/>
      <c r="H73" s="28"/>
      <c r="I73" s="16"/>
      <c r="J73" s="16"/>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890"/>
      <c r="AM73" s="890"/>
      <c r="AN73" s="16"/>
      <c r="AO73" s="16"/>
      <c r="AP73" s="16"/>
      <c r="AQ73" s="16"/>
      <c r="AR73" s="16"/>
      <c r="AS73" s="16"/>
      <c r="AT73" s="16"/>
      <c r="AU73" s="16"/>
      <c r="AV73" s="16"/>
      <c r="AW73" s="16"/>
      <c r="AX73" s="16"/>
      <c r="AY73" s="16"/>
      <c r="AZ73" s="16"/>
      <c r="BA73" s="17"/>
      <c r="BB73" s="17"/>
      <c r="BC73" s="16"/>
      <c r="BD73" s="16"/>
      <c r="BE73" s="16"/>
      <c r="BF73" s="16"/>
      <c r="BG73" s="16"/>
      <c r="BH73" s="16"/>
      <c r="BI73" s="16"/>
      <c r="BJ73" s="16"/>
      <c r="BK73" s="16"/>
      <c r="BL73" s="16"/>
      <c r="BM73" s="16"/>
      <c r="BN73" s="16"/>
      <c r="BO73" s="16"/>
      <c r="BP73" s="16"/>
      <c r="BQ73" s="16"/>
      <c r="BR73" s="16"/>
      <c r="BS73" s="16"/>
      <c r="BT73" s="16"/>
      <c r="BU73" s="16"/>
      <c r="BV73" s="16"/>
      <c r="BW73" s="16"/>
      <c r="BX73" s="16"/>
      <c r="BY73" s="16"/>
      <c r="BZ73" s="16"/>
      <c r="CA73" s="16"/>
      <c r="CB73" s="16"/>
      <c r="CC73" s="16"/>
      <c r="CD73" s="16"/>
      <c r="CE73" s="16"/>
      <c r="CF73" s="16"/>
      <c r="CG73" s="16"/>
      <c r="CH73" s="16"/>
      <c r="CI73" s="16"/>
      <c r="CJ73" s="16"/>
      <c r="CK73" s="16"/>
      <c r="CL73" s="16"/>
      <c r="CM73" s="16"/>
      <c r="CN73" s="16"/>
      <c r="CO73" s="16"/>
      <c r="CP73" s="16"/>
      <c r="CQ73" s="16"/>
      <c r="CR73" s="16"/>
      <c r="CS73" s="16"/>
      <c r="CT73" s="16"/>
      <c r="CU73" s="54"/>
      <c r="CV73" s="54"/>
      <c r="CW73" s="54"/>
      <c r="CX73" s="54"/>
      <c r="CY73" s="54"/>
      <c r="CZ73" s="54"/>
      <c r="DA73" s="54"/>
      <c r="DB73" s="54"/>
      <c r="DC73" s="54"/>
      <c r="DD73" s="54"/>
      <c r="DE73" s="54"/>
      <c r="DF73" s="54"/>
      <c r="DG73" s="54"/>
      <c r="DH73" s="54"/>
      <c r="DI73" s="54"/>
      <c r="DJ73" s="54"/>
      <c r="DK73" s="54"/>
      <c r="DL73" s="54"/>
      <c r="DM73" s="54"/>
      <c r="DN73" s="17"/>
      <c r="DO73" s="52"/>
      <c r="DP73" s="17"/>
      <c r="DQ73" s="44"/>
      <c r="DR73" s="44"/>
      <c r="DS73" s="44"/>
      <c r="DT73" s="44"/>
      <c r="DU73" s="44"/>
      <c r="DV73" s="44"/>
      <c r="DW73" s="44"/>
      <c r="DX73" s="44"/>
      <c r="DY73" s="44"/>
      <c r="DZ73" s="44"/>
      <c r="EA73" s="44"/>
      <c r="EB73" s="44"/>
      <c r="EC73" s="44"/>
      <c r="ED73" s="44"/>
      <c r="EE73" s="44"/>
      <c r="EF73" s="44"/>
      <c r="EG73" s="44"/>
      <c r="EH73" s="44"/>
      <c r="EI73" s="44"/>
      <c r="EJ73" s="49"/>
      <c r="EK73" s="38"/>
      <c r="EL73" s="37"/>
      <c r="EM73" s="50"/>
      <c r="EN73" s="50"/>
      <c r="EO73" s="50"/>
      <c r="EP73" s="50"/>
      <c r="EQ73" s="50"/>
      <c r="ER73" s="50"/>
      <c r="ES73" s="50"/>
      <c r="ET73" s="50"/>
      <c r="EU73" s="50"/>
      <c r="EV73" s="50"/>
      <c r="EW73" s="50"/>
      <c r="EX73" s="50"/>
      <c r="EY73" s="50"/>
      <c r="EZ73" s="50"/>
      <c r="FA73" s="50"/>
      <c r="FB73" s="50"/>
      <c r="FC73" s="50"/>
      <c r="FD73" s="50"/>
      <c r="FE73" s="50"/>
      <c r="FF73" s="37"/>
      <c r="FG73" s="31"/>
      <c r="FH73" s="35"/>
      <c r="FI73" s="32"/>
      <c r="FJ73" s="32"/>
      <c r="FK73" s="32"/>
      <c r="FL73" s="32"/>
      <c r="FM73" s="32"/>
      <c r="FN73" s="32"/>
      <c r="FO73" s="32"/>
      <c r="FP73" s="32"/>
      <c r="FQ73" s="32"/>
      <c r="FR73" s="32"/>
      <c r="FS73" s="32"/>
      <c r="FT73" s="32"/>
      <c r="FU73" s="32"/>
      <c r="FV73" s="32"/>
      <c r="FW73" s="32"/>
      <c r="FX73" s="32"/>
      <c r="FY73" s="32"/>
      <c r="FZ73" s="32"/>
      <c r="GA73" s="32"/>
      <c r="GB73" s="33"/>
      <c r="GC73" s="36"/>
      <c r="GD73" s="31"/>
      <c r="GE73" s="27"/>
      <c r="GF73" s="27"/>
      <c r="GG73" s="27"/>
      <c r="GH73" s="27"/>
      <c r="GI73" s="27"/>
      <c r="GJ73" s="27"/>
      <c r="GK73" s="27"/>
      <c r="GL73" s="27"/>
      <c r="GM73" s="27"/>
      <c r="GN73" s="27"/>
      <c r="GO73" s="27"/>
      <c r="GP73" s="27"/>
      <c r="GQ73" s="27"/>
      <c r="GR73" s="27"/>
      <c r="GS73" s="27"/>
      <c r="GT73" s="27"/>
      <c r="GU73" s="27"/>
      <c r="GV73" s="27"/>
      <c r="GW73" s="27"/>
      <c r="GX73" s="27"/>
      <c r="GY73" s="27"/>
      <c r="GZ73" s="27"/>
      <c r="HA73" s="27"/>
      <c r="HB73" s="27"/>
      <c r="HC73" s="27"/>
      <c r="HD73" s="27"/>
      <c r="HE73" s="27"/>
      <c r="HF73" s="27"/>
      <c r="HG73" s="39"/>
      <c r="HH73" s="46"/>
      <c r="HI73" s="45"/>
      <c r="HJ73" s="45"/>
      <c r="HK73" s="45"/>
      <c r="HL73" s="45"/>
      <c r="HM73" s="25"/>
      <c r="HN73" s="25"/>
      <c r="HO73" s="47"/>
      <c r="HP73" s="47"/>
      <c r="HQ73" s="47"/>
      <c r="HR73" s="47"/>
      <c r="HS73" s="47"/>
      <c r="HT73" s="47"/>
      <c r="HU73" s="47"/>
      <c r="HV73" s="47"/>
      <c r="HW73" s="47"/>
      <c r="HX73" s="47"/>
      <c r="HY73" s="47"/>
      <c r="HZ73" s="47"/>
      <c r="IA73" s="47"/>
      <c r="IB73" s="47"/>
      <c r="IC73" s="47"/>
      <c r="ID73" s="47"/>
      <c r="IE73" s="47"/>
      <c r="IF73" s="18"/>
      <c r="IG73" s="18"/>
      <c r="IH73" s="18"/>
      <c r="II73" s="18"/>
      <c r="IJ73" s="18"/>
      <c r="IK73" s="18"/>
      <c r="IL73" s="18"/>
      <c r="IM73" s="18"/>
      <c r="IN73" s="18"/>
      <c r="IO73" s="18"/>
      <c r="IP73" s="18"/>
      <c r="IQ73" s="18"/>
      <c r="IR73" s="18"/>
      <c r="IS73" s="18"/>
      <c r="IT73" s="18"/>
      <c r="IU73" s="18"/>
      <c r="IV73" s="18"/>
    </row>
    <row r="74" spans="1:256" ht="22.5">
      <c r="A74" s="21"/>
      <c r="B74" s="955" t="s">
        <v>2655</v>
      </c>
      <c r="C74" s="16" t="s">
        <v>2655</v>
      </c>
      <c r="D74" s="16" t="s">
        <v>2665</v>
      </c>
      <c r="E74" s="16" t="s">
        <v>2673</v>
      </c>
      <c r="F74" s="16" t="s">
        <v>2680</v>
      </c>
      <c r="G74" s="16"/>
      <c r="H74" s="28"/>
      <c r="I74" s="16"/>
      <c r="J74" s="16"/>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890"/>
      <c r="AM74" s="890"/>
      <c r="AN74" s="16"/>
      <c r="AO74" s="16"/>
      <c r="AP74" s="16"/>
      <c r="AQ74" s="16"/>
      <c r="AR74" s="16"/>
      <c r="AS74" s="16"/>
      <c r="AT74" s="16"/>
      <c r="AU74" s="16"/>
      <c r="AV74" s="16"/>
      <c r="AW74" s="16"/>
      <c r="AX74" s="16"/>
      <c r="AY74" s="16"/>
      <c r="AZ74" s="16"/>
      <c r="BA74" s="17"/>
      <c r="BB74" s="17"/>
      <c r="BC74" s="16"/>
      <c r="BD74" s="16"/>
      <c r="BE74" s="16"/>
      <c r="BF74" s="16"/>
      <c r="BG74" s="16"/>
      <c r="BH74" s="16"/>
      <c r="BI74" s="16"/>
      <c r="BJ74" s="16"/>
      <c r="BK74" s="16"/>
      <c r="BL74" s="16"/>
      <c r="BM74" s="16"/>
      <c r="BN74" s="16"/>
      <c r="BO74" s="16"/>
      <c r="BP74" s="16"/>
      <c r="BQ74" s="16"/>
      <c r="BR74" s="16"/>
      <c r="BS74" s="16"/>
      <c r="BT74" s="16"/>
      <c r="BU74" s="16"/>
      <c r="BV74" s="16"/>
      <c r="BW74" s="16"/>
      <c r="BX74" s="16"/>
      <c r="BY74" s="16"/>
      <c r="BZ74" s="16"/>
      <c r="CA74" s="16"/>
      <c r="CB74" s="16"/>
      <c r="CC74" s="16"/>
      <c r="CD74" s="16"/>
      <c r="CE74" s="16"/>
      <c r="CF74" s="16"/>
      <c r="CG74" s="16"/>
      <c r="CH74" s="16"/>
      <c r="CI74" s="16"/>
      <c r="CJ74" s="16"/>
      <c r="CK74" s="16"/>
      <c r="CL74" s="16"/>
      <c r="CM74" s="16"/>
      <c r="CN74" s="16"/>
      <c r="CO74" s="16"/>
      <c r="CP74" s="16"/>
      <c r="CQ74" s="16"/>
      <c r="CR74" s="16"/>
      <c r="CS74" s="16"/>
      <c r="CT74" s="16"/>
      <c r="CU74" s="54"/>
      <c r="CV74" s="54"/>
      <c r="CW74" s="54"/>
      <c r="CX74" s="54"/>
      <c r="CY74" s="54"/>
      <c r="CZ74" s="54"/>
      <c r="DA74" s="54"/>
      <c r="DB74" s="54"/>
      <c r="DC74" s="54"/>
      <c r="DD74" s="54"/>
      <c r="DE74" s="54"/>
      <c r="DF74" s="54"/>
      <c r="DG74" s="54"/>
      <c r="DH74" s="54"/>
      <c r="DI74" s="54"/>
      <c r="DJ74" s="54"/>
      <c r="DK74" s="54"/>
      <c r="DL74" s="54"/>
      <c r="DM74" s="54"/>
      <c r="DN74" s="17"/>
      <c r="DO74" s="52"/>
      <c r="DP74" s="17"/>
      <c r="DQ74" s="44"/>
      <c r="DR74" s="44"/>
      <c r="DS74" s="44"/>
      <c r="DT74" s="44"/>
      <c r="DU74" s="44"/>
      <c r="DV74" s="44"/>
      <c r="DW74" s="44"/>
      <c r="DX74" s="44"/>
      <c r="DY74" s="44"/>
      <c r="DZ74" s="44"/>
      <c r="EA74" s="44"/>
      <c r="EB74" s="44"/>
      <c r="EC74" s="44"/>
      <c r="ED74" s="44"/>
      <c r="EE74" s="44"/>
      <c r="EF74" s="44"/>
      <c r="EG74" s="44"/>
      <c r="EH74" s="44"/>
      <c r="EI74" s="44"/>
      <c r="EJ74" s="49"/>
      <c r="EK74" s="38"/>
      <c r="EL74" s="37"/>
      <c r="EM74" s="50"/>
      <c r="EN74" s="50"/>
      <c r="EO74" s="50"/>
      <c r="EP74" s="50"/>
      <c r="EQ74" s="50"/>
      <c r="ER74" s="50"/>
      <c r="ES74" s="50"/>
      <c r="ET74" s="50"/>
      <c r="EU74" s="50"/>
      <c r="EV74" s="50"/>
      <c r="EW74" s="50"/>
      <c r="EX74" s="50"/>
      <c r="EY74" s="50"/>
      <c r="EZ74" s="50"/>
      <c r="FA74" s="50"/>
      <c r="FB74" s="50"/>
      <c r="FC74" s="50"/>
      <c r="FD74" s="50"/>
      <c r="FE74" s="50"/>
      <c r="FF74" s="37"/>
      <c r="FG74" s="31"/>
      <c r="FH74" s="31"/>
      <c r="FI74" s="32"/>
      <c r="FJ74" s="32"/>
      <c r="FK74" s="32"/>
      <c r="FL74" s="32"/>
      <c r="FM74" s="32"/>
      <c r="FN74" s="32"/>
      <c r="FO74" s="32"/>
      <c r="FP74" s="32"/>
      <c r="FQ74" s="32"/>
      <c r="FR74" s="32"/>
      <c r="FS74" s="32"/>
      <c r="FT74" s="32"/>
      <c r="FU74" s="32"/>
      <c r="FV74" s="32"/>
      <c r="FW74" s="32"/>
      <c r="FX74" s="32"/>
      <c r="FY74" s="32"/>
      <c r="FZ74" s="32"/>
      <c r="GA74" s="32"/>
      <c r="GB74" s="33"/>
      <c r="GC74" s="36"/>
      <c r="GD74" s="31"/>
      <c r="GE74" s="27"/>
      <c r="GF74" s="27"/>
      <c r="GG74" s="27"/>
      <c r="GH74" s="27"/>
      <c r="GI74" s="27"/>
      <c r="GJ74" s="27"/>
      <c r="GK74" s="27"/>
      <c r="GL74" s="27"/>
      <c r="GM74" s="27"/>
      <c r="GN74" s="27"/>
      <c r="GO74" s="27"/>
      <c r="GP74" s="27"/>
      <c r="GQ74" s="27"/>
      <c r="GR74" s="27"/>
      <c r="GS74" s="27"/>
      <c r="GT74" s="27"/>
      <c r="GU74" s="27"/>
      <c r="GV74" s="27"/>
      <c r="GW74" s="27"/>
      <c r="GX74" s="27"/>
      <c r="GY74" s="27"/>
      <c r="GZ74" s="27"/>
      <c r="HA74" s="27"/>
      <c r="HB74" s="27"/>
      <c r="HC74" s="27"/>
      <c r="HD74" s="27"/>
      <c r="HE74" s="27"/>
      <c r="HF74" s="27"/>
      <c r="HG74" s="39"/>
      <c r="HH74" s="46"/>
      <c r="HI74" s="45"/>
      <c r="HJ74" s="45"/>
      <c r="HK74" s="45"/>
      <c r="HL74" s="45"/>
      <c r="HM74" s="25"/>
      <c r="HN74" s="25"/>
      <c r="HO74" s="47"/>
      <c r="HP74" s="47"/>
      <c r="HQ74" s="47"/>
      <c r="HR74" s="47"/>
      <c r="HS74" s="47"/>
      <c r="HT74" s="47"/>
      <c r="HU74" s="47"/>
      <c r="HV74" s="47"/>
      <c r="HW74" s="47"/>
      <c r="HX74" s="47"/>
      <c r="HY74" s="48"/>
      <c r="HZ74" s="48"/>
      <c r="IA74" s="48"/>
      <c r="IB74" s="48"/>
      <c r="IC74" s="48"/>
      <c r="ID74" s="48"/>
      <c r="IE74" s="18"/>
      <c r="IF74" s="18"/>
      <c r="IG74" s="18"/>
      <c r="IH74" s="18"/>
      <c r="II74" s="18"/>
      <c r="IJ74" s="18"/>
      <c r="IK74" s="18"/>
      <c r="IL74" s="18"/>
      <c r="IM74" s="18"/>
      <c r="IN74" s="18"/>
      <c r="IO74" s="18"/>
      <c r="IP74" s="18"/>
      <c r="IQ74" s="18"/>
      <c r="IR74" s="18"/>
      <c r="IS74" s="18"/>
      <c r="IT74" s="18"/>
      <c r="IU74" s="18"/>
      <c r="IV74" s="18"/>
    </row>
    <row r="75" spans="1:256" ht="12">
      <c r="A75" s="21"/>
      <c r="B75" s="955" t="s">
        <v>2656</v>
      </c>
      <c r="C75" s="16" t="s">
        <v>2656</v>
      </c>
      <c r="D75" s="16" t="s">
        <v>2666</v>
      </c>
      <c r="E75" s="16" t="s">
        <v>2674</v>
      </c>
      <c r="F75" s="16" t="s">
        <v>2681</v>
      </c>
      <c r="G75" s="16"/>
      <c r="H75" s="28"/>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890"/>
      <c r="AM75" s="890"/>
      <c r="AN75" s="16"/>
      <c r="AO75" s="16"/>
      <c r="AP75" s="16"/>
      <c r="AQ75" s="16"/>
      <c r="AR75" s="16"/>
      <c r="AS75" s="16"/>
      <c r="AT75" s="16"/>
      <c r="AU75" s="16"/>
      <c r="AV75" s="16"/>
      <c r="AW75" s="16"/>
      <c r="AX75" s="16"/>
      <c r="AY75" s="16"/>
      <c r="AZ75" s="16"/>
      <c r="BA75" s="17"/>
      <c r="BB75" s="17"/>
      <c r="BC75" s="16"/>
      <c r="BD75" s="16"/>
      <c r="BE75" s="16"/>
      <c r="BF75" s="16"/>
      <c r="BG75" s="16"/>
      <c r="BH75" s="16"/>
      <c r="BI75" s="16"/>
      <c r="BJ75" s="16"/>
      <c r="BK75" s="16"/>
      <c r="BL75" s="16"/>
      <c r="BM75" s="16"/>
      <c r="BN75" s="16"/>
      <c r="BO75" s="16"/>
      <c r="BP75" s="16"/>
      <c r="BQ75" s="16"/>
      <c r="BR75" s="16"/>
      <c r="BS75" s="16"/>
      <c r="BT75" s="16"/>
      <c r="BU75" s="16"/>
      <c r="BV75" s="16"/>
      <c r="BW75" s="16"/>
      <c r="BX75" s="16"/>
      <c r="BY75" s="16"/>
      <c r="BZ75" s="16"/>
      <c r="CA75" s="16"/>
      <c r="CB75" s="16"/>
      <c r="CC75" s="16"/>
      <c r="CD75" s="16"/>
      <c r="CE75" s="16"/>
      <c r="CF75" s="16"/>
      <c r="CG75" s="16"/>
      <c r="CH75" s="16"/>
      <c r="CI75" s="16"/>
      <c r="CJ75" s="16"/>
      <c r="CK75" s="16"/>
      <c r="CL75" s="16"/>
      <c r="CM75" s="16"/>
      <c r="CN75" s="16"/>
      <c r="CO75" s="16"/>
      <c r="CP75" s="16"/>
      <c r="CQ75" s="16"/>
      <c r="CR75" s="16"/>
      <c r="CS75" s="16"/>
      <c r="CT75" s="16"/>
      <c r="CU75" s="54"/>
      <c r="CV75" s="54"/>
      <c r="CW75" s="54"/>
      <c r="CX75" s="54"/>
      <c r="CY75" s="54"/>
      <c r="CZ75" s="54"/>
      <c r="DA75" s="54"/>
      <c r="DB75" s="54"/>
      <c r="DC75" s="54"/>
      <c r="DD75" s="54"/>
      <c r="DE75" s="54"/>
      <c r="DF75" s="54"/>
      <c r="DG75" s="54"/>
      <c r="DH75" s="54"/>
      <c r="DI75" s="54"/>
      <c r="DJ75" s="54"/>
      <c r="DK75" s="54"/>
      <c r="DL75" s="54"/>
      <c r="DM75" s="54"/>
      <c r="DN75" s="17"/>
      <c r="DO75" s="52"/>
      <c r="DP75" s="17"/>
      <c r="DQ75" s="44"/>
      <c r="DR75" s="44"/>
      <c r="DS75" s="44"/>
      <c r="DT75" s="44"/>
      <c r="DU75" s="44"/>
      <c r="DV75" s="44"/>
      <c r="DW75" s="44"/>
      <c r="DX75" s="44"/>
      <c r="DY75" s="44"/>
      <c r="DZ75" s="44"/>
      <c r="EA75" s="44"/>
      <c r="EB75" s="44"/>
      <c r="EC75" s="44"/>
      <c r="ED75" s="44"/>
      <c r="EE75" s="44"/>
      <c r="EF75" s="44"/>
      <c r="EG75" s="44"/>
      <c r="EH75" s="44"/>
      <c r="EI75" s="44"/>
      <c r="EJ75" s="49"/>
      <c r="EK75" s="38"/>
      <c r="EL75" s="37"/>
      <c r="EM75" s="50"/>
      <c r="EN75" s="50"/>
      <c r="EO75" s="50"/>
      <c r="EP75" s="50"/>
      <c r="EQ75" s="50"/>
      <c r="ER75" s="50"/>
      <c r="ES75" s="50"/>
      <c r="ET75" s="50"/>
      <c r="EU75" s="50"/>
      <c r="EV75" s="50"/>
      <c r="EW75" s="50"/>
      <c r="EX75" s="50"/>
      <c r="EY75" s="50"/>
      <c r="EZ75" s="50"/>
      <c r="FA75" s="50"/>
      <c r="FB75" s="50"/>
      <c r="FC75" s="50"/>
      <c r="FD75" s="50"/>
      <c r="FE75" s="50"/>
      <c r="FF75" s="37"/>
      <c r="FG75" s="31"/>
      <c r="FH75" s="35"/>
      <c r="FI75" s="32"/>
      <c r="FJ75" s="32"/>
      <c r="FK75" s="32"/>
      <c r="FL75" s="32"/>
      <c r="FM75" s="32"/>
      <c r="FN75" s="32"/>
      <c r="FO75" s="32"/>
      <c r="FP75" s="32"/>
      <c r="FQ75" s="32"/>
      <c r="FR75" s="32"/>
      <c r="FS75" s="32"/>
      <c r="FT75" s="32"/>
      <c r="FU75" s="32"/>
      <c r="FV75" s="32"/>
      <c r="FW75" s="32"/>
      <c r="FX75" s="32"/>
      <c r="FY75" s="32"/>
      <c r="FZ75" s="32"/>
      <c r="GA75" s="32"/>
      <c r="GB75" s="33"/>
      <c r="GC75" s="36"/>
      <c r="GD75" s="31"/>
      <c r="GE75" s="27"/>
      <c r="GF75" s="27"/>
      <c r="GG75" s="27"/>
      <c r="GH75" s="27"/>
      <c r="GI75" s="27"/>
      <c r="GJ75" s="27"/>
      <c r="GK75" s="27"/>
      <c r="GL75" s="27"/>
      <c r="GM75" s="27"/>
      <c r="GN75" s="27"/>
      <c r="GO75" s="27"/>
      <c r="GP75" s="27"/>
      <c r="GQ75" s="27"/>
      <c r="GR75" s="27"/>
      <c r="GS75" s="27"/>
      <c r="GT75" s="27"/>
      <c r="GU75" s="27"/>
      <c r="GV75" s="27"/>
      <c r="GW75" s="27"/>
      <c r="GX75" s="27"/>
      <c r="GY75" s="27"/>
      <c r="GZ75" s="27"/>
      <c r="HA75" s="27"/>
      <c r="HB75" s="27"/>
      <c r="HC75" s="27"/>
      <c r="HD75" s="27"/>
      <c r="HE75" s="27"/>
      <c r="HF75" s="27"/>
      <c r="HG75" s="39"/>
      <c r="HH75" s="46"/>
      <c r="HI75" s="45"/>
      <c r="HJ75" s="45"/>
      <c r="HK75" s="45"/>
      <c r="HL75" s="45"/>
      <c r="HM75" s="25"/>
      <c r="HN75" s="25"/>
      <c r="HO75" s="47"/>
      <c r="HP75" s="47"/>
      <c r="HQ75" s="47"/>
      <c r="HR75" s="47"/>
      <c r="HS75" s="47"/>
      <c r="HT75" s="47"/>
      <c r="HU75" s="47"/>
      <c r="HV75" s="47"/>
      <c r="HW75" s="48"/>
      <c r="HX75" s="48"/>
      <c r="HY75" s="48"/>
      <c r="HZ75" s="48"/>
      <c r="IA75" s="48"/>
      <c r="IB75" s="48"/>
      <c r="IC75" s="48"/>
      <c r="ID75" s="48"/>
      <c r="IE75" s="18"/>
      <c r="IF75" s="18"/>
      <c r="IG75" s="18"/>
      <c r="IH75" s="18"/>
      <c r="II75" s="18"/>
      <c r="IJ75" s="18"/>
      <c r="IK75" s="18"/>
      <c r="IL75" s="18"/>
      <c r="IM75" s="18"/>
      <c r="IN75" s="18"/>
      <c r="IO75" s="18"/>
      <c r="IP75" s="18"/>
      <c r="IQ75" s="18"/>
      <c r="IR75" s="18"/>
      <c r="IS75" s="18"/>
      <c r="IT75" s="18"/>
      <c r="IU75" s="18"/>
      <c r="IV75" s="18"/>
    </row>
    <row r="76" spans="1:256" ht="22.5">
      <c r="A76" s="21"/>
      <c r="B76" s="955" t="s">
        <v>2659</v>
      </c>
      <c r="C76" s="16" t="s">
        <v>2659</v>
      </c>
      <c r="D76" s="16" t="s">
        <v>2667</v>
      </c>
      <c r="E76" s="16" t="s">
        <v>2675</v>
      </c>
      <c r="F76" s="16" t="s">
        <v>2682</v>
      </c>
      <c r="G76" s="16"/>
      <c r="H76" s="28"/>
      <c r="I76" s="16"/>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890"/>
      <c r="AM76" s="890"/>
      <c r="AN76" s="16"/>
      <c r="AO76" s="16"/>
      <c r="AP76" s="16"/>
      <c r="AQ76" s="16"/>
      <c r="AR76" s="16"/>
      <c r="AS76" s="16"/>
      <c r="AT76" s="16"/>
      <c r="AU76" s="16"/>
      <c r="AV76" s="16"/>
      <c r="AW76" s="16"/>
      <c r="AX76" s="16"/>
      <c r="AY76" s="16"/>
      <c r="AZ76" s="16"/>
      <c r="BA76" s="17"/>
      <c r="BB76" s="17"/>
      <c r="BC76" s="16"/>
      <c r="BD76" s="16"/>
      <c r="BE76" s="16"/>
      <c r="BF76" s="16"/>
      <c r="BG76" s="16"/>
      <c r="BH76" s="16"/>
      <c r="BI76" s="16"/>
      <c r="BJ76" s="16"/>
      <c r="BK76" s="16"/>
      <c r="BL76" s="16"/>
      <c r="BM76" s="16"/>
      <c r="BN76" s="16"/>
      <c r="BO76" s="16"/>
      <c r="BP76" s="16"/>
      <c r="BQ76" s="16"/>
      <c r="BR76" s="16"/>
      <c r="BS76" s="16"/>
      <c r="BT76" s="16"/>
      <c r="BU76" s="16"/>
      <c r="BV76" s="16"/>
      <c r="BW76" s="16"/>
      <c r="BX76" s="16"/>
      <c r="BY76" s="16"/>
      <c r="BZ76" s="16"/>
      <c r="CA76" s="16"/>
      <c r="CB76" s="16"/>
      <c r="CC76" s="16"/>
      <c r="CD76" s="16"/>
      <c r="CE76" s="16"/>
      <c r="CF76" s="16"/>
      <c r="CG76" s="16"/>
      <c r="CH76" s="16"/>
      <c r="CI76" s="16"/>
      <c r="CJ76" s="16"/>
      <c r="CK76" s="16"/>
      <c r="CL76" s="16"/>
      <c r="CM76" s="16"/>
      <c r="CN76" s="16"/>
      <c r="CO76" s="16"/>
      <c r="CP76" s="16"/>
      <c r="CQ76" s="16"/>
      <c r="CR76" s="16"/>
      <c r="CS76" s="16"/>
      <c r="CT76" s="16"/>
      <c r="CU76" s="54"/>
      <c r="CV76" s="54"/>
      <c r="CW76" s="54"/>
      <c r="CX76" s="54"/>
      <c r="CY76" s="54"/>
      <c r="CZ76" s="54"/>
      <c r="DA76" s="54"/>
      <c r="DB76" s="54"/>
      <c r="DC76" s="54"/>
      <c r="DD76" s="54"/>
      <c r="DE76" s="54"/>
      <c r="DF76" s="54"/>
      <c r="DG76" s="54"/>
      <c r="DH76" s="54"/>
      <c r="DI76" s="54"/>
      <c r="DJ76" s="54"/>
      <c r="DK76" s="54"/>
      <c r="DL76" s="54"/>
      <c r="DM76" s="54"/>
      <c r="DN76" s="17"/>
      <c r="DO76" s="52"/>
      <c r="DP76" s="17"/>
      <c r="DQ76" s="44"/>
      <c r="DR76" s="44"/>
      <c r="DS76" s="44"/>
      <c r="DT76" s="44"/>
      <c r="DU76" s="44"/>
      <c r="DV76" s="44"/>
      <c r="DW76" s="44"/>
      <c r="DX76" s="44"/>
      <c r="DY76" s="44"/>
      <c r="DZ76" s="44"/>
      <c r="EA76" s="44"/>
      <c r="EB76" s="44"/>
      <c r="EC76" s="44"/>
      <c r="ED76" s="44"/>
      <c r="EE76" s="44"/>
      <c r="EF76" s="44"/>
      <c r="EG76" s="44"/>
      <c r="EH76" s="44"/>
      <c r="EI76" s="44"/>
      <c r="EJ76" s="49"/>
      <c r="EK76" s="38"/>
      <c r="EL76" s="37"/>
      <c r="EM76" s="50"/>
      <c r="EN76" s="50"/>
      <c r="EO76" s="50"/>
      <c r="EP76" s="50"/>
      <c r="EQ76" s="50"/>
      <c r="ER76" s="50"/>
      <c r="ES76" s="50"/>
      <c r="ET76" s="50"/>
      <c r="EU76" s="50"/>
      <c r="EV76" s="50"/>
      <c r="EW76" s="50"/>
      <c r="EX76" s="50"/>
      <c r="EY76" s="50"/>
      <c r="EZ76" s="50"/>
      <c r="FA76" s="50"/>
      <c r="FB76" s="50"/>
      <c r="FC76" s="50"/>
      <c r="FD76" s="50"/>
      <c r="FE76" s="50"/>
      <c r="FF76" s="37"/>
      <c r="FG76" s="31"/>
      <c r="FH76" s="35"/>
      <c r="FI76" s="32"/>
      <c r="FJ76" s="32"/>
      <c r="FK76" s="32"/>
      <c r="FL76" s="32"/>
      <c r="FM76" s="32"/>
      <c r="FN76" s="32"/>
      <c r="FO76" s="32"/>
      <c r="FP76" s="32"/>
      <c r="FQ76" s="32"/>
      <c r="FR76" s="32"/>
      <c r="FS76" s="32"/>
      <c r="FT76" s="32"/>
      <c r="FU76" s="32"/>
      <c r="FV76" s="32"/>
      <c r="FW76" s="32"/>
      <c r="FX76" s="32"/>
      <c r="FY76" s="32"/>
      <c r="FZ76" s="32"/>
      <c r="GA76" s="32"/>
      <c r="GB76" s="33"/>
      <c r="GC76" s="36"/>
      <c r="GD76" s="31"/>
      <c r="GE76" s="27"/>
      <c r="GF76" s="27"/>
      <c r="GG76" s="27"/>
      <c r="GH76" s="27"/>
      <c r="GI76" s="27"/>
      <c r="GJ76" s="27"/>
      <c r="GK76" s="27"/>
      <c r="GL76" s="27"/>
      <c r="GM76" s="27"/>
      <c r="GN76" s="27"/>
      <c r="GO76" s="27"/>
      <c r="GP76" s="27"/>
      <c r="GQ76" s="27"/>
      <c r="GR76" s="27"/>
      <c r="GS76" s="27"/>
      <c r="GT76" s="27"/>
      <c r="GU76" s="27"/>
      <c r="GV76" s="27"/>
      <c r="GW76" s="27"/>
      <c r="GX76" s="27"/>
      <c r="GY76" s="27"/>
      <c r="GZ76" s="27"/>
      <c r="HA76" s="27"/>
      <c r="HB76" s="27"/>
      <c r="HC76" s="27"/>
      <c r="HD76" s="27"/>
      <c r="HE76" s="27"/>
      <c r="HF76" s="27"/>
      <c r="HG76" s="39"/>
      <c r="HH76" s="46"/>
      <c r="HI76" s="45"/>
      <c r="HJ76" s="45"/>
      <c r="HK76" s="45"/>
      <c r="HL76" s="45"/>
      <c r="HM76" s="25"/>
      <c r="HN76" s="25"/>
      <c r="HO76" s="47"/>
      <c r="HP76" s="47"/>
      <c r="HQ76" s="47"/>
      <c r="HR76" s="47"/>
      <c r="HS76" s="47"/>
      <c r="HT76" s="47"/>
      <c r="HU76" s="47"/>
      <c r="HV76" s="47"/>
      <c r="HW76" s="47"/>
      <c r="HX76" s="47"/>
      <c r="HY76" s="47"/>
      <c r="HZ76" s="47"/>
      <c r="IA76" s="47"/>
      <c r="IB76" s="48"/>
      <c r="IC76" s="48"/>
      <c r="ID76" s="48"/>
      <c r="IE76" s="18"/>
      <c r="IF76" s="18"/>
      <c r="IG76" s="18"/>
      <c r="IH76" s="18"/>
      <c r="II76" s="18"/>
      <c r="IJ76" s="18"/>
      <c r="IK76" s="18"/>
      <c r="IL76" s="18"/>
      <c r="IM76" s="18"/>
      <c r="IN76" s="18"/>
      <c r="IO76" s="18"/>
      <c r="IP76" s="18"/>
      <c r="IQ76" s="18"/>
      <c r="IR76" s="18"/>
      <c r="IS76" s="18"/>
      <c r="IT76" s="18"/>
      <c r="IU76" s="18"/>
      <c r="IV76" s="18"/>
    </row>
    <row r="77" spans="1:256" ht="22.5">
      <c r="A77" s="21"/>
      <c r="B77" s="955" t="s">
        <v>2657</v>
      </c>
      <c r="C77" s="16" t="s">
        <v>2657</v>
      </c>
      <c r="D77" s="16" t="s">
        <v>2668</v>
      </c>
      <c r="F77" s="16" t="s">
        <v>2683</v>
      </c>
      <c r="G77" s="16"/>
      <c r="H77" s="28"/>
      <c r="I77" s="16"/>
      <c r="J77" s="16"/>
      <c r="K77" s="16"/>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890"/>
      <c r="AM77" s="890"/>
      <c r="AN77" s="16"/>
      <c r="AO77" s="16"/>
      <c r="AP77" s="16"/>
      <c r="AQ77" s="16"/>
      <c r="AR77" s="16"/>
      <c r="AS77" s="16"/>
      <c r="AT77" s="16"/>
      <c r="AU77" s="16"/>
      <c r="AV77" s="16"/>
      <c r="AW77" s="16"/>
      <c r="AX77" s="16"/>
      <c r="AY77" s="16"/>
      <c r="AZ77" s="16"/>
      <c r="BA77" s="17"/>
      <c r="BB77" s="17"/>
      <c r="BC77" s="16"/>
      <c r="BD77" s="16"/>
      <c r="BE77" s="16"/>
      <c r="BF77" s="16"/>
      <c r="BG77" s="16"/>
      <c r="BH77" s="16"/>
      <c r="BI77" s="16"/>
      <c r="BJ77" s="16"/>
      <c r="BK77" s="16"/>
      <c r="BL77" s="16"/>
      <c r="BM77" s="16"/>
      <c r="BN77" s="16"/>
      <c r="BO77" s="16"/>
      <c r="BP77" s="16"/>
      <c r="BQ77" s="16"/>
      <c r="BR77" s="16"/>
      <c r="BS77" s="16"/>
      <c r="BT77" s="16"/>
      <c r="BU77" s="16"/>
      <c r="BV77" s="16"/>
      <c r="BW77" s="16"/>
      <c r="BX77" s="16"/>
      <c r="BY77" s="16"/>
      <c r="BZ77" s="16"/>
      <c r="CA77" s="16"/>
      <c r="CB77" s="16"/>
      <c r="CC77" s="16"/>
      <c r="CD77" s="16"/>
      <c r="CE77" s="16"/>
      <c r="CF77" s="16"/>
      <c r="CG77" s="16"/>
      <c r="CH77" s="16"/>
      <c r="CI77" s="16"/>
      <c r="CJ77" s="16"/>
      <c r="CK77" s="16"/>
      <c r="CL77" s="16"/>
      <c r="CM77" s="16"/>
      <c r="CN77" s="16"/>
      <c r="CO77" s="16"/>
      <c r="CP77" s="16"/>
      <c r="CQ77" s="16"/>
      <c r="CR77" s="16"/>
      <c r="CS77" s="16"/>
      <c r="CT77" s="16"/>
      <c r="CU77" s="54"/>
      <c r="CV77" s="54"/>
      <c r="CW77" s="54"/>
      <c r="CX77" s="54"/>
      <c r="CY77" s="54"/>
      <c r="CZ77" s="54"/>
      <c r="DA77" s="54"/>
      <c r="DB77" s="54"/>
      <c r="DC77" s="54"/>
      <c r="DD77" s="54"/>
      <c r="DE77" s="54"/>
      <c r="DF77" s="54"/>
      <c r="DG77" s="54"/>
      <c r="DH77" s="54"/>
      <c r="DI77" s="54"/>
      <c r="DJ77" s="54"/>
      <c r="DK77" s="54"/>
      <c r="DL77" s="54"/>
      <c r="DM77" s="54"/>
      <c r="DN77" s="37"/>
      <c r="DO77" s="55"/>
      <c r="DP77" s="37"/>
      <c r="DQ77" s="44"/>
      <c r="DR77" s="44"/>
      <c r="DS77" s="44"/>
      <c r="DT77" s="44"/>
      <c r="DU77" s="44"/>
      <c r="DV77" s="44"/>
      <c r="DW77" s="44"/>
      <c r="DX77" s="44"/>
      <c r="DY77" s="44"/>
      <c r="DZ77" s="44"/>
      <c r="EA77" s="44"/>
      <c r="EB77" s="44"/>
      <c r="EC77" s="44"/>
      <c r="ED77" s="44"/>
      <c r="EE77" s="44"/>
      <c r="EF77" s="44"/>
      <c r="EG77" s="44"/>
      <c r="EH77" s="44"/>
      <c r="EI77" s="44"/>
      <c r="EJ77" s="44"/>
      <c r="EK77" s="37"/>
      <c r="EL77" s="37"/>
      <c r="EM77" s="45"/>
      <c r="EN77" s="45"/>
      <c r="EO77" s="45"/>
      <c r="EP77" s="45"/>
      <c r="EQ77" s="45"/>
      <c r="ER77" s="45"/>
      <c r="ES77" s="45"/>
      <c r="ET77" s="45"/>
      <c r="EU77" s="45"/>
      <c r="EV77" s="45"/>
      <c r="EW77" s="45"/>
      <c r="EX77" s="45"/>
      <c r="EY77" s="45"/>
      <c r="EZ77" s="45"/>
      <c r="FA77" s="45"/>
      <c r="FB77" s="45"/>
      <c r="FC77" s="45"/>
      <c r="FD77" s="45"/>
      <c r="FE77" s="45"/>
      <c r="FF77" s="37"/>
      <c r="FG77" s="31"/>
      <c r="FH77" s="35"/>
      <c r="FI77" s="32"/>
      <c r="FJ77" s="32"/>
      <c r="FK77" s="32"/>
      <c r="FL77" s="32"/>
      <c r="FM77" s="32"/>
      <c r="FN77" s="32"/>
      <c r="FO77" s="32"/>
      <c r="FP77" s="32"/>
      <c r="FQ77" s="32"/>
      <c r="FR77" s="32"/>
      <c r="FS77" s="32"/>
      <c r="FT77" s="32"/>
      <c r="FU77" s="32"/>
      <c r="FV77" s="32"/>
      <c r="FW77" s="32"/>
      <c r="FX77" s="32"/>
      <c r="FY77" s="32"/>
      <c r="FZ77" s="32"/>
      <c r="GA77" s="32"/>
      <c r="GB77" s="33"/>
      <c r="GC77" s="36"/>
      <c r="GD77" s="31"/>
      <c r="GE77" s="27"/>
      <c r="GF77" s="27"/>
      <c r="GG77" s="27"/>
      <c r="GH77" s="27"/>
      <c r="GI77" s="27"/>
      <c r="GJ77" s="27"/>
      <c r="GK77" s="27"/>
      <c r="GL77" s="27"/>
      <c r="GM77" s="27"/>
      <c r="GN77" s="27"/>
      <c r="GO77" s="27"/>
      <c r="GP77" s="27"/>
      <c r="GQ77" s="27"/>
      <c r="GR77" s="27"/>
      <c r="GS77" s="27"/>
      <c r="GT77" s="27"/>
      <c r="GU77" s="27"/>
      <c r="GV77" s="27"/>
      <c r="GW77" s="27"/>
      <c r="GX77" s="27"/>
      <c r="GY77" s="27"/>
      <c r="GZ77" s="27"/>
      <c r="HA77" s="27"/>
      <c r="HB77" s="27"/>
      <c r="HC77" s="27"/>
      <c r="HD77" s="27"/>
      <c r="HE77" s="27"/>
      <c r="HF77" s="27"/>
      <c r="HG77" s="39"/>
      <c r="HH77" s="46"/>
      <c r="HI77" s="45"/>
      <c r="HJ77" s="45"/>
      <c r="HK77" s="45"/>
      <c r="HL77" s="45"/>
      <c r="HM77" s="25"/>
      <c r="HN77" s="25"/>
      <c r="HO77" s="47"/>
      <c r="HP77" s="47"/>
      <c r="HQ77" s="47"/>
      <c r="HR77" s="47"/>
      <c r="HS77" s="47"/>
      <c r="HT77" s="47"/>
      <c r="HU77" s="47"/>
      <c r="HV77" s="47"/>
      <c r="HW77" s="47"/>
      <c r="HX77" s="47"/>
      <c r="HY77" s="47"/>
      <c r="HZ77" s="47"/>
      <c r="IA77" s="47"/>
      <c r="IB77" s="47"/>
      <c r="IC77" s="47"/>
      <c r="ID77" s="47"/>
      <c r="IE77" s="47"/>
      <c r="IF77" s="47"/>
      <c r="IG77" s="47"/>
      <c r="IH77" s="47"/>
      <c r="II77" s="47"/>
      <c r="IJ77" s="47"/>
      <c r="IK77" s="47"/>
      <c r="IL77" s="47"/>
      <c r="IM77" s="47"/>
      <c r="IN77" s="47"/>
      <c r="IO77" s="47"/>
      <c r="IP77" s="47"/>
      <c r="IQ77" s="47"/>
      <c r="IR77" s="47"/>
      <c r="IS77" s="47"/>
      <c r="IT77" s="47"/>
      <c r="IU77" s="47"/>
      <c r="IV77" s="47"/>
    </row>
    <row r="78" spans="1:256" ht="12">
      <c r="A78" s="21"/>
      <c r="B78" s="955" t="s">
        <v>2660</v>
      </c>
      <c r="C78" s="16" t="s">
        <v>2660</v>
      </c>
      <c r="G78" s="16"/>
      <c r="H78" s="28"/>
      <c r="I78" s="16"/>
      <c r="J78" s="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890"/>
      <c r="AM78" s="890"/>
      <c r="AN78" s="16"/>
      <c r="AO78" s="16"/>
      <c r="AP78" s="16"/>
      <c r="AQ78" s="16"/>
      <c r="AR78" s="16"/>
      <c r="AS78" s="16"/>
      <c r="AT78" s="16"/>
      <c r="AU78" s="16"/>
      <c r="AV78" s="16"/>
      <c r="AW78" s="16"/>
      <c r="AX78" s="16"/>
      <c r="AY78" s="16"/>
      <c r="AZ78" s="16"/>
      <c r="BA78" s="17"/>
      <c r="BB78" s="17"/>
      <c r="BC78" s="16"/>
      <c r="BD78" s="16"/>
      <c r="BE78" s="16"/>
      <c r="BF78" s="16"/>
      <c r="BG78" s="16"/>
      <c r="BH78" s="16"/>
      <c r="BI78" s="16"/>
      <c r="BJ78" s="16"/>
      <c r="BK78" s="16"/>
      <c r="BL78" s="16"/>
      <c r="BM78" s="16"/>
      <c r="BN78" s="16"/>
      <c r="BO78" s="16"/>
      <c r="BP78" s="16"/>
      <c r="BQ78" s="16"/>
      <c r="BR78" s="16"/>
      <c r="BS78" s="16"/>
      <c r="BT78" s="16"/>
      <c r="BU78" s="16"/>
      <c r="BV78" s="16"/>
      <c r="BW78" s="16"/>
      <c r="BX78" s="16"/>
      <c r="BY78" s="16"/>
      <c r="BZ78" s="16"/>
      <c r="CA78" s="16"/>
      <c r="CB78" s="16"/>
      <c r="CC78" s="16"/>
      <c r="CD78" s="16"/>
      <c r="CE78" s="16"/>
      <c r="CF78" s="16"/>
      <c r="CG78" s="16"/>
      <c r="CH78" s="16"/>
      <c r="CI78" s="16"/>
      <c r="CJ78" s="16"/>
      <c r="CK78" s="16"/>
      <c r="CL78" s="16"/>
      <c r="CM78" s="16"/>
      <c r="CN78" s="16"/>
      <c r="CO78" s="16"/>
      <c r="CP78" s="16"/>
      <c r="CQ78" s="16"/>
      <c r="CR78" s="16"/>
      <c r="CS78" s="16"/>
      <c r="CT78" s="16"/>
      <c r="CU78" s="56"/>
      <c r="CV78" s="56"/>
      <c r="CW78" s="56"/>
      <c r="CX78" s="56"/>
      <c r="CY78" s="56"/>
      <c r="CZ78" s="56"/>
      <c r="DA78" s="56"/>
      <c r="DB78" s="56"/>
      <c r="DC78" s="56"/>
      <c r="DD78" s="56"/>
      <c r="DE78" s="56"/>
      <c r="DF78" s="56"/>
      <c r="DG78" s="56"/>
      <c r="DH78" s="56"/>
      <c r="DI78" s="56"/>
      <c r="DJ78" s="56"/>
      <c r="DK78" s="56"/>
      <c r="DL78" s="56"/>
      <c r="DM78" s="56"/>
      <c r="DN78" s="17"/>
      <c r="DO78" s="52"/>
      <c r="DP78" s="17"/>
      <c r="DQ78" s="44"/>
      <c r="DR78" s="44"/>
      <c r="DS78" s="44"/>
      <c r="DT78" s="44"/>
      <c r="DU78" s="44"/>
      <c r="DV78" s="44"/>
      <c r="DW78" s="44"/>
      <c r="DX78" s="44"/>
      <c r="DY78" s="44"/>
      <c r="DZ78" s="44"/>
      <c r="EA78" s="44"/>
      <c r="EB78" s="44"/>
      <c r="EC78" s="44"/>
      <c r="ED78" s="44"/>
      <c r="EE78" s="44"/>
      <c r="EF78" s="44"/>
      <c r="EG78" s="44"/>
      <c r="EH78" s="44"/>
      <c r="EI78" s="44"/>
      <c r="EJ78" s="49"/>
      <c r="EK78" s="38"/>
      <c r="EL78" s="37"/>
      <c r="EM78" s="50"/>
      <c r="EN78" s="50"/>
      <c r="EO78" s="50"/>
      <c r="EP78" s="50"/>
      <c r="EQ78" s="50"/>
      <c r="ER78" s="50"/>
      <c r="ES78" s="50"/>
      <c r="ET78" s="50"/>
      <c r="EU78" s="50"/>
      <c r="EV78" s="50"/>
      <c r="EW78" s="50"/>
      <c r="EX78" s="50"/>
      <c r="EY78" s="50"/>
      <c r="EZ78" s="50"/>
      <c r="FA78" s="50"/>
      <c r="FB78" s="50"/>
      <c r="FC78" s="50"/>
      <c r="FD78" s="50"/>
      <c r="FE78" s="50"/>
      <c r="FF78" s="37"/>
      <c r="FG78" s="31"/>
      <c r="FH78" s="35"/>
      <c r="FI78" s="32"/>
      <c r="FJ78" s="32"/>
      <c r="FK78" s="32"/>
      <c r="FL78" s="32"/>
      <c r="FM78" s="32"/>
      <c r="FN78" s="32"/>
      <c r="FO78" s="32"/>
      <c r="FP78" s="32"/>
      <c r="FQ78" s="32"/>
      <c r="FR78" s="32"/>
      <c r="FS78" s="32"/>
      <c r="FT78" s="32"/>
      <c r="FU78" s="32"/>
      <c r="FV78" s="32"/>
      <c r="FW78" s="32"/>
      <c r="FX78" s="32"/>
      <c r="FY78" s="32"/>
      <c r="FZ78" s="32"/>
      <c r="GA78" s="32"/>
      <c r="GB78" s="33"/>
      <c r="GC78" s="36"/>
      <c r="GD78" s="31"/>
      <c r="GE78" s="27"/>
      <c r="GF78" s="27"/>
      <c r="GG78" s="27"/>
      <c r="GH78" s="27"/>
      <c r="GI78" s="27"/>
      <c r="GJ78" s="27"/>
      <c r="GK78" s="27"/>
      <c r="GL78" s="27"/>
      <c r="GM78" s="27"/>
      <c r="GN78" s="27"/>
      <c r="GO78" s="27"/>
      <c r="GP78" s="27"/>
      <c r="GQ78" s="27"/>
      <c r="GR78" s="27"/>
      <c r="GS78" s="27"/>
      <c r="GT78" s="27"/>
      <c r="GU78" s="27"/>
      <c r="GV78" s="27"/>
      <c r="GW78" s="27"/>
      <c r="GX78" s="27"/>
      <c r="GY78" s="27"/>
      <c r="GZ78" s="27"/>
      <c r="HA78" s="27"/>
      <c r="HB78" s="27"/>
      <c r="HC78" s="27"/>
      <c r="HD78" s="27"/>
      <c r="HE78" s="27"/>
      <c r="HF78" s="27"/>
      <c r="HG78" s="39"/>
      <c r="HH78" s="46"/>
      <c r="HI78" s="45"/>
      <c r="HJ78" s="45"/>
      <c r="HK78" s="45"/>
      <c r="HL78" s="45"/>
      <c r="HM78" s="25"/>
      <c r="HN78" s="25"/>
      <c r="HO78" s="47"/>
      <c r="HP78" s="47"/>
      <c r="HQ78" s="47"/>
      <c r="HR78" s="47"/>
      <c r="HS78" s="47"/>
      <c r="HT78" s="47"/>
      <c r="HU78" s="47"/>
      <c r="HV78" s="47"/>
      <c r="HW78" s="48"/>
      <c r="HX78" s="48"/>
      <c r="HY78" s="48"/>
      <c r="HZ78" s="48"/>
      <c r="IA78" s="48"/>
      <c r="IB78" s="48"/>
      <c r="IC78" s="48"/>
      <c r="ID78" s="48"/>
      <c r="IE78" s="18"/>
      <c r="IF78" s="18"/>
      <c r="IG78" s="18"/>
      <c r="IH78" s="18"/>
      <c r="II78" s="18"/>
      <c r="IJ78" s="18"/>
      <c r="IK78" s="18"/>
      <c r="IL78" s="18"/>
      <c r="IM78" s="18"/>
      <c r="IN78" s="18"/>
      <c r="IO78" s="18"/>
      <c r="IP78" s="18"/>
      <c r="IQ78" s="18"/>
      <c r="IR78" s="18"/>
      <c r="IS78" s="18"/>
      <c r="IT78" s="18"/>
      <c r="IU78" s="18"/>
      <c r="IV78" s="18"/>
    </row>
    <row r="79" spans="1:256" ht="12">
      <c r="A79" s="21"/>
      <c r="B79" s="955" t="s">
        <v>2658</v>
      </c>
      <c r="C79" s="16" t="s">
        <v>2658</v>
      </c>
      <c r="G79" s="16"/>
      <c r="H79" s="28"/>
      <c r="I79" s="16"/>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890"/>
      <c r="AM79" s="890"/>
      <c r="AN79" s="16"/>
      <c r="AO79" s="16"/>
      <c r="AP79" s="16"/>
      <c r="AQ79" s="16"/>
      <c r="AR79" s="16"/>
      <c r="AS79" s="16"/>
      <c r="AT79" s="16"/>
      <c r="AU79" s="16"/>
      <c r="AV79" s="16"/>
      <c r="AW79" s="16"/>
      <c r="AX79" s="16"/>
      <c r="AY79" s="16"/>
      <c r="AZ79" s="16"/>
      <c r="BA79" s="17"/>
      <c r="BB79" s="17"/>
      <c r="BC79" s="16"/>
      <c r="BD79" s="16"/>
      <c r="BE79" s="16"/>
      <c r="BF79" s="16"/>
      <c r="BG79" s="16"/>
      <c r="BH79" s="16"/>
      <c r="BI79" s="16"/>
      <c r="BJ79" s="16"/>
      <c r="BK79" s="16"/>
      <c r="BL79" s="16"/>
      <c r="BM79" s="16"/>
      <c r="BN79" s="16"/>
      <c r="BO79" s="16"/>
      <c r="BP79" s="16"/>
      <c r="BQ79" s="16"/>
      <c r="BR79" s="16"/>
      <c r="BS79" s="16"/>
      <c r="BT79" s="16"/>
      <c r="BU79" s="16"/>
      <c r="BV79" s="16"/>
      <c r="BW79" s="16"/>
      <c r="BX79" s="16"/>
      <c r="BY79" s="16"/>
      <c r="BZ79" s="16"/>
      <c r="CA79" s="16"/>
      <c r="CB79" s="16"/>
      <c r="CC79" s="16"/>
      <c r="CD79" s="16"/>
      <c r="CE79" s="16"/>
      <c r="CF79" s="16"/>
      <c r="CG79" s="16"/>
      <c r="CH79" s="16"/>
      <c r="CI79" s="16"/>
      <c r="CJ79" s="16"/>
      <c r="CK79" s="16"/>
      <c r="CL79" s="16"/>
      <c r="CM79" s="16"/>
      <c r="CN79" s="16"/>
      <c r="CO79" s="16"/>
      <c r="CP79" s="16"/>
      <c r="CQ79" s="16"/>
      <c r="CR79" s="16"/>
      <c r="CS79" s="16"/>
      <c r="CT79" s="16"/>
      <c r="CU79" s="54"/>
      <c r="CV79" s="54"/>
      <c r="CW79" s="54"/>
      <c r="CX79" s="54"/>
      <c r="CY79" s="54"/>
      <c r="CZ79" s="54"/>
      <c r="DA79" s="54"/>
      <c r="DB79" s="54"/>
      <c r="DC79" s="54"/>
      <c r="DD79" s="54"/>
      <c r="DE79" s="54"/>
      <c r="DF79" s="54"/>
      <c r="DG79" s="54"/>
      <c r="DH79" s="54"/>
      <c r="DI79" s="54"/>
      <c r="DJ79" s="54"/>
      <c r="DK79" s="54"/>
      <c r="DL79" s="54"/>
      <c r="DM79" s="54"/>
      <c r="DN79" s="17"/>
      <c r="DO79" s="52"/>
      <c r="DP79" s="17"/>
      <c r="DQ79" s="44"/>
      <c r="DR79" s="44"/>
      <c r="DS79" s="44"/>
      <c r="DT79" s="44"/>
      <c r="DU79" s="44"/>
      <c r="DV79" s="44"/>
      <c r="DW79" s="44"/>
      <c r="DX79" s="44"/>
      <c r="DY79" s="44"/>
      <c r="DZ79" s="44"/>
      <c r="EA79" s="44"/>
      <c r="EB79" s="44"/>
      <c r="EC79" s="44"/>
      <c r="ED79" s="44"/>
      <c r="EE79" s="44"/>
      <c r="EF79" s="44"/>
      <c r="EG79" s="44"/>
      <c r="EH79" s="44"/>
      <c r="EI79" s="44"/>
      <c r="EJ79" s="49"/>
      <c r="EK79" s="38"/>
      <c r="EL79" s="37"/>
      <c r="EM79" s="50"/>
      <c r="EN79" s="50"/>
      <c r="EO79" s="50"/>
      <c r="EP79" s="50"/>
      <c r="EQ79" s="50"/>
      <c r="ER79" s="50"/>
      <c r="ES79" s="50"/>
      <c r="ET79" s="50"/>
      <c r="EU79" s="50"/>
      <c r="EV79" s="50"/>
      <c r="EW79" s="50"/>
      <c r="EX79" s="50"/>
      <c r="EY79" s="50"/>
      <c r="EZ79" s="50"/>
      <c r="FA79" s="50"/>
      <c r="FB79" s="50"/>
      <c r="FC79" s="50"/>
      <c r="FD79" s="50"/>
      <c r="FE79" s="50"/>
      <c r="FF79" s="37"/>
      <c r="FG79" s="31"/>
      <c r="FH79" s="35"/>
      <c r="FI79" s="32"/>
      <c r="FJ79" s="32"/>
      <c r="FK79" s="32"/>
      <c r="FL79" s="32"/>
      <c r="FM79" s="32"/>
      <c r="FN79" s="32"/>
      <c r="FO79" s="32"/>
      <c r="FP79" s="32"/>
      <c r="FQ79" s="32"/>
      <c r="FR79" s="32"/>
      <c r="FS79" s="32"/>
      <c r="FT79" s="32"/>
      <c r="FU79" s="32"/>
      <c r="FV79" s="32"/>
      <c r="FW79" s="32"/>
      <c r="FX79" s="32"/>
      <c r="FY79" s="32"/>
      <c r="FZ79" s="32"/>
      <c r="GA79" s="32"/>
      <c r="GB79" s="33"/>
      <c r="GC79" s="36"/>
      <c r="GD79" s="31"/>
      <c r="GE79" s="27"/>
      <c r="GF79" s="27"/>
      <c r="GG79" s="27"/>
      <c r="GH79" s="27"/>
      <c r="GI79" s="27"/>
      <c r="GJ79" s="27"/>
      <c r="GK79" s="27"/>
      <c r="GL79" s="27"/>
      <c r="GM79" s="27"/>
      <c r="GN79" s="27"/>
      <c r="GO79" s="27"/>
      <c r="GP79" s="27"/>
      <c r="GQ79" s="27"/>
      <c r="GR79" s="27"/>
      <c r="GS79" s="27"/>
      <c r="GT79" s="27"/>
      <c r="GU79" s="27"/>
      <c r="GV79" s="27"/>
      <c r="GW79" s="27"/>
      <c r="GX79" s="27"/>
      <c r="GY79" s="27"/>
      <c r="GZ79" s="27"/>
      <c r="HA79" s="27"/>
      <c r="HB79" s="27"/>
      <c r="HC79" s="27"/>
      <c r="HD79" s="27"/>
      <c r="HE79" s="27"/>
      <c r="HF79" s="27"/>
      <c r="HG79" s="39"/>
      <c r="HH79" s="46"/>
      <c r="HI79" s="45"/>
      <c r="HJ79" s="45"/>
      <c r="HK79" s="45"/>
      <c r="HL79" s="45"/>
      <c r="HM79" s="25"/>
      <c r="HN79" s="25"/>
      <c r="HO79" s="47"/>
      <c r="HP79" s="47"/>
      <c r="HQ79" s="47"/>
      <c r="HR79" s="47"/>
      <c r="HS79" s="48"/>
      <c r="HT79" s="48"/>
      <c r="HU79" s="48"/>
      <c r="HV79" s="48"/>
      <c r="HW79" s="48"/>
      <c r="HX79" s="48"/>
      <c r="HY79" s="48"/>
      <c r="HZ79" s="48"/>
      <c r="IA79" s="48"/>
      <c r="IB79" s="48"/>
      <c r="IC79" s="48"/>
      <c r="ID79" s="48"/>
      <c r="IE79" s="18"/>
      <c r="IF79" s="18"/>
      <c r="IG79" s="18"/>
      <c r="IH79" s="18"/>
      <c r="II79" s="18"/>
      <c r="IJ79" s="18"/>
      <c r="IK79" s="18"/>
      <c r="IL79" s="18"/>
      <c r="IM79" s="18"/>
      <c r="IN79" s="18"/>
      <c r="IO79" s="18"/>
      <c r="IP79" s="18"/>
      <c r="IQ79" s="18"/>
      <c r="IR79" s="18"/>
      <c r="IS79" s="18"/>
      <c r="IT79" s="18"/>
      <c r="IU79" s="18"/>
      <c r="IV79" s="18"/>
    </row>
    <row r="80" spans="1:256" ht="12">
      <c r="A80" s="21"/>
      <c r="B80" s="955" t="s">
        <v>2661</v>
      </c>
      <c r="G80" s="16"/>
      <c r="H80" s="28"/>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890"/>
      <c r="AM80" s="890"/>
      <c r="AN80" s="16"/>
      <c r="AO80" s="16"/>
      <c r="AP80" s="16"/>
      <c r="AQ80" s="16"/>
      <c r="AR80" s="16"/>
      <c r="AS80" s="16"/>
      <c r="AT80" s="16"/>
      <c r="AU80" s="16"/>
      <c r="AV80" s="16"/>
      <c r="AW80" s="16"/>
      <c r="AX80" s="16"/>
      <c r="AY80" s="16"/>
      <c r="AZ80" s="16"/>
      <c r="BA80" s="17"/>
      <c r="BB80" s="17"/>
      <c r="BC80" s="16"/>
      <c r="BD80" s="16"/>
      <c r="BE80" s="16"/>
      <c r="BF80" s="16"/>
      <c r="BG80" s="16"/>
      <c r="BH80" s="16"/>
      <c r="BI80" s="16"/>
      <c r="BJ80" s="16"/>
      <c r="BK80" s="16"/>
      <c r="BL80" s="16"/>
      <c r="BM80" s="16"/>
      <c r="BN80" s="16"/>
      <c r="BO80" s="16"/>
      <c r="BP80" s="16"/>
      <c r="BQ80" s="16"/>
      <c r="BR80" s="16"/>
      <c r="BS80" s="16"/>
      <c r="BT80" s="16"/>
      <c r="BU80" s="16"/>
      <c r="BV80" s="16"/>
      <c r="BW80" s="16"/>
      <c r="BX80" s="16"/>
      <c r="BY80" s="16"/>
      <c r="BZ80" s="16"/>
      <c r="CA80" s="16"/>
      <c r="CB80" s="16"/>
      <c r="CC80" s="16"/>
      <c r="CD80" s="16"/>
      <c r="CE80" s="16"/>
      <c r="CF80" s="16"/>
      <c r="CG80" s="16"/>
      <c r="CH80" s="16"/>
      <c r="CI80" s="16"/>
      <c r="CJ80" s="16"/>
      <c r="CK80" s="16"/>
      <c r="CL80" s="16"/>
      <c r="CM80" s="16"/>
      <c r="CN80" s="16"/>
      <c r="CO80" s="16"/>
      <c r="CP80" s="16"/>
      <c r="CQ80" s="16"/>
      <c r="CR80" s="16"/>
      <c r="CS80" s="16"/>
      <c r="CT80" s="16"/>
      <c r="CU80" s="54"/>
      <c r="CV80" s="54"/>
      <c r="CW80" s="54"/>
      <c r="CX80" s="54"/>
      <c r="CY80" s="54"/>
      <c r="CZ80" s="54"/>
      <c r="DA80" s="54"/>
      <c r="DB80" s="54"/>
      <c r="DC80" s="54"/>
      <c r="DD80" s="54"/>
      <c r="DE80" s="54"/>
      <c r="DF80" s="54"/>
      <c r="DG80" s="54"/>
      <c r="DH80" s="54"/>
      <c r="DI80" s="54"/>
      <c r="DJ80" s="54"/>
      <c r="DK80" s="54"/>
      <c r="DL80" s="54"/>
      <c r="DM80" s="54"/>
      <c r="DN80" s="17"/>
      <c r="DO80" s="52"/>
      <c r="DP80" s="17"/>
      <c r="DQ80" s="44"/>
      <c r="DR80" s="44"/>
      <c r="DS80" s="44"/>
      <c r="DT80" s="44"/>
      <c r="DU80" s="44"/>
      <c r="DV80" s="44"/>
      <c r="DW80" s="44"/>
      <c r="DX80" s="44"/>
      <c r="DY80" s="44"/>
      <c r="DZ80" s="44"/>
      <c r="EA80" s="44"/>
      <c r="EB80" s="44"/>
      <c r="EC80" s="44"/>
      <c r="ED80" s="44"/>
      <c r="EE80" s="44"/>
      <c r="EF80" s="44"/>
      <c r="EG80" s="44"/>
      <c r="EH80" s="44"/>
      <c r="EI80" s="44"/>
      <c r="EJ80" s="49"/>
      <c r="EK80" s="38"/>
      <c r="EL80" s="37"/>
      <c r="EM80" s="50"/>
      <c r="EN80" s="50"/>
      <c r="EO80" s="50"/>
      <c r="EP80" s="50"/>
      <c r="EQ80" s="50"/>
      <c r="ER80" s="50"/>
      <c r="ES80" s="50"/>
      <c r="ET80" s="50"/>
      <c r="EU80" s="50"/>
      <c r="EV80" s="50"/>
      <c r="EW80" s="50"/>
      <c r="EX80" s="50"/>
      <c r="EY80" s="50"/>
      <c r="EZ80" s="50"/>
      <c r="FA80" s="50"/>
      <c r="FB80" s="50"/>
      <c r="FC80" s="50"/>
      <c r="FD80" s="50"/>
      <c r="FE80" s="50"/>
      <c r="FF80" s="37"/>
      <c r="FG80" s="31"/>
      <c r="FH80" s="35"/>
      <c r="FI80" s="32"/>
      <c r="FJ80" s="32"/>
      <c r="FK80" s="32"/>
      <c r="FL80" s="32"/>
      <c r="FM80" s="32"/>
      <c r="FN80" s="32"/>
      <c r="FO80" s="32"/>
      <c r="FP80" s="32"/>
      <c r="FQ80" s="32"/>
      <c r="FR80" s="32"/>
      <c r="FS80" s="32"/>
      <c r="FT80" s="32"/>
      <c r="FU80" s="32"/>
      <c r="FV80" s="32"/>
      <c r="FW80" s="32"/>
      <c r="FX80" s="32"/>
      <c r="FY80" s="32"/>
      <c r="FZ80" s="32"/>
      <c r="GA80" s="32"/>
      <c r="GB80" s="33"/>
      <c r="GC80" s="36"/>
      <c r="GD80" s="31"/>
      <c r="GE80" s="27"/>
      <c r="GF80" s="27"/>
      <c r="GG80" s="27"/>
      <c r="GH80" s="27"/>
      <c r="GI80" s="27"/>
      <c r="GJ80" s="27"/>
      <c r="GK80" s="27"/>
      <c r="GL80" s="27"/>
      <c r="GM80" s="27"/>
      <c r="GN80" s="27"/>
      <c r="GO80" s="27"/>
      <c r="GP80" s="27"/>
      <c r="GQ80" s="27"/>
      <c r="GR80" s="27"/>
      <c r="GS80" s="27"/>
      <c r="GT80" s="27"/>
      <c r="GU80" s="27"/>
      <c r="GV80" s="27"/>
      <c r="GW80" s="27"/>
      <c r="GX80" s="27"/>
      <c r="GY80" s="27"/>
      <c r="GZ80" s="27"/>
      <c r="HA80" s="27"/>
      <c r="HB80" s="27"/>
      <c r="HC80" s="27"/>
      <c r="HD80" s="27"/>
      <c r="HE80" s="27"/>
      <c r="HF80" s="27"/>
      <c r="HG80" s="39"/>
      <c r="HH80" s="46"/>
      <c r="HI80" s="45"/>
      <c r="HJ80" s="45"/>
      <c r="HK80" s="45"/>
      <c r="HL80" s="45"/>
      <c r="HM80" s="25"/>
      <c r="HN80" s="25"/>
      <c r="HO80" s="47"/>
      <c r="HP80" s="47"/>
      <c r="HQ80" s="47"/>
      <c r="HR80" s="47"/>
      <c r="HS80" s="47"/>
      <c r="HT80" s="47"/>
      <c r="HU80" s="47"/>
      <c r="HV80" s="48"/>
      <c r="HW80" s="48"/>
      <c r="HX80" s="48"/>
      <c r="HY80" s="48"/>
      <c r="HZ80" s="48"/>
      <c r="IA80" s="48"/>
      <c r="IB80" s="48"/>
      <c r="IC80" s="48"/>
      <c r="ID80" s="48"/>
      <c r="IE80" s="18"/>
      <c r="IF80" s="18"/>
      <c r="IG80" s="18"/>
      <c r="IH80" s="18"/>
      <c r="II80" s="18"/>
      <c r="IJ80" s="18"/>
      <c r="IK80" s="18"/>
      <c r="IL80" s="18"/>
      <c r="IM80" s="18"/>
      <c r="IN80" s="18"/>
      <c r="IO80" s="18"/>
      <c r="IP80" s="18"/>
      <c r="IQ80" s="18"/>
      <c r="IR80" s="18"/>
      <c r="IS80" s="18"/>
      <c r="IT80" s="18"/>
      <c r="IU80" s="18"/>
      <c r="IV80" s="18"/>
    </row>
    <row r="81" spans="1:256" ht="12">
      <c r="A81" s="21"/>
      <c r="B81" s="955" t="s">
        <v>2662</v>
      </c>
      <c r="C81" s="952" t="s">
        <v>2688</v>
      </c>
      <c r="D81" s="952" t="s">
        <v>2689</v>
      </c>
      <c r="E81" s="952" t="s">
        <v>2690</v>
      </c>
      <c r="F81" s="952" t="s">
        <v>2691</v>
      </c>
      <c r="G81" s="16"/>
      <c r="H81" s="28"/>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890"/>
      <c r="AM81" s="890"/>
      <c r="AN81" s="16"/>
      <c r="AO81" s="16"/>
      <c r="AP81" s="16"/>
      <c r="AQ81" s="16"/>
      <c r="AR81" s="16"/>
      <c r="AS81" s="16"/>
      <c r="AT81" s="16"/>
      <c r="AU81" s="16"/>
      <c r="AV81" s="16"/>
      <c r="AW81" s="16"/>
      <c r="AX81" s="16"/>
      <c r="AY81" s="16"/>
      <c r="AZ81" s="16"/>
      <c r="BA81" s="17"/>
      <c r="BB81" s="17"/>
      <c r="BC81" s="16"/>
      <c r="BD81" s="16"/>
      <c r="BE81" s="16"/>
      <c r="BF81" s="16"/>
      <c r="BG81" s="16"/>
      <c r="BH81" s="16"/>
      <c r="BI81" s="16"/>
      <c r="BJ81" s="16"/>
      <c r="BK81" s="16"/>
      <c r="BL81" s="16"/>
      <c r="BM81" s="16"/>
      <c r="BN81" s="16"/>
      <c r="BO81" s="16"/>
      <c r="BP81" s="16"/>
      <c r="BQ81" s="16"/>
      <c r="BR81" s="16"/>
      <c r="BS81" s="16"/>
      <c r="BT81" s="16"/>
      <c r="BU81" s="16"/>
      <c r="BV81" s="16"/>
      <c r="BW81" s="16"/>
      <c r="BX81" s="16"/>
      <c r="BY81" s="16"/>
      <c r="BZ81" s="16"/>
      <c r="CA81" s="16"/>
      <c r="CB81" s="16"/>
      <c r="CC81" s="16"/>
      <c r="CD81" s="16"/>
      <c r="CE81" s="16"/>
      <c r="CF81" s="16"/>
      <c r="CG81" s="16"/>
      <c r="CH81" s="16"/>
      <c r="CI81" s="16"/>
      <c r="CJ81" s="16"/>
      <c r="CK81" s="16"/>
      <c r="CL81" s="16"/>
      <c r="CM81" s="16"/>
      <c r="CN81" s="16"/>
      <c r="CO81" s="16"/>
      <c r="CP81" s="16"/>
      <c r="CQ81" s="16"/>
      <c r="CR81" s="16"/>
      <c r="CS81" s="16"/>
      <c r="CT81" s="16"/>
      <c r="CU81" s="54"/>
      <c r="CV81" s="54"/>
      <c r="CW81" s="54"/>
      <c r="CX81" s="54"/>
      <c r="CY81" s="54"/>
      <c r="CZ81" s="54"/>
      <c r="DA81" s="54"/>
      <c r="DB81" s="54"/>
      <c r="DC81" s="54"/>
      <c r="DD81" s="54"/>
      <c r="DE81" s="54"/>
      <c r="DF81" s="54"/>
      <c r="DG81" s="54"/>
      <c r="DH81" s="54"/>
      <c r="DI81" s="54"/>
      <c r="DJ81" s="54"/>
      <c r="DK81" s="54"/>
      <c r="DL81" s="54"/>
      <c r="DM81" s="54"/>
      <c r="DN81" s="17"/>
      <c r="DO81" s="52"/>
      <c r="DP81" s="17"/>
      <c r="DQ81" s="44"/>
      <c r="DR81" s="44"/>
      <c r="DS81" s="44"/>
      <c r="DT81" s="44"/>
      <c r="DU81" s="44"/>
      <c r="DV81" s="44"/>
      <c r="DW81" s="44"/>
      <c r="DX81" s="44"/>
      <c r="DY81" s="44"/>
      <c r="DZ81" s="44"/>
      <c r="EA81" s="44"/>
      <c r="EB81" s="44"/>
      <c r="EC81" s="44"/>
      <c r="ED81" s="44"/>
      <c r="EE81" s="44"/>
      <c r="EF81" s="44"/>
      <c r="EG81" s="44"/>
      <c r="EH81" s="44"/>
      <c r="EI81" s="44"/>
      <c r="EJ81" s="49"/>
      <c r="EK81" s="38"/>
      <c r="EL81" s="37"/>
      <c r="EM81" s="50"/>
      <c r="EN81" s="50"/>
      <c r="EO81" s="50"/>
      <c r="EP81" s="50"/>
      <c r="EQ81" s="50"/>
      <c r="ER81" s="50"/>
      <c r="ES81" s="50"/>
      <c r="ET81" s="50"/>
      <c r="EU81" s="50"/>
      <c r="EV81" s="50"/>
      <c r="EW81" s="50"/>
      <c r="EX81" s="50"/>
      <c r="EY81" s="50"/>
      <c r="EZ81" s="50"/>
      <c r="FA81" s="50"/>
      <c r="FB81" s="50"/>
      <c r="FC81" s="50"/>
      <c r="FD81" s="50"/>
      <c r="FE81" s="50"/>
      <c r="FF81" s="37"/>
      <c r="FG81" s="31"/>
      <c r="FH81" s="31"/>
      <c r="FI81" s="32"/>
      <c r="FJ81" s="32"/>
      <c r="FK81" s="32"/>
      <c r="FL81" s="32"/>
      <c r="FM81" s="32"/>
      <c r="FN81" s="32"/>
      <c r="FO81" s="32"/>
      <c r="FP81" s="32"/>
      <c r="FQ81" s="32"/>
      <c r="FR81" s="32"/>
      <c r="FS81" s="32"/>
      <c r="FT81" s="32"/>
      <c r="FU81" s="32"/>
      <c r="FV81" s="32"/>
      <c r="FW81" s="32"/>
      <c r="FX81" s="32"/>
      <c r="FY81" s="32"/>
      <c r="FZ81" s="32"/>
      <c r="GA81" s="32"/>
      <c r="GB81" s="33"/>
      <c r="GC81" s="36"/>
      <c r="GD81" s="31"/>
      <c r="GE81" s="27"/>
      <c r="GF81" s="27"/>
      <c r="GG81" s="27"/>
      <c r="GH81" s="27"/>
      <c r="GI81" s="27"/>
      <c r="GJ81" s="27"/>
      <c r="GK81" s="27"/>
      <c r="GL81" s="27"/>
      <c r="GM81" s="27"/>
      <c r="GN81" s="27"/>
      <c r="GO81" s="27"/>
      <c r="GP81" s="27"/>
      <c r="GQ81" s="27"/>
      <c r="GR81" s="27"/>
      <c r="GS81" s="27"/>
      <c r="GT81" s="27"/>
      <c r="GU81" s="27"/>
      <c r="GV81" s="27"/>
      <c r="GW81" s="27"/>
      <c r="GX81" s="27"/>
      <c r="GY81" s="27"/>
      <c r="GZ81" s="27"/>
      <c r="HA81" s="27"/>
      <c r="HB81" s="27"/>
      <c r="HC81" s="27"/>
      <c r="HD81" s="27"/>
      <c r="HE81" s="27"/>
      <c r="HF81" s="27"/>
      <c r="HG81" s="39"/>
      <c r="HH81" s="46"/>
      <c r="HI81" s="45"/>
      <c r="HJ81" s="45"/>
      <c r="HK81" s="45"/>
      <c r="HL81" s="45"/>
      <c r="HM81" s="25"/>
      <c r="HN81" s="25"/>
      <c r="HO81" s="47"/>
      <c r="HP81" s="47"/>
      <c r="HQ81" s="47"/>
      <c r="HR81" s="47"/>
      <c r="HS81" s="47"/>
      <c r="HT81" s="47"/>
      <c r="HU81" s="47"/>
      <c r="HV81" s="48"/>
      <c r="HW81" s="48"/>
      <c r="HX81" s="48"/>
      <c r="HY81" s="48"/>
      <c r="HZ81" s="48"/>
      <c r="IA81" s="48"/>
      <c r="IB81" s="48"/>
      <c r="IC81" s="48"/>
      <c r="ID81" s="48"/>
      <c r="IE81" s="18"/>
      <c r="IF81" s="18"/>
      <c r="IG81" s="18"/>
      <c r="IH81" s="18"/>
      <c r="II81" s="18"/>
      <c r="IJ81" s="18"/>
      <c r="IK81" s="18"/>
      <c r="IL81" s="18"/>
      <c r="IM81" s="18"/>
      <c r="IN81" s="18"/>
      <c r="IO81" s="18"/>
      <c r="IP81" s="18"/>
      <c r="IQ81" s="18"/>
      <c r="IR81" s="18"/>
      <c r="IS81" s="18"/>
      <c r="IT81" s="18"/>
      <c r="IU81" s="18"/>
      <c r="IV81" s="18"/>
    </row>
    <row r="82" spans="1:256" ht="22.5">
      <c r="A82" s="21"/>
      <c r="B82" s="955" t="s">
        <v>2664</v>
      </c>
      <c r="C82" s="16" t="s">
        <v>2651</v>
      </c>
      <c r="D82" s="16" t="s">
        <v>2661</v>
      </c>
      <c r="E82" s="16" t="s">
        <v>2669</v>
      </c>
      <c r="F82" s="16" t="s">
        <v>2676</v>
      </c>
      <c r="G82" s="16"/>
      <c r="H82" s="28"/>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890"/>
      <c r="AM82" s="890"/>
      <c r="AN82" s="16"/>
      <c r="AO82" s="16"/>
      <c r="AP82" s="16"/>
      <c r="AQ82" s="16"/>
      <c r="AR82" s="16"/>
      <c r="AS82" s="16"/>
      <c r="AT82" s="16"/>
      <c r="AU82" s="16"/>
      <c r="AV82" s="16"/>
      <c r="AW82" s="16"/>
      <c r="AX82" s="16"/>
      <c r="AY82" s="16"/>
      <c r="AZ82" s="16"/>
      <c r="BA82" s="17"/>
      <c r="BB82" s="17"/>
      <c r="BC82" s="16"/>
      <c r="BD82" s="16"/>
      <c r="BE82" s="16"/>
      <c r="BF82" s="16"/>
      <c r="BG82" s="16"/>
      <c r="BH82" s="16"/>
      <c r="BI82" s="16"/>
      <c r="BJ82" s="16"/>
      <c r="BK82" s="16"/>
      <c r="BL82" s="16"/>
      <c r="BM82" s="16"/>
      <c r="BN82" s="16"/>
      <c r="BO82" s="16"/>
      <c r="BP82" s="16"/>
      <c r="BQ82" s="16"/>
      <c r="BR82" s="16"/>
      <c r="BS82" s="16"/>
      <c r="BT82" s="16"/>
      <c r="BU82" s="16"/>
      <c r="BV82" s="16"/>
      <c r="BW82" s="16"/>
      <c r="BX82" s="16"/>
      <c r="BY82" s="16"/>
      <c r="BZ82" s="16"/>
      <c r="CA82" s="16"/>
      <c r="CB82" s="16"/>
      <c r="CC82" s="16"/>
      <c r="CD82" s="16"/>
      <c r="CE82" s="16"/>
      <c r="CF82" s="16"/>
      <c r="CG82" s="16"/>
      <c r="CH82" s="16"/>
      <c r="CI82" s="16"/>
      <c r="CJ82" s="16"/>
      <c r="CK82" s="16"/>
      <c r="CL82" s="16"/>
      <c r="CM82" s="16"/>
      <c r="CN82" s="16"/>
      <c r="CO82" s="16"/>
      <c r="CP82" s="16"/>
      <c r="CQ82" s="16"/>
      <c r="CR82" s="16"/>
      <c r="CS82" s="16"/>
      <c r="CT82" s="16"/>
      <c r="CU82" s="54"/>
      <c r="CV82" s="54"/>
      <c r="CW82" s="54"/>
      <c r="CX82" s="54"/>
      <c r="CY82" s="54"/>
      <c r="CZ82" s="54"/>
      <c r="DA82" s="54"/>
      <c r="DB82" s="54"/>
      <c r="DC82" s="54"/>
      <c r="DD82" s="54"/>
      <c r="DE82" s="54"/>
      <c r="DF82" s="54"/>
      <c r="DG82" s="54"/>
      <c r="DH82" s="54"/>
      <c r="DI82" s="54"/>
      <c r="DJ82" s="54"/>
      <c r="DK82" s="54"/>
      <c r="DL82" s="54"/>
      <c r="DM82" s="54"/>
      <c r="DN82" s="17"/>
      <c r="DO82" s="52"/>
      <c r="DP82" s="17"/>
      <c r="DQ82" s="44"/>
      <c r="DR82" s="44"/>
      <c r="DS82" s="44"/>
      <c r="DT82" s="44"/>
      <c r="DU82" s="44"/>
      <c r="DV82" s="44"/>
      <c r="DW82" s="44"/>
      <c r="DX82" s="44"/>
      <c r="DY82" s="44"/>
      <c r="DZ82" s="44"/>
      <c r="EA82" s="44"/>
      <c r="EB82" s="44"/>
      <c r="EC82" s="44"/>
      <c r="ED82" s="44"/>
      <c r="EE82" s="44"/>
      <c r="EF82" s="44"/>
      <c r="EG82" s="44"/>
      <c r="EH82" s="44"/>
      <c r="EI82" s="44"/>
      <c r="EJ82" s="49"/>
      <c r="EK82" s="38"/>
      <c r="EL82" s="37"/>
      <c r="EM82" s="50"/>
      <c r="EN82" s="50"/>
      <c r="EO82" s="50"/>
      <c r="EP82" s="50"/>
      <c r="EQ82" s="50"/>
      <c r="ER82" s="50"/>
      <c r="ES82" s="50"/>
      <c r="ET82" s="50"/>
      <c r="EU82" s="50"/>
      <c r="EV82" s="50"/>
      <c r="EW82" s="50"/>
      <c r="EX82" s="50"/>
      <c r="EY82" s="50"/>
      <c r="EZ82" s="50"/>
      <c r="FA82" s="50"/>
      <c r="FB82" s="50"/>
      <c r="FC82" s="50"/>
      <c r="FD82" s="50"/>
      <c r="FE82" s="50"/>
      <c r="FF82" s="37"/>
      <c r="FG82" s="31"/>
      <c r="FH82" s="35"/>
      <c r="FI82" s="32"/>
      <c r="FJ82" s="32"/>
      <c r="FK82" s="32"/>
      <c r="FL82" s="32"/>
      <c r="FM82" s="32"/>
      <c r="FN82" s="32"/>
      <c r="FO82" s="32"/>
      <c r="FP82" s="32"/>
      <c r="FQ82" s="32"/>
      <c r="FR82" s="32"/>
      <c r="FS82" s="32"/>
      <c r="FT82" s="32"/>
      <c r="FU82" s="32"/>
      <c r="FV82" s="32"/>
      <c r="FW82" s="32"/>
      <c r="FX82" s="32"/>
      <c r="FY82" s="32"/>
      <c r="FZ82" s="32"/>
      <c r="GA82" s="32"/>
      <c r="GB82" s="33"/>
      <c r="GC82" s="36"/>
      <c r="GD82" s="31"/>
      <c r="GE82" s="27"/>
      <c r="GF82" s="27"/>
      <c r="GG82" s="27"/>
      <c r="GH82" s="27"/>
      <c r="GI82" s="27"/>
      <c r="GJ82" s="27"/>
      <c r="GK82" s="27"/>
      <c r="GL82" s="27"/>
      <c r="GM82" s="27"/>
      <c r="GN82" s="27"/>
      <c r="GO82" s="27"/>
      <c r="GP82" s="27"/>
      <c r="GQ82" s="27"/>
      <c r="GR82" s="27"/>
      <c r="GS82" s="27"/>
      <c r="GT82" s="27"/>
      <c r="GU82" s="27"/>
      <c r="GV82" s="27"/>
      <c r="GW82" s="27"/>
      <c r="GX82" s="27"/>
      <c r="GY82" s="27"/>
      <c r="GZ82" s="27"/>
      <c r="HA82" s="27"/>
      <c r="HB82" s="27"/>
      <c r="HC82" s="27"/>
      <c r="HD82" s="27"/>
      <c r="HE82" s="27"/>
      <c r="HF82" s="27"/>
      <c r="HG82" s="39"/>
      <c r="HH82" s="46"/>
      <c r="HI82" s="45"/>
      <c r="HJ82" s="45"/>
      <c r="HK82" s="45"/>
      <c r="HL82" s="45"/>
      <c r="HM82" s="25"/>
      <c r="HN82" s="25"/>
      <c r="HO82" s="47"/>
      <c r="HP82" s="47"/>
      <c r="HQ82" s="47"/>
      <c r="HR82" s="48"/>
      <c r="HS82" s="48"/>
      <c r="HT82" s="48"/>
      <c r="HU82" s="48"/>
      <c r="HV82" s="48"/>
      <c r="HW82" s="48"/>
      <c r="HX82" s="48"/>
      <c r="HY82" s="48"/>
      <c r="HZ82" s="48"/>
      <c r="IA82" s="48"/>
      <c r="IB82" s="48"/>
      <c r="IC82" s="48"/>
      <c r="ID82" s="48"/>
      <c r="IE82" s="18"/>
      <c r="IF82" s="18"/>
      <c r="IG82" s="18"/>
      <c r="IH82" s="18"/>
      <c r="II82" s="18"/>
      <c r="IJ82" s="18"/>
      <c r="IK82" s="18"/>
      <c r="IL82" s="18"/>
      <c r="IM82" s="18"/>
      <c r="IN82" s="18"/>
      <c r="IO82" s="18"/>
      <c r="IP82" s="18"/>
      <c r="IQ82" s="18"/>
      <c r="IR82" s="18"/>
      <c r="IS82" s="18"/>
      <c r="IT82" s="18"/>
      <c r="IU82" s="18"/>
      <c r="IV82" s="18"/>
    </row>
    <row r="83" spans="1:256" ht="22.5">
      <c r="A83" s="21"/>
      <c r="B83" s="955" t="s">
        <v>2665</v>
      </c>
      <c r="C83" s="16" t="s">
        <v>2652</v>
      </c>
      <c r="D83" s="16" t="s">
        <v>2662</v>
      </c>
      <c r="E83" s="16" t="s">
        <v>2670</v>
      </c>
      <c r="F83" s="16" t="s">
        <v>2677</v>
      </c>
      <c r="G83" s="16"/>
      <c r="H83" s="16"/>
      <c r="I83" s="16"/>
      <c r="J83" s="16"/>
      <c r="K83" s="16"/>
      <c r="L83" s="1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890"/>
      <c r="AM83" s="890"/>
      <c r="AN83" s="16"/>
      <c r="AO83" s="16"/>
      <c r="AP83" s="16"/>
      <c r="AQ83" s="16"/>
      <c r="AR83" s="16"/>
      <c r="AS83" s="16"/>
      <c r="AT83" s="16"/>
      <c r="AU83" s="16"/>
      <c r="AV83" s="16"/>
      <c r="AW83" s="16"/>
      <c r="AX83" s="16"/>
      <c r="AY83" s="16"/>
      <c r="AZ83" s="16"/>
      <c r="BA83" s="17"/>
      <c r="BB83" s="17"/>
      <c r="BC83" s="16"/>
      <c r="BD83" s="16"/>
      <c r="BE83" s="16"/>
      <c r="BF83" s="16"/>
      <c r="BG83" s="16"/>
      <c r="BH83" s="16"/>
      <c r="BI83" s="16"/>
      <c r="BJ83" s="16"/>
      <c r="BK83" s="16"/>
      <c r="BL83" s="16"/>
      <c r="BM83" s="16"/>
      <c r="BN83" s="16"/>
      <c r="BO83" s="16"/>
      <c r="BP83" s="16"/>
      <c r="BQ83" s="16"/>
      <c r="BR83" s="16"/>
      <c r="BS83" s="16"/>
      <c r="BT83" s="16"/>
      <c r="BU83" s="16"/>
      <c r="BV83" s="16"/>
      <c r="BW83" s="16"/>
      <c r="BX83" s="16"/>
      <c r="BY83" s="16"/>
      <c r="BZ83" s="16"/>
      <c r="CA83" s="16"/>
      <c r="CB83" s="16"/>
      <c r="CC83" s="16"/>
      <c r="CD83" s="16"/>
      <c r="CE83" s="16"/>
      <c r="CF83" s="16"/>
      <c r="CG83" s="16"/>
      <c r="CH83" s="16"/>
      <c r="CI83" s="16"/>
      <c r="CJ83" s="16"/>
      <c r="CK83" s="16"/>
      <c r="CL83" s="16"/>
      <c r="CM83" s="16"/>
      <c r="CN83" s="16"/>
      <c r="CO83" s="16"/>
      <c r="CP83" s="16"/>
      <c r="CQ83" s="16"/>
      <c r="CR83" s="16"/>
      <c r="CS83" s="16"/>
      <c r="CT83" s="16"/>
      <c r="CU83" s="54"/>
      <c r="CV83" s="54"/>
      <c r="CW83" s="54"/>
      <c r="CX83" s="54"/>
      <c r="CY83" s="54"/>
      <c r="CZ83" s="54"/>
      <c r="DA83" s="54"/>
      <c r="DB83" s="54"/>
      <c r="DC83" s="54"/>
      <c r="DD83" s="54"/>
      <c r="DE83" s="54"/>
      <c r="DF83" s="54"/>
      <c r="DG83" s="54"/>
      <c r="DH83" s="54"/>
      <c r="DI83" s="54"/>
      <c r="DJ83" s="54"/>
      <c r="DK83" s="54"/>
      <c r="DL83" s="54"/>
      <c r="DM83" s="54"/>
      <c r="DN83" s="54"/>
      <c r="DO83" s="52"/>
      <c r="DP83" s="17"/>
      <c r="DQ83" s="44"/>
      <c r="DR83" s="44"/>
      <c r="DS83" s="44"/>
      <c r="DT83" s="44"/>
      <c r="DU83" s="44"/>
      <c r="DV83" s="44"/>
      <c r="DW83" s="44"/>
      <c r="DX83" s="44"/>
      <c r="DY83" s="44"/>
      <c r="DZ83" s="44"/>
      <c r="EA83" s="44"/>
      <c r="EB83" s="44"/>
      <c r="EC83" s="44"/>
      <c r="ED83" s="44"/>
      <c r="EE83" s="44"/>
      <c r="EF83" s="44"/>
      <c r="EG83" s="44"/>
      <c r="EH83" s="44"/>
      <c r="EI83" s="44"/>
      <c r="EJ83" s="49"/>
      <c r="EK83" s="38"/>
      <c r="EL83" s="37"/>
      <c r="EM83" s="50"/>
      <c r="EN83" s="50"/>
      <c r="EO83" s="50"/>
      <c r="EP83" s="50"/>
      <c r="EQ83" s="50"/>
      <c r="ER83" s="50"/>
      <c r="ES83" s="50"/>
      <c r="ET83" s="50"/>
      <c r="EU83" s="50"/>
      <c r="EV83" s="50"/>
      <c r="EW83" s="50"/>
      <c r="EX83" s="50"/>
      <c r="EY83" s="50"/>
      <c r="EZ83" s="50"/>
      <c r="FA83" s="50"/>
      <c r="FB83" s="50"/>
      <c r="FC83" s="50"/>
      <c r="FD83" s="50"/>
      <c r="FE83" s="50"/>
      <c r="FF83" s="37"/>
      <c r="FG83" s="31"/>
      <c r="FH83" s="35"/>
      <c r="FI83" s="32"/>
      <c r="FJ83" s="32"/>
      <c r="FK83" s="32"/>
      <c r="FL83" s="32"/>
      <c r="FM83" s="32"/>
      <c r="FN83" s="32"/>
      <c r="FO83" s="32"/>
      <c r="FP83" s="32"/>
      <c r="FQ83" s="32"/>
      <c r="FR83" s="32"/>
      <c r="FS83" s="32"/>
      <c r="FT83" s="32"/>
      <c r="FU83" s="32"/>
      <c r="FV83" s="32"/>
      <c r="FW83" s="32"/>
      <c r="FX83" s="32"/>
      <c r="FY83" s="32"/>
      <c r="FZ83" s="32"/>
      <c r="GA83" s="32"/>
      <c r="GB83" s="33"/>
      <c r="GC83" s="36"/>
      <c r="GD83" s="31"/>
      <c r="GE83" s="27"/>
      <c r="GF83" s="27"/>
      <c r="GG83" s="27"/>
      <c r="GH83" s="27"/>
      <c r="GI83" s="27"/>
      <c r="GJ83" s="27"/>
      <c r="GK83" s="27"/>
      <c r="GL83" s="27"/>
      <c r="GM83" s="27"/>
      <c r="GN83" s="27"/>
      <c r="GO83" s="27"/>
      <c r="GP83" s="27"/>
      <c r="GQ83" s="27"/>
      <c r="GR83" s="27"/>
      <c r="GS83" s="27"/>
      <c r="GT83" s="27"/>
      <c r="GU83" s="27"/>
      <c r="GV83" s="27"/>
      <c r="GW83" s="27"/>
      <c r="GX83" s="27"/>
      <c r="GY83" s="27"/>
      <c r="GZ83" s="27"/>
      <c r="HA83" s="27"/>
      <c r="HB83" s="27"/>
      <c r="HC83" s="27"/>
      <c r="HD83" s="27"/>
      <c r="HE83" s="27"/>
      <c r="HF83" s="27"/>
      <c r="HG83" s="39"/>
      <c r="HH83" s="46"/>
      <c r="HI83" s="45"/>
      <c r="HJ83" s="45"/>
      <c r="HK83" s="45"/>
      <c r="HL83" s="45"/>
      <c r="HM83" s="25"/>
      <c r="HN83" s="25"/>
      <c r="HO83" s="47"/>
      <c r="HP83" s="47"/>
      <c r="HQ83" s="47"/>
      <c r="HR83" s="47"/>
      <c r="HS83" s="47"/>
      <c r="HT83" s="47"/>
      <c r="HU83" s="47"/>
      <c r="HV83" s="47"/>
      <c r="HW83" s="47"/>
      <c r="HX83" s="47"/>
      <c r="HY83" s="47"/>
      <c r="HZ83" s="47"/>
      <c r="IA83" s="47"/>
      <c r="IB83" s="47"/>
      <c r="IC83" s="47"/>
      <c r="ID83" s="47"/>
      <c r="IE83" s="47"/>
      <c r="IF83" s="47"/>
      <c r="IG83" s="18"/>
      <c r="IH83" s="18"/>
      <c r="II83" s="18"/>
      <c r="IJ83" s="18"/>
      <c r="IK83" s="18"/>
      <c r="IL83" s="18"/>
      <c r="IM83" s="18"/>
      <c r="IN83" s="18"/>
      <c r="IO83" s="18"/>
      <c r="IP83" s="18"/>
      <c r="IQ83" s="18"/>
      <c r="IR83" s="18"/>
      <c r="IS83" s="18"/>
      <c r="IT83" s="18"/>
      <c r="IU83" s="18"/>
      <c r="IV83" s="18"/>
    </row>
    <row r="84" spans="1:256" ht="22.5">
      <c r="A84" s="21"/>
      <c r="B84" s="955" t="s">
        <v>2666</v>
      </c>
      <c r="C84" s="16" t="s">
        <v>2653</v>
      </c>
      <c r="D84" s="16" t="s">
        <v>2794</v>
      </c>
      <c r="E84" s="16" t="s">
        <v>2671</v>
      </c>
      <c r="F84" s="16" t="s">
        <v>2678</v>
      </c>
      <c r="G84" s="16"/>
      <c r="H84" s="16"/>
      <c r="I84" s="16"/>
      <c r="J84" s="16"/>
      <c r="K84" s="16"/>
      <c r="L84" s="16"/>
      <c r="M84" s="16"/>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890"/>
      <c r="AM84" s="890"/>
      <c r="AN84" s="16"/>
      <c r="AO84" s="16"/>
      <c r="AP84" s="16"/>
      <c r="AQ84" s="16"/>
      <c r="AR84" s="16"/>
      <c r="AS84" s="16"/>
      <c r="AT84" s="16"/>
      <c r="AU84" s="16"/>
      <c r="AV84" s="16"/>
      <c r="AW84" s="16"/>
      <c r="AX84" s="16"/>
      <c r="AY84" s="16"/>
      <c r="AZ84" s="16"/>
      <c r="BA84" s="17"/>
      <c r="BB84" s="17"/>
      <c r="BC84" s="16"/>
      <c r="BD84" s="16"/>
      <c r="BE84" s="16"/>
      <c r="BF84" s="16"/>
      <c r="BG84" s="16"/>
      <c r="BH84" s="16"/>
      <c r="BI84" s="16"/>
      <c r="BJ84" s="16"/>
      <c r="BK84" s="16"/>
      <c r="BL84" s="16"/>
      <c r="BM84" s="16"/>
      <c r="BN84" s="16"/>
      <c r="BO84" s="16"/>
      <c r="BP84" s="16"/>
      <c r="BQ84" s="16"/>
      <c r="BR84" s="16"/>
      <c r="BS84" s="16"/>
      <c r="BT84" s="16"/>
      <c r="BU84" s="16"/>
      <c r="BV84" s="16"/>
      <c r="BW84" s="16"/>
      <c r="BX84" s="16"/>
      <c r="BY84" s="16"/>
      <c r="BZ84" s="16"/>
      <c r="CA84" s="16"/>
      <c r="CB84" s="16"/>
      <c r="CC84" s="16"/>
      <c r="CD84" s="16"/>
      <c r="CE84" s="16"/>
      <c r="CF84" s="16"/>
      <c r="CG84" s="16"/>
      <c r="CH84" s="16"/>
      <c r="CI84" s="16"/>
      <c r="CJ84" s="16"/>
      <c r="CK84" s="16"/>
      <c r="CL84" s="16"/>
      <c r="CM84" s="16"/>
      <c r="CN84" s="16"/>
      <c r="CO84" s="16"/>
      <c r="CP84" s="16"/>
      <c r="CQ84" s="16"/>
      <c r="CR84" s="16"/>
      <c r="CS84" s="16"/>
      <c r="CT84" s="16"/>
      <c r="CU84" s="54"/>
      <c r="CV84" s="54"/>
      <c r="CW84" s="54"/>
      <c r="CX84" s="54"/>
      <c r="CY84" s="54"/>
      <c r="CZ84" s="54"/>
      <c r="DA84" s="54"/>
      <c r="DB84" s="54"/>
      <c r="DC84" s="54"/>
      <c r="DD84" s="54"/>
      <c r="DE84" s="54"/>
      <c r="DF84" s="54"/>
      <c r="DG84" s="54"/>
      <c r="DH84" s="54"/>
      <c r="DI84" s="54"/>
      <c r="DJ84" s="54"/>
      <c r="DK84" s="54"/>
      <c r="DL84" s="54"/>
      <c r="DM84" s="54"/>
      <c r="DN84" s="17"/>
      <c r="DO84" s="52"/>
      <c r="DP84" s="17"/>
      <c r="DQ84" s="44"/>
      <c r="DR84" s="44"/>
      <c r="DS84" s="44"/>
      <c r="DT84" s="44"/>
      <c r="DU84" s="44"/>
      <c r="DV84" s="44"/>
      <c r="DW84" s="44"/>
      <c r="DX84" s="44"/>
      <c r="DY84" s="44"/>
      <c r="DZ84" s="44"/>
      <c r="EA84" s="44"/>
      <c r="EB84" s="44"/>
      <c r="EC84" s="44"/>
      <c r="ED84" s="44"/>
      <c r="EE84" s="44"/>
      <c r="EF84" s="44"/>
      <c r="EG84" s="44"/>
      <c r="EH84" s="44"/>
      <c r="EI84" s="44"/>
      <c r="EJ84" s="49"/>
      <c r="EK84" s="38"/>
      <c r="EL84" s="37"/>
      <c r="EM84" s="50"/>
      <c r="EN84" s="50"/>
      <c r="EO84" s="50"/>
      <c r="EP84" s="50"/>
      <c r="EQ84" s="50"/>
      <c r="ER84" s="50"/>
      <c r="ES84" s="50"/>
      <c r="ET84" s="50"/>
      <c r="EU84" s="50"/>
      <c r="EV84" s="50"/>
      <c r="EW84" s="50"/>
      <c r="EX84" s="50"/>
      <c r="EY84" s="50"/>
      <c r="EZ84" s="50"/>
      <c r="FA84" s="50"/>
      <c r="FB84" s="50"/>
      <c r="FC84" s="50"/>
      <c r="FD84" s="50"/>
      <c r="FE84" s="50"/>
      <c r="FF84" s="37"/>
      <c r="FG84" s="31"/>
      <c r="FH84" s="35"/>
      <c r="FI84" s="32"/>
      <c r="FJ84" s="32"/>
      <c r="FK84" s="32"/>
      <c r="FL84" s="32"/>
      <c r="FM84" s="32"/>
      <c r="FN84" s="32"/>
      <c r="FO84" s="32"/>
      <c r="FP84" s="32"/>
      <c r="FQ84" s="32"/>
      <c r="FR84" s="32"/>
      <c r="FS84" s="32"/>
      <c r="FT84" s="32"/>
      <c r="FU84" s="32"/>
      <c r="FV84" s="32"/>
      <c r="FW84" s="32"/>
      <c r="FX84" s="32"/>
      <c r="FY84" s="32"/>
      <c r="FZ84" s="32"/>
      <c r="GA84" s="32"/>
      <c r="GB84" s="33"/>
      <c r="GC84" s="36"/>
      <c r="GD84" s="31"/>
      <c r="GE84" s="27"/>
      <c r="GF84" s="27"/>
      <c r="GG84" s="27"/>
      <c r="GH84" s="27"/>
      <c r="GI84" s="27"/>
      <c r="GJ84" s="27"/>
      <c r="GK84" s="27"/>
      <c r="GL84" s="27"/>
      <c r="GM84" s="27"/>
      <c r="GN84" s="27"/>
      <c r="GO84" s="27"/>
      <c r="GP84" s="27"/>
      <c r="GQ84" s="27"/>
      <c r="GR84" s="27"/>
      <c r="GS84" s="27"/>
      <c r="GT84" s="27"/>
      <c r="GU84" s="27"/>
      <c r="GV84" s="27"/>
      <c r="GW84" s="27"/>
      <c r="GX84" s="27"/>
      <c r="GY84" s="27"/>
      <c r="GZ84" s="27"/>
      <c r="HA84" s="27"/>
      <c r="HB84" s="27"/>
      <c r="HC84" s="27"/>
      <c r="HD84" s="27"/>
      <c r="HE84" s="27"/>
      <c r="HF84" s="27"/>
      <c r="HG84" s="39"/>
      <c r="HH84" s="46"/>
      <c r="HI84" s="45"/>
      <c r="HJ84" s="45"/>
      <c r="HK84" s="45"/>
      <c r="HL84" s="45"/>
      <c r="HM84" s="25"/>
      <c r="HN84" s="25"/>
      <c r="HO84" s="47"/>
      <c r="HP84" s="47"/>
      <c r="HQ84" s="48"/>
      <c r="HR84" s="48"/>
      <c r="HS84" s="48"/>
      <c r="HT84" s="48"/>
      <c r="HU84" s="48"/>
      <c r="HV84" s="48"/>
      <c r="HW84" s="48"/>
      <c r="HX84" s="48"/>
      <c r="HY84" s="48"/>
      <c r="HZ84" s="48"/>
      <c r="IA84" s="48"/>
      <c r="IB84" s="48"/>
      <c r="IC84" s="48"/>
      <c r="ID84" s="48"/>
      <c r="IE84" s="18"/>
      <c r="IF84" s="18"/>
      <c r="IG84" s="18"/>
      <c r="IH84" s="18"/>
      <c r="II84" s="18"/>
      <c r="IJ84" s="18"/>
      <c r="IK84" s="18"/>
      <c r="IL84" s="18"/>
      <c r="IM84" s="18"/>
      <c r="IN84" s="18"/>
      <c r="IO84" s="18"/>
      <c r="IP84" s="18"/>
      <c r="IQ84" s="18"/>
      <c r="IR84" s="18"/>
      <c r="IS84" s="18"/>
      <c r="IT84" s="18"/>
      <c r="IU84" s="18"/>
      <c r="IV84" s="18"/>
    </row>
    <row r="85" spans="1:256" ht="33.75">
      <c r="A85" s="21"/>
      <c r="B85" s="955" t="s">
        <v>2667</v>
      </c>
      <c r="C85" s="16" t="s">
        <v>2654</v>
      </c>
      <c r="D85" s="16" t="s">
        <v>2664</v>
      </c>
      <c r="E85" s="16" t="s">
        <v>2672</v>
      </c>
      <c r="F85" s="16" t="s">
        <v>2679</v>
      </c>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890"/>
      <c r="AM85" s="890"/>
      <c r="AN85" s="16"/>
      <c r="AO85" s="16"/>
      <c r="AP85" s="16"/>
      <c r="AQ85" s="16"/>
      <c r="AR85" s="16"/>
      <c r="AS85" s="16"/>
      <c r="AT85" s="16"/>
      <c r="AU85" s="16"/>
      <c r="AV85" s="16"/>
      <c r="AW85" s="16"/>
      <c r="AX85" s="16"/>
      <c r="AY85" s="16"/>
      <c r="AZ85" s="16"/>
      <c r="BA85" s="17"/>
      <c r="BB85" s="17"/>
      <c r="BC85" s="16"/>
      <c r="BD85" s="16"/>
      <c r="BE85" s="16"/>
      <c r="BF85" s="16"/>
      <c r="BG85" s="16"/>
      <c r="BH85" s="16"/>
      <c r="BI85" s="16"/>
      <c r="BJ85" s="16"/>
      <c r="BK85" s="16"/>
      <c r="BL85" s="16"/>
      <c r="BM85" s="16"/>
      <c r="BN85" s="16"/>
      <c r="BO85" s="16"/>
      <c r="BP85" s="16"/>
      <c r="BQ85" s="16"/>
      <c r="BR85" s="16"/>
      <c r="BS85" s="16"/>
      <c r="BT85" s="16"/>
      <c r="BU85" s="16"/>
      <c r="BV85" s="16"/>
      <c r="BW85" s="16"/>
      <c r="BX85" s="16"/>
      <c r="BY85" s="16"/>
      <c r="BZ85" s="16"/>
      <c r="CA85" s="16"/>
      <c r="CB85" s="16"/>
      <c r="CC85" s="16"/>
      <c r="CD85" s="16"/>
      <c r="CE85" s="16"/>
      <c r="CF85" s="16"/>
      <c r="CG85" s="16"/>
      <c r="CH85" s="16"/>
      <c r="CI85" s="16"/>
      <c r="CJ85" s="16"/>
      <c r="CK85" s="16"/>
      <c r="CL85" s="16"/>
      <c r="CM85" s="16"/>
      <c r="CN85" s="16"/>
      <c r="CO85" s="16"/>
      <c r="CP85" s="16"/>
      <c r="CQ85" s="16"/>
      <c r="CR85" s="16"/>
      <c r="CS85" s="16"/>
      <c r="CT85" s="16"/>
      <c r="CU85" s="54"/>
      <c r="CV85" s="54"/>
      <c r="CW85" s="54"/>
      <c r="CX85" s="54"/>
      <c r="CY85" s="54"/>
      <c r="CZ85" s="54"/>
      <c r="DA85" s="54"/>
      <c r="DB85" s="54"/>
      <c r="DC85" s="54"/>
      <c r="DD85" s="54"/>
      <c r="DE85" s="54"/>
      <c r="DF85" s="54"/>
      <c r="DG85" s="54"/>
      <c r="DH85" s="54"/>
      <c r="DI85" s="54"/>
      <c r="DJ85" s="54"/>
      <c r="DK85" s="54"/>
      <c r="DL85" s="54"/>
      <c r="DM85" s="54"/>
      <c r="DN85" s="17"/>
      <c r="DO85" s="52"/>
      <c r="DP85" s="17"/>
      <c r="DQ85" s="44"/>
      <c r="DR85" s="44"/>
      <c r="DS85" s="44"/>
      <c r="DT85" s="44"/>
      <c r="DU85" s="44"/>
      <c r="DV85" s="44"/>
      <c r="DW85" s="44"/>
      <c r="DX85" s="44"/>
      <c r="DY85" s="44"/>
      <c r="DZ85" s="44"/>
      <c r="EA85" s="44"/>
      <c r="EB85" s="44"/>
      <c r="EC85" s="44"/>
      <c r="ED85" s="44"/>
      <c r="EE85" s="44"/>
      <c r="EF85" s="44"/>
      <c r="EG85" s="44"/>
      <c r="EH85" s="44"/>
      <c r="EI85" s="44"/>
      <c r="EJ85" s="49"/>
      <c r="EK85" s="38"/>
      <c r="EL85" s="37"/>
      <c r="EM85" s="50"/>
      <c r="EN85" s="50"/>
      <c r="EO85" s="50"/>
      <c r="EP85" s="50"/>
      <c r="EQ85" s="50"/>
      <c r="ER85" s="50"/>
      <c r="ES85" s="50"/>
      <c r="ET85" s="50"/>
      <c r="EU85" s="50"/>
      <c r="EV85" s="50"/>
      <c r="EW85" s="50"/>
      <c r="EX85" s="50"/>
      <c r="EY85" s="50"/>
      <c r="EZ85" s="50"/>
      <c r="FA85" s="50"/>
      <c r="FB85" s="50"/>
      <c r="FC85" s="50"/>
      <c r="FD85" s="50"/>
      <c r="FE85" s="50"/>
      <c r="FF85" s="37"/>
      <c r="FG85" s="31"/>
      <c r="FH85" s="35"/>
      <c r="FI85" s="32"/>
      <c r="FJ85" s="32"/>
      <c r="FK85" s="32"/>
      <c r="FL85" s="32"/>
      <c r="FM85" s="32"/>
      <c r="FN85" s="32"/>
      <c r="FO85" s="32"/>
      <c r="FP85" s="32"/>
      <c r="FQ85" s="32"/>
      <c r="FR85" s="32"/>
      <c r="FS85" s="32"/>
      <c r="FT85" s="32"/>
      <c r="FU85" s="32"/>
      <c r="FV85" s="32"/>
      <c r="FW85" s="32"/>
      <c r="FX85" s="32"/>
      <c r="FY85" s="32"/>
      <c r="FZ85" s="32"/>
      <c r="GA85" s="32"/>
      <c r="GB85" s="33"/>
      <c r="GC85" s="36"/>
      <c r="GD85" s="31"/>
      <c r="GE85" s="27"/>
      <c r="GF85" s="27"/>
      <c r="GG85" s="27"/>
      <c r="GH85" s="27"/>
      <c r="GI85" s="27"/>
      <c r="GJ85" s="27"/>
      <c r="GK85" s="27"/>
      <c r="GL85" s="27"/>
      <c r="GM85" s="27"/>
      <c r="GN85" s="27"/>
      <c r="GO85" s="27"/>
      <c r="GP85" s="27"/>
      <c r="GQ85" s="27"/>
      <c r="GR85" s="27"/>
      <c r="GS85" s="27"/>
      <c r="GT85" s="27"/>
      <c r="GU85" s="27"/>
      <c r="GV85" s="27"/>
      <c r="GW85" s="27"/>
      <c r="GX85" s="27"/>
      <c r="GY85" s="27"/>
      <c r="GZ85" s="27"/>
      <c r="HA85" s="27"/>
      <c r="HB85" s="27"/>
      <c r="HC85" s="27"/>
      <c r="HD85" s="27"/>
      <c r="HE85" s="27"/>
      <c r="HF85" s="27"/>
      <c r="HG85" s="39"/>
      <c r="HH85" s="46"/>
      <c r="HI85" s="45"/>
      <c r="HJ85" s="45"/>
      <c r="HK85" s="45"/>
      <c r="HL85" s="45"/>
      <c r="HM85" s="25"/>
      <c r="HN85" s="25"/>
      <c r="HO85" s="47"/>
      <c r="HP85" s="47"/>
      <c r="HQ85" s="47"/>
      <c r="HR85" s="47"/>
      <c r="HS85" s="47"/>
      <c r="HT85" s="47"/>
      <c r="HU85" s="48"/>
      <c r="HV85" s="48"/>
      <c r="HW85" s="48"/>
      <c r="HX85" s="48"/>
      <c r="HY85" s="48"/>
      <c r="HZ85" s="48"/>
      <c r="IA85" s="48"/>
      <c r="IB85" s="48"/>
      <c r="IC85" s="48"/>
      <c r="ID85" s="48"/>
      <c r="IE85" s="18"/>
      <c r="IF85" s="18"/>
      <c r="IG85" s="18"/>
      <c r="IH85" s="18"/>
      <c r="II85" s="18"/>
      <c r="IJ85" s="18"/>
      <c r="IK85" s="18"/>
      <c r="IL85" s="18"/>
      <c r="IM85" s="18"/>
      <c r="IN85" s="18"/>
      <c r="IO85" s="18"/>
      <c r="IP85" s="18"/>
      <c r="IQ85" s="18"/>
      <c r="IR85" s="18"/>
      <c r="IS85" s="18"/>
      <c r="IT85" s="18"/>
      <c r="IU85" s="18"/>
      <c r="IV85" s="18"/>
    </row>
    <row r="86" spans="1:256" ht="22.5">
      <c r="A86" s="21"/>
      <c r="B86" s="955" t="s">
        <v>2668</v>
      </c>
      <c r="C86" s="16" t="s">
        <v>2655</v>
      </c>
      <c r="D86" s="16" t="s">
        <v>2665</v>
      </c>
      <c r="E86" s="16" t="s">
        <v>2673</v>
      </c>
      <c r="F86" s="16" t="s">
        <v>2680</v>
      </c>
      <c r="G86" s="16"/>
      <c r="H86" s="16"/>
      <c r="I86" s="16"/>
      <c r="J86" s="16"/>
      <c r="K86" s="16"/>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890"/>
      <c r="AM86" s="890"/>
      <c r="AN86" s="16"/>
      <c r="AO86" s="16"/>
      <c r="AP86" s="16"/>
      <c r="AQ86" s="16"/>
      <c r="AR86" s="16"/>
      <c r="AS86" s="16"/>
      <c r="AT86" s="16"/>
      <c r="AU86" s="16"/>
      <c r="AV86" s="16"/>
      <c r="AW86" s="16"/>
      <c r="AX86" s="16"/>
      <c r="AY86" s="16"/>
      <c r="AZ86" s="16"/>
      <c r="BA86" s="17"/>
      <c r="BB86" s="17"/>
      <c r="BC86" s="16"/>
      <c r="BD86" s="16"/>
      <c r="BE86" s="16"/>
      <c r="BF86" s="16"/>
      <c r="BG86" s="16"/>
      <c r="BH86" s="16"/>
      <c r="BI86" s="16"/>
      <c r="BJ86" s="16"/>
      <c r="BK86" s="16"/>
      <c r="BL86" s="16"/>
      <c r="BM86" s="16"/>
      <c r="BN86" s="16"/>
      <c r="BO86" s="16"/>
      <c r="BP86" s="16"/>
      <c r="BQ86" s="16"/>
      <c r="BR86" s="16"/>
      <c r="BS86" s="16"/>
      <c r="BT86" s="16"/>
      <c r="BU86" s="16"/>
      <c r="BV86" s="16"/>
      <c r="BW86" s="16"/>
      <c r="BX86" s="16"/>
      <c r="BY86" s="16"/>
      <c r="BZ86" s="16"/>
      <c r="CA86" s="16"/>
      <c r="CB86" s="16"/>
      <c r="CC86" s="16"/>
      <c r="CD86" s="16"/>
      <c r="CE86" s="16"/>
      <c r="CF86" s="16"/>
      <c r="CG86" s="16"/>
      <c r="CH86" s="16"/>
      <c r="CI86" s="16"/>
      <c r="CJ86" s="16"/>
      <c r="CK86" s="16"/>
      <c r="CL86" s="16"/>
      <c r="CM86" s="16"/>
      <c r="CN86" s="16"/>
      <c r="CO86" s="16"/>
      <c r="CP86" s="16"/>
      <c r="CQ86" s="16"/>
      <c r="CR86" s="16"/>
      <c r="CS86" s="16"/>
      <c r="CT86" s="16"/>
      <c r="CU86" s="54"/>
      <c r="CV86" s="54"/>
      <c r="CW86" s="54"/>
      <c r="CX86" s="54"/>
      <c r="CY86" s="54"/>
      <c r="CZ86" s="54"/>
      <c r="DA86" s="54"/>
      <c r="DB86" s="54"/>
      <c r="DC86" s="54"/>
      <c r="DD86" s="54"/>
      <c r="DE86" s="54"/>
      <c r="DF86" s="54"/>
      <c r="DG86" s="54"/>
      <c r="DH86" s="54"/>
      <c r="DI86" s="54"/>
      <c r="DJ86" s="54"/>
      <c r="DK86" s="54"/>
      <c r="DL86" s="54"/>
      <c r="DM86" s="54"/>
      <c r="DN86" s="17"/>
      <c r="DO86" s="52"/>
      <c r="DP86" s="17"/>
      <c r="DQ86" s="44"/>
      <c r="DR86" s="44"/>
      <c r="DS86" s="44"/>
      <c r="DT86" s="44"/>
      <c r="DU86" s="44"/>
      <c r="DV86" s="44"/>
      <c r="DW86" s="44"/>
      <c r="DX86" s="44"/>
      <c r="DY86" s="44"/>
      <c r="DZ86" s="44"/>
      <c r="EA86" s="44"/>
      <c r="EB86" s="44"/>
      <c r="EC86" s="44"/>
      <c r="ED86" s="44"/>
      <c r="EE86" s="44"/>
      <c r="EF86" s="44"/>
      <c r="EG86" s="44"/>
      <c r="EH86" s="44"/>
      <c r="EI86" s="44"/>
      <c r="EJ86" s="49"/>
      <c r="EK86" s="38"/>
      <c r="EL86" s="37"/>
      <c r="EM86" s="50"/>
      <c r="EN86" s="50"/>
      <c r="EO86" s="50"/>
      <c r="EP86" s="50"/>
      <c r="EQ86" s="50"/>
      <c r="ER86" s="50"/>
      <c r="ES86" s="50"/>
      <c r="ET86" s="50"/>
      <c r="EU86" s="50"/>
      <c r="EV86" s="50"/>
      <c r="EW86" s="50"/>
      <c r="EX86" s="50"/>
      <c r="EY86" s="50"/>
      <c r="EZ86" s="50"/>
      <c r="FA86" s="50"/>
      <c r="FB86" s="50"/>
      <c r="FC86" s="50"/>
      <c r="FD86" s="50"/>
      <c r="FE86" s="50"/>
      <c r="FF86" s="37"/>
      <c r="FG86" s="31"/>
      <c r="FH86" s="35"/>
      <c r="FI86" s="32"/>
      <c r="FJ86" s="32"/>
      <c r="FK86" s="32"/>
      <c r="FL86" s="32"/>
      <c r="FM86" s="32"/>
      <c r="FN86" s="32"/>
      <c r="FO86" s="32"/>
      <c r="FP86" s="32"/>
      <c r="FQ86" s="32"/>
      <c r="FR86" s="32"/>
      <c r="FS86" s="32"/>
      <c r="FT86" s="32"/>
      <c r="FU86" s="32"/>
      <c r="FV86" s="32"/>
      <c r="FW86" s="32"/>
      <c r="FX86" s="32"/>
      <c r="FY86" s="32"/>
      <c r="FZ86" s="32"/>
      <c r="GA86" s="32"/>
      <c r="GB86" s="33"/>
      <c r="GC86" s="34"/>
      <c r="GD86" s="31"/>
      <c r="GE86" s="27"/>
      <c r="GF86" s="27"/>
      <c r="GG86" s="27"/>
      <c r="GH86" s="27"/>
      <c r="GI86" s="27"/>
      <c r="GJ86" s="27"/>
      <c r="GK86" s="27"/>
      <c r="GL86" s="27"/>
      <c r="GM86" s="27"/>
      <c r="GN86" s="27"/>
      <c r="GO86" s="27"/>
      <c r="GP86" s="27"/>
      <c r="GQ86" s="27"/>
      <c r="GR86" s="27"/>
      <c r="GS86" s="27"/>
      <c r="GT86" s="27"/>
      <c r="GU86" s="27"/>
      <c r="GV86" s="27"/>
      <c r="GW86" s="27"/>
      <c r="GX86" s="27"/>
      <c r="GY86" s="27"/>
      <c r="GZ86" s="27"/>
      <c r="HA86" s="27"/>
      <c r="HB86" s="27"/>
      <c r="HC86" s="27"/>
      <c r="HD86" s="27"/>
      <c r="HE86" s="27"/>
      <c r="HF86" s="27"/>
      <c r="HG86" s="39"/>
      <c r="HH86" s="46"/>
      <c r="HI86" s="45"/>
      <c r="HJ86" s="45"/>
      <c r="HK86" s="45"/>
      <c r="HL86" s="45"/>
      <c r="HM86" s="25"/>
      <c r="HN86" s="25"/>
      <c r="HO86" s="47"/>
      <c r="HP86" s="47"/>
      <c r="HQ86" s="47"/>
      <c r="HR86" s="47"/>
      <c r="HS86" s="47"/>
      <c r="HT86" s="47"/>
      <c r="HU86" s="47"/>
      <c r="HV86" s="47"/>
      <c r="HW86" s="48"/>
      <c r="HX86" s="48"/>
      <c r="HY86" s="48"/>
      <c r="HZ86" s="48"/>
      <c r="IA86" s="48"/>
      <c r="IB86" s="48"/>
      <c r="IC86" s="48"/>
      <c r="ID86" s="48"/>
      <c r="IE86" s="18"/>
      <c r="IF86" s="18"/>
      <c r="IG86" s="18"/>
      <c r="IH86" s="18"/>
      <c r="II86" s="18"/>
      <c r="IJ86" s="18"/>
      <c r="IK86" s="18"/>
      <c r="IL86" s="18"/>
      <c r="IM86" s="18"/>
      <c r="IN86" s="18"/>
      <c r="IO86" s="18"/>
      <c r="IP86" s="18"/>
      <c r="IQ86" s="18"/>
      <c r="IR86" s="18"/>
      <c r="IS86" s="18"/>
      <c r="IT86" s="18"/>
      <c r="IU86" s="18"/>
      <c r="IV86" s="18"/>
    </row>
    <row r="87" spans="1:256">
      <c r="A87" s="21"/>
      <c r="B87" s="955" t="s">
        <v>2669</v>
      </c>
      <c r="C87" s="16" t="s">
        <v>2656</v>
      </c>
      <c r="D87" s="16" t="s">
        <v>2666</v>
      </c>
      <c r="E87" s="16" t="s">
        <v>2674</v>
      </c>
      <c r="F87" s="16" t="s">
        <v>2681</v>
      </c>
      <c r="G87" s="16"/>
      <c r="H87" s="16"/>
      <c r="I87" s="16"/>
      <c r="J87" s="16"/>
      <c r="K87" s="16"/>
      <c r="L87" s="16"/>
      <c r="M87" s="16"/>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L87" s="890"/>
      <c r="AM87" s="890"/>
      <c r="AN87" s="16"/>
      <c r="AO87" s="16"/>
      <c r="AP87" s="16"/>
      <c r="AQ87" s="16"/>
      <c r="AR87" s="16"/>
      <c r="AS87" s="16"/>
      <c r="AT87" s="16"/>
      <c r="AU87" s="16"/>
      <c r="AV87" s="16"/>
      <c r="AW87" s="16"/>
      <c r="AX87" s="16"/>
      <c r="AY87" s="16"/>
      <c r="AZ87" s="16"/>
      <c r="BA87" s="17"/>
      <c r="BB87" s="17"/>
      <c r="BC87" s="16"/>
      <c r="BD87" s="16"/>
      <c r="BE87" s="16"/>
      <c r="BF87" s="16"/>
      <c r="BG87" s="16"/>
      <c r="BH87" s="16"/>
      <c r="BI87" s="16"/>
      <c r="BJ87" s="16"/>
      <c r="BK87" s="16"/>
      <c r="BL87" s="16"/>
      <c r="BM87" s="16"/>
      <c r="BN87" s="16"/>
      <c r="BO87" s="16"/>
      <c r="BP87" s="16"/>
      <c r="BQ87" s="16"/>
      <c r="BR87" s="16"/>
      <c r="BS87" s="16"/>
      <c r="BT87" s="16"/>
      <c r="BU87" s="16"/>
      <c r="BV87" s="16"/>
      <c r="BW87" s="16"/>
      <c r="BX87" s="16"/>
      <c r="BY87" s="16"/>
      <c r="BZ87" s="16"/>
      <c r="CA87" s="16"/>
      <c r="CB87" s="16"/>
      <c r="CC87" s="16"/>
      <c r="CD87" s="16"/>
      <c r="CE87" s="16"/>
      <c r="CF87" s="16"/>
      <c r="CG87" s="16"/>
      <c r="CH87" s="16"/>
      <c r="CI87" s="16"/>
      <c r="CJ87" s="16"/>
      <c r="CK87" s="16"/>
      <c r="CL87" s="16"/>
      <c r="CM87" s="16"/>
      <c r="CN87" s="16"/>
      <c r="CO87" s="16"/>
      <c r="CP87" s="16"/>
      <c r="CQ87" s="16"/>
      <c r="CR87" s="16"/>
      <c r="CS87" s="16"/>
      <c r="CT87" s="16"/>
      <c r="CU87" s="54"/>
      <c r="CV87" s="54"/>
      <c r="CW87" s="54"/>
      <c r="CX87" s="54"/>
      <c r="CY87" s="54"/>
      <c r="CZ87" s="54"/>
      <c r="DA87" s="54"/>
      <c r="DB87" s="54"/>
      <c r="DC87" s="54"/>
      <c r="DD87" s="54"/>
      <c r="DE87" s="54"/>
      <c r="DF87" s="54"/>
      <c r="DG87" s="54"/>
      <c r="DH87" s="54"/>
      <c r="DI87" s="54"/>
      <c r="DJ87" s="54"/>
      <c r="DK87" s="54"/>
      <c r="DL87" s="54"/>
      <c r="DM87" s="54"/>
      <c r="DN87" s="17"/>
      <c r="DO87" s="52"/>
      <c r="DP87" s="17"/>
      <c r="DQ87" s="44"/>
      <c r="DR87" s="44"/>
      <c r="DS87" s="44"/>
      <c r="DT87" s="44"/>
      <c r="DU87" s="44"/>
      <c r="DV87" s="44"/>
      <c r="DW87" s="44"/>
      <c r="DX87" s="44"/>
      <c r="DY87" s="44"/>
      <c r="DZ87" s="44"/>
      <c r="EA87" s="44"/>
      <c r="EB87" s="44"/>
      <c r="EC87" s="44"/>
      <c r="ED87" s="44"/>
      <c r="EE87" s="44"/>
      <c r="EF87" s="44"/>
      <c r="EG87" s="44"/>
      <c r="EH87" s="44"/>
      <c r="EI87" s="44"/>
      <c r="EJ87" s="49"/>
      <c r="EK87" s="38"/>
      <c r="EL87" s="37"/>
      <c r="EM87" s="50"/>
      <c r="EN87" s="50"/>
      <c r="EO87" s="50"/>
      <c r="EP87" s="50"/>
      <c r="EQ87" s="50"/>
      <c r="ER87" s="50"/>
      <c r="ES87" s="50"/>
      <c r="ET87" s="50"/>
      <c r="EU87" s="50"/>
      <c r="EV87" s="50"/>
      <c r="EW87" s="50"/>
      <c r="EX87" s="50"/>
      <c r="EY87" s="50"/>
      <c r="EZ87" s="50"/>
      <c r="FA87" s="50"/>
      <c r="FB87" s="50"/>
      <c r="FC87" s="50"/>
      <c r="FD87" s="50"/>
      <c r="FE87" s="50"/>
      <c r="FF87" s="37"/>
      <c r="FG87" s="31"/>
      <c r="FH87" s="35"/>
      <c r="FI87" s="32"/>
      <c r="FJ87" s="32"/>
      <c r="FK87" s="32"/>
      <c r="FL87" s="32"/>
      <c r="FM87" s="32"/>
      <c r="FN87" s="32"/>
      <c r="FO87" s="32"/>
      <c r="FP87" s="32"/>
      <c r="FQ87" s="32"/>
      <c r="FR87" s="32"/>
      <c r="FS87" s="32"/>
      <c r="FT87" s="32"/>
      <c r="FU87" s="32"/>
      <c r="FV87" s="32"/>
      <c r="FW87" s="32"/>
      <c r="FX87" s="32"/>
      <c r="FY87" s="32"/>
      <c r="FZ87" s="32"/>
      <c r="GA87" s="32"/>
      <c r="GB87" s="33"/>
      <c r="GC87" s="36"/>
      <c r="GD87" s="31"/>
      <c r="GE87" s="27"/>
      <c r="GF87" s="27"/>
      <c r="GG87" s="27"/>
      <c r="GH87" s="27"/>
      <c r="GI87" s="27"/>
      <c r="GJ87" s="27"/>
      <c r="GK87" s="27"/>
      <c r="GL87" s="27"/>
      <c r="GM87" s="27"/>
      <c r="GN87" s="27"/>
      <c r="GO87" s="27"/>
      <c r="GP87" s="27"/>
      <c r="GQ87" s="27"/>
      <c r="GR87" s="27"/>
      <c r="GS87" s="27"/>
      <c r="GT87" s="27"/>
      <c r="GU87" s="27"/>
      <c r="GV87" s="27"/>
      <c r="GW87" s="27"/>
      <c r="GX87" s="27"/>
      <c r="GY87" s="27"/>
      <c r="GZ87" s="27"/>
      <c r="HA87" s="27"/>
      <c r="HB87" s="27"/>
      <c r="HC87" s="27"/>
      <c r="HD87" s="27"/>
      <c r="HE87" s="27"/>
      <c r="HF87" s="27"/>
      <c r="HG87" s="39"/>
      <c r="HH87" s="46"/>
      <c r="HI87" s="45"/>
      <c r="HJ87" s="45"/>
      <c r="HK87" s="45"/>
      <c r="HL87" s="45"/>
      <c r="HM87" s="25"/>
      <c r="HN87" s="25"/>
      <c r="HO87" s="47"/>
      <c r="HP87" s="47"/>
      <c r="HQ87" s="47"/>
      <c r="HR87" s="47"/>
      <c r="HS87" s="47"/>
      <c r="HT87" s="47"/>
      <c r="HU87" s="47"/>
      <c r="HV87" s="47"/>
      <c r="HW87" s="48"/>
      <c r="HX87" s="48"/>
      <c r="HY87" s="48"/>
      <c r="HZ87" s="48"/>
      <c r="IA87" s="48"/>
      <c r="IB87" s="48"/>
      <c r="IC87" s="48"/>
      <c r="ID87" s="48"/>
      <c r="IE87" s="18"/>
      <c r="IF87" s="18"/>
      <c r="IG87" s="18"/>
      <c r="IH87" s="18"/>
      <c r="II87" s="18"/>
      <c r="IJ87" s="18"/>
      <c r="IK87" s="18"/>
      <c r="IL87" s="18"/>
      <c r="IM87" s="18"/>
      <c r="IN87" s="18"/>
      <c r="IO87" s="18"/>
      <c r="IP87" s="18"/>
      <c r="IQ87" s="18"/>
      <c r="IR87" s="18"/>
      <c r="IS87" s="18"/>
      <c r="IT87" s="18"/>
      <c r="IU87" s="18"/>
      <c r="IV87" s="18"/>
    </row>
    <row r="88" spans="1:256" ht="22.5">
      <c r="A88" s="21"/>
      <c r="B88" s="955" t="s">
        <v>2670</v>
      </c>
      <c r="C88" s="16" t="s">
        <v>2659</v>
      </c>
      <c r="D88" s="16" t="s">
        <v>2667</v>
      </c>
      <c r="E88" s="16" t="s">
        <v>2675</v>
      </c>
      <c r="F88" s="16" t="s">
        <v>2682</v>
      </c>
      <c r="G88" s="16"/>
      <c r="H88" s="16"/>
      <c r="I88" s="16"/>
      <c r="J88" s="16"/>
      <c r="K88" s="16"/>
      <c r="L88" s="16"/>
      <c r="M88" s="16"/>
      <c r="N88" s="16"/>
      <c r="O88" s="16"/>
      <c r="P88" s="16"/>
      <c r="Q88" s="16"/>
      <c r="R88" s="16"/>
      <c r="S88" s="16"/>
      <c r="T88" s="16"/>
      <c r="U88" s="16"/>
      <c r="V88" s="16"/>
      <c r="W88" s="16"/>
      <c r="X88" s="16"/>
      <c r="Y88" s="16"/>
      <c r="Z88" s="16"/>
      <c r="AA88" s="16"/>
      <c r="AB88" s="16"/>
      <c r="AC88" s="16"/>
      <c r="AD88" s="16"/>
      <c r="AE88" s="16"/>
      <c r="AF88" s="16"/>
      <c r="AG88" s="16"/>
      <c r="AH88" s="16"/>
      <c r="AI88" s="16"/>
      <c r="AJ88" s="16"/>
      <c r="AK88" s="16"/>
      <c r="AL88" s="890"/>
      <c r="AM88" s="890"/>
      <c r="AN88" s="16"/>
      <c r="AO88" s="16"/>
      <c r="AP88" s="16"/>
      <c r="AQ88" s="16"/>
      <c r="AR88" s="16"/>
      <c r="AS88" s="16"/>
      <c r="AT88" s="16"/>
      <c r="AU88" s="16"/>
      <c r="AV88" s="16"/>
      <c r="AW88" s="16"/>
      <c r="AX88" s="16"/>
      <c r="AY88" s="16"/>
      <c r="AZ88" s="16"/>
      <c r="BA88" s="17"/>
      <c r="BB88" s="17"/>
      <c r="BC88" s="16"/>
      <c r="BD88" s="16"/>
      <c r="BE88" s="16"/>
      <c r="BF88" s="16"/>
      <c r="BG88" s="16"/>
      <c r="BH88" s="16"/>
      <c r="BI88" s="16"/>
      <c r="BJ88" s="16"/>
      <c r="BK88" s="16"/>
      <c r="BL88" s="16"/>
      <c r="BM88" s="16"/>
      <c r="BN88" s="16"/>
      <c r="BO88" s="16"/>
      <c r="BP88" s="16"/>
      <c r="BQ88" s="16"/>
      <c r="BR88" s="16"/>
      <c r="BS88" s="16"/>
      <c r="BT88" s="16"/>
      <c r="BU88" s="16"/>
      <c r="BV88" s="16"/>
      <c r="BW88" s="16"/>
      <c r="BX88" s="16"/>
      <c r="BY88" s="16"/>
      <c r="BZ88" s="16"/>
      <c r="CA88" s="16"/>
      <c r="CB88" s="16"/>
      <c r="CC88" s="16"/>
      <c r="CD88" s="16"/>
      <c r="CE88" s="16"/>
      <c r="CF88" s="16"/>
      <c r="CG88" s="16"/>
      <c r="CH88" s="16"/>
      <c r="CI88" s="16"/>
      <c r="CJ88" s="16"/>
      <c r="CK88" s="16"/>
      <c r="CL88" s="16"/>
      <c r="CM88" s="16"/>
      <c r="CN88" s="16"/>
      <c r="CO88" s="16"/>
      <c r="CP88" s="16"/>
      <c r="CQ88" s="16"/>
      <c r="CR88" s="16"/>
      <c r="CS88" s="16"/>
      <c r="CT88" s="16"/>
      <c r="CU88" s="54"/>
      <c r="CV88" s="54"/>
      <c r="CW88" s="54"/>
      <c r="CX88" s="54"/>
      <c r="CY88" s="54"/>
      <c r="CZ88" s="54"/>
      <c r="DA88" s="54"/>
      <c r="DB88" s="54"/>
      <c r="DC88" s="54"/>
      <c r="DD88" s="54"/>
      <c r="DE88" s="54"/>
      <c r="DF88" s="54"/>
      <c r="DG88" s="54"/>
      <c r="DH88" s="54"/>
      <c r="DI88" s="54"/>
      <c r="DJ88" s="54"/>
      <c r="DK88" s="54"/>
      <c r="DL88" s="54"/>
      <c r="DM88" s="54"/>
      <c r="DN88" s="17"/>
      <c r="DO88" s="52"/>
      <c r="DP88" s="17"/>
      <c r="DQ88" s="44"/>
      <c r="DR88" s="44"/>
      <c r="DS88" s="44"/>
      <c r="DT88" s="44"/>
      <c r="DU88" s="44"/>
      <c r="DV88" s="44"/>
      <c r="DW88" s="44"/>
      <c r="DX88" s="44"/>
      <c r="DY88" s="44"/>
      <c r="DZ88" s="44"/>
      <c r="EA88" s="44"/>
      <c r="EB88" s="44"/>
      <c r="EC88" s="44"/>
      <c r="ED88" s="44"/>
      <c r="EE88" s="44"/>
      <c r="EF88" s="44"/>
      <c r="EG88" s="44"/>
      <c r="EH88" s="44"/>
      <c r="EI88" s="44"/>
      <c r="EJ88" s="49"/>
      <c r="EK88" s="38"/>
      <c r="EL88" s="37"/>
      <c r="EM88" s="50"/>
      <c r="EN88" s="50"/>
      <c r="EO88" s="50"/>
      <c r="EP88" s="50"/>
      <c r="EQ88" s="50"/>
      <c r="ER88" s="50"/>
      <c r="ES88" s="50"/>
      <c r="ET88" s="50"/>
      <c r="EU88" s="50"/>
      <c r="EV88" s="50"/>
      <c r="EW88" s="50"/>
      <c r="EX88" s="50"/>
      <c r="EY88" s="50"/>
      <c r="EZ88" s="50"/>
      <c r="FA88" s="50"/>
      <c r="FB88" s="50"/>
      <c r="FC88" s="50"/>
      <c r="FD88" s="50"/>
      <c r="FE88" s="50"/>
      <c r="FF88" s="37"/>
      <c r="FG88" s="31"/>
      <c r="FH88" s="35"/>
      <c r="FI88" s="32"/>
      <c r="FJ88" s="32"/>
      <c r="FK88" s="32"/>
      <c r="FL88" s="32"/>
      <c r="FM88" s="32"/>
      <c r="FN88" s="32"/>
      <c r="FO88" s="32"/>
      <c r="FP88" s="32"/>
      <c r="FQ88" s="32"/>
      <c r="FR88" s="32"/>
      <c r="FS88" s="32"/>
      <c r="FT88" s="32"/>
      <c r="FU88" s="32"/>
      <c r="FV88" s="32"/>
      <c r="FW88" s="32"/>
      <c r="FX88" s="32"/>
      <c r="FY88" s="32"/>
      <c r="FZ88" s="32"/>
      <c r="GA88" s="32"/>
      <c r="GB88" s="33"/>
      <c r="GC88" s="36"/>
      <c r="GD88" s="31"/>
      <c r="GE88" s="27"/>
      <c r="GF88" s="27"/>
      <c r="GG88" s="27"/>
      <c r="GH88" s="27"/>
      <c r="GI88" s="27"/>
      <c r="GJ88" s="27"/>
      <c r="GK88" s="27"/>
      <c r="GL88" s="27"/>
      <c r="GM88" s="27"/>
      <c r="GN88" s="27"/>
      <c r="GO88" s="27"/>
      <c r="GP88" s="27"/>
      <c r="GQ88" s="27"/>
      <c r="GR88" s="27"/>
      <c r="GS88" s="27"/>
      <c r="GT88" s="27"/>
      <c r="GU88" s="27"/>
      <c r="GV88" s="27"/>
      <c r="GW88" s="27"/>
      <c r="GX88" s="27"/>
      <c r="GY88" s="27"/>
      <c r="GZ88" s="27"/>
      <c r="HA88" s="27"/>
      <c r="HB88" s="27"/>
      <c r="HC88" s="27"/>
      <c r="HD88" s="27"/>
      <c r="HE88" s="27"/>
      <c r="HF88" s="27"/>
      <c r="HG88" s="39"/>
      <c r="HH88" s="46"/>
      <c r="HI88" s="45"/>
      <c r="HJ88" s="45"/>
      <c r="HK88" s="45"/>
      <c r="HL88" s="45"/>
      <c r="HM88" s="25"/>
      <c r="HN88" s="25"/>
      <c r="HO88" s="47"/>
      <c r="HP88" s="47"/>
      <c r="HQ88" s="47"/>
      <c r="HR88" s="47"/>
      <c r="HS88" s="47"/>
      <c r="HT88" s="47"/>
      <c r="HU88" s="47"/>
      <c r="HV88" s="47"/>
      <c r="HW88" s="48"/>
      <c r="HX88" s="48"/>
      <c r="HY88" s="48"/>
      <c r="HZ88" s="48"/>
      <c r="IA88" s="48"/>
      <c r="IB88" s="48"/>
      <c r="IC88" s="48"/>
      <c r="ID88" s="48"/>
      <c r="IE88" s="18"/>
      <c r="IF88" s="18"/>
      <c r="IG88" s="18"/>
      <c r="IH88" s="18"/>
      <c r="II88" s="18"/>
      <c r="IJ88" s="18"/>
      <c r="IK88" s="18"/>
      <c r="IL88" s="18"/>
      <c r="IM88" s="18"/>
      <c r="IN88" s="18"/>
      <c r="IO88" s="18"/>
      <c r="IP88" s="18"/>
      <c r="IQ88" s="18"/>
      <c r="IR88" s="18"/>
      <c r="IS88" s="18"/>
      <c r="IT88" s="18"/>
      <c r="IU88" s="18"/>
      <c r="IV88" s="18"/>
    </row>
    <row r="89" spans="1:256" ht="22.5">
      <c r="A89" s="21"/>
      <c r="B89" s="955" t="s">
        <v>2663</v>
      </c>
      <c r="C89" s="16" t="s">
        <v>2657</v>
      </c>
      <c r="D89" s="16" t="s">
        <v>2668</v>
      </c>
      <c r="F89" s="16" t="s">
        <v>2683</v>
      </c>
      <c r="G89" s="16"/>
      <c r="H89" s="16"/>
      <c r="I89" s="16"/>
      <c r="J89" s="16"/>
      <c r="K89" s="16"/>
      <c r="L89" s="16"/>
      <c r="M89" s="16"/>
      <c r="N89" s="16"/>
      <c r="O89" s="16"/>
      <c r="P89" s="16"/>
      <c r="Q89" s="16"/>
      <c r="R89" s="16"/>
      <c r="S89" s="16"/>
      <c r="T89" s="16"/>
      <c r="U89" s="16"/>
      <c r="V89" s="16"/>
      <c r="W89" s="16"/>
      <c r="X89" s="16"/>
      <c r="Y89" s="16"/>
      <c r="Z89" s="16"/>
      <c r="AA89" s="16"/>
      <c r="AB89" s="16"/>
      <c r="AC89" s="16"/>
      <c r="AD89" s="16"/>
      <c r="AE89" s="16"/>
      <c r="AF89" s="16"/>
      <c r="AG89" s="16"/>
      <c r="AH89" s="16"/>
      <c r="AI89" s="16"/>
      <c r="AJ89" s="16"/>
      <c r="AK89" s="16"/>
      <c r="AL89" s="890"/>
      <c r="AM89" s="890"/>
      <c r="AN89" s="16"/>
      <c r="AO89" s="16"/>
      <c r="AP89" s="16"/>
      <c r="AQ89" s="16"/>
      <c r="AR89" s="16"/>
      <c r="AS89" s="16"/>
      <c r="AT89" s="16"/>
      <c r="AU89" s="16"/>
      <c r="AV89" s="16"/>
      <c r="AW89" s="16"/>
      <c r="AX89" s="16"/>
      <c r="AY89" s="16"/>
      <c r="AZ89" s="16"/>
      <c r="BA89" s="17"/>
      <c r="BB89" s="17"/>
      <c r="BC89" s="16"/>
      <c r="BD89" s="16"/>
      <c r="BE89" s="16"/>
      <c r="BF89" s="16"/>
      <c r="BG89" s="16"/>
      <c r="BH89" s="16"/>
      <c r="BI89" s="16"/>
      <c r="BJ89" s="16"/>
      <c r="BK89" s="16"/>
      <c r="BL89" s="16"/>
      <c r="BM89" s="16"/>
      <c r="BN89" s="16"/>
      <c r="BO89" s="16"/>
      <c r="BP89" s="16"/>
      <c r="BQ89" s="16"/>
      <c r="BR89" s="16"/>
      <c r="BS89" s="16"/>
      <c r="BT89" s="16"/>
      <c r="BU89" s="16"/>
      <c r="BV89" s="16"/>
      <c r="BW89" s="16"/>
      <c r="BX89" s="16"/>
      <c r="BY89" s="16"/>
      <c r="BZ89" s="16"/>
      <c r="CA89" s="16"/>
      <c r="CB89" s="16"/>
      <c r="CC89" s="16"/>
      <c r="CD89" s="16"/>
      <c r="CE89" s="16"/>
      <c r="CF89" s="16"/>
      <c r="CG89" s="16"/>
      <c r="CH89" s="16"/>
      <c r="CI89" s="16"/>
      <c r="CJ89" s="16"/>
      <c r="CK89" s="16"/>
      <c r="CL89" s="16"/>
      <c r="CM89" s="16"/>
      <c r="CN89" s="16"/>
      <c r="CO89" s="16"/>
      <c r="CP89" s="16"/>
      <c r="CQ89" s="16"/>
      <c r="CR89" s="16"/>
      <c r="CS89" s="16"/>
      <c r="CT89" s="16"/>
      <c r="CU89" s="54"/>
      <c r="CV89" s="54"/>
      <c r="CW89" s="54"/>
      <c r="CX89" s="54"/>
      <c r="CY89" s="54"/>
      <c r="CZ89" s="54"/>
      <c r="DA89" s="54"/>
      <c r="DB89" s="54"/>
      <c r="DC89" s="54"/>
      <c r="DD89" s="54"/>
      <c r="DE89" s="54"/>
      <c r="DF89" s="54"/>
      <c r="DG89" s="54"/>
      <c r="DH89" s="54"/>
      <c r="DI89" s="54"/>
      <c r="DJ89" s="54"/>
      <c r="DK89" s="54"/>
      <c r="DL89" s="54"/>
      <c r="DM89" s="54"/>
      <c r="DN89" s="17"/>
      <c r="DO89" s="52"/>
      <c r="DP89" s="17"/>
      <c r="DQ89" s="44"/>
      <c r="DR89" s="44"/>
      <c r="DS89" s="44"/>
      <c r="DT89" s="44"/>
      <c r="DU89" s="44"/>
      <c r="DV89" s="44"/>
      <c r="DW89" s="44"/>
      <c r="DX89" s="44"/>
      <c r="DY89" s="44"/>
      <c r="DZ89" s="44"/>
      <c r="EA89" s="44"/>
      <c r="EB89" s="44"/>
      <c r="EC89" s="44"/>
      <c r="ED89" s="44"/>
      <c r="EE89" s="44"/>
      <c r="EF89" s="44"/>
      <c r="EG89" s="44"/>
      <c r="EH89" s="44"/>
      <c r="EI89" s="44"/>
      <c r="EJ89" s="49"/>
      <c r="EK89" s="38"/>
      <c r="EL89" s="37"/>
      <c r="EM89" s="50"/>
      <c r="EN89" s="50"/>
      <c r="EO89" s="50"/>
      <c r="EP89" s="50"/>
      <c r="EQ89" s="50"/>
      <c r="ER89" s="50"/>
      <c r="ES89" s="50"/>
      <c r="ET89" s="50"/>
      <c r="EU89" s="50"/>
      <c r="EV89" s="50"/>
      <c r="EW89" s="50"/>
      <c r="EX89" s="50"/>
      <c r="EY89" s="50"/>
      <c r="EZ89" s="50"/>
      <c r="FA89" s="50"/>
      <c r="FB89" s="50"/>
      <c r="FC89" s="50"/>
      <c r="FD89" s="50"/>
      <c r="FE89" s="50"/>
      <c r="FF89" s="37"/>
      <c r="FG89" s="31"/>
      <c r="FH89" s="35"/>
      <c r="FI89" s="32"/>
      <c r="FJ89" s="32"/>
      <c r="FK89" s="32"/>
      <c r="FL89" s="32"/>
      <c r="FM89" s="32"/>
      <c r="FN89" s="32"/>
      <c r="FO89" s="32"/>
      <c r="FP89" s="32"/>
      <c r="FQ89" s="32"/>
      <c r="FR89" s="32"/>
      <c r="FS89" s="32"/>
      <c r="FT89" s="32"/>
      <c r="FU89" s="32"/>
      <c r="FV89" s="32"/>
      <c r="FW89" s="32"/>
      <c r="FX89" s="32"/>
      <c r="FY89" s="32"/>
      <c r="FZ89" s="32"/>
      <c r="GA89" s="32"/>
      <c r="GB89" s="33"/>
      <c r="GC89" s="36"/>
      <c r="GD89" s="31"/>
      <c r="GE89" s="27"/>
      <c r="GF89" s="27"/>
      <c r="GG89" s="27"/>
      <c r="GH89" s="27"/>
      <c r="GI89" s="27"/>
      <c r="GJ89" s="27"/>
      <c r="GK89" s="27"/>
      <c r="GL89" s="27"/>
      <c r="GM89" s="27"/>
      <c r="GN89" s="27"/>
      <c r="GO89" s="27"/>
      <c r="GP89" s="27"/>
      <c r="GQ89" s="27"/>
      <c r="GR89" s="27"/>
      <c r="GS89" s="27"/>
      <c r="GT89" s="27"/>
      <c r="GU89" s="27"/>
      <c r="GV89" s="27"/>
      <c r="GW89" s="27"/>
      <c r="GX89" s="27"/>
      <c r="GY89" s="27"/>
      <c r="GZ89" s="27"/>
      <c r="HA89" s="27"/>
      <c r="HB89" s="27"/>
      <c r="HC89" s="27"/>
      <c r="HD89" s="27"/>
      <c r="HE89" s="27"/>
      <c r="HF89" s="27"/>
      <c r="HG89" s="39"/>
      <c r="HH89" s="46"/>
      <c r="HI89" s="45"/>
      <c r="HJ89" s="45"/>
      <c r="HK89" s="45"/>
      <c r="HL89" s="45"/>
      <c r="HM89" s="25"/>
      <c r="HN89" s="25"/>
      <c r="HO89" s="47"/>
      <c r="HP89" s="47"/>
      <c r="HQ89" s="47"/>
      <c r="HR89" s="47"/>
      <c r="HS89" s="47"/>
      <c r="HT89" s="47"/>
      <c r="HU89" s="47"/>
      <c r="HV89" s="47"/>
      <c r="HW89" s="48"/>
      <c r="HX89" s="48"/>
      <c r="HY89" s="48"/>
      <c r="HZ89" s="48"/>
      <c r="IA89" s="48"/>
      <c r="IB89" s="48"/>
      <c r="IC89" s="48"/>
      <c r="ID89" s="48"/>
      <c r="IE89" s="18"/>
      <c r="IF89" s="18"/>
      <c r="IG89" s="18"/>
      <c r="IH89" s="18"/>
      <c r="II89" s="18"/>
      <c r="IJ89" s="18"/>
      <c r="IK89" s="18"/>
      <c r="IL89" s="18"/>
      <c r="IM89" s="18"/>
      <c r="IN89" s="18"/>
      <c r="IO89" s="18"/>
      <c r="IP89" s="18"/>
      <c r="IQ89" s="18"/>
      <c r="IR89" s="18"/>
      <c r="IS89" s="18"/>
      <c r="IT89" s="18"/>
      <c r="IU89" s="18"/>
      <c r="IV89" s="18"/>
    </row>
    <row r="90" spans="1:256">
      <c r="A90" s="21"/>
      <c r="B90" s="955" t="s">
        <v>2671</v>
      </c>
      <c r="C90" s="16" t="s">
        <v>2660</v>
      </c>
      <c r="D90" s="16"/>
      <c r="E90" s="16"/>
      <c r="F90" s="16"/>
      <c r="G90" s="16"/>
      <c r="H90" s="16"/>
      <c r="I90" s="16"/>
      <c r="J90" s="16"/>
      <c r="K90" s="16"/>
      <c r="L90" s="16"/>
      <c r="M90" s="16"/>
      <c r="N90" s="16"/>
      <c r="O90" s="16"/>
      <c r="P90" s="16"/>
      <c r="Q90" s="16"/>
      <c r="R90" s="16"/>
      <c r="S90" s="16"/>
      <c r="T90" s="16"/>
      <c r="U90" s="16"/>
      <c r="V90" s="16"/>
      <c r="W90" s="16"/>
      <c r="X90" s="16"/>
      <c r="Y90" s="16"/>
      <c r="Z90" s="16"/>
      <c r="AA90" s="16"/>
      <c r="AB90" s="16"/>
      <c r="AC90" s="16"/>
      <c r="AD90" s="16"/>
      <c r="AE90" s="16"/>
      <c r="AF90" s="16"/>
      <c r="AG90" s="16"/>
      <c r="AH90" s="16"/>
      <c r="AI90" s="16"/>
      <c r="AJ90" s="16"/>
      <c r="AK90" s="16"/>
      <c r="AL90" s="890"/>
      <c r="AM90" s="890"/>
      <c r="AN90" s="16"/>
      <c r="AO90" s="16"/>
      <c r="AP90" s="16"/>
      <c r="AQ90" s="16"/>
      <c r="AR90" s="16"/>
      <c r="AS90" s="16"/>
      <c r="AT90" s="16"/>
      <c r="AU90" s="16"/>
      <c r="AV90" s="16"/>
      <c r="AW90" s="16"/>
      <c r="AX90" s="16"/>
      <c r="AY90" s="16"/>
      <c r="AZ90" s="16"/>
      <c r="BA90" s="17"/>
      <c r="BB90" s="17"/>
      <c r="BC90" s="16"/>
      <c r="BD90" s="16"/>
      <c r="BE90" s="16"/>
      <c r="BF90" s="16"/>
      <c r="BG90" s="16"/>
      <c r="BH90" s="16"/>
      <c r="BI90" s="16"/>
      <c r="BJ90" s="16"/>
      <c r="BK90" s="16"/>
      <c r="BL90" s="16"/>
      <c r="BM90" s="16"/>
      <c r="BN90" s="16"/>
      <c r="BO90" s="16"/>
      <c r="BP90" s="16"/>
      <c r="BQ90" s="16"/>
      <c r="BR90" s="16"/>
      <c r="BS90" s="16"/>
      <c r="BT90" s="16"/>
      <c r="BU90" s="16"/>
      <c r="BV90" s="16"/>
      <c r="BW90" s="16"/>
      <c r="BX90" s="16"/>
      <c r="BY90" s="16"/>
      <c r="BZ90" s="16"/>
      <c r="CA90" s="16"/>
      <c r="CB90" s="16"/>
      <c r="CC90" s="16"/>
      <c r="CD90" s="16"/>
      <c r="CE90" s="16"/>
      <c r="CF90" s="16"/>
      <c r="CG90" s="16"/>
      <c r="CH90" s="16"/>
      <c r="CI90" s="16"/>
      <c r="CJ90" s="16"/>
      <c r="CK90" s="16"/>
      <c r="CL90" s="16"/>
      <c r="CM90" s="16"/>
      <c r="CN90" s="16"/>
      <c r="CO90" s="16"/>
      <c r="CP90" s="16"/>
      <c r="CQ90" s="16"/>
      <c r="CR90" s="16"/>
      <c r="CS90" s="16"/>
      <c r="CT90" s="16"/>
      <c r="CU90" s="54"/>
      <c r="CV90" s="54"/>
      <c r="CW90" s="54"/>
      <c r="CX90" s="54"/>
      <c r="CY90" s="54"/>
      <c r="CZ90" s="54"/>
      <c r="DA90" s="54"/>
      <c r="DB90" s="54"/>
      <c r="DC90" s="54"/>
      <c r="DD90" s="54"/>
      <c r="DE90" s="54"/>
      <c r="DF90" s="54"/>
      <c r="DG90" s="54"/>
      <c r="DH90" s="54"/>
      <c r="DI90" s="54"/>
      <c r="DJ90" s="54"/>
      <c r="DK90" s="54"/>
      <c r="DL90" s="54"/>
      <c r="DM90" s="54"/>
      <c r="DN90" s="17"/>
      <c r="DO90" s="52"/>
      <c r="DP90" s="17"/>
      <c r="DQ90" s="44"/>
      <c r="DR90" s="44"/>
      <c r="DS90" s="44"/>
      <c r="DT90" s="44"/>
      <c r="DU90" s="44"/>
      <c r="DV90" s="44"/>
      <c r="DW90" s="44"/>
      <c r="DX90" s="44"/>
      <c r="DY90" s="44"/>
      <c r="DZ90" s="44"/>
      <c r="EA90" s="44"/>
      <c r="EB90" s="44"/>
      <c r="EC90" s="44"/>
      <c r="ED90" s="44"/>
      <c r="EE90" s="44"/>
      <c r="EF90" s="44"/>
      <c r="EG90" s="44"/>
      <c r="EH90" s="44"/>
      <c r="EI90" s="44"/>
      <c r="EJ90" s="49"/>
      <c r="EK90" s="38"/>
      <c r="EL90" s="37"/>
      <c r="EM90" s="50"/>
      <c r="EN90" s="50"/>
      <c r="EO90" s="50"/>
      <c r="EP90" s="50"/>
      <c r="EQ90" s="50"/>
      <c r="ER90" s="50"/>
      <c r="ES90" s="50"/>
      <c r="ET90" s="50"/>
      <c r="EU90" s="50"/>
      <c r="EV90" s="50"/>
      <c r="EW90" s="50"/>
      <c r="EX90" s="50"/>
      <c r="EY90" s="50"/>
      <c r="EZ90" s="50"/>
      <c r="FA90" s="50"/>
      <c r="FB90" s="50"/>
      <c r="FC90" s="50"/>
      <c r="FD90" s="50"/>
      <c r="FE90" s="50"/>
      <c r="FF90" s="37"/>
      <c r="FG90" s="31"/>
      <c r="FH90" s="35"/>
      <c r="FI90" s="32"/>
      <c r="FJ90" s="32"/>
      <c r="FK90" s="32"/>
      <c r="FL90" s="32"/>
      <c r="FM90" s="32"/>
      <c r="FN90" s="32"/>
      <c r="FO90" s="32"/>
      <c r="FP90" s="32"/>
      <c r="FQ90" s="32"/>
      <c r="FR90" s="32"/>
      <c r="FS90" s="32"/>
      <c r="FT90" s="32"/>
      <c r="FU90" s="32"/>
      <c r="FV90" s="32"/>
      <c r="FW90" s="32"/>
      <c r="FX90" s="32"/>
      <c r="FY90" s="32"/>
      <c r="FZ90" s="32"/>
      <c r="GA90" s="32"/>
      <c r="GB90" s="33"/>
      <c r="GC90" s="36"/>
      <c r="GD90" s="31"/>
      <c r="GE90" s="27"/>
      <c r="GF90" s="27"/>
      <c r="GG90" s="27"/>
      <c r="GH90" s="27"/>
      <c r="GI90" s="27"/>
      <c r="GJ90" s="27"/>
      <c r="GK90" s="27"/>
      <c r="GL90" s="27"/>
      <c r="GM90" s="27"/>
      <c r="GN90" s="27"/>
      <c r="GO90" s="27"/>
      <c r="GP90" s="27"/>
      <c r="GQ90" s="27"/>
      <c r="GR90" s="27"/>
      <c r="GS90" s="27"/>
      <c r="GT90" s="27"/>
      <c r="GU90" s="27"/>
      <c r="GV90" s="27"/>
      <c r="GW90" s="27"/>
      <c r="GX90" s="27"/>
      <c r="GY90" s="27"/>
      <c r="GZ90" s="27"/>
      <c r="HA90" s="27"/>
      <c r="HB90" s="27"/>
      <c r="HC90" s="27"/>
      <c r="HD90" s="27"/>
      <c r="HE90" s="27"/>
      <c r="HF90" s="27"/>
      <c r="HG90" s="39"/>
      <c r="HH90" s="46"/>
      <c r="HI90" s="45"/>
      <c r="HJ90" s="45"/>
      <c r="HK90" s="45"/>
      <c r="HL90" s="45"/>
      <c r="HM90" s="25"/>
      <c r="HN90" s="25"/>
      <c r="HO90" s="47"/>
      <c r="HP90" s="47"/>
      <c r="HQ90" s="47"/>
      <c r="HR90" s="47"/>
      <c r="HS90" s="47"/>
      <c r="HT90" s="47"/>
      <c r="HU90" s="47"/>
      <c r="HV90" s="47"/>
      <c r="HW90" s="48"/>
      <c r="HX90" s="48"/>
      <c r="HY90" s="48"/>
      <c r="HZ90" s="48"/>
      <c r="IA90" s="48"/>
      <c r="IB90" s="48"/>
      <c r="IC90" s="48"/>
      <c r="ID90" s="48"/>
      <c r="IE90" s="18"/>
      <c r="IF90" s="18"/>
      <c r="IG90" s="18"/>
      <c r="IH90" s="18"/>
      <c r="II90" s="18"/>
      <c r="IJ90" s="18"/>
      <c r="IK90" s="18"/>
      <c r="IL90" s="18"/>
      <c r="IM90" s="18"/>
      <c r="IN90" s="18"/>
      <c r="IO90" s="18"/>
      <c r="IP90" s="18"/>
      <c r="IQ90" s="18"/>
      <c r="IR90" s="18"/>
      <c r="IS90" s="18"/>
      <c r="IT90" s="18"/>
      <c r="IU90" s="18"/>
      <c r="IV90" s="18"/>
    </row>
    <row r="91" spans="1:256">
      <c r="A91" s="21"/>
      <c r="B91" s="955" t="s">
        <v>2672</v>
      </c>
      <c r="C91" s="16" t="s">
        <v>2658</v>
      </c>
      <c r="D91" s="16"/>
      <c r="E91" s="16"/>
      <c r="F91" s="16"/>
      <c r="G91" s="16"/>
      <c r="H91" s="16"/>
      <c r="I91" s="16"/>
      <c r="J91" s="16"/>
      <c r="K91" s="16"/>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890"/>
      <c r="AM91" s="890"/>
      <c r="AN91" s="16"/>
      <c r="AO91" s="16"/>
      <c r="AP91" s="16"/>
      <c r="AQ91" s="16"/>
      <c r="AR91" s="16"/>
      <c r="AS91" s="16"/>
      <c r="AT91" s="16"/>
      <c r="AU91" s="16"/>
      <c r="AV91" s="16"/>
      <c r="AW91" s="16"/>
      <c r="AX91" s="16"/>
      <c r="AY91" s="16"/>
      <c r="AZ91" s="16"/>
      <c r="BA91" s="17"/>
      <c r="BB91" s="17"/>
      <c r="BC91" s="16"/>
      <c r="BD91" s="16"/>
      <c r="BE91" s="16"/>
      <c r="BF91" s="16"/>
      <c r="BG91" s="16"/>
      <c r="BH91" s="16"/>
      <c r="BI91" s="16"/>
      <c r="BJ91" s="16"/>
      <c r="BK91" s="16"/>
      <c r="BL91" s="16"/>
      <c r="BM91" s="16"/>
      <c r="BN91" s="16"/>
      <c r="BO91" s="16"/>
      <c r="BP91" s="16"/>
      <c r="BQ91" s="16"/>
      <c r="BR91" s="16"/>
      <c r="BS91" s="16"/>
      <c r="BT91" s="16"/>
      <c r="BU91" s="16"/>
      <c r="BV91" s="16"/>
      <c r="BW91" s="16"/>
      <c r="BX91" s="16"/>
      <c r="BY91" s="16"/>
      <c r="BZ91" s="16"/>
      <c r="CA91" s="16"/>
      <c r="CB91" s="16"/>
      <c r="CC91" s="16"/>
      <c r="CD91" s="16"/>
      <c r="CE91" s="16"/>
      <c r="CF91" s="16"/>
      <c r="CG91" s="16"/>
      <c r="CH91" s="16"/>
      <c r="CI91" s="16"/>
      <c r="CJ91" s="16"/>
      <c r="CK91" s="16"/>
      <c r="CL91" s="16"/>
      <c r="CM91" s="16"/>
      <c r="CN91" s="16"/>
      <c r="CO91" s="16"/>
      <c r="CP91" s="16"/>
      <c r="CQ91" s="16"/>
      <c r="CR91" s="16"/>
      <c r="CS91" s="16"/>
      <c r="CT91" s="16"/>
      <c r="CU91" s="54"/>
      <c r="CV91" s="54"/>
      <c r="CW91" s="54"/>
      <c r="CX91" s="54"/>
      <c r="CY91" s="54"/>
      <c r="CZ91" s="54"/>
      <c r="DA91" s="54"/>
      <c r="DB91" s="54"/>
      <c r="DC91" s="54"/>
      <c r="DD91" s="54"/>
      <c r="DE91" s="54"/>
      <c r="DF91" s="54"/>
      <c r="DG91" s="54"/>
      <c r="DH91" s="54"/>
      <c r="DI91" s="54"/>
      <c r="DJ91" s="54"/>
      <c r="DK91" s="54"/>
      <c r="DL91" s="54"/>
      <c r="DM91" s="54"/>
      <c r="DN91" s="17"/>
      <c r="DO91" s="52"/>
      <c r="DP91" s="17"/>
      <c r="DQ91" s="44"/>
      <c r="DR91" s="44"/>
      <c r="DS91" s="44"/>
      <c r="DT91" s="44"/>
      <c r="DU91" s="44"/>
      <c r="DV91" s="44"/>
      <c r="DW91" s="44"/>
      <c r="DX91" s="44"/>
      <c r="DY91" s="44"/>
      <c r="DZ91" s="44"/>
      <c r="EA91" s="44"/>
      <c r="EB91" s="44"/>
      <c r="EC91" s="44"/>
      <c r="ED91" s="44"/>
      <c r="EE91" s="44"/>
      <c r="EF91" s="44"/>
      <c r="EG91" s="44"/>
      <c r="EH91" s="44"/>
      <c r="EI91" s="44"/>
      <c r="EJ91" s="49"/>
      <c r="EK91" s="38"/>
      <c r="EL91" s="37"/>
      <c r="EM91" s="50"/>
      <c r="EN91" s="50"/>
      <c r="EO91" s="50"/>
      <c r="EP91" s="50"/>
      <c r="EQ91" s="50"/>
      <c r="ER91" s="50"/>
      <c r="ES91" s="50"/>
      <c r="ET91" s="50"/>
      <c r="EU91" s="50"/>
      <c r="EV91" s="50"/>
      <c r="EW91" s="50"/>
      <c r="EX91" s="50"/>
      <c r="EY91" s="50"/>
      <c r="EZ91" s="50"/>
      <c r="FA91" s="50"/>
      <c r="FB91" s="50"/>
      <c r="FC91" s="50"/>
      <c r="FD91" s="50"/>
      <c r="FE91" s="50"/>
      <c r="FF91" s="37"/>
      <c r="FG91" s="31"/>
      <c r="FH91" s="35"/>
      <c r="FI91" s="32"/>
      <c r="FJ91" s="32"/>
      <c r="FK91" s="32"/>
      <c r="FL91" s="32"/>
      <c r="FM91" s="32"/>
      <c r="FN91" s="32"/>
      <c r="FO91" s="32"/>
      <c r="FP91" s="32"/>
      <c r="FQ91" s="32"/>
      <c r="FR91" s="32"/>
      <c r="FS91" s="32"/>
      <c r="FT91" s="32"/>
      <c r="FU91" s="32"/>
      <c r="FV91" s="32"/>
      <c r="FW91" s="32"/>
      <c r="FX91" s="32"/>
      <c r="FY91" s="32"/>
      <c r="FZ91" s="32"/>
      <c r="GA91" s="32"/>
      <c r="GB91" s="33"/>
      <c r="GC91" s="36"/>
      <c r="GD91" s="31"/>
      <c r="GE91" s="27"/>
      <c r="GF91" s="27"/>
      <c r="GG91" s="27"/>
      <c r="GH91" s="27"/>
      <c r="GI91" s="27"/>
      <c r="GJ91" s="27"/>
      <c r="GK91" s="27"/>
      <c r="GL91" s="27"/>
      <c r="GM91" s="27"/>
      <c r="GN91" s="27"/>
      <c r="GO91" s="27"/>
      <c r="GP91" s="27"/>
      <c r="GQ91" s="27"/>
      <c r="GR91" s="27"/>
      <c r="GS91" s="27"/>
      <c r="GT91" s="27"/>
      <c r="GU91" s="27"/>
      <c r="GV91" s="27"/>
      <c r="GW91" s="27"/>
      <c r="GX91" s="27"/>
      <c r="GY91" s="27"/>
      <c r="GZ91" s="27"/>
      <c r="HA91" s="27"/>
      <c r="HB91" s="27"/>
      <c r="HC91" s="27"/>
      <c r="HD91" s="27"/>
      <c r="HE91" s="27"/>
      <c r="HF91" s="27"/>
      <c r="HG91" s="39"/>
      <c r="HH91" s="46"/>
      <c r="HI91" s="45"/>
      <c r="HJ91" s="45"/>
      <c r="HK91" s="45"/>
      <c r="HL91" s="45"/>
      <c r="HM91" s="25"/>
      <c r="HN91" s="25"/>
      <c r="HO91" s="47"/>
      <c r="HP91" s="47"/>
      <c r="HQ91" s="47"/>
      <c r="HR91" s="47"/>
      <c r="HS91" s="47"/>
      <c r="HT91" s="47"/>
      <c r="HU91" s="47"/>
      <c r="HV91" s="47"/>
      <c r="HW91" s="48"/>
      <c r="HX91" s="48"/>
      <c r="HY91" s="48"/>
      <c r="HZ91" s="48"/>
      <c r="IA91" s="48"/>
      <c r="IB91" s="48"/>
      <c r="IC91" s="48"/>
      <c r="ID91" s="48"/>
      <c r="IE91" s="18"/>
      <c r="IF91" s="18"/>
      <c r="IG91" s="18"/>
      <c r="IH91" s="18"/>
      <c r="II91" s="18"/>
      <c r="IJ91" s="18"/>
      <c r="IK91" s="18"/>
      <c r="IL91" s="18"/>
      <c r="IM91" s="18"/>
      <c r="IN91" s="18"/>
      <c r="IO91" s="18"/>
      <c r="IP91" s="18"/>
      <c r="IQ91" s="18"/>
      <c r="IR91" s="18"/>
      <c r="IS91" s="18"/>
      <c r="IT91" s="18"/>
      <c r="IU91" s="18"/>
      <c r="IV91" s="18"/>
    </row>
    <row r="92" spans="1:256">
      <c r="A92" s="21"/>
      <c r="B92" s="955" t="s">
        <v>2673</v>
      </c>
      <c r="C92" s="51"/>
      <c r="D92" s="16"/>
      <c r="E92" s="16"/>
      <c r="F92" s="16"/>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890"/>
      <c r="AM92" s="890"/>
      <c r="AN92" s="16"/>
      <c r="AO92" s="16"/>
      <c r="AP92" s="16"/>
      <c r="AQ92" s="16"/>
      <c r="AR92" s="16"/>
      <c r="AS92" s="16"/>
      <c r="AT92" s="16"/>
      <c r="AU92" s="16"/>
      <c r="AV92" s="16"/>
      <c r="AW92" s="16"/>
      <c r="AX92" s="16"/>
      <c r="AY92" s="16"/>
      <c r="AZ92" s="16"/>
      <c r="BA92" s="17"/>
      <c r="BB92" s="17"/>
      <c r="BC92" s="16"/>
      <c r="BD92" s="16"/>
      <c r="BE92" s="16"/>
      <c r="BF92" s="16"/>
      <c r="BG92" s="16"/>
      <c r="BH92" s="16"/>
      <c r="BI92" s="16"/>
      <c r="BJ92" s="16"/>
      <c r="BK92" s="16"/>
      <c r="BL92" s="16"/>
      <c r="BM92" s="16"/>
      <c r="BN92" s="16"/>
      <c r="BO92" s="16"/>
      <c r="BP92" s="16"/>
      <c r="BQ92" s="16"/>
      <c r="BR92" s="16"/>
      <c r="BS92" s="16"/>
      <c r="BT92" s="16"/>
      <c r="BU92" s="16"/>
      <c r="BV92" s="16"/>
      <c r="BW92" s="16"/>
      <c r="BX92" s="16"/>
      <c r="BY92" s="16"/>
      <c r="BZ92" s="16"/>
      <c r="CA92" s="16"/>
      <c r="CB92" s="16"/>
      <c r="CC92" s="16"/>
      <c r="CD92" s="16"/>
      <c r="CE92" s="16"/>
      <c r="CF92" s="16"/>
      <c r="CG92" s="16"/>
      <c r="CH92" s="16"/>
      <c r="CI92" s="16"/>
      <c r="CJ92" s="16"/>
      <c r="CK92" s="16"/>
      <c r="CL92" s="16"/>
      <c r="CM92" s="16"/>
      <c r="CN92" s="16"/>
      <c r="CO92" s="16"/>
      <c r="CP92" s="16"/>
      <c r="CQ92" s="16"/>
      <c r="CR92" s="16"/>
      <c r="CS92" s="16"/>
      <c r="CT92" s="16"/>
      <c r="CU92" s="54"/>
      <c r="CV92" s="54"/>
      <c r="CW92" s="54"/>
      <c r="CX92" s="54"/>
      <c r="CY92" s="54"/>
      <c r="CZ92" s="54"/>
      <c r="DA92" s="54"/>
      <c r="DB92" s="54"/>
      <c r="DC92" s="54"/>
      <c r="DD92" s="54"/>
      <c r="DE92" s="54"/>
      <c r="DF92" s="54"/>
      <c r="DG92" s="54"/>
      <c r="DH92" s="54"/>
      <c r="DI92" s="54"/>
      <c r="DJ92" s="54"/>
      <c r="DK92" s="54"/>
      <c r="DL92" s="54"/>
      <c r="DM92" s="54"/>
      <c r="DN92" s="17"/>
      <c r="DO92" s="52"/>
      <c r="DP92" s="17"/>
      <c r="DQ92" s="44"/>
      <c r="DR92" s="44"/>
      <c r="DS92" s="44"/>
      <c r="DT92" s="44"/>
      <c r="DU92" s="44"/>
      <c r="DV92" s="44"/>
      <c r="DW92" s="44"/>
      <c r="DX92" s="44"/>
      <c r="DY92" s="44"/>
      <c r="DZ92" s="44"/>
      <c r="EA92" s="44"/>
      <c r="EB92" s="44"/>
      <c r="EC92" s="44"/>
      <c r="ED92" s="44"/>
      <c r="EE92" s="44"/>
      <c r="EF92" s="44"/>
      <c r="EG92" s="44"/>
      <c r="EH92" s="44"/>
      <c r="EI92" s="44"/>
      <c r="EJ92" s="49"/>
      <c r="EK92" s="38"/>
      <c r="EL92" s="37"/>
      <c r="EM92" s="50"/>
      <c r="EN92" s="50"/>
      <c r="EO92" s="50"/>
      <c r="EP92" s="50"/>
      <c r="EQ92" s="50"/>
      <c r="ER92" s="50"/>
      <c r="ES92" s="50"/>
      <c r="ET92" s="50"/>
      <c r="EU92" s="50"/>
      <c r="EV92" s="50"/>
      <c r="EW92" s="50"/>
      <c r="EX92" s="50"/>
      <c r="EY92" s="50"/>
      <c r="EZ92" s="50"/>
      <c r="FA92" s="50"/>
      <c r="FB92" s="50"/>
      <c r="FC92" s="50"/>
      <c r="FD92" s="50"/>
      <c r="FE92" s="50"/>
      <c r="FF92" s="37"/>
      <c r="FG92" s="31"/>
      <c r="FH92" s="35"/>
      <c r="FI92" s="32"/>
      <c r="FJ92" s="32"/>
      <c r="FK92" s="32"/>
      <c r="FL92" s="32"/>
      <c r="FM92" s="32"/>
      <c r="FN92" s="32"/>
      <c r="FO92" s="32"/>
      <c r="FP92" s="32"/>
      <c r="FQ92" s="32"/>
      <c r="FR92" s="32"/>
      <c r="FS92" s="32"/>
      <c r="FT92" s="32"/>
      <c r="FU92" s="32"/>
      <c r="FV92" s="32"/>
      <c r="FW92" s="32"/>
      <c r="FX92" s="32"/>
      <c r="FY92" s="32"/>
      <c r="FZ92" s="32"/>
      <c r="GA92" s="32"/>
      <c r="GB92" s="33"/>
      <c r="GC92" s="36"/>
      <c r="GD92" s="31"/>
      <c r="GE92" s="27"/>
      <c r="GF92" s="27"/>
      <c r="GG92" s="27"/>
      <c r="GH92" s="27"/>
      <c r="GI92" s="27"/>
      <c r="GJ92" s="27"/>
      <c r="GK92" s="27"/>
      <c r="GL92" s="27"/>
      <c r="GM92" s="27"/>
      <c r="GN92" s="27"/>
      <c r="GO92" s="27"/>
      <c r="GP92" s="27"/>
      <c r="GQ92" s="27"/>
      <c r="GR92" s="27"/>
      <c r="GS92" s="27"/>
      <c r="GT92" s="27"/>
      <c r="GU92" s="27"/>
      <c r="GV92" s="27"/>
      <c r="GW92" s="27"/>
      <c r="GX92" s="27"/>
      <c r="GY92" s="27"/>
      <c r="GZ92" s="27"/>
      <c r="HA92" s="27"/>
      <c r="HB92" s="27"/>
      <c r="HC92" s="27"/>
      <c r="HD92" s="27"/>
      <c r="HE92" s="27"/>
      <c r="HF92" s="27"/>
      <c r="HG92" s="39"/>
      <c r="HH92" s="46"/>
      <c r="HI92" s="45"/>
      <c r="HJ92" s="45"/>
      <c r="HK92" s="45"/>
      <c r="HL92" s="45"/>
      <c r="HM92" s="25"/>
      <c r="HN92" s="25"/>
      <c r="HO92" s="47"/>
      <c r="HP92" s="47"/>
      <c r="HQ92" s="47"/>
      <c r="HR92" s="47"/>
      <c r="HS92" s="47"/>
      <c r="HT92" s="47"/>
      <c r="HU92" s="47"/>
      <c r="HV92" s="47"/>
      <c r="HW92" s="48"/>
      <c r="HX92" s="48"/>
      <c r="HY92" s="48"/>
      <c r="HZ92" s="48"/>
      <c r="IA92" s="48"/>
      <c r="IB92" s="48"/>
      <c r="IC92" s="48"/>
      <c r="ID92" s="48"/>
      <c r="IE92" s="18"/>
      <c r="IF92" s="18"/>
      <c r="IG92" s="18"/>
      <c r="IH92" s="18"/>
      <c r="II92" s="18"/>
      <c r="IJ92" s="18"/>
      <c r="IK92" s="18"/>
      <c r="IL92" s="18"/>
      <c r="IM92" s="18"/>
      <c r="IN92" s="18"/>
      <c r="IO92" s="18"/>
      <c r="IP92" s="18"/>
      <c r="IQ92" s="18"/>
      <c r="IR92" s="18"/>
      <c r="IS92" s="18"/>
      <c r="IT92" s="18"/>
      <c r="IU92" s="18"/>
      <c r="IV92" s="18"/>
    </row>
    <row r="93" spans="1:256">
      <c r="A93" s="21"/>
      <c r="B93" s="955" t="s">
        <v>2674</v>
      </c>
      <c r="C93" s="51"/>
      <c r="D93" s="16"/>
      <c r="E93" s="16"/>
      <c r="F93" s="16"/>
      <c r="G93" s="16"/>
      <c r="H93" s="16"/>
      <c r="I93" s="16"/>
      <c r="J93" s="16"/>
      <c r="K93" s="16"/>
      <c r="L93" s="16"/>
      <c r="M93" s="16"/>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L93" s="890"/>
      <c r="AM93" s="890"/>
      <c r="AN93" s="16"/>
      <c r="AO93" s="16"/>
      <c r="AP93" s="16"/>
      <c r="AQ93" s="16"/>
      <c r="AR93" s="16"/>
      <c r="AS93" s="16"/>
      <c r="AT93" s="16"/>
      <c r="AU93" s="16"/>
      <c r="AV93" s="16"/>
      <c r="AW93" s="16"/>
      <c r="AX93" s="16"/>
      <c r="AY93" s="16"/>
      <c r="AZ93" s="16"/>
      <c r="BA93" s="17"/>
      <c r="BB93" s="17"/>
      <c r="BC93" s="16"/>
      <c r="BD93" s="16"/>
      <c r="BE93" s="16"/>
      <c r="BF93" s="16"/>
      <c r="BG93" s="16"/>
      <c r="BH93" s="16"/>
      <c r="BI93" s="16"/>
      <c r="BJ93" s="16"/>
      <c r="BK93" s="16"/>
      <c r="BL93" s="16"/>
      <c r="BM93" s="16"/>
      <c r="BN93" s="16"/>
      <c r="BO93" s="16"/>
      <c r="BP93" s="16"/>
      <c r="BQ93" s="16"/>
      <c r="BR93" s="16"/>
      <c r="BS93" s="16"/>
      <c r="BT93" s="16"/>
      <c r="BU93" s="16"/>
      <c r="BV93" s="16"/>
      <c r="BW93" s="16"/>
      <c r="BX93" s="16"/>
      <c r="BY93" s="16"/>
      <c r="BZ93" s="16"/>
      <c r="CA93" s="16"/>
      <c r="CB93" s="16"/>
      <c r="CC93" s="16"/>
      <c r="CD93" s="16"/>
      <c r="CE93" s="16"/>
      <c r="CF93" s="16"/>
      <c r="CG93" s="16"/>
      <c r="CH93" s="16"/>
      <c r="CI93" s="16"/>
      <c r="CJ93" s="16"/>
      <c r="CK93" s="16"/>
      <c r="CL93" s="16"/>
      <c r="CM93" s="16"/>
      <c r="CN93" s="16"/>
      <c r="CO93" s="16"/>
      <c r="CP93" s="16"/>
      <c r="CQ93" s="16"/>
      <c r="CR93" s="16"/>
      <c r="CS93" s="16"/>
      <c r="CT93" s="16"/>
      <c r="CU93" s="54"/>
      <c r="CV93" s="54"/>
      <c r="CW93" s="54"/>
      <c r="CX93" s="54"/>
      <c r="CY93" s="54"/>
      <c r="CZ93" s="54"/>
      <c r="DA93" s="54"/>
      <c r="DB93" s="54"/>
      <c r="DC93" s="54"/>
      <c r="DD93" s="54"/>
      <c r="DE93" s="54"/>
      <c r="DF93" s="54"/>
      <c r="DG93" s="54"/>
      <c r="DH93" s="54"/>
      <c r="DI93" s="54"/>
      <c r="DJ93" s="54"/>
      <c r="DK93" s="54"/>
      <c r="DL93" s="54"/>
      <c r="DM93" s="54"/>
      <c r="DN93" s="17"/>
      <c r="DO93" s="52"/>
      <c r="DP93" s="17"/>
      <c r="DQ93" s="44"/>
      <c r="DR93" s="44"/>
      <c r="DS93" s="44"/>
      <c r="DT93" s="44"/>
      <c r="DU93" s="44"/>
      <c r="DV93" s="44"/>
      <c r="DW93" s="44"/>
      <c r="DX93" s="44"/>
      <c r="DY93" s="44"/>
      <c r="DZ93" s="44"/>
      <c r="EA93" s="44"/>
      <c r="EB93" s="44"/>
      <c r="EC93" s="44"/>
      <c r="ED93" s="44"/>
      <c r="EE93" s="44"/>
      <c r="EF93" s="44"/>
      <c r="EG93" s="44"/>
      <c r="EH93" s="44"/>
      <c r="EI93" s="44"/>
      <c r="EJ93" s="49"/>
      <c r="EK93" s="38"/>
      <c r="EL93" s="37"/>
      <c r="EM93" s="50"/>
      <c r="EN93" s="50"/>
      <c r="EO93" s="50"/>
      <c r="EP93" s="50"/>
      <c r="EQ93" s="50"/>
      <c r="ER93" s="50"/>
      <c r="ES93" s="50"/>
      <c r="ET93" s="50"/>
      <c r="EU93" s="50"/>
      <c r="EV93" s="50"/>
      <c r="EW93" s="50"/>
      <c r="EX93" s="50"/>
      <c r="EY93" s="50"/>
      <c r="EZ93" s="50"/>
      <c r="FA93" s="50"/>
      <c r="FB93" s="50"/>
      <c r="FC93" s="50"/>
      <c r="FD93" s="50"/>
      <c r="FE93" s="50"/>
      <c r="FF93" s="37"/>
      <c r="FG93" s="31"/>
      <c r="FH93" s="35"/>
      <c r="FI93" s="32"/>
      <c r="FJ93" s="32"/>
      <c r="FK93" s="32"/>
      <c r="FL93" s="32"/>
      <c r="FM93" s="32"/>
      <c r="FN93" s="32"/>
      <c r="FO93" s="32"/>
      <c r="FP93" s="32"/>
      <c r="FQ93" s="32"/>
      <c r="FR93" s="32"/>
      <c r="FS93" s="32"/>
      <c r="FT93" s="32"/>
      <c r="FU93" s="32"/>
      <c r="FV93" s="32"/>
      <c r="FW93" s="32"/>
      <c r="FX93" s="32"/>
      <c r="FY93" s="32"/>
      <c r="FZ93" s="32"/>
      <c r="GA93" s="32"/>
      <c r="GB93" s="33"/>
      <c r="GC93" s="36"/>
      <c r="GD93" s="31"/>
      <c r="GE93" s="27"/>
      <c r="GF93" s="27"/>
      <c r="GG93" s="27"/>
      <c r="GH93" s="27"/>
      <c r="GI93" s="27"/>
      <c r="GJ93" s="27"/>
      <c r="GK93" s="27"/>
      <c r="GL93" s="27"/>
      <c r="GM93" s="27"/>
      <c r="GN93" s="27"/>
      <c r="GO93" s="27"/>
      <c r="GP93" s="27"/>
      <c r="GQ93" s="27"/>
      <c r="GR93" s="27"/>
      <c r="GS93" s="27"/>
      <c r="GT93" s="27"/>
      <c r="GU93" s="27"/>
      <c r="GV93" s="27"/>
      <c r="GW93" s="27"/>
      <c r="GX93" s="27"/>
      <c r="GY93" s="27"/>
      <c r="GZ93" s="27"/>
      <c r="HA93" s="27"/>
      <c r="HB93" s="27"/>
      <c r="HC93" s="27"/>
      <c r="HD93" s="27"/>
      <c r="HE93" s="27"/>
      <c r="HF93" s="27"/>
      <c r="HG93" s="39"/>
      <c r="HH93" s="46"/>
      <c r="HI93" s="45"/>
      <c r="HJ93" s="45"/>
      <c r="HK93" s="45"/>
      <c r="HL93" s="45"/>
      <c r="HM93" s="25"/>
      <c r="HN93" s="25"/>
      <c r="HO93" s="47"/>
      <c r="HP93" s="47"/>
      <c r="HQ93" s="47"/>
      <c r="HR93" s="47"/>
      <c r="HS93" s="47"/>
      <c r="HT93" s="47"/>
      <c r="HU93" s="47"/>
      <c r="HV93" s="47"/>
      <c r="HW93" s="48"/>
      <c r="HX93" s="48"/>
      <c r="HY93" s="48"/>
      <c r="HZ93" s="48"/>
      <c r="IA93" s="48"/>
      <c r="IB93" s="48"/>
      <c r="IC93" s="48"/>
      <c r="ID93" s="48"/>
      <c r="IE93" s="18"/>
      <c r="IF93" s="18"/>
      <c r="IG93" s="18"/>
      <c r="IH93" s="18"/>
      <c r="II93" s="18"/>
      <c r="IJ93" s="18"/>
      <c r="IK93" s="18"/>
      <c r="IL93" s="18"/>
      <c r="IM93" s="18"/>
      <c r="IN93" s="18"/>
      <c r="IO93" s="18"/>
      <c r="IP93" s="18"/>
      <c r="IQ93" s="18"/>
      <c r="IR93" s="18"/>
      <c r="IS93" s="18"/>
      <c r="IT93" s="18"/>
      <c r="IU93" s="18"/>
      <c r="IV93" s="18"/>
    </row>
    <row r="94" spans="1:256">
      <c r="A94" s="21"/>
      <c r="B94" s="955" t="s">
        <v>2675</v>
      </c>
      <c r="C94" s="51"/>
      <c r="D94" s="16"/>
      <c r="E94" s="16"/>
      <c r="F94" s="16"/>
      <c r="G94" s="16"/>
      <c r="H94" s="16"/>
      <c r="I94" s="16"/>
      <c r="J94" s="16"/>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890"/>
      <c r="AM94" s="890"/>
      <c r="AN94" s="16"/>
      <c r="AO94" s="16"/>
      <c r="AP94" s="16"/>
      <c r="AQ94" s="16"/>
      <c r="AR94" s="16"/>
      <c r="AS94" s="16"/>
      <c r="AT94" s="16"/>
      <c r="AU94" s="16"/>
      <c r="AV94" s="16"/>
      <c r="AW94" s="16"/>
      <c r="AX94" s="16"/>
      <c r="AY94" s="16"/>
      <c r="AZ94" s="16"/>
      <c r="BA94" s="17"/>
      <c r="BB94" s="17"/>
      <c r="BC94" s="16"/>
      <c r="BD94" s="16"/>
      <c r="BE94" s="16"/>
      <c r="BF94" s="16"/>
      <c r="BG94" s="16"/>
      <c r="BH94" s="16"/>
      <c r="BI94" s="16"/>
      <c r="BJ94" s="16"/>
      <c r="BK94" s="16"/>
      <c r="BL94" s="16"/>
      <c r="BM94" s="16"/>
      <c r="BN94" s="16"/>
      <c r="BO94" s="16"/>
      <c r="BP94" s="16"/>
      <c r="BQ94" s="16"/>
      <c r="BR94" s="16"/>
      <c r="BS94" s="16"/>
      <c r="BT94" s="16"/>
      <c r="BU94" s="16"/>
      <c r="BV94" s="16"/>
      <c r="BW94" s="16"/>
      <c r="BX94" s="16"/>
      <c r="BY94" s="16"/>
      <c r="BZ94" s="16"/>
      <c r="CA94" s="16"/>
      <c r="CB94" s="16"/>
      <c r="CC94" s="16"/>
      <c r="CD94" s="16"/>
      <c r="CE94" s="16"/>
      <c r="CF94" s="16"/>
      <c r="CG94" s="16"/>
      <c r="CH94" s="16"/>
      <c r="CI94" s="16"/>
      <c r="CJ94" s="16"/>
      <c r="CK94" s="16"/>
      <c r="CL94" s="16"/>
      <c r="CM94" s="16"/>
      <c r="CN94" s="16"/>
      <c r="CO94" s="16"/>
      <c r="CP94" s="16"/>
      <c r="CQ94" s="16"/>
      <c r="CR94" s="16"/>
      <c r="CS94" s="16"/>
      <c r="CT94" s="16"/>
      <c r="CU94" s="54"/>
      <c r="CV94" s="54"/>
      <c r="CW94" s="54"/>
      <c r="CX94" s="54"/>
      <c r="CY94" s="54"/>
      <c r="CZ94" s="54"/>
      <c r="DA94" s="54"/>
      <c r="DB94" s="54"/>
      <c r="DC94" s="54"/>
      <c r="DD94" s="54"/>
      <c r="DE94" s="54"/>
      <c r="DF94" s="54"/>
      <c r="DG94" s="54"/>
      <c r="DH94" s="54"/>
      <c r="DI94" s="54"/>
      <c r="DJ94" s="54"/>
      <c r="DK94" s="54"/>
      <c r="DL94" s="54"/>
      <c r="DM94" s="54"/>
      <c r="DN94" s="17"/>
      <c r="DO94" s="52"/>
      <c r="DP94" s="17"/>
      <c r="DQ94" s="44"/>
      <c r="DR94" s="44"/>
      <c r="DS94" s="44"/>
      <c r="DT94" s="44"/>
      <c r="DU94" s="44"/>
      <c r="DV94" s="44"/>
      <c r="DW94" s="44"/>
      <c r="DX94" s="44"/>
      <c r="DY94" s="44"/>
      <c r="DZ94" s="44"/>
      <c r="EA94" s="44"/>
      <c r="EB94" s="44"/>
      <c r="EC94" s="44"/>
      <c r="ED94" s="44"/>
      <c r="EE94" s="44"/>
      <c r="EF94" s="44"/>
      <c r="EG94" s="44"/>
      <c r="EH94" s="44"/>
      <c r="EI94" s="44"/>
      <c r="EJ94" s="49"/>
      <c r="EK94" s="38"/>
      <c r="EL94" s="37"/>
      <c r="EM94" s="50"/>
      <c r="EN94" s="50"/>
      <c r="EO94" s="50"/>
      <c r="EP94" s="50"/>
      <c r="EQ94" s="50"/>
      <c r="ER94" s="50"/>
      <c r="ES94" s="50"/>
      <c r="ET94" s="50"/>
      <c r="EU94" s="50"/>
      <c r="EV94" s="50"/>
      <c r="EW94" s="50"/>
      <c r="EX94" s="50"/>
      <c r="EY94" s="50"/>
      <c r="EZ94" s="50"/>
      <c r="FA94" s="50"/>
      <c r="FB94" s="50"/>
      <c r="FC94" s="50"/>
      <c r="FD94" s="50"/>
      <c r="FE94" s="50"/>
      <c r="FF94" s="37"/>
      <c r="FG94" s="31"/>
      <c r="FH94" s="35"/>
      <c r="FI94" s="32"/>
      <c r="FJ94" s="32"/>
      <c r="FK94" s="32"/>
      <c r="FL94" s="32"/>
      <c r="FM94" s="32"/>
      <c r="FN94" s="32"/>
      <c r="FO94" s="32"/>
      <c r="FP94" s="32"/>
      <c r="FQ94" s="32"/>
      <c r="FR94" s="32"/>
      <c r="FS94" s="32"/>
      <c r="FT94" s="32"/>
      <c r="FU94" s="32"/>
      <c r="FV94" s="32"/>
      <c r="FW94" s="32"/>
      <c r="FX94" s="32"/>
      <c r="FY94" s="32"/>
      <c r="FZ94" s="32"/>
      <c r="GA94" s="32"/>
      <c r="GB94" s="33"/>
      <c r="GC94" s="36"/>
      <c r="GD94" s="31"/>
      <c r="GE94" s="27"/>
      <c r="GF94" s="27"/>
      <c r="GG94" s="27"/>
      <c r="GH94" s="27"/>
      <c r="GI94" s="27"/>
      <c r="GJ94" s="27"/>
      <c r="GK94" s="27"/>
      <c r="GL94" s="27"/>
      <c r="GM94" s="27"/>
      <c r="GN94" s="27"/>
      <c r="GO94" s="27"/>
      <c r="GP94" s="27"/>
      <c r="GQ94" s="27"/>
      <c r="GR94" s="27"/>
      <c r="GS94" s="27"/>
      <c r="GT94" s="27"/>
      <c r="GU94" s="27"/>
      <c r="GV94" s="27"/>
      <c r="GW94" s="27"/>
      <c r="GX94" s="27"/>
      <c r="GY94" s="27"/>
      <c r="GZ94" s="27"/>
      <c r="HA94" s="27"/>
      <c r="HB94" s="27"/>
      <c r="HC94" s="27"/>
      <c r="HD94" s="27"/>
      <c r="HE94" s="27"/>
      <c r="HF94" s="27"/>
      <c r="HG94" s="39"/>
      <c r="HH94" s="46"/>
      <c r="HI94" s="45"/>
      <c r="HJ94" s="45"/>
      <c r="HK94" s="45"/>
      <c r="HL94" s="45"/>
      <c r="HM94" s="25"/>
      <c r="HN94" s="25"/>
      <c r="HO94" s="47"/>
      <c r="HP94" s="47"/>
      <c r="HQ94" s="47"/>
      <c r="HR94" s="47"/>
      <c r="HS94" s="47"/>
      <c r="HT94" s="47"/>
      <c r="HU94" s="47"/>
      <c r="HV94" s="47"/>
      <c r="HW94" s="48"/>
      <c r="HX94" s="48"/>
      <c r="HY94" s="48"/>
      <c r="HZ94" s="48"/>
      <c r="IA94" s="48"/>
      <c r="IB94" s="48"/>
      <c r="IC94" s="48"/>
      <c r="ID94" s="48"/>
      <c r="IE94" s="18"/>
      <c r="IF94" s="18"/>
      <c r="IG94" s="18"/>
      <c r="IH94" s="18"/>
      <c r="II94" s="18"/>
      <c r="IJ94" s="18"/>
      <c r="IK94" s="18"/>
      <c r="IL94" s="18"/>
      <c r="IM94" s="18"/>
      <c r="IN94" s="18"/>
      <c r="IO94" s="18"/>
      <c r="IP94" s="18"/>
      <c r="IQ94" s="18"/>
      <c r="IR94" s="18"/>
      <c r="IS94" s="18"/>
      <c r="IT94" s="18"/>
      <c r="IU94" s="18"/>
      <c r="IV94" s="18"/>
    </row>
    <row r="95" spans="1:256">
      <c r="A95" s="21"/>
      <c r="B95" s="955" t="s">
        <v>2676</v>
      </c>
      <c r="C95" s="51"/>
      <c r="D95" s="16"/>
      <c r="E95" s="16"/>
      <c r="F95" s="16"/>
      <c r="G95" s="16"/>
      <c r="H95" s="16"/>
      <c r="I95" s="16"/>
      <c r="J95" s="16"/>
      <c r="K95" s="16"/>
      <c r="L95" s="16"/>
      <c r="M95" s="16"/>
      <c r="N95" s="16"/>
      <c r="O95" s="16"/>
      <c r="P95" s="16"/>
      <c r="Q95" s="16"/>
      <c r="R95" s="16"/>
      <c r="S95" s="16"/>
      <c r="T95" s="16"/>
      <c r="U95" s="16"/>
      <c r="V95" s="16"/>
      <c r="W95" s="16"/>
      <c r="X95" s="16"/>
      <c r="Y95" s="16"/>
      <c r="Z95" s="16"/>
      <c r="AA95" s="16"/>
      <c r="AB95" s="16"/>
      <c r="AC95" s="16"/>
      <c r="AD95" s="16"/>
      <c r="AE95" s="16"/>
      <c r="AF95" s="16"/>
      <c r="AG95" s="16"/>
      <c r="AH95" s="16"/>
      <c r="AI95" s="16"/>
      <c r="AJ95" s="16"/>
      <c r="AK95" s="16"/>
      <c r="AL95" s="890"/>
      <c r="AM95" s="890"/>
      <c r="AN95" s="16"/>
      <c r="AO95" s="16"/>
      <c r="AP95" s="16"/>
      <c r="AQ95" s="16"/>
      <c r="AR95" s="16"/>
      <c r="AS95" s="16"/>
      <c r="AT95" s="16"/>
      <c r="AU95" s="16"/>
      <c r="AV95" s="16"/>
      <c r="AW95" s="16"/>
      <c r="AX95" s="16"/>
      <c r="AY95" s="16"/>
      <c r="AZ95" s="16"/>
      <c r="BA95" s="17"/>
      <c r="BB95" s="17"/>
      <c r="BC95" s="16"/>
      <c r="BD95" s="16"/>
      <c r="BE95" s="16"/>
      <c r="BF95" s="16"/>
      <c r="BG95" s="16"/>
      <c r="BH95" s="16"/>
      <c r="BI95" s="16"/>
      <c r="BJ95" s="16"/>
      <c r="BK95" s="16"/>
      <c r="BL95" s="16"/>
      <c r="BM95" s="16"/>
      <c r="BN95" s="16"/>
      <c r="BO95" s="16"/>
      <c r="BP95" s="16"/>
      <c r="BQ95" s="16"/>
      <c r="BR95" s="16"/>
      <c r="BS95" s="16"/>
      <c r="BT95" s="16"/>
      <c r="BU95" s="16"/>
      <c r="BV95" s="16"/>
      <c r="BW95" s="16"/>
      <c r="BX95" s="16"/>
      <c r="BY95" s="16"/>
      <c r="BZ95" s="16"/>
      <c r="CA95" s="16"/>
      <c r="CB95" s="16"/>
      <c r="CC95" s="16"/>
      <c r="CD95" s="16"/>
      <c r="CE95" s="16"/>
      <c r="CF95" s="16"/>
      <c r="CG95" s="16"/>
      <c r="CH95" s="16"/>
      <c r="CI95" s="16"/>
      <c r="CJ95" s="16"/>
      <c r="CK95" s="16"/>
      <c r="CL95" s="16"/>
      <c r="CM95" s="16"/>
      <c r="CN95" s="16"/>
      <c r="CO95" s="16"/>
      <c r="CP95" s="16"/>
      <c r="CQ95" s="16"/>
      <c r="CR95" s="16"/>
      <c r="CS95" s="16"/>
      <c r="CT95" s="16"/>
      <c r="CU95" s="54"/>
      <c r="CV95" s="54"/>
      <c r="CW95" s="54"/>
      <c r="CX95" s="54"/>
      <c r="CY95" s="54"/>
      <c r="CZ95" s="54"/>
      <c r="DA95" s="54"/>
      <c r="DB95" s="54"/>
      <c r="DC95" s="54"/>
      <c r="DD95" s="54"/>
      <c r="DE95" s="54"/>
      <c r="DF95" s="54"/>
      <c r="DG95" s="54"/>
      <c r="DH95" s="54"/>
      <c r="DI95" s="54"/>
      <c r="DJ95" s="54"/>
      <c r="DK95" s="54"/>
      <c r="DL95" s="54"/>
      <c r="DM95" s="54"/>
      <c r="DN95" s="17"/>
      <c r="DO95" s="52"/>
      <c r="DP95" s="17"/>
      <c r="DQ95" s="44"/>
      <c r="DR95" s="44"/>
      <c r="DS95" s="44"/>
      <c r="DT95" s="44"/>
      <c r="DU95" s="44"/>
      <c r="DV95" s="44"/>
      <c r="DW95" s="44"/>
      <c r="DX95" s="44"/>
      <c r="DY95" s="44"/>
      <c r="DZ95" s="44"/>
      <c r="EA95" s="44"/>
      <c r="EB95" s="44"/>
      <c r="EC95" s="44"/>
      <c r="ED95" s="44"/>
      <c r="EE95" s="44"/>
      <c r="EF95" s="44"/>
      <c r="EG95" s="44"/>
      <c r="EH95" s="44"/>
      <c r="EI95" s="44"/>
      <c r="EJ95" s="49"/>
      <c r="EK95" s="38"/>
      <c r="EL95" s="37"/>
      <c r="EM95" s="50"/>
      <c r="EN95" s="50"/>
      <c r="EO95" s="50"/>
      <c r="EP95" s="50"/>
      <c r="EQ95" s="50"/>
      <c r="ER95" s="50"/>
      <c r="ES95" s="50"/>
      <c r="ET95" s="50"/>
      <c r="EU95" s="50"/>
      <c r="EV95" s="50"/>
      <c r="EW95" s="50"/>
      <c r="EX95" s="50"/>
      <c r="EY95" s="50"/>
      <c r="EZ95" s="50"/>
      <c r="FA95" s="50"/>
      <c r="FB95" s="50"/>
      <c r="FC95" s="50"/>
      <c r="FD95" s="50"/>
      <c r="FE95" s="50"/>
      <c r="FF95" s="37"/>
      <c r="FG95" s="31"/>
      <c r="FH95" s="35"/>
      <c r="FI95" s="32"/>
      <c r="FJ95" s="32"/>
      <c r="FK95" s="32"/>
      <c r="FL95" s="32"/>
      <c r="FM95" s="32"/>
      <c r="FN95" s="32"/>
      <c r="FO95" s="32"/>
      <c r="FP95" s="32"/>
      <c r="FQ95" s="32"/>
      <c r="FR95" s="32"/>
      <c r="FS95" s="32"/>
      <c r="FT95" s="32"/>
      <c r="FU95" s="32"/>
      <c r="FV95" s="32"/>
      <c r="FW95" s="32"/>
      <c r="FX95" s="32"/>
      <c r="FY95" s="32"/>
      <c r="FZ95" s="32"/>
      <c r="GA95" s="32"/>
      <c r="GB95" s="33"/>
      <c r="GC95" s="36"/>
      <c r="GD95" s="31"/>
      <c r="GE95" s="27"/>
      <c r="GF95" s="27"/>
      <c r="GG95" s="27"/>
      <c r="GH95" s="27"/>
      <c r="GI95" s="27"/>
      <c r="GJ95" s="27"/>
      <c r="GK95" s="27"/>
      <c r="GL95" s="27"/>
      <c r="GM95" s="27"/>
      <c r="GN95" s="27"/>
      <c r="GO95" s="27"/>
      <c r="GP95" s="27"/>
      <c r="GQ95" s="27"/>
      <c r="GR95" s="27"/>
      <c r="GS95" s="27"/>
      <c r="GT95" s="27"/>
      <c r="GU95" s="27"/>
      <c r="GV95" s="27"/>
      <c r="GW95" s="27"/>
      <c r="GX95" s="27"/>
      <c r="GY95" s="27"/>
      <c r="GZ95" s="27"/>
      <c r="HA95" s="27"/>
      <c r="HB95" s="27"/>
      <c r="HC95" s="27"/>
      <c r="HD95" s="27"/>
      <c r="HE95" s="27"/>
      <c r="HF95" s="27"/>
      <c r="HG95" s="39"/>
      <c r="HH95" s="46"/>
      <c r="HI95" s="45"/>
      <c r="HJ95" s="45"/>
      <c r="HK95" s="45"/>
      <c r="HL95" s="45"/>
      <c r="HM95" s="25"/>
      <c r="HN95" s="25"/>
      <c r="HO95" s="47"/>
      <c r="HP95" s="47"/>
      <c r="HQ95" s="47"/>
      <c r="HR95" s="47"/>
      <c r="HS95" s="47"/>
      <c r="HT95" s="47"/>
      <c r="HU95" s="47"/>
      <c r="HV95" s="47"/>
      <c r="HW95" s="48"/>
      <c r="HX95" s="48"/>
      <c r="HY95" s="48"/>
      <c r="HZ95" s="48"/>
      <c r="IA95" s="48"/>
      <c r="IB95" s="48"/>
      <c r="IC95" s="48"/>
      <c r="ID95" s="48"/>
      <c r="IE95" s="18"/>
      <c r="IF95" s="18"/>
      <c r="IG95" s="18"/>
      <c r="IH95" s="18"/>
      <c r="II95" s="18"/>
      <c r="IJ95" s="18"/>
      <c r="IK95" s="18"/>
      <c r="IL95" s="18"/>
      <c r="IM95" s="18"/>
      <c r="IN95" s="18"/>
      <c r="IO95" s="18"/>
      <c r="IP95" s="18"/>
      <c r="IQ95" s="18"/>
      <c r="IR95" s="18"/>
      <c r="IS95" s="18"/>
      <c r="IT95" s="18"/>
      <c r="IU95" s="18"/>
      <c r="IV95" s="18"/>
    </row>
    <row r="96" spans="1:256">
      <c r="A96" s="21"/>
      <c r="B96" s="955" t="s">
        <v>2677</v>
      </c>
      <c r="C96" s="51"/>
      <c r="D96" s="16"/>
      <c r="E96" s="16"/>
      <c r="F96" s="16"/>
      <c r="G96" s="16"/>
      <c r="H96" s="16"/>
      <c r="I96" s="16"/>
      <c r="J96" s="16"/>
      <c r="K96" s="16"/>
      <c r="L96" s="16"/>
      <c r="M96" s="16"/>
      <c r="N96" s="16"/>
      <c r="O96" s="16"/>
      <c r="P96" s="16"/>
      <c r="Q96" s="16"/>
      <c r="R96" s="16"/>
      <c r="S96" s="16"/>
      <c r="T96" s="16"/>
      <c r="U96" s="16"/>
      <c r="V96" s="16"/>
      <c r="W96" s="16"/>
      <c r="X96" s="16"/>
      <c r="Y96" s="16"/>
      <c r="Z96" s="16"/>
      <c r="AA96" s="16"/>
      <c r="AB96" s="16"/>
      <c r="AC96" s="16"/>
      <c r="AD96" s="16"/>
      <c r="AE96" s="16"/>
      <c r="AF96" s="16"/>
      <c r="AG96" s="16"/>
      <c r="AH96" s="16"/>
      <c r="AI96" s="16"/>
      <c r="AJ96" s="16"/>
      <c r="AK96" s="16"/>
      <c r="AL96" s="890"/>
      <c r="AM96" s="890"/>
      <c r="AN96" s="16"/>
      <c r="AO96" s="16"/>
      <c r="AP96" s="16"/>
      <c r="AQ96" s="16"/>
      <c r="AR96" s="16"/>
      <c r="AS96" s="16"/>
      <c r="AT96" s="16"/>
      <c r="AU96" s="16"/>
      <c r="AV96" s="16"/>
      <c r="AW96" s="16"/>
      <c r="AX96" s="16"/>
      <c r="AY96" s="16"/>
      <c r="AZ96" s="16"/>
      <c r="BA96" s="17"/>
      <c r="BB96" s="17"/>
      <c r="BC96" s="16"/>
      <c r="BD96" s="16"/>
      <c r="BE96" s="16"/>
      <c r="BF96" s="16"/>
      <c r="BG96" s="16"/>
      <c r="BH96" s="16"/>
      <c r="BI96" s="16"/>
      <c r="BJ96" s="16"/>
      <c r="BK96" s="16"/>
      <c r="BL96" s="16"/>
      <c r="BM96" s="16"/>
      <c r="BN96" s="16"/>
      <c r="BO96" s="16"/>
      <c r="BP96" s="16"/>
      <c r="BQ96" s="16"/>
      <c r="BR96" s="16"/>
      <c r="BS96" s="16"/>
      <c r="BT96" s="16"/>
      <c r="BU96" s="16"/>
      <c r="BV96" s="16"/>
      <c r="BW96" s="16"/>
      <c r="BX96" s="16"/>
      <c r="BY96" s="16"/>
      <c r="BZ96" s="16"/>
      <c r="CA96" s="16"/>
      <c r="CB96" s="16"/>
      <c r="CC96" s="16"/>
      <c r="CD96" s="16"/>
      <c r="CE96" s="16"/>
      <c r="CF96" s="16"/>
      <c r="CG96" s="16"/>
      <c r="CH96" s="16"/>
      <c r="CI96" s="16"/>
      <c r="CJ96" s="16"/>
      <c r="CK96" s="16"/>
      <c r="CL96" s="16"/>
      <c r="CM96" s="16"/>
      <c r="CN96" s="16"/>
      <c r="CO96" s="16"/>
      <c r="CP96" s="16"/>
      <c r="CQ96" s="16"/>
      <c r="CR96" s="16"/>
      <c r="CS96" s="16"/>
      <c r="CT96" s="16"/>
      <c r="CU96" s="54"/>
      <c r="CV96" s="54"/>
      <c r="CW96" s="54"/>
      <c r="CX96" s="54"/>
      <c r="CY96" s="54"/>
      <c r="CZ96" s="54"/>
      <c r="DA96" s="54"/>
      <c r="DB96" s="54"/>
      <c r="DC96" s="54"/>
      <c r="DD96" s="54"/>
      <c r="DE96" s="54"/>
      <c r="DF96" s="54"/>
      <c r="DG96" s="54"/>
      <c r="DH96" s="54"/>
      <c r="DI96" s="54"/>
      <c r="DJ96" s="54"/>
      <c r="DK96" s="54"/>
      <c r="DL96" s="54"/>
      <c r="DM96" s="54"/>
      <c r="DN96" s="17"/>
      <c r="DO96" s="52"/>
      <c r="DP96" s="17"/>
      <c r="DQ96" s="44"/>
      <c r="DR96" s="44"/>
      <c r="DS96" s="44"/>
      <c r="DT96" s="44"/>
      <c r="DU96" s="44"/>
      <c r="DV96" s="44"/>
      <c r="DW96" s="44"/>
      <c r="DX96" s="44"/>
      <c r="DY96" s="44"/>
      <c r="DZ96" s="44"/>
      <c r="EA96" s="44"/>
      <c r="EB96" s="44"/>
      <c r="EC96" s="44"/>
      <c r="ED96" s="44"/>
      <c r="EE96" s="44"/>
      <c r="EF96" s="44"/>
      <c r="EG96" s="44"/>
      <c r="EH96" s="44"/>
      <c r="EI96" s="44"/>
      <c r="EJ96" s="49"/>
      <c r="EK96" s="38"/>
      <c r="EL96" s="37"/>
      <c r="EM96" s="50"/>
      <c r="EN96" s="50"/>
      <c r="EO96" s="50"/>
      <c r="EP96" s="50"/>
      <c r="EQ96" s="50"/>
      <c r="ER96" s="50"/>
      <c r="ES96" s="50"/>
      <c r="ET96" s="50"/>
      <c r="EU96" s="50"/>
      <c r="EV96" s="50"/>
      <c r="EW96" s="50"/>
      <c r="EX96" s="50"/>
      <c r="EY96" s="50"/>
      <c r="EZ96" s="50"/>
      <c r="FA96" s="50"/>
      <c r="FB96" s="50"/>
      <c r="FC96" s="50"/>
      <c r="FD96" s="50"/>
      <c r="FE96" s="50"/>
      <c r="FF96" s="37"/>
      <c r="FG96" s="31"/>
      <c r="FH96" s="35"/>
      <c r="FI96" s="32"/>
      <c r="FJ96" s="32"/>
      <c r="FK96" s="32"/>
      <c r="FL96" s="32"/>
      <c r="FM96" s="32"/>
      <c r="FN96" s="32"/>
      <c r="FO96" s="32"/>
      <c r="FP96" s="32"/>
      <c r="FQ96" s="32"/>
      <c r="FR96" s="32"/>
      <c r="FS96" s="32"/>
      <c r="FT96" s="32"/>
      <c r="FU96" s="32"/>
      <c r="FV96" s="32"/>
      <c r="FW96" s="32"/>
      <c r="FX96" s="32"/>
      <c r="FY96" s="32"/>
      <c r="FZ96" s="32"/>
      <c r="GA96" s="32"/>
      <c r="GB96" s="33"/>
      <c r="GC96" s="36"/>
      <c r="GD96" s="31"/>
      <c r="GE96" s="27"/>
      <c r="GF96" s="27"/>
      <c r="GG96" s="27"/>
      <c r="GH96" s="27"/>
      <c r="GI96" s="27"/>
      <c r="GJ96" s="27"/>
      <c r="GK96" s="27"/>
      <c r="GL96" s="27"/>
      <c r="GM96" s="27"/>
      <c r="GN96" s="27"/>
      <c r="GO96" s="27"/>
      <c r="GP96" s="27"/>
      <c r="GQ96" s="27"/>
      <c r="GR96" s="27"/>
      <c r="GS96" s="27"/>
      <c r="GT96" s="27"/>
      <c r="GU96" s="27"/>
      <c r="GV96" s="27"/>
      <c r="GW96" s="27"/>
      <c r="GX96" s="27"/>
      <c r="GY96" s="27"/>
      <c r="GZ96" s="27"/>
      <c r="HA96" s="27"/>
      <c r="HB96" s="27"/>
      <c r="HC96" s="27"/>
      <c r="HD96" s="27"/>
      <c r="HE96" s="27"/>
      <c r="HF96" s="27"/>
      <c r="HG96" s="39"/>
      <c r="HH96" s="46"/>
      <c r="HI96" s="45"/>
      <c r="HJ96" s="45"/>
      <c r="HK96" s="45"/>
      <c r="HL96" s="45"/>
      <c r="HM96" s="25"/>
      <c r="HN96" s="25"/>
      <c r="HO96" s="47"/>
      <c r="HP96" s="47"/>
      <c r="HQ96" s="47"/>
      <c r="HR96" s="47"/>
      <c r="HS96" s="47"/>
      <c r="HT96" s="47"/>
      <c r="HU96" s="47"/>
      <c r="HV96" s="47"/>
      <c r="HW96" s="48"/>
      <c r="HX96" s="48"/>
      <c r="HY96" s="48"/>
      <c r="HZ96" s="48"/>
      <c r="IA96" s="48"/>
      <c r="IB96" s="48"/>
      <c r="IC96" s="48"/>
      <c r="ID96" s="48"/>
      <c r="IE96" s="18"/>
      <c r="IF96" s="18"/>
      <c r="IG96" s="18"/>
      <c r="IH96" s="18"/>
      <c r="II96" s="18"/>
      <c r="IJ96" s="18"/>
      <c r="IK96" s="18"/>
      <c r="IL96" s="18"/>
      <c r="IM96" s="18"/>
      <c r="IN96" s="18"/>
      <c r="IO96" s="18"/>
      <c r="IP96" s="18"/>
      <c r="IQ96" s="18"/>
      <c r="IR96" s="18"/>
      <c r="IS96" s="18"/>
      <c r="IT96" s="18"/>
      <c r="IU96" s="18"/>
      <c r="IV96" s="18"/>
    </row>
    <row r="97" spans="1:256">
      <c r="A97" s="21"/>
      <c r="B97" s="955" t="s">
        <v>2678</v>
      </c>
      <c r="C97" s="51"/>
      <c r="D97" s="16"/>
      <c r="E97" s="16"/>
      <c r="F97" s="16"/>
      <c r="G97" s="16"/>
      <c r="H97" s="16"/>
      <c r="I97" s="16"/>
      <c r="J97" s="16"/>
      <c r="K97" s="16"/>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890"/>
      <c r="AM97" s="890"/>
      <c r="AN97" s="16"/>
      <c r="AO97" s="16"/>
      <c r="AP97" s="16"/>
      <c r="AQ97" s="16"/>
      <c r="AR97" s="16"/>
      <c r="AS97" s="16"/>
      <c r="AT97" s="16"/>
      <c r="AU97" s="16"/>
      <c r="AV97" s="16"/>
      <c r="AW97" s="16"/>
      <c r="AX97" s="16"/>
      <c r="AY97" s="16"/>
      <c r="AZ97" s="16"/>
      <c r="BA97" s="17"/>
      <c r="BB97" s="17"/>
      <c r="BC97" s="16"/>
      <c r="BD97" s="16"/>
      <c r="BE97" s="16"/>
      <c r="BF97" s="16"/>
      <c r="BG97" s="16"/>
      <c r="BH97" s="16"/>
      <c r="BI97" s="16"/>
      <c r="BJ97" s="16"/>
      <c r="BK97" s="16"/>
      <c r="BL97" s="16"/>
      <c r="BM97" s="16"/>
      <c r="BN97" s="16"/>
      <c r="BO97" s="16"/>
      <c r="BP97" s="16"/>
      <c r="BQ97" s="16"/>
      <c r="BR97" s="16"/>
      <c r="BS97" s="16"/>
      <c r="BT97" s="16"/>
      <c r="BU97" s="16"/>
      <c r="BV97" s="16"/>
      <c r="BW97" s="16"/>
      <c r="BX97" s="16"/>
      <c r="BY97" s="16"/>
      <c r="BZ97" s="16"/>
      <c r="CA97" s="16"/>
      <c r="CB97" s="16"/>
      <c r="CC97" s="16"/>
      <c r="CD97" s="16"/>
      <c r="CE97" s="16"/>
      <c r="CF97" s="16"/>
      <c r="CG97" s="16"/>
      <c r="CH97" s="16"/>
      <c r="CI97" s="16"/>
      <c r="CJ97" s="16"/>
      <c r="CK97" s="16"/>
      <c r="CL97" s="16"/>
      <c r="CM97" s="16"/>
      <c r="CN97" s="16"/>
      <c r="CO97" s="16"/>
      <c r="CP97" s="16"/>
      <c r="CQ97" s="16"/>
      <c r="CR97" s="16"/>
      <c r="CS97" s="16"/>
      <c r="CT97" s="16"/>
      <c r="CU97" s="54"/>
      <c r="CV97" s="54"/>
      <c r="CW97" s="54"/>
      <c r="CX97" s="54"/>
      <c r="CY97" s="54"/>
      <c r="CZ97" s="54"/>
      <c r="DA97" s="54"/>
      <c r="DB97" s="54"/>
      <c r="DC97" s="54"/>
      <c r="DD97" s="54"/>
      <c r="DE97" s="54"/>
      <c r="DF97" s="54"/>
      <c r="DG97" s="54"/>
      <c r="DH97" s="54"/>
      <c r="DI97" s="54"/>
      <c r="DJ97" s="54"/>
      <c r="DK97" s="54"/>
      <c r="DL97" s="54"/>
      <c r="DM97" s="54"/>
      <c r="DN97" s="17"/>
      <c r="DO97" s="52"/>
      <c r="DP97" s="17"/>
      <c r="DQ97" s="44"/>
      <c r="DR97" s="44"/>
      <c r="DS97" s="44"/>
      <c r="DT97" s="44"/>
      <c r="DU97" s="44"/>
      <c r="DV97" s="44"/>
      <c r="DW97" s="44"/>
      <c r="DX97" s="44"/>
      <c r="DY97" s="44"/>
      <c r="DZ97" s="44"/>
      <c r="EA97" s="44"/>
      <c r="EB97" s="44"/>
      <c r="EC97" s="44"/>
      <c r="ED97" s="44"/>
      <c r="EE97" s="44"/>
      <c r="EF97" s="44"/>
      <c r="EG97" s="44"/>
      <c r="EH97" s="44"/>
      <c r="EI97" s="44"/>
      <c r="EJ97" s="49"/>
      <c r="EK97" s="38"/>
      <c r="EL97" s="37"/>
      <c r="EM97" s="50"/>
      <c r="EN97" s="50"/>
      <c r="EO97" s="50"/>
      <c r="EP97" s="50"/>
      <c r="EQ97" s="50"/>
      <c r="ER97" s="50"/>
      <c r="ES97" s="50"/>
      <c r="ET97" s="50"/>
      <c r="EU97" s="50"/>
      <c r="EV97" s="50"/>
      <c r="EW97" s="50"/>
      <c r="EX97" s="50"/>
      <c r="EY97" s="50"/>
      <c r="EZ97" s="50"/>
      <c r="FA97" s="50"/>
      <c r="FB97" s="50"/>
      <c r="FC97" s="50"/>
      <c r="FD97" s="50"/>
      <c r="FE97" s="50"/>
      <c r="FF97" s="37"/>
      <c r="FG97" s="31"/>
      <c r="FH97" s="35"/>
      <c r="FI97" s="32"/>
      <c r="FJ97" s="32"/>
      <c r="FK97" s="32"/>
      <c r="FL97" s="32"/>
      <c r="FM97" s="32"/>
      <c r="FN97" s="32"/>
      <c r="FO97" s="32"/>
      <c r="FP97" s="32"/>
      <c r="FQ97" s="32"/>
      <c r="FR97" s="32"/>
      <c r="FS97" s="32"/>
      <c r="FT97" s="32"/>
      <c r="FU97" s="32"/>
      <c r="FV97" s="32"/>
      <c r="FW97" s="32"/>
      <c r="FX97" s="32"/>
      <c r="FY97" s="32"/>
      <c r="FZ97" s="32"/>
      <c r="GA97" s="32"/>
      <c r="GB97" s="33"/>
      <c r="GC97" s="36"/>
      <c r="GD97" s="31"/>
      <c r="GE97" s="27"/>
      <c r="GF97" s="27"/>
      <c r="GG97" s="27"/>
      <c r="GH97" s="27"/>
      <c r="GI97" s="27"/>
      <c r="GJ97" s="27"/>
      <c r="GK97" s="27"/>
      <c r="GL97" s="27"/>
      <c r="GM97" s="27"/>
      <c r="GN97" s="27"/>
      <c r="GO97" s="27"/>
      <c r="GP97" s="27"/>
      <c r="GQ97" s="27"/>
      <c r="GR97" s="27"/>
      <c r="GS97" s="27"/>
      <c r="GT97" s="27"/>
      <c r="GU97" s="27"/>
      <c r="GV97" s="27"/>
      <c r="GW97" s="27"/>
      <c r="GX97" s="27"/>
      <c r="GY97" s="27"/>
      <c r="GZ97" s="27"/>
      <c r="HA97" s="27"/>
      <c r="HB97" s="27"/>
      <c r="HC97" s="27"/>
      <c r="HD97" s="27"/>
      <c r="HE97" s="27"/>
      <c r="HF97" s="27"/>
      <c r="HG97" s="39"/>
      <c r="HH97" s="46"/>
      <c r="HI97" s="45"/>
      <c r="HJ97" s="45"/>
      <c r="HK97" s="45"/>
      <c r="HL97" s="45"/>
      <c r="HM97" s="25"/>
      <c r="HN97" s="25"/>
      <c r="HO97" s="47"/>
      <c r="HP97" s="47"/>
      <c r="HQ97" s="47"/>
      <c r="HR97" s="47"/>
      <c r="HS97" s="47"/>
      <c r="HT97" s="47"/>
      <c r="HU97" s="47"/>
      <c r="HV97" s="47"/>
      <c r="HW97" s="48"/>
      <c r="HX97" s="48"/>
      <c r="HY97" s="48"/>
      <c r="HZ97" s="48"/>
      <c r="IA97" s="48"/>
      <c r="IB97" s="48"/>
      <c r="IC97" s="48"/>
      <c r="ID97" s="48"/>
      <c r="IE97" s="18"/>
      <c r="IF97" s="18"/>
      <c r="IG97" s="18"/>
      <c r="IH97" s="18"/>
      <c r="II97" s="18"/>
      <c r="IJ97" s="18"/>
      <c r="IK97" s="18"/>
      <c r="IL97" s="18"/>
      <c r="IM97" s="18"/>
      <c r="IN97" s="18"/>
      <c r="IO97" s="18"/>
      <c r="IP97" s="18"/>
      <c r="IQ97" s="18"/>
      <c r="IR97" s="18"/>
      <c r="IS97" s="18"/>
      <c r="IT97" s="18"/>
      <c r="IU97" s="18"/>
      <c r="IV97" s="18"/>
    </row>
    <row r="98" spans="1:256">
      <c r="A98" s="21"/>
      <c r="B98" s="955" t="s">
        <v>2679</v>
      </c>
      <c r="C98" s="51"/>
      <c r="D98" s="16"/>
      <c r="E98" s="16"/>
      <c r="F98" s="16"/>
      <c r="G98" s="16"/>
      <c r="H98" s="16"/>
      <c r="I98" s="16"/>
      <c r="J98" s="16"/>
      <c r="K98" s="16"/>
      <c r="L98" s="16"/>
      <c r="M98" s="16"/>
      <c r="N98" s="16"/>
      <c r="O98" s="16"/>
      <c r="P98" s="16"/>
      <c r="Q98" s="16"/>
      <c r="R98" s="16"/>
      <c r="S98" s="16"/>
      <c r="T98" s="16"/>
      <c r="U98" s="16"/>
      <c r="V98" s="16"/>
      <c r="W98" s="16"/>
      <c r="X98" s="16"/>
      <c r="Y98" s="16"/>
      <c r="Z98" s="16"/>
      <c r="AA98" s="16"/>
      <c r="AB98" s="16"/>
      <c r="AC98" s="16"/>
      <c r="AD98" s="16"/>
      <c r="AE98" s="16"/>
      <c r="AF98" s="16"/>
      <c r="AG98" s="16"/>
      <c r="AH98" s="16"/>
      <c r="AI98" s="16"/>
      <c r="AJ98" s="16"/>
      <c r="AK98" s="16"/>
      <c r="AL98" s="890"/>
      <c r="AM98" s="890"/>
      <c r="AN98" s="16"/>
      <c r="AO98" s="16"/>
      <c r="AP98" s="16"/>
      <c r="AQ98" s="16"/>
      <c r="AR98" s="16"/>
      <c r="AS98" s="16"/>
      <c r="AT98" s="16"/>
      <c r="AU98" s="16"/>
      <c r="AV98" s="16"/>
      <c r="AW98" s="16"/>
      <c r="AX98" s="16"/>
      <c r="AY98" s="16"/>
      <c r="AZ98" s="16"/>
      <c r="BA98" s="17"/>
      <c r="BB98" s="17"/>
      <c r="BC98" s="16"/>
      <c r="BD98" s="16"/>
      <c r="BE98" s="16"/>
      <c r="BF98" s="16"/>
      <c r="BG98" s="16"/>
      <c r="BH98" s="16"/>
      <c r="BI98" s="16"/>
      <c r="BJ98" s="16"/>
      <c r="BK98" s="16"/>
      <c r="BL98" s="16"/>
      <c r="BM98" s="16"/>
      <c r="BN98" s="16"/>
      <c r="BO98" s="16"/>
      <c r="BP98" s="16"/>
      <c r="BQ98" s="16"/>
      <c r="BR98" s="16"/>
      <c r="BS98" s="16"/>
      <c r="BT98" s="16"/>
      <c r="BU98" s="16"/>
      <c r="BV98" s="16"/>
      <c r="BW98" s="16"/>
      <c r="BX98" s="16"/>
      <c r="BY98" s="16"/>
      <c r="BZ98" s="16"/>
      <c r="CA98" s="16"/>
      <c r="CB98" s="16"/>
      <c r="CC98" s="16"/>
      <c r="CD98" s="16"/>
      <c r="CE98" s="16"/>
      <c r="CF98" s="16"/>
      <c r="CG98" s="16"/>
      <c r="CH98" s="16"/>
      <c r="CI98" s="16"/>
      <c r="CJ98" s="16"/>
      <c r="CK98" s="16"/>
      <c r="CL98" s="16"/>
      <c r="CM98" s="16"/>
      <c r="CN98" s="16"/>
      <c r="CO98" s="16"/>
      <c r="CP98" s="16"/>
      <c r="CQ98" s="16"/>
      <c r="CR98" s="16"/>
      <c r="CS98" s="16"/>
      <c r="CT98" s="16"/>
      <c r="CU98" s="54"/>
      <c r="CV98" s="54"/>
      <c r="CW98" s="54"/>
      <c r="CX98" s="54"/>
      <c r="CY98" s="54"/>
      <c r="CZ98" s="54"/>
      <c r="DA98" s="54"/>
      <c r="DB98" s="54"/>
      <c r="DC98" s="54"/>
      <c r="DD98" s="54"/>
      <c r="DE98" s="54"/>
      <c r="DF98" s="54"/>
      <c r="DG98" s="54"/>
      <c r="DH98" s="54"/>
      <c r="DI98" s="54"/>
      <c r="DJ98" s="54"/>
      <c r="DK98" s="54"/>
      <c r="DL98" s="54"/>
      <c r="DM98" s="54"/>
      <c r="DN98" s="17"/>
      <c r="DO98" s="52"/>
      <c r="DP98" s="17"/>
      <c r="DQ98" s="44"/>
      <c r="DR98" s="44"/>
      <c r="DS98" s="44"/>
      <c r="DT98" s="44"/>
      <c r="DU98" s="44"/>
      <c r="DV98" s="44"/>
      <c r="DW98" s="44"/>
      <c r="DX98" s="44"/>
      <c r="DY98" s="44"/>
      <c r="DZ98" s="44"/>
      <c r="EA98" s="44"/>
      <c r="EB98" s="44"/>
      <c r="EC98" s="44"/>
      <c r="ED98" s="44"/>
      <c r="EE98" s="44"/>
      <c r="EF98" s="44"/>
      <c r="EG98" s="44"/>
      <c r="EH98" s="44"/>
      <c r="EI98" s="44"/>
      <c r="EJ98" s="49"/>
      <c r="EK98" s="38"/>
      <c r="EL98" s="37"/>
      <c r="EM98" s="50"/>
      <c r="EN98" s="50"/>
      <c r="EO98" s="50"/>
      <c r="EP98" s="50"/>
      <c r="EQ98" s="50"/>
      <c r="ER98" s="50"/>
      <c r="ES98" s="50"/>
      <c r="ET98" s="50"/>
      <c r="EU98" s="50"/>
      <c r="EV98" s="50"/>
      <c r="EW98" s="50"/>
      <c r="EX98" s="50"/>
      <c r="EY98" s="50"/>
      <c r="EZ98" s="50"/>
      <c r="FA98" s="50"/>
      <c r="FB98" s="50"/>
      <c r="FC98" s="50"/>
      <c r="FD98" s="50"/>
      <c r="FE98" s="50"/>
      <c r="FF98" s="37"/>
      <c r="FG98" s="31"/>
      <c r="FH98" s="35"/>
      <c r="FI98" s="32"/>
      <c r="FJ98" s="32"/>
      <c r="FK98" s="32"/>
      <c r="FL98" s="32"/>
      <c r="FM98" s="32"/>
      <c r="FN98" s="32"/>
      <c r="FO98" s="32"/>
      <c r="FP98" s="32"/>
      <c r="FQ98" s="32"/>
      <c r="FR98" s="32"/>
      <c r="FS98" s="32"/>
      <c r="FT98" s="32"/>
      <c r="FU98" s="32"/>
      <c r="FV98" s="32"/>
      <c r="FW98" s="32"/>
      <c r="FX98" s="32"/>
      <c r="FY98" s="32"/>
      <c r="FZ98" s="32"/>
      <c r="GA98" s="32"/>
      <c r="GB98" s="33"/>
      <c r="GC98" s="36"/>
      <c r="GD98" s="31"/>
      <c r="GE98" s="27"/>
      <c r="GF98" s="27"/>
      <c r="GG98" s="27"/>
      <c r="GH98" s="27"/>
      <c r="GI98" s="27"/>
      <c r="GJ98" s="27"/>
      <c r="GK98" s="27"/>
      <c r="GL98" s="27"/>
      <c r="GM98" s="27"/>
      <c r="GN98" s="27"/>
      <c r="GO98" s="27"/>
      <c r="GP98" s="27"/>
      <c r="GQ98" s="27"/>
      <c r="GR98" s="27"/>
      <c r="GS98" s="27"/>
      <c r="GT98" s="27"/>
      <c r="GU98" s="27"/>
      <c r="GV98" s="27"/>
      <c r="GW98" s="27"/>
      <c r="GX98" s="27"/>
      <c r="GY98" s="27"/>
      <c r="GZ98" s="27"/>
      <c r="HA98" s="27"/>
      <c r="HB98" s="27"/>
      <c r="HC98" s="27"/>
      <c r="HD98" s="27"/>
      <c r="HE98" s="27"/>
      <c r="HF98" s="27"/>
      <c r="HG98" s="39"/>
      <c r="HH98" s="46"/>
      <c r="HI98" s="45"/>
      <c r="HJ98" s="45"/>
      <c r="HK98" s="45"/>
      <c r="HL98" s="45"/>
      <c r="HM98" s="25"/>
      <c r="HN98" s="25"/>
      <c r="HO98" s="47"/>
      <c r="HP98" s="47"/>
      <c r="HQ98" s="47"/>
      <c r="HR98" s="47"/>
      <c r="HS98" s="47"/>
      <c r="HT98" s="47"/>
      <c r="HU98" s="47"/>
      <c r="HV98" s="47"/>
      <c r="HW98" s="48"/>
      <c r="HX98" s="48"/>
      <c r="HY98" s="48"/>
      <c r="HZ98" s="48"/>
      <c r="IA98" s="48"/>
      <c r="IB98" s="48"/>
      <c r="IC98" s="48"/>
      <c r="ID98" s="48"/>
      <c r="IE98" s="18"/>
      <c r="IF98" s="18"/>
      <c r="IG98" s="18"/>
      <c r="IH98" s="18"/>
      <c r="II98" s="18"/>
      <c r="IJ98" s="18"/>
      <c r="IK98" s="18"/>
      <c r="IL98" s="18"/>
      <c r="IM98" s="18"/>
      <c r="IN98" s="18"/>
      <c r="IO98" s="18"/>
      <c r="IP98" s="18"/>
      <c r="IQ98" s="18"/>
      <c r="IR98" s="18"/>
      <c r="IS98" s="18"/>
      <c r="IT98" s="18"/>
      <c r="IU98" s="18"/>
      <c r="IV98" s="18"/>
    </row>
    <row r="99" spans="1:256">
      <c r="A99" s="21"/>
      <c r="B99" s="955" t="s">
        <v>2680</v>
      </c>
      <c r="C99" s="51"/>
      <c r="D99" s="16"/>
      <c r="E99" s="16"/>
      <c r="F99" s="16"/>
      <c r="G99" s="16"/>
      <c r="H99" s="16"/>
      <c r="I99" s="16"/>
      <c r="J99" s="16"/>
      <c r="K99" s="16"/>
      <c r="L99" s="16"/>
      <c r="M99" s="16"/>
      <c r="N99" s="16"/>
      <c r="O99" s="16"/>
      <c r="P99" s="16"/>
      <c r="Q99" s="16"/>
      <c r="R99" s="16"/>
      <c r="S99" s="16"/>
      <c r="T99" s="16"/>
      <c r="U99" s="16"/>
      <c r="V99" s="16"/>
      <c r="W99" s="16"/>
      <c r="X99" s="16"/>
      <c r="Y99" s="16"/>
      <c r="Z99" s="16"/>
      <c r="AA99" s="16"/>
      <c r="AB99" s="16"/>
      <c r="AC99" s="16"/>
      <c r="AD99" s="16"/>
      <c r="AE99" s="16"/>
      <c r="AF99" s="16"/>
      <c r="AG99" s="16"/>
      <c r="AH99" s="16"/>
      <c r="AI99" s="16"/>
      <c r="AJ99" s="16"/>
      <c r="AK99" s="16"/>
      <c r="AL99" s="890"/>
      <c r="AM99" s="890"/>
      <c r="AN99" s="16"/>
      <c r="AO99" s="16"/>
      <c r="AP99" s="16"/>
      <c r="AQ99" s="16"/>
      <c r="AR99" s="16"/>
      <c r="AS99" s="16"/>
      <c r="AT99" s="16"/>
      <c r="AU99" s="16"/>
      <c r="AV99" s="16"/>
      <c r="AW99" s="16"/>
      <c r="AX99" s="16"/>
      <c r="AY99" s="16"/>
      <c r="AZ99" s="16"/>
      <c r="BA99" s="17"/>
      <c r="BB99" s="17"/>
      <c r="BC99" s="16"/>
      <c r="BD99" s="16"/>
      <c r="BE99" s="16"/>
      <c r="BF99" s="16"/>
      <c r="BG99" s="16"/>
      <c r="BH99" s="16"/>
      <c r="BI99" s="16"/>
      <c r="BJ99" s="16"/>
      <c r="BK99" s="16"/>
      <c r="BL99" s="16"/>
      <c r="BM99" s="16"/>
      <c r="BN99" s="16"/>
      <c r="BO99" s="16"/>
      <c r="BP99" s="16"/>
      <c r="BQ99" s="16"/>
      <c r="BR99" s="16"/>
      <c r="BS99" s="16"/>
      <c r="BT99" s="16"/>
      <c r="BU99" s="16"/>
      <c r="BV99" s="16"/>
      <c r="BW99" s="16"/>
      <c r="BX99" s="16"/>
      <c r="BY99" s="16"/>
      <c r="BZ99" s="16"/>
      <c r="CA99" s="16"/>
      <c r="CB99" s="16"/>
      <c r="CC99" s="16"/>
      <c r="CD99" s="16"/>
      <c r="CE99" s="16"/>
      <c r="CF99" s="16"/>
      <c r="CG99" s="16"/>
      <c r="CH99" s="16"/>
      <c r="CI99" s="16"/>
      <c r="CJ99" s="16"/>
      <c r="CK99" s="16"/>
      <c r="CL99" s="16"/>
      <c r="CM99" s="16"/>
      <c r="CN99" s="16"/>
      <c r="CO99" s="16"/>
      <c r="CP99" s="16"/>
      <c r="CQ99" s="16"/>
      <c r="CR99" s="16"/>
      <c r="CS99" s="16"/>
      <c r="CT99" s="16"/>
      <c r="CU99" s="54"/>
      <c r="CV99" s="54"/>
      <c r="CW99" s="54"/>
      <c r="CX99" s="54"/>
      <c r="CY99" s="54"/>
      <c r="CZ99" s="54"/>
      <c r="DA99" s="54"/>
      <c r="DB99" s="54"/>
      <c r="DC99" s="54"/>
      <c r="DD99" s="54"/>
      <c r="DE99" s="54"/>
      <c r="DF99" s="54"/>
      <c r="DG99" s="54"/>
      <c r="DH99" s="54"/>
      <c r="DI99" s="54"/>
      <c r="DJ99" s="54"/>
      <c r="DK99" s="54"/>
      <c r="DL99" s="54"/>
      <c r="DM99" s="54"/>
      <c r="DN99" s="17"/>
      <c r="DO99" s="52"/>
      <c r="DP99" s="17"/>
      <c r="DQ99" s="44"/>
      <c r="DR99" s="44"/>
      <c r="DS99" s="44"/>
      <c r="DT99" s="44"/>
      <c r="DU99" s="44"/>
      <c r="DV99" s="44"/>
      <c r="DW99" s="44"/>
      <c r="DX99" s="44"/>
      <c r="DY99" s="44"/>
      <c r="DZ99" s="44"/>
      <c r="EA99" s="44"/>
      <c r="EB99" s="44"/>
      <c r="EC99" s="44"/>
      <c r="ED99" s="44"/>
      <c r="EE99" s="44"/>
      <c r="EF99" s="44"/>
      <c r="EG99" s="44"/>
      <c r="EH99" s="44"/>
      <c r="EI99" s="44"/>
      <c r="EJ99" s="49"/>
      <c r="EK99" s="38"/>
      <c r="EL99" s="37"/>
      <c r="EM99" s="50"/>
      <c r="EN99" s="50"/>
      <c r="EO99" s="50"/>
      <c r="EP99" s="50"/>
      <c r="EQ99" s="50"/>
      <c r="ER99" s="50"/>
      <c r="ES99" s="50"/>
      <c r="ET99" s="50"/>
      <c r="EU99" s="50"/>
      <c r="EV99" s="50"/>
      <c r="EW99" s="50"/>
      <c r="EX99" s="50"/>
      <c r="EY99" s="50"/>
      <c r="EZ99" s="50"/>
      <c r="FA99" s="50"/>
      <c r="FB99" s="50"/>
      <c r="FC99" s="50"/>
      <c r="FD99" s="50"/>
      <c r="FE99" s="50"/>
      <c r="FF99" s="37"/>
      <c r="FG99" s="31"/>
      <c r="FH99" s="35"/>
      <c r="FI99" s="32"/>
      <c r="FJ99" s="32"/>
      <c r="FK99" s="32"/>
      <c r="FL99" s="32"/>
      <c r="FM99" s="32"/>
      <c r="FN99" s="32"/>
      <c r="FO99" s="32"/>
      <c r="FP99" s="32"/>
      <c r="FQ99" s="32"/>
      <c r="FR99" s="32"/>
      <c r="FS99" s="32"/>
      <c r="FT99" s="32"/>
      <c r="FU99" s="32"/>
      <c r="FV99" s="32"/>
      <c r="FW99" s="32"/>
      <c r="FX99" s="32"/>
      <c r="FY99" s="32"/>
      <c r="FZ99" s="32"/>
      <c r="GA99" s="32"/>
      <c r="GB99" s="33"/>
      <c r="GC99" s="36"/>
      <c r="GD99" s="31"/>
      <c r="GE99" s="27"/>
      <c r="GF99" s="27"/>
      <c r="GG99" s="27"/>
      <c r="GH99" s="27"/>
      <c r="GI99" s="27"/>
      <c r="GJ99" s="27"/>
      <c r="GK99" s="27"/>
      <c r="GL99" s="27"/>
      <c r="GM99" s="27"/>
      <c r="GN99" s="27"/>
      <c r="GO99" s="27"/>
      <c r="GP99" s="27"/>
      <c r="GQ99" s="27"/>
      <c r="GR99" s="27"/>
      <c r="GS99" s="27"/>
      <c r="GT99" s="27"/>
      <c r="GU99" s="27"/>
      <c r="GV99" s="27"/>
      <c r="GW99" s="27"/>
      <c r="GX99" s="27"/>
      <c r="GY99" s="27"/>
      <c r="GZ99" s="27"/>
      <c r="HA99" s="27"/>
      <c r="HB99" s="27"/>
      <c r="HC99" s="27"/>
      <c r="HD99" s="27"/>
      <c r="HE99" s="27"/>
      <c r="HF99" s="27"/>
      <c r="HG99" s="39"/>
      <c r="HH99" s="46"/>
      <c r="HI99" s="45"/>
      <c r="HJ99" s="45"/>
      <c r="HK99" s="45"/>
      <c r="HL99" s="45"/>
      <c r="HM99" s="25"/>
      <c r="HN99" s="25"/>
      <c r="HO99" s="47"/>
      <c r="HP99" s="47"/>
      <c r="HQ99" s="47"/>
      <c r="HR99" s="47"/>
      <c r="HS99" s="47"/>
      <c r="HT99" s="47"/>
      <c r="HU99" s="47"/>
      <c r="HV99" s="47"/>
      <c r="HW99" s="48"/>
      <c r="HX99" s="48"/>
      <c r="HY99" s="48"/>
      <c r="HZ99" s="48"/>
      <c r="IA99" s="48"/>
      <c r="IB99" s="48"/>
      <c r="IC99" s="48"/>
      <c r="ID99" s="48"/>
      <c r="IE99" s="18"/>
      <c r="IF99" s="18"/>
      <c r="IG99" s="18"/>
      <c r="IH99" s="18"/>
      <c r="II99" s="18"/>
      <c r="IJ99" s="18"/>
      <c r="IK99" s="18"/>
      <c r="IL99" s="18"/>
      <c r="IM99" s="18"/>
      <c r="IN99" s="18"/>
      <c r="IO99" s="18"/>
      <c r="IP99" s="18"/>
      <c r="IQ99" s="18"/>
      <c r="IR99" s="18"/>
      <c r="IS99" s="18"/>
      <c r="IT99" s="18"/>
      <c r="IU99" s="18"/>
      <c r="IV99" s="18"/>
    </row>
    <row r="100" spans="1:256">
      <c r="A100" s="21"/>
      <c r="B100" s="955" t="s">
        <v>2681</v>
      </c>
      <c r="C100" s="51"/>
      <c r="D100" s="16"/>
      <c r="E100" s="16"/>
      <c r="F100" s="16"/>
      <c r="G100" s="16"/>
      <c r="H100" s="16"/>
      <c r="I100" s="16"/>
      <c r="J100" s="16"/>
      <c r="K100" s="16"/>
      <c r="L100" s="16"/>
      <c r="M100" s="16"/>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890"/>
      <c r="AM100" s="890"/>
      <c r="AN100" s="16"/>
      <c r="AO100" s="16"/>
      <c r="AP100" s="16"/>
      <c r="AQ100" s="16"/>
      <c r="AR100" s="16"/>
      <c r="AS100" s="16"/>
      <c r="AT100" s="16"/>
      <c r="AU100" s="16"/>
      <c r="AV100" s="16"/>
      <c r="AW100" s="16"/>
      <c r="AX100" s="16"/>
      <c r="AY100" s="16"/>
      <c r="AZ100" s="16"/>
      <c r="BA100" s="17"/>
      <c r="BB100" s="17"/>
      <c r="BC100" s="16"/>
      <c r="BD100" s="16"/>
      <c r="BE100" s="16"/>
      <c r="BF100" s="16"/>
      <c r="BG100" s="16"/>
      <c r="BH100" s="16"/>
      <c r="BI100" s="16"/>
      <c r="BJ100" s="16"/>
      <c r="BK100" s="16"/>
      <c r="BL100" s="16"/>
      <c r="BM100" s="16"/>
      <c r="BN100" s="16"/>
      <c r="BO100" s="16"/>
      <c r="BP100" s="16"/>
      <c r="BQ100" s="16"/>
      <c r="BR100" s="16"/>
      <c r="BS100" s="16"/>
      <c r="BT100" s="16"/>
      <c r="BU100" s="16"/>
      <c r="BV100" s="16"/>
      <c r="BW100" s="16"/>
      <c r="BX100" s="16"/>
      <c r="BY100" s="16"/>
      <c r="BZ100" s="16"/>
      <c r="CA100" s="16"/>
      <c r="CB100" s="16"/>
      <c r="CC100" s="16"/>
      <c r="CD100" s="16"/>
      <c r="CE100" s="16"/>
      <c r="CF100" s="16"/>
      <c r="CG100" s="16"/>
      <c r="CH100" s="16"/>
      <c r="CI100" s="16"/>
      <c r="CJ100" s="16"/>
      <c r="CK100" s="16"/>
      <c r="CL100" s="16"/>
      <c r="CM100" s="16"/>
      <c r="CN100" s="16"/>
      <c r="CO100" s="16"/>
      <c r="CP100" s="16"/>
      <c r="CQ100" s="16"/>
      <c r="CR100" s="16"/>
      <c r="CS100" s="16"/>
      <c r="CT100" s="16"/>
      <c r="CU100" s="54"/>
      <c r="CV100" s="54"/>
      <c r="CW100" s="54"/>
      <c r="CX100" s="54"/>
      <c r="CY100" s="54"/>
      <c r="CZ100" s="54"/>
      <c r="DA100" s="54"/>
      <c r="DB100" s="54"/>
      <c r="DC100" s="54"/>
      <c r="DD100" s="54"/>
      <c r="DE100" s="54"/>
      <c r="DF100" s="54"/>
      <c r="DG100" s="54"/>
      <c r="DH100" s="54"/>
      <c r="DI100" s="54"/>
      <c r="DJ100" s="54"/>
      <c r="DK100" s="54"/>
      <c r="DL100" s="54"/>
      <c r="DM100" s="54"/>
      <c r="DN100" s="17"/>
      <c r="DO100" s="52"/>
      <c r="DP100" s="17"/>
      <c r="DQ100" s="44"/>
      <c r="DR100" s="44"/>
      <c r="DS100" s="44"/>
      <c r="DT100" s="44"/>
      <c r="DU100" s="44"/>
      <c r="DV100" s="44"/>
      <c r="DW100" s="44"/>
      <c r="DX100" s="44"/>
      <c r="DY100" s="44"/>
      <c r="DZ100" s="44"/>
      <c r="EA100" s="44"/>
      <c r="EB100" s="44"/>
      <c r="EC100" s="44"/>
      <c r="ED100" s="44"/>
      <c r="EE100" s="44"/>
      <c r="EF100" s="44"/>
      <c r="EG100" s="44"/>
      <c r="EH100" s="44"/>
      <c r="EI100" s="44"/>
      <c r="EJ100" s="49"/>
      <c r="EK100" s="38"/>
      <c r="EL100" s="37"/>
      <c r="EM100" s="50"/>
      <c r="EN100" s="50"/>
      <c r="EO100" s="50"/>
      <c r="EP100" s="50"/>
      <c r="EQ100" s="50"/>
      <c r="ER100" s="50"/>
      <c r="ES100" s="50"/>
      <c r="ET100" s="50"/>
      <c r="EU100" s="50"/>
      <c r="EV100" s="50"/>
      <c r="EW100" s="50"/>
      <c r="EX100" s="50"/>
      <c r="EY100" s="50"/>
      <c r="EZ100" s="50"/>
      <c r="FA100" s="50"/>
      <c r="FB100" s="50"/>
      <c r="FC100" s="50"/>
      <c r="FD100" s="50"/>
      <c r="FE100" s="50"/>
      <c r="FF100" s="37"/>
      <c r="FG100" s="31"/>
      <c r="FH100" s="35"/>
      <c r="FI100" s="32"/>
      <c r="FJ100" s="32"/>
      <c r="FK100" s="32"/>
      <c r="FL100" s="32"/>
      <c r="FM100" s="32"/>
      <c r="FN100" s="32"/>
      <c r="FO100" s="32"/>
      <c r="FP100" s="32"/>
      <c r="FQ100" s="32"/>
      <c r="FR100" s="32"/>
      <c r="FS100" s="32"/>
      <c r="FT100" s="32"/>
      <c r="FU100" s="32"/>
      <c r="FV100" s="32"/>
      <c r="FW100" s="32"/>
      <c r="FX100" s="32"/>
      <c r="FY100" s="32"/>
      <c r="FZ100" s="32"/>
      <c r="GA100" s="32"/>
      <c r="GB100" s="33"/>
      <c r="GC100" s="36"/>
      <c r="GD100" s="31"/>
      <c r="GE100" s="27"/>
      <c r="GF100" s="27"/>
      <c r="GG100" s="27"/>
      <c r="GH100" s="27"/>
      <c r="GI100" s="27"/>
      <c r="GJ100" s="27"/>
      <c r="GK100" s="27"/>
      <c r="GL100" s="27"/>
      <c r="GM100" s="27"/>
      <c r="GN100" s="27"/>
      <c r="GO100" s="27"/>
      <c r="GP100" s="27"/>
      <c r="GQ100" s="27"/>
      <c r="GR100" s="27"/>
      <c r="GS100" s="27"/>
      <c r="GT100" s="27"/>
      <c r="GU100" s="27"/>
      <c r="GV100" s="27"/>
      <c r="GW100" s="27"/>
      <c r="GX100" s="27"/>
      <c r="GY100" s="27"/>
      <c r="GZ100" s="27"/>
      <c r="HA100" s="27"/>
      <c r="HB100" s="27"/>
      <c r="HC100" s="27"/>
      <c r="HD100" s="27"/>
      <c r="HE100" s="27"/>
      <c r="HF100" s="27"/>
      <c r="HG100" s="39"/>
      <c r="HH100" s="46"/>
      <c r="HI100" s="45"/>
      <c r="HJ100" s="45"/>
      <c r="HK100" s="45"/>
      <c r="HL100" s="45"/>
      <c r="HM100" s="25"/>
      <c r="HN100" s="25"/>
      <c r="HO100" s="47"/>
      <c r="HP100" s="47"/>
      <c r="HQ100" s="47"/>
      <c r="HR100" s="47"/>
      <c r="HS100" s="47"/>
      <c r="HT100" s="47"/>
      <c r="HU100" s="47"/>
      <c r="HV100" s="47"/>
      <c r="HW100" s="48"/>
      <c r="HX100" s="48"/>
      <c r="HY100" s="48"/>
      <c r="HZ100" s="48"/>
      <c r="IA100" s="48"/>
      <c r="IB100" s="48"/>
      <c r="IC100" s="48"/>
      <c r="ID100" s="48"/>
      <c r="IE100" s="18"/>
      <c r="IF100" s="18"/>
      <c r="IG100" s="18"/>
      <c r="IH100" s="18"/>
      <c r="II100" s="18"/>
      <c r="IJ100" s="18"/>
      <c r="IK100" s="18"/>
      <c r="IL100" s="18"/>
      <c r="IM100" s="18"/>
      <c r="IN100" s="18"/>
      <c r="IO100" s="18"/>
      <c r="IP100" s="18"/>
      <c r="IQ100" s="18"/>
      <c r="IR100" s="18"/>
      <c r="IS100" s="18"/>
      <c r="IT100" s="18"/>
      <c r="IU100" s="18"/>
      <c r="IV100" s="18"/>
    </row>
    <row r="101" spans="1:256">
      <c r="A101" s="21"/>
      <c r="B101" s="955" t="s">
        <v>2682</v>
      </c>
      <c r="C101" s="51"/>
      <c r="D101" s="16"/>
      <c r="E101" s="16"/>
      <c r="F101" s="16"/>
      <c r="G101" s="16"/>
      <c r="H101" s="16"/>
      <c r="I101" s="16"/>
      <c r="J101" s="16"/>
      <c r="K101" s="16"/>
      <c r="L101" s="16"/>
      <c r="M101" s="16"/>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c r="AK101" s="16"/>
      <c r="AL101" s="890"/>
      <c r="AM101" s="890"/>
      <c r="AN101" s="16"/>
      <c r="AO101" s="16"/>
      <c r="AP101" s="16"/>
      <c r="AQ101" s="16"/>
      <c r="AR101" s="16"/>
      <c r="AS101" s="16"/>
      <c r="AT101" s="16"/>
      <c r="AU101" s="16"/>
      <c r="AV101" s="16"/>
      <c r="AW101" s="16"/>
      <c r="AX101" s="16"/>
      <c r="AY101" s="16"/>
      <c r="AZ101" s="16"/>
      <c r="BA101" s="17"/>
      <c r="BB101" s="17"/>
      <c r="BC101" s="16"/>
      <c r="BD101" s="16"/>
      <c r="BE101" s="16"/>
      <c r="BF101" s="16"/>
      <c r="BG101" s="16"/>
      <c r="BH101" s="16"/>
      <c r="BI101" s="16"/>
      <c r="BJ101" s="16"/>
      <c r="BK101" s="16"/>
      <c r="BL101" s="16"/>
      <c r="BM101" s="16"/>
      <c r="BN101" s="16"/>
      <c r="BO101" s="16"/>
      <c r="BP101" s="16"/>
      <c r="BQ101" s="16"/>
      <c r="BR101" s="16"/>
      <c r="BS101" s="16"/>
      <c r="BT101" s="16"/>
      <c r="BU101" s="16"/>
      <c r="BV101" s="16"/>
      <c r="BW101" s="16"/>
      <c r="BX101" s="16"/>
      <c r="BY101" s="16"/>
      <c r="BZ101" s="16"/>
      <c r="CA101" s="16"/>
      <c r="CB101" s="16"/>
      <c r="CC101" s="16"/>
      <c r="CD101" s="16"/>
      <c r="CE101" s="16"/>
      <c r="CF101" s="16"/>
      <c r="CG101" s="16"/>
      <c r="CH101" s="16"/>
      <c r="CI101" s="16"/>
      <c r="CJ101" s="16"/>
      <c r="CK101" s="16"/>
      <c r="CL101" s="16"/>
      <c r="CM101" s="16"/>
      <c r="CN101" s="16"/>
      <c r="CO101" s="16"/>
      <c r="CP101" s="16"/>
      <c r="CQ101" s="16"/>
      <c r="CR101" s="16"/>
      <c r="CS101" s="16"/>
      <c r="CT101" s="16"/>
      <c r="CU101" s="54"/>
      <c r="CV101" s="54"/>
      <c r="CW101" s="54"/>
      <c r="CX101" s="54"/>
      <c r="CY101" s="54"/>
      <c r="CZ101" s="54"/>
      <c r="DA101" s="54"/>
      <c r="DB101" s="54"/>
      <c r="DC101" s="54"/>
      <c r="DD101" s="54"/>
      <c r="DE101" s="54"/>
      <c r="DF101" s="54"/>
      <c r="DG101" s="54"/>
      <c r="DH101" s="54"/>
      <c r="DI101" s="54"/>
      <c r="DJ101" s="54"/>
      <c r="DK101" s="54"/>
      <c r="DL101" s="54"/>
      <c r="DM101" s="54"/>
      <c r="DN101" s="17"/>
      <c r="DO101" s="52"/>
      <c r="DP101" s="17"/>
      <c r="DQ101" s="44"/>
      <c r="DR101" s="44"/>
      <c r="DS101" s="44"/>
      <c r="DT101" s="44"/>
      <c r="DU101" s="44"/>
      <c r="DV101" s="44"/>
      <c r="DW101" s="44"/>
      <c r="DX101" s="44"/>
      <c r="DY101" s="44"/>
      <c r="DZ101" s="44"/>
      <c r="EA101" s="44"/>
      <c r="EB101" s="44"/>
      <c r="EC101" s="44"/>
      <c r="ED101" s="44"/>
      <c r="EE101" s="44"/>
      <c r="EF101" s="44"/>
      <c r="EG101" s="44"/>
      <c r="EH101" s="44"/>
      <c r="EI101" s="44"/>
      <c r="EJ101" s="49"/>
      <c r="EK101" s="38"/>
      <c r="EL101" s="37"/>
      <c r="EM101" s="50"/>
      <c r="EN101" s="50"/>
      <c r="EO101" s="50"/>
      <c r="EP101" s="50"/>
      <c r="EQ101" s="50"/>
      <c r="ER101" s="50"/>
      <c r="ES101" s="50"/>
      <c r="ET101" s="50"/>
      <c r="EU101" s="50"/>
      <c r="EV101" s="50"/>
      <c r="EW101" s="50"/>
      <c r="EX101" s="50"/>
      <c r="EY101" s="50"/>
      <c r="EZ101" s="50"/>
      <c r="FA101" s="50"/>
      <c r="FB101" s="50"/>
      <c r="FC101" s="50"/>
      <c r="FD101" s="50"/>
      <c r="FE101" s="50"/>
      <c r="FF101" s="37"/>
      <c r="FG101" s="31"/>
      <c r="FH101" s="35"/>
      <c r="FI101" s="32"/>
      <c r="FJ101" s="32"/>
      <c r="FK101" s="32"/>
      <c r="FL101" s="32"/>
      <c r="FM101" s="32"/>
      <c r="FN101" s="32"/>
      <c r="FO101" s="32"/>
      <c r="FP101" s="32"/>
      <c r="FQ101" s="32"/>
      <c r="FR101" s="32"/>
      <c r="FS101" s="32"/>
      <c r="FT101" s="32"/>
      <c r="FU101" s="32"/>
      <c r="FV101" s="32"/>
      <c r="FW101" s="32"/>
      <c r="FX101" s="32"/>
      <c r="FY101" s="32"/>
      <c r="FZ101" s="32"/>
      <c r="GA101" s="32"/>
      <c r="GB101" s="33"/>
      <c r="GC101" s="36"/>
      <c r="GD101" s="31"/>
      <c r="GE101" s="27"/>
      <c r="GF101" s="27"/>
      <c r="GG101" s="27"/>
      <c r="GH101" s="27"/>
      <c r="GI101" s="27"/>
      <c r="GJ101" s="27"/>
      <c r="GK101" s="27"/>
      <c r="GL101" s="27"/>
      <c r="GM101" s="27"/>
      <c r="GN101" s="27"/>
      <c r="GO101" s="27"/>
      <c r="GP101" s="27"/>
      <c r="GQ101" s="27"/>
      <c r="GR101" s="27"/>
      <c r="GS101" s="27"/>
      <c r="GT101" s="27"/>
      <c r="GU101" s="27"/>
      <c r="GV101" s="27"/>
      <c r="GW101" s="27"/>
      <c r="GX101" s="27"/>
      <c r="GY101" s="27"/>
      <c r="GZ101" s="27"/>
      <c r="HA101" s="27"/>
      <c r="HB101" s="27"/>
      <c r="HC101" s="27"/>
      <c r="HD101" s="27"/>
      <c r="HE101" s="27"/>
      <c r="HF101" s="27"/>
      <c r="HG101" s="39"/>
      <c r="HH101" s="46"/>
      <c r="HI101" s="45"/>
      <c r="HJ101" s="45"/>
      <c r="HK101" s="45"/>
      <c r="HL101" s="45"/>
      <c r="HM101" s="25"/>
      <c r="HN101" s="25"/>
      <c r="HO101" s="47"/>
      <c r="HP101" s="47"/>
      <c r="HQ101" s="47"/>
      <c r="HR101" s="47"/>
      <c r="HS101" s="47"/>
      <c r="HT101" s="47"/>
      <c r="HU101" s="47"/>
      <c r="HV101" s="47"/>
      <c r="HW101" s="48"/>
      <c r="HX101" s="48"/>
      <c r="HY101" s="48"/>
      <c r="HZ101" s="48"/>
      <c r="IA101" s="48"/>
      <c r="IB101" s="48"/>
      <c r="IC101" s="48"/>
      <c r="ID101" s="48"/>
      <c r="IE101" s="18"/>
      <c r="IF101" s="18"/>
      <c r="IG101" s="18"/>
      <c r="IH101" s="18"/>
      <c r="II101" s="18"/>
      <c r="IJ101" s="18"/>
      <c r="IK101" s="18"/>
      <c r="IL101" s="18"/>
      <c r="IM101" s="18"/>
      <c r="IN101" s="18"/>
      <c r="IO101" s="18"/>
      <c r="IP101" s="18"/>
      <c r="IQ101" s="18"/>
      <c r="IR101" s="18"/>
      <c r="IS101" s="18"/>
      <c r="IT101" s="18"/>
      <c r="IU101" s="18"/>
      <c r="IV101" s="18"/>
    </row>
    <row r="102" spans="1:256">
      <c r="A102" s="21"/>
      <c r="B102" s="955" t="s">
        <v>2683</v>
      </c>
      <c r="C102" s="51"/>
      <c r="D102" s="16"/>
      <c r="E102" s="16"/>
      <c r="F102" s="16"/>
      <c r="G102" s="16"/>
      <c r="H102" s="16"/>
      <c r="I102" s="16"/>
      <c r="J102" s="16"/>
      <c r="K102" s="16"/>
      <c r="L102" s="16"/>
      <c r="M102" s="16"/>
      <c r="N102" s="16"/>
      <c r="O102" s="16"/>
      <c r="P102" s="16"/>
      <c r="Q102" s="16"/>
      <c r="R102" s="16"/>
      <c r="S102" s="16"/>
      <c r="T102" s="16"/>
      <c r="U102" s="16"/>
      <c r="V102" s="16"/>
      <c r="W102" s="16"/>
      <c r="X102" s="16"/>
      <c r="Y102" s="16"/>
      <c r="Z102" s="16"/>
      <c r="AA102" s="16"/>
      <c r="AB102" s="16"/>
      <c r="AC102" s="16"/>
      <c r="AD102" s="16"/>
      <c r="AE102" s="16"/>
      <c r="AF102" s="16"/>
      <c r="AG102" s="16"/>
      <c r="AH102" s="16"/>
      <c r="AI102" s="16"/>
      <c r="AJ102" s="16"/>
      <c r="AK102" s="16"/>
      <c r="AL102" s="890"/>
      <c r="AM102" s="890"/>
      <c r="AN102" s="16"/>
      <c r="AO102" s="16"/>
      <c r="AP102" s="16"/>
      <c r="AQ102" s="16"/>
      <c r="AR102" s="16"/>
      <c r="AS102" s="16"/>
      <c r="AT102" s="16"/>
      <c r="AU102" s="16"/>
      <c r="AV102" s="16"/>
      <c r="AW102" s="16"/>
      <c r="AX102" s="16"/>
      <c r="AY102" s="16"/>
      <c r="AZ102" s="16"/>
      <c r="BA102" s="17"/>
      <c r="BB102" s="17"/>
      <c r="BC102" s="16"/>
      <c r="BD102" s="16"/>
      <c r="BE102" s="16"/>
      <c r="BF102" s="16"/>
      <c r="BG102" s="16"/>
      <c r="BH102" s="16"/>
      <c r="BI102" s="16"/>
      <c r="BJ102" s="16"/>
      <c r="BK102" s="16"/>
      <c r="BL102" s="16"/>
      <c r="BM102" s="16"/>
      <c r="BN102" s="16"/>
      <c r="BO102" s="16"/>
      <c r="BP102" s="16"/>
      <c r="BQ102" s="16"/>
      <c r="BR102" s="16"/>
      <c r="BS102" s="16"/>
      <c r="BT102" s="16"/>
      <c r="BU102" s="16"/>
      <c r="BV102" s="16"/>
      <c r="BW102" s="16"/>
      <c r="BX102" s="16"/>
      <c r="BY102" s="16"/>
      <c r="BZ102" s="16"/>
      <c r="CA102" s="16"/>
      <c r="CB102" s="16"/>
      <c r="CC102" s="16"/>
      <c r="CD102" s="16"/>
      <c r="CE102" s="16"/>
      <c r="CF102" s="16"/>
      <c r="CG102" s="16"/>
      <c r="CH102" s="16"/>
      <c r="CI102" s="16"/>
      <c r="CJ102" s="16"/>
      <c r="CK102" s="16"/>
      <c r="CL102" s="16"/>
      <c r="CM102" s="16"/>
      <c r="CN102" s="16"/>
      <c r="CO102" s="16"/>
      <c r="CP102" s="16"/>
      <c r="CQ102" s="16"/>
      <c r="CR102" s="16"/>
      <c r="CS102" s="16"/>
      <c r="CT102" s="16"/>
      <c r="CU102" s="54"/>
      <c r="CV102" s="54"/>
      <c r="CW102" s="54"/>
      <c r="CX102" s="54"/>
      <c r="CY102" s="54"/>
      <c r="CZ102" s="54"/>
      <c r="DA102" s="54"/>
      <c r="DB102" s="54"/>
      <c r="DC102" s="54"/>
      <c r="DD102" s="54"/>
      <c r="DE102" s="54"/>
      <c r="DF102" s="54"/>
      <c r="DG102" s="54"/>
      <c r="DH102" s="54"/>
      <c r="DI102" s="54"/>
      <c r="DJ102" s="54"/>
      <c r="DK102" s="54"/>
      <c r="DL102" s="54"/>
      <c r="DM102" s="54"/>
      <c r="DN102" s="17"/>
      <c r="DO102" s="52"/>
      <c r="DP102" s="17"/>
      <c r="DQ102" s="44"/>
      <c r="DR102" s="44"/>
      <c r="DS102" s="44"/>
      <c r="DT102" s="44"/>
      <c r="DU102" s="44"/>
      <c r="DV102" s="44"/>
      <c r="DW102" s="44"/>
      <c r="DX102" s="44"/>
      <c r="DY102" s="44"/>
      <c r="DZ102" s="44"/>
      <c r="EA102" s="44"/>
      <c r="EB102" s="44"/>
      <c r="EC102" s="44"/>
      <c r="ED102" s="44"/>
      <c r="EE102" s="44"/>
      <c r="EF102" s="44"/>
      <c r="EG102" s="44"/>
      <c r="EH102" s="44"/>
      <c r="EI102" s="44"/>
      <c r="EJ102" s="49"/>
      <c r="EK102" s="38"/>
      <c r="EL102" s="37"/>
      <c r="EM102" s="50"/>
      <c r="EN102" s="50"/>
      <c r="EO102" s="50"/>
      <c r="EP102" s="50"/>
      <c r="EQ102" s="50"/>
      <c r="ER102" s="50"/>
      <c r="ES102" s="50"/>
      <c r="ET102" s="50"/>
      <c r="EU102" s="50"/>
      <c r="EV102" s="50"/>
      <c r="EW102" s="50"/>
      <c r="EX102" s="50"/>
      <c r="EY102" s="50"/>
      <c r="EZ102" s="50"/>
      <c r="FA102" s="50"/>
      <c r="FB102" s="50"/>
      <c r="FC102" s="50"/>
      <c r="FD102" s="50"/>
      <c r="FE102" s="50"/>
      <c r="FF102" s="37"/>
      <c r="FG102" s="31"/>
      <c r="FH102" s="35"/>
      <c r="FI102" s="32"/>
      <c r="FJ102" s="32"/>
      <c r="FK102" s="32"/>
      <c r="FL102" s="32"/>
      <c r="FM102" s="32"/>
      <c r="FN102" s="32"/>
      <c r="FO102" s="32"/>
      <c r="FP102" s="32"/>
      <c r="FQ102" s="32"/>
      <c r="FR102" s="32"/>
      <c r="FS102" s="32"/>
      <c r="FT102" s="32"/>
      <c r="FU102" s="32"/>
      <c r="FV102" s="32"/>
      <c r="FW102" s="32"/>
      <c r="FX102" s="32"/>
      <c r="FY102" s="32"/>
      <c r="FZ102" s="32"/>
      <c r="GA102" s="32"/>
      <c r="GB102" s="33"/>
      <c r="GC102" s="36"/>
      <c r="GD102" s="31"/>
      <c r="GE102" s="27"/>
      <c r="GF102" s="27"/>
      <c r="GG102" s="27"/>
      <c r="GH102" s="27"/>
      <c r="GI102" s="27"/>
      <c r="GJ102" s="27"/>
      <c r="GK102" s="27"/>
      <c r="GL102" s="27"/>
      <c r="GM102" s="27"/>
      <c r="GN102" s="27"/>
      <c r="GO102" s="27"/>
      <c r="GP102" s="27"/>
      <c r="GQ102" s="27"/>
      <c r="GR102" s="27"/>
      <c r="GS102" s="27"/>
      <c r="GT102" s="27"/>
      <c r="GU102" s="27"/>
      <c r="GV102" s="27"/>
      <c r="GW102" s="27"/>
      <c r="GX102" s="27"/>
      <c r="GY102" s="27"/>
      <c r="GZ102" s="27"/>
      <c r="HA102" s="27"/>
      <c r="HB102" s="27"/>
      <c r="HC102" s="27"/>
      <c r="HD102" s="27"/>
      <c r="HE102" s="27"/>
      <c r="HF102" s="27"/>
      <c r="HG102" s="39"/>
      <c r="HH102" s="46"/>
      <c r="HI102" s="45"/>
      <c r="HJ102" s="45"/>
      <c r="HK102" s="45"/>
      <c r="HL102" s="45"/>
      <c r="HM102" s="25"/>
      <c r="HN102" s="25"/>
      <c r="HO102" s="47"/>
      <c r="HP102" s="47"/>
      <c r="HQ102" s="47"/>
      <c r="HR102" s="47"/>
      <c r="HS102" s="47"/>
      <c r="HT102" s="47"/>
      <c r="HU102" s="47"/>
      <c r="HV102" s="47"/>
      <c r="HW102" s="48"/>
      <c r="HX102" s="48"/>
      <c r="HY102" s="48"/>
      <c r="HZ102" s="48"/>
      <c r="IA102" s="48"/>
      <c r="IB102" s="48"/>
      <c r="IC102" s="48"/>
      <c r="ID102" s="48"/>
      <c r="IE102" s="18"/>
      <c r="IF102" s="18"/>
      <c r="IG102" s="18"/>
      <c r="IH102" s="18"/>
      <c r="II102" s="18"/>
      <c r="IJ102" s="18"/>
      <c r="IK102" s="18"/>
      <c r="IL102" s="18"/>
      <c r="IM102" s="18"/>
      <c r="IN102" s="18"/>
      <c r="IO102" s="18"/>
      <c r="IP102" s="18"/>
      <c r="IQ102" s="18"/>
      <c r="IR102" s="18"/>
      <c r="IS102" s="18"/>
      <c r="IT102" s="18"/>
      <c r="IU102" s="18"/>
      <c r="IV102" s="18"/>
    </row>
    <row r="103" spans="1:256">
      <c r="A103" s="21"/>
      <c r="B103" s="16"/>
      <c r="C103" s="51"/>
      <c r="D103" s="16"/>
      <c r="E103" s="16"/>
      <c r="F103" s="16"/>
      <c r="G103" s="16"/>
      <c r="H103" s="16"/>
      <c r="I103" s="16"/>
      <c r="J103" s="16"/>
      <c r="K103" s="16"/>
      <c r="L103" s="16"/>
      <c r="M103" s="16"/>
      <c r="N103" s="16"/>
      <c r="O103" s="16"/>
      <c r="P103" s="16"/>
      <c r="Q103" s="16"/>
      <c r="R103" s="16"/>
      <c r="S103" s="16"/>
      <c r="T103" s="16"/>
      <c r="U103" s="16"/>
      <c r="V103" s="16"/>
      <c r="W103" s="16"/>
      <c r="X103" s="16"/>
      <c r="Y103" s="16"/>
      <c r="Z103" s="16"/>
      <c r="AA103" s="16"/>
      <c r="AB103" s="16"/>
      <c r="AC103" s="16"/>
      <c r="AD103" s="16"/>
      <c r="AE103" s="16"/>
      <c r="AF103" s="16"/>
      <c r="AG103" s="16"/>
      <c r="AH103" s="16"/>
      <c r="AI103" s="16"/>
      <c r="AJ103" s="16"/>
      <c r="AK103" s="16"/>
      <c r="AL103" s="890"/>
      <c r="AM103" s="890"/>
      <c r="AN103" s="16"/>
      <c r="AO103" s="16"/>
      <c r="AP103" s="16"/>
      <c r="AQ103" s="16"/>
      <c r="AR103" s="16"/>
      <c r="AS103" s="16"/>
      <c r="AT103" s="16"/>
      <c r="AU103" s="16"/>
      <c r="AV103" s="16"/>
      <c r="AW103" s="16"/>
      <c r="AX103" s="16"/>
      <c r="AY103" s="16"/>
      <c r="AZ103" s="16"/>
      <c r="BA103" s="17"/>
      <c r="BB103" s="17"/>
      <c r="BC103" s="16"/>
      <c r="BD103" s="16"/>
      <c r="BE103" s="16"/>
      <c r="BF103" s="16"/>
      <c r="BG103" s="16"/>
      <c r="BH103" s="16"/>
      <c r="BI103" s="16"/>
      <c r="BJ103" s="16"/>
      <c r="BK103" s="16"/>
      <c r="BL103" s="16"/>
      <c r="BM103" s="16"/>
      <c r="BN103" s="16"/>
      <c r="BO103" s="16"/>
      <c r="BP103" s="16"/>
      <c r="BQ103" s="16"/>
      <c r="BR103" s="16"/>
      <c r="BS103" s="16"/>
      <c r="BT103" s="16"/>
      <c r="BU103" s="16"/>
      <c r="BV103" s="16"/>
      <c r="BW103" s="16"/>
      <c r="BX103" s="16"/>
      <c r="BY103" s="16"/>
      <c r="BZ103" s="16"/>
      <c r="CA103" s="16"/>
      <c r="CB103" s="16"/>
      <c r="CC103" s="16"/>
      <c r="CD103" s="16"/>
      <c r="CE103" s="16"/>
      <c r="CF103" s="16"/>
      <c r="CG103" s="16"/>
      <c r="CH103" s="16"/>
      <c r="CI103" s="16"/>
      <c r="CJ103" s="16"/>
      <c r="CK103" s="16"/>
      <c r="CL103" s="16"/>
      <c r="CM103" s="16"/>
      <c r="CN103" s="16"/>
      <c r="CO103" s="16"/>
      <c r="CP103" s="16"/>
      <c r="CQ103" s="16"/>
      <c r="CR103" s="16"/>
      <c r="CS103" s="16"/>
      <c r="CT103" s="16"/>
      <c r="CU103" s="54"/>
      <c r="CV103" s="54"/>
      <c r="CW103" s="54"/>
      <c r="CX103" s="54"/>
      <c r="CY103" s="54"/>
      <c r="CZ103" s="54"/>
      <c r="DA103" s="54"/>
      <c r="DB103" s="54"/>
      <c r="DC103" s="54"/>
      <c r="DD103" s="54"/>
      <c r="DE103" s="54"/>
      <c r="DF103" s="54"/>
      <c r="DG103" s="54"/>
      <c r="DH103" s="54"/>
      <c r="DI103" s="54"/>
      <c r="DJ103" s="54"/>
      <c r="DK103" s="54"/>
      <c r="DL103" s="54"/>
      <c r="DM103" s="54"/>
      <c r="DN103" s="17"/>
      <c r="DO103" s="52"/>
      <c r="DP103" s="17"/>
      <c r="DQ103" s="44"/>
      <c r="DR103" s="44"/>
      <c r="DS103" s="44"/>
      <c r="DT103" s="44"/>
      <c r="DU103" s="44"/>
      <c r="DV103" s="44"/>
      <c r="DW103" s="44"/>
      <c r="DX103" s="44"/>
      <c r="DY103" s="44"/>
      <c r="DZ103" s="44"/>
      <c r="EA103" s="44"/>
      <c r="EB103" s="44"/>
      <c r="EC103" s="44"/>
      <c r="ED103" s="44"/>
      <c r="EE103" s="44"/>
      <c r="EF103" s="44"/>
      <c r="EG103" s="44"/>
      <c r="EH103" s="44"/>
      <c r="EI103" s="44"/>
      <c r="EJ103" s="49"/>
      <c r="EK103" s="38"/>
      <c r="EL103" s="37"/>
      <c r="EM103" s="50"/>
      <c r="EN103" s="50"/>
      <c r="EO103" s="50"/>
      <c r="EP103" s="50"/>
      <c r="EQ103" s="50"/>
      <c r="ER103" s="50"/>
      <c r="ES103" s="50"/>
      <c r="ET103" s="50"/>
      <c r="EU103" s="50"/>
      <c r="EV103" s="50"/>
      <c r="EW103" s="50"/>
      <c r="EX103" s="50"/>
      <c r="EY103" s="50"/>
      <c r="EZ103" s="50"/>
      <c r="FA103" s="50"/>
      <c r="FB103" s="50"/>
      <c r="FC103" s="50"/>
      <c r="FD103" s="50"/>
      <c r="FE103" s="50"/>
      <c r="FF103" s="37"/>
      <c r="FG103" s="31"/>
      <c r="FH103" s="35"/>
      <c r="FI103" s="32"/>
      <c r="FJ103" s="32"/>
      <c r="FK103" s="32"/>
      <c r="FL103" s="32"/>
      <c r="FM103" s="32"/>
      <c r="FN103" s="32"/>
      <c r="FO103" s="32"/>
      <c r="FP103" s="32"/>
      <c r="FQ103" s="32"/>
      <c r="FR103" s="32"/>
      <c r="FS103" s="32"/>
      <c r="FT103" s="32"/>
      <c r="FU103" s="32"/>
      <c r="FV103" s="32"/>
      <c r="FW103" s="32"/>
      <c r="FX103" s="32"/>
      <c r="FY103" s="32"/>
      <c r="FZ103" s="32"/>
      <c r="GA103" s="32"/>
      <c r="GB103" s="33"/>
      <c r="GC103" s="36"/>
      <c r="GD103" s="31"/>
      <c r="GE103" s="27"/>
      <c r="GF103" s="27"/>
      <c r="GG103" s="27"/>
      <c r="GH103" s="27"/>
      <c r="GI103" s="27"/>
      <c r="GJ103" s="27"/>
      <c r="GK103" s="27"/>
      <c r="GL103" s="27"/>
      <c r="GM103" s="27"/>
      <c r="GN103" s="27"/>
      <c r="GO103" s="27"/>
      <c r="GP103" s="27"/>
      <c r="GQ103" s="27"/>
      <c r="GR103" s="27"/>
      <c r="GS103" s="27"/>
      <c r="GT103" s="27"/>
      <c r="GU103" s="27"/>
      <c r="GV103" s="27"/>
      <c r="GW103" s="27"/>
      <c r="GX103" s="27"/>
      <c r="GY103" s="27"/>
      <c r="GZ103" s="27"/>
      <c r="HA103" s="27"/>
      <c r="HB103" s="27"/>
      <c r="HC103" s="27"/>
      <c r="HD103" s="27"/>
      <c r="HE103" s="27"/>
      <c r="HF103" s="27"/>
      <c r="HG103" s="39"/>
      <c r="HH103" s="46"/>
      <c r="HI103" s="45"/>
      <c r="HJ103" s="45"/>
      <c r="HK103" s="45"/>
      <c r="HL103" s="45"/>
      <c r="HM103" s="25"/>
      <c r="HN103" s="25"/>
      <c r="HO103" s="47"/>
      <c r="HP103" s="47"/>
      <c r="HQ103" s="47"/>
      <c r="HR103" s="47"/>
      <c r="HS103" s="47"/>
      <c r="HT103" s="47"/>
      <c r="HU103" s="47"/>
      <c r="HV103" s="47"/>
      <c r="HW103" s="48"/>
      <c r="HX103" s="48"/>
      <c r="HY103" s="48"/>
      <c r="HZ103" s="48"/>
      <c r="IA103" s="48"/>
      <c r="IB103" s="48"/>
      <c r="IC103" s="48"/>
      <c r="ID103" s="48"/>
      <c r="IE103" s="18"/>
      <c r="IF103" s="18"/>
      <c r="IG103" s="18"/>
      <c r="IH103" s="18"/>
      <c r="II103" s="18"/>
      <c r="IJ103" s="18"/>
      <c r="IK103" s="18"/>
      <c r="IL103" s="18"/>
      <c r="IM103" s="18"/>
      <c r="IN103" s="18"/>
      <c r="IO103" s="18"/>
      <c r="IP103" s="18"/>
      <c r="IQ103" s="18"/>
      <c r="IR103" s="18"/>
      <c r="IS103" s="18"/>
      <c r="IT103" s="18"/>
      <c r="IU103" s="18"/>
      <c r="IV103" s="18"/>
    </row>
    <row r="104" spans="1:256">
      <c r="A104" s="21"/>
      <c r="B104" s="16"/>
      <c r="C104" s="51"/>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L104" s="890"/>
      <c r="AM104" s="890"/>
      <c r="AN104" s="16"/>
      <c r="AO104" s="16"/>
      <c r="AP104" s="16"/>
      <c r="AQ104" s="16"/>
      <c r="AR104" s="16"/>
      <c r="AS104" s="16"/>
      <c r="AT104" s="16"/>
      <c r="AU104" s="16"/>
      <c r="AV104" s="16"/>
      <c r="AW104" s="16"/>
      <c r="AX104" s="16"/>
      <c r="AY104" s="16"/>
      <c r="AZ104" s="16"/>
      <c r="BA104" s="17"/>
      <c r="BB104" s="17"/>
      <c r="BC104" s="16"/>
      <c r="BD104" s="16"/>
      <c r="BE104" s="16"/>
      <c r="BF104" s="16"/>
      <c r="BG104" s="16"/>
      <c r="BH104" s="16"/>
      <c r="BI104" s="16"/>
      <c r="BJ104" s="16"/>
      <c r="BK104" s="16"/>
      <c r="BL104" s="16"/>
      <c r="BM104" s="16"/>
      <c r="BN104" s="16"/>
      <c r="BO104" s="16"/>
      <c r="BP104" s="16"/>
      <c r="BQ104" s="16"/>
      <c r="BR104" s="16"/>
      <c r="BS104" s="16"/>
      <c r="BT104" s="16"/>
      <c r="BU104" s="16"/>
      <c r="BV104" s="16"/>
      <c r="BW104" s="16"/>
      <c r="BX104" s="16"/>
      <c r="BY104" s="16"/>
      <c r="BZ104" s="16"/>
      <c r="CA104" s="16"/>
      <c r="CB104" s="16"/>
      <c r="CC104" s="16"/>
      <c r="CD104" s="16"/>
      <c r="CE104" s="16"/>
      <c r="CF104" s="16"/>
      <c r="CG104" s="16"/>
      <c r="CH104" s="16"/>
      <c r="CI104" s="16"/>
      <c r="CJ104" s="16"/>
      <c r="CK104" s="16"/>
      <c r="CL104" s="16"/>
      <c r="CM104" s="16"/>
      <c r="CN104" s="16"/>
      <c r="CO104" s="16"/>
      <c r="CP104" s="16"/>
      <c r="CQ104" s="16"/>
      <c r="CR104" s="16"/>
      <c r="CS104" s="16"/>
      <c r="CT104" s="16"/>
      <c r="CU104" s="54"/>
      <c r="CV104" s="54"/>
      <c r="CW104" s="54"/>
      <c r="CX104" s="54"/>
      <c r="CY104" s="54"/>
      <c r="CZ104" s="54"/>
      <c r="DA104" s="54"/>
      <c r="DB104" s="54"/>
      <c r="DC104" s="54"/>
      <c r="DD104" s="54"/>
      <c r="DE104" s="54"/>
      <c r="DF104" s="54"/>
      <c r="DG104" s="54"/>
      <c r="DH104" s="54"/>
      <c r="DI104" s="54"/>
      <c r="DJ104" s="54"/>
      <c r="DK104" s="54"/>
      <c r="DL104" s="54"/>
      <c r="DM104" s="54"/>
      <c r="DN104" s="17"/>
      <c r="DO104" s="52"/>
      <c r="DP104" s="17"/>
      <c r="DQ104" s="44"/>
      <c r="DR104" s="44"/>
      <c r="DS104" s="44"/>
      <c r="DT104" s="44"/>
      <c r="DU104" s="44"/>
      <c r="DV104" s="44"/>
      <c r="DW104" s="44"/>
      <c r="DX104" s="44"/>
      <c r="DY104" s="44"/>
      <c r="DZ104" s="44"/>
      <c r="EA104" s="44"/>
      <c r="EB104" s="44"/>
      <c r="EC104" s="44"/>
      <c r="ED104" s="44"/>
      <c r="EE104" s="44"/>
      <c r="EF104" s="44"/>
      <c r="EG104" s="44"/>
      <c r="EH104" s="44"/>
      <c r="EI104" s="44"/>
      <c r="EJ104" s="49"/>
      <c r="EK104" s="38"/>
      <c r="EL104" s="37"/>
      <c r="EM104" s="50"/>
      <c r="EN104" s="50"/>
      <c r="EO104" s="50"/>
      <c r="EP104" s="50"/>
      <c r="EQ104" s="50"/>
      <c r="ER104" s="50"/>
      <c r="ES104" s="50"/>
      <c r="ET104" s="50"/>
      <c r="EU104" s="50"/>
      <c r="EV104" s="50"/>
      <c r="EW104" s="50"/>
      <c r="EX104" s="50"/>
      <c r="EY104" s="50"/>
      <c r="EZ104" s="50"/>
      <c r="FA104" s="50"/>
      <c r="FB104" s="50"/>
      <c r="FC104" s="50"/>
      <c r="FD104" s="50"/>
      <c r="FE104" s="50"/>
      <c r="FF104" s="37"/>
      <c r="FG104" s="31"/>
      <c r="FH104" s="35"/>
      <c r="FI104" s="32"/>
      <c r="FJ104" s="32"/>
      <c r="FK104" s="32"/>
      <c r="FL104" s="32"/>
      <c r="FM104" s="32"/>
      <c r="FN104" s="32"/>
      <c r="FO104" s="32"/>
      <c r="FP104" s="32"/>
      <c r="FQ104" s="32"/>
      <c r="FR104" s="32"/>
      <c r="FS104" s="32"/>
      <c r="FT104" s="32"/>
      <c r="FU104" s="32"/>
      <c r="FV104" s="32"/>
      <c r="FW104" s="32"/>
      <c r="FX104" s="32"/>
      <c r="FY104" s="32"/>
      <c r="FZ104" s="32"/>
      <c r="GA104" s="32"/>
      <c r="GB104" s="33"/>
      <c r="GC104" s="36"/>
      <c r="GD104" s="31"/>
      <c r="GE104" s="27"/>
      <c r="GF104" s="27"/>
      <c r="GG104" s="27"/>
      <c r="GH104" s="27"/>
      <c r="GI104" s="27"/>
      <c r="GJ104" s="27"/>
      <c r="GK104" s="27"/>
      <c r="GL104" s="27"/>
      <c r="GM104" s="27"/>
      <c r="GN104" s="27"/>
      <c r="GO104" s="27"/>
      <c r="GP104" s="27"/>
      <c r="GQ104" s="27"/>
      <c r="GR104" s="27"/>
      <c r="GS104" s="27"/>
      <c r="GT104" s="27"/>
      <c r="GU104" s="27"/>
      <c r="GV104" s="27"/>
      <c r="GW104" s="27"/>
      <c r="GX104" s="27"/>
      <c r="GY104" s="27"/>
      <c r="GZ104" s="27"/>
      <c r="HA104" s="27"/>
      <c r="HB104" s="27"/>
      <c r="HC104" s="27"/>
      <c r="HD104" s="27"/>
      <c r="HE104" s="27"/>
      <c r="HF104" s="27"/>
      <c r="HG104" s="39"/>
      <c r="HH104" s="46"/>
      <c r="HI104" s="45"/>
      <c r="HJ104" s="45"/>
      <c r="HK104" s="45"/>
      <c r="HL104" s="45"/>
      <c r="HM104" s="25"/>
      <c r="HN104" s="25"/>
      <c r="HO104" s="47"/>
      <c r="HP104" s="47"/>
      <c r="HQ104" s="47"/>
      <c r="HR104" s="47"/>
      <c r="HS104" s="47"/>
      <c r="HT104" s="47"/>
      <c r="HU104" s="47"/>
      <c r="HV104" s="47"/>
      <c r="HW104" s="48"/>
      <c r="HX104" s="48"/>
      <c r="HY104" s="48"/>
      <c r="HZ104" s="48"/>
      <c r="IA104" s="48"/>
      <c r="IB104" s="48"/>
      <c r="IC104" s="48"/>
      <c r="ID104" s="48"/>
      <c r="IE104" s="18"/>
      <c r="IF104" s="18"/>
      <c r="IG104" s="18"/>
      <c r="IH104" s="18"/>
      <c r="II104" s="18"/>
      <c r="IJ104" s="18"/>
      <c r="IK104" s="18"/>
      <c r="IL104" s="18"/>
      <c r="IM104" s="18"/>
      <c r="IN104" s="18"/>
      <c r="IO104" s="18"/>
      <c r="IP104" s="18"/>
      <c r="IQ104" s="18"/>
      <c r="IR104" s="18"/>
      <c r="IS104" s="18"/>
      <c r="IT104" s="18"/>
      <c r="IU104" s="18"/>
      <c r="IV104" s="18"/>
    </row>
    <row r="105" spans="1:256">
      <c r="A105" s="21"/>
      <c r="B105" s="16"/>
      <c r="C105" s="51"/>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890"/>
      <c r="AM105" s="890"/>
      <c r="AN105" s="16"/>
      <c r="AO105" s="16"/>
      <c r="AP105" s="16"/>
      <c r="AQ105" s="16"/>
      <c r="AR105" s="16"/>
      <c r="AS105" s="16"/>
      <c r="AT105" s="16"/>
      <c r="AU105" s="16"/>
      <c r="AV105" s="16"/>
      <c r="AW105" s="16"/>
      <c r="AX105" s="16"/>
      <c r="AY105" s="16"/>
      <c r="AZ105" s="16"/>
      <c r="BA105" s="17"/>
      <c r="BB105" s="17"/>
      <c r="BC105" s="16"/>
      <c r="BD105" s="16"/>
      <c r="BE105" s="16"/>
      <c r="BF105" s="16"/>
      <c r="BG105" s="16"/>
      <c r="BH105" s="16"/>
      <c r="BI105" s="16"/>
      <c r="BJ105" s="16"/>
      <c r="BK105" s="16"/>
      <c r="BL105" s="16"/>
      <c r="BM105" s="16"/>
      <c r="BN105" s="16"/>
      <c r="BO105" s="16"/>
      <c r="BP105" s="16"/>
      <c r="BQ105" s="16"/>
      <c r="BR105" s="16"/>
      <c r="BS105" s="16"/>
      <c r="BT105" s="16"/>
      <c r="BU105" s="16"/>
      <c r="BV105" s="16"/>
      <c r="BW105" s="16"/>
      <c r="BX105" s="16"/>
      <c r="BY105" s="16"/>
      <c r="BZ105" s="16"/>
      <c r="CA105" s="16"/>
      <c r="CB105" s="16"/>
      <c r="CC105" s="16"/>
      <c r="CD105" s="16"/>
      <c r="CE105" s="16"/>
      <c r="CF105" s="16"/>
      <c r="CG105" s="16"/>
      <c r="CH105" s="16"/>
      <c r="CI105" s="16"/>
      <c r="CJ105" s="16"/>
      <c r="CK105" s="16"/>
      <c r="CL105" s="16"/>
      <c r="CM105" s="16"/>
      <c r="CN105" s="16"/>
      <c r="CO105" s="16"/>
      <c r="CP105" s="16"/>
      <c r="CQ105" s="16"/>
      <c r="CR105" s="16"/>
      <c r="CS105" s="16"/>
      <c r="CT105" s="16"/>
      <c r="CU105" s="54"/>
      <c r="CV105" s="54"/>
      <c r="CW105" s="54"/>
      <c r="CX105" s="54"/>
      <c r="CY105" s="54"/>
      <c r="CZ105" s="54"/>
      <c r="DA105" s="54"/>
      <c r="DB105" s="54"/>
      <c r="DC105" s="54"/>
      <c r="DD105" s="54"/>
      <c r="DE105" s="54"/>
      <c r="DF105" s="54"/>
      <c r="DG105" s="54"/>
      <c r="DH105" s="54"/>
      <c r="DI105" s="54"/>
      <c r="DJ105" s="54"/>
      <c r="DK105" s="54"/>
      <c r="DL105" s="54"/>
      <c r="DM105" s="54"/>
      <c r="DN105" s="17"/>
      <c r="DO105" s="52"/>
      <c r="DP105" s="17"/>
      <c r="DQ105" s="44"/>
      <c r="DR105" s="44"/>
      <c r="DS105" s="44"/>
      <c r="DT105" s="44"/>
      <c r="DU105" s="44"/>
      <c r="DV105" s="44"/>
      <c r="DW105" s="44"/>
      <c r="DX105" s="44"/>
      <c r="DY105" s="44"/>
      <c r="DZ105" s="44"/>
      <c r="EA105" s="44"/>
      <c r="EB105" s="44"/>
      <c r="EC105" s="44"/>
      <c r="ED105" s="44"/>
      <c r="EE105" s="44"/>
      <c r="EF105" s="44"/>
      <c r="EG105" s="44"/>
      <c r="EH105" s="44"/>
      <c r="EI105" s="44"/>
      <c r="EJ105" s="49"/>
      <c r="EK105" s="38"/>
      <c r="EL105" s="37"/>
      <c r="EM105" s="50"/>
      <c r="EN105" s="50"/>
      <c r="EO105" s="50"/>
      <c r="EP105" s="50"/>
      <c r="EQ105" s="50"/>
      <c r="ER105" s="50"/>
      <c r="ES105" s="50"/>
      <c r="ET105" s="50"/>
      <c r="EU105" s="50"/>
      <c r="EV105" s="50"/>
      <c r="EW105" s="50"/>
      <c r="EX105" s="50"/>
      <c r="EY105" s="50"/>
      <c r="EZ105" s="50"/>
      <c r="FA105" s="50"/>
      <c r="FB105" s="50"/>
      <c r="FC105" s="50"/>
      <c r="FD105" s="50"/>
      <c r="FE105" s="50"/>
      <c r="FF105" s="37"/>
      <c r="FG105" s="31"/>
      <c r="FH105" s="35"/>
      <c r="FI105" s="32"/>
      <c r="FJ105" s="32"/>
      <c r="FK105" s="32"/>
      <c r="FL105" s="32"/>
      <c r="FM105" s="32"/>
      <c r="FN105" s="32"/>
      <c r="FO105" s="32"/>
      <c r="FP105" s="32"/>
      <c r="FQ105" s="32"/>
      <c r="FR105" s="32"/>
      <c r="FS105" s="32"/>
      <c r="FT105" s="32"/>
      <c r="FU105" s="32"/>
      <c r="FV105" s="32"/>
      <c r="FW105" s="32"/>
      <c r="FX105" s="32"/>
      <c r="FY105" s="32"/>
      <c r="FZ105" s="32"/>
      <c r="GA105" s="32"/>
      <c r="GB105" s="33"/>
      <c r="GC105" s="36"/>
      <c r="GD105" s="31"/>
      <c r="GE105" s="27"/>
      <c r="GF105" s="27"/>
      <c r="GG105" s="27"/>
      <c r="GH105" s="27"/>
      <c r="GI105" s="27"/>
      <c r="GJ105" s="27"/>
      <c r="GK105" s="27"/>
      <c r="GL105" s="27"/>
      <c r="GM105" s="27"/>
      <c r="GN105" s="27"/>
      <c r="GO105" s="27"/>
      <c r="GP105" s="27"/>
      <c r="GQ105" s="27"/>
      <c r="GR105" s="27"/>
      <c r="GS105" s="27"/>
      <c r="GT105" s="27"/>
      <c r="GU105" s="27"/>
      <c r="GV105" s="27"/>
      <c r="GW105" s="27"/>
      <c r="GX105" s="27"/>
      <c r="GY105" s="27"/>
      <c r="GZ105" s="27"/>
      <c r="HA105" s="27"/>
      <c r="HB105" s="27"/>
      <c r="HC105" s="27"/>
      <c r="HD105" s="27"/>
      <c r="HE105" s="27"/>
      <c r="HF105" s="27"/>
      <c r="HG105" s="39"/>
      <c r="HH105" s="46"/>
      <c r="HI105" s="45"/>
      <c r="HJ105" s="45"/>
      <c r="HK105" s="45"/>
      <c r="HL105" s="45"/>
      <c r="HM105" s="25"/>
      <c r="HN105" s="25"/>
      <c r="HO105" s="47"/>
      <c r="HP105" s="47"/>
      <c r="HQ105" s="47"/>
      <c r="HR105" s="47"/>
      <c r="HS105" s="47"/>
      <c r="HT105" s="47"/>
      <c r="HU105" s="47"/>
      <c r="HV105" s="47"/>
      <c r="HW105" s="48"/>
      <c r="HX105" s="48"/>
      <c r="HY105" s="48"/>
      <c r="HZ105" s="48"/>
      <c r="IA105" s="48"/>
      <c r="IB105" s="48"/>
      <c r="IC105" s="48"/>
      <c r="ID105" s="48"/>
      <c r="IE105" s="18"/>
      <c r="IF105" s="18"/>
      <c r="IG105" s="18"/>
      <c r="IH105" s="18"/>
      <c r="II105" s="18"/>
      <c r="IJ105" s="18"/>
      <c r="IK105" s="18"/>
      <c r="IL105" s="18"/>
      <c r="IM105" s="18"/>
      <c r="IN105" s="18"/>
      <c r="IO105" s="18"/>
      <c r="IP105" s="18"/>
      <c r="IQ105" s="18"/>
      <c r="IR105" s="18"/>
      <c r="IS105" s="18"/>
      <c r="IT105" s="18"/>
      <c r="IU105" s="18"/>
      <c r="IV105" s="18"/>
    </row>
    <row r="106" spans="1:256">
      <c r="A106" s="21"/>
      <c r="B106" s="16"/>
      <c r="C106" s="51"/>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890"/>
      <c r="AM106" s="890"/>
      <c r="AN106" s="16"/>
      <c r="AO106" s="16"/>
      <c r="AP106" s="16"/>
      <c r="AQ106" s="16"/>
      <c r="AR106" s="16"/>
      <c r="AS106" s="16"/>
      <c r="AT106" s="16"/>
      <c r="AU106" s="16"/>
      <c r="AV106" s="16"/>
      <c r="AW106" s="16"/>
      <c r="AX106" s="16"/>
      <c r="AY106" s="16"/>
      <c r="AZ106" s="16"/>
      <c r="BA106" s="17"/>
      <c r="BB106" s="17"/>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c r="BZ106" s="16"/>
      <c r="CA106" s="16"/>
      <c r="CB106" s="16"/>
      <c r="CC106" s="16"/>
      <c r="CD106" s="16"/>
      <c r="CE106" s="16"/>
      <c r="CF106" s="16"/>
      <c r="CG106" s="16"/>
      <c r="CH106" s="16"/>
      <c r="CI106" s="16"/>
      <c r="CJ106" s="16"/>
      <c r="CK106" s="16"/>
      <c r="CL106" s="16"/>
      <c r="CM106" s="16"/>
      <c r="CN106" s="16"/>
      <c r="CO106" s="16"/>
      <c r="CP106" s="16"/>
      <c r="CQ106" s="16"/>
      <c r="CR106" s="16"/>
      <c r="CS106" s="16"/>
      <c r="CT106" s="16"/>
      <c r="CU106" s="54"/>
      <c r="CV106" s="54"/>
      <c r="CW106" s="54"/>
      <c r="CX106" s="54"/>
      <c r="CY106" s="54"/>
      <c r="CZ106" s="54"/>
      <c r="DA106" s="54"/>
      <c r="DB106" s="54"/>
      <c r="DC106" s="54"/>
      <c r="DD106" s="54"/>
      <c r="DE106" s="54"/>
      <c r="DF106" s="54"/>
      <c r="DG106" s="54"/>
      <c r="DH106" s="54"/>
      <c r="DI106" s="54"/>
      <c r="DJ106" s="54"/>
      <c r="DK106" s="54"/>
      <c r="DL106" s="54"/>
      <c r="DM106" s="54"/>
      <c r="DN106" s="17"/>
      <c r="DO106" s="52"/>
      <c r="DP106" s="17"/>
      <c r="DQ106" s="44"/>
      <c r="DR106" s="44"/>
      <c r="DS106" s="44"/>
      <c r="DT106" s="44"/>
      <c r="DU106" s="44"/>
      <c r="DV106" s="44"/>
      <c r="DW106" s="44"/>
      <c r="DX106" s="44"/>
      <c r="DY106" s="44"/>
      <c r="DZ106" s="44"/>
      <c r="EA106" s="44"/>
      <c r="EB106" s="44"/>
      <c r="EC106" s="44"/>
      <c r="ED106" s="44"/>
      <c r="EE106" s="44"/>
      <c r="EF106" s="44"/>
      <c r="EG106" s="44"/>
      <c r="EH106" s="44"/>
      <c r="EI106" s="44"/>
      <c r="EJ106" s="49"/>
      <c r="EK106" s="38"/>
      <c r="EL106" s="37"/>
      <c r="EM106" s="50"/>
      <c r="EN106" s="50"/>
      <c r="EO106" s="50"/>
      <c r="EP106" s="50"/>
      <c r="EQ106" s="50"/>
      <c r="ER106" s="50"/>
      <c r="ES106" s="50"/>
      <c r="ET106" s="50"/>
      <c r="EU106" s="50"/>
      <c r="EV106" s="50"/>
      <c r="EW106" s="50"/>
      <c r="EX106" s="50"/>
      <c r="EY106" s="50"/>
      <c r="EZ106" s="50"/>
      <c r="FA106" s="50"/>
      <c r="FB106" s="50"/>
      <c r="FC106" s="50"/>
      <c r="FD106" s="50"/>
      <c r="FE106" s="50"/>
      <c r="FF106" s="37"/>
      <c r="FG106" s="31"/>
      <c r="FH106" s="35"/>
      <c r="FI106" s="32"/>
      <c r="FJ106" s="32"/>
      <c r="FK106" s="32"/>
      <c r="FL106" s="32"/>
      <c r="FM106" s="32"/>
      <c r="FN106" s="32"/>
      <c r="FO106" s="32"/>
      <c r="FP106" s="32"/>
      <c r="FQ106" s="32"/>
      <c r="FR106" s="32"/>
      <c r="FS106" s="32"/>
      <c r="FT106" s="32"/>
      <c r="FU106" s="32"/>
      <c r="FV106" s="32"/>
      <c r="FW106" s="32"/>
      <c r="FX106" s="32"/>
      <c r="FY106" s="32"/>
      <c r="FZ106" s="32"/>
      <c r="GA106" s="32"/>
      <c r="GB106" s="33"/>
      <c r="GC106" s="36"/>
      <c r="GD106" s="31"/>
      <c r="GE106" s="27"/>
      <c r="GF106" s="27"/>
      <c r="GG106" s="27"/>
      <c r="GH106" s="27"/>
      <c r="GI106" s="27"/>
      <c r="GJ106" s="27"/>
      <c r="GK106" s="27"/>
      <c r="GL106" s="27"/>
      <c r="GM106" s="27"/>
      <c r="GN106" s="27"/>
      <c r="GO106" s="27"/>
      <c r="GP106" s="27"/>
      <c r="GQ106" s="27"/>
      <c r="GR106" s="27"/>
      <c r="GS106" s="27"/>
      <c r="GT106" s="27"/>
      <c r="GU106" s="27"/>
      <c r="GV106" s="27"/>
      <c r="GW106" s="27"/>
      <c r="GX106" s="27"/>
      <c r="GY106" s="27"/>
      <c r="GZ106" s="27"/>
      <c r="HA106" s="27"/>
      <c r="HB106" s="27"/>
      <c r="HC106" s="27"/>
      <c r="HD106" s="27"/>
      <c r="HE106" s="27"/>
      <c r="HF106" s="27"/>
      <c r="HG106" s="39"/>
      <c r="HH106" s="46"/>
      <c r="HI106" s="45"/>
      <c r="HJ106" s="45"/>
      <c r="HK106" s="45"/>
      <c r="HL106" s="45"/>
      <c r="HM106" s="25"/>
      <c r="HN106" s="25"/>
      <c r="HO106" s="47"/>
      <c r="HP106" s="47"/>
      <c r="HQ106" s="47"/>
      <c r="HR106" s="47"/>
      <c r="HS106" s="47"/>
      <c r="HT106" s="47"/>
      <c r="HU106" s="47"/>
      <c r="HV106" s="47"/>
      <c r="HW106" s="48"/>
      <c r="HX106" s="48"/>
      <c r="HY106" s="48"/>
      <c r="HZ106" s="48"/>
      <c r="IA106" s="48"/>
      <c r="IB106" s="48"/>
      <c r="IC106" s="48"/>
      <c r="ID106" s="48"/>
      <c r="IE106" s="18"/>
      <c r="IF106" s="18"/>
      <c r="IG106" s="18"/>
      <c r="IH106" s="18"/>
      <c r="II106" s="18"/>
      <c r="IJ106" s="18"/>
      <c r="IK106" s="18"/>
      <c r="IL106" s="18"/>
      <c r="IM106" s="18"/>
      <c r="IN106" s="18"/>
      <c r="IO106" s="18"/>
      <c r="IP106" s="18"/>
      <c r="IQ106" s="18"/>
      <c r="IR106" s="18"/>
      <c r="IS106" s="18"/>
      <c r="IT106" s="18"/>
      <c r="IU106" s="18"/>
      <c r="IV106" s="18"/>
    </row>
    <row r="107" spans="1:256">
      <c r="A107" s="21"/>
      <c r="B107" s="16"/>
      <c r="C107" s="51"/>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890"/>
      <c r="AM107" s="890"/>
      <c r="AN107" s="16"/>
      <c r="AO107" s="16"/>
      <c r="AP107" s="16"/>
      <c r="AQ107" s="16"/>
      <c r="AR107" s="16"/>
      <c r="AS107" s="16"/>
      <c r="AT107" s="16"/>
      <c r="AU107" s="16"/>
      <c r="AV107" s="16"/>
      <c r="AW107" s="16"/>
      <c r="AX107" s="16"/>
      <c r="AY107" s="16"/>
      <c r="AZ107" s="16"/>
      <c r="BA107" s="17"/>
      <c r="BB107" s="17"/>
      <c r="BC107" s="16"/>
      <c r="BD107" s="16"/>
      <c r="BE107" s="16"/>
      <c r="BF107" s="16"/>
      <c r="BG107" s="16"/>
      <c r="BH107" s="16"/>
      <c r="BI107" s="16"/>
      <c r="BJ107" s="16"/>
      <c r="BK107" s="16"/>
      <c r="BL107" s="16"/>
      <c r="BM107" s="16"/>
      <c r="BN107" s="16"/>
      <c r="BO107" s="16"/>
      <c r="BP107" s="16"/>
      <c r="BQ107" s="16"/>
      <c r="BR107" s="16"/>
      <c r="BS107" s="16"/>
      <c r="BT107" s="16"/>
      <c r="BU107" s="16"/>
      <c r="BV107" s="16"/>
      <c r="BW107" s="16"/>
      <c r="BX107" s="16"/>
      <c r="BY107" s="16"/>
      <c r="BZ107" s="16"/>
      <c r="CA107" s="16"/>
      <c r="CB107" s="16"/>
      <c r="CC107" s="16"/>
      <c r="CD107" s="16"/>
      <c r="CE107" s="16"/>
      <c r="CF107" s="16"/>
      <c r="CG107" s="16"/>
      <c r="CH107" s="16"/>
      <c r="CI107" s="16"/>
      <c r="CJ107" s="16"/>
      <c r="CK107" s="16"/>
      <c r="CL107" s="16"/>
      <c r="CM107" s="16"/>
      <c r="CN107" s="16"/>
      <c r="CO107" s="16"/>
      <c r="CP107" s="16"/>
      <c r="CQ107" s="16"/>
      <c r="CR107" s="16"/>
      <c r="CS107" s="16"/>
      <c r="CT107" s="16"/>
      <c r="CU107" s="54"/>
      <c r="CV107" s="54"/>
      <c r="CW107" s="54"/>
      <c r="CX107" s="54"/>
      <c r="CY107" s="54"/>
      <c r="CZ107" s="54"/>
      <c r="DA107" s="54"/>
      <c r="DB107" s="54"/>
      <c r="DC107" s="54"/>
      <c r="DD107" s="54"/>
      <c r="DE107" s="54"/>
      <c r="DF107" s="54"/>
      <c r="DG107" s="54"/>
      <c r="DH107" s="54"/>
      <c r="DI107" s="54"/>
      <c r="DJ107" s="54"/>
      <c r="DK107" s="54"/>
      <c r="DL107" s="54"/>
      <c r="DM107" s="54"/>
      <c r="DN107" s="17"/>
      <c r="DO107" s="52"/>
      <c r="DP107" s="17"/>
      <c r="DQ107" s="44"/>
      <c r="DR107" s="44"/>
      <c r="DS107" s="44"/>
      <c r="DT107" s="44"/>
      <c r="DU107" s="44"/>
      <c r="DV107" s="44"/>
      <c r="DW107" s="44"/>
      <c r="DX107" s="44"/>
      <c r="DY107" s="44"/>
      <c r="DZ107" s="44"/>
      <c r="EA107" s="44"/>
      <c r="EB107" s="44"/>
      <c r="EC107" s="44"/>
      <c r="ED107" s="44"/>
      <c r="EE107" s="44"/>
      <c r="EF107" s="44"/>
      <c r="EG107" s="44"/>
      <c r="EH107" s="44"/>
      <c r="EI107" s="44"/>
      <c r="EJ107" s="49"/>
      <c r="EK107" s="38"/>
      <c r="EL107" s="37"/>
      <c r="EM107" s="50"/>
      <c r="EN107" s="50"/>
      <c r="EO107" s="50"/>
      <c r="EP107" s="50"/>
      <c r="EQ107" s="50"/>
      <c r="ER107" s="50"/>
      <c r="ES107" s="50"/>
      <c r="ET107" s="50"/>
      <c r="EU107" s="50"/>
      <c r="EV107" s="50"/>
      <c r="EW107" s="50"/>
      <c r="EX107" s="50"/>
      <c r="EY107" s="50"/>
      <c r="EZ107" s="50"/>
      <c r="FA107" s="50"/>
      <c r="FB107" s="50"/>
      <c r="FC107" s="50"/>
      <c r="FD107" s="50"/>
      <c r="FE107" s="50"/>
      <c r="FF107" s="37"/>
      <c r="FG107" s="31"/>
      <c r="FH107" s="35"/>
      <c r="FI107" s="32"/>
      <c r="FJ107" s="32"/>
      <c r="FK107" s="32"/>
      <c r="FL107" s="32"/>
      <c r="FM107" s="32"/>
      <c r="FN107" s="32"/>
      <c r="FO107" s="32"/>
      <c r="FP107" s="32"/>
      <c r="FQ107" s="32"/>
      <c r="FR107" s="32"/>
      <c r="FS107" s="32"/>
      <c r="FT107" s="32"/>
      <c r="FU107" s="32"/>
      <c r="FV107" s="32"/>
      <c r="FW107" s="32"/>
      <c r="FX107" s="32"/>
      <c r="FY107" s="32"/>
      <c r="FZ107" s="32"/>
      <c r="GA107" s="32"/>
      <c r="GB107" s="33"/>
      <c r="GC107" s="36"/>
      <c r="GD107" s="31"/>
      <c r="GE107" s="27"/>
      <c r="GF107" s="27"/>
      <c r="GG107" s="27"/>
      <c r="GH107" s="27"/>
      <c r="GI107" s="27"/>
      <c r="GJ107" s="27"/>
      <c r="GK107" s="27"/>
      <c r="GL107" s="27"/>
      <c r="GM107" s="27"/>
      <c r="GN107" s="27"/>
      <c r="GO107" s="27"/>
      <c r="GP107" s="27"/>
      <c r="GQ107" s="27"/>
      <c r="GR107" s="27"/>
      <c r="GS107" s="27"/>
      <c r="GT107" s="27"/>
      <c r="GU107" s="27"/>
      <c r="GV107" s="27"/>
      <c r="GW107" s="27"/>
      <c r="GX107" s="27"/>
      <c r="GY107" s="27"/>
      <c r="GZ107" s="27"/>
      <c r="HA107" s="27"/>
      <c r="HB107" s="27"/>
      <c r="HC107" s="27"/>
      <c r="HD107" s="27"/>
      <c r="HE107" s="27"/>
      <c r="HF107" s="27"/>
      <c r="HG107" s="39"/>
      <c r="HH107" s="46"/>
      <c r="HI107" s="45"/>
      <c r="HJ107" s="45"/>
      <c r="HK107" s="45"/>
      <c r="HL107" s="45"/>
      <c r="HM107" s="25"/>
      <c r="HN107" s="25"/>
      <c r="HO107" s="47"/>
      <c r="HP107" s="47"/>
      <c r="HQ107" s="47"/>
      <c r="HR107" s="47"/>
      <c r="HS107" s="47"/>
      <c r="HT107" s="47"/>
      <c r="HU107" s="47"/>
      <c r="HV107" s="47"/>
      <c r="HW107" s="48"/>
      <c r="HX107" s="48"/>
      <c r="HY107" s="48"/>
      <c r="HZ107" s="48"/>
      <c r="IA107" s="48"/>
      <c r="IB107" s="48"/>
      <c r="IC107" s="48"/>
      <c r="ID107" s="48"/>
      <c r="IE107" s="18"/>
      <c r="IF107" s="18"/>
      <c r="IG107" s="18"/>
      <c r="IH107" s="18"/>
      <c r="II107" s="18"/>
      <c r="IJ107" s="18"/>
      <c r="IK107" s="18"/>
      <c r="IL107" s="18"/>
      <c r="IM107" s="18"/>
      <c r="IN107" s="18"/>
      <c r="IO107" s="18"/>
      <c r="IP107" s="18"/>
      <c r="IQ107" s="18"/>
      <c r="IR107" s="18"/>
      <c r="IS107" s="18"/>
      <c r="IT107" s="18"/>
      <c r="IU107" s="18"/>
      <c r="IV107" s="18"/>
    </row>
    <row r="108" spans="1:256" ht="12">
      <c r="A108" s="21"/>
      <c r="B108" s="28"/>
      <c r="C108" s="51"/>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890"/>
      <c r="AM108" s="890"/>
      <c r="AN108" s="16"/>
      <c r="AO108" s="16"/>
      <c r="AP108" s="16"/>
      <c r="AQ108" s="16"/>
      <c r="AR108" s="16"/>
      <c r="AS108" s="16"/>
      <c r="AT108" s="16"/>
      <c r="AU108" s="16"/>
      <c r="AV108" s="16"/>
      <c r="AW108" s="16"/>
      <c r="AX108" s="16"/>
      <c r="AY108" s="16"/>
      <c r="AZ108" s="16"/>
      <c r="BA108" s="17"/>
      <c r="BB108" s="17"/>
      <c r="BC108" s="16"/>
      <c r="BD108" s="16"/>
      <c r="BE108" s="16"/>
      <c r="BF108" s="16"/>
      <c r="BG108" s="16"/>
      <c r="BH108" s="16"/>
      <c r="BI108" s="16"/>
      <c r="BJ108" s="16"/>
      <c r="BK108" s="16"/>
      <c r="BL108" s="16"/>
      <c r="BM108" s="16"/>
      <c r="BN108" s="16"/>
      <c r="BO108" s="16"/>
      <c r="BP108" s="16"/>
      <c r="BQ108" s="16"/>
      <c r="BR108" s="16"/>
      <c r="BS108" s="16"/>
      <c r="BT108" s="16"/>
      <c r="BU108" s="16"/>
      <c r="BV108" s="16"/>
      <c r="BW108" s="16"/>
      <c r="BX108" s="16"/>
      <c r="BY108" s="16"/>
      <c r="BZ108" s="16"/>
      <c r="CA108" s="16"/>
      <c r="CB108" s="16"/>
      <c r="CC108" s="16"/>
      <c r="CD108" s="16"/>
      <c r="CE108" s="16"/>
      <c r="CF108" s="16"/>
      <c r="CG108" s="16"/>
      <c r="CH108" s="16"/>
      <c r="CI108" s="16"/>
      <c r="CJ108" s="16"/>
      <c r="CK108" s="16"/>
      <c r="CL108" s="16"/>
      <c r="CM108" s="16"/>
      <c r="CN108" s="16"/>
      <c r="CO108" s="16"/>
      <c r="CP108" s="16"/>
      <c r="CQ108" s="16"/>
      <c r="CR108" s="16"/>
      <c r="CS108" s="16"/>
      <c r="CT108" s="16"/>
      <c r="CU108" s="54"/>
      <c r="CV108" s="54"/>
      <c r="CW108" s="54"/>
      <c r="CX108" s="54"/>
      <c r="CY108" s="54"/>
      <c r="CZ108" s="54"/>
      <c r="DA108" s="54"/>
      <c r="DB108" s="54"/>
      <c r="DC108" s="54"/>
      <c r="DD108" s="54"/>
      <c r="DE108" s="54"/>
      <c r="DF108" s="54"/>
      <c r="DG108" s="54"/>
      <c r="DH108" s="54"/>
      <c r="DI108" s="54"/>
      <c r="DJ108" s="54"/>
      <c r="DK108" s="54"/>
      <c r="DL108" s="54"/>
      <c r="DM108" s="54"/>
      <c r="DN108" s="17"/>
      <c r="DO108" s="52"/>
      <c r="DP108" s="17"/>
      <c r="DQ108" s="44"/>
      <c r="DR108" s="44"/>
      <c r="DS108" s="44"/>
      <c r="DT108" s="44"/>
      <c r="DU108" s="44"/>
      <c r="DV108" s="44"/>
      <c r="DW108" s="44"/>
      <c r="DX108" s="44"/>
      <c r="DY108" s="44"/>
      <c r="DZ108" s="44"/>
      <c r="EA108" s="44"/>
      <c r="EB108" s="44"/>
      <c r="EC108" s="44"/>
      <c r="ED108" s="44"/>
      <c r="EE108" s="44"/>
      <c r="EF108" s="44"/>
      <c r="EG108" s="44"/>
      <c r="EH108" s="44"/>
      <c r="EI108" s="44"/>
      <c r="EJ108" s="49"/>
      <c r="EK108" s="38"/>
      <c r="EL108" s="37"/>
      <c r="EM108" s="50"/>
      <c r="EN108" s="50"/>
      <c r="EO108" s="50"/>
      <c r="EP108" s="50"/>
      <c r="EQ108" s="50"/>
      <c r="ER108" s="50"/>
      <c r="ES108" s="50"/>
      <c r="ET108" s="50"/>
      <c r="EU108" s="50"/>
      <c r="EV108" s="50"/>
      <c r="EW108" s="50"/>
      <c r="EX108" s="50"/>
      <c r="EY108" s="50"/>
      <c r="EZ108" s="50"/>
      <c r="FA108" s="50"/>
      <c r="FB108" s="50"/>
      <c r="FC108" s="50"/>
      <c r="FD108" s="50"/>
      <c r="FE108" s="50"/>
      <c r="FF108" s="37"/>
      <c r="FG108" s="31"/>
      <c r="FH108" s="35"/>
      <c r="FI108" s="32"/>
      <c r="FJ108" s="32"/>
      <c r="FK108" s="32"/>
      <c r="FL108" s="32"/>
      <c r="FM108" s="32"/>
      <c r="FN108" s="32"/>
      <c r="FO108" s="32"/>
      <c r="FP108" s="32"/>
      <c r="FQ108" s="32"/>
      <c r="FR108" s="32"/>
      <c r="FS108" s="32"/>
      <c r="FT108" s="32"/>
      <c r="FU108" s="32"/>
      <c r="FV108" s="32"/>
      <c r="FW108" s="32"/>
      <c r="FX108" s="32"/>
      <c r="FY108" s="32"/>
      <c r="FZ108" s="32"/>
      <c r="GA108" s="32"/>
      <c r="GB108" s="33"/>
      <c r="GC108" s="36"/>
      <c r="GD108" s="31"/>
      <c r="GE108" s="27"/>
      <c r="GF108" s="27"/>
      <c r="GG108" s="27"/>
      <c r="GH108" s="27"/>
      <c r="GI108" s="27"/>
      <c r="GJ108" s="27"/>
      <c r="GK108" s="27"/>
      <c r="GL108" s="27"/>
      <c r="GM108" s="27"/>
      <c r="GN108" s="27"/>
      <c r="GO108" s="27"/>
      <c r="GP108" s="27"/>
      <c r="GQ108" s="27"/>
      <c r="GR108" s="27"/>
      <c r="GS108" s="27"/>
      <c r="GT108" s="27"/>
      <c r="GU108" s="27"/>
      <c r="GV108" s="27"/>
      <c r="GW108" s="27"/>
      <c r="GX108" s="27"/>
      <c r="GY108" s="27"/>
      <c r="GZ108" s="27"/>
      <c r="HA108" s="27"/>
      <c r="HB108" s="27"/>
      <c r="HC108" s="27"/>
      <c r="HD108" s="27"/>
      <c r="HE108" s="27"/>
      <c r="HF108" s="27"/>
      <c r="HG108" s="39"/>
      <c r="HH108" s="46"/>
      <c r="HI108" s="45"/>
      <c r="HJ108" s="45"/>
      <c r="HK108" s="45"/>
      <c r="HL108" s="45"/>
      <c r="HM108" s="25"/>
      <c r="HN108" s="25"/>
      <c r="HO108" s="47"/>
      <c r="HP108" s="47"/>
      <c r="HQ108" s="47"/>
      <c r="HR108" s="47"/>
      <c r="HS108" s="48"/>
      <c r="HT108" s="48"/>
      <c r="HU108" s="48"/>
      <c r="HV108" s="48"/>
      <c r="HW108" s="48"/>
      <c r="HX108" s="48"/>
      <c r="HY108" s="48"/>
      <c r="HZ108" s="48"/>
      <c r="IA108" s="48"/>
      <c r="IB108" s="48"/>
      <c r="IC108" s="48"/>
      <c r="ID108" s="48"/>
      <c r="IE108" s="18"/>
      <c r="IF108" s="18"/>
      <c r="IG108" s="18"/>
      <c r="IH108" s="18"/>
      <c r="II108" s="18"/>
      <c r="IJ108" s="18"/>
      <c r="IK108" s="18"/>
      <c r="IL108" s="18"/>
      <c r="IM108" s="18"/>
      <c r="IN108" s="18"/>
      <c r="IO108" s="18"/>
      <c r="IP108" s="18"/>
      <c r="IQ108" s="18"/>
      <c r="IR108" s="18"/>
      <c r="IS108" s="18"/>
      <c r="IT108" s="18"/>
      <c r="IU108" s="18"/>
      <c r="IV108" s="18"/>
    </row>
    <row r="109" spans="1:256" ht="12">
      <c r="A109" s="21"/>
      <c r="B109" s="28"/>
      <c r="C109" s="51"/>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c r="AD109" s="16"/>
      <c r="AE109" s="16"/>
      <c r="AF109" s="16"/>
      <c r="AG109" s="16"/>
      <c r="AH109" s="16"/>
      <c r="AI109" s="16"/>
      <c r="AJ109" s="16"/>
      <c r="AK109" s="16"/>
      <c r="AL109" s="890"/>
      <c r="AM109" s="890"/>
      <c r="AN109" s="16"/>
      <c r="AO109" s="16"/>
      <c r="AP109" s="16"/>
      <c r="AQ109" s="16"/>
      <c r="AR109" s="16"/>
      <c r="AS109" s="16"/>
      <c r="AT109" s="16"/>
      <c r="AU109" s="16"/>
      <c r="AV109" s="16"/>
      <c r="AW109" s="16"/>
      <c r="AX109" s="16"/>
      <c r="AY109" s="16"/>
      <c r="AZ109" s="16"/>
      <c r="BA109" s="17"/>
      <c r="BB109" s="17"/>
      <c r="BC109" s="16"/>
      <c r="BD109" s="16"/>
      <c r="BE109" s="16"/>
      <c r="BF109" s="16"/>
      <c r="BG109" s="16"/>
      <c r="BH109" s="16"/>
      <c r="BI109" s="16"/>
      <c r="BJ109" s="16"/>
      <c r="BK109" s="16"/>
      <c r="BL109" s="16"/>
      <c r="BM109" s="16"/>
      <c r="BN109" s="16"/>
      <c r="BO109" s="16"/>
      <c r="BP109" s="16"/>
      <c r="BQ109" s="16"/>
      <c r="BR109" s="16"/>
      <c r="BS109" s="16"/>
      <c r="BT109" s="16"/>
      <c r="BU109" s="16"/>
      <c r="BV109" s="16"/>
      <c r="BW109" s="16"/>
      <c r="BX109" s="16"/>
      <c r="BY109" s="16"/>
      <c r="BZ109" s="16"/>
      <c r="CA109" s="16"/>
      <c r="CB109" s="16"/>
      <c r="CC109" s="16"/>
      <c r="CD109" s="16"/>
      <c r="CE109" s="16"/>
      <c r="CF109" s="16"/>
      <c r="CG109" s="16"/>
      <c r="CH109" s="16"/>
      <c r="CI109" s="16"/>
      <c r="CJ109" s="16"/>
      <c r="CK109" s="16"/>
      <c r="CL109" s="16"/>
      <c r="CM109" s="16"/>
      <c r="CN109" s="16"/>
      <c r="CO109" s="16"/>
      <c r="CP109" s="16"/>
      <c r="CQ109" s="16"/>
      <c r="CR109" s="16"/>
      <c r="CS109" s="16"/>
      <c r="CT109" s="16"/>
      <c r="CU109" s="54"/>
      <c r="CV109" s="54"/>
      <c r="CW109" s="54"/>
      <c r="CX109" s="54"/>
      <c r="CY109" s="54"/>
      <c r="CZ109" s="54"/>
      <c r="DA109" s="54"/>
      <c r="DB109" s="54"/>
      <c r="DC109" s="54"/>
      <c r="DD109" s="54"/>
      <c r="DE109" s="54"/>
      <c r="DF109" s="54"/>
      <c r="DG109" s="54"/>
      <c r="DH109" s="54"/>
      <c r="DI109" s="54"/>
      <c r="DJ109" s="54"/>
      <c r="DK109" s="54"/>
      <c r="DL109" s="54"/>
      <c r="DM109" s="54"/>
      <c r="DN109" s="17"/>
      <c r="DO109" s="52"/>
      <c r="DP109" s="17"/>
      <c r="DQ109" s="44"/>
      <c r="DR109" s="44"/>
      <c r="DS109" s="44"/>
      <c r="DT109" s="44"/>
      <c r="DU109" s="44"/>
      <c r="DV109" s="44"/>
      <c r="DW109" s="44"/>
      <c r="DX109" s="44"/>
      <c r="DY109" s="44"/>
      <c r="DZ109" s="44"/>
      <c r="EA109" s="44"/>
      <c r="EB109" s="44"/>
      <c r="EC109" s="44"/>
      <c r="ED109" s="44"/>
      <c r="EE109" s="44"/>
      <c r="EF109" s="44"/>
      <c r="EG109" s="44"/>
      <c r="EH109" s="44"/>
      <c r="EI109" s="44"/>
      <c r="EJ109" s="49"/>
      <c r="EK109" s="38"/>
      <c r="EL109" s="37"/>
      <c r="EM109" s="50"/>
      <c r="EN109" s="50"/>
      <c r="EO109" s="50"/>
      <c r="EP109" s="50"/>
      <c r="EQ109" s="50"/>
      <c r="ER109" s="50"/>
      <c r="ES109" s="50"/>
      <c r="ET109" s="50"/>
      <c r="EU109" s="50"/>
      <c r="EV109" s="50"/>
      <c r="EW109" s="50"/>
      <c r="EX109" s="50"/>
      <c r="EY109" s="50"/>
      <c r="EZ109" s="50"/>
      <c r="FA109" s="50"/>
      <c r="FB109" s="50"/>
      <c r="FC109" s="50"/>
      <c r="FD109" s="50"/>
      <c r="FE109" s="50"/>
      <c r="FF109" s="37"/>
      <c r="FG109" s="31"/>
      <c r="FH109" s="35"/>
      <c r="FI109" s="32"/>
      <c r="FJ109" s="32"/>
      <c r="FK109" s="32"/>
      <c r="FL109" s="32"/>
      <c r="FM109" s="32"/>
      <c r="FN109" s="32"/>
      <c r="FO109" s="32"/>
      <c r="FP109" s="32"/>
      <c r="FQ109" s="32"/>
      <c r="FR109" s="32"/>
      <c r="FS109" s="32"/>
      <c r="FT109" s="32"/>
      <c r="FU109" s="32"/>
      <c r="FV109" s="32"/>
      <c r="FW109" s="32"/>
      <c r="FX109" s="32"/>
      <c r="FY109" s="32"/>
      <c r="FZ109" s="32"/>
      <c r="GA109" s="32"/>
      <c r="GB109" s="33"/>
      <c r="GC109" s="36"/>
      <c r="GD109" s="31"/>
      <c r="GE109" s="27"/>
      <c r="GF109" s="27"/>
      <c r="GG109" s="27"/>
      <c r="GH109" s="27"/>
      <c r="GI109" s="27"/>
      <c r="GJ109" s="27"/>
      <c r="GK109" s="27"/>
      <c r="GL109" s="27"/>
      <c r="GM109" s="27"/>
      <c r="GN109" s="27"/>
      <c r="GO109" s="27"/>
      <c r="GP109" s="27"/>
      <c r="GQ109" s="27"/>
      <c r="GR109" s="27"/>
      <c r="GS109" s="27"/>
      <c r="GT109" s="27"/>
      <c r="GU109" s="27"/>
      <c r="GV109" s="27"/>
      <c r="GW109" s="27"/>
      <c r="GX109" s="27"/>
      <c r="GY109" s="27"/>
      <c r="GZ109" s="27"/>
      <c r="HA109" s="27"/>
      <c r="HB109" s="27"/>
      <c r="HC109" s="27"/>
      <c r="HD109" s="27"/>
      <c r="HE109" s="27"/>
      <c r="HF109" s="27"/>
      <c r="HG109" s="39"/>
      <c r="HH109" s="46"/>
      <c r="HI109" s="45"/>
      <c r="HJ109" s="45"/>
      <c r="HK109" s="45"/>
      <c r="HL109" s="45"/>
      <c r="HM109" s="25"/>
      <c r="HN109" s="25"/>
      <c r="HO109" s="47"/>
      <c r="HP109" s="47"/>
      <c r="HQ109" s="47"/>
      <c r="HR109" s="47"/>
      <c r="HS109" s="47"/>
      <c r="HT109" s="47"/>
      <c r="HU109" s="47"/>
      <c r="HV109" s="47"/>
      <c r="HW109" s="47"/>
      <c r="HX109" s="47"/>
      <c r="HY109" s="48"/>
      <c r="HZ109" s="48"/>
      <c r="IA109" s="48"/>
      <c r="IB109" s="48"/>
      <c r="IC109" s="48"/>
      <c r="ID109" s="48"/>
      <c r="IE109" s="18"/>
      <c r="IF109" s="18"/>
      <c r="IG109" s="18"/>
      <c r="IH109" s="18"/>
      <c r="II109" s="18"/>
      <c r="IJ109" s="18"/>
      <c r="IK109" s="18"/>
      <c r="IL109" s="18"/>
      <c r="IM109" s="18"/>
      <c r="IN109" s="18"/>
      <c r="IO109" s="18"/>
      <c r="IP109" s="18"/>
      <c r="IQ109" s="18"/>
      <c r="IR109" s="18"/>
      <c r="IS109" s="18"/>
      <c r="IT109" s="18"/>
      <c r="IU109" s="18"/>
      <c r="IV109" s="18"/>
    </row>
    <row r="110" spans="1:256" ht="12">
      <c r="A110" s="21"/>
      <c r="B110" s="28"/>
      <c r="C110" s="51"/>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c r="AD110" s="16"/>
      <c r="AE110" s="16"/>
      <c r="AF110" s="16"/>
      <c r="AG110" s="16"/>
      <c r="AH110" s="16"/>
      <c r="AI110" s="16"/>
      <c r="AJ110" s="16"/>
      <c r="AK110" s="16"/>
      <c r="AL110" s="890"/>
      <c r="AM110" s="890"/>
      <c r="AN110" s="16"/>
      <c r="AO110" s="16"/>
      <c r="AP110" s="16"/>
      <c r="AQ110" s="16"/>
      <c r="AR110" s="16"/>
      <c r="AS110" s="16"/>
      <c r="AT110" s="16"/>
      <c r="AU110" s="16"/>
      <c r="AV110" s="16"/>
      <c r="AW110" s="16"/>
      <c r="AX110" s="16"/>
      <c r="AY110" s="16"/>
      <c r="AZ110" s="16"/>
      <c r="BA110" s="17"/>
      <c r="BB110" s="17"/>
      <c r="BC110" s="16"/>
      <c r="BD110" s="16"/>
      <c r="BE110" s="16"/>
      <c r="BF110" s="16"/>
      <c r="BG110" s="16"/>
      <c r="BH110" s="16"/>
      <c r="BI110" s="16"/>
      <c r="BJ110" s="16"/>
      <c r="BK110" s="16"/>
      <c r="BL110" s="16"/>
      <c r="BM110" s="16"/>
      <c r="BN110" s="16"/>
      <c r="BO110" s="16"/>
      <c r="BP110" s="16"/>
      <c r="BQ110" s="16"/>
      <c r="BR110" s="16"/>
      <c r="BS110" s="16"/>
      <c r="BT110" s="16"/>
      <c r="BU110" s="16"/>
      <c r="BV110" s="16"/>
      <c r="BW110" s="16"/>
      <c r="BX110" s="16"/>
      <c r="BY110" s="16"/>
      <c r="BZ110" s="16"/>
      <c r="CA110" s="16"/>
      <c r="CB110" s="16"/>
      <c r="CC110" s="16"/>
      <c r="CD110" s="16"/>
      <c r="CE110" s="16"/>
      <c r="CF110" s="16"/>
      <c r="CG110" s="16"/>
      <c r="CH110" s="16"/>
      <c r="CI110" s="16"/>
      <c r="CJ110" s="16"/>
      <c r="CK110" s="16"/>
      <c r="CL110" s="16"/>
      <c r="CM110" s="16"/>
      <c r="CN110" s="16"/>
      <c r="CO110" s="16"/>
      <c r="CP110" s="16"/>
      <c r="CQ110" s="16"/>
      <c r="CR110" s="16"/>
      <c r="CS110" s="16"/>
      <c r="CT110" s="16"/>
      <c r="CU110" s="54"/>
      <c r="CV110" s="54"/>
      <c r="CW110" s="54"/>
      <c r="CX110" s="54"/>
      <c r="CY110" s="54"/>
      <c r="CZ110" s="54"/>
      <c r="DA110" s="54"/>
      <c r="DB110" s="54"/>
      <c r="DC110" s="54"/>
      <c r="DD110" s="54"/>
      <c r="DE110" s="54"/>
      <c r="DF110" s="54"/>
      <c r="DG110" s="54"/>
      <c r="DH110" s="54"/>
      <c r="DI110" s="54"/>
      <c r="DJ110" s="54"/>
      <c r="DK110" s="54"/>
      <c r="DL110" s="54"/>
      <c r="DM110" s="54"/>
      <c r="DN110" s="17"/>
      <c r="DO110" s="52"/>
      <c r="DP110" s="17"/>
      <c r="DQ110" s="44"/>
      <c r="DR110" s="44"/>
      <c r="DS110" s="44"/>
      <c r="DT110" s="44"/>
      <c r="DU110" s="44"/>
      <c r="DV110" s="44"/>
      <c r="DW110" s="44"/>
      <c r="DX110" s="44"/>
      <c r="DY110" s="44"/>
      <c r="DZ110" s="44"/>
      <c r="EA110" s="44"/>
      <c r="EB110" s="44"/>
      <c r="EC110" s="44"/>
      <c r="ED110" s="44"/>
      <c r="EE110" s="44"/>
      <c r="EF110" s="44"/>
      <c r="EG110" s="44"/>
      <c r="EH110" s="44"/>
      <c r="EI110" s="44"/>
      <c r="EJ110" s="49"/>
      <c r="EK110" s="38"/>
      <c r="EL110" s="37"/>
      <c r="EM110" s="50"/>
      <c r="EN110" s="50"/>
      <c r="EO110" s="50"/>
      <c r="EP110" s="50"/>
      <c r="EQ110" s="50"/>
      <c r="ER110" s="50"/>
      <c r="ES110" s="50"/>
      <c r="ET110" s="50"/>
      <c r="EU110" s="50"/>
      <c r="EV110" s="50"/>
      <c r="EW110" s="50"/>
      <c r="EX110" s="50"/>
      <c r="EY110" s="50"/>
      <c r="EZ110" s="50"/>
      <c r="FA110" s="50"/>
      <c r="FB110" s="50"/>
      <c r="FC110" s="50"/>
      <c r="FD110" s="50"/>
      <c r="FE110" s="50"/>
      <c r="FF110" s="37"/>
      <c r="FG110" s="31"/>
      <c r="FH110" s="35"/>
      <c r="FI110" s="32"/>
      <c r="FJ110" s="32"/>
      <c r="FK110" s="32"/>
      <c r="FL110" s="32"/>
      <c r="FM110" s="32"/>
      <c r="FN110" s="32"/>
      <c r="FO110" s="32"/>
      <c r="FP110" s="32"/>
      <c r="FQ110" s="32"/>
      <c r="FR110" s="32"/>
      <c r="FS110" s="32"/>
      <c r="FT110" s="32"/>
      <c r="FU110" s="32"/>
      <c r="FV110" s="32"/>
      <c r="FW110" s="32"/>
      <c r="FX110" s="32"/>
      <c r="FY110" s="32"/>
      <c r="FZ110" s="32"/>
      <c r="GA110" s="32"/>
      <c r="GB110" s="33"/>
      <c r="GC110" s="34"/>
      <c r="GD110" s="31"/>
      <c r="GE110" s="27"/>
      <c r="GF110" s="27"/>
      <c r="GG110" s="27"/>
      <c r="GH110" s="27"/>
      <c r="GI110" s="27"/>
      <c r="GJ110" s="27"/>
      <c r="GK110" s="27"/>
      <c r="GL110" s="27"/>
      <c r="GM110" s="27"/>
      <c r="GN110" s="27"/>
      <c r="GO110" s="27"/>
      <c r="GP110" s="27"/>
      <c r="GQ110" s="27"/>
      <c r="GR110" s="27"/>
      <c r="GS110" s="27"/>
      <c r="GT110" s="27"/>
      <c r="GU110" s="27"/>
      <c r="GV110" s="27"/>
      <c r="GW110" s="27"/>
      <c r="GX110" s="27"/>
      <c r="GY110" s="27"/>
      <c r="GZ110" s="27"/>
      <c r="HA110" s="27"/>
      <c r="HB110" s="27"/>
      <c r="HC110" s="27"/>
      <c r="HD110" s="27"/>
      <c r="HE110" s="27"/>
      <c r="HF110" s="27"/>
      <c r="HG110" s="39"/>
      <c r="HH110" s="46"/>
      <c r="HI110" s="45"/>
      <c r="HJ110" s="45"/>
      <c r="HK110" s="45"/>
      <c r="HL110" s="45"/>
      <c r="HM110" s="25"/>
      <c r="HN110" s="25"/>
      <c r="HO110" s="47"/>
      <c r="HP110" s="47"/>
      <c r="HQ110" s="47"/>
      <c r="HR110" s="47"/>
      <c r="HS110" s="47"/>
      <c r="HT110" s="47"/>
      <c r="HU110" s="47"/>
      <c r="HV110" s="47"/>
      <c r="HW110" s="47"/>
      <c r="HX110" s="47"/>
      <c r="HY110" s="47"/>
      <c r="HZ110" s="48"/>
      <c r="IA110" s="48"/>
      <c r="IB110" s="48"/>
      <c r="IC110" s="48"/>
      <c r="ID110" s="48"/>
      <c r="IE110" s="18"/>
      <c r="IF110" s="18"/>
      <c r="IG110" s="18"/>
      <c r="IH110" s="18"/>
      <c r="II110" s="18"/>
      <c r="IJ110" s="18"/>
      <c r="IK110" s="18"/>
      <c r="IL110" s="18"/>
      <c r="IM110" s="18"/>
      <c r="IN110" s="18"/>
      <c r="IO110" s="18"/>
      <c r="IP110" s="18"/>
      <c r="IQ110" s="18"/>
      <c r="IR110" s="18"/>
      <c r="IS110" s="18"/>
      <c r="IT110" s="18"/>
      <c r="IU110" s="18"/>
      <c r="IV110" s="18"/>
    </row>
    <row r="111" spans="1:256">
      <c r="A111" s="7"/>
      <c r="B111" s="7"/>
      <c r="C111" s="7"/>
      <c r="D111" s="7"/>
      <c r="E111" s="7"/>
      <c r="F111" s="7"/>
      <c r="G111" s="7"/>
      <c r="H111" s="7"/>
      <c r="I111" s="7"/>
      <c r="J111" s="7"/>
      <c r="K111" s="7"/>
      <c r="L111" s="7"/>
      <c r="M111" s="7"/>
      <c r="N111" s="7"/>
      <c r="O111" s="7"/>
      <c r="P111" s="7"/>
      <c r="Q111" s="7"/>
      <c r="R111" s="7"/>
      <c r="S111" s="7"/>
      <c r="T111" s="7"/>
      <c r="U111" s="7"/>
      <c r="V111" s="7"/>
      <c r="FF111" s="25"/>
      <c r="FG111" s="25"/>
      <c r="FH111" s="26"/>
      <c r="FI111" s="25"/>
      <c r="FJ111" s="25"/>
      <c r="FK111" s="25"/>
      <c r="FL111" s="25"/>
      <c r="FM111" s="25"/>
      <c r="FN111" s="25"/>
      <c r="FO111" s="25"/>
      <c r="FP111" s="25"/>
      <c r="FQ111" s="25"/>
      <c r="FR111" s="25"/>
      <c r="FS111" s="25"/>
      <c r="FT111" s="25"/>
      <c r="FU111" s="25"/>
      <c r="FV111" s="25"/>
      <c r="FW111" s="25"/>
      <c r="FX111" s="25"/>
      <c r="FY111" s="25"/>
      <c r="FZ111" s="25"/>
      <c r="GA111" s="25"/>
      <c r="GB111" s="25"/>
      <c r="GC111" s="25"/>
      <c r="GD111" s="25"/>
      <c r="GE111" s="25"/>
      <c r="GF111" s="25"/>
      <c r="GG111" s="25"/>
      <c r="GH111" s="25"/>
      <c r="GI111" s="25"/>
      <c r="GJ111" s="25"/>
      <c r="GK111" s="25"/>
      <c r="GL111" s="25"/>
      <c r="GM111" s="25"/>
      <c r="GN111" s="25"/>
      <c r="GO111" s="25"/>
      <c r="GP111" s="25"/>
      <c r="GQ111" s="25"/>
      <c r="GR111" s="25"/>
      <c r="GS111" s="25"/>
      <c r="GT111" s="25"/>
      <c r="GU111" s="25"/>
      <c r="GV111" s="25"/>
      <c r="GW111" s="25"/>
      <c r="GX111" s="25"/>
      <c r="GY111" s="25"/>
      <c r="GZ111" s="25"/>
      <c r="HA111" s="25"/>
      <c r="HB111" s="25"/>
      <c r="HC111" s="25"/>
      <c r="HD111" s="25"/>
      <c r="HE111" s="25"/>
      <c r="HF111" s="25"/>
      <c r="HG111" s="25"/>
      <c r="HH111" s="25"/>
      <c r="HI111" s="25"/>
      <c r="HJ111" s="25"/>
      <c r="HK111" s="25"/>
      <c r="HL111" s="25"/>
      <c r="HM111" s="25"/>
      <c r="HN111" s="25"/>
      <c r="HP111" s="18"/>
      <c r="HQ111" s="18"/>
      <c r="HR111" s="18"/>
      <c r="HS111" s="18"/>
      <c r="HT111" s="18"/>
      <c r="HU111" s="18"/>
      <c r="HV111" s="18"/>
      <c r="HW111" s="18"/>
      <c r="HX111" s="18"/>
      <c r="HY111" s="18"/>
      <c r="HZ111" s="18"/>
      <c r="IA111" s="18"/>
      <c r="IB111" s="18"/>
      <c r="IC111" s="18"/>
      <c r="ID111" s="18"/>
      <c r="IE111" s="18"/>
      <c r="IF111" s="18"/>
      <c r="IG111" s="18"/>
      <c r="IH111" s="18"/>
      <c r="II111" s="18"/>
      <c r="IJ111" s="18"/>
      <c r="IK111" s="18"/>
      <c r="IL111" s="18"/>
      <c r="IM111" s="18"/>
      <c r="IN111" s="18"/>
      <c r="IO111" s="18"/>
      <c r="IP111" s="18"/>
      <c r="IQ111" s="18"/>
      <c r="IR111" s="18"/>
      <c r="IS111" s="18"/>
      <c r="IT111" s="18"/>
      <c r="IU111" s="18"/>
      <c r="IV111" s="18"/>
    </row>
    <row r="112" spans="1:256">
      <c r="A112" s="7"/>
      <c r="B112" s="7"/>
      <c r="C112" s="7"/>
      <c r="D112" s="7"/>
      <c r="E112" s="7"/>
      <c r="F112" s="7"/>
      <c r="G112" s="7"/>
      <c r="H112" s="7"/>
      <c r="I112" s="7"/>
      <c r="J112" s="7"/>
      <c r="K112" s="7"/>
      <c r="L112" s="7"/>
      <c r="M112" s="7"/>
      <c r="N112" s="7"/>
      <c r="O112" s="7"/>
      <c r="P112" s="7"/>
      <c r="Q112" s="7"/>
      <c r="R112" s="7"/>
      <c r="S112" s="7"/>
      <c r="T112" s="7"/>
      <c r="U112" s="7"/>
      <c r="V112" s="7"/>
      <c r="FF112" s="25"/>
      <c r="FG112" s="25"/>
      <c r="FH112" s="26"/>
      <c r="FI112" s="25"/>
      <c r="FJ112" s="25"/>
      <c r="FK112" s="25"/>
      <c r="FL112" s="25"/>
      <c r="FM112" s="25"/>
      <c r="FN112" s="25"/>
      <c r="FO112" s="25"/>
      <c r="FP112" s="25"/>
      <c r="FQ112" s="25"/>
      <c r="FR112" s="25"/>
      <c r="FS112" s="25"/>
      <c r="FT112" s="25"/>
      <c r="FU112" s="25"/>
      <c r="FV112" s="25"/>
      <c r="FW112" s="25"/>
      <c r="FX112" s="25"/>
      <c r="FY112" s="25"/>
      <c r="FZ112" s="25"/>
      <c r="GA112" s="25"/>
      <c r="GB112" s="25"/>
      <c r="GC112" s="25"/>
      <c r="GD112" s="25"/>
      <c r="GE112" s="25"/>
      <c r="GF112" s="25"/>
      <c r="GG112" s="25"/>
      <c r="GH112" s="25"/>
      <c r="GI112" s="25"/>
      <c r="GJ112" s="25"/>
      <c r="GK112" s="25"/>
      <c r="GL112" s="25"/>
      <c r="GM112" s="25"/>
      <c r="GN112" s="25"/>
      <c r="GO112" s="25"/>
      <c r="GP112" s="25"/>
      <c r="GQ112" s="25"/>
      <c r="GR112" s="25"/>
      <c r="GS112" s="25"/>
      <c r="GT112" s="25"/>
      <c r="GU112" s="25"/>
      <c r="GV112" s="25"/>
      <c r="GW112" s="25"/>
      <c r="GX112" s="25"/>
      <c r="GY112" s="25"/>
      <c r="GZ112" s="25"/>
      <c r="HA112" s="25"/>
      <c r="HB112" s="25"/>
      <c r="HC112" s="25"/>
      <c r="HD112" s="25"/>
      <c r="HE112" s="25"/>
      <c r="HF112" s="25"/>
      <c r="HG112" s="25"/>
      <c r="HH112" s="25"/>
      <c r="HI112" s="25"/>
      <c r="HJ112" s="25"/>
      <c r="HK112" s="25"/>
      <c r="HL112" s="25"/>
      <c r="HM112" s="25"/>
      <c r="HN112" s="25"/>
      <c r="HP112" s="18"/>
      <c r="HQ112" s="18"/>
      <c r="HR112" s="18"/>
      <c r="HS112" s="18"/>
      <c r="HT112" s="18"/>
      <c r="HU112" s="18"/>
      <c r="HV112" s="18"/>
      <c r="HW112" s="18"/>
      <c r="HX112" s="18"/>
      <c r="HY112" s="18"/>
      <c r="HZ112" s="18"/>
      <c r="IA112" s="18"/>
      <c r="IB112" s="18"/>
      <c r="IC112" s="18"/>
      <c r="ID112" s="18"/>
      <c r="IE112" s="18"/>
      <c r="IF112" s="18"/>
      <c r="IG112" s="18"/>
      <c r="IH112" s="18"/>
      <c r="II112" s="18"/>
      <c r="IJ112" s="18"/>
      <c r="IK112" s="18"/>
      <c r="IL112" s="18"/>
      <c r="IM112" s="18"/>
      <c r="IN112" s="18"/>
      <c r="IO112" s="18"/>
      <c r="IP112" s="18"/>
      <c r="IQ112" s="18"/>
      <c r="IR112" s="18"/>
      <c r="IS112" s="18"/>
      <c r="IT112" s="18"/>
      <c r="IU112" s="18"/>
      <c r="IV112" s="18"/>
    </row>
    <row r="113" spans="1:256">
      <c r="A113" s="7"/>
      <c r="B113" s="7"/>
      <c r="C113" s="7"/>
      <c r="D113" s="7"/>
      <c r="E113" s="7"/>
      <c r="F113" s="7"/>
      <c r="G113" s="7"/>
      <c r="H113" s="7"/>
      <c r="I113" s="7"/>
      <c r="J113" s="7"/>
      <c r="K113" s="7"/>
      <c r="L113" s="7"/>
      <c r="M113" s="7"/>
      <c r="N113" s="7"/>
      <c r="O113" s="7"/>
      <c r="P113" s="7"/>
      <c r="Q113" s="7"/>
      <c r="R113" s="7"/>
      <c r="S113" s="7"/>
      <c r="T113" s="7"/>
      <c r="U113" s="7"/>
      <c r="V113" s="7"/>
      <c r="FF113" s="25"/>
      <c r="FG113" s="25"/>
      <c r="FH113" s="26"/>
      <c r="FI113" s="25"/>
      <c r="FJ113" s="25"/>
      <c r="FK113" s="25"/>
      <c r="FL113" s="25"/>
      <c r="FM113" s="25"/>
      <c r="FN113" s="25"/>
      <c r="FO113" s="25"/>
      <c r="FP113" s="25"/>
      <c r="FQ113" s="25"/>
      <c r="FR113" s="25"/>
      <c r="FS113" s="25"/>
      <c r="FT113" s="25"/>
      <c r="FU113" s="25"/>
      <c r="FV113" s="25"/>
      <c r="FW113" s="25"/>
      <c r="FX113" s="25"/>
      <c r="FY113" s="25"/>
      <c r="FZ113" s="25"/>
      <c r="GA113" s="25"/>
      <c r="GB113" s="25"/>
      <c r="GC113" s="25"/>
      <c r="GD113" s="25"/>
      <c r="GE113" s="25"/>
      <c r="GF113" s="25"/>
      <c r="GG113" s="25"/>
      <c r="GH113" s="25"/>
      <c r="GI113" s="25"/>
      <c r="GJ113" s="25"/>
      <c r="GK113" s="25"/>
      <c r="GL113" s="25"/>
      <c r="GM113" s="25"/>
      <c r="GN113" s="25"/>
      <c r="GO113" s="25"/>
      <c r="GP113" s="25"/>
      <c r="GQ113" s="25"/>
      <c r="GR113" s="25"/>
      <c r="GS113" s="25"/>
      <c r="GT113" s="25"/>
      <c r="GU113" s="25"/>
      <c r="GV113" s="25"/>
      <c r="GW113" s="25"/>
      <c r="GX113" s="25"/>
      <c r="GY113" s="25"/>
      <c r="GZ113" s="25"/>
      <c r="HA113" s="25"/>
      <c r="HB113" s="25"/>
      <c r="HC113" s="25"/>
      <c r="HD113" s="25"/>
      <c r="HE113" s="25"/>
      <c r="HF113" s="25"/>
      <c r="HG113" s="25"/>
      <c r="HH113" s="25"/>
      <c r="HI113" s="25"/>
      <c r="HJ113" s="25"/>
      <c r="HK113" s="25"/>
      <c r="HL113" s="25"/>
      <c r="HM113" s="25"/>
      <c r="HN113" s="25"/>
      <c r="HP113" s="18"/>
      <c r="HQ113" s="18"/>
      <c r="HR113" s="18"/>
      <c r="HS113" s="18"/>
      <c r="HT113" s="18"/>
      <c r="HU113" s="18"/>
      <c r="HV113" s="18"/>
      <c r="HW113" s="18"/>
      <c r="HX113" s="18"/>
      <c r="HY113" s="18"/>
      <c r="HZ113" s="18"/>
      <c r="IA113" s="18"/>
      <c r="IB113" s="18"/>
      <c r="IC113" s="18"/>
      <c r="ID113" s="18"/>
      <c r="IE113" s="18"/>
      <c r="IF113" s="18"/>
      <c r="IG113" s="18"/>
      <c r="IH113" s="18"/>
      <c r="II113" s="18"/>
      <c r="IJ113" s="18"/>
      <c r="IK113" s="18"/>
      <c r="IL113" s="18"/>
      <c r="IM113" s="18"/>
      <c r="IN113" s="18"/>
      <c r="IO113" s="18"/>
      <c r="IP113" s="18"/>
      <c r="IQ113" s="18"/>
      <c r="IR113" s="18"/>
      <c r="IS113" s="18"/>
      <c r="IT113" s="18"/>
      <c r="IU113" s="18"/>
      <c r="IV113" s="18"/>
    </row>
    <row r="114" spans="1:256" ht="18.75">
      <c r="A114" s="7"/>
      <c r="B114" s="986" t="s">
        <v>1828</v>
      </c>
      <c r="C114" s="986"/>
      <c r="D114" s="986"/>
      <c r="E114" s="7"/>
      <c r="F114" s="7"/>
      <c r="G114" s="7"/>
      <c r="H114" s="7"/>
      <c r="I114" s="7"/>
      <c r="J114" s="7"/>
      <c r="K114" s="7"/>
      <c r="L114" s="7"/>
      <c r="M114" s="7"/>
      <c r="N114" s="7"/>
      <c r="O114" s="7"/>
      <c r="P114" s="7"/>
      <c r="Q114" s="7"/>
      <c r="R114" s="7"/>
      <c r="S114" s="7"/>
      <c r="T114" s="7"/>
      <c r="U114" s="7"/>
      <c r="V114" s="7"/>
      <c r="FF114" s="25"/>
      <c r="FG114" s="25"/>
      <c r="FH114" s="26"/>
      <c r="FI114" s="25"/>
      <c r="FJ114" s="25"/>
      <c r="FK114" s="25"/>
      <c r="FL114" s="25"/>
      <c r="FM114" s="25"/>
      <c r="FN114" s="25"/>
      <c r="FO114" s="25"/>
      <c r="FP114" s="25"/>
      <c r="FQ114" s="25"/>
      <c r="FR114" s="25"/>
      <c r="FS114" s="25"/>
      <c r="FT114" s="25"/>
      <c r="FU114" s="25"/>
      <c r="FV114" s="25"/>
      <c r="FW114" s="25"/>
      <c r="FX114" s="25"/>
      <c r="FY114" s="25"/>
      <c r="FZ114" s="25"/>
      <c r="GA114" s="25"/>
      <c r="GB114" s="25"/>
      <c r="GC114" s="25"/>
      <c r="GD114" s="25"/>
      <c r="GE114" s="25"/>
      <c r="GF114" s="25"/>
      <c r="GG114" s="25"/>
      <c r="GH114" s="25"/>
      <c r="GI114" s="25"/>
      <c r="GJ114" s="25"/>
      <c r="GK114" s="25"/>
      <c r="GL114" s="25"/>
      <c r="GM114" s="25"/>
      <c r="GN114" s="25"/>
      <c r="GO114" s="25"/>
      <c r="GP114" s="25"/>
      <c r="GQ114" s="25"/>
      <c r="GR114" s="25"/>
      <c r="GS114" s="25"/>
      <c r="GT114" s="25"/>
      <c r="GU114" s="25"/>
      <c r="GV114" s="25"/>
      <c r="GW114" s="25"/>
      <c r="GX114" s="25"/>
      <c r="GY114" s="25"/>
      <c r="GZ114" s="25"/>
      <c r="HA114" s="25"/>
      <c r="HB114" s="25"/>
      <c r="HC114" s="25"/>
      <c r="HD114" s="25"/>
      <c r="HE114" s="25"/>
      <c r="HF114" s="25"/>
      <c r="HG114" s="25"/>
      <c r="HH114" s="25"/>
      <c r="HI114" s="25"/>
      <c r="HJ114" s="25"/>
      <c r="HK114" s="25"/>
      <c r="HL114" s="25"/>
      <c r="HM114" s="25"/>
      <c r="HN114" s="25"/>
      <c r="HP114" s="18"/>
      <c r="HQ114" s="18"/>
      <c r="HR114" s="18"/>
      <c r="HS114" s="18"/>
      <c r="HT114" s="18"/>
      <c r="HU114" s="18"/>
      <c r="HV114" s="18"/>
      <c r="HW114" s="18"/>
      <c r="HX114" s="18"/>
      <c r="HY114" s="18"/>
      <c r="HZ114" s="18"/>
      <c r="IA114" s="18"/>
      <c r="IB114" s="18"/>
      <c r="IC114" s="18"/>
      <c r="ID114" s="18"/>
      <c r="IE114" s="18"/>
      <c r="IF114" s="18"/>
      <c r="IG114" s="18"/>
      <c r="IH114" s="18"/>
      <c r="II114" s="18"/>
      <c r="IJ114" s="18"/>
      <c r="IK114" s="18"/>
      <c r="IL114" s="18"/>
      <c r="IM114" s="18"/>
      <c r="IN114" s="18"/>
      <c r="IO114" s="18"/>
      <c r="IP114" s="18"/>
      <c r="IQ114" s="18"/>
      <c r="IR114" s="18"/>
      <c r="IS114" s="18"/>
      <c r="IT114" s="18"/>
      <c r="IU114" s="18"/>
      <c r="IV114" s="18"/>
    </row>
    <row r="115" spans="1:256">
      <c r="A115" s="7"/>
      <c r="B115" s="7"/>
      <c r="C115" s="7"/>
      <c r="D115" s="7"/>
      <c r="E115" s="7"/>
      <c r="F115" s="7"/>
      <c r="G115" s="7"/>
      <c r="H115" s="7"/>
      <c r="I115" s="7"/>
      <c r="J115" s="7"/>
      <c r="K115" s="7"/>
      <c r="L115" s="7"/>
      <c r="M115" s="7"/>
      <c r="N115" s="7"/>
      <c r="O115" s="7"/>
      <c r="P115" s="7"/>
      <c r="Q115" s="7"/>
      <c r="R115" s="7"/>
      <c r="S115" s="7"/>
      <c r="T115" s="7"/>
      <c r="U115" s="7"/>
      <c r="V115" s="7"/>
      <c r="FF115" s="25"/>
      <c r="FG115" s="25"/>
      <c r="FH115" s="26"/>
      <c r="FI115" s="25"/>
      <c r="FJ115" s="25"/>
      <c r="FK115" s="25"/>
      <c r="FL115" s="25"/>
      <c r="FM115" s="25"/>
      <c r="FN115" s="25"/>
      <c r="FO115" s="25"/>
      <c r="FP115" s="25"/>
      <c r="FQ115" s="25"/>
      <c r="FR115" s="25"/>
      <c r="FS115" s="25"/>
      <c r="FT115" s="25"/>
      <c r="FU115" s="25"/>
      <c r="FV115" s="25"/>
      <c r="FW115" s="25"/>
      <c r="FX115" s="25"/>
      <c r="FY115" s="25"/>
      <c r="FZ115" s="25"/>
      <c r="GA115" s="25"/>
      <c r="GB115" s="25"/>
      <c r="GC115" s="25"/>
      <c r="GD115" s="25"/>
      <c r="GE115" s="25"/>
      <c r="GF115" s="25"/>
      <c r="GG115" s="25"/>
      <c r="GH115" s="25"/>
      <c r="GI115" s="25"/>
      <c r="GJ115" s="25"/>
      <c r="GK115" s="25"/>
      <c r="GL115" s="25"/>
      <c r="GM115" s="25"/>
      <c r="GN115" s="25"/>
      <c r="GO115" s="25"/>
      <c r="GP115" s="25"/>
      <c r="GQ115" s="25"/>
      <c r="GR115" s="25"/>
      <c r="GS115" s="25"/>
      <c r="GT115" s="25"/>
      <c r="GU115" s="25"/>
      <c r="GV115" s="25"/>
      <c r="GW115" s="25"/>
      <c r="GX115" s="25"/>
      <c r="GY115" s="25"/>
      <c r="GZ115" s="25"/>
      <c r="HA115" s="25"/>
      <c r="HB115" s="25"/>
      <c r="HC115" s="25"/>
      <c r="HD115" s="25"/>
      <c r="HE115" s="25"/>
      <c r="HF115" s="25"/>
      <c r="HG115" s="25"/>
      <c r="HH115" s="25"/>
      <c r="HI115" s="25"/>
      <c r="HJ115" s="25"/>
      <c r="HK115" s="25"/>
      <c r="HL115" s="25"/>
      <c r="HM115" s="25"/>
      <c r="HN115" s="25"/>
      <c r="HP115" s="18"/>
      <c r="HQ115" s="18"/>
      <c r="HR115" s="18"/>
      <c r="HS115" s="18"/>
      <c r="HT115" s="18"/>
      <c r="HU115" s="18"/>
      <c r="HV115" s="18"/>
      <c r="HW115" s="18"/>
      <c r="HX115" s="18"/>
      <c r="HY115" s="18"/>
      <c r="HZ115" s="18"/>
      <c r="IA115" s="18"/>
      <c r="IB115" s="18"/>
      <c r="IC115" s="18"/>
      <c r="ID115" s="18"/>
      <c r="IE115" s="18"/>
      <c r="IF115" s="18"/>
      <c r="IG115" s="18"/>
      <c r="IH115" s="18"/>
      <c r="II115" s="18"/>
      <c r="IJ115" s="18"/>
      <c r="IK115" s="18"/>
      <c r="IL115" s="18"/>
      <c r="IM115" s="18"/>
      <c r="IN115" s="18"/>
      <c r="IO115" s="18"/>
      <c r="IP115" s="18"/>
      <c r="IQ115" s="18"/>
      <c r="IR115" s="18"/>
      <c r="IS115" s="18"/>
      <c r="IT115" s="18"/>
      <c r="IU115" s="18"/>
      <c r="IV115" s="18"/>
    </row>
    <row r="116" spans="1:256" s="15" customFormat="1" ht="18.75">
      <c r="A116" s="20"/>
      <c r="B116" s="987">
        <v>1</v>
      </c>
      <c r="C116" s="985">
        <v>2</v>
      </c>
      <c r="D116" s="987">
        <v>3</v>
      </c>
      <c r="E116" s="985">
        <v>4</v>
      </c>
      <c r="F116" s="987">
        <v>5</v>
      </c>
      <c r="G116" s="985">
        <v>6</v>
      </c>
      <c r="H116" s="987">
        <v>7</v>
      </c>
      <c r="I116" s="985">
        <v>8</v>
      </c>
      <c r="J116" s="987">
        <v>9</v>
      </c>
      <c r="K116" s="985">
        <v>10</v>
      </c>
      <c r="L116" s="985">
        <v>11</v>
      </c>
      <c r="M116" s="987">
        <v>12</v>
      </c>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7"/>
      <c r="CW116" s="7"/>
      <c r="CX116" s="7"/>
      <c r="CY116" s="7"/>
      <c r="CZ116" s="7"/>
      <c r="DA116" s="7"/>
      <c r="DB116" s="7"/>
      <c r="DC116" s="7"/>
      <c r="DD116" s="7"/>
      <c r="DE116" s="7"/>
      <c r="DF116" s="7"/>
      <c r="DG116" s="7"/>
      <c r="DH116" s="7"/>
      <c r="DI116" s="7"/>
      <c r="DJ116" s="7"/>
      <c r="DK116" s="7"/>
      <c r="DL116" s="7"/>
      <c r="DM116" s="7"/>
      <c r="DN116" s="7"/>
      <c r="DO116" s="7"/>
      <c r="DP116" s="7"/>
      <c r="DQ116" s="7"/>
      <c r="DR116" s="7"/>
      <c r="DS116" s="7"/>
      <c r="DT116" s="7"/>
      <c r="DU116" s="7"/>
      <c r="DV116" s="7"/>
      <c r="DW116" s="7"/>
      <c r="DX116" s="7"/>
      <c r="DY116" s="7"/>
      <c r="DZ116" s="7"/>
      <c r="EA116" s="7"/>
      <c r="EB116" s="7"/>
      <c r="EC116" s="7"/>
      <c r="ED116" s="7"/>
      <c r="EE116" s="7"/>
      <c r="EF116" s="7"/>
      <c r="EG116" s="7"/>
      <c r="EH116" s="7"/>
      <c r="EI116" s="7"/>
      <c r="EJ116" s="7"/>
      <c r="EK116" s="7"/>
      <c r="EL116" s="7"/>
      <c r="EM116" s="7"/>
      <c r="EN116" s="7"/>
      <c r="EO116" s="7"/>
      <c r="EP116" s="7"/>
      <c r="EQ116" s="7"/>
      <c r="ER116" s="7"/>
      <c r="ES116" s="7"/>
      <c r="ET116" s="7"/>
      <c r="EU116" s="7"/>
      <c r="EV116" s="7"/>
      <c r="EW116" s="7"/>
      <c r="EX116" s="7"/>
      <c r="EY116" s="7"/>
      <c r="EZ116" s="7"/>
      <c r="FA116" s="7"/>
      <c r="FB116" s="7"/>
      <c r="FC116" s="7"/>
      <c r="FD116" s="7"/>
      <c r="FE116" s="7"/>
      <c r="FF116" s="7"/>
      <c r="FG116" s="7"/>
      <c r="FH116" s="18"/>
      <c r="FI116" s="7"/>
      <c r="FJ116" s="7"/>
      <c r="FK116" s="7"/>
      <c r="FL116" s="7"/>
      <c r="FM116" s="7"/>
      <c r="FN116" s="7"/>
      <c r="FO116" s="7"/>
      <c r="FP116" s="7"/>
      <c r="FQ116" s="7"/>
      <c r="FR116" s="7"/>
      <c r="FS116" s="7"/>
      <c r="FT116" s="7"/>
      <c r="FU116" s="7"/>
      <c r="FV116" s="7"/>
      <c r="FW116" s="7"/>
      <c r="FX116" s="7"/>
      <c r="FY116" s="7"/>
      <c r="FZ116" s="7"/>
      <c r="GA116" s="7"/>
      <c r="GB116" s="7"/>
      <c r="GC116" s="7"/>
      <c r="GD116" s="7"/>
      <c r="GE116" s="7"/>
      <c r="GF116" s="7"/>
      <c r="GG116" s="7"/>
      <c r="GH116" s="7"/>
      <c r="GI116" s="7"/>
      <c r="GJ116" s="7"/>
      <c r="GK116" s="7"/>
      <c r="GL116" s="7"/>
      <c r="GM116" s="7"/>
      <c r="GN116" s="7"/>
      <c r="GO116" s="7"/>
      <c r="GP116" s="7"/>
      <c r="GQ116" s="7"/>
      <c r="GR116" s="7"/>
      <c r="GS116" s="7"/>
      <c r="GT116" s="7"/>
      <c r="GU116" s="7"/>
      <c r="GV116" s="7"/>
      <c r="GW116" s="7"/>
      <c r="GX116" s="7"/>
      <c r="GY116" s="7"/>
      <c r="GZ116" s="7"/>
      <c r="HA116" s="7"/>
      <c r="HB116" s="7"/>
      <c r="HC116" s="7"/>
      <c r="HD116" s="7"/>
      <c r="HE116" s="7"/>
      <c r="HF116" s="7"/>
      <c r="HG116" s="7"/>
      <c r="HH116" s="7"/>
      <c r="HI116" s="7"/>
      <c r="HJ116" s="7"/>
      <c r="HK116" s="7"/>
      <c r="HL116" s="7"/>
      <c r="HM116" s="7"/>
      <c r="HN116" s="7"/>
      <c r="HO116" s="7"/>
      <c r="HP116" s="7"/>
      <c r="HQ116" s="7"/>
      <c r="HR116" s="7"/>
      <c r="HS116" s="7"/>
      <c r="HT116" s="7"/>
      <c r="HU116" s="7"/>
      <c r="HV116" s="7"/>
      <c r="HW116" s="7"/>
      <c r="HX116" s="7"/>
      <c r="HY116" s="7"/>
      <c r="HZ116" s="7"/>
      <c r="IA116" s="7"/>
      <c r="IB116" s="7"/>
      <c r="IC116" s="7"/>
      <c r="ID116" s="7"/>
      <c r="IE116" s="7"/>
      <c r="IF116" s="7"/>
      <c r="IG116" s="7"/>
      <c r="IH116" s="7"/>
      <c r="II116" s="7"/>
      <c r="IJ116" s="7"/>
      <c r="IK116" s="7"/>
      <c r="IL116" s="7"/>
      <c r="IM116" s="7"/>
      <c r="IN116" s="7"/>
      <c r="IO116" s="7"/>
      <c r="IP116" s="7"/>
      <c r="IQ116" s="7"/>
      <c r="IR116" s="7"/>
      <c r="IS116" s="7"/>
      <c r="IT116" s="7"/>
      <c r="IU116" s="7"/>
      <c r="IV116" s="7"/>
    </row>
    <row r="117" spans="1:256" s="15" customFormat="1">
      <c r="A117" s="20"/>
      <c r="B117" s="57" t="s">
        <v>2780</v>
      </c>
      <c r="C117" s="983" t="s">
        <v>162</v>
      </c>
      <c r="D117" s="983" t="s">
        <v>2075</v>
      </c>
      <c r="E117" s="983" t="s">
        <v>2315</v>
      </c>
      <c r="F117" s="983" t="s">
        <v>2070</v>
      </c>
      <c r="G117" s="983" t="s">
        <v>2065</v>
      </c>
      <c r="H117" s="983" t="s">
        <v>2059</v>
      </c>
      <c r="I117" s="983" t="s">
        <v>2319</v>
      </c>
      <c r="J117" s="983" t="s">
        <v>2051</v>
      </c>
      <c r="K117" s="983" t="s">
        <v>2320</v>
      </c>
      <c r="L117" s="983" t="s">
        <v>2031</v>
      </c>
      <c r="M117" s="15" t="s">
        <v>2782</v>
      </c>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7"/>
      <c r="CW117" s="7"/>
      <c r="CX117" s="7"/>
      <c r="CY117" s="7"/>
      <c r="CZ117" s="7"/>
      <c r="DA117" s="7"/>
      <c r="DB117" s="7"/>
      <c r="DC117" s="7"/>
      <c r="DD117" s="7"/>
      <c r="DE117" s="7"/>
      <c r="DF117" s="7"/>
      <c r="DG117" s="7"/>
      <c r="DH117" s="7"/>
      <c r="DI117" s="7"/>
      <c r="DJ117" s="7"/>
      <c r="DK117" s="7"/>
      <c r="DL117" s="7"/>
      <c r="DM117" s="7"/>
      <c r="DN117" s="7"/>
      <c r="DO117" s="7"/>
      <c r="DP117" s="7"/>
      <c r="DQ117" s="7"/>
      <c r="DR117" s="7"/>
      <c r="DS117" s="7"/>
      <c r="DT117" s="7"/>
      <c r="DU117" s="7"/>
      <c r="DV117" s="7"/>
      <c r="DW117" s="7"/>
      <c r="DX117" s="7"/>
      <c r="DY117" s="7"/>
      <c r="DZ117" s="7"/>
      <c r="EA117" s="7"/>
      <c r="EB117" s="7"/>
      <c r="EC117" s="7"/>
      <c r="ED117" s="7"/>
      <c r="EE117" s="7"/>
      <c r="EF117" s="7"/>
      <c r="EG117" s="7"/>
      <c r="EH117" s="7"/>
      <c r="EI117" s="7"/>
      <c r="EJ117" s="7"/>
      <c r="EK117" s="7"/>
      <c r="EL117" s="7"/>
      <c r="EM117" s="7"/>
      <c r="EN117" s="7"/>
      <c r="EO117" s="7"/>
      <c r="EP117" s="7"/>
      <c r="EQ117" s="7"/>
      <c r="ER117" s="7"/>
      <c r="ES117" s="7"/>
      <c r="ET117" s="7"/>
      <c r="EU117" s="7"/>
      <c r="EV117" s="7"/>
      <c r="EW117" s="7"/>
      <c r="EX117" s="7"/>
      <c r="EY117" s="7"/>
      <c r="EZ117" s="7"/>
      <c r="FA117" s="7"/>
      <c r="FB117" s="7"/>
      <c r="FC117" s="7"/>
      <c r="FD117" s="7"/>
      <c r="FE117" s="7"/>
      <c r="FF117" s="7"/>
      <c r="FG117" s="7"/>
      <c r="FH117" s="18"/>
      <c r="FI117" s="7"/>
      <c r="FJ117" s="7"/>
      <c r="FK117" s="7"/>
      <c r="FL117" s="7"/>
      <c r="FM117" s="7"/>
      <c r="FN117" s="7"/>
      <c r="FO117" s="7"/>
      <c r="FP117" s="7"/>
      <c r="FQ117" s="7"/>
      <c r="FR117" s="7"/>
      <c r="FS117" s="7"/>
      <c r="FT117" s="7"/>
      <c r="FU117" s="7"/>
      <c r="FV117" s="7"/>
      <c r="FW117" s="7"/>
      <c r="FX117" s="7"/>
      <c r="FY117" s="7"/>
      <c r="FZ117" s="7"/>
      <c r="GA117" s="7"/>
      <c r="GB117" s="7"/>
      <c r="GC117" s="7"/>
      <c r="GD117" s="7"/>
      <c r="GE117" s="7"/>
      <c r="GF117" s="7"/>
      <c r="GG117" s="7"/>
      <c r="GH117" s="7"/>
      <c r="GI117" s="7"/>
      <c r="GJ117" s="7"/>
      <c r="GK117" s="7"/>
      <c r="GL117" s="7"/>
      <c r="GM117" s="7"/>
      <c r="GN117" s="7"/>
      <c r="GO117" s="7"/>
      <c r="GP117" s="7"/>
      <c r="GQ117" s="7"/>
      <c r="GR117" s="7"/>
      <c r="GS117" s="7"/>
      <c r="GT117" s="7"/>
      <c r="GU117" s="7"/>
      <c r="GV117" s="7"/>
      <c r="GW117" s="7"/>
      <c r="GX117" s="7"/>
      <c r="GY117" s="7"/>
      <c r="GZ117" s="7"/>
      <c r="HA117" s="7"/>
      <c r="HB117" s="7"/>
      <c r="HC117" s="7"/>
      <c r="HD117" s="7"/>
      <c r="HE117" s="7"/>
      <c r="HF117" s="7"/>
      <c r="HG117" s="7"/>
      <c r="HH117" s="7"/>
      <c r="HI117" s="7"/>
      <c r="HJ117" s="7"/>
      <c r="HK117" s="7"/>
      <c r="HL117" s="7"/>
      <c r="HM117" s="7"/>
      <c r="HN117" s="7"/>
      <c r="HO117" s="7"/>
      <c r="HP117" s="7"/>
      <c r="HQ117" s="7"/>
      <c r="HR117" s="7"/>
      <c r="HS117" s="7"/>
      <c r="HT117" s="7"/>
      <c r="HU117" s="7"/>
      <c r="HV117" s="7"/>
      <c r="HW117" s="7"/>
      <c r="HX117" s="7"/>
      <c r="HY117" s="7"/>
      <c r="HZ117" s="7"/>
      <c r="IA117" s="7"/>
      <c r="IB117" s="7"/>
      <c r="IC117" s="7"/>
      <c r="ID117" s="7"/>
      <c r="IE117" s="7"/>
      <c r="IF117" s="7"/>
      <c r="IG117" s="7"/>
      <c r="IH117" s="7"/>
      <c r="II117" s="7"/>
      <c r="IJ117" s="7"/>
      <c r="IK117" s="7"/>
      <c r="IL117" s="7"/>
      <c r="IM117" s="7"/>
      <c r="IN117" s="7"/>
      <c r="IO117" s="7"/>
      <c r="IP117" s="7"/>
      <c r="IQ117" s="7"/>
      <c r="IR117" s="7"/>
      <c r="IS117" s="7"/>
      <c r="IT117" s="7"/>
      <c r="IU117" s="7"/>
      <c r="IV117" s="7"/>
    </row>
    <row r="118" spans="1:256" s="15" customFormat="1" ht="12.75">
      <c r="A118" s="20"/>
      <c r="B118" s="1085" t="s">
        <v>2774</v>
      </c>
      <c r="C118" s="1087">
        <v>0.82500000000000007</v>
      </c>
      <c r="D118" s="1087">
        <v>0.20625000000000002</v>
      </c>
      <c r="E118" s="1088">
        <v>0.20466875000000001</v>
      </c>
      <c r="F118" s="1088">
        <v>0.20625000000000002</v>
      </c>
      <c r="G118" s="1088">
        <v>0.19945750000000004</v>
      </c>
      <c r="H118" s="1088">
        <v>0.20625000000000002</v>
      </c>
      <c r="I118" s="1089">
        <v>0.18967437500000001</v>
      </c>
      <c r="J118" s="1089">
        <v>0.20625000000000002</v>
      </c>
      <c r="K118" s="1089">
        <v>0.20020000000000002</v>
      </c>
      <c r="L118" s="1089">
        <v>0.81149062500000002</v>
      </c>
      <c r="M118" s="1086" t="s">
        <v>2168</v>
      </c>
      <c r="N118" s="720"/>
      <c r="O118" s="720"/>
      <c r="P118" s="720"/>
      <c r="Q118" s="720"/>
      <c r="R118" s="720"/>
      <c r="S118" s="720"/>
      <c r="T118" s="720"/>
      <c r="U118" s="720"/>
      <c r="V118" s="720"/>
      <c r="W118" s="720"/>
      <c r="X118" s="720"/>
      <c r="Y118" s="720"/>
      <c r="Z118" s="720"/>
      <c r="AA118" s="720"/>
      <c r="AB118" s="720"/>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c r="ET118" s="7"/>
      <c r="EU118" s="7"/>
      <c r="EV118" s="7"/>
      <c r="EW118" s="7"/>
      <c r="EX118" s="7"/>
      <c r="EY118" s="7"/>
      <c r="EZ118" s="7"/>
      <c r="FA118" s="7"/>
      <c r="FB118" s="7"/>
      <c r="FC118" s="7"/>
      <c r="FD118" s="7"/>
      <c r="FE118" s="7"/>
      <c r="FF118" s="7"/>
      <c r="FG118" s="7"/>
      <c r="FH118" s="18"/>
      <c r="FI118" s="7"/>
      <c r="FJ118" s="7"/>
      <c r="FK118" s="7"/>
      <c r="FL118" s="7"/>
      <c r="FM118" s="7"/>
      <c r="FN118" s="7"/>
      <c r="FO118" s="7"/>
      <c r="FP118" s="7"/>
      <c r="FQ118" s="7"/>
      <c r="FR118" s="7"/>
      <c r="FS118" s="7"/>
      <c r="FT118" s="7"/>
      <c r="FU118" s="7"/>
      <c r="FV118" s="7"/>
      <c r="FW118" s="7"/>
      <c r="FX118" s="7"/>
      <c r="FY118" s="7"/>
      <c r="FZ118" s="7"/>
      <c r="GA118" s="7"/>
      <c r="GB118" s="7"/>
      <c r="GC118" s="7"/>
      <c r="GD118" s="7"/>
      <c r="GE118" s="7"/>
      <c r="GF118" s="7"/>
      <c r="GG118" s="7"/>
      <c r="GH118" s="7"/>
      <c r="GI118" s="7"/>
      <c r="GJ118" s="7"/>
      <c r="GK118" s="7"/>
      <c r="GL118" s="7"/>
      <c r="GM118" s="7"/>
      <c r="GN118" s="7"/>
      <c r="GO118" s="7"/>
      <c r="GP118" s="7"/>
      <c r="GQ118" s="7"/>
      <c r="GR118" s="7"/>
      <c r="GS118" s="7"/>
      <c r="GT118" s="7"/>
      <c r="GU118" s="7"/>
      <c r="GV118" s="7"/>
      <c r="GW118" s="7"/>
      <c r="GX118" s="7"/>
      <c r="GY118" s="7"/>
      <c r="GZ118" s="7"/>
      <c r="HA118" s="7"/>
      <c r="HB118" s="7"/>
      <c r="HC118" s="7"/>
      <c r="HD118" s="7"/>
      <c r="HE118" s="7"/>
      <c r="HF118" s="7"/>
      <c r="HG118" s="7"/>
      <c r="HH118" s="7"/>
      <c r="HI118" s="7"/>
      <c r="HJ118" s="7"/>
      <c r="HK118" s="7"/>
      <c r="HL118" s="7"/>
      <c r="HM118" s="7"/>
      <c r="HN118" s="7"/>
      <c r="HO118" s="7"/>
      <c r="HP118" s="7"/>
      <c r="HQ118" s="7"/>
      <c r="HR118" s="7"/>
      <c r="HS118" s="7"/>
      <c r="HT118" s="7"/>
      <c r="HU118" s="7"/>
      <c r="HV118" s="7"/>
      <c r="HW118" s="7"/>
      <c r="HX118" s="7"/>
      <c r="HY118" s="7"/>
      <c r="HZ118" s="7"/>
      <c r="IA118" s="7"/>
      <c r="IB118" s="7"/>
      <c r="IC118" s="7"/>
      <c r="ID118" s="7"/>
      <c r="IE118" s="7"/>
      <c r="IF118" s="7"/>
      <c r="IG118" s="7"/>
      <c r="IH118" s="7"/>
      <c r="II118" s="7"/>
      <c r="IJ118" s="7"/>
      <c r="IK118" s="7"/>
      <c r="IL118" s="7"/>
      <c r="IM118" s="7"/>
      <c r="IN118" s="7"/>
      <c r="IO118" s="7"/>
      <c r="IP118" s="7"/>
      <c r="IQ118" s="7"/>
      <c r="IR118" s="7"/>
      <c r="IS118" s="7"/>
      <c r="IT118" s="7"/>
      <c r="IU118" s="7"/>
      <c r="IV118" s="7"/>
    </row>
    <row r="119" spans="1:256" s="15" customFormat="1" ht="12.75">
      <c r="A119" s="20"/>
      <c r="B119" s="1085" t="s">
        <v>2773</v>
      </c>
      <c r="C119" s="1087">
        <v>0.33</v>
      </c>
      <c r="D119" s="1087">
        <v>8.3041975940619406E-2</v>
      </c>
      <c r="E119" s="1088">
        <v>7.8864538008702328E-2</v>
      </c>
      <c r="F119" s="1088">
        <v>7.6474916815971336E-2</v>
      </c>
      <c r="G119" s="1088">
        <v>7.1466038520604042E-2</v>
      </c>
      <c r="H119" s="1088">
        <v>8.524155362170463E-2</v>
      </c>
      <c r="I119" s="1089">
        <v>6.9464862746352704E-2</v>
      </c>
      <c r="J119" s="1089">
        <v>8.524155362170463E-2</v>
      </c>
      <c r="K119" s="1089">
        <v>7.363570194522652E-2</v>
      </c>
      <c r="L119" s="1089">
        <v>0.29343114122088559</v>
      </c>
      <c r="M119" s="1086" t="s">
        <v>2169</v>
      </c>
      <c r="N119" s="720"/>
      <c r="O119" s="720"/>
      <c r="P119" s="720"/>
      <c r="Q119" s="720"/>
      <c r="R119" s="720"/>
      <c r="S119" s="720"/>
      <c r="T119" s="720"/>
      <c r="U119" s="720"/>
      <c r="V119" s="720"/>
      <c r="W119" s="720"/>
      <c r="X119" s="720"/>
      <c r="Y119" s="720"/>
      <c r="Z119" s="720"/>
      <c r="AA119" s="720"/>
      <c r="AB119" s="720"/>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7"/>
      <c r="CW119" s="7"/>
      <c r="CX119" s="7"/>
      <c r="CY119" s="7"/>
      <c r="CZ119" s="7"/>
      <c r="DA119" s="7"/>
      <c r="DB119" s="7"/>
      <c r="DC119" s="7"/>
      <c r="DD119" s="7"/>
      <c r="DE119" s="7"/>
      <c r="DF119" s="7"/>
      <c r="DG119" s="7"/>
      <c r="DH119" s="7"/>
      <c r="DI119" s="7"/>
      <c r="DJ119" s="7"/>
      <c r="DK119" s="7"/>
      <c r="DL119" s="7"/>
      <c r="DM119" s="7"/>
      <c r="DN119" s="7"/>
      <c r="DO119" s="7"/>
      <c r="DP119" s="7"/>
      <c r="DQ119" s="7"/>
      <c r="DR119" s="7"/>
      <c r="DS119" s="7"/>
      <c r="DT119" s="7"/>
      <c r="DU119" s="7"/>
      <c r="DV119" s="7"/>
      <c r="DW119" s="7"/>
      <c r="DX119" s="7"/>
      <c r="DY119" s="7"/>
      <c r="DZ119" s="7"/>
      <c r="EA119" s="7"/>
      <c r="EB119" s="7"/>
      <c r="EC119" s="7"/>
      <c r="ED119" s="7"/>
      <c r="EE119" s="7"/>
      <c r="EF119" s="7"/>
      <c r="EG119" s="7"/>
      <c r="EH119" s="7"/>
      <c r="EI119" s="7"/>
      <c r="EJ119" s="7"/>
      <c r="EK119" s="7"/>
      <c r="EL119" s="7"/>
      <c r="EM119" s="7"/>
      <c r="EN119" s="7"/>
      <c r="EO119" s="7"/>
      <c r="EP119" s="7"/>
      <c r="EQ119" s="7"/>
      <c r="ER119" s="7"/>
      <c r="ES119" s="7"/>
      <c r="ET119" s="7"/>
      <c r="EU119" s="7"/>
      <c r="EV119" s="7"/>
      <c r="EW119" s="7"/>
      <c r="EX119" s="7"/>
      <c r="EY119" s="7"/>
      <c r="EZ119" s="7"/>
      <c r="FA119" s="7"/>
      <c r="FB119" s="7"/>
      <c r="FC119" s="7"/>
      <c r="FD119" s="7"/>
      <c r="FE119" s="7"/>
      <c r="FF119" s="7"/>
      <c r="FG119" s="7"/>
      <c r="FH119" s="18"/>
      <c r="FI119" s="7"/>
      <c r="FJ119" s="7"/>
      <c r="FK119" s="7"/>
      <c r="FL119" s="7"/>
      <c r="FM119" s="7"/>
      <c r="FN119" s="7"/>
      <c r="FO119" s="7"/>
      <c r="FP119" s="7"/>
      <c r="FQ119" s="7"/>
      <c r="FR119" s="7"/>
      <c r="FS119" s="7"/>
      <c r="FT119" s="7"/>
      <c r="FU119" s="7"/>
      <c r="FV119" s="7"/>
      <c r="FW119" s="7"/>
      <c r="FX119" s="7"/>
      <c r="FY119" s="7"/>
      <c r="FZ119" s="7"/>
      <c r="GA119" s="7"/>
      <c r="GB119" s="7"/>
      <c r="GC119" s="7"/>
      <c r="GD119" s="7"/>
      <c r="GE119" s="7"/>
      <c r="GF119" s="7"/>
      <c r="GG119" s="7"/>
      <c r="GH119" s="7"/>
      <c r="GI119" s="7"/>
      <c r="GJ119" s="7"/>
      <c r="GK119" s="7"/>
      <c r="GL119" s="7"/>
      <c r="GM119" s="7"/>
      <c r="GN119" s="7"/>
      <c r="GO119" s="7"/>
      <c r="GP119" s="7"/>
      <c r="GQ119" s="7"/>
      <c r="GR119" s="7"/>
      <c r="GS119" s="7"/>
      <c r="GT119" s="7"/>
      <c r="GU119" s="7"/>
      <c r="GV119" s="7"/>
      <c r="GW119" s="7"/>
      <c r="GX119" s="7"/>
      <c r="GY119" s="7"/>
      <c r="GZ119" s="7"/>
      <c r="HA119" s="7"/>
      <c r="HB119" s="7"/>
      <c r="HC119" s="7"/>
      <c r="HD119" s="7"/>
      <c r="HE119" s="7"/>
      <c r="HF119" s="7"/>
      <c r="HG119" s="7"/>
      <c r="HH119" s="7"/>
      <c r="HI119" s="7"/>
      <c r="HJ119" s="7"/>
      <c r="HK119" s="7"/>
      <c r="HL119" s="7"/>
      <c r="HM119" s="7"/>
      <c r="HN119" s="7"/>
      <c r="HO119" s="7"/>
      <c r="HP119" s="7"/>
      <c r="HQ119" s="7"/>
      <c r="HR119" s="7"/>
      <c r="HS119" s="7"/>
      <c r="HT119" s="7"/>
      <c r="HU119" s="7"/>
      <c r="HV119" s="7"/>
      <c r="HW119" s="7"/>
      <c r="HX119" s="7"/>
      <c r="HY119" s="7"/>
      <c r="HZ119" s="7"/>
      <c r="IA119" s="7"/>
      <c r="IB119" s="7"/>
      <c r="IC119" s="7"/>
      <c r="ID119" s="7"/>
      <c r="IE119" s="7"/>
      <c r="IF119" s="7"/>
      <c r="IG119" s="7"/>
      <c r="IH119" s="7"/>
      <c r="II119" s="7"/>
      <c r="IJ119" s="7"/>
      <c r="IK119" s="7"/>
      <c r="IL119" s="7"/>
      <c r="IM119" s="7"/>
      <c r="IN119" s="7"/>
      <c r="IO119" s="7"/>
      <c r="IP119" s="7"/>
      <c r="IQ119" s="7"/>
      <c r="IR119" s="7"/>
      <c r="IS119" s="7"/>
      <c r="IT119" s="7"/>
      <c r="IU119" s="7"/>
      <c r="IV119" s="7"/>
    </row>
    <row r="120" spans="1:256" s="15" customFormat="1" ht="12.75">
      <c r="A120" s="20"/>
      <c r="B120" s="1085" t="s">
        <v>2772</v>
      </c>
      <c r="C120" s="1087">
        <v>2.99</v>
      </c>
      <c r="D120" s="1087">
        <v>7.6060606060606065E-2</v>
      </c>
      <c r="E120" s="1088">
        <v>5.3333333333333337E-2</v>
      </c>
      <c r="F120" s="1088">
        <v>0.65095291672024347</v>
      </c>
      <c r="G120" s="1088">
        <v>0.5600029167202436</v>
      </c>
      <c r="H120" s="1088">
        <v>0.87286390446187478</v>
      </c>
      <c r="I120" s="1089">
        <v>0.59801692538144202</v>
      </c>
      <c r="J120" s="1089">
        <v>1.3901225727572757</v>
      </c>
      <c r="K120" s="1089">
        <v>0.79254837362307662</v>
      </c>
      <c r="L120" s="1089">
        <v>2.5639919527534816</v>
      </c>
      <c r="M120" s="1086" t="s">
        <v>2170</v>
      </c>
      <c r="N120" s="720"/>
      <c r="O120" s="720"/>
      <c r="P120" s="720"/>
      <c r="Q120" s="720"/>
      <c r="R120" s="720"/>
      <c r="S120" s="720"/>
      <c r="T120" s="720"/>
      <c r="U120" s="720"/>
      <c r="V120" s="720"/>
      <c r="W120" s="720"/>
      <c r="X120" s="720"/>
      <c r="Y120" s="720"/>
      <c r="Z120" s="720"/>
      <c r="AA120" s="720"/>
      <c r="AB120" s="720"/>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7"/>
      <c r="CX120" s="7"/>
      <c r="CY120" s="7"/>
      <c r="CZ120" s="7"/>
      <c r="DA120" s="7"/>
      <c r="DB120" s="7"/>
      <c r="DC120" s="7"/>
      <c r="DD120" s="7"/>
      <c r="DE120" s="7"/>
      <c r="DF120" s="7"/>
      <c r="DG120" s="7"/>
      <c r="DH120" s="7"/>
      <c r="DI120" s="7"/>
      <c r="DJ120" s="7"/>
      <c r="DK120" s="7"/>
      <c r="DL120" s="7"/>
      <c r="DM120" s="7"/>
      <c r="DN120" s="7"/>
      <c r="DO120" s="7"/>
      <c r="DP120" s="7"/>
      <c r="DQ120" s="7"/>
      <c r="DR120" s="7"/>
      <c r="DS120" s="7"/>
      <c r="DT120" s="7"/>
      <c r="DU120" s="7"/>
      <c r="DV120" s="7"/>
      <c r="DW120" s="7"/>
      <c r="DX120" s="7"/>
      <c r="DY120" s="7"/>
      <c r="DZ120" s="7"/>
      <c r="EA120" s="7"/>
      <c r="EB120" s="7"/>
      <c r="EC120" s="7"/>
      <c r="ED120" s="7"/>
      <c r="EE120" s="7"/>
      <c r="EF120" s="7"/>
      <c r="EG120" s="7"/>
      <c r="EH120" s="7"/>
      <c r="EI120" s="7"/>
      <c r="EJ120" s="7"/>
      <c r="EK120" s="7"/>
      <c r="EL120" s="7"/>
      <c r="EM120" s="7"/>
      <c r="EN120" s="7"/>
      <c r="EO120" s="7"/>
      <c r="EP120" s="7"/>
      <c r="EQ120" s="7"/>
      <c r="ER120" s="7"/>
      <c r="ES120" s="7"/>
      <c r="ET120" s="7"/>
      <c r="EU120" s="7"/>
      <c r="EV120" s="7"/>
      <c r="EW120" s="7"/>
      <c r="EX120" s="7"/>
      <c r="EY120" s="7"/>
      <c r="EZ120" s="7"/>
      <c r="FA120" s="7"/>
      <c r="FB120" s="7"/>
      <c r="FC120" s="7"/>
      <c r="FD120" s="7"/>
      <c r="FE120" s="7"/>
      <c r="FF120" s="7"/>
      <c r="FG120" s="7"/>
      <c r="FH120" s="18"/>
      <c r="FI120" s="7"/>
      <c r="FJ120" s="7"/>
      <c r="FK120" s="7"/>
      <c r="FL120" s="7"/>
      <c r="FM120" s="7"/>
      <c r="FN120" s="7"/>
      <c r="FO120" s="7"/>
      <c r="FP120" s="7"/>
      <c r="FQ120" s="7"/>
      <c r="FR120" s="7"/>
      <c r="FS120" s="7"/>
      <c r="FT120" s="7"/>
      <c r="FU120" s="7"/>
      <c r="FV120" s="7"/>
      <c r="FW120" s="7"/>
      <c r="FX120" s="7"/>
      <c r="FY120" s="7"/>
      <c r="FZ120" s="7"/>
      <c r="GA120" s="7"/>
      <c r="GB120" s="7"/>
      <c r="GC120" s="7"/>
      <c r="GD120" s="7"/>
      <c r="GE120" s="7"/>
      <c r="GF120" s="7"/>
      <c r="GG120" s="7"/>
      <c r="GH120" s="7"/>
      <c r="GI120" s="7"/>
      <c r="GJ120" s="7"/>
      <c r="GK120" s="7"/>
      <c r="GL120" s="7"/>
      <c r="GM120" s="7"/>
      <c r="GN120" s="7"/>
      <c r="GO120" s="7"/>
      <c r="GP120" s="7"/>
      <c r="GQ120" s="7"/>
      <c r="GR120" s="7"/>
      <c r="GS120" s="7"/>
      <c r="GT120" s="7"/>
      <c r="GU120" s="7"/>
      <c r="GV120" s="7"/>
      <c r="GW120" s="7"/>
      <c r="GX120" s="7"/>
      <c r="GY120" s="7"/>
      <c r="GZ120" s="7"/>
      <c r="HA120" s="7"/>
      <c r="HB120" s="7"/>
      <c r="HC120" s="7"/>
      <c r="HD120" s="7"/>
      <c r="HE120" s="7"/>
      <c r="HF120" s="7"/>
      <c r="HG120" s="7"/>
      <c r="HH120" s="7"/>
      <c r="HI120" s="7"/>
      <c r="HJ120" s="7"/>
      <c r="HK120" s="7"/>
      <c r="HL120" s="7"/>
      <c r="HM120" s="7"/>
      <c r="HN120" s="7"/>
      <c r="HO120" s="7"/>
      <c r="HP120" s="7"/>
      <c r="HQ120" s="7"/>
      <c r="HR120" s="7"/>
      <c r="HS120" s="7"/>
      <c r="HT120" s="7"/>
      <c r="HU120" s="7"/>
      <c r="HV120" s="7"/>
      <c r="HW120" s="7"/>
      <c r="HX120" s="7"/>
      <c r="HY120" s="7"/>
      <c r="HZ120" s="7"/>
      <c r="IA120" s="7"/>
      <c r="IB120" s="7"/>
      <c r="IC120" s="7"/>
      <c r="ID120" s="7"/>
      <c r="IE120" s="7"/>
      <c r="IF120" s="7"/>
      <c r="IG120" s="7"/>
      <c r="IH120" s="7"/>
      <c r="II120" s="7"/>
      <c r="IJ120" s="7"/>
      <c r="IK120" s="7"/>
      <c r="IL120" s="7"/>
      <c r="IM120" s="7"/>
      <c r="IN120" s="7"/>
      <c r="IO120" s="7"/>
      <c r="IP120" s="7"/>
      <c r="IQ120" s="7"/>
      <c r="IR120" s="7"/>
      <c r="IS120" s="7"/>
      <c r="IT120" s="7"/>
      <c r="IU120" s="7"/>
      <c r="IV120" s="7"/>
    </row>
    <row r="121" spans="1:256" s="15" customFormat="1" ht="12.75">
      <c r="A121" s="20"/>
      <c r="B121" s="1085" t="s">
        <v>2775</v>
      </c>
      <c r="C121" s="1087">
        <v>5.3721200000000007</v>
      </c>
      <c r="D121" s="1087">
        <v>0.79520441809617981</v>
      </c>
      <c r="E121" s="1088">
        <v>0.62090622147559615</v>
      </c>
      <c r="F121" s="1088">
        <v>1.3167058966107339</v>
      </c>
      <c r="G121" s="1088">
        <v>1.2192352890573677</v>
      </c>
      <c r="H121" s="1088">
        <v>1.2496520640061592</v>
      </c>
      <c r="I121" s="1089">
        <v>0.75063893971601203</v>
      </c>
      <c r="J121" s="1089">
        <v>2.0105576212869272</v>
      </c>
      <c r="K121" s="1089">
        <v>1.3713922205028024</v>
      </c>
      <c r="L121" s="1089">
        <v>4.8321780952380955</v>
      </c>
      <c r="M121" s="1086" t="s">
        <v>2171</v>
      </c>
      <c r="N121" s="720"/>
      <c r="O121" s="720"/>
      <c r="P121" s="720"/>
      <c r="Q121" s="720"/>
      <c r="R121" s="720"/>
      <c r="S121" s="720"/>
      <c r="T121" s="720"/>
      <c r="U121" s="720"/>
      <c r="V121" s="720"/>
      <c r="W121" s="720"/>
      <c r="X121" s="720"/>
      <c r="Y121" s="720"/>
      <c r="Z121" s="720"/>
      <c r="AA121" s="720"/>
      <c r="AB121" s="720"/>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7"/>
      <c r="CW121" s="7"/>
      <c r="CX121" s="7"/>
      <c r="CY121" s="7"/>
      <c r="CZ121" s="7"/>
      <c r="DA121" s="7"/>
      <c r="DB121" s="7"/>
      <c r="DC121" s="7"/>
      <c r="DD121" s="7"/>
      <c r="DE121" s="7"/>
      <c r="DF121" s="7"/>
      <c r="DG121" s="7"/>
      <c r="DH121" s="7"/>
      <c r="DI121" s="7"/>
      <c r="DJ121" s="7"/>
      <c r="DK121" s="7"/>
      <c r="DL121" s="7"/>
      <c r="DM121" s="7"/>
      <c r="DN121" s="7"/>
      <c r="DO121" s="7"/>
      <c r="DP121" s="7"/>
      <c r="DQ121" s="7"/>
      <c r="DR121" s="7"/>
      <c r="DS121" s="7"/>
      <c r="DT121" s="7"/>
      <c r="DU121" s="7"/>
      <c r="DV121" s="7"/>
      <c r="DW121" s="7"/>
      <c r="DX121" s="7"/>
      <c r="DY121" s="7"/>
      <c r="DZ121" s="7"/>
      <c r="EA121" s="7"/>
      <c r="EB121" s="7"/>
      <c r="EC121" s="7"/>
      <c r="ED121" s="7"/>
      <c r="EE121" s="7"/>
      <c r="EF121" s="7"/>
      <c r="EG121" s="7"/>
      <c r="EH121" s="7"/>
      <c r="EI121" s="7"/>
      <c r="EJ121" s="7"/>
      <c r="EK121" s="7"/>
      <c r="EL121" s="7"/>
      <c r="EM121" s="7"/>
      <c r="EN121" s="7"/>
      <c r="EO121" s="7"/>
      <c r="EP121" s="7"/>
      <c r="EQ121" s="7"/>
      <c r="ER121" s="7"/>
      <c r="ES121" s="7"/>
      <c r="ET121" s="7"/>
      <c r="EU121" s="7"/>
      <c r="EV121" s="7"/>
      <c r="EW121" s="7"/>
      <c r="EX121" s="7"/>
      <c r="EY121" s="7"/>
      <c r="EZ121" s="7"/>
      <c r="FA121" s="7"/>
      <c r="FB121" s="7"/>
      <c r="FC121" s="7"/>
      <c r="FD121" s="7"/>
      <c r="FE121" s="7"/>
      <c r="FF121" s="7"/>
      <c r="FG121" s="7"/>
      <c r="FH121" s="18"/>
      <c r="FI121" s="7"/>
      <c r="FJ121" s="7"/>
      <c r="FK121" s="7"/>
      <c r="FL121" s="7"/>
      <c r="FM121" s="7"/>
      <c r="FN121" s="7"/>
      <c r="FO121" s="7"/>
      <c r="FP121" s="7"/>
      <c r="FQ121" s="7"/>
      <c r="FR121" s="7"/>
      <c r="FS121" s="7"/>
      <c r="FT121" s="7"/>
      <c r="FU121" s="7"/>
      <c r="FV121" s="7"/>
      <c r="FW121" s="7"/>
      <c r="FX121" s="7"/>
      <c r="FY121" s="7"/>
      <c r="FZ121" s="7"/>
      <c r="GA121" s="7"/>
      <c r="GB121" s="7"/>
      <c r="GC121" s="7"/>
      <c r="GD121" s="7"/>
      <c r="GE121" s="7"/>
      <c r="GF121" s="7"/>
      <c r="GG121" s="7"/>
      <c r="GH121" s="7"/>
      <c r="GI121" s="7"/>
      <c r="GJ121" s="7"/>
      <c r="GK121" s="7"/>
      <c r="GL121" s="7"/>
      <c r="GM121" s="7"/>
      <c r="GN121" s="7"/>
      <c r="GO121" s="7"/>
      <c r="GP121" s="7"/>
      <c r="GQ121" s="7"/>
      <c r="GR121" s="7"/>
      <c r="GS121" s="7"/>
      <c r="GT121" s="7"/>
      <c r="GU121" s="7"/>
      <c r="GV121" s="7"/>
      <c r="GW121" s="7"/>
      <c r="GX121" s="7"/>
      <c r="GY121" s="7"/>
      <c r="GZ121" s="7"/>
      <c r="HA121" s="7"/>
      <c r="HB121" s="7"/>
      <c r="HC121" s="7"/>
      <c r="HD121" s="7"/>
      <c r="HE121" s="7"/>
      <c r="HF121" s="7"/>
      <c r="HG121" s="7"/>
      <c r="HH121" s="7"/>
      <c r="HI121" s="7"/>
      <c r="HJ121" s="7"/>
      <c r="HK121" s="7"/>
      <c r="HL121" s="7"/>
      <c r="HM121" s="7"/>
      <c r="HN121" s="7"/>
      <c r="HO121" s="7"/>
      <c r="HP121" s="7"/>
      <c r="HQ121" s="7"/>
      <c r="HR121" s="7"/>
      <c r="HS121" s="7"/>
      <c r="HT121" s="7"/>
      <c r="HU121" s="7"/>
      <c r="HV121" s="7"/>
      <c r="HW121" s="7"/>
      <c r="HX121" s="7"/>
      <c r="HY121" s="7"/>
      <c r="HZ121" s="7"/>
      <c r="IA121" s="7"/>
      <c r="IB121" s="7"/>
      <c r="IC121" s="7"/>
      <c r="ID121" s="7"/>
      <c r="IE121" s="7"/>
      <c r="IF121" s="7"/>
      <c r="IG121" s="7"/>
      <c r="IH121" s="7"/>
      <c r="II121" s="7"/>
      <c r="IJ121" s="7"/>
      <c r="IK121" s="7"/>
      <c r="IL121" s="7"/>
      <c r="IM121" s="7"/>
      <c r="IN121" s="7"/>
      <c r="IO121" s="7"/>
      <c r="IP121" s="7"/>
      <c r="IQ121" s="7"/>
      <c r="IR121" s="7"/>
      <c r="IS121" s="7"/>
      <c r="IT121" s="7"/>
      <c r="IU121" s="7"/>
      <c r="IV121" s="7"/>
    </row>
    <row r="122" spans="1:256" ht="12.75">
      <c r="B122" s="1085" t="s">
        <v>2776</v>
      </c>
      <c r="C122" s="1087">
        <v>6.9022000000000014</v>
      </c>
      <c r="D122" s="1087">
        <v>0.89341923076923069</v>
      </c>
      <c r="E122" s="1088">
        <v>0.89341923076923069</v>
      </c>
      <c r="F122" s="1088">
        <v>1.9753496153846157</v>
      </c>
      <c r="G122" s="1088">
        <v>1.8348912820512824</v>
      </c>
      <c r="H122" s="1088">
        <v>2.1380769230769232</v>
      </c>
      <c r="I122" s="1089">
        <v>1.9737619230769234</v>
      </c>
      <c r="J122" s="1089">
        <v>1.8953542307692313</v>
      </c>
      <c r="K122" s="1089">
        <v>1.5388271153846158</v>
      </c>
      <c r="L122" s="1089">
        <v>6.6299500000000009</v>
      </c>
      <c r="M122" s="1086" t="s">
        <v>2172</v>
      </c>
      <c r="N122" s="720"/>
      <c r="O122" s="720"/>
      <c r="P122" s="720"/>
      <c r="Q122" s="720"/>
      <c r="R122" s="720"/>
      <c r="S122" s="720"/>
      <c r="T122" s="720"/>
      <c r="U122" s="720"/>
      <c r="V122" s="720"/>
      <c r="W122" s="720"/>
      <c r="X122" s="720"/>
      <c r="Y122" s="720"/>
      <c r="Z122" s="720"/>
      <c r="AA122" s="720"/>
      <c r="AB122" s="720"/>
    </row>
    <row r="123" spans="1:256" ht="12.75">
      <c r="B123" s="1085" t="s">
        <v>2777</v>
      </c>
      <c r="C123" s="1087">
        <v>5.8770000000000007</v>
      </c>
      <c r="D123" s="1087">
        <v>1.1583362227551488</v>
      </c>
      <c r="E123" s="1088">
        <v>1.1583362227551488</v>
      </c>
      <c r="F123" s="1088">
        <v>1.6171105779517707</v>
      </c>
      <c r="G123" s="1088">
        <v>1.573430930302961</v>
      </c>
      <c r="H123" s="1088">
        <v>1.5078952789111615</v>
      </c>
      <c r="I123" s="1089">
        <v>1.4946570159801269</v>
      </c>
      <c r="J123" s="1089">
        <v>1.5936579203819194</v>
      </c>
      <c r="K123" s="1089">
        <v>1.2050107125216571</v>
      </c>
      <c r="L123" s="1089">
        <v>5.6822067997945034</v>
      </c>
      <c r="M123" s="1086" t="s">
        <v>2173</v>
      </c>
      <c r="N123" s="720"/>
      <c r="O123" s="720"/>
      <c r="P123" s="720"/>
      <c r="Q123" s="720"/>
      <c r="R123" s="720"/>
      <c r="S123" s="720"/>
      <c r="T123" s="720"/>
      <c r="U123" s="720"/>
      <c r="V123" s="720"/>
      <c r="W123" s="720"/>
      <c r="X123" s="720"/>
      <c r="Y123" s="720"/>
      <c r="Z123" s="720"/>
      <c r="AA123" s="720"/>
      <c r="AB123" s="720"/>
    </row>
    <row r="124" spans="1:256" ht="12.75">
      <c r="B124" s="1085" t="s">
        <v>12</v>
      </c>
      <c r="C124" s="1087">
        <v>2.3200000000000003</v>
      </c>
      <c r="D124" s="1087">
        <v>0.29413375331564989</v>
      </c>
      <c r="E124" s="1088">
        <v>0.28163375331564988</v>
      </c>
      <c r="F124" s="1088">
        <v>0.95233222811671092</v>
      </c>
      <c r="G124" s="1088">
        <v>0.64350556145004423</v>
      </c>
      <c r="H124" s="1088">
        <v>0.70072015915119368</v>
      </c>
      <c r="I124" s="1089">
        <v>0.5487116976127322</v>
      </c>
      <c r="J124" s="1089">
        <v>0.37281385941644563</v>
      </c>
      <c r="K124" s="1089">
        <v>0.37281385941644563</v>
      </c>
      <c r="L124" s="1089">
        <v>2.1550000000000002</v>
      </c>
      <c r="M124" s="1086" t="s">
        <v>2174</v>
      </c>
      <c r="N124" s="720"/>
      <c r="O124" s="720"/>
      <c r="P124" s="720"/>
      <c r="Q124" s="720"/>
      <c r="R124" s="720"/>
      <c r="S124" s="720"/>
      <c r="T124" s="720"/>
      <c r="U124" s="720"/>
      <c r="V124" s="720"/>
      <c r="W124" s="720"/>
      <c r="X124" s="720"/>
      <c r="Y124" s="720"/>
      <c r="Z124" s="720"/>
      <c r="AA124" s="720"/>
      <c r="AB124" s="720"/>
    </row>
    <row r="125" spans="1:256" ht="12.75">
      <c r="B125" s="1085" t="s">
        <v>14</v>
      </c>
      <c r="C125" s="1087">
        <v>2.08</v>
      </c>
      <c r="D125" s="1087">
        <v>0.21756616161616163</v>
      </c>
      <c r="E125" s="1088">
        <v>0.12256443747823059</v>
      </c>
      <c r="F125" s="1088">
        <v>0.48186616161616158</v>
      </c>
      <c r="G125" s="1088">
        <v>0.35701055816788568</v>
      </c>
      <c r="H125" s="1088">
        <v>0.72697575757575761</v>
      </c>
      <c r="I125" s="1089">
        <v>0.53613686868686872</v>
      </c>
      <c r="J125" s="1089">
        <v>0.65359191919191917</v>
      </c>
      <c r="K125" s="1089">
        <v>0.31049494949494949</v>
      </c>
      <c r="L125" s="1089">
        <v>1.8517583289794497</v>
      </c>
      <c r="M125" s="1086" t="s">
        <v>2175</v>
      </c>
      <c r="N125" s="720"/>
      <c r="O125" s="720"/>
      <c r="P125" s="720"/>
      <c r="Q125" s="720"/>
      <c r="R125" s="720"/>
      <c r="S125" s="720"/>
      <c r="T125" s="720"/>
      <c r="U125" s="720"/>
      <c r="V125" s="720"/>
      <c r="W125" s="720"/>
      <c r="X125" s="720"/>
      <c r="Y125" s="720"/>
      <c r="Z125" s="720"/>
      <c r="AA125" s="720"/>
      <c r="AB125" s="720"/>
    </row>
    <row r="126" spans="1:256" ht="12.75">
      <c r="B126" s="1085" t="s">
        <v>16</v>
      </c>
      <c r="C126" s="1087">
        <v>5.5440000000000005</v>
      </c>
      <c r="D126" s="1087">
        <v>1.0715599647266316</v>
      </c>
      <c r="E126" s="1088">
        <v>1.0385599647266315</v>
      </c>
      <c r="F126" s="1088">
        <v>1.4738169312169314</v>
      </c>
      <c r="G126" s="1088">
        <v>1.1638594312169313</v>
      </c>
      <c r="H126" s="1088">
        <v>1.4947169312169315</v>
      </c>
      <c r="I126" s="1089">
        <v>1.2778235875541244</v>
      </c>
      <c r="J126" s="1089">
        <v>1.503906172839506</v>
      </c>
      <c r="K126" s="1089">
        <v>1.0721576405643742</v>
      </c>
      <c r="L126" s="1089">
        <v>5.530800000000001</v>
      </c>
      <c r="M126" s="1086" t="s">
        <v>2176</v>
      </c>
      <c r="N126" s="720"/>
      <c r="O126" s="720"/>
      <c r="P126" s="720"/>
      <c r="Q126" s="720"/>
      <c r="R126" s="720"/>
      <c r="S126" s="720"/>
      <c r="T126" s="720"/>
      <c r="U126" s="720"/>
      <c r="V126" s="720"/>
      <c r="W126" s="720"/>
      <c r="X126" s="720"/>
      <c r="Y126" s="720"/>
      <c r="Z126" s="720"/>
      <c r="AA126" s="720"/>
      <c r="AB126" s="720"/>
    </row>
    <row r="127" spans="1:256" ht="12.75">
      <c r="B127" s="1085" t="s">
        <v>13</v>
      </c>
      <c r="C127" s="1087">
        <v>5.8880000000000008</v>
      </c>
      <c r="D127" s="1087">
        <v>0.42235357142857138</v>
      </c>
      <c r="E127" s="1088">
        <v>0.36552321428571433</v>
      </c>
      <c r="F127" s="1088">
        <v>1.7929410312700793</v>
      </c>
      <c r="G127" s="1088">
        <v>1.6413210312700792</v>
      </c>
      <c r="H127" s="1088">
        <v>1.8109924287856074</v>
      </c>
      <c r="I127" s="1089">
        <v>1.4185317154833696</v>
      </c>
      <c r="J127" s="1089">
        <v>1.8617129685157427</v>
      </c>
      <c r="K127" s="1089">
        <v>1.4754446455343757</v>
      </c>
      <c r="L127" s="1089">
        <v>5.7405352494306827</v>
      </c>
      <c r="M127" s="1086" t="s">
        <v>2177</v>
      </c>
      <c r="N127" s="720"/>
      <c r="O127" s="720"/>
      <c r="P127" s="720"/>
      <c r="Q127" s="720"/>
      <c r="R127" s="720"/>
      <c r="S127" s="720"/>
      <c r="T127" s="720"/>
      <c r="U127" s="720"/>
      <c r="V127" s="720"/>
      <c r="W127" s="720"/>
      <c r="X127" s="720"/>
      <c r="Y127" s="720"/>
      <c r="Z127" s="720"/>
      <c r="AA127" s="720"/>
      <c r="AB127" s="720"/>
    </row>
    <row r="128" spans="1:256" ht="12.75">
      <c r="B128" s="1085" t="s">
        <v>23</v>
      </c>
      <c r="C128" s="1087">
        <v>3.49</v>
      </c>
      <c r="D128" s="1087">
        <v>0.26175000000000004</v>
      </c>
      <c r="E128" s="1088">
        <v>0.22875000000000001</v>
      </c>
      <c r="F128" s="1088">
        <v>1.1939166666666667</v>
      </c>
      <c r="G128" s="1088">
        <v>1.0289166666666667</v>
      </c>
      <c r="H128" s="1088">
        <v>1.0651666666666668</v>
      </c>
      <c r="I128" s="1089">
        <v>1.0131666656533875</v>
      </c>
      <c r="J128" s="1089">
        <v>0.96916666666666673</v>
      </c>
      <c r="K128" s="1089">
        <v>0.70491666666666664</v>
      </c>
      <c r="L128" s="1089">
        <v>3.4359999989867211</v>
      </c>
      <c r="M128" s="1086" t="s">
        <v>2178</v>
      </c>
      <c r="N128" s="720"/>
      <c r="O128" s="720"/>
      <c r="P128" s="720"/>
      <c r="Q128" s="720"/>
      <c r="R128" s="720"/>
      <c r="S128" s="720"/>
      <c r="T128" s="720"/>
      <c r="U128" s="720"/>
      <c r="V128" s="720"/>
      <c r="W128" s="720"/>
      <c r="X128" s="720"/>
      <c r="Y128" s="720"/>
      <c r="Z128" s="720"/>
      <c r="AA128" s="720"/>
      <c r="AB128" s="720"/>
    </row>
    <row r="129" spans="2:28" ht="12.75">
      <c r="B129" s="1085" t="s">
        <v>17</v>
      </c>
      <c r="C129" s="1087">
        <v>3.6500000000000004</v>
      </c>
      <c r="D129" s="1087">
        <v>0.91189285714285717</v>
      </c>
      <c r="E129" s="1088">
        <v>0.61890985714285718</v>
      </c>
      <c r="F129" s="1088">
        <v>1.039247619047619</v>
      </c>
      <c r="G129" s="1088">
        <v>0.91386904761904753</v>
      </c>
      <c r="H129" s="1088">
        <v>0.89671190476190488</v>
      </c>
      <c r="I129" s="1089">
        <v>0.70646433338250725</v>
      </c>
      <c r="J129" s="1089">
        <v>0.802147619047619</v>
      </c>
      <c r="K129" s="1089">
        <v>0.71469761904761908</v>
      </c>
      <c r="L129" s="1089">
        <v>3.4156565714285718</v>
      </c>
      <c r="M129" s="1086" t="s">
        <v>2179</v>
      </c>
      <c r="N129" s="720"/>
      <c r="O129" s="720"/>
      <c r="P129" s="720"/>
      <c r="Q129" s="720"/>
      <c r="R129" s="720"/>
      <c r="S129" s="720"/>
      <c r="T129" s="720"/>
      <c r="U129" s="720"/>
      <c r="V129" s="720"/>
      <c r="W129" s="720"/>
      <c r="X129" s="720"/>
      <c r="Y129" s="720"/>
      <c r="Z129" s="720"/>
      <c r="AA129" s="720"/>
      <c r="AB129" s="720"/>
    </row>
    <row r="130" spans="2:28" ht="12.75">
      <c r="B130" s="1085" t="s">
        <v>2778</v>
      </c>
      <c r="C130" s="1087">
        <v>0.16500000000000001</v>
      </c>
      <c r="D130" s="1087">
        <v>1.03125E-2</v>
      </c>
      <c r="E130" s="1088">
        <v>1.03125E-2</v>
      </c>
      <c r="F130" s="1088">
        <v>9.2812500000000006E-2</v>
      </c>
      <c r="G130" s="1088">
        <v>9.2812500000000006E-2</v>
      </c>
      <c r="H130" s="1088">
        <v>4.1250000000000002E-2</v>
      </c>
      <c r="I130" s="1089">
        <v>4.1250000000000002E-2</v>
      </c>
      <c r="J130" s="1089">
        <v>2.0625000000000001E-2</v>
      </c>
      <c r="K130" s="1089">
        <v>2.0625000000000001E-2</v>
      </c>
      <c r="L130" s="1089">
        <v>0.16500000000000001</v>
      </c>
      <c r="M130" s="1086" t="s">
        <v>2180</v>
      </c>
      <c r="N130" s="720"/>
      <c r="O130" s="720"/>
      <c r="P130" s="720"/>
      <c r="Q130" s="720"/>
      <c r="R130" s="720"/>
      <c r="S130" s="720"/>
      <c r="T130" s="720"/>
      <c r="U130" s="720"/>
      <c r="V130" s="720"/>
      <c r="W130" s="720"/>
      <c r="X130" s="720"/>
      <c r="Y130" s="720"/>
      <c r="Z130" s="720"/>
      <c r="AA130" s="720"/>
      <c r="AB130" s="720"/>
    </row>
    <row r="131" spans="2:28" ht="12.75">
      <c r="B131" s="1085" t="s">
        <v>7</v>
      </c>
      <c r="C131" s="1087">
        <v>13.119839999999984</v>
      </c>
      <c r="D131" s="1087">
        <v>2.3746624131423673</v>
      </c>
      <c r="E131" s="1088">
        <v>1.796911485411141</v>
      </c>
      <c r="F131" s="1088">
        <v>2.8873064342664136</v>
      </c>
      <c r="G131" s="1088">
        <v>2.5531451842664139</v>
      </c>
      <c r="H131" s="1088">
        <v>3.845640989390207</v>
      </c>
      <c r="I131" s="1089">
        <v>3.2172473466251401</v>
      </c>
      <c r="J131" s="1089">
        <v>4.0122301632010089</v>
      </c>
      <c r="K131" s="1089">
        <v>3.2796653255911212</v>
      </c>
      <c r="L131" s="1089">
        <v>11.830072672413785</v>
      </c>
      <c r="M131" s="1086" t="s">
        <v>2181</v>
      </c>
      <c r="N131" s="720"/>
      <c r="O131" s="720"/>
      <c r="P131" s="720"/>
      <c r="Q131" s="720"/>
      <c r="R131" s="720"/>
      <c r="S131" s="720"/>
      <c r="T131" s="720"/>
      <c r="U131" s="720"/>
      <c r="V131" s="720"/>
      <c r="W131" s="720"/>
      <c r="X131" s="720"/>
      <c r="Y131" s="720"/>
      <c r="Z131" s="720"/>
      <c r="AA131" s="720"/>
      <c r="AB131" s="720"/>
    </row>
    <row r="132" spans="2:28" ht="12.75">
      <c r="B132" s="1085" t="s">
        <v>8</v>
      </c>
      <c r="C132" s="1087">
        <v>9.2176399999999994</v>
      </c>
      <c r="D132" s="1087">
        <v>1.6231559462296627</v>
      </c>
      <c r="E132" s="1088">
        <v>1.427579615820306</v>
      </c>
      <c r="F132" s="1088">
        <v>3.0288839250829676</v>
      </c>
      <c r="G132" s="1088">
        <v>2.8789272584163004</v>
      </c>
      <c r="H132" s="1088">
        <v>2.393244222735293</v>
      </c>
      <c r="I132" s="1089">
        <v>2.0829774224976365</v>
      </c>
      <c r="J132" s="1089">
        <v>2.1723559059520765</v>
      </c>
      <c r="K132" s="1089">
        <v>1.7742428107139812</v>
      </c>
      <c r="L132" s="1089">
        <v>9.1910761544226052</v>
      </c>
      <c r="M132" s="1086" t="s">
        <v>2182</v>
      </c>
      <c r="N132" s="720"/>
      <c r="O132" s="720"/>
      <c r="P132" s="720"/>
      <c r="Q132" s="720"/>
      <c r="R132" s="720"/>
      <c r="S132" s="720"/>
      <c r="T132" s="720"/>
      <c r="U132" s="720"/>
      <c r="V132" s="720"/>
      <c r="W132" s="720"/>
      <c r="X132" s="720"/>
      <c r="Y132" s="720"/>
      <c r="Z132" s="720"/>
      <c r="AA132" s="720"/>
      <c r="AB132" s="720"/>
    </row>
    <row r="133" spans="2:28" ht="12.75">
      <c r="B133" s="1085" t="s">
        <v>26</v>
      </c>
      <c r="C133" s="1087">
        <v>1.244</v>
      </c>
      <c r="D133" s="1087">
        <v>0.34001785714285715</v>
      </c>
      <c r="E133" s="1088">
        <v>0.34001785714285715</v>
      </c>
      <c r="F133" s="1088">
        <v>0.33176785714285717</v>
      </c>
      <c r="G133" s="1088">
        <v>0.33176785714285717</v>
      </c>
      <c r="H133" s="1088">
        <v>0.32046785714285719</v>
      </c>
      <c r="I133" s="1089">
        <v>0.32046785714285714</v>
      </c>
      <c r="J133" s="1089">
        <v>0.25174642857142859</v>
      </c>
      <c r="K133" s="1089">
        <v>0.24284642857142855</v>
      </c>
      <c r="L133" s="1089">
        <v>1.2351000000000001</v>
      </c>
      <c r="M133" s="1086" t="s">
        <v>2183</v>
      </c>
      <c r="N133" s="720"/>
      <c r="O133" s="720"/>
      <c r="P133" s="720"/>
      <c r="Q133" s="720"/>
      <c r="R133" s="720"/>
      <c r="S133" s="720"/>
      <c r="T133" s="720"/>
      <c r="U133" s="720"/>
      <c r="V133" s="720"/>
      <c r="W133" s="720"/>
      <c r="X133" s="720"/>
      <c r="Y133" s="720"/>
      <c r="Z133" s="720"/>
      <c r="AA133" s="720"/>
      <c r="AB133" s="720"/>
    </row>
    <row r="134" spans="2:28" ht="12.75">
      <c r="B134" s="1085" t="s">
        <v>27</v>
      </c>
      <c r="C134" s="1087">
        <v>0.35599999999999998</v>
      </c>
      <c r="D134" s="1087">
        <v>5.0857142857142854E-3</v>
      </c>
      <c r="E134" s="1088">
        <v>5.0857142857142854E-3</v>
      </c>
      <c r="F134" s="1088">
        <v>9.281428571428571E-2</v>
      </c>
      <c r="G134" s="1088">
        <v>9.2814285714285724E-2</v>
      </c>
      <c r="H134" s="1088">
        <v>8.3914285714285719E-2</v>
      </c>
      <c r="I134" s="1089">
        <v>4.7691285873430113E-2</v>
      </c>
      <c r="J134" s="1089">
        <v>0.17418571428571428</v>
      </c>
      <c r="K134" s="1089">
        <v>0.14621428571428571</v>
      </c>
      <c r="L134" s="1089">
        <v>0.34811714301628727</v>
      </c>
      <c r="M134" s="1086" t="s">
        <v>2184</v>
      </c>
      <c r="N134" s="720"/>
      <c r="O134" s="720"/>
      <c r="P134" s="720"/>
      <c r="Q134" s="720"/>
      <c r="R134" s="720"/>
      <c r="S134" s="720"/>
      <c r="T134" s="720"/>
      <c r="U134" s="720"/>
      <c r="V134" s="720"/>
      <c r="W134" s="720"/>
      <c r="X134" s="720"/>
      <c r="Y134" s="720"/>
      <c r="Z134" s="720"/>
      <c r="AA134" s="720"/>
      <c r="AB134" s="720"/>
    </row>
    <row r="135" spans="2:28" ht="12.75">
      <c r="B135" s="1085" t="s">
        <v>9</v>
      </c>
      <c r="C135" s="1087">
        <v>7.2360000000000033</v>
      </c>
      <c r="D135" s="1087">
        <v>1.067220618556701</v>
      </c>
      <c r="E135" s="1088">
        <v>0.70397061855670107</v>
      </c>
      <c r="F135" s="1088">
        <v>2.0678601617341315</v>
      </c>
      <c r="G135" s="1088">
        <v>1.6565737341588629</v>
      </c>
      <c r="H135" s="1088">
        <v>2.069621368630683</v>
      </c>
      <c r="I135" s="1089">
        <v>1.9869171607098912</v>
      </c>
      <c r="J135" s="1089">
        <v>2.0312978510784849</v>
      </c>
      <c r="K135" s="1089">
        <v>1.4821899928901534</v>
      </c>
      <c r="L135" s="1089">
        <v>6.739076220553093</v>
      </c>
      <c r="M135" s="1086" t="s">
        <v>2185</v>
      </c>
      <c r="N135" s="720"/>
      <c r="O135" s="720"/>
      <c r="P135" s="720"/>
      <c r="Q135" s="720"/>
      <c r="R135" s="720"/>
      <c r="S135" s="720"/>
      <c r="T135" s="720"/>
      <c r="U135" s="720"/>
      <c r="V135" s="720"/>
      <c r="W135" s="720"/>
      <c r="X135" s="720"/>
      <c r="Y135" s="720"/>
      <c r="Z135" s="720"/>
      <c r="AA135" s="720"/>
      <c r="AB135" s="720"/>
    </row>
    <row r="136" spans="2:28" ht="12.75">
      <c r="B136" s="1085" t="s">
        <v>28</v>
      </c>
      <c r="C136" s="1087">
        <v>0.33</v>
      </c>
      <c r="D136" s="1087">
        <v>6.9666666666666668E-2</v>
      </c>
      <c r="E136" s="1088">
        <v>6.9666666666666668E-2</v>
      </c>
      <c r="F136" s="1088">
        <v>9.35E-2</v>
      </c>
      <c r="G136" s="1088">
        <v>9.35E-2</v>
      </c>
      <c r="H136" s="1088">
        <v>7.8833333333333339E-2</v>
      </c>
      <c r="I136" s="1089">
        <v>7.8833333333333339E-2</v>
      </c>
      <c r="J136" s="1089">
        <v>8.7999999999999995E-2</v>
      </c>
      <c r="K136" s="1089">
        <v>8.433333333333333E-2</v>
      </c>
      <c r="L136" s="1089">
        <v>0.33</v>
      </c>
      <c r="M136" s="1086" t="s">
        <v>2186</v>
      </c>
      <c r="N136" s="720"/>
      <c r="O136" s="720"/>
      <c r="P136" s="720"/>
      <c r="Q136" s="720"/>
      <c r="R136" s="720"/>
      <c r="S136" s="720"/>
      <c r="T136" s="720"/>
      <c r="U136" s="720"/>
      <c r="V136" s="720"/>
      <c r="W136" s="720"/>
      <c r="X136" s="720"/>
      <c r="Y136" s="720"/>
      <c r="Z136" s="720"/>
      <c r="AA136" s="720"/>
      <c r="AB136" s="720"/>
    </row>
    <row r="137" spans="2:28" ht="12.75">
      <c r="B137" s="1085" t="s">
        <v>18</v>
      </c>
      <c r="C137" s="1087">
        <v>1.2450000000000001</v>
      </c>
      <c r="D137" s="1087">
        <v>0.15769230769230769</v>
      </c>
      <c r="E137" s="1088">
        <v>0.15769230769230769</v>
      </c>
      <c r="F137" s="1088">
        <v>0.38119230769230772</v>
      </c>
      <c r="G137" s="1088">
        <v>0.38119230769230772</v>
      </c>
      <c r="H137" s="1088">
        <v>0.44167307692307695</v>
      </c>
      <c r="I137" s="1089">
        <v>0.36667307692307699</v>
      </c>
      <c r="J137" s="1089">
        <v>0.2644423076923077</v>
      </c>
      <c r="K137" s="1089">
        <v>0.23144230769230767</v>
      </c>
      <c r="L137" s="1089">
        <v>1.2035000009834766</v>
      </c>
      <c r="M137" s="1086" t="s">
        <v>2187</v>
      </c>
      <c r="N137" s="720"/>
      <c r="O137" s="720"/>
      <c r="P137" s="720"/>
      <c r="Q137" s="720"/>
      <c r="R137" s="720"/>
      <c r="S137" s="720"/>
      <c r="T137" s="720"/>
      <c r="U137" s="720"/>
      <c r="V137" s="720"/>
      <c r="W137" s="720"/>
      <c r="X137" s="720"/>
      <c r="Y137" s="720"/>
      <c r="Z137" s="720"/>
      <c r="AA137" s="720"/>
      <c r="AB137" s="720"/>
    </row>
    <row r="138" spans="2:28" ht="12.75">
      <c r="B138" s="1085" t="s">
        <v>30</v>
      </c>
      <c r="C138" s="1087">
        <v>4.7240000000000002</v>
      </c>
      <c r="D138" s="1087">
        <v>0.50290714285714289</v>
      </c>
      <c r="E138" s="1088">
        <v>0.43560714285714286</v>
      </c>
      <c r="F138" s="1088">
        <v>1.4694513550135502</v>
      </c>
      <c r="G138" s="1088">
        <v>0.94835917269021419</v>
      </c>
      <c r="H138" s="1088">
        <v>1.2766653116531166</v>
      </c>
      <c r="I138" s="1089">
        <v>0.83966198047781182</v>
      </c>
      <c r="J138" s="1089">
        <v>1.4749761904761907</v>
      </c>
      <c r="K138" s="1089">
        <v>0.76513380952380949</v>
      </c>
      <c r="L138" s="1089">
        <v>4.3269041129785251</v>
      </c>
      <c r="M138" s="1086" t="s">
        <v>2188</v>
      </c>
      <c r="N138" s="720"/>
      <c r="O138" s="720"/>
      <c r="P138" s="720"/>
      <c r="Q138" s="720"/>
      <c r="R138" s="720"/>
      <c r="S138" s="720"/>
      <c r="T138" s="720"/>
      <c r="U138" s="720"/>
      <c r="V138" s="720"/>
      <c r="W138" s="720"/>
      <c r="X138" s="720"/>
      <c r="Y138" s="720"/>
      <c r="Z138" s="720"/>
      <c r="AA138" s="720"/>
      <c r="AB138" s="720"/>
    </row>
    <row r="139" spans="2:28" ht="12.75">
      <c r="B139" s="1085" t="s">
        <v>2779</v>
      </c>
      <c r="C139" s="1087">
        <v>1.2450000000000001</v>
      </c>
      <c r="D139" s="1087">
        <v>0.14015277777777779</v>
      </c>
      <c r="E139" s="1088">
        <v>8.8277777777777788E-2</v>
      </c>
      <c r="F139" s="1088">
        <v>0.29693055555555553</v>
      </c>
      <c r="G139" s="1088">
        <v>0.29693055555555553</v>
      </c>
      <c r="H139" s="1088">
        <v>0.35833333333333339</v>
      </c>
      <c r="I139" s="1089">
        <v>0.30277777777777781</v>
      </c>
      <c r="J139" s="1089">
        <v>0.44958333333333333</v>
      </c>
      <c r="K139" s="1089">
        <v>0.34833333333333333</v>
      </c>
      <c r="L139" s="1089">
        <v>1.1612625000000001</v>
      </c>
      <c r="M139" s="1086" t="s">
        <v>2189</v>
      </c>
      <c r="N139" s="720"/>
      <c r="O139" s="720"/>
      <c r="P139" s="720"/>
      <c r="Q139" s="720"/>
      <c r="R139" s="720"/>
      <c r="S139" s="720"/>
      <c r="T139" s="720"/>
      <c r="U139" s="720"/>
      <c r="V139" s="720"/>
      <c r="W139" s="720"/>
      <c r="X139" s="720"/>
      <c r="Y139" s="720"/>
      <c r="Z139" s="720"/>
      <c r="AA139" s="720"/>
      <c r="AB139" s="720"/>
    </row>
    <row r="140" spans="2:28" ht="12.75">
      <c r="B140" s="1085" t="s">
        <v>22</v>
      </c>
      <c r="C140" s="1087">
        <v>0.83000000000000007</v>
      </c>
      <c r="D140" s="1087">
        <v>0.15799831081081081</v>
      </c>
      <c r="E140" s="1088">
        <v>7.7310810810810815E-2</v>
      </c>
      <c r="F140" s="1088">
        <v>0.22952668918918917</v>
      </c>
      <c r="G140" s="1088">
        <v>0.13551293918918916</v>
      </c>
      <c r="H140" s="1088">
        <v>0.23076418918918917</v>
      </c>
      <c r="I140" s="1089">
        <v>0.21387229729729729</v>
      </c>
      <c r="J140" s="1089">
        <v>0.21171081081081081</v>
      </c>
      <c r="K140" s="1089">
        <v>0.19819729729729732</v>
      </c>
      <c r="L140" s="1089">
        <v>0.81648648648648647</v>
      </c>
      <c r="M140" s="1086" t="s">
        <v>2190</v>
      </c>
      <c r="N140" s="720"/>
      <c r="O140" s="720"/>
      <c r="P140" s="720"/>
      <c r="Q140" s="720"/>
      <c r="R140" s="720"/>
      <c r="S140" s="720"/>
      <c r="T140" s="720"/>
      <c r="U140" s="720"/>
      <c r="V140" s="720"/>
      <c r="W140" s="720"/>
      <c r="X140" s="720"/>
      <c r="Y140" s="720"/>
      <c r="Z140" s="720"/>
      <c r="AA140" s="720"/>
      <c r="AB140" s="720"/>
    </row>
    <row r="141" spans="2:28" ht="12.75">
      <c r="B141" s="1085" t="s">
        <v>19</v>
      </c>
      <c r="C141" s="1087">
        <v>4.5630000000000006</v>
      </c>
      <c r="D141" s="1087">
        <v>0.90008452380952386</v>
      </c>
      <c r="E141" s="1088">
        <v>0.75276309523809526</v>
      </c>
      <c r="F141" s="1088">
        <v>1.0863440476190476</v>
      </c>
      <c r="G141" s="1088">
        <v>0.88674404761904768</v>
      </c>
      <c r="H141" s="1088">
        <v>1.0885773809523809</v>
      </c>
      <c r="I141" s="1089">
        <v>0.84335654761904766</v>
      </c>
      <c r="J141" s="1089">
        <v>1.4879940476190479</v>
      </c>
      <c r="K141" s="1089">
        <v>0.8762500000000002</v>
      </c>
      <c r="L141" s="1089">
        <v>3.9521642857142854</v>
      </c>
      <c r="M141" s="1086" t="s">
        <v>2191</v>
      </c>
      <c r="N141" s="720"/>
      <c r="O141" s="720"/>
      <c r="P141" s="720"/>
      <c r="Q141" s="720"/>
      <c r="R141" s="720"/>
      <c r="S141" s="720"/>
      <c r="T141" s="720"/>
      <c r="U141" s="720"/>
      <c r="V141" s="720"/>
      <c r="W141" s="720"/>
      <c r="X141" s="720"/>
      <c r="Y141" s="720"/>
      <c r="Z141" s="720"/>
      <c r="AA141" s="720"/>
      <c r="AB141" s="720"/>
    </row>
    <row r="142" spans="2:28" ht="12.75">
      <c r="B142" s="1085" t="s">
        <v>29</v>
      </c>
      <c r="C142" s="1087">
        <v>8.8999999999999996E-2</v>
      </c>
      <c r="D142" s="1087">
        <v>2.2249999999999999E-2</v>
      </c>
      <c r="E142" s="1088">
        <v>2.2250000000000002E-2</v>
      </c>
      <c r="F142" s="1088">
        <v>2.2249999999999999E-2</v>
      </c>
      <c r="G142" s="1088">
        <v>2.2250000000000002E-2</v>
      </c>
      <c r="H142" s="1088">
        <v>2.2249999999999999E-2</v>
      </c>
      <c r="I142" s="1089">
        <v>2.2250000000000002E-2</v>
      </c>
      <c r="J142" s="1089">
        <v>2.2249999999999999E-2</v>
      </c>
      <c r="K142" s="1089">
        <v>2.2250000000000002E-2</v>
      </c>
      <c r="L142" s="1089">
        <v>8.900000000000001E-2</v>
      </c>
      <c r="M142" s="1086" t="s">
        <v>2192</v>
      </c>
      <c r="N142" s="720"/>
      <c r="O142" s="720"/>
      <c r="P142" s="720"/>
      <c r="Q142" s="720"/>
      <c r="R142" s="720"/>
      <c r="S142" s="720"/>
      <c r="T142" s="720"/>
      <c r="U142" s="720"/>
      <c r="V142" s="720"/>
      <c r="W142" s="720"/>
      <c r="X142" s="720"/>
      <c r="Y142" s="720"/>
      <c r="Z142" s="720"/>
      <c r="AA142" s="720"/>
      <c r="AB142" s="720"/>
    </row>
    <row r="143" spans="2:28" ht="12.75">
      <c r="B143" s="1085" t="s">
        <v>10</v>
      </c>
      <c r="C143" s="1087">
        <v>9.2119999999999997</v>
      </c>
      <c r="D143" s="1087">
        <v>1.1827993092585156</v>
      </c>
      <c r="E143" s="1088">
        <v>1.1220746971895501</v>
      </c>
      <c r="F143" s="1088">
        <v>2.394455483447242</v>
      </c>
      <c r="G143" s="1088">
        <v>2.3058866113109149</v>
      </c>
      <c r="H143" s="1088">
        <v>3.0294224992929917</v>
      </c>
      <c r="I143" s="1089">
        <v>2.6351554748713353</v>
      </c>
      <c r="J143" s="1089">
        <v>2.6053227080012502</v>
      </c>
      <c r="K143" s="1089">
        <v>2.4075823933841223</v>
      </c>
      <c r="L143" s="1089">
        <v>8.7815285038610842</v>
      </c>
      <c r="M143" s="1086" t="s">
        <v>2193</v>
      </c>
      <c r="N143" s="720"/>
      <c r="O143" s="720"/>
      <c r="P143" s="720"/>
      <c r="Q143" s="720"/>
      <c r="R143" s="720"/>
      <c r="S143" s="720"/>
      <c r="T143" s="720"/>
      <c r="U143" s="720"/>
      <c r="V143" s="720"/>
      <c r="W143" s="720"/>
      <c r="X143" s="720"/>
      <c r="Y143" s="720"/>
      <c r="Z143" s="720"/>
      <c r="AA143" s="720"/>
      <c r="AB143" s="720"/>
    </row>
    <row r="144" spans="2:28" ht="12.75">
      <c r="B144" s="1085" t="s">
        <v>1892</v>
      </c>
      <c r="C144" s="1087">
        <v>1.1600000000000001</v>
      </c>
      <c r="D144" s="1087">
        <v>0.1345689655172414</v>
      </c>
      <c r="E144" s="1088">
        <v>0.1345689655172414</v>
      </c>
      <c r="F144" s="1088">
        <v>0.35489039408866996</v>
      </c>
      <c r="G144" s="1088">
        <v>0.35489039408866996</v>
      </c>
      <c r="H144" s="1088">
        <v>0.36792118226600989</v>
      </c>
      <c r="I144" s="1089">
        <v>0.29904187192118231</v>
      </c>
      <c r="J144" s="1089">
        <v>0.30261945812807883</v>
      </c>
      <c r="K144" s="1089">
        <v>0.14450615763546798</v>
      </c>
      <c r="L144" s="1089">
        <v>1.1600000000000001</v>
      </c>
      <c r="M144" s="1086" t="s">
        <v>2194</v>
      </c>
      <c r="N144" s="720"/>
      <c r="O144" s="720"/>
      <c r="P144" s="720"/>
      <c r="Q144" s="720"/>
      <c r="R144" s="720"/>
      <c r="S144" s="720"/>
      <c r="T144" s="720"/>
      <c r="U144" s="720"/>
      <c r="V144" s="720"/>
      <c r="W144" s="720"/>
      <c r="X144" s="720"/>
      <c r="Y144" s="720"/>
      <c r="Z144" s="720"/>
      <c r="AA144" s="720"/>
      <c r="AB144" s="720"/>
    </row>
    <row r="145" spans="2:13">
      <c r="B145" s="15" t="s">
        <v>2771</v>
      </c>
      <c r="C145" s="1090">
        <v>100.00479999999999</v>
      </c>
      <c r="D145" s="1091">
        <v>15.080143815598946</v>
      </c>
      <c r="E145" s="1091">
        <v>12.809558778257406</v>
      </c>
      <c r="F145" s="1091">
        <v>27.606950557963721</v>
      </c>
      <c r="G145" s="1091">
        <v>24.238273100887735</v>
      </c>
      <c r="H145" s="1091">
        <v>28.40384260279264</v>
      </c>
      <c r="I145" s="1091">
        <v>23.875222343343662</v>
      </c>
      <c r="J145" s="1091">
        <v>28.913863023644687</v>
      </c>
      <c r="K145" s="1091">
        <v>21.855951980382454</v>
      </c>
      <c r="L145" s="1091">
        <v>94.272286843262023</v>
      </c>
      <c r="M145" s="983"/>
    </row>
  </sheetData>
  <sheetProtection formatCells="0" formatColumns="0" formatRows="0" insertColumns="0" insertRows="0"/>
  <sortState ref="B34:BA56">
    <sortCondition ref="D82:D89"/>
  </sortState>
  <dataConsolidate/>
  <mergeCells count="2">
    <mergeCell ref="B2:C2"/>
    <mergeCell ref="B17:C17"/>
  </mergeCells>
  <conditionalFormatting sqref="HJ71:HL110 HI72:HI110 HI18:HL21 HI23:HL70">
    <cfRule type="expression" dxfId="91" priority="4">
      <formula>"MOD(ROW(),2)=0"</formula>
    </cfRule>
    <cfRule type="expression" dxfId="90" priority="5">
      <formula>"RESTO(FILA(),2)=0"</formula>
    </cfRule>
    <cfRule type="expression" priority="6">
      <formula>"RESTO(FILA(),2)=0"</formula>
    </cfRule>
  </conditionalFormatting>
  <dataValidations count="2">
    <dataValidation type="list" allowBlank="1" showInputMessage="1" showErrorMessage="1" sqref="WZY982515:XAQ982600 NM23:OE110 XI23:YA110 AHE23:AHW110 ARA23:ARS110 BAW23:BBO110 BKS23:BLK110 BUO23:BVG110 CEK23:CFC110 COG23:COY110 CYC23:CYU110 DHY23:DIQ110 DRU23:DSM110 EBQ23:ECI110 ELM23:EME110 EVI23:EWA110 FFE23:FFW110 FPA23:FPS110 FYW23:FZO110 GIS23:GJK110 GSO23:GTG110 HCK23:HDC110 HMG23:HMY110 HWC23:HWU110 IFY23:IGQ110 IPU23:IQM110 IZQ23:JAI110 JJM23:JKE110 JTI23:JUA110 KDE23:KDW110 KNA23:KNS110 KWW23:KXO110 LGS23:LHK110 LQO23:LRG110 MAK23:MBC110 MKG23:MKY110 MUC23:MUU110 NDY23:NEQ110 NNU23:NOM110 NXQ23:NYI110 OHM23:OIE110 ORI23:OSA110 PBE23:PBW110 PLA23:PLS110 PUW23:PVO110 QES23:QFK110 QOO23:QPG110 QYK23:QZC110 RIG23:RIY110 RSC23:RSU110 SBY23:SCQ110 SLU23:SMM110 SVQ23:SWI110 TFM23:TGE110 TPI23:TQA110 TZE23:TZW110 UJA23:UJS110 USW23:UTO110 VCS23:VDK110 VMO23:VNG110 VWK23:VXC110 WGG23:WGY110 WQC23:WQU110 WZY23:XAQ110 DQ23:EI110 WGG982515:WGY982600 VWK982515:VXC982600 VMO982515:VNG982600 VCS982515:VDK982600 USW982515:UTO982600 UJA982515:UJS982600 TZE982515:TZW982600 TPI982515:TQA982600 TFM982515:TGE982600 SVQ982515:SWI982600 SLU982515:SMM982600 SBY982515:SCQ982600 RSC982515:RSU982600 RIG982515:RIY982600 QYK982515:QZC982600 QOO982515:QPG982600 QES982515:QFK982600 PUW982515:PVO982600 PLA982515:PLS982600 PBE982515:PBW982600 ORI982515:OSA982600 OHM982515:OIE982600 NXQ982515:NYI982600 NNU982515:NOM982600 NDY982515:NEQ982600 MUC982515:MUU982600 MKG982515:MKY982600 MAK982515:MBC982600 LQO982515:LRG982600 LGS982515:LHK982600 KWW982515:KXO982600 KNA982515:KNS982600 KDE982515:KDW982600 JTI982515:JUA982600 JJM982515:JKE982600 IZQ982515:JAI982600 IPU982515:IQM982600 IFY982515:IGQ982600 HWC982515:HWU982600 HMG982515:HMY982600 HCK982515:HDC982600 GSO982515:GTG982600 GIS982515:GJK982600 FYW982515:FZO982600 FPA982515:FPS982600 FFE982515:FFW982600 EVI982515:EWA982600 ELM982515:EME982600 EBQ982515:ECI982600 DRU982515:DSM982600 DHY982515:DIQ982600 CYC982515:CYU982600 COG982515:COY982600 CEK982515:CFC982600 BUO982515:BVG982600 BKS982515:BLK982600 BAW982515:BBO982600 ARA982515:ARS982600 AHE982515:AHW982600 XI982515:YA982600 NM982515:OE982600 DQ982515:EI982600 WZY916979:XAQ917064 WQC916979:WQU917064 WGG916979:WGY917064 VWK916979:VXC917064 VMO916979:VNG917064 VCS916979:VDK917064 USW916979:UTO917064 UJA916979:UJS917064 TZE916979:TZW917064 TPI916979:TQA917064 TFM916979:TGE917064 SVQ916979:SWI917064 SLU916979:SMM917064 SBY916979:SCQ917064 RSC916979:RSU917064 RIG916979:RIY917064 QYK916979:QZC917064 QOO916979:QPG917064 QES916979:QFK917064 PUW916979:PVO917064 PLA916979:PLS917064 PBE916979:PBW917064 ORI916979:OSA917064 OHM916979:OIE917064 NXQ916979:NYI917064 NNU916979:NOM917064 NDY916979:NEQ917064 MUC916979:MUU917064 MKG916979:MKY917064 MAK916979:MBC917064 LQO916979:LRG917064 LGS916979:LHK917064 KWW916979:KXO917064 KNA916979:KNS917064 KDE916979:KDW917064 JTI916979:JUA917064 JJM916979:JKE917064 IZQ916979:JAI917064 IPU916979:IQM917064 IFY916979:IGQ917064 HWC916979:HWU917064 HMG916979:HMY917064 HCK916979:HDC917064 GSO916979:GTG917064 GIS916979:GJK917064 FYW916979:FZO917064 FPA916979:FPS917064 FFE916979:FFW917064 EVI916979:EWA917064 ELM916979:EME917064 EBQ916979:ECI917064 DRU916979:DSM917064 DHY916979:DIQ917064 CYC916979:CYU917064 COG916979:COY917064 CEK916979:CFC917064 BUO916979:BVG917064 BKS916979:BLK917064 BAW916979:BBO917064 ARA916979:ARS917064 AHE916979:AHW917064 XI916979:YA917064 NM916979:OE917064 DQ916979:EI917064 WZY851443:XAQ851528 WQC851443:WQU851528 WGG851443:WGY851528 VWK851443:VXC851528 VMO851443:VNG851528 VCS851443:VDK851528 USW851443:UTO851528 UJA851443:UJS851528 TZE851443:TZW851528 TPI851443:TQA851528 TFM851443:TGE851528 SVQ851443:SWI851528 SLU851443:SMM851528 SBY851443:SCQ851528 RSC851443:RSU851528 RIG851443:RIY851528 QYK851443:QZC851528 QOO851443:QPG851528 QES851443:QFK851528 PUW851443:PVO851528 PLA851443:PLS851528 PBE851443:PBW851528 ORI851443:OSA851528 OHM851443:OIE851528 NXQ851443:NYI851528 NNU851443:NOM851528 NDY851443:NEQ851528 MUC851443:MUU851528 MKG851443:MKY851528 MAK851443:MBC851528 LQO851443:LRG851528 LGS851443:LHK851528 KWW851443:KXO851528 KNA851443:KNS851528 KDE851443:KDW851528 JTI851443:JUA851528 JJM851443:JKE851528 IZQ851443:JAI851528 IPU851443:IQM851528 IFY851443:IGQ851528 HWC851443:HWU851528 HMG851443:HMY851528 HCK851443:HDC851528 GSO851443:GTG851528 GIS851443:GJK851528 FYW851443:FZO851528 FPA851443:FPS851528 FFE851443:FFW851528 EVI851443:EWA851528 ELM851443:EME851528 EBQ851443:ECI851528 DRU851443:DSM851528 DHY851443:DIQ851528 CYC851443:CYU851528 COG851443:COY851528 CEK851443:CFC851528 BUO851443:BVG851528 BKS851443:BLK851528 BAW851443:BBO851528 ARA851443:ARS851528 AHE851443:AHW851528 XI851443:YA851528 NM851443:OE851528 DQ851443:EI851528 WZY785907:XAQ785992 WQC785907:WQU785992 WGG785907:WGY785992 VWK785907:VXC785992 VMO785907:VNG785992 VCS785907:VDK785992 USW785907:UTO785992 UJA785907:UJS785992 TZE785907:TZW785992 TPI785907:TQA785992 TFM785907:TGE785992 SVQ785907:SWI785992 SLU785907:SMM785992 SBY785907:SCQ785992 RSC785907:RSU785992 RIG785907:RIY785992 QYK785907:QZC785992 QOO785907:QPG785992 QES785907:QFK785992 PUW785907:PVO785992 PLA785907:PLS785992 PBE785907:PBW785992 ORI785907:OSA785992 OHM785907:OIE785992 NXQ785907:NYI785992 NNU785907:NOM785992 NDY785907:NEQ785992 MUC785907:MUU785992 MKG785907:MKY785992 MAK785907:MBC785992 LQO785907:LRG785992 LGS785907:LHK785992 KWW785907:KXO785992 KNA785907:KNS785992 KDE785907:KDW785992 JTI785907:JUA785992 JJM785907:JKE785992 IZQ785907:JAI785992 IPU785907:IQM785992 IFY785907:IGQ785992 HWC785907:HWU785992 HMG785907:HMY785992 HCK785907:HDC785992 GSO785907:GTG785992 GIS785907:GJK785992 FYW785907:FZO785992 FPA785907:FPS785992 FFE785907:FFW785992 EVI785907:EWA785992 ELM785907:EME785992 EBQ785907:ECI785992 DRU785907:DSM785992 DHY785907:DIQ785992 CYC785907:CYU785992 COG785907:COY785992 CEK785907:CFC785992 BUO785907:BVG785992 BKS785907:BLK785992 BAW785907:BBO785992 ARA785907:ARS785992 AHE785907:AHW785992 XI785907:YA785992 NM785907:OE785992 DQ785907:EI785992 WZY720371:XAQ720456 WQC720371:WQU720456 WGG720371:WGY720456 VWK720371:VXC720456 VMO720371:VNG720456 VCS720371:VDK720456 USW720371:UTO720456 UJA720371:UJS720456 TZE720371:TZW720456 TPI720371:TQA720456 TFM720371:TGE720456 SVQ720371:SWI720456 SLU720371:SMM720456 SBY720371:SCQ720456 RSC720371:RSU720456 RIG720371:RIY720456 QYK720371:QZC720456 QOO720371:QPG720456 QES720371:QFK720456 PUW720371:PVO720456 PLA720371:PLS720456 PBE720371:PBW720456 ORI720371:OSA720456 OHM720371:OIE720456 NXQ720371:NYI720456 NNU720371:NOM720456 NDY720371:NEQ720456 MUC720371:MUU720456 MKG720371:MKY720456 MAK720371:MBC720456 LQO720371:LRG720456 LGS720371:LHK720456 KWW720371:KXO720456 KNA720371:KNS720456 KDE720371:KDW720456 JTI720371:JUA720456 JJM720371:JKE720456 IZQ720371:JAI720456 IPU720371:IQM720456 IFY720371:IGQ720456 HWC720371:HWU720456 HMG720371:HMY720456 HCK720371:HDC720456 GSO720371:GTG720456 GIS720371:GJK720456 FYW720371:FZO720456 FPA720371:FPS720456 FFE720371:FFW720456 EVI720371:EWA720456 ELM720371:EME720456 EBQ720371:ECI720456 DRU720371:DSM720456 DHY720371:DIQ720456 CYC720371:CYU720456 COG720371:COY720456 CEK720371:CFC720456 BUO720371:BVG720456 BKS720371:BLK720456 BAW720371:BBO720456 ARA720371:ARS720456 AHE720371:AHW720456 XI720371:YA720456 NM720371:OE720456 DQ720371:EI720456 WZY654835:XAQ654920 WQC654835:WQU654920 WGG654835:WGY654920 VWK654835:VXC654920 VMO654835:VNG654920 VCS654835:VDK654920 USW654835:UTO654920 UJA654835:UJS654920 TZE654835:TZW654920 TPI654835:TQA654920 TFM654835:TGE654920 SVQ654835:SWI654920 SLU654835:SMM654920 SBY654835:SCQ654920 RSC654835:RSU654920 RIG654835:RIY654920 QYK654835:QZC654920 QOO654835:QPG654920 QES654835:QFK654920 PUW654835:PVO654920 PLA654835:PLS654920 PBE654835:PBW654920 ORI654835:OSA654920 OHM654835:OIE654920 NXQ654835:NYI654920 NNU654835:NOM654920 NDY654835:NEQ654920 MUC654835:MUU654920 MKG654835:MKY654920 MAK654835:MBC654920 LQO654835:LRG654920 LGS654835:LHK654920 KWW654835:KXO654920 KNA654835:KNS654920 KDE654835:KDW654920 JTI654835:JUA654920 JJM654835:JKE654920 IZQ654835:JAI654920 IPU654835:IQM654920 IFY654835:IGQ654920 HWC654835:HWU654920 HMG654835:HMY654920 HCK654835:HDC654920 GSO654835:GTG654920 GIS654835:GJK654920 FYW654835:FZO654920 FPA654835:FPS654920 FFE654835:FFW654920 EVI654835:EWA654920 ELM654835:EME654920 EBQ654835:ECI654920 DRU654835:DSM654920 DHY654835:DIQ654920 CYC654835:CYU654920 COG654835:COY654920 CEK654835:CFC654920 BUO654835:BVG654920 BKS654835:BLK654920 BAW654835:BBO654920 ARA654835:ARS654920 AHE654835:AHW654920 XI654835:YA654920 NM654835:OE654920 DQ654835:EI654920 WZY589299:XAQ589384 WQC589299:WQU589384 WGG589299:WGY589384 VWK589299:VXC589384 VMO589299:VNG589384 VCS589299:VDK589384 USW589299:UTO589384 UJA589299:UJS589384 TZE589299:TZW589384 TPI589299:TQA589384 TFM589299:TGE589384 SVQ589299:SWI589384 SLU589299:SMM589384 SBY589299:SCQ589384 RSC589299:RSU589384 RIG589299:RIY589384 QYK589299:QZC589384 QOO589299:QPG589384 QES589299:QFK589384 PUW589299:PVO589384 PLA589299:PLS589384 PBE589299:PBW589384 ORI589299:OSA589384 OHM589299:OIE589384 NXQ589299:NYI589384 NNU589299:NOM589384 NDY589299:NEQ589384 MUC589299:MUU589384 MKG589299:MKY589384 MAK589299:MBC589384 LQO589299:LRG589384 LGS589299:LHK589384 KWW589299:KXO589384 KNA589299:KNS589384 KDE589299:KDW589384 JTI589299:JUA589384 JJM589299:JKE589384 IZQ589299:JAI589384 IPU589299:IQM589384 IFY589299:IGQ589384 HWC589299:HWU589384 HMG589299:HMY589384 HCK589299:HDC589384 GSO589299:GTG589384 GIS589299:GJK589384 FYW589299:FZO589384 FPA589299:FPS589384 FFE589299:FFW589384 EVI589299:EWA589384 ELM589299:EME589384 EBQ589299:ECI589384 DRU589299:DSM589384 DHY589299:DIQ589384 CYC589299:CYU589384 COG589299:COY589384 CEK589299:CFC589384 BUO589299:BVG589384 BKS589299:BLK589384 BAW589299:BBO589384 ARA589299:ARS589384 AHE589299:AHW589384 XI589299:YA589384 NM589299:OE589384 DQ589299:EI589384 WZY523763:XAQ523848 WQC523763:WQU523848 WGG523763:WGY523848 VWK523763:VXC523848 VMO523763:VNG523848 VCS523763:VDK523848 USW523763:UTO523848 UJA523763:UJS523848 TZE523763:TZW523848 TPI523763:TQA523848 TFM523763:TGE523848 SVQ523763:SWI523848 SLU523763:SMM523848 SBY523763:SCQ523848 RSC523763:RSU523848 RIG523763:RIY523848 QYK523763:QZC523848 QOO523763:QPG523848 QES523763:QFK523848 PUW523763:PVO523848 PLA523763:PLS523848 PBE523763:PBW523848 ORI523763:OSA523848 OHM523763:OIE523848 NXQ523763:NYI523848 NNU523763:NOM523848 NDY523763:NEQ523848 MUC523763:MUU523848 MKG523763:MKY523848 MAK523763:MBC523848 LQO523763:LRG523848 LGS523763:LHK523848 KWW523763:KXO523848 KNA523763:KNS523848 KDE523763:KDW523848 JTI523763:JUA523848 JJM523763:JKE523848 IZQ523763:JAI523848 IPU523763:IQM523848 IFY523763:IGQ523848 HWC523763:HWU523848 HMG523763:HMY523848 HCK523763:HDC523848 GSO523763:GTG523848 GIS523763:GJK523848 FYW523763:FZO523848 FPA523763:FPS523848 FFE523763:FFW523848 EVI523763:EWA523848 ELM523763:EME523848 EBQ523763:ECI523848 DRU523763:DSM523848 DHY523763:DIQ523848 CYC523763:CYU523848 COG523763:COY523848 CEK523763:CFC523848 BUO523763:BVG523848 BKS523763:BLK523848 BAW523763:BBO523848 ARA523763:ARS523848 AHE523763:AHW523848 XI523763:YA523848 NM523763:OE523848 DQ523763:EI523848 WZY458227:XAQ458312 WQC458227:WQU458312 WGG458227:WGY458312 VWK458227:VXC458312 VMO458227:VNG458312 VCS458227:VDK458312 USW458227:UTO458312 UJA458227:UJS458312 TZE458227:TZW458312 TPI458227:TQA458312 TFM458227:TGE458312 SVQ458227:SWI458312 SLU458227:SMM458312 SBY458227:SCQ458312 RSC458227:RSU458312 RIG458227:RIY458312 QYK458227:QZC458312 QOO458227:QPG458312 QES458227:QFK458312 PUW458227:PVO458312 PLA458227:PLS458312 PBE458227:PBW458312 ORI458227:OSA458312 OHM458227:OIE458312 NXQ458227:NYI458312 NNU458227:NOM458312 NDY458227:NEQ458312 MUC458227:MUU458312 MKG458227:MKY458312 MAK458227:MBC458312 LQO458227:LRG458312 LGS458227:LHK458312 KWW458227:KXO458312 KNA458227:KNS458312 KDE458227:KDW458312 JTI458227:JUA458312 JJM458227:JKE458312 IZQ458227:JAI458312 IPU458227:IQM458312 IFY458227:IGQ458312 HWC458227:HWU458312 HMG458227:HMY458312 HCK458227:HDC458312 GSO458227:GTG458312 GIS458227:GJK458312 FYW458227:FZO458312 FPA458227:FPS458312 FFE458227:FFW458312 EVI458227:EWA458312 ELM458227:EME458312 EBQ458227:ECI458312 DRU458227:DSM458312 DHY458227:DIQ458312 CYC458227:CYU458312 COG458227:COY458312 CEK458227:CFC458312 BUO458227:BVG458312 BKS458227:BLK458312 BAW458227:BBO458312 ARA458227:ARS458312 AHE458227:AHW458312 XI458227:YA458312 NM458227:OE458312 DQ458227:EI458312 WZY392691:XAQ392776 WQC392691:WQU392776 WGG392691:WGY392776 VWK392691:VXC392776 VMO392691:VNG392776 VCS392691:VDK392776 USW392691:UTO392776 UJA392691:UJS392776 TZE392691:TZW392776 TPI392691:TQA392776 TFM392691:TGE392776 SVQ392691:SWI392776 SLU392691:SMM392776 SBY392691:SCQ392776 RSC392691:RSU392776 RIG392691:RIY392776 QYK392691:QZC392776 QOO392691:QPG392776 QES392691:QFK392776 PUW392691:PVO392776 PLA392691:PLS392776 PBE392691:PBW392776 ORI392691:OSA392776 OHM392691:OIE392776 NXQ392691:NYI392776 NNU392691:NOM392776 NDY392691:NEQ392776 MUC392691:MUU392776 MKG392691:MKY392776 MAK392691:MBC392776 LQO392691:LRG392776 LGS392691:LHK392776 KWW392691:KXO392776 KNA392691:KNS392776 KDE392691:KDW392776 JTI392691:JUA392776 JJM392691:JKE392776 IZQ392691:JAI392776 IPU392691:IQM392776 IFY392691:IGQ392776 HWC392691:HWU392776 HMG392691:HMY392776 HCK392691:HDC392776 GSO392691:GTG392776 GIS392691:GJK392776 FYW392691:FZO392776 FPA392691:FPS392776 FFE392691:FFW392776 EVI392691:EWA392776 ELM392691:EME392776 EBQ392691:ECI392776 DRU392691:DSM392776 DHY392691:DIQ392776 CYC392691:CYU392776 COG392691:COY392776 CEK392691:CFC392776 BUO392691:BVG392776 BKS392691:BLK392776 BAW392691:BBO392776 ARA392691:ARS392776 AHE392691:AHW392776 XI392691:YA392776 NM392691:OE392776 DQ392691:EI392776 WZY327155:XAQ327240 WQC327155:WQU327240 WGG327155:WGY327240 VWK327155:VXC327240 VMO327155:VNG327240 VCS327155:VDK327240 USW327155:UTO327240 UJA327155:UJS327240 TZE327155:TZW327240 TPI327155:TQA327240 TFM327155:TGE327240 SVQ327155:SWI327240 SLU327155:SMM327240 SBY327155:SCQ327240 RSC327155:RSU327240 RIG327155:RIY327240 QYK327155:QZC327240 QOO327155:QPG327240 QES327155:QFK327240 PUW327155:PVO327240 PLA327155:PLS327240 PBE327155:PBW327240 ORI327155:OSA327240 OHM327155:OIE327240 NXQ327155:NYI327240 NNU327155:NOM327240 NDY327155:NEQ327240 MUC327155:MUU327240 MKG327155:MKY327240 MAK327155:MBC327240 LQO327155:LRG327240 LGS327155:LHK327240 KWW327155:KXO327240 KNA327155:KNS327240 KDE327155:KDW327240 JTI327155:JUA327240 JJM327155:JKE327240 IZQ327155:JAI327240 IPU327155:IQM327240 IFY327155:IGQ327240 HWC327155:HWU327240 HMG327155:HMY327240 HCK327155:HDC327240 GSO327155:GTG327240 GIS327155:GJK327240 FYW327155:FZO327240 FPA327155:FPS327240 FFE327155:FFW327240 EVI327155:EWA327240 ELM327155:EME327240 EBQ327155:ECI327240 DRU327155:DSM327240 DHY327155:DIQ327240 CYC327155:CYU327240 COG327155:COY327240 CEK327155:CFC327240 BUO327155:BVG327240 BKS327155:BLK327240 BAW327155:BBO327240 ARA327155:ARS327240 AHE327155:AHW327240 XI327155:YA327240 NM327155:OE327240 DQ327155:EI327240 WZY261619:XAQ261704 WQC261619:WQU261704 WGG261619:WGY261704 VWK261619:VXC261704 VMO261619:VNG261704 VCS261619:VDK261704 USW261619:UTO261704 UJA261619:UJS261704 TZE261619:TZW261704 TPI261619:TQA261704 TFM261619:TGE261704 SVQ261619:SWI261704 SLU261619:SMM261704 SBY261619:SCQ261704 RSC261619:RSU261704 RIG261619:RIY261704 QYK261619:QZC261704 QOO261619:QPG261704 QES261619:QFK261704 PUW261619:PVO261704 PLA261619:PLS261704 PBE261619:PBW261704 ORI261619:OSA261704 OHM261619:OIE261704 NXQ261619:NYI261704 NNU261619:NOM261704 NDY261619:NEQ261704 MUC261619:MUU261704 MKG261619:MKY261704 MAK261619:MBC261704 LQO261619:LRG261704 LGS261619:LHK261704 KWW261619:KXO261704 KNA261619:KNS261704 KDE261619:KDW261704 JTI261619:JUA261704 JJM261619:JKE261704 IZQ261619:JAI261704 IPU261619:IQM261704 IFY261619:IGQ261704 HWC261619:HWU261704 HMG261619:HMY261704 HCK261619:HDC261704 GSO261619:GTG261704 GIS261619:GJK261704 FYW261619:FZO261704 FPA261619:FPS261704 FFE261619:FFW261704 EVI261619:EWA261704 ELM261619:EME261704 EBQ261619:ECI261704 DRU261619:DSM261704 DHY261619:DIQ261704 CYC261619:CYU261704 COG261619:COY261704 CEK261619:CFC261704 BUO261619:BVG261704 BKS261619:BLK261704 BAW261619:BBO261704 ARA261619:ARS261704 AHE261619:AHW261704 XI261619:YA261704 NM261619:OE261704 DQ261619:EI261704 WZY196083:XAQ196168 WQC196083:WQU196168 WGG196083:WGY196168 VWK196083:VXC196168 VMO196083:VNG196168 VCS196083:VDK196168 USW196083:UTO196168 UJA196083:UJS196168 TZE196083:TZW196168 TPI196083:TQA196168 TFM196083:TGE196168 SVQ196083:SWI196168 SLU196083:SMM196168 SBY196083:SCQ196168 RSC196083:RSU196168 RIG196083:RIY196168 QYK196083:QZC196168 QOO196083:QPG196168 QES196083:QFK196168 PUW196083:PVO196168 PLA196083:PLS196168 PBE196083:PBW196168 ORI196083:OSA196168 OHM196083:OIE196168 NXQ196083:NYI196168 NNU196083:NOM196168 NDY196083:NEQ196168 MUC196083:MUU196168 MKG196083:MKY196168 MAK196083:MBC196168 LQO196083:LRG196168 LGS196083:LHK196168 KWW196083:KXO196168 KNA196083:KNS196168 KDE196083:KDW196168 JTI196083:JUA196168 JJM196083:JKE196168 IZQ196083:JAI196168 IPU196083:IQM196168 IFY196083:IGQ196168 HWC196083:HWU196168 HMG196083:HMY196168 HCK196083:HDC196168 GSO196083:GTG196168 GIS196083:GJK196168 FYW196083:FZO196168 FPA196083:FPS196168 FFE196083:FFW196168 EVI196083:EWA196168 ELM196083:EME196168 EBQ196083:ECI196168 DRU196083:DSM196168 DHY196083:DIQ196168 CYC196083:CYU196168 COG196083:COY196168 CEK196083:CFC196168 BUO196083:BVG196168 BKS196083:BLK196168 BAW196083:BBO196168 ARA196083:ARS196168 AHE196083:AHW196168 XI196083:YA196168 NM196083:OE196168 DQ196083:EI196168 WZY130547:XAQ130632 WQC130547:WQU130632 WGG130547:WGY130632 VWK130547:VXC130632 VMO130547:VNG130632 VCS130547:VDK130632 USW130547:UTO130632 UJA130547:UJS130632 TZE130547:TZW130632 TPI130547:TQA130632 TFM130547:TGE130632 SVQ130547:SWI130632 SLU130547:SMM130632 SBY130547:SCQ130632 RSC130547:RSU130632 RIG130547:RIY130632 QYK130547:QZC130632 QOO130547:QPG130632 QES130547:QFK130632 PUW130547:PVO130632 PLA130547:PLS130632 PBE130547:PBW130632 ORI130547:OSA130632 OHM130547:OIE130632 NXQ130547:NYI130632 NNU130547:NOM130632 NDY130547:NEQ130632 MUC130547:MUU130632 MKG130547:MKY130632 MAK130547:MBC130632 LQO130547:LRG130632 LGS130547:LHK130632 KWW130547:KXO130632 KNA130547:KNS130632 KDE130547:KDW130632 JTI130547:JUA130632 JJM130547:JKE130632 IZQ130547:JAI130632 IPU130547:IQM130632 IFY130547:IGQ130632 HWC130547:HWU130632 HMG130547:HMY130632 HCK130547:HDC130632 GSO130547:GTG130632 GIS130547:GJK130632 FYW130547:FZO130632 FPA130547:FPS130632 FFE130547:FFW130632 EVI130547:EWA130632 ELM130547:EME130632 EBQ130547:ECI130632 DRU130547:DSM130632 DHY130547:DIQ130632 CYC130547:CYU130632 COG130547:COY130632 CEK130547:CFC130632 BUO130547:BVG130632 BKS130547:BLK130632 BAW130547:BBO130632 ARA130547:ARS130632 AHE130547:AHW130632 XI130547:YA130632 NM130547:OE130632 DQ130547:EI130632 WZY65011:XAQ65096 WQC65011:WQU65096 WGG65011:WGY65096 VWK65011:VXC65096 VMO65011:VNG65096 VCS65011:VDK65096 USW65011:UTO65096 UJA65011:UJS65096 TZE65011:TZW65096 TPI65011:TQA65096 TFM65011:TGE65096 SVQ65011:SWI65096 SLU65011:SMM65096 SBY65011:SCQ65096 RSC65011:RSU65096 RIG65011:RIY65096 QYK65011:QZC65096 QOO65011:QPG65096 QES65011:QFK65096 PUW65011:PVO65096 PLA65011:PLS65096 PBE65011:PBW65096 ORI65011:OSA65096 OHM65011:OIE65096 NXQ65011:NYI65096 NNU65011:NOM65096 NDY65011:NEQ65096 MUC65011:MUU65096 MKG65011:MKY65096 MAK65011:MBC65096 LQO65011:LRG65096 LGS65011:LHK65096 KWW65011:KXO65096 KNA65011:KNS65096 KDE65011:KDW65096 JTI65011:JUA65096 JJM65011:JKE65096 IZQ65011:JAI65096 IPU65011:IQM65096 IFY65011:IGQ65096 HWC65011:HWU65096 HMG65011:HMY65096 HCK65011:HDC65096 GSO65011:GTG65096 GIS65011:GJK65096 FYW65011:FZO65096 FPA65011:FPS65096 FFE65011:FFW65096 EVI65011:EWA65096 ELM65011:EME65096 EBQ65011:ECI65096 DRU65011:DSM65096 DHY65011:DIQ65096 CYC65011:CYU65096 COG65011:COY65096 CEK65011:CFC65096 BUO65011:BVG65096 BKS65011:BLK65096 BAW65011:BBO65096 ARA65011:ARS65096 AHE65011:AHW65096 XI65011:YA65096 NM65011:OE65096 DQ65011:EI65096 WQC982515:WQU982600 WZY982509:XAQ982513 WQC982509:WQU982513 WGG982509:WGY982513 VWK982509:VXC982513 VMO982509:VNG982513 VCS982509:VDK982513 USW982509:UTO982513 UJA982509:UJS982513 TZE982509:TZW982513 TPI982509:TQA982513 TFM982509:TGE982513 SVQ982509:SWI982513 SLU982509:SMM982513 SBY982509:SCQ982513 RSC982509:RSU982513 RIG982509:RIY982513 QYK982509:QZC982513 QOO982509:QPG982513 QES982509:QFK982513 PUW982509:PVO982513 PLA982509:PLS982513 PBE982509:PBW982513 ORI982509:OSA982513 OHM982509:OIE982513 NXQ982509:NYI982513 NNU982509:NOM982513 NDY982509:NEQ982513 MUC982509:MUU982513 MKG982509:MKY982513 MAK982509:MBC982513 LQO982509:LRG982513 LGS982509:LHK982513 KWW982509:KXO982513 KNA982509:KNS982513 KDE982509:KDW982513 JTI982509:JUA982513 JJM982509:JKE982513 IZQ982509:JAI982513 IPU982509:IQM982513 IFY982509:IGQ982513 HWC982509:HWU982513 HMG982509:HMY982513 HCK982509:HDC982513 GSO982509:GTG982513 GIS982509:GJK982513 FYW982509:FZO982513 FPA982509:FPS982513 FFE982509:FFW982513 EVI982509:EWA982513 ELM982509:EME982513 EBQ982509:ECI982513 DRU982509:DSM982513 DHY982509:DIQ982513 CYC982509:CYU982513 COG982509:COY982513 CEK982509:CFC982513 BUO982509:BVG982513 BKS982509:BLK982513 BAW982509:BBO982513 ARA982509:ARS982513 AHE982509:AHW982513 XI982509:YA982513 NM982509:OE982513 DQ982509:EI982513 WZY916973:XAQ916977 WQC916973:WQU916977 WGG916973:WGY916977 VWK916973:VXC916977 VMO916973:VNG916977 VCS916973:VDK916977 USW916973:UTO916977 UJA916973:UJS916977 TZE916973:TZW916977 TPI916973:TQA916977 TFM916973:TGE916977 SVQ916973:SWI916977 SLU916973:SMM916977 SBY916973:SCQ916977 RSC916973:RSU916977 RIG916973:RIY916977 QYK916973:QZC916977 QOO916973:QPG916977 QES916973:QFK916977 PUW916973:PVO916977 PLA916973:PLS916977 PBE916973:PBW916977 ORI916973:OSA916977 OHM916973:OIE916977 NXQ916973:NYI916977 NNU916973:NOM916977 NDY916973:NEQ916977 MUC916973:MUU916977 MKG916973:MKY916977 MAK916973:MBC916977 LQO916973:LRG916977 LGS916973:LHK916977 KWW916973:KXO916977 KNA916973:KNS916977 KDE916973:KDW916977 JTI916973:JUA916977 JJM916973:JKE916977 IZQ916973:JAI916977 IPU916973:IQM916977 IFY916973:IGQ916977 HWC916973:HWU916977 HMG916973:HMY916977 HCK916973:HDC916977 GSO916973:GTG916977 GIS916973:GJK916977 FYW916973:FZO916977 FPA916973:FPS916977 FFE916973:FFW916977 EVI916973:EWA916977 ELM916973:EME916977 EBQ916973:ECI916977 DRU916973:DSM916977 DHY916973:DIQ916977 CYC916973:CYU916977 COG916973:COY916977 CEK916973:CFC916977 BUO916973:BVG916977 BKS916973:BLK916977 BAW916973:BBO916977 ARA916973:ARS916977 AHE916973:AHW916977 XI916973:YA916977 NM916973:OE916977 DQ916973:EI916977 WZY851437:XAQ851441 WQC851437:WQU851441 WGG851437:WGY851441 VWK851437:VXC851441 VMO851437:VNG851441 VCS851437:VDK851441 USW851437:UTO851441 UJA851437:UJS851441 TZE851437:TZW851441 TPI851437:TQA851441 TFM851437:TGE851441 SVQ851437:SWI851441 SLU851437:SMM851441 SBY851437:SCQ851441 RSC851437:RSU851441 RIG851437:RIY851441 QYK851437:QZC851441 QOO851437:QPG851441 QES851437:QFK851441 PUW851437:PVO851441 PLA851437:PLS851441 PBE851437:PBW851441 ORI851437:OSA851441 OHM851437:OIE851441 NXQ851437:NYI851441 NNU851437:NOM851441 NDY851437:NEQ851441 MUC851437:MUU851441 MKG851437:MKY851441 MAK851437:MBC851441 LQO851437:LRG851441 LGS851437:LHK851441 KWW851437:KXO851441 KNA851437:KNS851441 KDE851437:KDW851441 JTI851437:JUA851441 JJM851437:JKE851441 IZQ851437:JAI851441 IPU851437:IQM851441 IFY851437:IGQ851441 HWC851437:HWU851441 HMG851437:HMY851441 HCK851437:HDC851441 GSO851437:GTG851441 GIS851437:GJK851441 FYW851437:FZO851441 FPA851437:FPS851441 FFE851437:FFW851441 EVI851437:EWA851441 ELM851437:EME851441 EBQ851437:ECI851441 DRU851437:DSM851441 DHY851437:DIQ851441 CYC851437:CYU851441 COG851437:COY851441 CEK851437:CFC851441 BUO851437:BVG851441 BKS851437:BLK851441 BAW851437:BBO851441 ARA851437:ARS851441 AHE851437:AHW851441 XI851437:YA851441 NM851437:OE851441 DQ851437:EI851441 WZY785901:XAQ785905 WQC785901:WQU785905 WGG785901:WGY785905 VWK785901:VXC785905 VMO785901:VNG785905 VCS785901:VDK785905 USW785901:UTO785905 UJA785901:UJS785905 TZE785901:TZW785905 TPI785901:TQA785905 TFM785901:TGE785905 SVQ785901:SWI785905 SLU785901:SMM785905 SBY785901:SCQ785905 RSC785901:RSU785905 RIG785901:RIY785905 QYK785901:QZC785905 QOO785901:QPG785905 QES785901:QFK785905 PUW785901:PVO785905 PLA785901:PLS785905 PBE785901:PBW785905 ORI785901:OSA785905 OHM785901:OIE785905 NXQ785901:NYI785905 NNU785901:NOM785905 NDY785901:NEQ785905 MUC785901:MUU785905 MKG785901:MKY785905 MAK785901:MBC785905 LQO785901:LRG785905 LGS785901:LHK785905 KWW785901:KXO785905 KNA785901:KNS785905 KDE785901:KDW785905 JTI785901:JUA785905 JJM785901:JKE785905 IZQ785901:JAI785905 IPU785901:IQM785905 IFY785901:IGQ785905 HWC785901:HWU785905 HMG785901:HMY785905 HCK785901:HDC785905 GSO785901:GTG785905 GIS785901:GJK785905 FYW785901:FZO785905 FPA785901:FPS785905 FFE785901:FFW785905 EVI785901:EWA785905 ELM785901:EME785905 EBQ785901:ECI785905 DRU785901:DSM785905 DHY785901:DIQ785905 CYC785901:CYU785905 COG785901:COY785905 CEK785901:CFC785905 BUO785901:BVG785905 BKS785901:BLK785905 BAW785901:BBO785905 ARA785901:ARS785905 AHE785901:AHW785905 XI785901:YA785905 NM785901:OE785905 DQ785901:EI785905 WZY720365:XAQ720369 WQC720365:WQU720369 WGG720365:WGY720369 VWK720365:VXC720369 VMO720365:VNG720369 VCS720365:VDK720369 USW720365:UTO720369 UJA720365:UJS720369 TZE720365:TZW720369 TPI720365:TQA720369 TFM720365:TGE720369 SVQ720365:SWI720369 SLU720365:SMM720369 SBY720365:SCQ720369 RSC720365:RSU720369 RIG720365:RIY720369 QYK720365:QZC720369 QOO720365:QPG720369 QES720365:QFK720369 PUW720365:PVO720369 PLA720365:PLS720369 PBE720365:PBW720369 ORI720365:OSA720369 OHM720365:OIE720369 NXQ720365:NYI720369 NNU720365:NOM720369 NDY720365:NEQ720369 MUC720365:MUU720369 MKG720365:MKY720369 MAK720365:MBC720369 LQO720365:LRG720369 LGS720365:LHK720369 KWW720365:KXO720369 KNA720365:KNS720369 KDE720365:KDW720369 JTI720365:JUA720369 JJM720365:JKE720369 IZQ720365:JAI720369 IPU720365:IQM720369 IFY720365:IGQ720369 HWC720365:HWU720369 HMG720365:HMY720369 HCK720365:HDC720369 GSO720365:GTG720369 GIS720365:GJK720369 FYW720365:FZO720369 FPA720365:FPS720369 FFE720365:FFW720369 EVI720365:EWA720369 ELM720365:EME720369 EBQ720365:ECI720369 DRU720365:DSM720369 DHY720365:DIQ720369 CYC720365:CYU720369 COG720365:COY720369 CEK720365:CFC720369 BUO720365:BVG720369 BKS720365:BLK720369 BAW720365:BBO720369 ARA720365:ARS720369 AHE720365:AHW720369 XI720365:YA720369 NM720365:OE720369 DQ720365:EI720369 WZY654829:XAQ654833 WQC654829:WQU654833 WGG654829:WGY654833 VWK654829:VXC654833 VMO654829:VNG654833 VCS654829:VDK654833 USW654829:UTO654833 UJA654829:UJS654833 TZE654829:TZW654833 TPI654829:TQA654833 TFM654829:TGE654833 SVQ654829:SWI654833 SLU654829:SMM654833 SBY654829:SCQ654833 RSC654829:RSU654833 RIG654829:RIY654833 QYK654829:QZC654833 QOO654829:QPG654833 QES654829:QFK654833 PUW654829:PVO654833 PLA654829:PLS654833 PBE654829:PBW654833 ORI654829:OSA654833 OHM654829:OIE654833 NXQ654829:NYI654833 NNU654829:NOM654833 NDY654829:NEQ654833 MUC654829:MUU654833 MKG654829:MKY654833 MAK654829:MBC654833 LQO654829:LRG654833 LGS654829:LHK654833 KWW654829:KXO654833 KNA654829:KNS654833 KDE654829:KDW654833 JTI654829:JUA654833 JJM654829:JKE654833 IZQ654829:JAI654833 IPU654829:IQM654833 IFY654829:IGQ654833 HWC654829:HWU654833 HMG654829:HMY654833 HCK654829:HDC654833 GSO654829:GTG654833 GIS654829:GJK654833 FYW654829:FZO654833 FPA654829:FPS654833 FFE654829:FFW654833 EVI654829:EWA654833 ELM654829:EME654833 EBQ654829:ECI654833 DRU654829:DSM654833 DHY654829:DIQ654833 CYC654829:CYU654833 COG654829:COY654833 CEK654829:CFC654833 BUO654829:BVG654833 BKS654829:BLK654833 BAW654829:BBO654833 ARA654829:ARS654833 AHE654829:AHW654833 XI654829:YA654833 NM654829:OE654833 DQ654829:EI654833 WZY589293:XAQ589297 WQC589293:WQU589297 WGG589293:WGY589297 VWK589293:VXC589297 VMO589293:VNG589297 VCS589293:VDK589297 USW589293:UTO589297 UJA589293:UJS589297 TZE589293:TZW589297 TPI589293:TQA589297 TFM589293:TGE589297 SVQ589293:SWI589297 SLU589293:SMM589297 SBY589293:SCQ589297 RSC589293:RSU589297 RIG589293:RIY589297 QYK589293:QZC589297 QOO589293:QPG589297 QES589293:QFK589297 PUW589293:PVO589297 PLA589293:PLS589297 PBE589293:PBW589297 ORI589293:OSA589297 OHM589293:OIE589297 NXQ589293:NYI589297 NNU589293:NOM589297 NDY589293:NEQ589297 MUC589293:MUU589297 MKG589293:MKY589297 MAK589293:MBC589297 LQO589293:LRG589297 LGS589293:LHK589297 KWW589293:KXO589297 KNA589293:KNS589297 KDE589293:KDW589297 JTI589293:JUA589297 JJM589293:JKE589297 IZQ589293:JAI589297 IPU589293:IQM589297 IFY589293:IGQ589297 HWC589293:HWU589297 HMG589293:HMY589297 HCK589293:HDC589297 GSO589293:GTG589297 GIS589293:GJK589297 FYW589293:FZO589297 FPA589293:FPS589297 FFE589293:FFW589297 EVI589293:EWA589297 ELM589293:EME589297 EBQ589293:ECI589297 DRU589293:DSM589297 DHY589293:DIQ589297 CYC589293:CYU589297 COG589293:COY589297 CEK589293:CFC589297 BUO589293:BVG589297 BKS589293:BLK589297 BAW589293:BBO589297 ARA589293:ARS589297 AHE589293:AHW589297 XI589293:YA589297 NM589293:OE589297 DQ589293:EI589297 WZY523757:XAQ523761 WQC523757:WQU523761 WGG523757:WGY523761 VWK523757:VXC523761 VMO523757:VNG523761 VCS523757:VDK523761 USW523757:UTO523761 UJA523757:UJS523761 TZE523757:TZW523761 TPI523757:TQA523761 TFM523757:TGE523761 SVQ523757:SWI523761 SLU523757:SMM523761 SBY523757:SCQ523761 RSC523757:RSU523761 RIG523757:RIY523761 QYK523757:QZC523761 QOO523757:QPG523761 QES523757:QFK523761 PUW523757:PVO523761 PLA523757:PLS523761 PBE523757:PBW523761 ORI523757:OSA523761 OHM523757:OIE523761 NXQ523757:NYI523761 NNU523757:NOM523761 NDY523757:NEQ523761 MUC523757:MUU523761 MKG523757:MKY523761 MAK523757:MBC523761 LQO523757:LRG523761 LGS523757:LHK523761 KWW523757:KXO523761 KNA523757:KNS523761 KDE523757:KDW523761 JTI523757:JUA523761 JJM523757:JKE523761 IZQ523757:JAI523761 IPU523757:IQM523761 IFY523757:IGQ523761 HWC523757:HWU523761 HMG523757:HMY523761 HCK523757:HDC523761 GSO523757:GTG523761 GIS523757:GJK523761 FYW523757:FZO523761 FPA523757:FPS523761 FFE523757:FFW523761 EVI523757:EWA523761 ELM523757:EME523761 EBQ523757:ECI523761 DRU523757:DSM523761 DHY523757:DIQ523761 CYC523757:CYU523761 COG523757:COY523761 CEK523757:CFC523761 BUO523757:BVG523761 BKS523757:BLK523761 BAW523757:BBO523761 ARA523757:ARS523761 AHE523757:AHW523761 XI523757:YA523761 NM523757:OE523761 DQ523757:EI523761 WZY458221:XAQ458225 WQC458221:WQU458225 WGG458221:WGY458225 VWK458221:VXC458225 VMO458221:VNG458225 VCS458221:VDK458225 USW458221:UTO458225 UJA458221:UJS458225 TZE458221:TZW458225 TPI458221:TQA458225 TFM458221:TGE458225 SVQ458221:SWI458225 SLU458221:SMM458225 SBY458221:SCQ458225 RSC458221:RSU458225 RIG458221:RIY458225 QYK458221:QZC458225 QOO458221:QPG458225 QES458221:QFK458225 PUW458221:PVO458225 PLA458221:PLS458225 PBE458221:PBW458225 ORI458221:OSA458225 OHM458221:OIE458225 NXQ458221:NYI458225 NNU458221:NOM458225 NDY458221:NEQ458225 MUC458221:MUU458225 MKG458221:MKY458225 MAK458221:MBC458225 LQO458221:LRG458225 LGS458221:LHK458225 KWW458221:KXO458225 KNA458221:KNS458225 KDE458221:KDW458225 JTI458221:JUA458225 JJM458221:JKE458225 IZQ458221:JAI458225 IPU458221:IQM458225 IFY458221:IGQ458225 HWC458221:HWU458225 HMG458221:HMY458225 HCK458221:HDC458225 GSO458221:GTG458225 GIS458221:GJK458225 FYW458221:FZO458225 FPA458221:FPS458225 FFE458221:FFW458225 EVI458221:EWA458225 ELM458221:EME458225 EBQ458221:ECI458225 DRU458221:DSM458225 DHY458221:DIQ458225 CYC458221:CYU458225 COG458221:COY458225 CEK458221:CFC458225 BUO458221:BVG458225 BKS458221:BLK458225 BAW458221:BBO458225 ARA458221:ARS458225 AHE458221:AHW458225 XI458221:YA458225 NM458221:OE458225 DQ458221:EI458225 WZY392685:XAQ392689 WQC392685:WQU392689 WGG392685:WGY392689 VWK392685:VXC392689 VMO392685:VNG392689 VCS392685:VDK392689 USW392685:UTO392689 UJA392685:UJS392689 TZE392685:TZW392689 TPI392685:TQA392689 TFM392685:TGE392689 SVQ392685:SWI392689 SLU392685:SMM392689 SBY392685:SCQ392689 RSC392685:RSU392689 RIG392685:RIY392689 QYK392685:QZC392689 QOO392685:QPG392689 QES392685:QFK392689 PUW392685:PVO392689 PLA392685:PLS392689 PBE392685:PBW392689 ORI392685:OSA392689 OHM392685:OIE392689 NXQ392685:NYI392689 NNU392685:NOM392689 NDY392685:NEQ392689 MUC392685:MUU392689 MKG392685:MKY392689 MAK392685:MBC392689 LQO392685:LRG392689 LGS392685:LHK392689 KWW392685:KXO392689 KNA392685:KNS392689 KDE392685:KDW392689 JTI392685:JUA392689 JJM392685:JKE392689 IZQ392685:JAI392689 IPU392685:IQM392689 IFY392685:IGQ392689 HWC392685:HWU392689 HMG392685:HMY392689 HCK392685:HDC392689 GSO392685:GTG392689 GIS392685:GJK392689 FYW392685:FZO392689 FPA392685:FPS392689 FFE392685:FFW392689 EVI392685:EWA392689 ELM392685:EME392689 EBQ392685:ECI392689 DRU392685:DSM392689 DHY392685:DIQ392689 CYC392685:CYU392689 COG392685:COY392689 CEK392685:CFC392689 BUO392685:BVG392689 BKS392685:BLK392689 BAW392685:BBO392689 ARA392685:ARS392689 AHE392685:AHW392689 XI392685:YA392689 NM392685:OE392689 DQ392685:EI392689 WZY327149:XAQ327153 WQC327149:WQU327153 WGG327149:WGY327153 VWK327149:VXC327153 VMO327149:VNG327153 VCS327149:VDK327153 USW327149:UTO327153 UJA327149:UJS327153 TZE327149:TZW327153 TPI327149:TQA327153 TFM327149:TGE327153 SVQ327149:SWI327153 SLU327149:SMM327153 SBY327149:SCQ327153 RSC327149:RSU327153 RIG327149:RIY327153 QYK327149:QZC327153 QOO327149:QPG327153 QES327149:QFK327153 PUW327149:PVO327153 PLA327149:PLS327153 PBE327149:PBW327153 ORI327149:OSA327153 OHM327149:OIE327153 NXQ327149:NYI327153 NNU327149:NOM327153 NDY327149:NEQ327153 MUC327149:MUU327153 MKG327149:MKY327153 MAK327149:MBC327153 LQO327149:LRG327153 LGS327149:LHK327153 KWW327149:KXO327153 KNA327149:KNS327153 KDE327149:KDW327153 JTI327149:JUA327153 JJM327149:JKE327153 IZQ327149:JAI327153 IPU327149:IQM327153 IFY327149:IGQ327153 HWC327149:HWU327153 HMG327149:HMY327153 HCK327149:HDC327153 GSO327149:GTG327153 GIS327149:GJK327153 FYW327149:FZO327153 FPA327149:FPS327153 FFE327149:FFW327153 EVI327149:EWA327153 ELM327149:EME327153 EBQ327149:ECI327153 DRU327149:DSM327153 DHY327149:DIQ327153 CYC327149:CYU327153 COG327149:COY327153 CEK327149:CFC327153 BUO327149:BVG327153 BKS327149:BLK327153 BAW327149:BBO327153 ARA327149:ARS327153 AHE327149:AHW327153 XI327149:YA327153 NM327149:OE327153 DQ327149:EI327153 WZY261613:XAQ261617 WQC261613:WQU261617 WGG261613:WGY261617 VWK261613:VXC261617 VMO261613:VNG261617 VCS261613:VDK261617 USW261613:UTO261617 UJA261613:UJS261617 TZE261613:TZW261617 TPI261613:TQA261617 TFM261613:TGE261617 SVQ261613:SWI261617 SLU261613:SMM261617 SBY261613:SCQ261617 RSC261613:RSU261617 RIG261613:RIY261617 QYK261613:QZC261617 QOO261613:QPG261617 QES261613:QFK261617 PUW261613:PVO261617 PLA261613:PLS261617 PBE261613:PBW261617 ORI261613:OSA261617 OHM261613:OIE261617 NXQ261613:NYI261617 NNU261613:NOM261617 NDY261613:NEQ261617 MUC261613:MUU261617 MKG261613:MKY261617 MAK261613:MBC261617 LQO261613:LRG261617 LGS261613:LHK261617 KWW261613:KXO261617 KNA261613:KNS261617 KDE261613:KDW261617 JTI261613:JUA261617 JJM261613:JKE261617 IZQ261613:JAI261617 IPU261613:IQM261617 IFY261613:IGQ261617 HWC261613:HWU261617 HMG261613:HMY261617 HCK261613:HDC261617 GSO261613:GTG261617 GIS261613:GJK261617 FYW261613:FZO261617 FPA261613:FPS261617 FFE261613:FFW261617 EVI261613:EWA261617 ELM261613:EME261617 EBQ261613:ECI261617 DRU261613:DSM261617 DHY261613:DIQ261617 CYC261613:CYU261617 COG261613:COY261617 CEK261613:CFC261617 BUO261613:BVG261617 BKS261613:BLK261617 BAW261613:BBO261617 ARA261613:ARS261617 AHE261613:AHW261617 XI261613:YA261617 NM261613:OE261617 DQ261613:EI261617 WZY196077:XAQ196081 WQC196077:WQU196081 WGG196077:WGY196081 VWK196077:VXC196081 VMO196077:VNG196081 VCS196077:VDK196081 USW196077:UTO196081 UJA196077:UJS196081 TZE196077:TZW196081 TPI196077:TQA196081 TFM196077:TGE196081 SVQ196077:SWI196081 SLU196077:SMM196081 SBY196077:SCQ196081 RSC196077:RSU196081 RIG196077:RIY196081 QYK196077:QZC196081 QOO196077:QPG196081 QES196077:QFK196081 PUW196077:PVO196081 PLA196077:PLS196081 PBE196077:PBW196081 ORI196077:OSA196081 OHM196077:OIE196081 NXQ196077:NYI196081 NNU196077:NOM196081 NDY196077:NEQ196081 MUC196077:MUU196081 MKG196077:MKY196081 MAK196077:MBC196081 LQO196077:LRG196081 LGS196077:LHK196081 KWW196077:KXO196081 KNA196077:KNS196081 KDE196077:KDW196081 JTI196077:JUA196081 JJM196077:JKE196081 IZQ196077:JAI196081 IPU196077:IQM196081 IFY196077:IGQ196081 HWC196077:HWU196081 HMG196077:HMY196081 HCK196077:HDC196081 GSO196077:GTG196081 GIS196077:GJK196081 FYW196077:FZO196081 FPA196077:FPS196081 FFE196077:FFW196081 EVI196077:EWA196081 ELM196077:EME196081 EBQ196077:ECI196081 DRU196077:DSM196081 DHY196077:DIQ196081 CYC196077:CYU196081 COG196077:COY196081 CEK196077:CFC196081 BUO196077:BVG196081 BKS196077:BLK196081 BAW196077:BBO196081 ARA196077:ARS196081 AHE196077:AHW196081 XI196077:YA196081 NM196077:OE196081 DQ196077:EI196081 WZY130541:XAQ130545 WQC130541:WQU130545 WGG130541:WGY130545 VWK130541:VXC130545 VMO130541:VNG130545 VCS130541:VDK130545 USW130541:UTO130545 UJA130541:UJS130545 TZE130541:TZW130545 TPI130541:TQA130545 TFM130541:TGE130545 SVQ130541:SWI130545 SLU130541:SMM130545 SBY130541:SCQ130545 RSC130541:RSU130545 RIG130541:RIY130545 QYK130541:QZC130545 QOO130541:QPG130545 QES130541:QFK130545 PUW130541:PVO130545 PLA130541:PLS130545 PBE130541:PBW130545 ORI130541:OSA130545 OHM130541:OIE130545 NXQ130541:NYI130545 NNU130541:NOM130545 NDY130541:NEQ130545 MUC130541:MUU130545 MKG130541:MKY130545 MAK130541:MBC130545 LQO130541:LRG130545 LGS130541:LHK130545 KWW130541:KXO130545 KNA130541:KNS130545 KDE130541:KDW130545 JTI130541:JUA130545 JJM130541:JKE130545 IZQ130541:JAI130545 IPU130541:IQM130545 IFY130541:IGQ130545 HWC130541:HWU130545 HMG130541:HMY130545 HCK130541:HDC130545 GSO130541:GTG130545 GIS130541:GJK130545 FYW130541:FZO130545 FPA130541:FPS130545 FFE130541:FFW130545 EVI130541:EWA130545 ELM130541:EME130545 EBQ130541:ECI130545 DRU130541:DSM130545 DHY130541:DIQ130545 CYC130541:CYU130545 COG130541:COY130545 CEK130541:CFC130545 BUO130541:BVG130545 BKS130541:BLK130545 BAW130541:BBO130545 ARA130541:ARS130545 AHE130541:AHW130545 XI130541:YA130545 NM130541:OE130545 DQ130541:EI130545 WZY65005:XAQ65009 WQC65005:WQU65009 WGG65005:WGY65009 VWK65005:VXC65009 VMO65005:VNG65009 VCS65005:VDK65009 USW65005:UTO65009 UJA65005:UJS65009 TZE65005:TZW65009 TPI65005:TQA65009 TFM65005:TGE65009 SVQ65005:SWI65009 SLU65005:SMM65009 SBY65005:SCQ65009 RSC65005:RSU65009 RIG65005:RIY65009 QYK65005:QZC65009 QOO65005:QPG65009 QES65005:QFK65009 PUW65005:PVO65009 PLA65005:PLS65009 PBE65005:PBW65009 ORI65005:OSA65009 OHM65005:OIE65009 NXQ65005:NYI65009 NNU65005:NOM65009 NDY65005:NEQ65009 MUC65005:MUU65009 MKG65005:MKY65009 MAK65005:MBC65009 LQO65005:LRG65009 LGS65005:LHK65009 KWW65005:KXO65009 KNA65005:KNS65009 KDE65005:KDW65009 JTI65005:JUA65009 JJM65005:JKE65009 IZQ65005:JAI65009 IPU65005:IQM65009 IFY65005:IGQ65009 HWC65005:HWU65009 HMG65005:HMY65009 HCK65005:HDC65009 GSO65005:GTG65009 GIS65005:GJK65009 FYW65005:FZO65009 FPA65005:FPS65009 FFE65005:FFW65009 EVI65005:EWA65009 ELM65005:EME65009 EBQ65005:ECI65009 DRU65005:DSM65009 DHY65005:DIQ65009 CYC65005:CYU65009 COG65005:COY65009 CEK65005:CFC65009 BUO65005:BVG65009 BKS65005:BLK65009 BAW65005:BBO65009 ARA65005:ARS65009 AHE65005:AHW65009 XI65005:YA65009 NM65005:OE65009 DQ65005:EI65009 WZY18:XAQ21 WQC18:WQU21 WGG18:WGY21 VWK18:VXC21 VMO18:VNG21 VCS18:VDK21 USW18:UTO21 UJA18:UJS21 TZE18:TZW21 TPI18:TQA21 TFM18:TGE21 SVQ18:SWI21 SLU18:SMM21 SBY18:SCQ21 RSC18:RSU21 RIG18:RIY21 QYK18:QZC21 QOO18:QPG21 QES18:QFK21 PUW18:PVO21 PLA18:PLS21 PBE18:PBW21 ORI18:OSA21 OHM18:OIE21 NXQ18:NYI21 NNU18:NOM21 NDY18:NEQ21 MUC18:MUU21 MKG18:MKY21 MAK18:MBC21 LQO18:LRG21 LGS18:LHK21 KWW18:KXO21 KNA18:KNS21 KDE18:KDW21 JTI18:JUA21 JJM18:JKE21 IZQ18:JAI21 IPU18:IQM21 IFY18:IGQ21 HWC18:HWU21 HMG18:HMY21 HCK18:HDC21 GSO18:GTG21 GIS18:GJK21 FYW18:FZO21 FPA18:FPS21 FFE18:FFW21 EVI18:EWA21 ELM18:EME21 EBQ18:ECI21 DRU18:DSM21 DHY18:DIQ21 CYC18:CYU21 COG18:COY21 CEK18:CFC21 BUO18:BVG21 BKS18:BLK21 BAW18:BBO21 ARA18:ARS21 AHE18:AHW21 XI18:YA21 NM18:OE21 DQ18:EI21 WZW982504:XAO982506 WQA982504:WQS982506 WGE982504:WGW982506 VWI982504:VXA982506 VMM982504:VNE982506 VCQ982504:VDI982506 USU982504:UTM982506 UIY982504:UJQ982506 TZC982504:TZU982506 TPG982504:TPY982506 TFK982504:TGC982506 SVO982504:SWG982506 SLS982504:SMK982506 SBW982504:SCO982506 RSA982504:RSS982506 RIE982504:RIW982506 QYI982504:QZA982506 QOM982504:QPE982506 QEQ982504:QFI982506 PUU982504:PVM982506 PKY982504:PLQ982506 PBC982504:PBU982506 ORG982504:ORY982506 OHK982504:OIC982506 NXO982504:NYG982506 NNS982504:NOK982506 NDW982504:NEO982506 MUA982504:MUS982506 MKE982504:MKW982506 MAI982504:MBA982506 LQM982504:LRE982506 LGQ982504:LHI982506 KWU982504:KXM982506 KMY982504:KNQ982506 KDC982504:KDU982506 JTG982504:JTY982506 JJK982504:JKC982506 IZO982504:JAG982506 IPS982504:IQK982506 IFW982504:IGO982506 HWA982504:HWS982506 HME982504:HMW982506 HCI982504:HDA982506 GSM982504:GTE982506 GIQ982504:GJI982506 FYU982504:FZM982506 FOY982504:FPQ982506 FFC982504:FFU982506 EVG982504:EVY982506 ELK982504:EMC982506 EBO982504:ECG982506 DRS982504:DSK982506 DHW982504:DIO982506 CYA982504:CYS982506 COE982504:COW982506 CEI982504:CFA982506 BUM982504:BVE982506 BKQ982504:BLI982506 BAU982504:BBM982506 AQY982504:ARQ982506 AHC982504:AHU982506 XG982504:XY982506 NK982504:OC982506 DO982504:EG982506 WZW916968:XAO916970 WQA916968:WQS916970 WGE916968:WGW916970 VWI916968:VXA916970 VMM916968:VNE916970 VCQ916968:VDI916970 USU916968:UTM916970 UIY916968:UJQ916970 TZC916968:TZU916970 TPG916968:TPY916970 TFK916968:TGC916970 SVO916968:SWG916970 SLS916968:SMK916970 SBW916968:SCO916970 RSA916968:RSS916970 RIE916968:RIW916970 QYI916968:QZA916970 QOM916968:QPE916970 QEQ916968:QFI916970 PUU916968:PVM916970 PKY916968:PLQ916970 PBC916968:PBU916970 ORG916968:ORY916970 OHK916968:OIC916970 NXO916968:NYG916970 NNS916968:NOK916970 NDW916968:NEO916970 MUA916968:MUS916970 MKE916968:MKW916970 MAI916968:MBA916970 LQM916968:LRE916970 LGQ916968:LHI916970 KWU916968:KXM916970 KMY916968:KNQ916970 KDC916968:KDU916970 JTG916968:JTY916970 JJK916968:JKC916970 IZO916968:JAG916970 IPS916968:IQK916970 IFW916968:IGO916970 HWA916968:HWS916970 HME916968:HMW916970 HCI916968:HDA916970 GSM916968:GTE916970 GIQ916968:GJI916970 FYU916968:FZM916970 FOY916968:FPQ916970 FFC916968:FFU916970 EVG916968:EVY916970 ELK916968:EMC916970 EBO916968:ECG916970 DRS916968:DSK916970 DHW916968:DIO916970 CYA916968:CYS916970 COE916968:COW916970 CEI916968:CFA916970 BUM916968:BVE916970 BKQ916968:BLI916970 BAU916968:BBM916970 AQY916968:ARQ916970 AHC916968:AHU916970 XG916968:XY916970 NK916968:OC916970 DO916968:EG916970 WZW851432:XAO851434 WQA851432:WQS851434 WGE851432:WGW851434 VWI851432:VXA851434 VMM851432:VNE851434 VCQ851432:VDI851434 USU851432:UTM851434 UIY851432:UJQ851434 TZC851432:TZU851434 TPG851432:TPY851434 TFK851432:TGC851434 SVO851432:SWG851434 SLS851432:SMK851434 SBW851432:SCO851434 RSA851432:RSS851434 RIE851432:RIW851434 QYI851432:QZA851434 QOM851432:QPE851434 QEQ851432:QFI851434 PUU851432:PVM851434 PKY851432:PLQ851434 PBC851432:PBU851434 ORG851432:ORY851434 OHK851432:OIC851434 NXO851432:NYG851434 NNS851432:NOK851434 NDW851432:NEO851434 MUA851432:MUS851434 MKE851432:MKW851434 MAI851432:MBA851434 LQM851432:LRE851434 LGQ851432:LHI851434 KWU851432:KXM851434 KMY851432:KNQ851434 KDC851432:KDU851434 JTG851432:JTY851434 JJK851432:JKC851434 IZO851432:JAG851434 IPS851432:IQK851434 IFW851432:IGO851434 HWA851432:HWS851434 HME851432:HMW851434 HCI851432:HDA851434 GSM851432:GTE851434 GIQ851432:GJI851434 FYU851432:FZM851434 FOY851432:FPQ851434 FFC851432:FFU851434 EVG851432:EVY851434 ELK851432:EMC851434 EBO851432:ECG851434 DRS851432:DSK851434 DHW851432:DIO851434 CYA851432:CYS851434 COE851432:COW851434 CEI851432:CFA851434 BUM851432:BVE851434 BKQ851432:BLI851434 BAU851432:BBM851434 AQY851432:ARQ851434 AHC851432:AHU851434 XG851432:XY851434 NK851432:OC851434 DO851432:EG851434 WZW785896:XAO785898 WQA785896:WQS785898 WGE785896:WGW785898 VWI785896:VXA785898 VMM785896:VNE785898 VCQ785896:VDI785898 USU785896:UTM785898 UIY785896:UJQ785898 TZC785896:TZU785898 TPG785896:TPY785898 TFK785896:TGC785898 SVO785896:SWG785898 SLS785896:SMK785898 SBW785896:SCO785898 RSA785896:RSS785898 RIE785896:RIW785898 QYI785896:QZA785898 QOM785896:QPE785898 QEQ785896:QFI785898 PUU785896:PVM785898 PKY785896:PLQ785898 PBC785896:PBU785898 ORG785896:ORY785898 OHK785896:OIC785898 NXO785896:NYG785898 NNS785896:NOK785898 NDW785896:NEO785898 MUA785896:MUS785898 MKE785896:MKW785898 MAI785896:MBA785898 LQM785896:LRE785898 LGQ785896:LHI785898 KWU785896:KXM785898 KMY785896:KNQ785898 KDC785896:KDU785898 JTG785896:JTY785898 JJK785896:JKC785898 IZO785896:JAG785898 IPS785896:IQK785898 IFW785896:IGO785898 HWA785896:HWS785898 HME785896:HMW785898 HCI785896:HDA785898 GSM785896:GTE785898 GIQ785896:GJI785898 FYU785896:FZM785898 FOY785896:FPQ785898 FFC785896:FFU785898 EVG785896:EVY785898 ELK785896:EMC785898 EBO785896:ECG785898 DRS785896:DSK785898 DHW785896:DIO785898 CYA785896:CYS785898 COE785896:COW785898 CEI785896:CFA785898 BUM785896:BVE785898 BKQ785896:BLI785898 BAU785896:BBM785898 AQY785896:ARQ785898 AHC785896:AHU785898 XG785896:XY785898 NK785896:OC785898 DO785896:EG785898 WZW720360:XAO720362 WQA720360:WQS720362 WGE720360:WGW720362 VWI720360:VXA720362 VMM720360:VNE720362 VCQ720360:VDI720362 USU720360:UTM720362 UIY720360:UJQ720362 TZC720360:TZU720362 TPG720360:TPY720362 TFK720360:TGC720362 SVO720360:SWG720362 SLS720360:SMK720362 SBW720360:SCO720362 RSA720360:RSS720362 RIE720360:RIW720362 QYI720360:QZA720362 QOM720360:QPE720362 QEQ720360:QFI720362 PUU720360:PVM720362 PKY720360:PLQ720362 PBC720360:PBU720362 ORG720360:ORY720362 OHK720360:OIC720362 NXO720360:NYG720362 NNS720360:NOK720362 NDW720360:NEO720362 MUA720360:MUS720362 MKE720360:MKW720362 MAI720360:MBA720362 LQM720360:LRE720362 LGQ720360:LHI720362 KWU720360:KXM720362 KMY720360:KNQ720362 KDC720360:KDU720362 JTG720360:JTY720362 JJK720360:JKC720362 IZO720360:JAG720362 IPS720360:IQK720362 IFW720360:IGO720362 HWA720360:HWS720362 HME720360:HMW720362 HCI720360:HDA720362 GSM720360:GTE720362 GIQ720360:GJI720362 FYU720360:FZM720362 FOY720360:FPQ720362 FFC720360:FFU720362 EVG720360:EVY720362 ELK720360:EMC720362 EBO720360:ECG720362 DRS720360:DSK720362 DHW720360:DIO720362 CYA720360:CYS720362 COE720360:COW720362 CEI720360:CFA720362 BUM720360:BVE720362 BKQ720360:BLI720362 BAU720360:BBM720362 AQY720360:ARQ720362 AHC720360:AHU720362 XG720360:XY720362 NK720360:OC720362 DO720360:EG720362 WZW654824:XAO654826 WQA654824:WQS654826 WGE654824:WGW654826 VWI654824:VXA654826 VMM654824:VNE654826 VCQ654824:VDI654826 USU654824:UTM654826 UIY654824:UJQ654826 TZC654824:TZU654826 TPG654824:TPY654826 TFK654824:TGC654826 SVO654824:SWG654826 SLS654824:SMK654826 SBW654824:SCO654826 RSA654824:RSS654826 RIE654824:RIW654826 QYI654824:QZA654826 QOM654824:QPE654826 QEQ654824:QFI654826 PUU654824:PVM654826 PKY654824:PLQ654826 PBC654824:PBU654826 ORG654824:ORY654826 OHK654824:OIC654826 NXO654824:NYG654826 NNS654824:NOK654826 NDW654824:NEO654826 MUA654824:MUS654826 MKE654824:MKW654826 MAI654824:MBA654826 LQM654824:LRE654826 LGQ654824:LHI654826 KWU654824:KXM654826 KMY654824:KNQ654826 KDC654824:KDU654826 JTG654824:JTY654826 JJK654824:JKC654826 IZO654824:JAG654826 IPS654824:IQK654826 IFW654824:IGO654826 HWA654824:HWS654826 HME654824:HMW654826 HCI654824:HDA654826 GSM654824:GTE654826 GIQ654824:GJI654826 FYU654824:FZM654826 FOY654824:FPQ654826 FFC654824:FFU654826 EVG654824:EVY654826 ELK654824:EMC654826 EBO654824:ECG654826 DRS654824:DSK654826 DHW654824:DIO654826 CYA654824:CYS654826 COE654824:COW654826 CEI654824:CFA654826 BUM654824:BVE654826 BKQ654824:BLI654826 BAU654824:BBM654826 AQY654824:ARQ654826 AHC654824:AHU654826 XG654824:XY654826 NK654824:OC654826 DO654824:EG654826 WZW589288:XAO589290 WQA589288:WQS589290 WGE589288:WGW589290 VWI589288:VXA589290 VMM589288:VNE589290 VCQ589288:VDI589290 USU589288:UTM589290 UIY589288:UJQ589290 TZC589288:TZU589290 TPG589288:TPY589290 TFK589288:TGC589290 SVO589288:SWG589290 SLS589288:SMK589290 SBW589288:SCO589290 RSA589288:RSS589290 RIE589288:RIW589290 QYI589288:QZA589290 QOM589288:QPE589290 QEQ589288:QFI589290 PUU589288:PVM589290 PKY589288:PLQ589290 PBC589288:PBU589290 ORG589288:ORY589290 OHK589288:OIC589290 NXO589288:NYG589290 NNS589288:NOK589290 NDW589288:NEO589290 MUA589288:MUS589290 MKE589288:MKW589290 MAI589288:MBA589290 LQM589288:LRE589290 LGQ589288:LHI589290 KWU589288:KXM589290 KMY589288:KNQ589290 KDC589288:KDU589290 JTG589288:JTY589290 JJK589288:JKC589290 IZO589288:JAG589290 IPS589288:IQK589290 IFW589288:IGO589290 HWA589288:HWS589290 HME589288:HMW589290 HCI589288:HDA589290 GSM589288:GTE589290 GIQ589288:GJI589290 FYU589288:FZM589290 FOY589288:FPQ589290 FFC589288:FFU589290 EVG589288:EVY589290 ELK589288:EMC589290 EBO589288:ECG589290 DRS589288:DSK589290 DHW589288:DIO589290 CYA589288:CYS589290 COE589288:COW589290 CEI589288:CFA589290 BUM589288:BVE589290 BKQ589288:BLI589290 BAU589288:BBM589290 AQY589288:ARQ589290 AHC589288:AHU589290 XG589288:XY589290 NK589288:OC589290 DO589288:EG589290 WZW523752:XAO523754 WQA523752:WQS523754 WGE523752:WGW523754 VWI523752:VXA523754 VMM523752:VNE523754 VCQ523752:VDI523754 USU523752:UTM523754 UIY523752:UJQ523754 TZC523752:TZU523754 TPG523752:TPY523754 TFK523752:TGC523754 SVO523752:SWG523754 SLS523752:SMK523754 SBW523752:SCO523754 RSA523752:RSS523754 RIE523752:RIW523754 QYI523752:QZA523754 QOM523752:QPE523754 QEQ523752:QFI523754 PUU523752:PVM523754 PKY523752:PLQ523754 PBC523752:PBU523754 ORG523752:ORY523754 OHK523752:OIC523754 NXO523752:NYG523754 NNS523752:NOK523754 NDW523752:NEO523754 MUA523752:MUS523754 MKE523752:MKW523754 MAI523752:MBA523754 LQM523752:LRE523754 LGQ523752:LHI523754 KWU523752:KXM523754 KMY523752:KNQ523754 KDC523752:KDU523754 JTG523752:JTY523754 JJK523752:JKC523754 IZO523752:JAG523754 IPS523752:IQK523754 IFW523752:IGO523754 HWA523752:HWS523754 HME523752:HMW523754 HCI523752:HDA523754 GSM523752:GTE523754 GIQ523752:GJI523754 FYU523752:FZM523754 FOY523752:FPQ523754 FFC523752:FFU523754 EVG523752:EVY523754 ELK523752:EMC523754 EBO523752:ECG523754 DRS523752:DSK523754 DHW523752:DIO523754 CYA523752:CYS523754 COE523752:COW523754 CEI523752:CFA523754 BUM523752:BVE523754 BKQ523752:BLI523754 BAU523752:BBM523754 AQY523752:ARQ523754 AHC523752:AHU523754 XG523752:XY523754 NK523752:OC523754 DO523752:EG523754 WZW458216:XAO458218 WQA458216:WQS458218 WGE458216:WGW458218 VWI458216:VXA458218 VMM458216:VNE458218 VCQ458216:VDI458218 USU458216:UTM458218 UIY458216:UJQ458218 TZC458216:TZU458218 TPG458216:TPY458218 TFK458216:TGC458218 SVO458216:SWG458218 SLS458216:SMK458218 SBW458216:SCO458218 RSA458216:RSS458218 RIE458216:RIW458218 QYI458216:QZA458218 QOM458216:QPE458218 QEQ458216:QFI458218 PUU458216:PVM458218 PKY458216:PLQ458218 PBC458216:PBU458218 ORG458216:ORY458218 OHK458216:OIC458218 NXO458216:NYG458218 NNS458216:NOK458218 NDW458216:NEO458218 MUA458216:MUS458218 MKE458216:MKW458218 MAI458216:MBA458218 LQM458216:LRE458218 LGQ458216:LHI458218 KWU458216:KXM458218 KMY458216:KNQ458218 KDC458216:KDU458218 JTG458216:JTY458218 JJK458216:JKC458218 IZO458216:JAG458218 IPS458216:IQK458218 IFW458216:IGO458218 HWA458216:HWS458218 HME458216:HMW458218 HCI458216:HDA458218 GSM458216:GTE458218 GIQ458216:GJI458218 FYU458216:FZM458218 FOY458216:FPQ458218 FFC458216:FFU458218 EVG458216:EVY458218 ELK458216:EMC458218 EBO458216:ECG458218 DRS458216:DSK458218 DHW458216:DIO458218 CYA458216:CYS458218 COE458216:COW458218 CEI458216:CFA458218 BUM458216:BVE458218 BKQ458216:BLI458218 BAU458216:BBM458218 AQY458216:ARQ458218 AHC458216:AHU458218 XG458216:XY458218 NK458216:OC458218 DO458216:EG458218 WZW392680:XAO392682 WQA392680:WQS392682 WGE392680:WGW392682 VWI392680:VXA392682 VMM392680:VNE392682 VCQ392680:VDI392682 USU392680:UTM392682 UIY392680:UJQ392682 TZC392680:TZU392682 TPG392680:TPY392682 TFK392680:TGC392682 SVO392680:SWG392682 SLS392680:SMK392682 SBW392680:SCO392682 RSA392680:RSS392682 RIE392680:RIW392682 QYI392680:QZA392682 QOM392680:QPE392682 QEQ392680:QFI392682 PUU392680:PVM392682 PKY392680:PLQ392682 PBC392680:PBU392682 ORG392680:ORY392682 OHK392680:OIC392682 NXO392680:NYG392682 NNS392680:NOK392682 NDW392680:NEO392682 MUA392680:MUS392682 MKE392680:MKW392682 MAI392680:MBA392682 LQM392680:LRE392682 LGQ392680:LHI392682 KWU392680:KXM392682 KMY392680:KNQ392682 KDC392680:KDU392682 JTG392680:JTY392682 JJK392680:JKC392682 IZO392680:JAG392682 IPS392680:IQK392682 IFW392680:IGO392682 HWA392680:HWS392682 HME392680:HMW392682 HCI392680:HDA392682 GSM392680:GTE392682 GIQ392680:GJI392682 FYU392680:FZM392682 FOY392680:FPQ392682 FFC392680:FFU392682 EVG392680:EVY392682 ELK392680:EMC392682 EBO392680:ECG392682 DRS392680:DSK392682 DHW392680:DIO392682 CYA392680:CYS392682 COE392680:COW392682 CEI392680:CFA392682 BUM392680:BVE392682 BKQ392680:BLI392682 BAU392680:BBM392682 AQY392680:ARQ392682 AHC392680:AHU392682 XG392680:XY392682 NK392680:OC392682 DO392680:EG392682 WZW327144:XAO327146 WQA327144:WQS327146 WGE327144:WGW327146 VWI327144:VXA327146 VMM327144:VNE327146 VCQ327144:VDI327146 USU327144:UTM327146 UIY327144:UJQ327146 TZC327144:TZU327146 TPG327144:TPY327146 TFK327144:TGC327146 SVO327144:SWG327146 SLS327144:SMK327146 SBW327144:SCO327146 RSA327144:RSS327146 RIE327144:RIW327146 QYI327144:QZA327146 QOM327144:QPE327146 QEQ327144:QFI327146 PUU327144:PVM327146 PKY327144:PLQ327146 PBC327144:PBU327146 ORG327144:ORY327146 OHK327144:OIC327146 NXO327144:NYG327146 NNS327144:NOK327146 NDW327144:NEO327146 MUA327144:MUS327146 MKE327144:MKW327146 MAI327144:MBA327146 LQM327144:LRE327146 LGQ327144:LHI327146 KWU327144:KXM327146 KMY327144:KNQ327146 KDC327144:KDU327146 JTG327144:JTY327146 JJK327144:JKC327146 IZO327144:JAG327146 IPS327144:IQK327146 IFW327144:IGO327146 HWA327144:HWS327146 HME327144:HMW327146 HCI327144:HDA327146 GSM327144:GTE327146 GIQ327144:GJI327146 FYU327144:FZM327146 FOY327144:FPQ327146 FFC327144:FFU327146 EVG327144:EVY327146 ELK327144:EMC327146 EBO327144:ECG327146 DRS327144:DSK327146 DHW327144:DIO327146 CYA327144:CYS327146 COE327144:COW327146 CEI327144:CFA327146 BUM327144:BVE327146 BKQ327144:BLI327146 BAU327144:BBM327146 AQY327144:ARQ327146 AHC327144:AHU327146 XG327144:XY327146 NK327144:OC327146 DO327144:EG327146 WZW261608:XAO261610 WQA261608:WQS261610 WGE261608:WGW261610 VWI261608:VXA261610 VMM261608:VNE261610 VCQ261608:VDI261610 USU261608:UTM261610 UIY261608:UJQ261610 TZC261608:TZU261610 TPG261608:TPY261610 TFK261608:TGC261610 SVO261608:SWG261610 SLS261608:SMK261610 SBW261608:SCO261610 RSA261608:RSS261610 RIE261608:RIW261610 QYI261608:QZA261610 QOM261608:QPE261610 QEQ261608:QFI261610 PUU261608:PVM261610 PKY261608:PLQ261610 PBC261608:PBU261610 ORG261608:ORY261610 OHK261608:OIC261610 NXO261608:NYG261610 NNS261608:NOK261610 NDW261608:NEO261610 MUA261608:MUS261610 MKE261608:MKW261610 MAI261608:MBA261610 LQM261608:LRE261610 LGQ261608:LHI261610 KWU261608:KXM261610 KMY261608:KNQ261610 KDC261608:KDU261610 JTG261608:JTY261610 JJK261608:JKC261610 IZO261608:JAG261610 IPS261608:IQK261610 IFW261608:IGO261610 HWA261608:HWS261610 HME261608:HMW261610 HCI261608:HDA261610 GSM261608:GTE261610 GIQ261608:GJI261610 FYU261608:FZM261610 FOY261608:FPQ261610 FFC261608:FFU261610 EVG261608:EVY261610 ELK261608:EMC261610 EBO261608:ECG261610 DRS261608:DSK261610 DHW261608:DIO261610 CYA261608:CYS261610 COE261608:COW261610 CEI261608:CFA261610 BUM261608:BVE261610 BKQ261608:BLI261610 BAU261608:BBM261610 AQY261608:ARQ261610 AHC261608:AHU261610 XG261608:XY261610 NK261608:OC261610 DO261608:EG261610 WZW196072:XAO196074 WQA196072:WQS196074 WGE196072:WGW196074 VWI196072:VXA196074 VMM196072:VNE196074 VCQ196072:VDI196074 USU196072:UTM196074 UIY196072:UJQ196074 TZC196072:TZU196074 TPG196072:TPY196074 TFK196072:TGC196074 SVO196072:SWG196074 SLS196072:SMK196074 SBW196072:SCO196074 RSA196072:RSS196074 RIE196072:RIW196074 QYI196072:QZA196074 QOM196072:QPE196074 QEQ196072:QFI196074 PUU196072:PVM196074 PKY196072:PLQ196074 PBC196072:PBU196074 ORG196072:ORY196074 OHK196072:OIC196074 NXO196072:NYG196074 NNS196072:NOK196074 NDW196072:NEO196074 MUA196072:MUS196074 MKE196072:MKW196074 MAI196072:MBA196074 LQM196072:LRE196074 LGQ196072:LHI196074 KWU196072:KXM196074 KMY196072:KNQ196074 KDC196072:KDU196074 JTG196072:JTY196074 JJK196072:JKC196074 IZO196072:JAG196074 IPS196072:IQK196074 IFW196072:IGO196074 HWA196072:HWS196074 HME196072:HMW196074 HCI196072:HDA196074 GSM196072:GTE196074 GIQ196072:GJI196074 FYU196072:FZM196074 FOY196072:FPQ196074 FFC196072:FFU196074 EVG196072:EVY196074 ELK196072:EMC196074 EBO196072:ECG196074 DRS196072:DSK196074 DHW196072:DIO196074 CYA196072:CYS196074 COE196072:COW196074 CEI196072:CFA196074 BUM196072:BVE196074 BKQ196072:BLI196074 BAU196072:BBM196074 AQY196072:ARQ196074 AHC196072:AHU196074 XG196072:XY196074 NK196072:OC196074 DO196072:EG196074 WZW130536:XAO130538 WQA130536:WQS130538 WGE130536:WGW130538 VWI130536:VXA130538 VMM130536:VNE130538 VCQ130536:VDI130538 USU130536:UTM130538 UIY130536:UJQ130538 TZC130536:TZU130538 TPG130536:TPY130538 TFK130536:TGC130538 SVO130536:SWG130538 SLS130536:SMK130538 SBW130536:SCO130538 RSA130536:RSS130538 RIE130536:RIW130538 QYI130536:QZA130538 QOM130536:QPE130538 QEQ130536:QFI130538 PUU130536:PVM130538 PKY130536:PLQ130538 PBC130536:PBU130538 ORG130536:ORY130538 OHK130536:OIC130538 NXO130536:NYG130538 NNS130536:NOK130538 NDW130536:NEO130538 MUA130536:MUS130538 MKE130536:MKW130538 MAI130536:MBA130538 LQM130536:LRE130538 LGQ130536:LHI130538 KWU130536:KXM130538 KMY130536:KNQ130538 KDC130536:KDU130538 JTG130536:JTY130538 JJK130536:JKC130538 IZO130536:JAG130538 IPS130536:IQK130538 IFW130536:IGO130538 HWA130536:HWS130538 HME130536:HMW130538 HCI130536:HDA130538 GSM130536:GTE130538 GIQ130536:GJI130538 FYU130536:FZM130538 FOY130536:FPQ130538 FFC130536:FFU130538 EVG130536:EVY130538 ELK130536:EMC130538 EBO130536:ECG130538 DRS130536:DSK130538 DHW130536:DIO130538 CYA130536:CYS130538 COE130536:COW130538 CEI130536:CFA130538 BUM130536:BVE130538 BKQ130536:BLI130538 BAU130536:BBM130538 AQY130536:ARQ130538 AHC130536:AHU130538 XG130536:XY130538 NK130536:OC130538 DO130536:EG130538 WZW65000:XAO65002 WQA65000:WQS65002 WGE65000:WGW65002 VWI65000:VXA65002 VMM65000:VNE65002 VCQ65000:VDI65002 USU65000:UTM65002 UIY65000:UJQ65002 TZC65000:TZU65002 TPG65000:TPY65002 TFK65000:TGC65002 SVO65000:SWG65002 SLS65000:SMK65002 SBW65000:SCO65002 RSA65000:RSS65002 RIE65000:RIW65002 QYI65000:QZA65002 QOM65000:QPE65002 QEQ65000:QFI65002 PUU65000:PVM65002 PKY65000:PLQ65002 PBC65000:PBU65002 ORG65000:ORY65002 OHK65000:OIC65002 NXO65000:NYG65002 NNS65000:NOK65002 NDW65000:NEO65002 MUA65000:MUS65002 MKE65000:MKW65002 MAI65000:MBA65002 LQM65000:LRE65002 LGQ65000:LHI65002 KWU65000:KXM65002 KMY65000:KNQ65002 KDC65000:KDU65002 JTG65000:JTY65002 JJK65000:JKC65002 IZO65000:JAG65002 IPS65000:IQK65002 IFW65000:IGO65002 HWA65000:HWS65002 HME65000:HMW65002 HCI65000:HDA65002 GSM65000:GTE65002 GIQ65000:GJI65002 FYU65000:FZM65002 FOY65000:FPQ65002 FFC65000:FFU65002 EVG65000:EVY65002 ELK65000:EMC65002 EBO65000:ECG65002 DRS65000:DSK65002 DHW65000:DIO65002 CYA65000:CYS65002 COE65000:COW65002 CEI65000:CFA65002 BUM65000:BVE65002 BKQ65000:BLI65002 BAU65000:BBM65002 AQY65000:ARQ65002 AHC65000:AHU65002 XG65000:XY65002 NK65000:OC65002 DO65000:EG65002 WZV982507 WPZ982507 WGD982507 VWH982507 VML982507 VCP982507 UST982507 UIX982507 TZB982507 TPF982507 TFJ982507 SVN982507 SLR982507 SBV982507 RRZ982507 RID982507 QYH982507 QOL982507 QEP982507 PUT982507 PKX982507 PBB982507 ORF982507 OHJ982507 NXN982507 NNR982507 NDV982507 MTZ982507 MKD982507 MAH982507 LQL982507 LGP982507 KWT982507 KMX982507 KDB982507 JTF982507 JJJ982507 IZN982507 IPR982507 IFV982507 HVZ982507 HMD982507 HCH982507 GSL982507 GIP982507 FYT982507 FOX982507 FFB982507 EVF982507 ELJ982507 EBN982507 DRR982507 DHV982507 CXZ982507 COD982507 CEH982507 BUL982507 BKP982507 BAT982507 AQX982507 AHB982507 XF982507 NJ982507 DN982507 WZV916971 WPZ916971 WGD916971 VWH916971 VML916971 VCP916971 UST916971 UIX916971 TZB916971 TPF916971 TFJ916971 SVN916971 SLR916971 SBV916971 RRZ916971 RID916971 QYH916971 QOL916971 QEP916971 PUT916971 PKX916971 PBB916971 ORF916971 OHJ916971 NXN916971 NNR916971 NDV916971 MTZ916971 MKD916971 MAH916971 LQL916971 LGP916971 KWT916971 KMX916971 KDB916971 JTF916971 JJJ916971 IZN916971 IPR916971 IFV916971 HVZ916971 HMD916971 HCH916971 GSL916971 GIP916971 FYT916971 FOX916971 FFB916971 EVF916971 ELJ916971 EBN916971 DRR916971 DHV916971 CXZ916971 COD916971 CEH916971 BUL916971 BKP916971 BAT916971 AQX916971 AHB916971 XF916971 NJ916971 DN916971 WZV851435 WPZ851435 WGD851435 VWH851435 VML851435 VCP851435 UST851435 UIX851435 TZB851435 TPF851435 TFJ851435 SVN851435 SLR851435 SBV851435 RRZ851435 RID851435 QYH851435 QOL851435 QEP851435 PUT851435 PKX851435 PBB851435 ORF851435 OHJ851435 NXN851435 NNR851435 NDV851435 MTZ851435 MKD851435 MAH851435 LQL851435 LGP851435 KWT851435 KMX851435 KDB851435 JTF851435 JJJ851435 IZN851435 IPR851435 IFV851435 HVZ851435 HMD851435 HCH851435 GSL851435 GIP851435 FYT851435 FOX851435 FFB851435 EVF851435 ELJ851435 EBN851435 DRR851435 DHV851435 CXZ851435 COD851435 CEH851435 BUL851435 BKP851435 BAT851435 AQX851435 AHB851435 XF851435 NJ851435 DN851435 WZV785899 WPZ785899 WGD785899 VWH785899 VML785899 VCP785899 UST785899 UIX785899 TZB785899 TPF785899 TFJ785899 SVN785899 SLR785899 SBV785899 RRZ785899 RID785899 QYH785899 QOL785899 QEP785899 PUT785899 PKX785899 PBB785899 ORF785899 OHJ785899 NXN785899 NNR785899 NDV785899 MTZ785899 MKD785899 MAH785899 LQL785899 LGP785899 KWT785899 KMX785899 KDB785899 JTF785899 JJJ785899 IZN785899 IPR785899 IFV785899 HVZ785899 HMD785899 HCH785899 GSL785899 GIP785899 FYT785899 FOX785899 FFB785899 EVF785899 ELJ785899 EBN785899 DRR785899 DHV785899 CXZ785899 COD785899 CEH785899 BUL785899 BKP785899 BAT785899 AQX785899 AHB785899 XF785899 NJ785899 DN785899 WZV720363 WPZ720363 WGD720363 VWH720363 VML720363 VCP720363 UST720363 UIX720363 TZB720363 TPF720363 TFJ720363 SVN720363 SLR720363 SBV720363 RRZ720363 RID720363 QYH720363 QOL720363 QEP720363 PUT720363 PKX720363 PBB720363 ORF720363 OHJ720363 NXN720363 NNR720363 NDV720363 MTZ720363 MKD720363 MAH720363 LQL720363 LGP720363 KWT720363 KMX720363 KDB720363 JTF720363 JJJ720363 IZN720363 IPR720363 IFV720363 HVZ720363 HMD720363 HCH720363 GSL720363 GIP720363 FYT720363 FOX720363 FFB720363 EVF720363 ELJ720363 EBN720363 DRR720363 DHV720363 CXZ720363 COD720363 CEH720363 BUL720363 BKP720363 BAT720363 AQX720363 AHB720363 XF720363 NJ720363 DN720363 WZV654827 WPZ654827 WGD654827 VWH654827 VML654827 VCP654827 UST654827 UIX654827 TZB654827 TPF654827 TFJ654827 SVN654827 SLR654827 SBV654827 RRZ654827 RID654827 QYH654827 QOL654827 QEP654827 PUT654827 PKX654827 PBB654827 ORF654827 OHJ654827 NXN654827 NNR654827 NDV654827 MTZ654827 MKD654827 MAH654827 LQL654827 LGP654827 KWT654827 KMX654827 KDB654827 JTF654827 JJJ654827 IZN654827 IPR654827 IFV654827 HVZ654827 HMD654827 HCH654827 GSL654827 GIP654827 FYT654827 FOX654827 FFB654827 EVF654827 ELJ654827 EBN654827 DRR654827 DHV654827 CXZ654827 COD654827 CEH654827 BUL654827 BKP654827 BAT654827 AQX654827 AHB654827 XF654827 NJ654827 DN654827 WZV589291 WPZ589291 WGD589291 VWH589291 VML589291 VCP589291 UST589291 UIX589291 TZB589291 TPF589291 TFJ589291 SVN589291 SLR589291 SBV589291 RRZ589291 RID589291 QYH589291 QOL589291 QEP589291 PUT589291 PKX589291 PBB589291 ORF589291 OHJ589291 NXN589291 NNR589291 NDV589291 MTZ589291 MKD589291 MAH589291 LQL589291 LGP589291 KWT589291 KMX589291 KDB589291 JTF589291 JJJ589291 IZN589291 IPR589291 IFV589291 HVZ589291 HMD589291 HCH589291 GSL589291 GIP589291 FYT589291 FOX589291 FFB589291 EVF589291 ELJ589291 EBN589291 DRR589291 DHV589291 CXZ589291 COD589291 CEH589291 BUL589291 BKP589291 BAT589291 AQX589291 AHB589291 XF589291 NJ589291 DN589291 WZV523755 WPZ523755 WGD523755 VWH523755 VML523755 VCP523755 UST523755 UIX523755 TZB523755 TPF523755 TFJ523755 SVN523755 SLR523755 SBV523755 RRZ523755 RID523755 QYH523755 QOL523755 QEP523755 PUT523755 PKX523755 PBB523755 ORF523755 OHJ523755 NXN523755 NNR523755 NDV523755 MTZ523755 MKD523755 MAH523755 LQL523755 LGP523755 KWT523755 KMX523755 KDB523755 JTF523755 JJJ523755 IZN523755 IPR523755 IFV523755 HVZ523755 HMD523755 HCH523755 GSL523755 GIP523755 FYT523755 FOX523755 FFB523755 EVF523755 ELJ523755 EBN523755 DRR523755 DHV523755 CXZ523755 COD523755 CEH523755 BUL523755 BKP523755 BAT523755 AQX523755 AHB523755 XF523755 NJ523755 DN523755 WZV458219 WPZ458219 WGD458219 VWH458219 VML458219 VCP458219 UST458219 UIX458219 TZB458219 TPF458219 TFJ458219 SVN458219 SLR458219 SBV458219 RRZ458219 RID458219 QYH458219 QOL458219 QEP458219 PUT458219 PKX458219 PBB458219 ORF458219 OHJ458219 NXN458219 NNR458219 NDV458219 MTZ458219 MKD458219 MAH458219 LQL458219 LGP458219 KWT458219 KMX458219 KDB458219 JTF458219 JJJ458219 IZN458219 IPR458219 IFV458219 HVZ458219 HMD458219 HCH458219 GSL458219 GIP458219 FYT458219 FOX458219 FFB458219 EVF458219 ELJ458219 EBN458219 DRR458219 DHV458219 CXZ458219 COD458219 CEH458219 BUL458219 BKP458219 BAT458219 AQX458219 AHB458219 XF458219 NJ458219 DN458219 WZV392683 WPZ392683 WGD392683 VWH392683 VML392683 VCP392683 UST392683 UIX392683 TZB392683 TPF392683 TFJ392683 SVN392683 SLR392683 SBV392683 RRZ392683 RID392683 QYH392683 QOL392683 QEP392683 PUT392683 PKX392683 PBB392683 ORF392683 OHJ392683 NXN392683 NNR392683 NDV392683 MTZ392683 MKD392683 MAH392683 LQL392683 LGP392683 KWT392683 KMX392683 KDB392683 JTF392683 JJJ392683 IZN392683 IPR392683 IFV392683 HVZ392683 HMD392683 HCH392683 GSL392683 GIP392683 FYT392683 FOX392683 FFB392683 EVF392683 ELJ392683 EBN392683 DRR392683 DHV392683 CXZ392683 COD392683 CEH392683 BUL392683 BKP392683 BAT392683 AQX392683 AHB392683 XF392683 NJ392683 DN392683 WZV327147 WPZ327147 WGD327147 VWH327147 VML327147 VCP327147 UST327147 UIX327147 TZB327147 TPF327147 TFJ327147 SVN327147 SLR327147 SBV327147 RRZ327147 RID327147 QYH327147 QOL327147 QEP327147 PUT327147 PKX327147 PBB327147 ORF327147 OHJ327147 NXN327147 NNR327147 NDV327147 MTZ327147 MKD327147 MAH327147 LQL327147 LGP327147 KWT327147 KMX327147 KDB327147 JTF327147 JJJ327147 IZN327147 IPR327147 IFV327147 HVZ327147 HMD327147 HCH327147 GSL327147 GIP327147 FYT327147 FOX327147 FFB327147 EVF327147 ELJ327147 EBN327147 DRR327147 DHV327147 CXZ327147 COD327147 CEH327147 BUL327147 BKP327147 BAT327147 AQX327147 AHB327147 XF327147 NJ327147 DN327147 WZV261611 WPZ261611 WGD261611 VWH261611 VML261611 VCP261611 UST261611 UIX261611 TZB261611 TPF261611 TFJ261611 SVN261611 SLR261611 SBV261611 RRZ261611 RID261611 QYH261611 QOL261611 QEP261611 PUT261611 PKX261611 PBB261611 ORF261611 OHJ261611 NXN261611 NNR261611 NDV261611 MTZ261611 MKD261611 MAH261611 LQL261611 LGP261611 KWT261611 KMX261611 KDB261611 JTF261611 JJJ261611 IZN261611 IPR261611 IFV261611 HVZ261611 HMD261611 HCH261611 GSL261611 GIP261611 FYT261611 FOX261611 FFB261611 EVF261611 ELJ261611 EBN261611 DRR261611 DHV261611 CXZ261611 COD261611 CEH261611 BUL261611 BKP261611 BAT261611 AQX261611 AHB261611 XF261611 NJ261611 DN261611 WZV196075 WPZ196075 WGD196075 VWH196075 VML196075 VCP196075 UST196075 UIX196075 TZB196075 TPF196075 TFJ196075 SVN196075 SLR196075 SBV196075 RRZ196075 RID196075 QYH196075 QOL196075 QEP196075 PUT196075 PKX196075 PBB196075 ORF196075 OHJ196075 NXN196075 NNR196075 NDV196075 MTZ196075 MKD196075 MAH196075 LQL196075 LGP196075 KWT196075 KMX196075 KDB196075 JTF196075 JJJ196075 IZN196075 IPR196075 IFV196075 HVZ196075 HMD196075 HCH196075 GSL196075 GIP196075 FYT196075 FOX196075 FFB196075 EVF196075 ELJ196075 EBN196075 DRR196075 DHV196075 CXZ196075 COD196075 CEH196075 BUL196075 BKP196075 BAT196075 AQX196075 AHB196075 XF196075 NJ196075 DN196075 WZV130539 WPZ130539 WGD130539 VWH130539 VML130539 VCP130539 UST130539 UIX130539 TZB130539 TPF130539 TFJ130539 SVN130539 SLR130539 SBV130539 RRZ130539 RID130539 QYH130539 QOL130539 QEP130539 PUT130539 PKX130539 PBB130539 ORF130539 OHJ130539 NXN130539 NNR130539 NDV130539 MTZ130539 MKD130539 MAH130539 LQL130539 LGP130539 KWT130539 KMX130539 KDB130539 JTF130539 JJJ130539 IZN130539 IPR130539 IFV130539 HVZ130539 HMD130539 HCH130539 GSL130539 GIP130539 FYT130539 FOX130539 FFB130539 EVF130539 ELJ130539 EBN130539 DRR130539 DHV130539 CXZ130539 COD130539 CEH130539 BUL130539 BKP130539 BAT130539 AQX130539 AHB130539 XF130539 NJ130539 DN130539 WZV65003 WPZ65003 WGD65003 VWH65003 VML65003 VCP65003 UST65003 UIX65003 TZB65003 TPF65003 TFJ65003 SVN65003 SLR65003 SBV65003 RRZ65003 RID65003 QYH65003 QOL65003 QEP65003 PUT65003 PKX65003 PBB65003 ORF65003 OHJ65003 NXN65003 NNR65003 NDV65003 MTZ65003 MKD65003 MAH65003 LQL65003 LGP65003 KWT65003 KMX65003 KDB65003 JTF65003 JJJ65003 IZN65003 IPR65003 IFV65003 HVZ65003 HMD65003 HCH65003 GSL65003 GIP65003 FYT65003 FOX65003 FFB65003 EVF65003 ELJ65003 EBN65003 DRR65003 DHV65003 CXZ65003 COD65003 CEH65003 BUL65003 BKP65003 BAT65003 AQX65003 AHB65003 XF65003 NJ65003 DN65003 WZV982503 WPZ982503 WGD982503 VWH982503 VML982503 VCP982503 UST982503 UIX982503 TZB982503 TPF982503 TFJ982503 SVN982503 SLR982503 SBV982503 RRZ982503 RID982503 QYH982503 QOL982503 QEP982503 PUT982503 PKX982503 PBB982503 ORF982503 OHJ982503 NXN982503 NNR982503 NDV982503 MTZ982503 MKD982503 MAH982503 LQL982503 LGP982503 KWT982503 KMX982503 KDB982503 JTF982503 JJJ982503 IZN982503 IPR982503 IFV982503 HVZ982503 HMD982503 HCH982503 GSL982503 GIP982503 FYT982503 FOX982503 FFB982503 EVF982503 ELJ982503 EBN982503 DRR982503 DHV982503 CXZ982503 COD982503 CEH982503 BUL982503 BKP982503 BAT982503 AQX982503 AHB982503 XF982503 NJ982503 DN982503 WZV916967 WPZ916967 WGD916967 VWH916967 VML916967 VCP916967 UST916967 UIX916967 TZB916967 TPF916967 TFJ916967 SVN916967 SLR916967 SBV916967 RRZ916967 RID916967 QYH916967 QOL916967 QEP916967 PUT916967 PKX916967 PBB916967 ORF916967 OHJ916967 NXN916967 NNR916967 NDV916967 MTZ916967 MKD916967 MAH916967 LQL916967 LGP916967 KWT916967 KMX916967 KDB916967 JTF916967 JJJ916967 IZN916967 IPR916967 IFV916967 HVZ916967 HMD916967 HCH916967 GSL916967 GIP916967 FYT916967 FOX916967 FFB916967 EVF916967 ELJ916967 EBN916967 DRR916967 DHV916967 CXZ916967 COD916967 CEH916967 BUL916967 BKP916967 BAT916967 AQX916967 AHB916967 XF916967 NJ916967 DN916967 WZV851431 WPZ851431 WGD851431 VWH851431 VML851431 VCP851431 UST851431 UIX851431 TZB851431 TPF851431 TFJ851431 SVN851431 SLR851431 SBV851431 RRZ851431 RID851431 QYH851431 QOL851431 QEP851431 PUT851431 PKX851431 PBB851431 ORF851431 OHJ851431 NXN851431 NNR851431 NDV851431 MTZ851431 MKD851431 MAH851431 LQL851431 LGP851431 KWT851431 KMX851431 KDB851431 JTF851431 JJJ851431 IZN851431 IPR851431 IFV851431 HVZ851431 HMD851431 HCH851431 GSL851431 GIP851431 FYT851431 FOX851431 FFB851431 EVF851431 ELJ851431 EBN851431 DRR851431 DHV851431 CXZ851431 COD851431 CEH851431 BUL851431 BKP851431 BAT851431 AQX851431 AHB851431 XF851431 NJ851431 DN851431 WZV785895 WPZ785895 WGD785895 VWH785895 VML785895 VCP785895 UST785895 UIX785895 TZB785895 TPF785895 TFJ785895 SVN785895 SLR785895 SBV785895 RRZ785895 RID785895 QYH785895 QOL785895 QEP785895 PUT785895 PKX785895 PBB785895 ORF785895 OHJ785895 NXN785895 NNR785895 NDV785895 MTZ785895 MKD785895 MAH785895 LQL785895 LGP785895 KWT785895 KMX785895 KDB785895 JTF785895 JJJ785895 IZN785895 IPR785895 IFV785895 HVZ785895 HMD785895 HCH785895 GSL785895 GIP785895 FYT785895 FOX785895 FFB785895 EVF785895 ELJ785895 EBN785895 DRR785895 DHV785895 CXZ785895 COD785895 CEH785895 BUL785895 BKP785895 BAT785895 AQX785895 AHB785895 XF785895 NJ785895 DN785895 WZV720359 WPZ720359 WGD720359 VWH720359 VML720359 VCP720359 UST720359 UIX720359 TZB720359 TPF720359 TFJ720359 SVN720359 SLR720359 SBV720359 RRZ720359 RID720359 QYH720359 QOL720359 QEP720359 PUT720359 PKX720359 PBB720359 ORF720359 OHJ720359 NXN720359 NNR720359 NDV720359 MTZ720359 MKD720359 MAH720359 LQL720359 LGP720359 KWT720359 KMX720359 KDB720359 JTF720359 JJJ720359 IZN720359 IPR720359 IFV720359 HVZ720359 HMD720359 HCH720359 GSL720359 GIP720359 FYT720359 FOX720359 FFB720359 EVF720359 ELJ720359 EBN720359 DRR720359 DHV720359 CXZ720359 COD720359 CEH720359 BUL720359 BKP720359 BAT720359 AQX720359 AHB720359 XF720359 NJ720359 DN720359 WZV654823 WPZ654823 WGD654823 VWH654823 VML654823 VCP654823 UST654823 UIX654823 TZB654823 TPF654823 TFJ654823 SVN654823 SLR654823 SBV654823 RRZ654823 RID654823 QYH654823 QOL654823 QEP654823 PUT654823 PKX654823 PBB654823 ORF654823 OHJ654823 NXN654823 NNR654823 NDV654823 MTZ654823 MKD654823 MAH654823 LQL654823 LGP654823 KWT654823 KMX654823 KDB654823 JTF654823 JJJ654823 IZN654823 IPR654823 IFV654823 HVZ654823 HMD654823 HCH654823 GSL654823 GIP654823 FYT654823 FOX654823 FFB654823 EVF654823 ELJ654823 EBN654823 DRR654823 DHV654823 CXZ654823 COD654823 CEH654823 BUL654823 BKP654823 BAT654823 AQX654823 AHB654823 XF654823 NJ654823 DN654823 WZV589287 WPZ589287 WGD589287 VWH589287 VML589287 VCP589287 UST589287 UIX589287 TZB589287 TPF589287 TFJ589287 SVN589287 SLR589287 SBV589287 RRZ589287 RID589287 QYH589287 QOL589287 QEP589287 PUT589287 PKX589287 PBB589287 ORF589287 OHJ589287 NXN589287 NNR589287 NDV589287 MTZ589287 MKD589287 MAH589287 LQL589287 LGP589287 KWT589287 KMX589287 KDB589287 JTF589287 JJJ589287 IZN589287 IPR589287 IFV589287 HVZ589287 HMD589287 HCH589287 GSL589287 GIP589287 FYT589287 FOX589287 FFB589287 EVF589287 ELJ589287 EBN589287 DRR589287 DHV589287 CXZ589287 COD589287 CEH589287 BUL589287 BKP589287 BAT589287 AQX589287 AHB589287 XF589287 NJ589287 DN589287 WZV523751 WPZ523751 WGD523751 VWH523751 VML523751 VCP523751 UST523751 UIX523751 TZB523751 TPF523751 TFJ523751 SVN523751 SLR523751 SBV523751 RRZ523751 RID523751 QYH523751 QOL523751 QEP523751 PUT523751 PKX523751 PBB523751 ORF523751 OHJ523751 NXN523751 NNR523751 NDV523751 MTZ523751 MKD523751 MAH523751 LQL523751 LGP523751 KWT523751 KMX523751 KDB523751 JTF523751 JJJ523751 IZN523751 IPR523751 IFV523751 HVZ523751 HMD523751 HCH523751 GSL523751 GIP523751 FYT523751 FOX523751 FFB523751 EVF523751 ELJ523751 EBN523751 DRR523751 DHV523751 CXZ523751 COD523751 CEH523751 BUL523751 BKP523751 BAT523751 AQX523751 AHB523751 XF523751 NJ523751 DN523751 WZV458215 WPZ458215 WGD458215 VWH458215 VML458215 VCP458215 UST458215 UIX458215 TZB458215 TPF458215 TFJ458215 SVN458215 SLR458215 SBV458215 RRZ458215 RID458215 QYH458215 QOL458215 QEP458215 PUT458215 PKX458215 PBB458215 ORF458215 OHJ458215 NXN458215 NNR458215 NDV458215 MTZ458215 MKD458215 MAH458215 LQL458215 LGP458215 KWT458215 KMX458215 KDB458215 JTF458215 JJJ458215 IZN458215 IPR458215 IFV458215 HVZ458215 HMD458215 HCH458215 GSL458215 GIP458215 FYT458215 FOX458215 FFB458215 EVF458215 ELJ458215 EBN458215 DRR458215 DHV458215 CXZ458215 COD458215 CEH458215 BUL458215 BKP458215 BAT458215 AQX458215 AHB458215 XF458215 NJ458215 DN458215 WZV392679 WPZ392679 WGD392679 VWH392679 VML392679 VCP392679 UST392679 UIX392679 TZB392679 TPF392679 TFJ392679 SVN392679 SLR392679 SBV392679 RRZ392679 RID392679 QYH392679 QOL392679 QEP392679 PUT392679 PKX392679 PBB392679 ORF392679 OHJ392679 NXN392679 NNR392679 NDV392679 MTZ392679 MKD392679 MAH392679 LQL392679 LGP392679 KWT392679 KMX392679 KDB392679 JTF392679 JJJ392679 IZN392679 IPR392679 IFV392679 HVZ392679 HMD392679 HCH392679 GSL392679 GIP392679 FYT392679 FOX392679 FFB392679 EVF392679 ELJ392679 EBN392679 DRR392679 DHV392679 CXZ392679 COD392679 CEH392679 BUL392679 BKP392679 BAT392679 AQX392679 AHB392679 XF392679 NJ392679 DN392679 WZV327143 WPZ327143 WGD327143 VWH327143 VML327143 VCP327143 UST327143 UIX327143 TZB327143 TPF327143 TFJ327143 SVN327143 SLR327143 SBV327143 RRZ327143 RID327143 QYH327143 QOL327143 QEP327143 PUT327143 PKX327143 PBB327143 ORF327143 OHJ327143 NXN327143 NNR327143 NDV327143 MTZ327143 MKD327143 MAH327143 LQL327143 LGP327143 KWT327143 KMX327143 KDB327143 JTF327143 JJJ327143 IZN327143 IPR327143 IFV327143 HVZ327143 HMD327143 HCH327143 GSL327143 GIP327143 FYT327143 FOX327143 FFB327143 EVF327143 ELJ327143 EBN327143 DRR327143 DHV327143 CXZ327143 COD327143 CEH327143 BUL327143 BKP327143 BAT327143 AQX327143 AHB327143 XF327143 NJ327143 DN327143 WZV261607 WPZ261607 WGD261607 VWH261607 VML261607 VCP261607 UST261607 UIX261607 TZB261607 TPF261607 TFJ261607 SVN261607 SLR261607 SBV261607 RRZ261607 RID261607 QYH261607 QOL261607 QEP261607 PUT261607 PKX261607 PBB261607 ORF261607 OHJ261607 NXN261607 NNR261607 NDV261607 MTZ261607 MKD261607 MAH261607 LQL261607 LGP261607 KWT261607 KMX261607 KDB261607 JTF261607 JJJ261607 IZN261607 IPR261607 IFV261607 HVZ261607 HMD261607 HCH261607 GSL261607 GIP261607 FYT261607 FOX261607 FFB261607 EVF261607 ELJ261607 EBN261607 DRR261607 DHV261607 CXZ261607 COD261607 CEH261607 BUL261607 BKP261607 BAT261607 AQX261607 AHB261607 XF261607 NJ261607 DN261607 WZV196071 WPZ196071 WGD196071 VWH196071 VML196071 VCP196071 UST196071 UIX196071 TZB196071 TPF196071 TFJ196071 SVN196071 SLR196071 SBV196071 RRZ196071 RID196071 QYH196071 QOL196071 QEP196071 PUT196071 PKX196071 PBB196071 ORF196071 OHJ196071 NXN196071 NNR196071 NDV196071 MTZ196071 MKD196071 MAH196071 LQL196071 LGP196071 KWT196071 KMX196071 KDB196071 JTF196071 JJJ196071 IZN196071 IPR196071 IFV196071 HVZ196071 HMD196071 HCH196071 GSL196071 GIP196071 FYT196071 FOX196071 FFB196071 EVF196071 ELJ196071 EBN196071 DRR196071 DHV196071 CXZ196071 COD196071 CEH196071 BUL196071 BKP196071 BAT196071 AQX196071 AHB196071 XF196071 NJ196071 DN196071 WZV130535 WPZ130535 WGD130535 VWH130535 VML130535 VCP130535 UST130535 UIX130535 TZB130535 TPF130535 TFJ130535 SVN130535 SLR130535 SBV130535 RRZ130535 RID130535 QYH130535 QOL130535 QEP130535 PUT130535 PKX130535 PBB130535 ORF130535 OHJ130535 NXN130535 NNR130535 NDV130535 MTZ130535 MKD130535 MAH130535 LQL130535 LGP130535 KWT130535 KMX130535 KDB130535 JTF130535 JJJ130535 IZN130535 IPR130535 IFV130535 HVZ130535 HMD130535 HCH130535 GSL130535 GIP130535 FYT130535 FOX130535 FFB130535 EVF130535 ELJ130535 EBN130535 DRR130535 DHV130535 CXZ130535 COD130535 CEH130535 BUL130535 BKP130535 BAT130535 AQX130535 AHB130535 XF130535 NJ130535 DN130535 WZV64999 WPZ64999 WGD64999 VWH64999 VML64999 VCP64999 UST64999 UIX64999 TZB64999 TPF64999 TFJ64999 SVN64999 SLR64999 SBV64999 RRZ64999 RID64999 QYH64999 QOL64999 QEP64999 PUT64999 PKX64999 PBB64999 ORF64999 OHJ64999 NXN64999 NNR64999 NDV64999 MTZ64999 MKD64999 MAH64999 LQL64999 LGP64999 KWT64999 KMX64999 KDB64999 JTF64999 JJJ64999 IZN64999 IPR64999 IFV64999 HVZ64999 HMD64999 HCH64999 GSL64999 GIP64999 FYT64999 FOX64999 FFB64999 EVF64999 ELJ64999 EBN64999 DRR64999 DHV64999 CXZ64999 COD64999 CEH64999 BUL64999 BKP64999 BAT64999 AQX64999 AHB64999 XF64999 NJ64999 DN64999 XAO982501 WQS982501 WGW982501 VXA982501 VNE982501 VDI982501 UTM982501 UJQ982501 TZU982501 TPY982501 TGC982501 SWG982501 SMK982501 SCO982501 RSS982501 RIW982501 QZA982501 QPE982501 QFI982501 PVM982501 PLQ982501 PBU982501 ORY982501 OIC982501 NYG982501 NOK982501 NEO982501 MUS982501 MKW982501 MBA982501 LRE982501 LHI982501 KXM982501 KNQ982501 KDU982501 JTY982501 JKC982501 JAG982501 IQK982501 IGO982501 HWS982501 HMW982501 HDA982501 GTE982501 GJI982501 FZM982501 FPQ982501 FFU982501 EVY982501 EMC982501 ECG982501 DSK982501 DIO982501 CYS982501 COW982501 CFA982501 BVE982501 BLI982501 BBM982501 ARQ982501 AHU982501 XY982501 OC982501 EG982501 XAO916965 WQS916965 WGW916965 VXA916965 VNE916965 VDI916965 UTM916965 UJQ916965 TZU916965 TPY916965 TGC916965 SWG916965 SMK916965 SCO916965 RSS916965 RIW916965 QZA916965 QPE916965 QFI916965 PVM916965 PLQ916965 PBU916965 ORY916965 OIC916965 NYG916965 NOK916965 NEO916965 MUS916965 MKW916965 MBA916965 LRE916965 LHI916965 KXM916965 KNQ916965 KDU916965 JTY916965 JKC916965 JAG916965 IQK916965 IGO916965 HWS916965 HMW916965 HDA916965 GTE916965 GJI916965 FZM916965 FPQ916965 FFU916965 EVY916965 EMC916965 ECG916965 DSK916965 DIO916965 CYS916965 COW916965 CFA916965 BVE916965 BLI916965 BBM916965 ARQ916965 AHU916965 XY916965 OC916965 EG916965 XAO851429 WQS851429 WGW851429 VXA851429 VNE851429 VDI851429 UTM851429 UJQ851429 TZU851429 TPY851429 TGC851429 SWG851429 SMK851429 SCO851429 RSS851429 RIW851429 QZA851429 QPE851429 QFI851429 PVM851429 PLQ851429 PBU851429 ORY851429 OIC851429 NYG851429 NOK851429 NEO851429 MUS851429 MKW851429 MBA851429 LRE851429 LHI851429 KXM851429 KNQ851429 KDU851429 JTY851429 JKC851429 JAG851429 IQK851429 IGO851429 HWS851429 HMW851429 HDA851429 GTE851429 GJI851429 FZM851429 FPQ851429 FFU851429 EVY851429 EMC851429 ECG851429 DSK851429 DIO851429 CYS851429 COW851429 CFA851429 BVE851429 BLI851429 BBM851429 ARQ851429 AHU851429 XY851429 OC851429 EG851429 XAO785893 WQS785893 WGW785893 VXA785893 VNE785893 VDI785893 UTM785893 UJQ785893 TZU785893 TPY785893 TGC785893 SWG785893 SMK785893 SCO785893 RSS785893 RIW785893 QZA785893 QPE785893 QFI785893 PVM785893 PLQ785893 PBU785893 ORY785893 OIC785893 NYG785893 NOK785893 NEO785893 MUS785893 MKW785893 MBA785893 LRE785893 LHI785893 KXM785893 KNQ785893 KDU785893 JTY785893 JKC785893 JAG785893 IQK785893 IGO785893 HWS785893 HMW785893 HDA785893 GTE785893 GJI785893 FZM785893 FPQ785893 FFU785893 EVY785893 EMC785893 ECG785893 DSK785893 DIO785893 CYS785893 COW785893 CFA785893 BVE785893 BLI785893 BBM785893 ARQ785893 AHU785893 XY785893 OC785893 EG785893 XAO720357 WQS720357 WGW720357 VXA720357 VNE720357 VDI720357 UTM720357 UJQ720357 TZU720357 TPY720357 TGC720357 SWG720357 SMK720357 SCO720357 RSS720357 RIW720357 QZA720357 QPE720357 QFI720357 PVM720357 PLQ720357 PBU720357 ORY720357 OIC720357 NYG720357 NOK720357 NEO720357 MUS720357 MKW720357 MBA720357 LRE720357 LHI720357 KXM720357 KNQ720357 KDU720357 JTY720357 JKC720357 JAG720357 IQK720357 IGO720357 HWS720357 HMW720357 HDA720357 GTE720357 GJI720357 FZM720357 FPQ720357 FFU720357 EVY720357 EMC720357 ECG720357 DSK720357 DIO720357 CYS720357 COW720357 CFA720357 BVE720357 BLI720357 BBM720357 ARQ720357 AHU720357 XY720357 OC720357 EG720357 XAO654821 WQS654821 WGW654821 VXA654821 VNE654821 VDI654821 UTM654821 UJQ654821 TZU654821 TPY654821 TGC654821 SWG654821 SMK654821 SCO654821 RSS654821 RIW654821 QZA654821 QPE654821 QFI654821 PVM654821 PLQ654821 PBU654821 ORY654821 OIC654821 NYG654821 NOK654821 NEO654821 MUS654821 MKW654821 MBA654821 LRE654821 LHI654821 KXM654821 KNQ654821 KDU654821 JTY654821 JKC654821 JAG654821 IQK654821 IGO654821 HWS654821 HMW654821 HDA654821 GTE654821 GJI654821 FZM654821 FPQ654821 FFU654821 EVY654821 EMC654821 ECG654821 DSK654821 DIO654821 CYS654821 COW654821 CFA654821 BVE654821 BLI654821 BBM654821 ARQ654821 AHU654821 XY654821 OC654821 EG654821 XAO589285 WQS589285 WGW589285 VXA589285 VNE589285 VDI589285 UTM589285 UJQ589285 TZU589285 TPY589285 TGC589285 SWG589285 SMK589285 SCO589285 RSS589285 RIW589285 QZA589285 QPE589285 QFI589285 PVM589285 PLQ589285 PBU589285 ORY589285 OIC589285 NYG589285 NOK589285 NEO589285 MUS589285 MKW589285 MBA589285 LRE589285 LHI589285 KXM589285 KNQ589285 KDU589285 JTY589285 JKC589285 JAG589285 IQK589285 IGO589285 HWS589285 HMW589285 HDA589285 GTE589285 GJI589285 FZM589285 FPQ589285 FFU589285 EVY589285 EMC589285 ECG589285 DSK589285 DIO589285 CYS589285 COW589285 CFA589285 BVE589285 BLI589285 BBM589285 ARQ589285 AHU589285 XY589285 OC589285 EG589285 XAO523749 WQS523749 WGW523749 VXA523749 VNE523749 VDI523749 UTM523749 UJQ523749 TZU523749 TPY523749 TGC523749 SWG523749 SMK523749 SCO523749 RSS523749 RIW523749 QZA523749 QPE523749 QFI523749 PVM523749 PLQ523749 PBU523749 ORY523749 OIC523749 NYG523749 NOK523749 NEO523749 MUS523749 MKW523749 MBA523749 LRE523749 LHI523749 KXM523749 KNQ523749 KDU523749 JTY523749 JKC523749 JAG523749 IQK523749 IGO523749 HWS523749 HMW523749 HDA523749 GTE523749 GJI523749 FZM523749 FPQ523749 FFU523749 EVY523749 EMC523749 ECG523749 DSK523749 DIO523749 CYS523749 COW523749 CFA523749 BVE523749 BLI523749 BBM523749 ARQ523749 AHU523749 XY523749 OC523749 EG523749 XAO458213 WQS458213 WGW458213 VXA458213 VNE458213 VDI458213 UTM458213 UJQ458213 TZU458213 TPY458213 TGC458213 SWG458213 SMK458213 SCO458213 RSS458213 RIW458213 QZA458213 QPE458213 QFI458213 PVM458213 PLQ458213 PBU458213 ORY458213 OIC458213 NYG458213 NOK458213 NEO458213 MUS458213 MKW458213 MBA458213 LRE458213 LHI458213 KXM458213 KNQ458213 KDU458213 JTY458213 JKC458213 JAG458213 IQK458213 IGO458213 HWS458213 HMW458213 HDA458213 GTE458213 GJI458213 FZM458213 FPQ458213 FFU458213 EVY458213 EMC458213 ECG458213 DSK458213 DIO458213 CYS458213 COW458213 CFA458213 BVE458213 BLI458213 BBM458213 ARQ458213 AHU458213 XY458213 OC458213 EG458213 XAO392677 WQS392677 WGW392677 VXA392677 VNE392677 VDI392677 UTM392677 UJQ392677 TZU392677 TPY392677 TGC392677 SWG392677 SMK392677 SCO392677 RSS392677 RIW392677 QZA392677 QPE392677 QFI392677 PVM392677 PLQ392677 PBU392677 ORY392677 OIC392677 NYG392677 NOK392677 NEO392677 MUS392677 MKW392677 MBA392677 LRE392677 LHI392677 KXM392677 KNQ392677 KDU392677 JTY392677 JKC392677 JAG392677 IQK392677 IGO392677 HWS392677 HMW392677 HDA392677 GTE392677 GJI392677 FZM392677 FPQ392677 FFU392677 EVY392677 EMC392677 ECG392677 DSK392677 DIO392677 CYS392677 COW392677 CFA392677 BVE392677 BLI392677 BBM392677 ARQ392677 AHU392677 XY392677 OC392677 EG392677 XAO327141 WQS327141 WGW327141 VXA327141 VNE327141 VDI327141 UTM327141 UJQ327141 TZU327141 TPY327141 TGC327141 SWG327141 SMK327141 SCO327141 RSS327141 RIW327141 QZA327141 QPE327141 QFI327141 PVM327141 PLQ327141 PBU327141 ORY327141 OIC327141 NYG327141 NOK327141 NEO327141 MUS327141 MKW327141 MBA327141 LRE327141 LHI327141 KXM327141 KNQ327141 KDU327141 JTY327141 JKC327141 JAG327141 IQK327141 IGO327141 HWS327141 HMW327141 HDA327141 GTE327141 GJI327141 FZM327141 FPQ327141 FFU327141 EVY327141 EMC327141 ECG327141 DSK327141 DIO327141 CYS327141 COW327141 CFA327141 BVE327141 BLI327141 BBM327141 ARQ327141 AHU327141 XY327141 OC327141 EG327141 XAO261605 WQS261605 WGW261605 VXA261605 VNE261605 VDI261605 UTM261605 UJQ261605 TZU261605 TPY261605 TGC261605 SWG261605 SMK261605 SCO261605 RSS261605 RIW261605 QZA261605 QPE261605 QFI261605 PVM261605 PLQ261605 PBU261605 ORY261605 OIC261605 NYG261605 NOK261605 NEO261605 MUS261605 MKW261605 MBA261605 LRE261605 LHI261605 KXM261605 KNQ261605 KDU261605 JTY261605 JKC261605 JAG261605 IQK261605 IGO261605 HWS261605 HMW261605 HDA261605 GTE261605 GJI261605 FZM261605 FPQ261605 FFU261605 EVY261605 EMC261605 ECG261605 DSK261605 DIO261605 CYS261605 COW261605 CFA261605 BVE261605 BLI261605 BBM261605 ARQ261605 AHU261605 XY261605 OC261605 EG261605 XAO196069 WQS196069 WGW196069 VXA196069 VNE196069 VDI196069 UTM196069 UJQ196069 TZU196069 TPY196069 TGC196069 SWG196069 SMK196069 SCO196069 RSS196069 RIW196069 QZA196069 QPE196069 QFI196069 PVM196069 PLQ196069 PBU196069 ORY196069 OIC196069 NYG196069 NOK196069 NEO196069 MUS196069 MKW196069 MBA196069 LRE196069 LHI196069 KXM196069 KNQ196069 KDU196069 JTY196069 JKC196069 JAG196069 IQK196069 IGO196069 HWS196069 HMW196069 HDA196069 GTE196069 GJI196069 FZM196069 FPQ196069 FFU196069 EVY196069 EMC196069 ECG196069 DSK196069 DIO196069 CYS196069 COW196069 CFA196069 BVE196069 BLI196069 BBM196069 ARQ196069 AHU196069 XY196069 OC196069 EG196069 XAO130533 WQS130533 WGW130533 VXA130533 VNE130533 VDI130533 UTM130533 UJQ130533 TZU130533 TPY130533 TGC130533 SWG130533 SMK130533 SCO130533 RSS130533 RIW130533 QZA130533 QPE130533 QFI130533 PVM130533 PLQ130533 PBU130533 ORY130533 OIC130533 NYG130533 NOK130533 NEO130533 MUS130533 MKW130533 MBA130533 LRE130533 LHI130533 KXM130533 KNQ130533 KDU130533 JTY130533 JKC130533 JAG130533 IQK130533 IGO130533 HWS130533 HMW130533 HDA130533 GTE130533 GJI130533 FZM130533 FPQ130533 FFU130533 EVY130533 EMC130533 ECG130533 DSK130533 DIO130533 CYS130533 COW130533 CFA130533 BVE130533 BLI130533 BBM130533 ARQ130533 AHU130533 XY130533 OC130533 EG130533 XAO64997 WQS64997 WGW64997 VXA64997 VNE64997 VDI64997 UTM64997 UJQ64997 TZU64997 TPY64997 TGC64997 SWG64997 SMK64997 SCO64997 RSS64997 RIW64997 QZA64997 QPE64997 QFI64997 PVM64997 PLQ64997 PBU64997 ORY64997 OIC64997 NYG64997 NOK64997 NEO64997 MUS64997 MKW64997 MBA64997 LRE64997 LHI64997 KXM64997 KNQ64997 KDU64997 JTY64997 JKC64997 JAG64997 IQK64997 IGO64997 HWS64997 HMW64997 HDA64997 GTE64997 GJI64997 FZM64997 FPQ64997 FFU64997 EVY64997 EMC64997 ECG64997 DSK64997 DIO64997 CYS64997 COW64997 CFA64997 BVE64997 BLI64997 BBM64997 ARQ64997 AHU64997 XY64997 OC64997 EG64997 WZW982508:XAO982508 WQA982508:WQS982508 WGE982508:WGW982508 VWI982508:VXA982508 VMM982508:VNE982508 VCQ982508:VDI982508 USU982508:UTM982508 UIY982508:UJQ982508 TZC982508:TZU982508 TPG982508:TPY982508 TFK982508:TGC982508 SVO982508:SWG982508 SLS982508:SMK982508 SBW982508:SCO982508 RSA982508:RSS982508 RIE982508:RIW982508 QYI982508:QZA982508 QOM982508:QPE982508 QEQ982508:QFI982508 PUU982508:PVM982508 PKY982508:PLQ982508 PBC982508:PBU982508 ORG982508:ORY982508 OHK982508:OIC982508 NXO982508:NYG982508 NNS982508:NOK982508 NDW982508:NEO982508 MUA982508:MUS982508 MKE982508:MKW982508 MAI982508:MBA982508 LQM982508:LRE982508 LGQ982508:LHI982508 KWU982508:KXM982508 KMY982508:KNQ982508 KDC982508:KDU982508 JTG982508:JTY982508 JJK982508:JKC982508 IZO982508:JAG982508 IPS982508:IQK982508 IFW982508:IGO982508 HWA982508:HWS982508 HME982508:HMW982508 HCI982508:HDA982508 GSM982508:GTE982508 GIQ982508:GJI982508 FYU982508:FZM982508 FOY982508:FPQ982508 FFC982508:FFU982508 EVG982508:EVY982508 ELK982508:EMC982508 EBO982508:ECG982508 DRS982508:DSK982508 DHW982508:DIO982508 CYA982508:CYS982508 COE982508:COW982508 CEI982508:CFA982508 BUM982508:BVE982508 BKQ982508:BLI982508 BAU982508:BBM982508 AQY982508:ARQ982508 AHC982508:AHU982508 XG982508:XY982508 NK982508:OC982508 DO982508:EG982508 WZW916972:XAO916972 WQA916972:WQS916972 WGE916972:WGW916972 VWI916972:VXA916972 VMM916972:VNE916972 VCQ916972:VDI916972 USU916972:UTM916972 UIY916972:UJQ916972 TZC916972:TZU916972 TPG916972:TPY916972 TFK916972:TGC916972 SVO916972:SWG916972 SLS916972:SMK916972 SBW916972:SCO916972 RSA916972:RSS916972 RIE916972:RIW916972 QYI916972:QZA916972 QOM916972:QPE916972 QEQ916972:QFI916972 PUU916972:PVM916972 PKY916972:PLQ916972 PBC916972:PBU916972 ORG916972:ORY916972 OHK916972:OIC916972 NXO916972:NYG916972 NNS916972:NOK916972 NDW916972:NEO916972 MUA916972:MUS916972 MKE916972:MKW916972 MAI916972:MBA916972 LQM916972:LRE916972 LGQ916972:LHI916972 KWU916972:KXM916972 KMY916972:KNQ916972 KDC916972:KDU916972 JTG916972:JTY916972 JJK916972:JKC916972 IZO916972:JAG916972 IPS916972:IQK916972 IFW916972:IGO916972 HWA916972:HWS916972 HME916972:HMW916972 HCI916972:HDA916972 GSM916972:GTE916972 GIQ916972:GJI916972 FYU916972:FZM916972 FOY916972:FPQ916972 FFC916972:FFU916972 EVG916972:EVY916972 ELK916972:EMC916972 EBO916972:ECG916972 DRS916972:DSK916972 DHW916972:DIO916972 CYA916972:CYS916972 COE916972:COW916972 CEI916972:CFA916972 BUM916972:BVE916972 BKQ916972:BLI916972 BAU916972:BBM916972 AQY916972:ARQ916972 AHC916972:AHU916972 XG916972:XY916972 NK916972:OC916972 DO916972:EG916972 WZW851436:XAO851436 WQA851436:WQS851436 WGE851436:WGW851436 VWI851436:VXA851436 VMM851436:VNE851436 VCQ851436:VDI851436 USU851436:UTM851436 UIY851436:UJQ851436 TZC851436:TZU851436 TPG851436:TPY851436 TFK851436:TGC851436 SVO851436:SWG851436 SLS851436:SMK851436 SBW851436:SCO851436 RSA851436:RSS851436 RIE851436:RIW851436 QYI851436:QZA851436 QOM851436:QPE851436 QEQ851436:QFI851436 PUU851436:PVM851436 PKY851436:PLQ851436 PBC851436:PBU851436 ORG851436:ORY851436 OHK851436:OIC851436 NXO851436:NYG851436 NNS851436:NOK851436 NDW851436:NEO851436 MUA851436:MUS851436 MKE851436:MKW851436 MAI851436:MBA851436 LQM851436:LRE851436 LGQ851436:LHI851436 KWU851436:KXM851436 KMY851436:KNQ851436 KDC851436:KDU851436 JTG851436:JTY851436 JJK851436:JKC851436 IZO851436:JAG851436 IPS851436:IQK851436 IFW851436:IGO851436 HWA851436:HWS851436 HME851436:HMW851436 HCI851436:HDA851436 GSM851436:GTE851436 GIQ851436:GJI851436 FYU851436:FZM851436 FOY851436:FPQ851436 FFC851436:FFU851436 EVG851436:EVY851436 ELK851436:EMC851436 EBO851436:ECG851436 DRS851436:DSK851436 DHW851436:DIO851436 CYA851436:CYS851436 COE851436:COW851436 CEI851436:CFA851436 BUM851436:BVE851436 BKQ851436:BLI851436 BAU851436:BBM851436 AQY851436:ARQ851436 AHC851436:AHU851436 XG851436:XY851436 NK851436:OC851436 DO851436:EG851436 WZW785900:XAO785900 WQA785900:WQS785900 WGE785900:WGW785900 VWI785900:VXA785900 VMM785900:VNE785900 VCQ785900:VDI785900 USU785900:UTM785900 UIY785900:UJQ785900 TZC785900:TZU785900 TPG785900:TPY785900 TFK785900:TGC785900 SVO785900:SWG785900 SLS785900:SMK785900 SBW785900:SCO785900 RSA785900:RSS785900 RIE785900:RIW785900 QYI785900:QZA785900 QOM785900:QPE785900 QEQ785900:QFI785900 PUU785900:PVM785900 PKY785900:PLQ785900 PBC785900:PBU785900 ORG785900:ORY785900 OHK785900:OIC785900 NXO785900:NYG785900 NNS785900:NOK785900 NDW785900:NEO785900 MUA785900:MUS785900 MKE785900:MKW785900 MAI785900:MBA785900 LQM785900:LRE785900 LGQ785900:LHI785900 KWU785900:KXM785900 KMY785900:KNQ785900 KDC785900:KDU785900 JTG785900:JTY785900 JJK785900:JKC785900 IZO785900:JAG785900 IPS785900:IQK785900 IFW785900:IGO785900 HWA785900:HWS785900 HME785900:HMW785900 HCI785900:HDA785900 GSM785900:GTE785900 GIQ785900:GJI785900 FYU785900:FZM785900 FOY785900:FPQ785900 FFC785900:FFU785900 EVG785900:EVY785900 ELK785900:EMC785900 EBO785900:ECG785900 DRS785900:DSK785900 DHW785900:DIO785900 CYA785900:CYS785900 COE785900:COW785900 CEI785900:CFA785900 BUM785900:BVE785900 BKQ785900:BLI785900 BAU785900:BBM785900 AQY785900:ARQ785900 AHC785900:AHU785900 XG785900:XY785900 NK785900:OC785900 DO785900:EG785900 WZW720364:XAO720364 WQA720364:WQS720364 WGE720364:WGW720364 VWI720364:VXA720364 VMM720364:VNE720364 VCQ720364:VDI720364 USU720364:UTM720364 UIY720364:UJQ720364 TZC720364:TZU720364 TPG720364:TPY720364 TFK720364:TGC720364 SVO720364:SWG720364 SLS720364:SMK720364 SBW720364:SCO720364 RSA720364:RSS720364 RIE720364:RIW720364 QYI720364:QZA720364 QOM720364:QPE720364 QEQ720364:QFI720364 PUU720364:PVM720364 PKY720364:PLQ720364 PBC720364:PBU720364 ORG720364:ORY720364 OHK720364:OIC720364 NXO720364:NYG720364 NNS720364:NOK720364 NDW720364:NEO720364 MUA720364:MUS720364 MKE720364:MKW720364 MAI720364:MBA720364 LQM720364:LRE720364 LGQ720364:LHI720364 KWU720364:KXM720364 KMY720364:KNQ720364 KDC720364:KDU720364 JTG720364:JTY720364 JJK720364:JKC720364 IZO720364:JAG720364 IPS720364:IQK720364 IFW720364:IGO720364 HWA720364:HWS720364 HME720364:HMW720364 HCI720364:HDA720364 GSM720364:GTE720364 GIQ720364:GJI720364 FYU720364:FZM720364 FOY720364:FPQ720364 FFC720364:FFU720364 EVG720364:EVY720364 ELK720364:EMC720364 EBO720364:ECG720364 DRS720364:DSK720364 DHW720364:DIO720364 CYA720364:CYS720364 COE720364:COW720364 CEI720364:CFA720364 BUM720364:BVE720364 BKQ720364:BLI720364 BAU720364:BBM720364 AQY720364:ARQ720364 AHC720364:AHU720364 XG720364:XY720364 NK720364:OC720364 DO720364:EG720364 WZW654828:XAO654828 WQA654828:WQS654828 WGE654828:WGW654828 VWI654828:VXA654828 VMM654828:VNE654828 VCQ654828:VDI654828 USU654828:UTM654828 UIY654828:UJQ654828 TZC654828:TZU654828 TPG654828:TPY654828 TFK654828:TGC654828 SVO654828:SWG654828 SLS654828:SMK654828 SBW654828:SCO654828 RSA654828:RSS654828 RIE654828:RIW654828 QYI654828:QZA654828 QOM654828:QPE654828 QEQ654828:QFI654828 PUU654828:PVM654828 PKY654828:PLQ654828 PBC654828:PBU654828 ORG654828:ORY654828 OHK654828:OIC654828 NXO654828:NYG654828 NNS654828:NOK654828 NDW654828:NEO654828 MUA654828:MUS654828 MKE654828:MKW654828 MAI654828:MBA654828 LQM654828:LRE654828 LGQ654828:LHI654828 KWU654828:KXM654828 KMY654828:KNQ654828 KDC654828:KDU654828 JTG654828:JTY654828 JJK654828:JKC654828 IZO654828:JAG654828 IPS654828:IQK654828 IFW654828:IGO654828 HWA654828:HWS654828 HME654828:HMW654828 HCI654828:HDA654828 GSM654828:GTE654828 GIQ654828:GJI654828 FYU654828:FZM654828 FOY654828:FPQ654828 FFC654828:FFU654828 EVG654828:EVY654828 ELK654828:EMC654828 EBO654828:ECG654828 DRS654828:DSK654828 DHW654828:DIO654828 CYA654828:CYS654828 COE654828:COW654828 CEI654828:CFA654828 BUM654828:BVE654828 BKQ654828:BLI654828 BAU654828:BBM654828 AQY654828:ARQ654828 AHC654828:AHU654828 XG654828:XY654828 NK654828:OC654828 DO654828:EG654828 WZW589292:XAO589292 WQA589292:WQS589292 WGE589292:WGW589292 VWI589292:VXA589292 VMM589292:VNE589292 VCQ589292:VDI589292 USU589292:UTM589292 UIY589292:UJQ589292 TZC589292:TZU589292 TPG589292:TPY589292 TFK589292:TGC589292 SVO589292:SWG589292 SLS589292:SMK589292 SBW589292:SCO589292 RSA589292:RSS589292 RIE589292:RIW589292 QYI589292:QZA589292 QOM589292:QPE589292 QEQ589292:QFI589292 PUU589292:PVM589292 PKY589292:PLQ589292 PBC589292:PBU589292 ORG589292:ORY589292 OHK589292:OIC589292 NXO589292:NYG589292 NNS589292:NOK589292 NDW589292:NEO589292 MUA589292:MUS589292 MKE589292:MKW589292 MAI589292:MBA589292 LQM589292:LRE589292 LGQ589292:LHI589292 KWU589292:KXM589292 KMY589292:KNQ589292 KDC589292:KDU589292 JTG589292:JTY589292 JJK589292:JKC589292 IZO589292:JAG589292 IPS589292:IQK589292 IFW589292:IGO589292 HWA589292:HWS589292 HME589292:HMW589292 HCI589292:HDA589292 GSM589292:GTE589292 GIQ589292:GJI589292 FYU589292:FZM589292 FOY589292:FPQ589292 FFC589292:FFU589292 EVG589292:EVY589292 ELK589292:EMC589292 EBO589292:ECG589292 DRS589292:DSK589292 DHW589292:DIO589292 CYA589292:CYS589292 COE589292:COW589292 CEI589292:CFA589292 BUM589292:BVE589292 BKQ589292:BLI589292 BAU589292:BBM589292 AQY589292:ARQ589292 AHC589292:AHU589292 XG589292:XY589292 NK589292:OC589292 DO589292:EG589292 WZW523756:XAO523756 WQA523756:WQS523756 WGE523756:WGW523756 VWI523756:VXA523756 VMM523756:VNE523756 VCQ523756:VDI523756 USU523756:UTM523756 UIY523756:UJQ523756 TZC523756:TZU523756 TPG523756:TPY523756 TFK523756:TGC523756 SVO523756:SWG523756 SLS523756:SMK523756 SBW523756:SCO523756 RSA523756:RSS523756 RIE523756:RIW523756 QYI523756:QZA523756 QOM523756:QPE523756 QEQ523756:QFI523756 PUU523756:PVM523756 PKY523756:PLQ523756 PBC523756:PBU523756 ORG523756:ORY523756 OHK523756:OIC523756 NXO523756:NYG523756 NNS523756:NOK523756 NDW523756:NEO523756 MUA523756:MUS523756 MKE523756:MKW523756 MAI523756:MBA523756 LQM523756:LRE523756 LGQ523756:LHI523756 KWU523756:KXM523756 KMY523756:KNQ523756 KDC523756:KDU523756 JTG523756:JTY523756 JJK523756:JKC523756 IZO523756:JAG523756 IPS523756:IQK523756 IFW523756:IGO523756 HWA523756:HWS523756 HME523756:HMW523756 HCI523756:HDA523756 GSM523756:GTE523756 GIQ523756:GJI523756 FYU523756:FZM523756 FOY523756:FPQ523756 FFC523756:FFU523756 EVG523756:EVY523756 ELK523756:EMC523756 EBO523756:ECG523756 DRS523756:DSK523756 DHW523756:DIO523756 CYA523756:CYS523756 COE523756:COW523756 CEI523756:CFA523756 BUM523756:BVE523756 BKQ523756:BLI523756 BAU523756:BBM523756 AQY523756:ARQ523756 AHC523756:AHU523756 XG523756:XY523756 NK523756:OC523756 DO523756:EG523756 WZW458220:XAO458220 WQA458220:WQS458220 WGE458220:WGW458220 VWI458220:VXA458220 VMM458220:VNE458220 VCQ458220:VDI458220 USU458220:UTM458220 UIY458220:UJQ458220 TZC458220:TZU458220 TPG458220:TPY458220 TFK458220:TGC458220 SVO458220:SWG458220 SLS458220:SMK458220 SBW458220:SCO458220 RSA458220:RSS458220 RIE458220:RIW458220 QYI458220:QZA458220 QOM458220:QPE458220 QEQ458220:QFI458220 PUU458220:PVM458220 PKY458220:PLQ458220 PBC458220:PBU458220 ORG458220:ORY458220 OHK458220:OIC458220 NXO458220:NYG458220 NNS458220:NOK458220 NDW458220:NEO458220 MUA458220:MUS458220 MKE458220:MKW458220 MAI458220:MBA458220 LQM458220:LRE458220 LGQ458220:LHI458220 KWU458220:KXM458220 KMY458220:KNQ458220 KDC458220:KDU458220 JTG458220:JTY458220 JJK458220:JKC458220 IZO458220:JAG458220 IPS458220:IQK458220 IFW458220:IGO458220 HWA458220:HWS458220 HME458220:HMW458220 HCI458220:HDA458220 GSM458220:GTE458220 GIQ458220:GJI458220 FYU458220:FZM458220 FOY458220:FPQ458220 FFC458220:FFU458220 EVG458220:EVY458220 ELK458220:EMC458220 EBO458220:ECG458220 DRS458220:DSK458220 DHW458220:DIO458220 CYA458220:CYS458220 COE458220:COW458220 CEI458220:CFA458220 BUM458220:BVE458220 BKQ458220:BLI458220 BAU458220:BBM458220 AQY458220:ARQ458220 AHC458220:AHU458220 XG458220:XY458220 NK458220:OC458220 DO458220:EG458220 WZW392684:XAO392684 WQA392684:WQS392684 WGE392684:WGW392684 VWI392684:VXA392684 VMM392684:VNE392684 VCQ392684:VDI392684 USU392684:UTM392684 UIY392684:UJQ392684 TZC392684:TZU392684 TPG392684:TPY392684 TFK392684:TGC392684 SVO392684:SWG392684 SLS392684:SMK392684 SBW392684:SCO392684 RSA392684:RSS392684 RIE392684:RIW392684 QYI392684:QZA392684 QOM392684:QPE392684 QEQ392684:QFI392684 PUU392684:PVM392684 PKY392684:PLQ392684 PBC392684:PBU392684 ORG392684:ORY392684 OHK392684:OIC392684 NXO392684:NYG392684 NNS392684:NOK392684 NDW392684:NEO392684 MUA392684:MUS392684 MKE392684:MKW392684 MAI392684:MBA392684 LQM392684:LRE392684 LGQ392684:LHI392684 KWU392684:KXM392684 KMY392684:KNQ392684 KDC392684:KDU392684 JTG392684:JTY392684 JJK392684:JKC392684 IZO392684:JAG392684 IPS392684:IQK392684 IFW392684:IGO392684 HWA392684:HWS392684 HME392684:HMW392684 HCI392684:HDA392684 GSM392684:GTE392684 GIQ392684:GJI392684 FYU392684:FZM392684 FOY392684:FPQ392684 FFC392684:FFU392684 EVG392684:EVY392684 ELK392684:EMC392684 EBO392684:ECG392684 DRS392684:DSK392684 DHW392684:DIO392684 CYA392684:CYS392684 COE392684:COW392684 CEI392684:CFA392684 BUM392684:BVE392684 BKQ392684:BLI392684 BAU392684:BBM392684 AQY392684:ARQ392684 AHC392684:AHU392684 XG392684:XY392684 NK392684:OC392684 DO392684:EG392684 WZW327148:XAO327148 WQA327148:WQS327148 WGE327148:WGW327148 VWI327148:VXA327148 VMM327148:VNE327148 VCQ327148:VDI327148 USU327148:UTM327148 UIY327148:UJQ327148 TZC327148:TZU327148 TPG327148:TPY327148 TFK327148:TGC327148 SVO327148:SWG327148 SLS327148:SMK327148 SBW327148:SCO327148 RSA327148:RSS327148 RIE327148:RIW327148 QYI327148:QZA327148 QOM327148:QPE327148 QEQ327148:QFI327148 PUU327148:PVM327148 PKY327148:PLQ327148 PBC327148:PBU327148 ORG327148:ORY327148 OHK327148:OIC327148 NXO327148:NYG327148 NNS327148:NOK327148 NDW327148:NEO327148 MUA327148:MUS327148 MKE327148:MKW327148 MAI327148:MBA327148 LQM327148:LRE327148 LGQ327148:LHI327148 KWU327148:KXM327148 KMY327148:KNQ327148 KDC327148:KDU327148 JTG327148:JTY327148 JJK327148:JKC327148 IZO327148:JAG327148 IPS327148:IQK327148 IFW327148:IGO327148 HWA327148:HWS327148 HME327148:HMW327148 HCI327148:HDA327148 GSM327148:GTE327148 GIQ327148:GJI327148 FYU327148:FZM327148 FOY327148:FPQ327148 FFC327148:FFU327148 EVG327148:EVY327148 ELK327148:EMC327148 EBO327148:ECG327148 DRS327148:DSK327148 DHW327148:DIO327148 CYA327148:CYS327148 COE327148:COW327148 CEI327148:CFA327148 BUM327148:BVE327148 BKQ327148:BLI327148 BAU327148:BBM327148 AQY327148:ARQ327148 AHC327148:AHU327148 XG327148:XY327148 NK327148:OC327148 DO327148:EG327148 WZW261612:XAO261612 WQA261612:WQS261612 WGE261612:WGW261612 VWI261612:VXA261612 VMM261612:VNE261612 VCQ261612:VDI261612 USU261612:UTM261612 UIY261612:UJQ261612 TZC261612:TZU261612 TPG261612:TPY261612 TFK261612:TGC261612 SVO261612:SWG261612 SLS261612:SMK261612 SBW261612:SCO261612 RSA261612:RSS261612 RIE261612:RIW261612 QYI261612:QZA261612 QOM261612:QPE261612 QEQ261612:QFI261612 PUU261612:PVM261612 PKY261612:PLQ261612 PBC261612:PBU261612 ORG261612:ORY261612 OHK261612:OIC261612 NXO261612:NYG261612 NNS261612:NOK261612 NDW261612:NEO261612 MUA261612:MUS261612 MKE261612:MKW261612 MAI261612:MBA261612 LQM261612:LRE261612 LGQ261612:LHI261612 KWU261612:KXM261612 KMY261612:KNQ261612 KDC261612:KDU261612 JTG261612:JTY261612 JJK261612:JKC261612 IZO261612:JAG261612 IPS261612:IQK261612 IFW261612:IGO261612 HWA261612:HWS261612 HME261612:HMW261612 HCI261612:HDA261612 GSM261612:GTE261612 GIQ261612:GJI261612 FYU261612:FZM261612 FOY261612:FPQ261612 FFC261612:FFU261612 EVG261612:EVY261612 ELK261612:EMC261612 EBO261612:ECG261612 DRS261612:DSK261612 DHW261612:DIO261612 CYA261612:CYS261612 COE261612:COW261612 CEI261612:CFA261612 BUM261612:BVE261612 BKQ261612:BLI261612 BAU261612:BBM261612 AQY261612:ARQ261612 AHC261612:AHU261612 XG261612:XY261612 NK261612:OC261612 DO261612:EG261612 WZW196076:XAO196076 WQA196076:WQS196076 WGE196076:WGW196076 VWI196076:VXA196076 VMM196076:VNE196076 VCQ196076:VDI196076 USU196076:UTM196076 UIY196076:UJQ196076 TZC196076:TZU196076 TPG196076:TPY196076 TFK196076:TGC196076 SVO196076:SWG196076 SLS196076:SMK196076 SBW196076:SCO196076 RSA196076:RSS196076 RIE196076:RIW196076 QYI196076:QZA196076 QOM196076:QPE196076 QEQ196076:QFI196076 PUU196076:PVM196076 PKY196076:PLQ196076 PBC196076:PBU196076 ORG196076:ORY196076 OHK196076:OIC196076 NXO196076:NYG196076 NNS196076:NOK196076 NDW196076:NEO196076 MUA196076:MUS196076 MKE196076:MKW196076 MAI196076:MBA196076 LQM196076:LRE196076 LGQ196076:LHI196076 KWU196076:KXM196076 KMY196076:KNQ196076 KDC196076:KDU196076 JTG196076:JTY196076 JJK196076:JKC196076 IZO196076:JAG196076 IPS196076:IQK196076 IFW196076:IGO196076 HWA196076:HWS196076 HME196076:HMW196076 HCI196076:HDA196076 GSM196076:GTE196076 GIQ196076:GJI196076 FYU196076:FZM196076 FOY196076:FPQ196076 FFC196076:FFU196076 EVG196076:EVY196076 ELK196076:EMC196076 EBO196076:ECG196076 DRS196076:DSK196076 DHW196076:DIO196076 CYA196076:CYS196076 COE196076:COW196076 CEI196076:CFA196076 BUM196076:BVE196076 BKQ196076:BLI196076 BAU196076:BBM196076 AQY196076:ARQ196076 AHC196076:AHU196076 XG196076:XY196076 NK196076:OC196076 DO196076:EG196076 WZW130540:XAO130540 WQA130540:WQS130540 WGE130540:WGW130540 VWI130540:VXA130540 VMM130540:VNE130540 VCQ130540:VDI130540 USU130540:UTM130540 UIY130540:UJQ130540 TZC130540:TZU130540 TPG130540:TPY130540 TFK130540:TGC130540 SVO130540:SWG130540 SLS130540:SMK130540 SBW130540:SCO130540 RSA130540:RSS130540 RIE130540:RIW130540 QYI130540:QZA130540 QOM130540:QPE130540 QEQ130540:QFI130540 PUU130540:PVM130540 PKY130540:PLQ130540 PBC130540:PBU130540 ORG130540:ORY130540 OHK130540:OIC130540 NXO130540:NYG130540 NNS130540:NOK130540 NDW130540:NEO130540 MUA130540:MUS130540 MKE130540:MKW130540 MAI130540:MBA130540 LQM130540:LRE130540 LGQ130540:LHI130540 KWU130540:KXM130540 KMY130540:KNQ130540 KDC130540:KDU130540 JTG130540:JTY130540 JJK130540:JKC130540 IZO130540:JAG130540 IPS130540:IQK130540 IFW130540:IGO130540 HWA130540:HWS130540 HME130540:HMW130540 HCI130540:HDA130540 GSM130540:GTE130540 GIQ130540:GJI130540 FYU130540:FZM130540 FOY130540:FPQ130540 FFC130540:FFU130540 EVG130540:EVY130540 ELK130540:EMC130540 EBO130540:ECG130540 DRS130540:DSK130540 DHW130540:DIO130540 CYA130540:CYS130540 COE130540:COW130540 CEI130540:CFA130540 BUM130540:BVE130540 BKQ130540:BLI130540 BAU130540:BBM130540 AQY130540:ARQ130540 AHC130540:AHU130540 XG130540:XY130540 NK130540:OC130540 DO130540:EG130540 WZW65004:XAO65004 WQA65004:WQS65004 WGE65004:WGW65004 VWI65004:VXA65004 VMM65004:VNE65004 VCQ65004:VDI65004 USU65004:UTM65004 UIY65004:UJQ65004 TZC65004:TZU65004 TPG65004:TPY65004 TFK65004:TGC65004 SVO65004:SWG65004 SLS65004:SMK65004 SBW65004:SCO65004 RSA65004:RSS65004 RIE65004:RIW65004 QYI65004:QZA65004 QOM65004:QPE65004 QEQ65004:QFI65004 PUU65004:PVM65004 PKY65004:PLQ65004 PBC65004:PBU65004 ORG65004:ORY65004 OHK65004:OIC65004 NXO65004:NYG65004 NNS65004:NOK65004 NDW65004:NEO65004 MUA65004:MUS65004 MKE65004:MKW65004 MAI65004:MBA65004 LQM65004:LRE65004 LGQ65004:LHI65004 KWU65004:KXM65004 KMY65004:KNQ65004 KDC65004:KDU65004 JTG65004:JTY65004 JJK65004:JKC65004 IZO65004:JAG65004 IPS65004:IQK65004 IFW65004:IGO65004 HWA65004:HWS65004 HME65004:HMW65004 HCI65004:HDA65004 GSM65004:GTE65004 GIQ65004:GJI65004 FYU65004:FZM65004 FOY65004:FPQ65004 FFC65004:FFU65004 EVG65004:EVY65004 ELK65004:EMC65004 EBO65004:ECG65004 DRS65004:DSK65004 DHW65004:DIO65004 CYA65004:CYS65004 COE65004:COW65004 CEI65004:CFA65004 BUM65004:BVE65004 BKQ65004:BLI65004 BAU65004:BBM65004 AQY65004:ARQ65004 AHC65004:AHU65004 XG65004:XY65004 NK65004:OC65004 DO65004:EG65004 XAO982499 WQS982499 WGW982499 VXA982499 VNE982499 VDI982499 UTM982499 UJQ982499 TZU982499 TPY982499 TGC982499 SWG982499 SMK982499 SCO982499 RSS982499 RIW982499 QZA982499 QPE982499 QFI982499 PVM982499 PLQ982499 PBU982499 ORY982499 OIC982499 NYG982499 NOK982499 NEO982499 MUS982499 MKW982499 MBA982499 LRE982499 LHI982499 KXM982499 KNQ982499 KDU982499 JTY982499 JKC982499 JAG982499 IQK982499 IGO982499 HWS982499 HMW982499 HDA982499 GTE982499 GJI982499 FZM982499 FPQ982499 FFU982499 EVY982499 EMC982499 ECG982499 DSK982499 DIO982499 CYS982499 COW982499 CFA982499 BVE982499 BLI982499 BBM982499 ARQ982499 AHU982499 XY982499 OC982499 EG982499 XAO916963 WQS916963 WGW916963 VXA916963 VNE916963 VDI916963 UTM916963 UJQ916963 TZU916963 TPY916963 TGC916963 SWG916963 SMK916963 SCO916963 RSS916963 RIW916963 QZA916963 QPE916963 QFI916963 PVM916963 PLQ916963 PBU916963 ORY916963 OIC916963 NYG916963 NOK916963 NEO916963 MUS916963 MKW916963 MBA916963 LRE916963 LHI916963 KXM916963 KNQ916963 KDU916963 JTY916963 JKC916963 JAG916963 IQK916963 IGO916963 HWS916963 HMW916963 HDA916963 GTE916963 GJI916963 FZM916963 FPQ916963 FFU916963 EVY916963 EMC916963 ECG916963 DSK916963 DIO916963 CYS916963 COW916963 CFA916963 BVE916963 BLI916963 BBM916963 ARQ916963 AHU916963 XY916963 OC916963 EG916963 XAO851427 WQS851427 WGW851427 VXA851427 VNE851427 VDI851427 UTM851427 UJQ851427 TZU851427 TPY851427 TGC851427 SWG851427 SMK851427 SCO851427 RSS851427 RIW851427 QZA851427 QPE851427 QFI851427 PVM851427 PLQ851427 PBU851427 ORY851427 OIC851427 NYG851427 NOK851427 NEO851427 MUS851427 MKW851427 MBA851427 LRE851427 LHI851427 KXM851427 KNQ851427 KDU851427 JTY851427 JKC851427 JAG851427 IQK851427 IGO851427 HWS851427 HMW851427 HDA851427 GTE851427 GJI851427 FZM851427 FPQ851427 FFU851427 EVY851427 EMC851427 ECG851427 DSK851427 DIO851427 CYS851427 COW851427 CFA851427 BVE851427 BLI851427 BBM851427 ARQ851427 AHU851427 XY851427 OC851427 EG851427 XAO785891 WQS785891 WGW785891 VXA785891 VNE785891 VDI785891 UTM785891 UJQ785891 TZU785891 TPY785891 TGC785891 SWG785891 SMK785891 SCO785891 RSS785891 RIW785891 QZA785891 QPE785891 QFI785891 PVM785891 PLQ785891 PBU785891 ORY785891 OIC785891 NYG785891 NOK785891 NEO785891 MUS785891 MKW785891 MBA785891 LRE785891 LHI785891 KXM785891 KNQ785891 KDU785891 JTY785891 JKC785891 JAG785891 IQK785891 IGO785891 HWS785891 HMW785891 HDA785891 GTE785891 GJI785891 FZM785891 FPQ785891 FFU785891 EVY785891 EMC785891 ECG785891 DSK785891 DIO785891 CYS785891 COW785891 CFA785891 BVE785891 BLI785891 BBM785891 ARQ785891 AHU785891 XY785891 OC785891 EG785891 XAO720355 WQS720355 WGW720355 VXA720355 VNE720355 VDI720355 UTM720355 UJQ720355 TZU720355 TPY720355 TGC720355 SWG720355 SMK720355 SCO720355 RSS720355 RIW720355 QZA720355 QPE720355 QFI720355 PVM720355 PLQ720355 PBU720355 ORY720355 OIC720355 NYG720355 NOK720355 NEO720355 MUS720355 MKW720355 MBA720355 LRE720355 LHI720355 KXM720355 KNQ720355 KDU720355 JTY720355 JKC720355 JAG720355 IQK720355 IGO720355 HWS720355 HMW720355 HDA720355 GTE720355 GJI720355 FZM720355 FPQ720355 FFU720355 EVY720355 EMC720355 ECG720355 DSK720355 DIO720355 CYS720355 COW720355 CFA720355 BVE720355 BLI720355 BBM720355 ARQ720355 AHU720355 XY720355 OC720355 EG720355 XAO654819 WQS654819 WGW654819 VXA654819 VNE654819 VDI654819 UTM654819 UJQ654819 TZU654819 TPY654819 TGC654819 SWG654819 SMK654819 SCO654819 RSS654819 RIW654819 QZA654819 QPE654819 QFI654819 PVM654819 PLQ654819 PBU654819 ORY654819 OIC654819 NYG654819 NOK654819 NEO654819 MUS654819 MKW654819 MBA654819 LRE654819 LHI654819 KXM654819 KNQ654819 KDU654819 JTY654819 JKC654819 JAG654819 IQK654819 IGO654819 HWS654819 HMW654819 HDA654819 GTE654819 GJI654819 FZM654819 FPQ654819 FFU654819 EVY654819 EMC654819 ECG654819 DSK654819 DIO654819 CYS654819 COW654819 CFA654819 BVE654819 BLI654819 BBM654819 ARQ654819 AHU654819 XY654819 OC654819 EG654819 XAO589283 WQS589283 WGW589283 VXA589283 VNE589283 VDI589283 UTM589283 UJQ589283 TZU589283 TPY589283 TGC589283 SWG589283 SMK589283 SCO589283 RSS589283 RIW589283 QZA589283 QPE589283 QFI589283 PVM589283 PLQ589283 PBU589283 ORY589283 OIC589283 NYG589283 NOK589283 NEO589283 MUS589283 MKW589283 MBA589283 LRE589283 LHI589283 KXM589283 KNQ589283 KDU589283 JTY589283 JKC589283 JAG589283 IQK589283 IGO589283 HWS589283 HMW589283 HDA589283 GTE589283 GJI589283 FZM589283 FPQ589283 FFU589283 EVY589283 EMC589283 ECG589283 DSK589283 DIO589283 CYS589283 COW589283 CFA589283 BVE589283 BLI589283 BBM589283 ARQ589283 AHU589283 XY589283 OC589283 EG589283 XAO523747 WQS523747 WGW523747 VXA523747 VNE523747 VDI523747 UTM523747 UJQ523747 TZU523747 TPY523747 TGC523747 SWG523747 SMK523747 SCO523747 RSS523747 RIW523747 QZA523747 QPE523747 QFI523747 PVM523747 PLQ523747 PBU523747 ORY523747 OIC523747 NYG523747 NOK523747 NEO523747 MUS523747 MKW523747 MBA523747 LRE523747 LHI523747 KXM523747 KNQ523747 KDU523747 JTY523747 JKC523747 JAG523747 IQK523747 IGO523747 HWS523747 HMW523747 HDA523747 GTE523747 GJI523747 FZM523747 FPQ523747 FFU523747 EVY523747 EMC523747 ECG523747 DSK523747 DIO523747 CYS523747 COW523747 CFA523747 BVE523747 BLI523747 BBM523747 ARQ523747 AHU523747 XY523747 OC523747 EG523747 XAO458211 WQS458211 WGW458211 VXA458211 VNE458211 VDI458211 UTM458211 UJQ458211 TZU458211 TPY458211 TGC458211 SWG458211 SMK458211 SCO458211 RSS458211 RIW458211 QZA458211 QPE458211 QFI458211 PVM458211 PLQ458211 PBU458211 ORY458211 OIC458211 NYG458211 NOK458211 NEO458211 MUS458211 MKW458211 MBA458211 LRE458211 LHI458211 KXM458211 KNQ458211 KDU458211 JTY458211 JKC458211 JAG458211 IQK458211 IGO458211 HWS458211 HMW458211 HDA458211 GTE458211 GJI458211 FZM458211 FPQ458211 FFU458211 EVY458211 EMC458211 ECG458211 DSK458211 DIO458211 CYS458211 COW458211 CFA458211 BVE458211 BLI458211 BBM458211 ARQ458211 AHU458211 XY458211 OC458211 EG458211 XAO392675 WQS392675 WGW392675 VXA392675 VNE392675 VDI392675 UTM392675 UJQ392675 TZU392675 TPY392675 TGC392675 SWG392675 SMK392675 SCO392675 RSS392675 RIW392675 QZA392675 QPE392675 QFI392675 PVM392675 PLQ392675 PBU392675 ORY392675 OIC392675 NYG392675 NOK392675 NEO392675 MUS392675 MKW392675 MBA392675 LRE392675 LHI392675 KXM392675 KNQ392675 KDU392675 JTY392675 JKC392675 JAG392675 IQK392675 IGO392675 HWS392675 HMW392675 HDA392675 GTE392675 GJI392675 FZM392675 FPQ392675 FFU392675 EVY392675 EMC392675 ECG392675 DSK392675 DIO392675 CYS392675 COW392675 CFA392675 BVE392675 BLI392675 BBM392675 ARQ392675 AHU392675 XY392675 OC392675 EG392675 XAO327139 WQS327139 WGW327139 VXA327139 VNE327139 VDI327139 UTM327139 UJQ327139 TZU327139 TPY327139 TGC327139 SWG327139 SMK327139 SCO327139 RSS327139 RIW327139 QZA327139 QPE327139 QFI327139 PVM327139 PLQ327139 PBU327139 ORY327139 OIC327139 NYG327139 NOK327139 NEO327139 MUS327139 MKW327139 MBA327139 LRE327139 LHI327139 KXM327139 KNQ327139 KDU327139 JTY327139 JKC327139 JAG327139 IQK327139 IGO327139 HWS327139 HMW327139 HDA327139 GTE327139 GJI327139 FZM327139 FPQ327139 FFU327139 EVY327139 EMC327139 ECG327139 DSK327139 DIO327139 CYS327139 COW327139 CFA327139 BVE327139 BLI327139 BBM327139 ARQ327139 AHU327139 XY327139 OC327139 EG327139 XAO261603 WQS261603 WGW261603 VXA261603 VNE261603 VDI261603 UTM261603 UJQ261603 TZU261603 TPY261603 TGC261603 SWG261603 SMK261603 SCO261603 RSS261603 RIW261603 QZA261603 QPE261603 QFI261603 PVM261603 PLQ261603 PBU261603 ORY261603 OIC261603 NYG261603 NOK261603 NEO261603 MUS261603 MKW261603 MBA261603 LRE261603 LHI261603 KXM261603 KNQ261603 KDU261603 JTY261603 JKC261603 JAG261603 IQK261603 IGO261603 HWS261603 HMW261603 HDA261603 GTE261603 GJI261603 FZM261603 FPQ261603 FFU261603 EVY261603 EMC261603 ECG261603 DSK261603 DIO261603 CYS261603 COW261603 CFA261603 BVE261603 BLI261603 BBM261603 ARQ261603 AHU261603 XY261603 OC261603 EG261603 XAO196067 WQS196067 WGW196067 VXA196067 VNE196067 VDI196067 UTM196067 UJQ196067 TZU196067 TPY196067 TGC196067 SWG196067 SMK196067 SCO196067 RSS196067 RIW196067 QZA196067 QPE196067 QFI196067 PVM196067 PLQ196067 PBU196067 ORY196067 OIC196067 NYG196067 NOK196067 NEO196067 MUS196067 MKW196067 MBA196067 LRE196067 LHI196067 KXM196067 KNQ196067 KDU196067 JTY196067 JKC196067 JAG196067 IQK196067 IGO196067 HWS196067 HMW196067 HDA196067 GTE196067 GJI196067 FZM196067 FPQ196067 FFU196067 EVY196067 EMC196067 ECG196067 DSK196067 DIO196067 CYS196067 COW196067 CFA196067 BVE196067 BLI196067 BBM196067 ARQ196067 AHU196067 XY196067 OC196067 EG196067 XAO130531 WQS130531 WGW130531 VXA130531 VNE130531 VDI130531 UTM130531 UJQ130531 TZU130531 TPY130531 TGC130531 SWG130531 SMK130531 SCO130531 RSS130531 RIW130531 QZA130531 QPE130531 QFI130531 PVM130531 PLQ130531 PBU130531 ORY130531 OIC130531 NYG130531 NOK130531 NEO130531 MUS130531 MKW130531 MBA130531 LRE130531 LHI130531 KXM130531 KNQ130531 KDU130531 JTY130531 JKC130531 JAG130531 IQK130531 IGO130531 HWS130531 HMW130531 HDA130531 GTE130531 GJI130531 FZM130531 FPQ130531 FFU130531 EVY130531 EMC130531 ECG130531 DSK130531 DIO130531 CYS130531 COW130531 CFA130531 BVE130531 BLI130531 BBM130531 ARQ130531 AHU130531 XY130531 OC130531 EG130531 XAO64995 WQS64995 WGW64995 VXA64995 VNE64995 VDI64995 UTM64995 UJQ64995 TZU64995 TPY64995 TGC64995 SWG64995 SMK64995 SCO64995 RSS64995 RIW64995 QZA64995 QPE64995 QFI64995 PVM64995 PLQ64995 PBU64995 ORY64995 OIC64995 NYG64995 NOK64995 NEO64995 MUS64995 MKW64995 MBA64995 LRE64995 LHI64995 KXM64995 KNQ64995 KDU64995 JTY64995 JKC64995 JAG64995 IQK64995 IGO64995 HWS64995 HMW64995 HDA64995 GTE64995 GJI64995 FZM64995 FPQ64995 FFU64995 EVY64995 EMC64995 ECG64995 DSK64995 DIO64995 CYS64995 COW64995 CFA64995 BVE64995 BLI64995 BBM64995 ARQ64995 AHU64995 XY64995 OC64995 EG64995">
      <formula1>$DQ$115:$DQ$115</formula1>
    </dataValidation>
    <dataValidation type="list" allowBlank="1" showInputMessage="1" showErrorMessage="1" sqref="V42:V56 V24:V31 V34 Q33 V36 V38:V40 U41 U37">
      <formula1>$AW$92:$AW$97</formula1>
    </dataValidation>
  </dataValidations>
  <printOptions horizontalCentered="1" verticalCentered="1"/>
  <pageMargins left="0.78740157480314965" right="0.78740157480314965" top="0.35433070866141736" bottom="0.62992125984251968" header="0.23622047244094491" footer="0.70866141732283472"/>
  <pageSetup scale="7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2:U569"/>
  <sheetViews>
    <sheetView topLeftCell="A46" workbookViewId="0">
      <selection activeCell="B67" sqref="B67:K94"/>
    </sheetView>
  </sheetViews>
  <sheetFormatPr baseColWidth="10" defaultRowHeight="11.25"/>
  <cols>
    <col min="1" max="1" width="59.5703125" style="925" customWidth="1"/>
    <col min="2" max="2" width="20.42578125" style="925" customWidth="1"/>
    <col min="3" max="3" width="36.42578125" style="925" customWidth="1"/>
    <col min="4" max="4" width="25.140625" style="925" customWidth="1"/>
    <col min="5" max="5" width="36.42578125" style="925" customWidth="1"/>
    <col min="6" max="6" width="25.140625" style="925" customWidth="1"/>
    <col min="7" max="7" width="36.42578125" style="925" customWidth="1"/>
    <col min="8" max="8" width="25.140625" style="925" customWidth="1"/>
    <col min="9" max="9" width="36.42578125" style="925" customWidth="1"/>
    <col min="10" max="10" width="25.140625" style="925" customWidth="1"/>
    <col min="11" max="11" width="32.28515625" style="925" customWidth="1"/>
    <col min="12" max="12" width="16.140625" style="925" customWidth="1"/>
    <col min="13" max="13" width="18.140625" style="925" customWidth="1"/>
    <col min="14" max="14" width="16.5703125" style="925" customWidth="1"/>
    <col min="15" max="15" width="16.28515625" style="925" customWidth="1"/>
    <col min="16" max="16" width="10" style="925" customWidth="1"/>
    <col min="17" max="17" width="18.140625" style="925" customWidth="1"/>
    <col min="18" max="18" width="16.5703125" style="925" customWidth="1"/>
    <col min="19" max="19" width="18.7109375" style="925" customWidth="1"/>
    <col min="20" max="20" width="17.28515625" style="925" customWidth="1"/>
    <col min="21" max="21" width="18.140625" style="925" customWidth="1"/>
    <col min="22" max="22" width="23.140625" style="925" customWidth="1"/>
    <col min="23" max="16384" width="11.42578125" style="925"/>
  </cols>
  <sheetData>
    <row r="2" spans="1:11" ht="26.25">
      <c r="A2" s="927" t="s">
        <v>2644</v>
      </c>
    </row>
    <row r="3" spans="1:11" ht="18.75">
      <c r="A3" s="926">
        <v>1</v>
      </c>
      <c r="B3" s="926">
        <v>2</v>
      </c>
      <c r="C3" s="926">
        <v>3</v>
      </c>
      <c r="D3" s="926">
        <v>4</v>
      </c>
      <c r="E3" s="926">
        <v>5</v>
      </c>
      <c r="F3" s="926">
        <v>6</v>
      </c>
      <c r="G3" s="926">
        <v>7</v>
      </c>
      <c r="H3" s="926">
        <v>8</v>
      </c>
      <c r="I3" s="926">
        <v>9</v>
      </c>
      <c r="J3" s="926">
        <v>10</v>
      </c>
      <c r="K3" s="926">
        <v>11</v>
      </c>
    </row>
    <row r="4" spans="1:11">
      <c r="B4" s="1413" t="s">
        <v>2645</v>
      </c>
    </row>
    <row r="5" spans="1:11" ht="33.75">
      <c r="A5" s="1413" t="s">
        <v>2644</v>
      </c>
      <c r="B5" s="1412" t="s">
        <v>2642</v>
      </c>
      <c r="C5" s="925" t="s">
        <v>2641</v>
      </c>
      <c r="D5" s="925" t="s">
        <v>2646</v>
      </c>
      <c r="E5" s="925" t="s">
        <v>2640</v>
      </c>
      <c r="F5" s="925" t="s">
        <v>2647</v>
      </c>
      <c r="G5" s="925" t="s">
        <v>2639</v>
      </c>
      <c r="H5" s="925" t="s">
        <v>2648</v>
      </c>
      <c r="I5" s="925" t="s">
        <v>2638</v>
      </c>
      <c r="J5" s="925" t="s">
        <v>2649</v>
      </c>
      <c r="K5" s="925" t="s">
        <v>2650</v>
      </c>
    </row>
    <row r="6" spans="1:11">
      <c r="A6" s="1411" t="s">
        <v>43</v>
      </c>
      <c r="B6" s="1414">
        <v>49.504519999999843</v>
      </c>
      <c r="C6" s="1414">
        <v>8.3576227812718589</v>
      </c>
      <c r="D6" s="1414">
        <v>7.0991844607339045</v>
      </c>
      <c r="E6" s="1414">
        <v>13.094237561805324</v>
      </c>
      <c r="F6" s="1414">
        <v>11.781928124828053</v>
      </c>
      <c r="G6" s="1414">
        <v>14.071635884989933</v>
      </c>
      <c r="H6" s="1414">
        <v>12.633291345159707</v>
      </c>
      <c r="I6" s="1414">
        <v>13.981023771932829</v>
      </c>
      <c r="J6" s="1414">
        <v>10.891063560353581</v>
      </c>
      <c r="K6" s="1414">
        <v>46.369393606882817</v>
      </c>
    </row>
    <row r="7" spans="1:11">
      <c r="A7" s="1411" t="s">
        <v>44</v>
      </c>
      <c r="B7" s="1414">
        <v>16.571999999999971</v>
      </c>
      <c r="C7" s="1414">
        <v>1.8095931077330505</v>
      </c>
      <c r="D7" s="1414">
        <v>1.7300354778629206</v>
      </c>
      <c r="E7" s="1414">
        <v>4.4301762732959213</v>
      </c>
      <c r="F7" s="1414">
        <v>4.0029737732959223</v>
      </c>
      <c r="G7" s="1414">
        <v>4.79261944673042</v>
      </c>
      <c r="H7" s="1414">
        <v>3.7315391003401168</v>
      </c>
      <c r="I7" s="1414">
        <v>5.5396111722405976</v>
      </c>
      <c r="J7" s="1414">
        <v>3.7379868173572923</v>
      </c>
      <c r="K7" s="1414">
        <v>15.65865220316762</v>
      </c>
    </row>
    <row r="8" spans="1:11">
      <c r="A8" s="1411" t="s">
        <v>45</v>
      </c>
      <c r="B8" s="1414">
        <v>15.166639999999989</v>
      </c>
      <c r="C8" s="1414">
        <v>2.2535622832415445</v>
      </c>
      <c r="D8" s="1414">
        <v>1.7505020628114374</v>
      </c>
      <c r="E8" s="1414">
        <v>4.4447710168133554</v>
      </c>
      <c r="F8" s="1414">
        <v>3.99000904021237</v>
      </c>
      <c r="G8" s="1414">
        <v>4.3434019674810642</v>
      </c>
      <c r="H8" s="1414">
        <v>3.3286306804936494</v>
      </c>
      <c r="I8" s="1414">
        <v>4.1249047324640395</v>
      </c>
      <c r="J8" s="1414">
        <v>3.4111185361151186</v>
      </c>
      <c r="K8" s="1414">
        <v>14.566087556901769</v>
      </c>
    </row>
    <row r="9" spans="1:11">
      <c r="A9" s="1411" t="s">
        <v>46</v>
      </c>
      <c r="B9" s="1414">
        <v>18.761639999999979</v>
      </c>
      <c r="C9" s="1414">
        <v>2.6593656433524759</v>
      </c>
      <c r="D9" s="1414">
        <v>2.2298367768491301</v>
      </c>
      <c r="E9" s="1414">
        <v>5.6377657060491044</v>
      </c>
      <c r="F9" s="1414">
        <v>4.4633621625513715</v>
      </c>
      <c r="G9" s="1414">
        <v>5.1961853035912089</v>
      </c>
      <c r="H9" s="1414">
        <v>4.1817612173501768</v>
      </c>
      <c r="I9" s="1414">
        <v>5.2683233470072022</v>
      </c>
      <c r="J9" s="1414">
        <v>3.8157830665564454</v>
      </c>
      <c r="K9" s="1414">
        <v>17.67815347630966</v>
      </c>
    </row>
    <row r="10" spans="1:11">
      <c r="A10" s="1411" t="s">
        <v>2637</v>
      </c>
      <c r="B10" s="1414">
        <v>100.00479999999979</v>
      </c>
      <c r="C10" s="1414">
        <v>15.08014381559893</v>
      </c>
      <c r="D10" s="1414">
        <v>12.809558778257392</v>
      </c>
      <c r="E10" s="1414">
        <v>27.606950557963707</v>
      </c>
      <c r="F10" s="1414">
        <v>24.238273100887717</v>
      </c>
      <c r="G10" s="1414">
        <v>28.403842602792622</v>
      </c>
      <c r="H10" s="1414">
        <v>23.875222343343651</v>
      </c>
      <c r="I10" s="1414">
        <v>28.913863023644666</v>
      </c>
      <c r="J10" s="1414">
        <v>21.855951980382439</v>
      </c>
      <c r="K10" s="1414">
        <v>94.272286843261867</v>
      </c>
    </row>
    <row r="15" spans="1:11" ht="26.25">
      <c r="A15" s="927" t="s">
        <v>2625</v>
      </c>
    </row>
    <row r="18" spans="1:21" ht="12.75">
      <c r="B18" s="1413" t="s">
        <v>2645</v>
      </c>
      <c r="L18"/>
      <c r="M18"/>
      <c r="N18"/>
      <c r="O18"/>
      <c r="P18"/>
      <c r="Q18"/>
      <c r="R18"/>
      <c r="S18"/>
      <c r="T18"/>
      <c r="U18"/>
    </row>
    <row r="19" spans="1:21" ht="33.75">
      <c r="A19" s="1413" t="s">
        <v>2625</v>
      </c>
      <c r="B19" s="1412" t="s">
        <v>2642</v>
      </c>
      <c r="C19" s="925" t="s">
        <v>2641</v>
      </c>
      <c r="D19" s="925" t="s">
        <v>2646</v>
      </c>
      <c r="E19" s="925" t="s">
        <v>2640</v>
      </c>
      <c r="F19" s="925" t="s">
        <v>2647</v>
      </c>
      <c r="G19" s="925" t="s">
        <v>2639</v>
      </c>
      <c r="H19" s="925" t="s">
        <v>2648</v>
      </c>
      <c r="I19" s="925" t="s">
        <v>2638</v>
      </c>
      <c r="J19" s="925" t="s">
        <v>2649</v>
      </c>
      <c r="K19" s="925" t="s">
        <v>2650</v>
      </c>
      <c r="L19"/>
      <c r="M19"/>
      <c r="N19"/>
      <c r="O19"/>
      <c r="P19"/>
      <c r="Q19"/>
      <c r="R19"/>
      <c r="S19"/>
      <c r="T19"/>
      <c r="U19"/>
    </row>
    <row r="20" spans="1:21" ht="12.75">
      <c r="A20" s="1411" t="s">
        <v>2651</v>
      </c>
      <c r="B20" s="1414">
        <v>3.3940000000000001</v>
      </c>
      <c r="C20" s="1414">
        <v>0.56202111111111119</v>
      </c>
      <c r="D20" s="1414">
        <v>0.46820885057471268</v>
      </c>
      <c r="E20" s="1414">
        <v>1.0409103467261904</v>
      </c>
      <c r="F20" s="1414">
        <v>0.93479921248973741</v>
      </c>
      <c r="G20" s="1414">
        <v>0.91813447941468251</v>
      </c>
      <c r="H20" s="1414">
        <v>0.65586697941468264</v>
      </c>
      <c r="I20" s="1414">
        <v>0.87293406274801588</v>
      </c>
      <c r="J20" s="1414">
        <v>0.58327331274801597</v>
      </c>
      <c r="K20" s="1414">
        <v>2.8295718349753698</v>
      </c>
      <c r="L20"/>
      <c r="M20"/>
      <c r="N20"/>
      <c r="O20"/>
      <c r="P20"/>
      <c r="Q20"/>
      <c r="R20"/>
      <c r="S20"/>
      <c r="T20"/>
      <c r="U20"/>
    </row>
    <row r="21" spans="1:21" ht="12.75">
      <c r="A21" s="1411" t="s">
        <v>2652</v>
      </c>
      <c r="B21" s="1414">
        <v>5.6610000000000005</v>
      </c>
      <c r="C21" s="1414">
        <v>1.1676534522333837</v>
      </c>
      <c r="D21" s="1414">
        <v>0.9806649608540734</v>
      </c>
      <c r="E21" s="1414">
        <v>1.4236090760896329</v>
      </c>
      <c r="F21" s="1414">
        <v>1.294810369193081</v>
      </c>
      <c r="G21" s="1414">
        <v>1.4762166939705745</v>
      </c>
      <c r="H21" s="1414">
        <v>1.3962044077712019</v>
      </c>
      <c r="I21" s="1414">
        <v>1.5935207777064095</v>
      </c>
      <c r="J21" s="1414">
        <v>1.4711055991349808</v>
      </c>
      <c r="K21" s="1414">
        <v>5.3893664638006298</v>
      </c>
      <c r="L21"/>
      <c r="M21"/>
      <c r="N21"/>
      <c r="O21"/>
      <c r="P21"/>
      <c r="Q21"/>
      <c r="R21"/>
      <c r="S21"/>
      <c r="T21"/>
      <c r="U21"/>
    </row>
    <row r="22" spans="1:21" ht="12.75">
      <c r="A22" s="1411" t="s">
        <v>2653</v>
      </c>
      <c r="B22" s="1414">
        <v>7.2200000000000006</v>
      </c>
      <c r="C22" s="1414">
        <v>1.4008769657872953</v>
      </c>
      <c r="D22" s="1414">
        <v>1.1878609131557163</v>
      </c>
      <c r="E22" s="1414">
        <v>2.3227369746651139</v>
      </c>
      <c r="F22" s="1414">
        <v>2.1434819746651135</v>
      </c>
      <c r="G22" s="1414">
        <v>1.7873574190448458</v>
      </c>
      <c r="H22" s="1414">
        <v>1.6057091142157098</v>
      </c>
      <c r="I22" s="1414">
        <v>1.7090286405027459</v>
      </c>
      <c r="J22" s="1414">
        <v>1.2939277501789588</v>
      </c>
      <c r="K22" s="1414">
        <v>6.9976235605087878</v>
      </c>
      <c r="L22"/>
      <c r="M22"/>
      <c r="N22"/>
      <c r="O22"/>
      <c r="P22"/>
      <c r="Q22"/>
      <c r="R22"/>
      <c r="S22"/>
      <c r="T22"/>
      <c r="U22"/>
    </row>
    <row r="23" spans="1:21" ht="12.75">
      <c r="A23" s="1411" t="s">
        <v>2654</v>
      </c>
      <c r="B23" s="1414">
        <v>6.700400000000001</v>
      </c>
      <c r="C23" s="1414">
        <v>0.94691711823388158</v>
      </c>
      <c r="D23" s="1414">
        <v>0.84752196636472266</v>
      </c>
      <c r="E23" s="1414">
        <v>1.6377129954926735</v>
      </c>
      <c r="F23" s="1414">
        <v>1.5446543496593403</v>
      </c>
      <c r="G23" s="1414">
        <v>2.1191189390273411</v>
      </c>
      <c r="H23" s="1414">
        <v>1.8933424323802559</v>
      </c>
      <c r="I23" s="1414">
        <v>1.996650947246104</v>
      </c>
      <c r="J23" s="1414">
        <v>1.5152364936595211</v>
      </c>
      <c r="K23" s="1414">
        <v>6.3149974640804603</v>
      </c>
      <c r="L23"/>
      <c r="M23"/>
      <c r="N23"/>
      <c r="O23"/>
      <c r="P23"/>
      <c r="Q23"/>
      <c r="R23"/>
      <c r="S23"/>
      <c r="T23"/>
      <c r="U23"/>
    </row>
    <row r="24" spans="1:21" ht="12.75">
      <c r="A24" s="1411" t="s">
        <v>2655</v>
      </c>
      <c r="B24" s="1414">
        <v>2.8320000000000003</v>
      </c>
      <c r="C24" s="1414">
        <v>0.46493917951610103</v>
      </c>
      <c r="D24" s="1414">
        <v>0.43885081744713555</v>
      </c>
      <c r="E24" s="1414">
        <v>0.89864776952824821</v>
      </c>
      <c r="F24" s="1414">
        <v>0.87639776952824822</v>
      </c>
      <c r="G24" s="1414">
        <v>0.74527200413991423</v>
      </c>
      <c r="H24" s="1414">
        <v>0.67348206741614824</v>
      </c>
      <c r="I24" s="1414">
        <v>0.72314104681573665</v>
      </c>
      <c r="J24" s="1414">
        <v>0.5585078866386276</v>
      </c>
      <c r="K24" s="1414">
        <v>2.6553915561392198</v>
      </c>
      <c r="L24"/>
      <c r="M24"/>
      <c r="N24"/>
      <c r="O24"/>
      <c r="P24"/>
      <c r="Q24"/>
      <c r="R24"/>
      <c r="S24"/>
      <c r="T24"/>
      <c r="U24"/>
    </row>
    <row r="25" spans="1:21" ht="12.75">
      <c r="A25" s="1411" t="s">
        <v>2656</v>
      </c>
      <c r="B25" s="1414">
        <v>3.2906400000000007</v>
      </c>
      <c r="C25" s="1414">
        <v>0.48504049368060886</v>
      </c>
      <c r="D25" s="1414">
        <v>0.44379049368060886</v>
      </c>
      <c r="E25" s="1414">
        <v>0.65465509845623671</v>
      </c>
      <c r="F25" s="1414">
        <v>0.64482843178956994</v>
      </c>
      <c r="G25" s="1414">
        <v>1.0016160177302864</v>
      </c>
      <c r="H25" s="1414">
        <v>0.93234684166450077</v>
      </c>
      <c r="I25" s="1414">
        <v>1.1493283901328684</v>
      </c>
      <c r="J25" s="1414">
        <v>1.0507703544185825</v>
      </c>
      <c r="K25" s="1414">
        <v>3.1096378448275863</v>
      </c>
      <c r="L25"/>
      <c r="M25"/>
      <c r="N25"/>
      <c r="O25"/>
      <c r="P25"/>
      <c r="Q25"/>
      <c r="R25"/>
      <c r="S25"/>
      <c r="T25"/>
      <c r="U25"/>
    </row>
    <row r="26" spans="1:21" ht="12.75">
      <c r="A26" s="1411" t="s">
        <v>2659</v>
      </c>
      <c r="B26" s="1414">
        <v>9.525999999999998</v>
      </c>
      <c r="C26" s="1414">
        <v>1.6062214928535949</v>
      </c>
      <c r="D26" s="1414">
        <v>1.382615992853595</v>
      </c>
      <c r="E26" s="1414">
        <v>2.4132754884374283</v>
      </c>
      <c r="F26" s="1414">
        <v>1.9783998698807275</v>
      </c>
      <c r="G26" s="1414">
        <v>2.8146441854713267</v>
      </c>
      <c r="H26" s="1414">
        <v>2.7162127271379934</v>
      </c>
      <c r="I26" s="1414">
        <v>2.6918588332376494</v>
      </c>
      <c r="J26" s="1414">
        <v>2.0216358605834475</v>
      </c>
      <c r="K26" s="1414">
        <v>8.9215328333333321</v>
      </c>
      <c r="L26"/>
      <c r="M26"/>
      <c r="N26"/>
      <c r="O26"/>
      <c r="P26"/>
      <c r="Q26"/>
      <c r="R26"/>
      <c r="S26"/>
      <c r="T26"/>
      <c r="U26"/>
    </row>
    <row r="27" spans="1:21" ht="12.75">
      <c r="A27" s="1411" t="s">
        <v>2657</v>
      </c>
      <c r="B27" s="1414">
        <v>7.5610000000000008</v>
      </c>
      <c r="C27" s="1414">
        <v>1.0368484522565555</v>
      </c>
      <c r="D27" s="1414">
        <v>0.85845297811862475</v>
      </c>
      <c r="E27" s="1414">
        <v>1.9777340652833759</v>
      </c>
      <c r="F27" s="1414">
        <v>1.7534913528767662</v>
      </c>
      <c r="G27" s="1414">
        <v>2.5170008177837486</v>
      </c>
      <c r="H27" s="1414">
        <v>2.2355343038948603</v>
      </c>
      <c r="I27" s="1414">
        <v>2.0294166646763196</v>
      </c>
      <c r="J27" s="1414">
        <v>1.5995442274577985</v>
      </c>
      <c r="K27" s="1414">
        <v>7.2826339539794498</v>
      </c>
      <c r="L27"/>
      <c r="M27"/>
      <c r="N27"/>
      <c r="O27"/>
      <c r="P27"/>
      <c r="Q27"/>
      <c r="R27"/>
      <c r="S27"/>
      <c r="T27"/>
      <c r="U27"/>
    </row>
    <row r="28" spans="1:21" ht="12.75">
      <c r="A28" s="1411" t="s">
        <v>2660</v>
      </c>
      <c r="B28" s="1414">
        <v>1.4940000000000002</v>
      </c>
      <c r="C28" s="1414">
        <v>0.39920689655172414</v>
      </c>
      <c r="D28" s="1414">
        <v>0.29281034482758617</v>
      </c>
      <c r="E28" s="1414">
        <v>0.34367241379310348</v>
      </c>
      <c r="F28" s="1414">
        <v>0.32156241379310346</v>
      </c>
      <c r="G28" s="1414">
        <v>0.33534913793103455</v>
      </c>
      <c r="H28" s="1414">
        <v>0.22050913793103452</v>
      </c>
      <c r="I28" s="1414">
        <v>0.41577155172413793</v>
      </c>
      <c r="J28" s="1414">
        <v>0.39514655172413798</v>
      </c>
      <c r="K28" s="1414">
        <v>1.4940000000000002</v>
      </c>
      <c r="L28"/>
      <c r="M28"/>
      <c r="N28"/>
      <c r="O28"/>
      <c r="P28"/>
      <c r="Q28"/>
      <c r="R28"/>
      <c r="S28"/>
      <c r="T28"/>
      <c r="U28"/>
    </row>
    <row r="29" spans="1:21" ht="12.75">
      <c r="A29" s="1411" t="s">
        <v>2658</v>
      </c>
      <c r="B29" s="1414">
        <v>1.8254799999999998</v>
      </c>
      <c r="C29" s="1414">
        <v>0.28789761904761901</v>
      </c>
      <c r="D29" s="1414">
        <v>0.19840714285714287</v>
      </c>
      <c r="E29" s="1414">
        <v>0.38128333333333331</v>
      </c>
      <c r="F29" s="1414">
        <v>0.2895023809523809</v>
      </c>
      <c r="G29" s="1414">
        <v>0.35692619047619051</v>
      </c>
      <c r="H29" s="1414">
        <v>0.30408333333333337</v>
      </c>
      <c r="I29" s="1414">
        <v>0.79937285714285711</v>
      </c>
      <c r="J29" s="1414">
        <v>0.40191552380952378</v>
      </c>
      <c r="K29" s="1414">
        <v>1.3746380952380952</v>
      </c>
      <c r="L29"/>
      <c r="M29"/>
      <c r="N29"/>
      <c r="O29"/>
      <c r="P29"/>
      <c r="Q29"/>
      <c r="R29"/>
      <c r="S29"/>
      <c r="T29"/>
      <c r="U29"/>
    </row>
    <row r="30" spans="1:21" s="1324" customFormat="1" ht="12.75">
      <c r="A30" s="1411" t="s">
        <v>2661</v>
      </c>
      <c r="B30" s="1416">
        <v>1.1600000000000001</v>
      </c>
      <c r="C30" s="1416">
        <v>0.1353</v>
      </c>
      <c r="D30" s="1416">
        <v>0.1353</v>
      </c>
      <c r="E30" s="1416">
        <v>0.1547</v>
      </c>
      <c r="F30" s="1416">
        <v>0.1547</v>
      </c>
      <c r="G30" s="1416">
        <v>0.26300000000000001</v>
      </c>
      <c r="H30" s="1416">
        <v>0.155</v>
      </c>
      <c r="I30" s="1416">
        <v>0.60699999999999998</v>
      </c>
      <c r="J30" s="1416">
        <v>0.34300000000000003</v>
      </c>
      <c r="K30" s="1416">
        <v>0.83800000000000008</v>
      </c>
      <c r="L30" s="1320"/>
      <c r="M30" s="1320"/>
      <c r="N30" s="1320"/>
      <c r="O30" s="1320"/>
      <c r="P30" s="1320"/>
      <c r="Q30" s="1320"/>
      <c r="R30" s="1320"/>
      <c r="S30" s="1320"/>
      <c r="T30" s="1320"/>
      <c r="U30" s="1320"/>
    </row>
    <row r="31" spans="1:21" s="1324" customFormat="1" ht="12.75">
      <c r="A31" s="1411" t="s">
        <v>2662</v>
      </c>
      <c r="B31" s="1416">
        <v>2.3150000000000004</v>
      </c>
      <c r="C31" s="1416">
        <v>0.25867499999999999</v>
      </c>
      <c r="D31" s="1416">
        <v>0.24648750000000003</v>
      </c>
      <c r="E31" s="1416">
        <v>0.71819568965517244</v>
      </c>
      <c r="F31" s="1416">
        <v>0.64507568965517237</v>
      </c>
      <c r="G31" s="1416">
        <v>0.75712068965517243</v>
      </c>
      <c r="H31" s="1416">
        <v>0.58894568965517247</v>
      </c>
      <c r="I31" s="1416">
        <v>0.58100862068965531</v>
      </c>
      <c r="J31" s="1416">
        <v>0.47375862068965524</v>
      </c>
      <c r="K31" s="1416">
        <v>2.3150000000000004</v>
      </c>
      <c r="L31" s="1320"/>
      <c r="M31" s="1320"/>
      <c r="N31" s="1320"/>
      <c r="O31" s="1320"/>
      <c r="P31" s="1320"/>
      <c r="Q31" s="1320"/>
      <c r="R31" s="1320"/>
      <c r="S31" s="1320"/>
      <c r="T31" s="1320"/>
      <c r="U31" s="1320"/>
    </row>
    <row r="32" spans="1:21" s="1324" customFormat="1" ht="12.75">
      <c r="A32" s="1411" t="s">
        <v>2794</v>
      </c>
      <c r="B32" s="1416">
        <v>2.74</v>
      </c>
      <c r="C32" s="1416">
        <v>7.6060606060606065E-2</v>
      </c>
      <c r="D32" s="1416">
        <v>5.3333333333333337E-2</v>
      </c>
      <c r="E32" s="1416">
        <v>0.60095291672024342</v>
      </c>
      <c r="F32" s="1416">
        <v>0.55970291672024353</v>
      </c>
      <c r="G32" s="1416">
        <v>0.7728639044618747</v>
      </c>
      <c r="H32" s="1416">
        <v>0.49801692538144204</v>
      </c>
      <c r="I32" s="1416">
        <v>1.2901225727572756</v>
      </c>
      <c r="J32" s="1416">
        <v>0.69254837362307653</v>
      </c>
      <c r="K32" s="1416">
        <v>2.3139919527534816</v>
      </c>
      <c r="L32" s="1320"/>
      <c r="M32" s="1320"/>
      <c r="N32" s="1320"/>
      <c r="O32" s="1320"/>
      <c r="P32" s="1320"/>
      <c r="Q32" s="1320"/>
      <c r="R32" s="1320"/>
      <c r="S32" s="1320"/>
      <c r="T32" s="1320"/>
      <c r="U32" s="1320"/>
    </row>
    <row r="33" spans="1:21" s="1324" customFormat="1" ht="12.75">
      <c r="A33" s="1411" t="s">
        <v>2664</v>
      </c>
      <c r="B33" s="1416">
        <v>2.7340000000000004</v>
      </c>
      <c r="C33" s="1416">
        <v>0.62975000000000003</v>
      </c>
      <c r="D33" s="1416">
        <v>0.62975000000000003</v>
      </c>
      <c r="E33" s="1416">
        <v>0.73450000000000004</v>
      </c>
      <c r="F33" s="1416">
        <v>0.61234250000000001</v>
      </c>
      <c r="G33" s="1416">
        <v>0.7097500000000001</v>
      </c>
      <c r="H33" s="1416">
        <v>0.61246379919433591</v>
      </c>
      <c r="I33" s="1416">
        <v>0.66</v>
      </c>
      <c r="J33" s="1416">
        <v>0.57668160000000002</v>
      </c>
      <c r="K33" s="1416">
        <v>2.7340000000000004</v>
      </c>
      <c r="L33" s="1320"/>
      <c r="M33" s="1320"/>
      <c r="N33" s="1320"/>
      <c r="O33" s="1320"/>
      <c r="P33" s="1320"/>
      <c r="Q33" s="1320"/>
      <c r="R33" s="1320"/>
      <c r="S33" s="1320"/>
      <c r="T33" s="1320"/>
      <c r="U33" s="1320"/>
    </row>
    <row r="34" spans="1:21" s="1324" customFormat="1" ht="12.75">
      <c r="A34" s="1411" t="s">
        <v>2665</v>
      </c>
      <c r="B34" s="1416">
        <v>2.1500000000000004</v>
      </c>
      <c r="C34" s="1416">
        <v>0.30430996472663141</v>
      </c>
      <c r="D34" s="1416">
        <v>0.30430996472663141</v>
      </c>
      <c r="E34" s="1416">
        <v>0.61171693121693127</v>
      </c>
      <c r="F34" s="1416">
        <v>0.51191693121693127</v>
      </c>
      <c r="G34" s="1416">
        <v>0.64334193121693117</v>
      </c>
      <c r="H34" s="1416">
        <v>0.52373478835978837</v>
      </c>
      <c r="I34" s="1416">
        <v>0.59063117283950617</v>
      </c>
      <c r="J34" s="1416">
        <v>0.31678104056437395</v>
      </c>
      <c r="K34" s="1416">
        <v>2.1500000000000004</v>
      </c>
      <c r="L34" s="1320"/>
      <c r="M34" s="1320"/>
      <c r="N34" s="1320"/>
      <c r="O34" s="1320"/>
      <c r="P34" s="1320"/>
      <c r="Q34" s="1320"/>
      <c r="R34" s="1320"/>
      <c r="S34" s="1320"/>
      <c r="T34" s="1320"/>
      <c r="U34" s="1320"/>
    </row>
    <row r="35" spans="1:21" s="1324" customFormat="1" ht="12.75">
      <c r="A35" s="1411" t="s">
        <v>2666</v>
      </c>
      <c r="B35" s="1416">
        <v>1.2530000000000001</v>
      </c>
      <c r="C35" s="1416">
        <v>2.2249999999999999E-2</v>
      </c>
      <c r="D35" s="1416">
        <v>2.2250000000000002E-2</v>
      </c>
      <c r="E35" s="1416">
        <v>0.39467391304347821</v>
      </c>
      <c r="F35" s="1416">
        <v>0.34917391304347822</v>
      </c>
      <c r="G35" s="1416">
        <v>0.25737173913043476</v>
      </c>
      <c r="H35" s="1416">
        <v>0.22437174011391142</v>
      </c>
      <c r="I35" s="1416">
        <v>0.57870434782608704</v>
      </c>
      <c r="J35" s="1416">
        <v>0.50897173913043481</v>
      </c>
      <c r="K35" s="1416">
        <v>1.1583923922878245</v>
      </c>
      <c r="L35" s="1320"/>
      <c r="M35" s="1320"/>
      <c r="N35" s="1320"/>
      <c r="O35" s="1320"/>
      <c r="P35" s="1320"/>
      <c r="Q35" s="1320"/>
      <c r="R35" s="1320"/>
      <c r="S35" s="1320"/>
      <c r="T35" s="1320"/>
      <c r="U35" s="1320"/>
    </row>
    <row r="36" spans="1:21" s="1324" customFormat="1" ht="12.75">
      <c r="A36" s="1411" t="s">
        <v>2667</v>
      </c>
      <c r="B36" s="1416">
        <v>2.1500000000000004</v>
      </c>
      <c r="C36" s="1416">
        <v>0.24181896551724141</v>
      </c>
      <c r="D36" s="1416">
        <v>0.24181896551724141</v>
      </c>
      <c r="E36" s="1416">
        <v>0.61036539408866997</v>
      </c>
      <c r="F36" s="1416">
        <v>0.59799039408866994</v>
      </c>
      <c r="G36" s="1416">
        <v>0.66767118226600985</v>
      </c>
      <c r="H36" s="1416">
        <v>0.59879187192118233</v>
      </c>
      <c r="I36" s="1416">
        <v>0.63014445812807884</v>
      </c>
      <c r="J36" s="1416">
        <v>0.43353115763546801</v>
      </c>
      <c r="K36" s="1416">
        <v>2.1321250009834771</v>
      </c>
      <c r="L36" s="1320"/>
      <c r="M36" s="1320"/>
      <c r="N36" s="1320"/>
      <c r="O36" s="1320"/>
      <c r="P36" s="1320"/>
      <c r="Q36" s="1320"/>
      <c r="R36" s="1320"/>
      <c r="S36" s="1320"/>
      <c r="T36" s="1320"/>
      <c r="U36" s="1320"/>
    </row>
    <row r="37" spans="1:21" s="1324" customFormat="1" ht="12.75">
      <c r="A37" s="1411" t="s">
        <v>2668</v>
      </c>
      <c r="B37" s="1416">
        <v>2.0700000000000003</v>
      </c>
      <c r="C37" s="1416">
        <v>0.14142857142857143</v>
      </c>
      <c r="D37" s="1416">
        <v>9.678571428571428E-2</v>
      </c>
      <c r="E37" s="1416">
        <v>0.60507142857142859</v>
      </c>
      <c r="F37" s="1416">
        <v>0.57207142857142856</v>
      </c>
      <c r="G37" s="1416">
        <v>0.72150000000000003</v>
      </c>
      <c r="H37" s="1416">
        <v>0.53021428571428575</v>
      </c>
      <c r="I37" s="1416">
        <v>0.60200000000000009</v>
      </c>
      <c r="J37" s="1416">
        <v>0.39271428571428574</v>
      </c>
      <c r="K37" s="1416">
        <v>2.0171428571428573</v>
      </c>
      <c r="L37" s="1320"/>
      <c r="M37" s="1320"/>
      <c r="N37" s="1320"/>
      <c r="O37" s="1320"/>
      <c r="P37" s="1320"/>
      <c r="Q37" s="1320"/>
      <c r="R37" s="1320"/>
      <c r="S37" s="1320"/>
      <c r="T37" s="1320"/>
      <c r="U37" s="1320"/>
    </row>
    <row r="38" spans="1:21" ht="12.75">
      <c r="A38" s="1411" t="s">
        <v>2669</v>
      </c>
      <c r="B38" s="1414">
        <v>2.3250000000000002</v>
      </c>
      <c r="C38" s="1414">
        <v>0.63014285714285712</v>
      </c>
      <c r="D38" s="1414">
        <v>0.42860285714285712</v>
      </c>
      <c r="E38" s="1414">
        <v>0.62499761904761908</v>
      </c>
      <c r="F38" s="1414">
        <v>0.56693904761904756</v>
      </c>
      <c r="G38" s="1414">
        <v>0.59046190476190474</v>
      </c>
      <c r="H38" s="1414">
        <v>0.45707333333333333</v>
      </c>
      <c r="I38" s="1414">
        <v>0.47939761904761907</v>
      </c>
      <c r="J38" s="1414">
        <v>0.46949761904761905</v>
      </c>
      <c r="K38" s="1414">
        <v>2.1904485714285715</v>
      </c>
      <c r="L38"/>
      <c r="M38"/>
      <c r="N38"/>
      <c r="O38"/>
      <c r="P38"/>
      <c r="Q38"/>
      <c r="R38"/>
      <c r="S38"/>
      <c r="T38"/>
      <c r="U38"/>
    </row>
    <row r="39" spans="1:21" ht="12.75">
      <c r="A39" s="1411" t="s">
        <v>2670</v>
      </c>
      <c r="B39" s="1414">
        <v>1.2450000000000001</v>
      </c>
      <c r="C39" s="1414">
        <v>0.2847777777777778</v>
      </c>
      <c r="D39" s="1414">
        <v>0.21712777777777775</v>
      </c>
      <c r="E39" s="1414">
        <v>0.37080555555555561</v>
      </c>
      <c r="F39" s="1414">
        <v>0.30480555555555555</v>
      </c>
      <c r="G39" s="1414">
        <v>0.2905833333333333</v>
      </c>
      <c r="H39" s="1414">
        <v>0.21357777782695159</v>
      </c>
      <c r="I39" s="1414">
        <v>0.29883333333333334</v>
      </c>
      <c r="J39" s="1414">
        <v>0.29883333333333328</v>
      </c>
      <c r="K39" s="1414">
        <v>1.2450000000000001</v>
      </c>
      <c r="L39"/>
      <c r="M39"/>
      <c r="N39"/>
      <c r="O39"/>
      <c r="P39"/>
      <c r="Q39"/>
      <c r="R39"/>
      <c r="S39"/>
      <c r="T39"/>
      <c r="U39"/>
    </row>
    <row r="40" spans="1:21" ht="12.75">
      <c r="A40" s="1411" t="s">
        <v>2671</v>
      </c>
      <c r="B40" s="1414">
        <v>0.99500000000000011</v>
      </c>
      <c r="C40" s="1414">
        <v>0.112375</v>
      </c>
      <c r="D40" s="1414">
        <v>6.0499999999999998E-2</v>
      </c>
      <c r="E40" s="1414">
        <v>0.24137500000000001</v>
      </c>
      <c r="F40" s="1414">
        <v>0.24137500000000001</v>
      </c>
      <c r="G40" s="1414">
        <v>0.27500000000000002</v>
      </c>
      <c r="H40" s="1414">
        <v>0.27500000000000002</v>
      </c>
      <c r="I40" s="1414">
        <v>0.36625000000000002</v>
      </c>
      <c r="J40" s="1414">
        <v>0.26500000000000001</v>
      </c>
      <c r="K40" s="1414">
        <v>0.91126250000000009</v>
      </c>
      <c r="L40"/>
      <c r="M40"/>
      <c r="N40"/>
      <c r="O40"/>
      <c r="P40"/>
      <c r="Q40"/>
      <c r="R40"/>
      <c r="S40"/>
      <c r="T40"/>
      <c r="U40"/>
    </row>
    <row r="41" spans="1:21" ht="12.75">
      <c r="A41" s="1411" t="s">
        <v>2672</v>
      </c>
      <c r="B41" s="1414">
        <v>4.3766400000000001</v>
      </c>
      <c r="C41" s="1414">
        <v>0.6900551098593718</v>
      </c>
      <c r="D41" s="1414">
        <v>0.54105988942926408</v>
      </c>
      <c r="E41" s="1414">
        <v>1.1566992524665898</v>
      </c>
      <c r="F41" s="1414">
        <v>1.0569958472941758</v>
      </c>
      <c r="G41" s="1414">
        <v>1.1647400627191578</v>
      </c>
      <c r="H41" s="1414">
        <v>0.70167790367997596</v>
      </c>
      <c r="I41" s="1414">
        <v>1.3651455749548806</v>
      </c>
      <c r="J41" s="1414">
        <v>1.1759239939905759</v>
      </c>
      <c r="K41" s="1414">
        <v>4.2806264864864865</v>
      </c>
      <c r="L41"/>
      <c r="M41"/>
      <c r="N41"/>
      <c r="O41"/>
      <c r="P41"/>
      <c r="Q41"/>
      <c r="R41"/>
      <c r="S41"/>
      <c r="T41"/>
      <c r="U41"/>
    </row>
    <row r="42" spans="1:21" ht="12.75">
      <c r="A42" s="1411" t="s">
        <v>2673</v>
      </c>
      <c r="B42" s="1414">
        <v>3.74</v>
      </c>
      <c r="C42" s="1414">
        <v>0.26175000000000004</v>
      </c>
      <c r="D42" s="1414">
        <v>0.22875000000000001</v>
      </c>
      <c r="E42" s="1414">
        <v>1.3189166666666665</v>
      </c>
      <c r="F42" s="1414">
        <v>1.1539166666666667</v>
      </c>
      <c r="G42" s="1414">
        <v>1.1901666666666666</v>
      </c>
      <c r="H42" s="1414">
        <v>1.0131666656533875</v>
      </c>
      <c r="I42" s="1414">
        <v>0.96916666666666673</v>
      </c>
      <c r="J42" s="1414">
        <v>0.70491666666666664</v>
      </c>
      <c r="K42" s="1414">
        <v>3.5609999989867211</v>
      </c>
      <c r="L42"/>
      <c r="M42"/>
      <c r="N42"/>
      <c r="O42"/>
      <c r="P42"/>
      <c r="Q42"/>
      <c r="R42"/>
      <c r="S42"/>
      <c r="T42"/>
      <c r="U42"/>
    </row>
    <row r="43" spans="1:21" ht="12.75">
      <c r="A43" s="1411" t="s">
        <v>2674</v>
      </c>
      <c r="B43" s="1414">
        <v>1.8200000000000003</v>
      </c>
      <c r="C43" s="1414">
        <v>0.11676923076923078</v>
      </c>
      <c r="D43" s="1414">
        <v>0.11676923076923078</v>
      </c>
      <c r="E43" s="1414">
        <v>0.51653461538461531</v>
      </c>
      <c r="F43" s="1414">
        <v>0.45053461538461548</v>
      </c>
      <c r="G43" s="1414">
        <v>0.67277692307692305</v>
      </c>
      <c r="H43" s="1414">
        <v>0.50846192307692306</v>
      </c>
      <c r="I43" s="1414">
        <v>0.51391923076923074</v>
      </c>
      <c r="J43" s="1414">
        <v>0.36475461538461545</v>
      </c>
      <c r="K43" s="1414">
        <v>1.7127500000000002</v>
      </c>
      <c r="L43"/>
      <c r="M43"/>
      <c r="N43"/>
      <c r="O43"/>
      <c r="P43"/>
      <c r="Q43"/>
      <c r="R43"/>
      <c r="S43"/>
      <c r="T43"/>
      <c r="U43"/>
    </row>
    <row r="44" spans="1:21" ht="12.75">
      <c r="A44" s="1411" t="s">
        <v>2675</v>
      </c>
      <c r="B44" s="1414">
        <v>0.66500000000000004</v>
      </c>
      <c r="C44" s="1414">
        <v>0.15769230769230769</v>
      </c>
      <c r="D44" s="1414">
        <v>0.15769230769230769</v>
      </c>
      <c r="E44" s="1414">
        <v>0.21544230769230771</v>
      </c>
      <c r="F44" s="1414">
        <v>0.21544230769230768</v>
      </c>
      <c r="G44" s="1414">
        <v>0.15967307692307692</v>
      </c>
      <c r="H44" s="1414">
        <v>0.15967307692307692</v>
      </c>
      <c r="I44" s="1414">
        <v>0.13219230769230772</v>
      </c>
      <c r="J44" s="1414">
        <v>0.13219230769230769</v>
      </c>
      <c r="K44" s="1414">
        <v>0.66500000000000004</v>
      </c>
      <c r="L44"/>
      <c r="M44"/>
      <c r="N44"/>
      <c r="O44"/>
      <c r="P44"/>
      <c r="Q44"/>
      <c r="R44"/>
      <c r="S44"/>
      <c r="T44"/>
      <c r="U44"/>
    </row>
    <row r="45" spans="1:21" ht="12.75">
      <c r="A45" s="1411" t="s">
        <v>2676</v>
      </c>
      <c r="B45" s="1414">
        <v>2.5010000000000003</v>
      </c>
      <c r="C45" s="1414">
        <v>0.35920000000000002</v>
      </c>
      <c r="D45" s="1414">
        <v>0.19420000000000001</v>
      </c>
      <c r="E45" s="1414">
        <v>0.6836844827586207</v>
      </c>
      <c r="F45" s="1414">
        <v>0.49650212201591509</v>
      </c>
      <c r="G45" s="1414">
        <v>0.59494568965517236</v>
      </c>
      <c r="H45" s="1414">
        <v>0.57432068965517247</v>
      </c>
      <c r="I45" s="1414">
        <v>0.86316982758620675</v>
      </c>
      <c r="J45" s="1414">
        <v>0.75008793103448279</v>
      </c>
      <c r="K45" s="1414">
        <v>2.4455258620689655</v>
      </c>
      <c r="L45"/>
      <c r="M45"/>
      <c r="N45"/>
      <c r="O45"/>
      <c r="P45"/>
      <c r="Q45"/>
      <c r="R45"/>
      <c r="S45"/>
      <c r="T45"/>
      <c r="U45"/>
    </row>
    <row r="46" spans="1:21" ht="12.75">
      <c r="A46" s="1411" t="s">
        <v>2677</v>
      </c>
      <c r="B46" s="1414">
        <v>3.7356400000000001</v>
      </c>
      <c r="C46" s="1414">
        <v>0.69594657368498025</v>
      </c>
      <c r="D46" s="1414">
        <v>0.66018913575306326</v>
      </c>
      <c r="E46" s="1414">
        <v>1.0648186123046932</v>
      </c>
      <c r="F46" s="1414">
        <v>1.0066339445356416</v>
      </c>
      <c r="G46" s="1414">
        <v>1.031783275426216</v>
      </c>
      <c r="H46" s="1414">
        <v>0.96871121546076489</v>
      </c>
      <c r="I46" s="1414">
        <v>0.94309153858411077</v>
      </c>
      <c r="J46" s="1414">
        <v>0.83643004780988828</v>
      </c>
      <c r="K46" s="1414">
        <v>3.5812364432706718</v>
      </c>
      <c r="L46"/>
      <c r="M46"/>
      <c r="N46"/>
      <c r="O46"/>
      <c r="P46"/>
      <c r="Q46"/>
      <c r="R46"/>
      <c r="S46"/>
      <c r="T46"/>
      <c r="U46"/>
    </row>
    <row r="47" spans="1:21" ht="12.75">
      <c r="A47" s="1411" t="s">
        <v>2678</v>
      </c>
      <c r="B47" s="1414">
        <v>1.673</v>
      </c>
      <c r="C47" s="1414">
        <v>0.31866666666666665</v>
      </c>
      <c r="D47" s="1414">
        <v>0.27741666666666664</v>
      </c>
      <c r="E47" s="1414">
        <v>0.40413333333333329</v>
      </c>
      <c r="F47" s="1414">
        <v>0.30038333333333328</v>
      </c>
      <c r="G47" s="1414">
        <v>0.53901666666666659</v>
      </c>
      <c r="H47" s="1414">
        <v>0.43198333333333333</v>
      </c>
      <c r="I47" s="1414">
        <v>0.41118333333333335</v>
      </c>
      <c r="J47" s="1414">
        <v>0.18659999999999999</v>
      </c>
      <c r="K47" s="1414">
        <v>1.5080500000000001</v>
      </c>
      <c r="L47"/>
      <c r="M47"/>
      <c r="N47"/>
      <c r="O47"/>
      <c r="P47"/>
      <c r="Q47"/>
      <c r="R47"/>
      <c r="S47"/>
      <c r="T47"/>
      <c r="U47"/>
    </row>
    <row r="48" spans="1:21">
      <c r="A48" s="1411" t="s">
        <v>2679</v>
      </c>
      <c r="B48" s="1414">
        <v>2.1590000000000003</v>
      </c>
      <c r="C48" s="1414">
        <v>0.23181443893437895</v>
      </c>
      <c r="D48" s="1414">
        <v>0.21931443893437896</v>
      </c>
      <c r="E48" s="1414">
        <v>0.85783882149357693</v>
      </c>
      <c r="F48" s="1414">
        <v>0.66242215482691025</v>
      </c>
      <c r="G48" s="1414">
        <v>0.62455832681027545</v>
      </c>
      <c r="H48" s="1414">
        <v>0.43247911888948343</v>
      </c>
      <c r="I48" s="1414">
        <v>0.44478841276176867</v>
      </c>
      <c r="J48" s="1414">
        <v>0.30483032916076641</v>
      </c>
      <c r="K48" s="1414">
        <v>1.9417227722772279</v>
      </c>
    </row>
    <row r="49" spans="1:11">
      <c r="A49" s="1411" t="s">
        <v>2680</v>
      </c>
      <c r="B49" s="1414">
        <v>0.58400000000000007</v>
      </c>
      <c r="C49" s="1414">
        <v>3.875E-2</v>
      </c>
      <c r="D49" s="1414">
        <v>3.8750000000000007E-2</v>
      </c>
      <c r="E49" s="1414">
        <v>0.19</v>
      </c>
      <c r="F49" s="1414">
        <v>0.19</v>
      </c>
      <c r="G49" s="1414">
        <v>0.19825000000000001</v>
      </c>
      <c r="H49" s="1414">
        <v>0.19825000000000001</v>
      </c>
      <c r="I49" s="1414">
        <v>0.157</v>
      </c>
      <c r="J49" s="1414">
        <v>0.11575000000000001</v>
      </c>
      <c r="K49" s="1414">
        <v>0.58400000000000007</v>
      </c>
    </row>
    <row r="50" spans="1:11">
      <c r="A50" s="1411" t="s">
        <v>2681</v>
      </c>
      <c r="B50" s="1414">
        <v>5.7990000000000004</v>
      </c>
      <c r="C50" s="1414">
        <v>0.62822010692359287</v>
      </c>
      <c r="D50" s="1414">
        <v>0.56092010692359284</v>
      </c>
      <c r="E50" s="1414">
        <v>1.8532297418731694</v>
      </c>
      <c r="F50" s="1414">
        <v>1.3058598935538577</v>
      </c>
      <c r="G50" s="1414">
        <v>1.6224706307471679</v>
      </c>
      <c r="H50" s="1414">
        <v>1.0960436457257094</v>
      </c>
      <c r="I50" s="1414">
        <v>1.69507952045607</v>
      </c>
      <c r="J50" s="1414">
        <v>0.96648475855130778</v>
      </c>
      <c r="K50" s="1414">
        <v>5.418404112978525</v>
      </c>
    </row>
    <row r="51" spans="1:11">
      <c r="A51" s="1411" t="s">
        <v>2682</v>
      </c>
      <c r="B51" s="1414">
        <v>0.82500000000000007</v>
      </c>
      <c r="C51" s="1414">
        <v>0.20515</v>
      </c>
      <c r="D51" s="1414">
        <v>0.16225000000000001</v>
      </c>
      <c r="E51" s="1414">
        <v>0.22825000000000001</v>
      </c>
      <c r="F51" s="1414">
        <v>0.22825000000000001</v>
      </c>
      <c r="G51" s="1414">
        <v>0.15675</v>
      </c>
      <c r="H51" s="1414">
        <v>0.15675</v>
      </c>
      <c r="I51" s="1414">
        <v>0.23485</v>
      </c>
      <c r="J51" s="1414">
        <v>0.23485</v>
      </c>
      <c r="K51" s="1414">
        <v>0.82500000000000007</v>
      </c>
    </row>
    <row r="52" spans="1:11">
      <c r="A52" s="1411" t="s">
        <v>2683</v>
      </c>
      <c r="B52" s="1414">
        <v>1.4850000000000001</v>
      </c>
      <c r="C52" s="1414">
        <v>0.18161785714285716</v>
      </c>
      <c r="D52" s="1414">
        <v>0.11679642857142858</v>
      </c>
      <c r="E52" s="1414">
        <v>0.35581071428571431</v>
      </c>
      <c r="F52" s="1414">
        <v>0.27331071428571424</v>
      </c>
      <c r="G52" s="1414">
        <v>0.42841071428571437</v>
      </c>
      <c r="H52" s="1414">
        <v>0.32322321428571427</v>
      </c>
      <c r="I52" s="1414">
        <v>0.51916071428571431</v>
      </c>
      <c r="J52" s="1414">
        <v>0.42075000000000001</v>
      </c>
      <c r="K52" s="1414">
        <v>1.3742142857142858</v>
      </c>
    </row>
    <row r="53" spans="1:11">
      <c r="A53" s="1411" t="s">
        <v>2637</v>
      </c>
      <c r="B53" s="1415">
        <v>100.00480000000003</v>
      </c>
      <c r="C53" s="1414">
        <v>15.080143815598948</v>
      </c>
      <c r="D53" s="1414">
        <v>12.809558778257406</v>
      </c>
      <c r="E53" s="1414">
        <v>27.606950557963724</v>
      </c>
      <c r="F53" s="1414">
        <v>24.238273100887731</v>
      </c>
      <c r="G53" s="1414">
        <v>28.403842602792643</v>
      </c>
      <c r="H53" s="1414">
        <v>23.875222343343669</v>
      </c>
      <c r="I53" s="1414">
        <v>28.913863023644684</v>
      </c>
      <c r="J53" s="1414">
        <v>21.855951980382446</v>
      </c>
      <c r="K53" s="1414">
        <v>94.272286843262037</v>
      </c>
    </row>
    <row r="62" spans="1:11" ht="26.25">
      <c r="A62" s="927" t="s">
        <v>1828</v>
      </c>
    </row>
    <row r="64" spans="1:11" ht="12.75">
      <c r="A64"/>
      <c r="B64"/>
      <c r="C64"/>
      <c r="D64" s="982"/>
    </row>
    <row r="65" spans="1:11">
      <c r="B65" s="1413" t="s">
        <v>2645</v>
      </c>
    </row>
    <row r="66" spans="1:11" ht="33.75">
      <c r="A66" s="1413" t="s">
        <v>1828</v>
      </c>
      <c r="B66" s="1412" t="s">
        <v>2642</v>
      </c>
      <c r="C66" s="925" t="s">
        <v>2641</v>
      </c>
      <c r="D66" s="925" t="s">
        <v>2646</v>
      </c>
      <c r="E66" s="925" t="s">
        <v>2640</v>
      </c>
      <c r="F66" s="925" t="s">
        <v>2647</v>
      </c>
      <c r="G66" s="925" t="s">
        <v>2639</v>
      </c>
      <c r="H66" s="925" t="s">
        <v>2648</v>
      </c>
      <c r="I66" s="925" t="s">
        <v>2638</v>
      </c>
      <c r="J66" s="925" t="s">
        <v>2649</v>
      </c>
      <c r="K66" s="925" t="s">
        <v>2650</v>
      </c>
    </row>
    <row r="67" spans="1:11">
      <c r="A67" s="1411" t="s">
        <v>11</v>
      </c>
      <c r="B67" s="1414">
        <v>0.82500000000000007</v>
      </c>
      <c r="C67" s="1414">
        <v>0.20625000000000002</v>
      </c>
      <c r="D67" s="1414">
        <v>0.20466875000000001</v>
      </c>
      <c r="E67" s="1414">
        <v>0.20625000000000002</v>
      </c>
      <c r="F67" s="1414">
        <v>0.19945750000000004</v>
      </c>
      <c r="G67" s="1414">
        <v>0.20625000000000002</v>
      </c>
      <c r="H67" s="1414">
        <v>0.18967437500000001</v>
      </c>
      <c r="I67" s="1414">
        <v>0.20625000000000002</v>
      </c>
      <c r="J67" s="1414">
        <v>0.20020000000000002</v>
      </c>
      <c r="K67" s="1414">
        <v>0.81149062500000002</v>
      </c>
    </row>
    <row r="68" spans="1:11">
      <c r="A68" s="1411" t="s">
        <v>24</v>
      </c>
      <c r="B68" s="1414">
        <v>0.33</v>
      </c>
      <c r="C68" s="1414">
        <v>8.3041975940619406E-2</v>
      </c>
      <c r="D68" s="1414">
        <v>7.8864538008702328E-2</v>
      </c>
      <c r="E68" s="1414">
        <v>7.6474916815971336E-2</v>
      </c>
      <c r="F68" s="1414">
        <v>7.1466038520604042E-2</v>
      </c>
      <c r="G68" s="1414">
        <v>8.524155362170463E-2</v>
      </c>
      <c r="H68" s="1414">
        <v>6.9464862746352704E-2</v>
      </c>
      <c r="I68" s="1414">
        <v>8.524155362170463E-2</v>
      </c>
      <c r="J68" s="1414">
        <v>7.363570194522652E-2</v>
      </c>
      <c r="K68" s="1414">
        <v>0.29343114122088559</v>
      </c>
    </row>
    <row r="69" spans="1:11">
      <c r="A69" s="1411" t="s">
        <v>82</v>
      </c>
      <c r="B69" s="1414">
        <v>2.99</v>
      </c>
      <c r="C69" s="1414">
        <v>7.6060606060606065E-2</v>
      </c>
      <c r="D69" s="1414">
        <v>5.3333333333333337E-2</v>
      </c>
      <c r="E69" s="1414">
        <v>0.65095291672024347</v>
      </c>
      <c r="F69" s="1414">
        <v>0.5600029167202436</v>
      </c>
      <c r="G69" s="1414">
        <v>0.87286390446187478</v>
      </c>
      <c r="H69" s="1414">
        <v>0.59801692538144202</v>
      </c>
      <c r="I69" s="1414">
        <v>1.3901225727572757</v>
      </c>
      <c r="J69" s="1414">
        <v>0.79254837362307662</v>
      </c>
      <c r="K69" s="1414">
        <v>2.5639919527534816</v>
      </c>
    </row>
    <row r="70" spans="1:11">
      <c r="A70" s="1411" t="s">
        <v>15</v>
      </c>
      <c r="B70" s="1414">
        <v>5.3721200000000007</v>
      </c>
      <c r="C70" s="1414">
        <v>0.79520441809617981</v>
      </c>
      <c r="D70" s="1414">
        <v>0.62090622147559615</v>
      </c>
      <c r="E70" s="1414">
        <v>1.3167058966107339</v>
      </c>
      <c r="F70" s="1414">
        <v>1.2192352890573677</v>
      </c>
      <c r="G70" s="1414">
        <v>1.2496520640061592</v>
      </c>
      <c r="H70" s="1414">
        <v>0.75063893971601203</v>
      </c>
      <c r="I70" s="1414">
        <v>2.0105576212869272</v>
      </c>
      <c r="J70" s="1414">
        <v>1.3713922205028024</v>
      </c>
      <c r="K70" s="1414">
        <v>4.8321780952380955</v>
      </c>
    </row>
    <row r="71" spans="1:11">
      <c r="A71" s="1411" t="s">
        <v>81</v>
      </c>
      <c r="B71" s="1414">
        <v>6.9022000000000014</v>
      </c>
      <c r="C71" s="1414">
        <v>0.89341923076923069</v>
      </c>
      <c r="D71" s="1414">
        <v>0.89341923076923069</v>
      </c>
      <c r="E71" s="1414">
        <v>1.9753496153846157</v>
      </c>
      <c r="F71" s="1414">
        <v>1.8348912820512824</v>
      </c>
      <c r="G71" s="1414">
        <v>2.1380769230769232</v>
      </c>
      <c r="H71" s="1414">
        <v>1.9737619230769234</v>
      </c>
      <c r="I71" s="1414">
        <v>1.8953542307692313</v>
      </c>
      <c r="J71" s="1414">
        <v>1.5388271153846158</v>
      </c>
      <c r="K71" s="1414">
        <v>6.6299500000000009</v>
      </c>
    </row>
    <row r="72" spans="1:11">
      <c r="A72" s="1411" t="s">
        <v>3</v>
      </c>
      <c r="B72" s="1414">
        <v>5.8770000000000007</v>
      </c>
      <c r="C72" s="1414">
        <v>1.1583362227551488</v>
      </c>
      <c r="D72" s="1414">
        <v>1.1583362227551488</v>
      </c>
      <c r="E72" s="1414">
        <v>1.6171105779517707</v>
      </c>
      <c r="F72" s="1414">
        <v>1.573430930302961</v>
      </c>
      <c r="G72" s="1414">
        <v>1.5078952789111615</v>
      </c>
      <c r="H72" s="1414">
        <v>1.4946570159801269</v>
      </c>
      <c r="I72" s="1414">
        <v>1.5936579203819194</v>
      </c>
      <c r="J72" s="1414">
        <v>1.2050107125216571</v>
      </c>
      <c r="K72" s="1414">
        <v>5.6822067997945034</v>
      </c>
    </row>
    <row r="73" spans="1:11">
      <c r="A73" s="1411" t="s">
        <v>12</v>
      </c>
      <c r="B73" s="1414">
        <v>2.3200000000000003</v>
      </c>
      <c r="C73" s="1414">
        <v>0.29413375331564989</v>
      </c>
      <c r="D73" s="1414">
        <v>0.28163375331564988</v>
      </c>
      <c r="E73" s="1414">
        <v>0.95233222811671092</v>
      </c>
      <c r="F73" s="1414">
        <v>0.64350556145004423</v>
      </c>
      <c r="G73" s="1414">
        <v>0.70072015915119368</v>
      </c>
      <c r="H73" s="1414">
        <v>0.5487116976127322</v>
      </c>
      <c r="I73" s="1414">
        <v>0.37281385941644563</v>
      </c>
      <c r="J73" s="1414">
        <v>0.37281385941644563</v>
      </c>
      <c r="K73" s="1414">
        <v>2.1550000000000002</v>
      </c>
    </row>
    <row r="74" spans="1:11">
      <c r="A74" s="1411" t="s">
        <v>14</v>
      </c>
      <c r="B74" s="1414">
        <v>2.08</v>
      </c>
      <c r="C74" s="1414">
        <v>0.21756616161616163</v>
      </c>
      <c r="D74" s="1414">
        <v>0.12256443747823059</v>
      </c>
      <c r="E74" s="1414">
        <v>0.48186616161616158</v>
      </c>
      <c r="F74" s="1414">
        <v>0.35701055816788568</v>
      </c>
      <c r="G74" s="1414">
        <v>0.72697575757575761</v>
      </c>
      <c r="H74" s="1414">
        <v>0.53613686868686872</v>
      </c>
      <c r="I74" s="1414">
        <v>0.65359191919191917</v>
      </c>
      <c r="J74" s="1414">
        <v>0.31049494949494949</v>
      </c>
      <c r="K74" s="1414">
        <v>1.8517583289794497</v>
      </c>
    </row>
    <row r="75" spans="1:11">
      <c r="A75" s="1411" t="s">
        <v>16</v>
      </c>
      <c r="B75" s="1414">
        <v>5.5440000000000005</v>
      </c>
      <c r="C75" s="1414">
        <v>1.0715599647266316</v>
      </c>
      <c r="D75" s="1414">
        <v>1.0385599647266315</v>
      </c>
      <c r="E75" s="1414">
        <v>1.4738169312169314</v>
      </c>
      <c r="F75" s="1414">
        <v>1.1638594312169313</v>
      </c>
      <c r="G75" s="1414">
        <v>1.4947169312169315</v>
      </c>
      <c r="H75" s="1414">
        <v>1.2778235875541244</v>
      </c>
      <c r="I75" s="1414">
        <v>1.503906172839506</v>
      </c>
      <c r="J75" s="1414">
        <v>1.0721576405643742</v>
      </c>
      <c r="K75" s="1414">
        <v>5.530800000000001</v>
      </c>
    </row>
    <row r="76" spans="1:11">
      <c r="A76" s="1411" t="s">
        <v>13</v>
      </c>
      <c r="B76" s="1414">
        <v>5.8880000000000008</v>
      </c>
      <c r="C76" s="1414">
        <v>0.42235357142857138</v>
      </c>
      <c r="D76" s="1414">
        <v>0.36552321428571433</v>
      </c>
      <c r="E76" s="1414">
        <v>1.7929410312700793</v>
      </c>
      <c r="F76" s="1414">
        <v>1.6413210312700792</v>
      </c>
      <c r="G76" s="1414">
        <v>1.8109924287856074</v>
      </c>
      <c r="H76" s="1414">
        <v>1.4185317154833696</v>
      </c>
      <c r="I76" s="1414">
        <v>1.8617129685157427</v>
      </c>
      <c r="J76" s="1414">
        <v>1.4754446455343757</v>
      </c>
      <c r="K76" s="1414">
        <v>5.7405352494306827</v>
      </c>
    </row>
    <row r="77" spans="1:11">
      <c r="A77" s="1411" t="s">
        <v>23</v>
      </c>
      <c r="B77" s="1414">
        <v>3.49</v>
      </c>
      <c r="C77" s="1414">
        <v>0.26175000000000004</v>
      </c>
      <c r="D77" s="1414">
        <v>0.22875000000000001</v>
      </c>
      <c r="E77" s="1414">
        <v>1.1939166666666667</v>
      </c>
      <c r="F77" s="1414">
        <v>1.0289166666666667</v>
      </c>
      <c r="G77" s="1414">
        <v>1.0651666666666668</v>
      </c>
      <c r="H77" s="1414">
        <v>1.0131666656533875</v>
      </c>
      <c r="I77" s="1414">
        <v>0.96916666666666673</v>
      </c>
      <c r="J77" s="1414">
        <v>0.70491666666666664</v>
      </c>
      <c r="K77" s="1414">
        <v>3.4359999989867211</v>
      </c>
    </row>
    <row r="78" spans="1:11">
      <c r="A78" s="1411" t="s">
        <v>17</v>
      </c>
      <c r="B78" s="1414">
        <v>3.6500000000000004</v>
      </c>
      <c r="C78" s="1414">
        <v>0.91189285714285717</v>
      </c>
      <c r="D78" s="1414">
        <v>0.61890985714285718</v>
      </c>
      <c r="E78" s="1414">
        <v>1.039247619047619</v>
      </c>
      <c r="F78" s="1414">
        <v>0.91386904761904753</v>
      </c>
      <c r="G78" s="1414">
        <v>0.89671190476190488</v>
      </c>
      <c r="H78" s="1414">
        <v>0.70646433338250725</v>
      </c>
      <c r="I78" s="1414">
        <v>0.802147619047619</v>
      </c>
      <c r="J78" s="1414">
        <v>0.71469761904761908</v>
      </c>
      <c r="K78" s="1414">
        <v>3.4156565714285718</v>
      </c>
    </row>
    <row r="79" spans="1:11">
      <c r="A79" s="1411" t="s">
        <v>25</v>
      </c>
      <c r="B79" s="1414">
        <v>0.16500000000000001</v>
      </c>
      <c r="C79" s="1414">
        <v>1.03125E-2</v>
      </c>
      <c r="D79" s="1414">
        <v>1.03125E-2</v>
      </c>
      <c r="E79" s="1414">
        <v>9.2812500000000006E-2</v>
      </c>
      <c r="F79" s="1414">
        <v>9.2812500000000006E-2</v>
      </c>
      <c r="G79" s="1414">
        <v>4.1250000000000002E-2</v>
      </c>
      <c r="H79" s="1414">
        <v>4.1250000000000002E-2</v>
      </c>
      <c r="I79" s="1414">
        <v>2.0625000000000001E-2</v>
      </c>
      <c r="J79" s="1414">
        <v>2.0625000000000001E-2</v>
      </c>
      <c r="K79" s="1414">
        <v>0.16500000000000001</v>
      </c>
    </row>
    <row r="80" spans="1:11">
      <c r="A80" s="1411" t="s">
        <v>7</v>
      </c>
      <c r="B80" s="1414">
        <v>13.119839999999984</v>
      </c>
      <c r="C80" s="1414">
        <v>2.3746624131423673</v>
      </c>
      <c r="D80" s="1414">
        <v>1.796911485411141</v>
      </c>
      <c r="E80" s="1414">
        <v>2.8873064342664136</v>
      </c>
      <c r="F80" s="1414">
        <v>2.5531451842664139</v>
      </c>
      <c r="G80" s="1414">
        <v>3.845640989390207</v>
      </c>
      <c r="H80" s="1414">
        <v>3.2172473466251401</v>
      </c>
      <c r="I80" s="1414">
        <v>4.0122301632010089</v>
      </c>
      <c r="J80" s="1414">
        <v>3.2796653255911212</v>
      </c>
      <c r="K80" s="1414">
        <v>11.830072672413785</v>
      </c>
    </row>
    <row r="81" spans="1:11">
      <c r="A81" s="1411" t="s">
        <v>8</v>
      </c>
      <c r="B81" s="1414">
        <v>9.2176399999999994</v>
      </c>
      <c r="C81" s="1414">
        <v>1.6231559462296627</v>
      </c>
      <c r="D81" s="1414">
        <v>1.427579615820306</v>
      </c>
      <c r="E81" s="1414">
        <v>3.0288839250829676</v>
      </c>
      <c r="F81" s="1414">
        <v>2.8789272584163004</v>
      </c>
      <c r="G81" s="1414">
        <v>2.393244222735293</v>
      </c>
      <c r="H81" s="1414">
        <v>2.0829774224976365</v>
      </c>
      <c r="I81" s="1414">
        <v>2.1723559059520765</v>
      </c>
      <c r="J81" s="1414">
        <v>1.7742428107139812</v>
      </c>
      <c r="K81" s="1414">
        <v>9.1910761544226052</v>
      </c>
    </row>
    <row r="82" spans="1:11">
      <c r="A82" s="1411" t="s">
        <v>26</v>
      </c>
      <c r="B82" s="1414">
        <v>1.244</v>
      </c>
      <c r="C82" s="1414">
        <v>0.34001785714285715</v>
      </c>
      <c r="D82" s="1414">
        <v>0.34001785714285715</v>
      </c>
      <c r="E82" s="1414">
        <v>0.33176785714285717</v>
      </c>
      <c r="F82" s="1414">
        <v>0.33176785714285717</v>
      </c>
      <c r="G82" s="1414">
        <v>0.32046785714285719</v>
      </c>
      <c r="H82" s="1414">
        <v>0.32046785714285714</v>
      </c>
      <c r="I82" s="1414">
        <v>0.25174642857142859</v>
      </c>
      <c r="J82" s="1414">
        <v>0.24284642857142855</v>
      </c>
      <c r="K82" s="1414">
        <v>1.2351000000000001</v>
      </c>
    </row>
    <row r="83" spans="1:11">
      <c r="A83" s="1411" t="s">
        <v>27</v>
      </c>
      <c r="B83" s="1414">
        <v>0.35599999999999998</v>
      </c>
      <c r="C83" s="1414">
        <v>5.0857142857142854E-3</v>
      </c>
      <c r="D83" s="1414">
        <v>5.0857142857142854E-3</v>
      </c>
      <c r="E83" s="1414">
        <v>9.281428571428571E-2</v>
      </c>
      <c r="F83" s="1414">
        <v>9.2814285714285724E-2</v>
      </c>
      <c r="G83" s="1414">
        <v>8.3914285714285719E-2</v>
      </c>
      <c r="H83" s="1414">
        <v>4.7691285873430113E-2</v>
      </c>
      <c r="I83" s="1414">
        <v>0.17418571428571428</v>
      </c>
      <c r="J83" s="1414">
        <v>0.14621428571428571</v>
      </c>
      <c r="K83" s="1414">
        <v>0.34811714301628727</v>
      </c>
    </row>
    <row r="84" spans="1:11">
      <c r="A84" s="1411" t="s">
        <v>9</v>
      </c>
      <c r="B84" s="1414">
        <v>7.2360000000000033</v>
      </c>
      <c r="C84" s="1414">
        <v>1.067220618556701</v>
      </c>
      <c r="D84" s="1414">
        <v>0.70397061855670107</v>
      </c>
      <c r="E84" s="1414">
        <v>2.0678601617341315</v>
      </c>
      <c r="F84" s="1414">
        <v>1.6565737341588629</v>
      </c>
      <c r="G84" s="1414">
        <v>2.069621368630683</v>
      </c>
      <c r="H84" s="1414">
        <v>1.9869171607098912</v>
      </c>
      <c r="I84" s="1414">
        <v>2.0312978510784849</v>
      </c>
      <c r="J84" s="1414">
        <v>1.4821899928901534</v>
      </c>
      <c r="K84" s="1414">
        <v>6.739076220553093</v>
      </c>
    </row>
    <row r="85" spans="1:11">
      <c r="A85" s="1411" t="s">
        <v>28</v>
      </c>
      <c r="B85" s="1414">
        <v>0.33</v>
      </c>
      <c r="C85" s="1414">
        <v>6.9666666666666668E-2</v>
      </c>
      <c r="D85" s="1414">
        <v>6.9666666666666668E-2</v>
      </c>
      <c r="E85" s="1414">
        <v>9.35E-2</v>
      </c>
      <c r="F85" s="1414">
        <v>9.35E-2</v>
      </c>
      <c r="G85" s="1414">
        <v>7.8833333333333339E-2</v>
      </c>
      <c r="H85" s="1414">
        <v>7.8833333333333339E-2</v>
      </c>
      <c r="I85" s="1414">
        <v>8.7999999999999995E-2</v>
      </c>
      <c r="J85" s="1414">
        <v>8.433333333333333E-2</v>
      </c>
      <c r="K85" s="1414">
        <v>0.33</v>
      </c>
    </row>
    <row r="86" spans="1:11">
      <c r="A86" s="1411" t="s">
        <v>18</v>
      </c>
      <c r="B86" s="1414">
        <v>1.2450000000000001</v>
      </c>
      <c r="C86" s="1414">
        <v>0.15769230769230769</v>
      </c>
      <c r="D86" s="1414">
        <v>0.15769230769230769</v>
      </c>
      <c r="E86" s="1414">
        <v>0.38119230769230772</v>
      </c>
      <c r="F86" s="1414">
        <v>0.38119230769230772</v>
      </c>
      <c r="G86" s="1414">
        <v>0.44167307692307695</v>
      </c>
      <c r="H86" s="1414">
        <v>0.36667307692307699</v>
      </c>
      <c r="I86" s="1414">
        <v>0.2644423076923077</v>
      </c>
      <c r="J86" s="1414">
        <v>0.23144230769230767</v>
      </c>
      <c r="K86" s="1414">
        <v>1.2035000009834766</v>
      </c>
    </row>
    <row r="87" spans="1:11">
      <c r="A87" s="1411" t="s">
        <v>30</v>
      </c>
      <c r="B87" s="1414">
        <v>4.7240000000000002</v>
      </c>
      <c r="C87" s="1414">
        <v>0.50290714285714289</v>
      </c>
      <c r="D87" s="1414">
        <v>0.43560714285714286</v>
      </c>
      <c r="E87" s="1414">
        <v>1.4694513550135502</v>
      </c>
      <c r="F87" s="1414">
        <v>0.94835917269021419</v>
      </c>
      <c r="G87" s="1414">
        <v>1.2766653116531166</v>
      </c>
      <c r="H87" s="1414">
        <v>0.83966198047781182</v>
      </c>
      <c r="I87" s="1414">
        <v>1.4749761904761907</v>
      </c>
      <c r="J87" s="1414">
        <v>0.76513380952380949</v>
      </c>
      <c r="K87" s="1414">
        <v>4.3269041129785251</v>
      </c>
    </row>
    <row r="88" spans="1:11">
      <c r="A88" s="1411" t="s">
        <v>21</v>
      </c>
      <c r="B88" s="1414">
        <v>1.2450000000000001</v>
      </c>
      <c r="C88" s="1414">
        <v>0.14015277777777779</v>
      </c>
      <c r="D88" s="1414">
        <v>8.8277777777777788E-2</v>
      </c>
      <c r="E88" s="1414">
        <v>0.29693055555555553</v>
      </c>
      <c r="F88" s="1414">
        <v>0.29693055555555553</v>
      </c>
      <c r="G88" s="1414">
        <v>0.35833333333333339</v>
      </c>
      <c r="H88" s="1414">
        <v>0.30277777777777781</v>
      </c>
      <c r="I88" s="1414">
        <v>0.44958333333333333</v>
      </c>
      <c r="J88" s="1414">
        <v>0.34833333333333333</v>
      </c>
      <c r="K88" s="1414">
        <v>1.1612625000000001</v>
      </c>
    </row>
    <row r="89" spans="1:11">
      <c r="A89" s="1411" t="s">
        <v>22</v>
      </c>
      <c r="B89" s="1414">
        <v>0.83000000000000007</v>
      </c>
      <c r="C89" s="1414">
        <v>0.15799831081081081</v>
      </c>
      <c r="D89" s="1414">
        <v>7.7310810810810815E-2</v>
      </c>
      <c r="E89" s="1414">
        <v>0.22952668918918917</v>
      </c>
      <c r="F89" s="1414">
        <v>0.13551293918918916</v>
      </c>
      <c r="G89" s="1414">
        <v>0.23076418918918917</v>
      </c>
      <c r="H89" s="1414">
        <v>0.21387229729729729</v>
      </c>
      <c r="I89" s="1414">
        <v>0.21171081081081081</v>
      </c>
      <c r="J89" s="1414">
        <v>0.19819729729729732</v>
      </c>
      <c r="K89" s="1414">
        <v>0.81648648648648647</v>
      </c>
    </row>
    <row r="90" spans="1:11">
      <c r="A90" s="1411" t="s">
        <v>19</v>
      </c>
      <c r="B90" s="1414">
        <v>4.5630000000000006</v>
      </c>
      <c r="C90" s="1414">
        <v>0.90008452380952386</v>
      </c>
      <c r="D90" s="1414">
        <v>0.75276309523809526</v>
      </c>
      <c r="E90" s="1414">
        <v>1.0863440476190476</v>
      </c>
      <c r="F90" s="1414">
        <v>0.88674404761904768</v>
      </c>
      <c r="G90" s="1414">
        <v>1.0885773809523809</v>
      </c>
      <c r="H90" s="1414">
        <v>0.84335654761904766</v>
      </c>
      <c r="I90" s="1414">
        <v>1.4879940476190479</v>
      </c>
      <c r="J90" s="1414">
        <v>0.8762500000000002</v>
      </c>
      <c r="K90" s="1414">
        <v>3.9521642857142854</v>
      </c>
    </row>
    <row r="91" spans="1:11">
      <c r="A91" s="1411" t="s">
        <v>29</v>
      </c>
      <c r="B91" s="1414">
        <v>8.8999999999999996E-2</v>
      </c>
      <c r="C91" s="1414">
        <v>2.2249999999999999E-2</v>
      </c>
      <c r="D91" s="1414">
        <v>2.2250000000000002E-2</v>
      </c>
      <c r="E91" s="1414">
        <v>2.2249999999999999E-2</v>
      </c>
      <c r="F91" s="1414">
        <v>2.2250000000000002E-2</v>
      </c>
      <c r="G91" s="1414">
        <v>2.2249999999999999E-2</v>
      </c>
      <c r="H91" s="1414">
        <v>2.2250000000000002E-2</v>
      </c>
      <c r="I91" s="1414">
        <v>2.2249999999999999E-2</v>
      </c>
      <c r="J91" s="1414">
        <v>2.2250000000000002E-2</v>
      </c>
      <c r="K91" s="1414">
        <v>8.900000000000001E-2</v>
      </c>
    </row>
    <row r="92" spans="1:11">
      <c r="A92" s="1411" t="s">
        <v>10</v>
      </c>
      <c r="B92" s="1414">
        <v>9.2119999999999997</v>
      </c>
      <c r="C92" s="1414">
        <v>1.1827993092585156</v>
      </c>
      <c r="D92" s="1414">
        <v>1.1220746971895501</v>
      </c>
      <c r="E92" s="1414">
        <v>2.394455483447242</v>
      </c>
      <c r="F92" s="1414">
        <v>2.3058866113109149</v>
      </c>
      <c r="G92" s="1414">
        <v>3.0294224992929917</v>
      </c>
      <c r="H92" s="1414">
        <v>2.6351554748713353</v>
      </c>
      <c r="I92" s="1414">
        <v>2.6053227080012502</v>
      </c>
      <c r="J92" s="1414">
        <v>2.4075823933841223</v>
      </c>
      <c r="K92" s="1414">
        <v>8.7815285038610842</v>
      </c>
    </row>
    <row r="93" spans="1:11">
      <c r="A93" s="1411" t="s">
        <v>1892</v>
      </c>
      <c r="B93" s="1414">
        <v>1.1600000000000001</v>
      </c>
      <c r="C93" s="1414">
        <v>0.1345689655172414</v>
      </c>
      <c r="D93" s="1414">
        <v>0.1345689655172414</v>
      </c>
      <c r="E93" s="1414">
        <v>0.35489039408866996</v>
      </c>
      <c r="F93" s="1414">
        <v>0.35489039408866996</v>
      </c>
      <c r="G93" s="1414">
        <v>0.36792118226600989</v>
      </c>
      <c r="H93" s="1414">
        <v>0.29904187192118231</v>
      </c>
      <c r="I93" s="1414">
        <v>0.30261945812807883</v>
      </c>
      <c r="J93" s="1414">
        <v>0.14450615763546798</v>
      </c>
      <c r="K93" s="1414">
        <v>1.1600000000000001</v>
      </c>
    </row>
    <row r="94" spans="1:11">
      <c r="A94" s="1411" t="s">
        <v>2637</v>
      </c>
      <c r="B94" s="1415">
        <v>100.00479999999999</v>
      </c>
      <c r="C94" s="1414">
        <v>15.080143815598946</v>
      </c>
      <c r="D94" s="1414">
        <v>12.809558778257406</v>
      </c>
      <c r="E94" s="1414">
        <v>27.606950557963721</v>
      </c>
      <c r="F94" s="1414">
        <v>24.238273100887735</v>
      </c>
      <c r="G94" s="1414">
        <v>28.40384260279264</v>
      </c>
      <c r="H94" s="1414">
        <v>23.875222343343662</v>
      </c>
      <c r="I94" s="1414">
        <v>28.913863023644687</v>
      </c>
      <c r="J94" s="1414">
        <v>21.855951980382454</v>
      </c>
      <c r="K94" s="1414">
        <v>94.272286843262023</v>
      </c>
    </row>
    <row r="95" spans="1:11" ht="12.75">
      <c r="A95"/>
      <c r="B95"/>
      <c r="C95"/>
      <c r="D95"/>
      <c r="E95"/>
      <c r="F95"/>
      <c r="G95"/>
      <c r="H95"/>
      <c r="I95"/>
      <c r="J95"/>
      <c r="K95"/>
    </row>
    <row r="96" spans="1:11" ht="12.75">
      <c r="A96"/>
      <c r="B96"/>
      <c r="C96"/>
      <c r="D96"/>
      <c r="E96"/>
      <c r="F96"/>
      <c r="G96"/>
      <c r="H96"/>
      <c r="I96"/>
      <c r="J96"/>
      <c r="K96"/>
    </row>
    <row r="97" spans="1:11" ht="12.75">
      <c r="A97"/>
      <c r="B97"/>
      <c r="C97"/>
      <c r="D97"/>
      <c r="E97"/>
      <c r="F97"/>
      <c r="G97"/>
      <c r="H97"/>
      <c r="I97"/>
      <c r="J97"/>
      <c r="K97"/>
    </row>
    <row r="98" spans="1:11" ht="12.75">
      <c r="A98"/>
      <c r="B98"/>
      <c r="C98"/>
      <c r="D98"/>
      <c r="E98"/>
      <c r="F98"/>
      <c r="G98"/>
      <c r="H98"/>
      <c r="I98"/>
      <c r="J98"/>
      <c r="K98"/>
    </row>
    <row r="99" spans="1:11" ht="12.75">
      <c r="A99"/>
      <c r="B99"/>
      <c r="C99"/>
      <c r="D99"/>
      <c r="E99"/>
      <c r="F99"/>
      <c r="G99"/>
      <c r="H99"/>
      <c r="I99"/>
      <c r="J99"/>
      <c r="K99"/>
    </row>
    <row r="100" spans="1:11" ht="12.75">
      <c r="A100"/>
      <c r="B100"/>
      <c r="C100"/>
      <c r="D100"/>
      <c r="E100"/>
      <c r="F100"/>
      <c r="G100"/>
      <c r="H100"/>
      <c r="I100"/>
      <c r="J100"/>
      <c r="K100"/>
    </row>
    <row r="101" spans="1:11" ht="12.75">
      <c r="A101"/>
      <c r="B101"/>
      <c r="C101"/>
      <c r="D101" s="982"/>
    </row>
    <row r="102" spans="1:11" ht="12.75">
      <c r="A102"/>
      <c r="B102"/>
      <c r="C102"/>
      <c r="D102" s="982"/>
    </row>
    <row r="103" spans="1:11" ht="12.75">
      <c r="A103"/>
      <c r="B103"/>
      <c r="C103"/>
      <c r="D103" s="982"/>
    </row>
    <row r="104" spans="1:11" ht="12.75">
      <c r="A104"/>
      <c r="B104"/>
      <c r="C104"/>
      <c r="D104" s="982"/>
    </row>
    <row r="105" spans="1:11" ht="12.75">
      <c r="A105"/>
      <c r="B105"/>
      <c r="C105"/>
      <c r="D105" s="982"/>
    </row>
    <row r="106" spans="1:11" ht="12.75">
      <c r="A106"/>
      <c r="B106"/>
      <c r="C106"/>
      <c r="D106" s="982"/>
    </row>
    <row r="107" spans="1:11" ht="12.75">
      <c r="A107"/>
      <c r="B107"/>
      <c r="C107"/>
      <c r="D107" s="982"/>
    </row>
    <row r="108" spans="1:11" ht="12.75">
      <c r="A108"/>
      <c r="B108"/>
      <c r="C108"/>
      <c r="D108" s="982"/>
    </row>
    <row r="109" spans="1:11" ht="12.75">
      <c r="A109"/>
      <c r="B109"/>
      <c r="C109"/>
      <c r="D109" s="982"/>
    </row>
    <row r="110" spans="1:11" ht="12.75">
      <c r="A110"/>
      <c r="B110"/>
      <c r="C110"/>
      <c r="D110" s="982"/>
    </row>
    <row r="111" spans="1:11" ht="12.75">
      <c r="A111"/>
      <c r="B111"/>
      <c r="C111"/>
      <c r="D111" s="982"/>
    </row>
    <row r="112" spans="1:11" ht="12.75">
      <c r="A112"/>
      <c r="B112"/>
      <c r="C112"/>
      <c r="D112" s="982"/>
    </row>
    <row r="113" spans="1:4" ht="12.75">
      <c r="A113"/>
      <c r="B113"/>
      <c r="C113"/>
      <c r="D113" s="982"/>
    </row>
    <row r="114" spans="1:4" ht="12.75">
      <c r="A114"/>
      <c r="B114"/>
      <c r="C114"/>
      <c r="D114" s="982"/>
    </row>
    <row r="115" spans="1:4" ht="12.75">
      <c r="A115"/>
      <c r="B115"/>
      <c r="C115"/>
      <c r="D115" s="982"/>
    </row>
    <row r="116" spans="1:4" ht="12.75">
      <c r="A116"/>
      <c r="B116"/>
      <c r="C116"/>
      <c r="D116" s="982"/>
    </row>
    <row r="117" spans="1:4" ht="12.75">
      <c r="A117"/>
      <c r="B117"/>
      <c r="C117"/>
      <c r="D117" s="982"/>
    </row>
    <row r="118" spans="1:4" ht="12.75">
      <c r="A118"/>
      <c r="B118"/>
      <c r="C118"/>
      <c r="D118" s="982"/>
    </row>
    <row r="119" spans="1:4" ht="12.75">
      <c r="A119"/>
      <c r="B119"/>
      <c r="C119"/>
      <c r="D119" s="982"/>
    </row>
    <row r="120" spans="1:4" ht="12.75">
      <c r="A120"/>
      <c r="B120"/>
      <c r="C120"/>
      <c r="D120" s="982"/>
    </row>
    <row r="121" spans="1:4" ht="12.75">
      <c r="A121"/>
      <c r="B121"/>
      <c r="C121"/>
      <c r="D121" s="982"/>
    </row>
    <row r="122" spans="1:4" ht="12.75">
      <c r="A122"/>
      <c r="B122"/>
      <c r="C122"/>
      <c r="D122" s="982"/>
    </row>
    <row r="123" spans="1:4" ht="12.75">
      <c r="A123"/>
      <c r="B123"/>
      <c r="C123"/>
      <c r="D123" s="982"/>
    </row>
    <row r="124" spans="1:4" ht="12.75">
      <c r="A124"/>
      <c r="B124"/>
      <c r="C124"/>
      <c r="D124" s="982"/>
    </row>
    <row r="125" spans="1:4" ht="12.75">
      <c r="A125"/>
      <c r="B125"/>
      <c r="C125"/>
      <c r="D125" s="982"/>
    </row>
    <row r="126" spans="1:4" ht="12.75">
      <c r="A126"/>
      <c r="B126"/>
      <c r="C126"/>
      <c r="D126" s="982"/>
    </row>
    <row r="127" spans="1:4" ht="12.75">
      <c r="A127"/>
      <c r="B127"/>
      <c r="C127"/>
      <c r="D127" s="982"/>
    </row>
    <row r="128" spans="1:4" ht="12.75">
      <c r="A128"/>
      <c r="B128"/>
      <c r="C128"/>
      <c r="D128" s="982"/>
    </row>
    <row r="129" spans="1:4" ht="12.75">
      <c r="A129"/>
      <c r="B129"/>
      <c r="C129"/>
      <c r="D129" s="982"/>
    </row>
    <row r="130" spans="1:4" ht="12.75">
      <c r="A130"/>
      <c r="B130"/>
      <c r="C130"/>
      <c r="D130" s="982"/>
    </row>
    <row r="131" spans="1:4" ht="12.75">
      <c r="A131"/>
      <c r="B131"/>
      <c r="C131"/>
      <c r="D131" s="982"/>
    </row>
    <row r="132" spans="1:4" ht="12.75">
      <c r="A132"/>
      <c r="B132"/>
      <c r="C132"/>
      <c r="D132" s="982"/>
    </row>
    <row r="133" spans="1:4" ht="12.75">
      <c r="A133"/>
      <c r="B133"/>
      <c r="C133"/>
      <c r="D133" s="982"/>
    </row>
    <row r="134" spans="1:4" ht="12.75">
      <c r="A134"/>
      <c r="B134"/>
      <c r="C134"/>
      <c r="D134" s="982"/>
    </row>
    <row r="135" spans="1:4" ht="12.75">
      <c r="A135"/>
      <c r="B135"/>
      <c r="C135"/>
      <c r="D135" s="982"/>
    </row>
    <row r="136" spans="1:4" ht="12.75">
      <c r="A136"/>
      <c r="B136"/>
      <c r="C136"/>
      <c r="D136" s="982"/>
    </row>
    <row r="137" spans="1:4" ht="12.75">
      <c r="A137"/>
      <c r="B137"/>
      <c r="C137"/>
      <c r="D137" s="982"/>
    </row>
    <row r="138" spans="1:4" ht="12.75">
      <c r="A138"/>
      <c r="B138"/>
      <c r="C138"/>
      <c r="D138" s="982"/>
    </row>
    <row r="139" spans="1:4" ht="12.75">
      <c r="A139"/>
      <c r="B139"/>
      <c r="C139"/>
      <c r="D139" s="982"/>
    </row>
    <row r="140" spans="1:4" ht="12.75">
      <c r="A140"/>
      <c r="B140"/>
      <c r="C140"/>
      <c r="D140" s="982"/>
    </row>
    <row r="141" spans="1:4" ht="12.75">
      <c r="A141"/>
      <c r="B141"/>
      <c r="C141"/>
      <c r="D141" s="982"/>
    </row>
    <row r="142" spans="1:4" ht="12.75">
      <c r="A142"/>
      <c r="B142"/>
      <c r="C142"/>
      <c r="D142" s="982"/>
    </row>
    <row r="143" spans="1:4" ht="12.75">
      <c r="A143"/>
      <c r="B143"/>
      <c r="C143"/>
      <c r="D143" s="982"/>
    </row>
    <row r="144" spans="1:4" ht="12.75">
      <c r="A144"/>
      <c r="B144"/>
      <c r="C144"/>
      <c r="D144" s="982"/>
    </row>
    <row r="145" spans="1:4" ht="12.75">
      <c r="A145"/>
      <c r="B145"/>
      <c r="C145"/>
      <c r="D145" s="982"/>
    </row>
    <row r="146" spans="1:4" ht="12.75">
      <c r="A146"/>
      <c r="B146"/>
      <c r="C146"/>
      <c r="D146" s="982"/>
    </row>
    <row r="147" spans="1:4" ht="12.75">
      <c r="A147"/>
      <c r="B147"/>
      <c r="C147"/>
      <c r="D147" s="982"/>
    </row>
    <row r="148" spans="1:4" ht="12.75">
      <c r="A148"/>
      <c r="B148"/>
      <c r="C148"/>
      <c r="D148" s="982"/>
    </row>
    <row r="149" spans="1:4" ht="12.75">
      <c r="A149"/>
      <c r="B149"/>
      <c r="C149"/>
      <c r="D149" s="982"/>
    </row>
    <row r="150" spans="1:4" ht="12.75">
      <c r="A150"/>
      <c r="B150"/>
      <c r="C150"/>
      <c r="D150" s="982"/>
    </row>
    <row r="151" spans="1:4" ht="12.75">
      <c r="A151"/>
      <c r="B151"/>
      <c r="C151"/>
      <c r="D151" s="982"/>
    </row>
    <row r="152" spans="1:4" ht="12.75">
      <c r="A152"/>
      <c r="B152"/>
      <c r="C152"/>
      <c r="D152" s="982"/>
    </row>
    <row r="153" spans="1:4" ht="12.75">
      <c r="A153"/>
      <c r="B153"/>
      <c r="C153"/>
      <c r="D153" s="982"/>
    </row>
    <row r="154" spans="1:4" ht="12.75">
      <c r="A154"/>
      <c r="B154"/>
      <c r="C154"/>
      <c r="D154" s="982"/>
    </row>
    <row r="155" spans="1:4" ht="12.75">
      <c r="A155"/>
      <c r="B155"/>
      <c r="C155"/>
      <c r="D155" s="982"/>
    </row>
    <row r="156" spans="1:4" ht="12.75">
      <c r="A156"/>
      <c r="B156"/>
      <c r="C156"/>
      <c r="D156" s="982"/>
    </row>
    <row r="157" spans="1:4" ht="12.75">
      <c r="A157"/>
      <c r="B157"/>
      <c r="C157"/>
      <c r="D157" s="982"/>
    </row>
    <row r="158" spans="1:4" ht="12.75">
      <c r="A158"/>
      <c r="B158"/>
      <c r="C158"/>
      <c r="D158" s="982"/>
    </row>
    <row r="159" spans="1:4" ht="12.75">
      <c r="A159"/>
      <c r="B159"/>
      <c r="C159"/>
      <c r="D159" s="982"/>
    </row>
    <row r="160" spans="1:4" ht="12.75">
      <c r="A160"/>
      <c r="B160"/>
      <c r="C160"/>
      <c r="D160" s="982"/>
    </row>
    <row r="161" spans="1:4" ht="12.75">
      <c r="A161"/>
      <c r="B161"/>
      <c r="C161"/>
      <c r="D161" s="982"/>
    </row>
    <row r="162" spans="1:4" ht="12.75">
      <c r="A162"/>
      <c r="B162"/>
      <c r="C162"/>
      <c r="D162" s="982"/>
    </row>
    <row r="163" spans="1:4" ht="12.75">
      <c r="A163"/>
      <c r="B163"/>
      <c r="C163"/>
      <c r="D163" s="982"/>
    </row>
    <row r="164" spans="1:4" ht="12.75">
      <c r="A164"/>
      <c r="B164"/>
      <c r="C164"/>
      <c r="D164" s="982"/>
    </row>
    <row r="165" spans="1:4" ht="12.75">
      <c r="A165"/>
      <c r="B165"/>
      <c r="C165"/>
      <c r="D165" s="982"/>
    </row>
    <row r="166" spans="1:4" ht="12.75">
      <c r="A166"/>
      <c r="B166"/>
      <c r="C166"/>
      <c r="D166" s="982"/>
    </row>
    <row r="167" spans="1:4" ht="12.75">
      <c r="A167"/>
      <c r="B167"/>
      <c r="C167"/>
      <c r="D167" s="982"/>
    </row>
    <row r="168" spans="1:4" ht="12.75">
      <c r="A168"/>
      <c r="B168"/>
      <c r="C168"/>
      <c r="D168" s="982"/>
    </row>
    <row r="169" spans="1:4" ht="12.75">
      <c r="A169"/>
      <c r="B169"/>
      <c r="C169"/>
      <c r="D169" s="982"/>
    </row>
    <row r="170" spans="1:4" ht="12.75">
      <c r="A170"/>
      <c r="B170"/>
      <c r="C170"/>
      <c r="D170" s="982"/>
    </row>
    <row r="171" spans="1:4" ht="12.75">
      <c r="A171"/>
      <c r="B171"/>
      <c r="C171"/>
      <c r="D171" s="982"/>
    </row>
    <row r="172" spans="1:4" ht="12.75">
      <c r="A172"/>
      <c r="B172"/>
      <c r="C172"/>
      <c r="D172" s="982"/>
    </row>
    <row r="173" spans="1:4" ht="12.75">
      <c r="A173"/>
      <c r="B173"/>
      <c r="C173"/>
      <c r="D173" s="982"/>
    </row>
    <row r="174" spans="1:4" ht="12.75">
      <c r="A174"/>
      <c r="B174"/>
      <c r="C174"/>
      <c r="D174" s="982"/>
    </row>
    <row r="175" spans="1:4" ht="12.75">
      <c r="A175"/>
      <c r="B175"/>
      <c r="C175"/>
      <c r="D175" s="982"/>
    </row>
    <row r="176" spans="1:4" ht="12.75">
      <c r="A176"/>
      <c r="B176"/>
      <c r="C176"/>
      <c r="D176" s="982"/>
    </row>
    <row r="177" spans="1:4" ht="12.75">
      <c r="A177"/>
      <c r="B177"/>
      <c r="C177"/>
      <c r="D177" s="982"/>
    </row>
    <row r="178" spans="1:4" ht="12.75">
      <c r="A178"/>
      <c r="B178"/>
      <c r="C178"/>
      <c r="D178" s="982"/>
    </row>
    <row r="179" spans="1:4" ht="12.75">
      <c r="A179"/>
      <c r="B179"/>
      <c r="C179"/>
      <c r="D179" s="982"/>
    </row>
    <row r="180" spans="1:4" ht="12.75">
      <c r="A180"/>
      <c r="B180"/>
      <c r="C180"/>
      <c r="D180" s="982"/>
    </row>
    <row r="181" spans="1:4" ht="12.75">
      <c r="A181"/>
      <c r="B181"/>
      <c r="C181"/>
      <c r="D181" s="982"/>
    </row>
    <row r="182" spans="1:4" ht="12.75">
      <c r="A182"/>
      <c r="B182"/>
      <c r="C182"/>
      <c r="D182" s="982"/>
    </row>
    <row r="183" spans="1:4" ht="12.75">
      <c r="A183"/>
      <c r="B183"/>
      <c r="C183"/>
      <c r="D183" s="982"/>
    </row>
    <row r="184" spans="1:4" ht="12.75">
      <c r="A184"/>
      <c r="B184"/>
      <c r="C184"/>
      <c r="D184" s="982"/>
    </row>
    <row r="185" spans="1:4" ht="12.75">
      <c r="A185"/>
      <c r="B185"/>
      <c r="C185"/>
      <c r="D185" s="982"/>
    </row>
    <row r="186" spans="1:4" ht="12.75">
      <c r="A186"/>
      <c r="B186"/>
      <c r="C186"/>
      <c r="D186" s="982"/>
    </row>
    <row r="187" spans="1:4" ht="12.75">
      <c r="A187"/>
      <c r="B187"/>
      <c r="C187"/>
      <c r="D187" s="982"/>
    </row>
    <row r="188" spans="1:4" ht="12.75">
      <c r="A188"/>
      <c r="B188"/>
      <c r="C188"/>
      <c r="D188" s="982"/>
    </row>
    <row r="189" spans="1:4" ht="12.75">
      <c r="A189"/>
      <c r="B189"/>
      <c r="C189"/>
      <c r="D189" s="982"/>
    </row>
    <row r="190" spans="1:4" ht="12.75">
      <c r="A190"/>
      <c r="B190"/>
      <c r="C190"/>
      <c r="D190" s="982"/>
    </row>
    <row r="191" spans="1:4" ht="12.75">
      <c r="A191"/>
      <c r="B191"/>
      <c r="C191"/>
      <c r="D191" s="982"/>
    </row>
    <row r="192" spans="1:4" ht="12.75">
      <c r="A192"/>
      <c r="B192"/>
      <c r="C192"/>
      <c r="D192" s="982"/>
    </row>
    <row r="193" spans="1:4" ht="12.75">
      <c r="A193"/>
      <c r="B193"/>
      <c r="C193"/>
      <c r="D193" s="982"/>
    </row>
    <row r="194" spans="1:4" ht="12.75">
      <c r="A194"/>
      <c r="B194"/>
      <c r="C194"/>
      <c r="D194" s="982"/>
    </row>
    <row r="195" spans="1:4" ht="12.75">
      <c r="A195"/>
      <c r="B195"/>
      <c r="C195"/>
      <c r="D195" s="982"/>
    </row>
    <row r="196" spans="1:4" ht="12.75">
      <c r="A196"/>
      <c r="B196"/>
      <c r="C196"/>
      <c r="D196" s="982"/>
    </row>
    <row r="197" spans="1:4" ht="12.75">
      <c r="A197"/>
      <c r="B197"/>
      <c r="C197"/>
      <c r="D197" s="982"/>
    </row>
    <row r="198" spans="1:4" ht="12.75">
      <c r="A198"/>
      <c r="B198"/>
      <c r="C198"/>
      <c r="D198" s="982"/>
    </row>
    <row r="199" spans="1:4" ht="12.75">
      <c r="A199"/>
      <c r="B199"/>
      <c r="C199"/>
      <c r="D199" s="982"/>
    </row>
    <row r="200" spans="1:4" ht="12.75">
      <c r="A200"/>
      <c r="B200"/>
      <c r="C200"/>
      <c r="D200" s="982"/>
    </row>
    <row r="201" spans="1:4" ht="12.75">
      <c r="A201"/>
      <c r="B201"/>
      <c r="C201"/>
      <c r="D201" s="982"/>
    </row>
    <row r="202" spans="1:4" ht="12.75">
      <c r="A202"/>
      <c r="B202"/>
      <c r="C202"/>
      <c r="D202" s="982"/>
    </row>
    <row r="203" spans="1:4" ht="12.75">
      <c r="A203"/>
      <c r="B203"/>
      <c r="C203"/>
      <c r="D203" s="982"/>
    </row>
    <row r="204" spans="1:4" ht="12.75">
      <c r="A204"/>
      <c r="B204"/>
      <c r="C204"/>
      <c r="D204" s="982"/>
    </row>
    <row r="205" spans="1:4" ht="12.75">
      <c r="A205"/>
      <c r="B205"/>
      <c r="C205"/>
      <c r="D205" s="982"/>
    </row>
    <row r="206" spans="1:4" ht="12.75">
      <c r="A206"/>
      <c r="B206"/>
      <c r="C206"/>
      <c r="D206" s="982"/>
    </row>
    <row r="207" spans="1:4" ht="12.75">
      <c r="A207"/>
      <c r="B207"/>
      <c r="C207"/>
      <c r="D207" s="982"/>
    </row>
    <row r="208" spans="1:4" ht="12.75">
      <c r="A208"/>
      <c r="B208"/>
      <c r="C208"/>
      <c r="D208" s="982"/>
    </row>
    <row r="209" spans="1:4" ht="12.75">
      <c r="A209"/>
      <c r="B209"/>
      <c r="C209"/>
      <c r="D209" s="982"/>
    </row>
    <row r="210" spans="1:4" ht="12.75">
      <c r="A210"/>
      <c r="B210"/>
      <c r="C210"/>
      <c r="D210" s="982"/>
    </row>
    <row r="211" spans="1:4" ht="12.75">
      <c r="A211"/>
      <c r="B211"/>
      <c r="C211"/>
      <c r="D211" s="982"/>
    </row>
    <row r="212" spans="1:4" ht="12.75">
      <c r="A212"/>
      <c r="B212"/>
      <c r="C212"/>
      <c r="D212" s="982"/>
    </row>
    <row r="213" spans="1:4" ht="12.75">
      <c r="A213"/>
      <c r="B213"/>
      <c r="C213"/>
      <c r="D213" s="982"/>
    </row>
    <row r="214" spans="1:4" ht="12.75">
      <c r="A214"/>
      <c r="B214"/>
      <c r="C214"/>
      <c r="D214" s="982"/>
    </row>
    <row r="215" spans="1:4" ht="12.75">
      <c r="A215"/>
      <c r="B215"/>
      <c r="C215"/>
      <c r="D215" s="982"/>
    </row>
    <row r="216" spans="1:4" ht="12.75">
      <c r="A216"/>
      <c r="B216"/>
      <c r="C216"/>
      <c r="D216" s="982"/>
    </row>
    <row r="217" spans="1:4" ht="12.75">
      <c r="A217"/>
      <c r="B217"/>
      <c r="C217"/>
      <c r="D217" s="982"/>
    </row>
    <row r="218" spans="1:4" ht="12.75">
      <c r="A218"/>
      <c r="B218"/>
      <c r="C218"/>
      <c r="D218" s="982"/>
    </row>
    <row r="219" spans="1:4" ht="12.75">
      <c r="A219"/>
      <c r="B219"/>
      <c r="C219"/>
      <c r="D219" s="982"/>
    </row>
    <row r="220" spans="1:4" ht="12.75">
      <c r="A220"/>
      <c r="B220"/>
      <c r="C220"/>
      <c r="D220" s="982"/>
    </row>
    <row r="221" spans="1:4" ht="12.75">
      <c r="A221"/>
      <c r="B221"/>
      <c r="C221"/>
      <c r="D221" s="982"/>
    </row>
    <row r="222" spans="1:4" ht="12.75">
      <c r="A222"/>
      <c r="B222"/>
      <c r="C222"/>
      <c r="D222" s="982"/>
    </row>
    <row r="223" spans="1:4" ht="12.75">
      <c r="A223"/>
      <c r="B223"/>
      <c r="C223"/>
      <c r="D223" s="982"/>
    </row>
    <row r="224" spans="1:4" ht="12.75">
      <c r="A224"/>
      <c r="B224"/>
      <c r="C224"/>
      <c r="D224" s="982"/>
    </row>
    <row r="225" spans="1:4" ht="12.75">
      <c r="A225"/>
      <c r="B225"/>
      <c r="C225"/>
      <c r="D225" s="982"/>
    </row>
    <row r="226" spans="1:4" ht="12.75">
      <c r="A226"/>
      <c r="B226"/>
      <c r="C226"/>
      <c r="D226" s="982"/>
    </row>
    <row r="227" spans="1:4" ht="12.75">
      <c r="A227"/>
      <c r="B227"/>
      <c r="C227"/>
      <c r="D227" s="982"/>
    </row>
    <row r="228" spans="1:4" ht="12.75">
      <c r="A228"/>
      <c r="B228"/>
      <c r="C228"/>
      <c r="D228" s="982"/>
    </row>
    <row r="229" spans="1:4" ht="12.75">
      <c r="A229"/>
      <c r="B229"/>
      <c r="C229"/>
      <c r="D229" s="982"/>
    </row>
    <row r="230" spans="1:4" ht="12.75">
      <c r="A230"/>
      <c r="B230"/>
      <c r="C230"/>
      <c r="D230" s="982"/>
    </row>
    <row r="231" spans="1:4" ht="12.75">
      <c r="A231"/>
      <c r="B231"/>
      <c r="C231"/>
      <c r="D231" s="982"/>
    </row>
    <row r="232" spans="1:4" ht="12.75">
      <c r="A232"/>
      <c r="B232"/>
      <c r="C232"/>
      <c r="D232" s="982"/>
    </row>
    <row r="233" spans="1:4" ht="12.75">
      <c r="A233"/>
      <c r="B233"/>
      <c r="C233"/>
      <c r="D233" s="982"/>
    </row>
    <row r="234" spans="1:4" ht="12.75">
      <c r="A234"/>
      <c r="B234"/>
      <c r="C234"/>
      <c r="D234" s="982"/>
    </row>
    <row r="235" spans="1:4" ht="12.75">
      <c r="A235"/>
      <c r="B235"/>
      <c r="C235"/>
      <c r="D235" s="982"/>
    </row>
    <row r="236" spans="1:4" ht="12.75">
      <c r="A236"/>
      <c r="B236"/>
      <c r="C236"/>
      <c r="D236" s="982"/>
    </row>
    <row r="237" spans="1:4" ht="12.75">
      <c r="A237"/>
      <c r="B237"/>
      <c r="C237"/>
      <c r="D237" s="982"/>
    </row>
    <row r="238" spans="1:4" ht="12.75">
      <c r="A238"/>
      <c r="B238"/>
      <c r="C238"/>
      <c r="D238" s="982"/>
    </row>
    <row r="239" spans="1:4" ht="12.75">
      <c r="A239"/>
      <c r="B239"/>
      <c r="C239"/>
      <c r="D239" s="982"/>
    </row>
    <row r="240" spans="1:4" ht="12.75">
      <c r="A240"/>
      <c r="B240"/>
      <c r="C240"/>
      <c r="D240" s="982"/>
    </row>
    <row r="241" spans="1:4" ht="12.75">
      <c r="A241"/>
      <c r="B241"/>
      <c r="C241"/>
      <c r="D241" s="982"/>
    </row>
    <row r="242" spans="1:4" ht="12.75">
      <c r="A242"/>
      <c r="B242"/>
      <c r="C242"/>
      <c r="D242" s="982"/>
    </row>
    <row r="243" spans="1:4" ht="12.75">
      <c r="A243"/>
      <c r="B243"/>
      <c r="C243"/>
      <c r="D243" s="982"/>
    </row>
    <row r="244" spans="1:4" ht="12.75">
      <c r="A244"/>
      <c r="B244"/>
      <c r="C244"/>
      <c r="D244" s="982"/>
    </row>
    <row r="245" spans="1:4" ht="12.75">
      <c r="A245"/>
      <c r="B245"/>
      <c r="C245"/>
      <c r="D245" s="982"/>
    </row>
    <row r="246" spans="1:4" ht="12.75">
      <c r="A246"/>
      <c r="B246"/>
      <c r="C246"/>
      <c r="D246" s="982"/>
    </row>
    <row r="247" spans="1:4" ht="12.75">
      <c r="A247"/>
      <c r="B247"/>
      <c r="C247"/>
      <c r="D247" s="982"/>
    </row>
    <row r="248" spans="1:4" ht="12.75">
      <c r="A248"/>
      <c r="B248"/>
      <c r="C248"/>
      <c r="D248" s="982"/>
    </row>
    <row r="249" spans="1:4" ht="12.75">
      <c r="A249"/>
      <c r="B249"/>
      <c r="C249"/>
      <c r="D249" s="982"/>
    </row>
    <row r="250" spans="1:4" ht="12.75">
      <c r="A250"/>
      <c r="B250"/>
      <c r="C250"/>
      <c r="D250" s="982"/>
    </row>
    <row r="251" spans="1:4" ht="12.75">
      <c r="A251"/>
      <c r="B251"/>
      <c r="C251"/>
      <c r="D251" s="982"/>
    </row>
    <row r="252" spans="1:4" ht="12.75">
      <c r="A252"/>
      <c r="B252"/>
      <c r="C252"/>
      <c r="D252" s="982"/>
    </row>
    <row r="253" spans="1:4" ht="12.75">
      <c r="A253"/>
      <c r="B253"/>
      <c r="C253"/>
      <c r="D253" s="982"/>
    </row>
    <row r="254" spans="1:4" ht="12.75">
      <c r="A254"/>
      <c r="B254"/>
      <c r="C254"/>
      <c r="D254" s="982"/>
    </row>
    <row r="255" spans="1:4" ht="12.75">
      <c r="A255"/>
      <c r="B255"/>
      <c r="C255"/>
      <c r="D255" s="982"/>
    </row>
    <row r="256" spans="1:4" ht="12.75">
      <c r="A256"/>
      <c r="B256"/>
      <c r="C256"/>
      <c r="D256" s="982"/>
    </row>
    <row r="257" spans="1:4" ht="12.75">
      <c r="A257"/>
      <c r="B257"/>
      <c r="C257"/>
      <c r="D257" s="982"/>
    </row>
    <row r="258" spans="1:4" ht="12.75">
      <c r="A258"/>
      <c r="B258"/>
      <c r="C258"/>
      <c r="D258" s="982"/>
    </row>
    <row r="259" spans="1:4" ht="12.75">
      <c r="A259"/>
      <c r="B259"/>
      <c r="C259"/>
      <c r="D259" s="982"/>
    </row>
    <row r="260" spans="1:4" ht="12.75">
      <c r="A260"/>
      <c r="B260"/>
      <c r="C260"/>
      <c r="D260" s="982"/>
    </row>
    <row r="261" spans="1:4" ht="12.75">
      <c r="A261"/>
      <c r="B261"/>
      <c r="C261"/>
      <c r="D261" s="982"/>
    </row>
    <row r="262" spans="1:4" ht="12.75">
      <c r="A262"/>
      <c r="B262"/>
      <c r="C262"/>
      <c r="D262" s="982"/>
    </row>
    <row r="263" spans="1:4" ht="12.75">
      <c r="A263"/>
      <c r="B263"/>
      <c r="C263"/>
      <c r="D263" s="982"/>
    </row>
    <row r="264" spans="1:4" ht="12.75">
      <c r="A264"/>
      <c r="B264"/>
      <c r="C264"/>
      <c r="D264" s="982"/>
    </row>
    <row r="265" spans="1:4" ht="12.75">
      <c r="A265"/>
      <c r="B265"/>
      <c r="C265"/>
      <c r="D265" s="982"/>
    </row>
    <row r="266" spans="1:4" ht="12.75">
      <c r="A266"/>
      <c r="B266"/>
      <c r="C266"/>
      <c r="D266" s="982"/>
    </row>
    <row r="267" spans="1:4" ht="12.75">
      <c r="A267"/>
      <c r="B267"/>
      <c r="C267"/>
      <c r="D267" s="982"/>
    </row>
    <row r="268" spans="1:4" ht="12.75">
      <c r="A268"/>
      <c r="B268"/>
      <c r="C268"/>
      <c r="D268" s="982"/>
    </row>
    <row r="269" spans="1:4" ht="12.75">
      <c r="A269"/>
      <c r="B269"/>
      <c r="C269"/>
      <c r="D269" s="982"/>
    </row>
    <row r="270" spans="1:4" ht="12.75">
      <c r="A270"/>
      <c r="B270"/>
      <c r="C270"/>
      <c r="D270" s="982"/>
    </row>
    <row r="271" spans="1:4" ht="12.75">
      <c r="A271"/>
      <c r="B271"/>
      <c r="C271"/>
      <c r="D271" s="982"/>
    </row>
    <row r="272" spans="1:4" ht="12.75">
      <c r="A272"/>
      <c r="B272"/>
      <c r="C272"/>
      <c r="D272" s="982"/>
    </row>
    <row r="273" spans="1:4" ht="12.75">
      <c r="A273"/>
      <c r="B273"/>
      <c r="C273"/>
      <c r="D273" s="982"/>
    </row>
    <row r="274" spans="1:4" ht="12.75">
      <c r="A274"/>
      <c r="B274"/>
      <c r="C274"/>
      <c r="D274" s="982"/>
    </row>
    <row r="275" spans="1:4" ht="12.75">
      <c r="A275"/>
      <c r="B275"/>
      <c r="C275"/>
      <c r="D275" s="982"/>
    </row>
    <row r="276" spans="1:4" ht="12.75">
      <c r="A276"/>
      <c r="B276"/>
      <c r="C276"/>
      <c r="D276" s="982"/>
    </row>
    <row r="277" spans="1:4" ht="12.75">
      <c r="A277"/>
      <c r="B277"/>
      <c r="C277"/>
      <c r="D277" s="982"/>
    </row>
    <row r="278" spans="1:4" ht="12.75">
      <c r="A278"/>
      <c r="B278"/>
      <c r="C278"/>
      <c r="D278" s="982"/>
    </row>
    <row r="279" spans="1:4" ht="12.75">
      <c r="A279"/>
      <c r="B279"/>
      <c r="C279"/>
      <c r="D279" s="982"/>
    </row>
    <row r="280" spans="1:4" ht="12.75">
      <c r="A280"/>
      <c r="B280"/>
      <c r="C280"/>
      <c r="D280" s="982"/>
    </row>
    <row r="281" spans="1:4" ht="12.75">
      <c r="A281"/>
      <c r="B281"/>
      <c r="C281"/>
      <c r="D281" s="982"/>
    </row>
    <row r="282" spans="1:4" ht="12.75">
      <c r="A282"/>
      <c r="B282"/>
      <c r="C282"/>
      <c r="D282" s="982"/>
    </row>
    <row r="283" spans="1:4" ht="12.75">
      <c r="A283"/>
      <c r="B283"/>
      <c r="C283"/>
      <c r="D283" s="982"/>
    </row>
    <row r="284" spans="1:4" ht="12.75">
      <c r="A284"/>
      <c r="B284"/>
      <c r="C284"/>
      <c r="D284" s="982"/>
    </row>
    <row r="285" spans="1:4" ht="12.75">
      <c r="A285"/>
      <c r="B285"/>
      <c r="C285"/>
      <c r="D285" s="982"/>
    </row>
    <row r="286" spans="1:4" ht="12.75">
      <c r="A286"/>
      <c r="B286"/>
      <c r="C286"/>
      <c r="D286" s="982"/>
    </row>
    <row r="287" spans="1:4" ht="12.75">
      <c r="A287"/>
      <c r="B287"/>
      <c r="C287"/>
      <c r="D287" s="982"/>
    </row>
    <row r="288" spans="1:4" ht="12.75">
      <c r="A288"/>
      <c r="B288"/>
      <c r="C288"/>
      <c r="D288" s="982"/>
    </row>
    <row r="289" spans="1:4" ht="12.75">
      <c r="A289"/>
      <c r="B289"/>
      <c r="C289"/>
      <c r="D289" s="982"/>
    </row>
    <row r="290" spans="1:4" ht="12.75">
      <c r="A290"/>
      <c r="B290"/>
      <c r="C290"/>
      <c r="D290" s="982"/>
    </row>
    <row r="291" spans="1:4" ht="12.75">
      <c r="A291"/>
      <c r="B291"/>
      <c r="C291"/>
      <c r="D291" s="982"/>
    </row>
    <row r="292" spans="1:4" ht="12.75">
      <c r="A292"/>
      <c r="B292"/>
      <c r="C292"/>
      <c r="D292" s="982"/>
    </row>
    <row r="293" spans="1:4" ht="12.75">
      <c r="A293"/>
      <c r="B293"/>
      <c r="C293"/>
      <c r="D293" s="982"/>
    </row>
    <row r="294" spans="1:4" ht="12.75">
      <c r="A294"/>
      <c r="B294"/>
      <c r="C294"/>
      <c r="D294" s="982"/>
    </row>
    <row r="295" spans="1:4" ht="12.75">
      <c r="A295"/>
      <c r="B295"/>
      <c r="C295"/>
      <c r="D295" s="982"/>
    </row>
    <row r="296" spans="1:4" ht="12.75">
      <c r="A296"/>
      <c r="B296"/>
      <c r="C296"/>
      <c r="D296" s="982"/>
    </row>
    <row r="297" spans="1:4" ht="12.75">
      <c r="A297"/>
      <c r="B297"/>
      <c r="C297"/>
      <c r="D297" s="982"/>
    </row>
    <row r="298" spans="1:4" ht="12.75">
      <c r="A298"/>
      <c r="B298"/>
      <c r="C298"/>
      <c r="D298" s="982"/>
    </row>
    <row r="299" spans="1:4" ht="12.75">
      <c r="A299"/>
      <c r="B299"/>
      <c r="C299"/>
      <c r="D299" s="982"/>
    </row>
    <row r="300" spans="1:4" ht="12.75">
      <c r="A300"/>
      <c r="B300"/>
      <c r="C300"/>
      <c r="D300" s="982"/>
    </row>
    <row r="301" spans="1:4" ht="12.75">
      <c r="A301"/>
      <c r="B301"/>
      <c r="C301"/>
      <c r="D301" s="982"/>
    </row>
    <row r="302" spans="1:4" ht="12.75">
      <c r="A302"/>
      <c r="B302"/>
      <c r="C302"/>
      <c r="D302" s="982"/>
    </row>
    <row r="303" spans="1:4" ht="12.75">
      <c r="A303"/>
      <c r="B303"/>
      <c r="C303"/>
      <c r="D303" s="982"/>
    </row>
    <row r="304" spans="1:4" ht="12.75">
      <c r="A304"/>
      <c r="B304"/>
      <c r="C304"/>
      <c r="D304" s="982"/>
    </row>
    <row r="305" spans="1:4" ht="12.75">
      <c r="A305"/>
      <c r="B305"/>
      <c r="C305"/>
      <c r="D305" s="982"/>
    </row>
    <row r="306" spans="1:4" ht="12.75">
      <c r="A306"/>
      <c r="B306"/>
      <c r="C306"/>
      <c r="D306" s="982"/>
    </row>
    <row r="307" spans="1:4" ht="12.75">
      <c r="A307"/>
      <c r="B307"/>
      <c r="C307"/>
      <c r="D307" s="982"/>
    </row>
    <row r="308" spans="1:4" ht="12.75">
      <c r="A308"/>
      <c r="B308"/>
      <c r="C308"/>
      <c r="D308" s="982"/>
    </row>
    <row r="309" spans="1:4" ht="12.75">
      <c r="A309"/>
      <c r="B309"/>
      <c r="C309"/>
      <c r="D309" s="982"/>
    </row>
    <row r="310" spans="1:4" ht="12.75">
      <c r="A310"/>
      <c r="B310"/>
      <c r="C310"/>
      <c r="D310" s="982"/>
    </row>
    <row r="311" spans="1:4" ht="12.75">
      <c r="A311"/>
      <c r="B311"/>
      <c r="C311"/>
      <c r="D311" s="982"/>
    </row>
    <row r="312" spans="1:4" ht="12.75">
      <c r="A312"/>
      <c r="B312"/>
      <c r="C312"/>
      <c r="D312" s="982"/>
    </row>
    <row r="313" spans="1:4" ht="12.75">
      <c r="A313"/>
      <c r="B313"/>
      <c r="C313"/>
      <c r="D313" s="982"/>
    </row>
    <row r="314" spans="1:4" ht="12.75">
      <c r="A314"/>
      <c r="B314"/>
      <c r="C314"/>
      <c r="D314" s="982"/>
    </row>
    <row r="315" spans="1:4" ht="12.75">
      <c r="A315"/>
      <c r="B315"/>
      <c r="C315"/>
      <c r="D315" s="982"/>
    </row>
    <row r="316" spans="1:4" ht="12.75">
      <c r="A316"/>
      <c r="B316"/>
      <c r="C316"/>
      <c r="D316" s="982"/>
    </row>
    <row r="317" spans="1:4" ht="12.75">
      <c r="A317"/>
      <c r="B317"/>
      <c r="C317"/>
      <c r="D317" s="982"/>
    </row>
    <row r="318" spans="1:4" ht="12.75">
      <c r="A318"/>
      <c r="B318"/>
      <c r="C318"/>
      <c r="D318" s="982"/>
    </row>
    <row r="319" spans="1:4" ht="12.75">
      <c r="A319"/>
      <c r="B319"/>
      <c r="C319"/>
      <c r="D319" s="982"/>
    </row>
    <row r="320" spans="1:4" ht="12.75">
      <c r="A320"/>
      <c r="B320"/>
      <c r="C320"/>
      <c r="D320" s="982"/>
    </row>
    <row r="321" spans="1:4" ht="12.75">
      <c r="A321"/>
      <c r="B321"/>
      <c r="C321"/>
      <c r="D321" s="982"/>
    </row>
    <row r="322" spans="1:4" ht="12.75">
      <c r="A322"/>
      <c r="B322"/>
      <c r="C322"/>
      <c r="D322" s="982"/>
    </row>
    <row r="323" spans="1:4" ht="12.75">
      <c r="A323"/>
      <c r="B323"/>
      <c r="C323"/>
      <c r="D323" s="982"/>
    </row>
    <row r="324" spans="1:4" ht="12.75">
      <c r="A324"/>
      <c r="B324"/>
      <c r="C324"/>
      <c r="D324" s="982"/>
    </row>
    <row r="325" spans="1:4" ht="12.75">
      <c r="A325"/>
      <c r="B325"/>
      <c r="C325"/>
      <c r="D325" s="982"/>
    </row>
    <row r="326" spans="1:4" ht="12.75">
      <c r="A326"/>
      <c r="B326"/>
      <c r="C326"/>
      <c r="D326" s="982"/>
    </row>
    <row r="327" spans="1:4" ht="12.75">
      <c r="A327"/>
      <c r="B327"/>
      <c r="C327"/>
      <c r="D327" s="982"/>
    </row>
    <row r="328" spans="1:4" ht="12.75">
      <c r="A328"/>
      <c r="B328"/>
      <c r="C328"/>
      <c r="D328" s="982"/>
    </row>
    <row r="329" spans="1:4" ht="12.75">
      <c r="A329"/>
      <c r="B329"/>
      <c r="C329"/>
      <c r="D329" s="982"/>
    </row>
    <row r="330" spans="1:4" ht="12.75">
      <c r="A330"/>
      <c r="B330"/>
      <c r="C330"/>
      <c r="D330" s="982"/>
    </row>
    <row r="331" spans="1:4" ht="12.75">
      <c r="A331"/>
      <c r="B331"/>
      <c r="C331"/>
      <c r="D331" s="982"/>
    </row>
    <row r="332" spans="1:4" ht="12.75">
      <c r="A332"/>
      <c r="B332"/>
      <c r="C332"/>
      <c r="D332" s="982"/>
    </row>
    <row r="333" spans="1:4" ht="12.75">
      <c r="A333"/>
      <c r="B333"/>
      <c r="C333"/>
      <c r="D333" s="982"/>
    </row>
    <row r="334" spans="1:4" ht="12.75">
      <c r="A334"/>
      <c r="B334"/>
      <c r="C334"/>
      <c r="D334" s="982"/>
    </row>
    <row r="335" spans="1:4" ht="12.75">
      <c r="A335"/>
      <c r="B335"/>
      <c r="C335"/>
      <c r="D335" s="982"/>
    </row>
    <row r="336" spans="1:4" ht="12.75">
      <c r="A336"/>
      <c r="B336"/>
      <c r="C336"/>
      <c r="D336" s="982"/>
    </row>
    <row r="337" spans="1:4" ht="12.75">
      <c r="A337"/>
      <c r="B337"/>
      <c r="C337"/>
      <c r="D337" s="982"/>
    </row>
    <row r="338" spans="1:4" ht="12.75">
      <c r="A338"/>
      <c r="B338"/>
      <c r="C338"/>
      <c r="D338" s="982"/>
    </row>
    <row r="339" spans="1:4" ht="12.75">
      <c r="A339"/>
      <c r="B339"/>
      <c r="C339"/>
      <c r="D339" s="982"/>
    </row>
    <row r="340" spans="1:4" ht="12.75">
      <c r="A340"/>
      <c r="B340"/>
      <c r="C340"/>
      <c r="D340" s="982"/>
    </row>
    <row r="341" spans="1:4" ht="12.75">
      <c r="A341"/>
      <c r="B341"/>
      <c r="C341"/>
      <c r="D341" s="982"/>
    </row>
    <row r="342" spans="1:4" ht="12.75">
      <c r="A342"/>
      <c r="B342"/>
      <c r="C342"/>
      <c r="D342" s="982"/>
    </row>
    <row r="343" spans="1:4" ht="12.75">
      <c r="A343"/>
      <c r="B343"/>
      <c r="C343"/>
      <c r="D343" s="982"/>
    </row>
    <row r="344" spans="1:4" ht="12.75">
      <c r="A344"/>
      <c r="B344"/>
      <c r="C344"/>
      <c r="D344" s="982"/>
    </row>
    <row r="345" spans="1:4" ht="12.75">
      <c r="A345"/>
      <c r="B345"/>
      <c r="C345"/>
      <c r="D345" s="982"/>
    </row>
    <row r="346" spans="1:4" ht="12.75">
      <c r="A346"/>
      <c r="B346"/>
      <c r="C346"/>
      <c r="D346" s="982"/>
    </row>
    <row r="347" spans="1:4" ht="12.75">
      <c r="A347"/>
      <c r="B347"/>
      <c r="C347"/>
      <c r="D347" s="982"/>
    </row>
    <row r="348" spans="1:4" ht="12.75">
      <c r="A348"/>
      <c r="B348"/>
      <c r="C348"/>
      <c r="D348" s="982"/>
    </row>
    <row r="349" spans="1:4" ht="12.75">
      <c r="A349"/>
      <c r="B349"/>
      <c r="C349"/>
      <c r="D349" s="982"/>
    </row>
    <row r="350" spans="1:4" ht="12.75">
      <c r="A350"/>
      <c r="B350"/>
      <c r="C350"/>
      <c r="D350" s="982"/>
    </row>
    <row r="351" spans="1:4" ht="12.75">
      <c r="A351"/>
      <c r="B351"/>
      <c r="C351"/>
      <c r="D351" s="982"/>
    </row>
    <row r="352" spans="1:4" ht="12.75">
      <c r="A352"/>
      <c r="B352"/>
      <c r="C352"/>
      <c r="D352" s="982"/>
    </row>
    <row r="353" spans="1:4" ht="12.75">
      <c r="A353"/>
      <c r="B353"/>
      <c r="C353"/>
      <c r="D353" s="982"/>
    </row>
    <row r="354" spans="1:4" ht="12.75">
      <c r="A354"/>
      <c r="B354"/>
      <c r="C354"/>
      <c r="D354" s="982"/>
    </row>
    <row r="355" spans="1:4" ht="12.75">
      <c r="A355"/>
      <c r="B355"/>
      <c r="C355"/>
      <c r="D355" s="982"/>
    </row>
    <row r="356" spans="1:4" ht="12.75">
      <c r="A356"/>
      <c r="B356"/>
      <c r="C356"/>
      <c r="D356" s="982"/>
    </row>
    <row r="357" spans="1:4" ht="12.75">
      <c r="A357"/>
      <c r="B357"/>
      <c r="C357"/>
      <c r="D357" s="982"/>
    </row>
    <row r="358" spans="1:4" ht="12.75">
      <c r="A358"/>
      <c r="B358"/>
      <c r="C358"/>
      <c r="D358" s="982"/>
    </row>
    <row r="359" spans="1:4" ht="12.75">
      <c r="A359"/>
      <c r="B359"/>
      <c r="C359"/>
      <c r="D359" s="982"/>
    </row>
    <row r="360" spans="1:4" ht="12.75">
      <c r="A360"/>
      <c r="B360"/>
      <c r="C360"/>
      <c r="D360" s="982"/>
    </row>
    <row r="361" spans="1:4" ht="12.75">
      <c r="A361"/>
      <c r="B361"/>
      <c r="C361"/>
      <c r="D361" s="982"/>
    </row>
    <row r="362" spans="1:4" ht="12.75">
      <c r="A362"/>
      <c r="B362"/>
      <c r="C362"/>
      <c r="D362" s="982"/>
    </row>
    <row r="363" spans="1:4" ht="12.75">
      <c r="A363"/>
      <c r="B363"/>
      <c r="C363"/>
      <c r="D363" s="982"/>
    </row>
    <row r="364" spans="1:4" ht="12.75">
      <c r="A364"/>
      <c r="B364"/>
      <c r="C364"/>
      <c r="D364" s="982"/>
    </row>
    <row r="365" spans="1:4" ht="12.75">
      <c r="A365"/>
      <c r="B365"/>
      <c r="C365"/>
      <c r="D365" s="982"/>
    </row>
    <row r="366" spans="1:4" ht="12.75">
      <c r="A366"/>
      <c r="B366"/>
      <c r="C366"/>
      <c r="D366" s="982"/>
    </row>
    <row r="367" spans="1:4" ht="12.75">
      <c r="A367"/>
      <c r="B367"/>
      <c r="C367"/>
      <c r="D367" s="982"/>
    </row>
    <row r="368" spans="1:4" ht="12.75">
      <c r="A368"/>
      <c r="B368"/>
      <c r="C368"/>
      <c r="D368" s="982"/>
    </row>
    <row r="369" spans="1:4" ht="12.75">
      <c r="A369"/>
      <c r="B369"/>
      <c r="C369"/>
      <c r="D369" s="982"/>
    </row>
    <row r="370" spans="1:4" ht="12.75">
      <c r="A370"/>
      <c r="B370"/>
      <c r="C370"/>
      <c r="D370" s="982"/>
    </row>
    <row r="371" spans="1:4" ht="12.75">
      <c r="A371"/>
      <c r="B371"/>
      <c r="C371"/>
      <c r="D371" s="982"/>
    </row>
    <row r="372" spans="1:4" ht="12.75">
      <c r="A372"/>
      <c r="B372"/>
      <c r="C372"/>
      <c r="D372" s="982"/>
    </row>
    <row r="373" spans="1:4" ht="12.75">
      <c r="A373"/>
      <c r="B373"/>
      <c r="C373"/>
      <c r="D373" s="982"/>
    </row>
    <row r="374" spans="1:4" ht="12.75">
      <c r="A374"/>
      <c r="B374"/>
      <c r="C374"/>
      <c r="D374" s="982"/>
    </row>
    <row r="375" spans="1:4" ht="12.75">
      <c r="A375"/>
      <c r="B375"/>
      <c r="C375"/>
      <c r="D375" s="982"/>
    </row>
    <row r="376" spans="1:4" ht="12.75">
      <c r="A376"/>
      <c r="B376"/>
      <c r="C376"/>
      <c r="D376" s="982"/>
    </row>
    <row r="377" spans="1:4" ht="12.75">
      <c r="A377"/>
      <c r="B377"/>
      <c r="C377"/>
      <c r="D377" s="982"/>
    </row>
    <row r="378" spans="1:4" ht="12.75">
      <c r="A378"/>
      <c r="B378"/>
      <c r="C378"/>
      <c r="D378" s="982"/>
    </row>
    <row r="379" spans="1:4" ht="12.75">
      <c r="A379"/>
      <c r="B379"/>
      <c r="C379"/>
      <c r="D379" s="982"/>
    </row>
    <row r="380" spans="1:4" ht="12.75">
      <c r="A380"/>
      <c r="B380"/>
      <c r="C380"/>
      <c r="D380" s="982"/>
    </row>
    <row r="381" spans="1:4" ht="12.75">
      <c r="A381"/>
      <c r="B381"/>
      <c r="C381"/>
      <c r="D381" s="982"/>
    </row>
    <row r="382" spans="1:4" ht="12.75">
      <c r="A382"/>
      <c r="B382"/>
      <c r="C382"/>
      <c r="D382" s="982"/>
    </row>
    <row r="383" spans="1:4" ht="12.75">
      <c r="A383"/>
      <c r="B383"/>
      <c r="C383"/>
      <c r="D383" s="982"/>
    </row>
    <row r="384" spans="1:4" ht="12.75">
      <c r="A384"/>
      <c r="B384"/>
      <c r="C384"/>
      <c r="D384" s="982"/>
    </row>
    <row r="385" spans="1:4" ht="12.75">
      <c r="A385"/>
      <c r="B385"/>
      <c r="C385"/>
      <c r="D385" s="982"/>
    </row>
    <row r="386" spans="1:4" ht="12.75">
      <c r="A386"/>
      <c r="B386"/>
      <c r="C386"/>
      <c r="D386" s="982"/>
    </row>
    <row r="387" spans="1:4" ht="12.75">
      <c r="A387"/>
      <c r="B387"/>
      <c r="C387"/>
      <c r="D387" s="982"/>
    </row>
    <row r="388" spans="1:4" ht="12.75">
      <c r="A388"/>
      <c r="B388"/>
      <c r="C388"/>
      <c r="D388" s="982"/>
    </row>
    <row r="389" spans="1:4" ht="12.75">
      <c r="A389"/>
      <c r="B389"/>
      <c r="C389"/>
      <c r="D389" s="982"/>
    </row>
    <row r="390" spans="1:4" ht="12.75">
      <c r="A390"/>
      <c r="B390"/>
      <c r="C390"/>
      <c r="D390" s="982"/>
    </row>
    <row r="391" spans="1:4" ht="12.75">
      <c r="A391"/>
      <c r="B391"/>
      <c r="C391"/>
      <c r="D391" s="982"/>
    </row>
    <row r="392" spans="1:4" ht="12.75">
      <c r="A392"/>
      <c r="B392"/>
      <c r="C392"/>
      <c r="D392" s="982"/>
    </row>
    <row r="393" spans="1:4" ht="12.75">
      <c r="A393"/>
      <c r="B393"/>
      <c r="C393"/>
      <c r="D393" s="982"/>
    </row>
    <row r="394" spans="1:4" ht="12.75">
      <c r="A394"/>
      <c r="B394"/>
      <c r="C394"/>
      <c r="D394" s="982"/>
    </row>
    <row r="395" spans="1:4" ht="12.75">
      <c r="A395"/>
      <c r="B395"/>
      <c r="C395"/>
      <c r="D395" s="982"/>
    </row>
    <row r="396" spans="1:4" ht="12.75">
      <c r="A396"/>
      <c r="B396"/>
      <c r="C396"/>
      <c r="D396" s="982"/>
    </row>
    <row r="397" spans="1:4" ht="12.75">
      <c r="A397"/>
      <c r="B397"/>
      <c r="C397"/>
      <c r="D397" s="982"/>
    </row>
    <row r="398" spans="1:4" ht="12.75">
      <c r="A398"/>
      <c r="B398"/>
      <c r="C398"/>
      <c r="D398" s="982"/>
    </row>
    <row r="399" spans="1:4" ht="12.75">
      <c r="A399"/>
      <c r="B399"/>
      <c r="C399"/>
      <c r="D399" s="982"/>
    </row>
    <row r="400" spans="1:4" ht="12.75">
      <c r="A400"/>
      <c r="B400"/>
      <c r="C400"/>
      <c r="D400" s="982"/>
    </row>
    <row r="401" spans="1:4" ht="12.75">
      <c r="A401"/>
      <c r="B401"/>
      <c r="C401"/>
      <c r="D401" s="982"/>
    </row>
    <row r="402" spans="1:4" ht="12.75">
      <c r="A402"/>
      <c r="B402"/>
      <c r="C402"/>
      <c r="D402" s="982"/>
    </row>
    <row r="403" spans="1:4" ht="12.75">
      <c r="A403"/>
      <c r="B403"/>
      <c r="C403"/>
      <c r="D403" s="982"/>
    </row>
    <row r="404" spans="1:4" ht="12.75">
      <c r="A404"/>
      <c r="B404"/>
      <c r="C404"/>
      <c r="D404" s="982"/>
    </row>
    <row r="405" spans="1:4" ht="12.75">
      <c r="A405"/>
      <c r="B405"/>
      <c r="C405"/>
      <c r="D405" s="982"/>
    </row>
    <row r="406" spans="1:4" ht="12.75">
      <c r="A406"/>
      <c r="B406"/>
      <c r="C406"/>
      <c r="D406" s="982"/>
    </row>
    <row r="407" spans="1:4" ht="12.75">
      <c r="A407"/>
      <c r="B407"/>
      <c r="C407"/>
      <c r="D407" s="982"/>
    </row>
    <row r="408" spans="1:4" ht="12.75">
      <c r="A408"/>
      <c r="B408"/>
      <c r="C408"/>
      <c r="D408" s="982"/>
    </row>
    <row r="409" spans="1:4" ht="12.75">
      <c r="A409"/>
      <c r="B409"/>
      <c r="C409"/>
      <c r="D409" s="982"/>
    </row>
    <row r="410" spans="1:4" ht="12.75">
      <c r="A410"/>
      <c r="B410"/>
      <c r="C410"/>
      <c r="D410" s="982"/>
    </row>
    <row r="411" spans="1:4" ht="12.75">
      <c r="A411"/>
      <c r="B411"/>
      <c r="C411"/>
      <c r="D411" s="982"/>
    </row>
    <row r="412" spans="1:4" ht="12.75">
      <c r="A412"/>
      <c r="B412"/>
      <c r="C412"/>
      <c r="D412" s="982"/>
    </row>
    <row r="413" spans="1:4" ht="12.75">
      <c r="A413"/>
      <c r="B413"/>
      <c r="C413"/>
      <c r="D413" s="982"/>
    </row>
    <row r="414" spans="1:4" ht="12.75">
      <c r="A414"/>
      <c r="B414"/>
      <c r="C414"/>
      <c r="D414" s="982"/>
    </row>
    <row r="415" spans="1:4" ht="12.75">
      <c r="A415"/>
      <c r="B415"/>
      <c r="C415"/>
      <c r="D415" s="982"/>
    </row>
    <row r="416" spans="1:4" ht="12.75">
      <c r="A416"/>
      <c r="B416"/>
      <c r="C416"/>
      <c r="D416" s="982"/>
    </row>
    <row r="417" spans="1:4" ht="12.75">
      <c r="A417"/>
      <c r="B417"/>
      <c r="C417"/>
      <c r="D417" s="982"/>
    </row>
    <row r="418" spans="1:4" ht="12.75">
      <c r="A418"/>
      <c r="B418"/>
      <c r="C418"/>
      <c r="D418" s="982"/>
    </row>
    <row r="419" spans="1:4" ht="12.75">
      <c r="A419"/>
      <c r="B419"/>
      <c r="C419"/>
      <c r="D419" s="982"/>
    </row>
    <row r="420" spans="1:4" ht="12.75">
      <c r="A420"/>
      <c r="B420"/>
      <c r="C420"/>
      <c r="D420" s="982"/>
    </row>
    <row r="421" spans="1:4" ht="12.75">
      <c r="A421"/>
      <c r="B421"/>
      <c r="C421"/>
      <c r="D421" s="982"/>
    </row>
    <row r="422" spans="1:4" ht="12.75">
      <c r="A422"/>
      <c r="B422"/>
      <c r="C422"/>
      <c r="D422" s="982"/>
    </row>
    <row r="423" spans="1:4" ht="12.75">
      <c r="A423"/>
      <c r="B423"/>
      <c r="C423"/>
      <c r="D423" s="982"/>
    </row>
    <row r="424" spans="1:4" ht="12.75">
      <c r="A424"/>
      <c r="B424"/>
      <c r="C424"/>
      <c r="D424" s="982"/>
    </row>
    <row r="425" spans="1:4" ht="12.75">
      <c r="A425"/>
      <c r="B425"/>
      <c r="C425"/>
      <c r="D425" s="982"/>
    </row>
    <row r="426" spans="1:4" ht="12.75">
      <c r="A426"/>
      <c r="B426"/>
      <c r="C426"/>
      <c r="D426" s="982"/>
    </row>
    <row r="427" spans="1:4" ht="12.75">
      <c r="A427"/>
      <c r="B427"/>
      <c r="C427"/>
      <c r="D427" s="982"/>
    </row>
    <row r="428" spans="1:4" ht="12.75">
      <c r="A428"/>
      <c r="B428"/>
      <c r="C428"/>
      <c r="D428" s="982"/>
    </row>
    <row r="429" spans="1:4" ht="12.75">
      <c r="A429"/>
      <c r="B429"/>
      <c r="C429"/>
      <c r="D429" s="982"/>
    </row>
    <row r="430" spans="1:4" ht="12.75">
      <c r="A430"/>
      <c r="B430"/>
      <c r="C430"/>
      <c r="D430" s="982"/>
    </row>
    <row r="431" spans="1:4" ht="12.75">
      <c r="A431"/>
      <c r="B431"/>
      <c r="C431"/>
      <c r="D431" s="982"/>
    </row>
    <row r="432" spans="1:4" ht="12.75">
      <c r="A432"/>
      <c r="B432"/>
      <c r="C432"/>
      <c r="D432" s="982"/>
    </row>
    <row r="433" spans="1:4" ht="12.75">
      <c r="A433"/>
      <c r="B433"/>
      <c r="C433"/>
      <c r="D433" s="982"/>
    </row>
    <row r="434" spans="1:4" ht="12.75">
      <c r="A434"/>
      <c r="B434"/>
      <c r="C434"/>
      <c r="D434" s="982"/>
    </row>
    <row r="435" spans="1:4" ht="12.75">
      <c r="A435"/>
      <c r="B435"/>
      <c r="C435"/>
      <c r="D435" s="982"/>
    </row>
    <row r="436" spans="1:4" ht="12.75">
      <c r="A436"/>
      <c r="B436"/>
      <c r="C436"/>
      <c r="D436" s="982"/>
    </row>
    <row r="437" spans="1:4" ht="12.75">
      <c r="A437"/>
      <c r="B437"/>
      <c r="C437"/>
      <c r="D437" s="982"/>
    </row>
    <row r="438" spans="1:4" ht="12.75">
      <c r="A438"/>
      <c r="B438"/>
      <c r="C438"/>
      <c r="D438" s="982"/>
    </row>
    <row r="439" spans="1:4" ht="12.75">
      <c r="A439"/>
      <c r="B439"/>
      <c r="C439"/>
      <c r="D439" s="982"/>
    </row>
    <row r="440" spans="1:4" ht="12.75">
      <c r="A440"/>
      <c r="B440"/>
      <c r="C440"/>
      <c r="D440" s="982"/>
    </row>
    <row r="441" spans="1:4" ht="12.75">
      <c r="A441"/>
      <c r="B441"/>
      <c r="C441"/>
      <c r="D441" s="982"/>
    </row>
    <row r="442" spans="1:4" ht="12.75">
      <c r="A442"/>
      <c r="B442"/>
      <c r="C442"/>
      <c r="D442" s="982"/>
    </row>
    <row r="443" spans="1:4" ht="12.75">
      <c r="A443"/>
      <c r="B443"/>
      <c r="C443"/>
      <c r="D443" s="982"/>
    </row>
    <row r="444" spans="1:4" ht="12.75">
      <c r="A444"/>
      <c r="B444"/>
      <c r="C444"/>
      <c r="D444" s="982"/>
    </row>
    <row r="445" spans="1:4" ht="12.75">
      <c r="A445"/>
      <c r="B445"/>
      <c r="C445"/>
      <c r="D445" s="982"/>
    </row>
    <row r="446" spans="1:4" ht="12.75">
      <c r="A446"/>
      <c r="B446"/>
      <c r="C446"/>
      <c r="D446" s="982"/>
    </row>
    <row r="447" spans="1:4" ht="12.75">
      <c r="A447"/>
      <c r="B447"/>
      <c r="C447"/>
      <c r="D447" s="982"/>
    </row>
    <row r="448" spans="1:4" ht="12.75">
      <c r="A448"/>
      <c r="B448"/>
      <c r="C448"/>
      <c r="D448" s="982"/>
    </row>
    <row r="449" spans="1:4" ht="12.75">
      <c r="A449"/>
      <c r="B449"/>
      <c r="C449"/>
      <c r="D449" s="982"/>
    </row>
    <row r="450" spans="1:4" ht="12.75">
      <c r="A450"/>
      <c r="B450"/>
      <c r="C450"/>
      <c r="D450" s="982"/>
    </row>
    <row r="451" spans="1:4" ht="12.75">
      <c r="A451"/>
      <c r="B451"/>
      <c r="C451"/>
      <c r="D451" s="982"/>
    </row>
    <row r="452" spans="1:4" ht="12.75">
      <c r="A452"/>
      <c r="B452"/>
      <c r="C452"/>
      <c r="D452" s="982"/>
    </row>
    <row r="453" spans="1:4" ht="12.75">
      <c r="A453"/>
      <c r="B453"/>
      <c r="C453"/>
      <c r="D453" s="982"/>
    </row>
    <row r="454" spans="1:4" ht="12.75">
      <c r="A454"/>
      <c r="B454"/>
      <c r="C454"/>
      <c r="D454" s="982"/>
    </row>
    <row r="455" spans="1:4" ht="12.75">
      <c r="A455"/>
      <c r="B455"/>
      <c r="C455"/>
      <c r="D455" s="982"/>
    </row>
    <row r="456" spans="1:4" ht="12.75">
      <c r="A456"/>
      <c r="B456"/>
      <c r="C456"/>
      <c r="D456" s="982"/>
    </row>
    <row r="457" spans="1:4" ht="12.75">
      <c r="A457"/>
      <c r="B457"/>
      <c r="C457"/>
      <c r="D457" s="982"/>
    </row>
    <row r="458" spans="1:4" ht="12.75">
      <c r="A458"/>
      <c r="B458"/>
      <c r="C458"/>
      <c r="D458" s="982"/>
    </row>
    <row r="459" spans="1:4" ht="12.75">
      <c r="A459"/>
      <c r="B459"/>
      <c r="C459"/>
      <c r="D459" s="982"/>
    </row>
    <row r="460" spans="1:4" ht="12.75">
      <c r="A460"/>
      <c r="B460"/>
      <c r="C460"/>
      <c r="D460" s="982"/>
    </row>
    <row r="461" spans="1:4" ht="12.75">
      <c r="A461"/>
      <c r="B461"/>
      <c r="C461"/>
      <c r="D461" s="982"/>
    </row>
    <row r="462" spans="1:4" ht="12.75">
      <c r="A462"/>
      <c r="B462"/>
      <c r="C462"/>
      <c r="D462" s="982"/>
    </row>
    <row r="463" spans="1:4" ht="12.75">
      <c r="A463"/>
      <c r="B463"/>
      <c r="C463"/>
      <c r="D463" s="982"/>
    </row>
    <row r="464" spans="1:4" ht="12.75">
      <c r="A464"/>
      <c r="B464"/>
      <c r="C464"/>
      <c r="D464" s="982"/>
    </row>
    <row r="465" spans="1:4" ht="12.75">
      <c r="A465"/>
      <c r="B465"/>
      <c r="C465"/>
      <c r="D465" s="982"/>
    </row>
    <row r="466" spans="1:4" ht="12.75">
      <c r="A466"/>
      <c r="B466"/>
      <c r="C466"/>
      <c r="D466" s="982"/>
    </row>
    <row r="467" spans="1:4" ht="12.75">
      <c r="A467"/>
      <c r="B467"/>
      <c r="C467"/>
      <c r="D467" s="982"/>
    </row>
    <row r="468" spans="1:4" ht="12.75">
      <c r="A468"/>
      <c r="B468"/>
      <c r="C468"/>
      <c r="D468" s="982"/>
    </row>
    <row r="469" spans="1:4" ht="12.75">
      <c r="A469"/>
      <c r="B469"/>
      <c r="C469"/>
      <c r="D469" s="982"/>
    </row>
    <row r="470" spans="1:4" ht="12.75">
      <c r="A470"/>
      <c r="B470"/>
      <c r="C470"/>
      <c r="D470" s="982"/>
    </row>
    <row r="471" spans="1:4" ht="12.75">
      <c r="A471"/>
      <c r="B471"/>
      <c r="C471"/>
      <c r="D471" s="982"/>
    </row>
    <row r="472" spans="1:4" ht="12.75">
      <c r="A472"/>
      <c r="B472"/>
      <c r="C472"/>
      <c r="D472" s="982"/>
    </row>
    <row r="473" spans="1:4" ht="12.75">
      <c r="A473"/>
      <c r="B473"/>
      <c r="C473"/>
      <c r="D473" s="982"/>
    </row>
    <row r="474" spans="1:4" ht="12.75">
      <c r="A474"/>
      <c r="B474"/>
      <c r="C474"/>
      <c r="D474" s="982"/>
    </row>
    <row r="475" spans="1:4" ht="12.75">
      <c r="A475"/>
      <c r="B475"/>
      <c r="C475"/>
      <c r="D475" s="982"/>
    </row>
    <row r="476" spans="1:4" ht="12.75">
      <c r="A476"/>
      <c r="B476"/>
      <c r="C476"/>
      <c r="D476" s="982"/>
    </row>
    <row r="477" spans="1:4" ht="12.75">
      <c r="A477"/>
      <c r="B477"/>
      <c r="C477"/>
      <c r="D477" s="982"/>
    </row>
    <row r="478" spans="1:4" ht="12.75">
      <c r="A478"/>
      <c r="B478"/>
      <c r="C478"/>
      <c r="D478" s="982"/>
    </row>
    <row r="479" spans="1:4" ht="12.75">
      <c r="A479"/>
      <c r="B479"/>
      <c r="C479"/>
      <c r="D479" s="982"/>
    </row>
    <row r="480" spans="1:4" ht="12.75">
      <c r="A480"/>
      <c r="B480"/>
      <c r="C480"/>
      <c r="D480" s="982"/>
    </row>
    <row r="481" spans="1:4" ht="12.75">
      <c r="A481"/>
      <c r="B481"/>
      <c r="C481"/>
      <c r="D481" s="982"/>
    </row>
    <row r="482" spans="1:4" ht="12.75">
      <c r="A482"/>
      <c r="B482"/>
      <c r="C482"/>
      <c r="D482" s="982"/>
    </row>
    <row r="483" spans="1:4" ht="12.75">
      <c r="A483"/>
      <c r="B483"/>
      <c r="C483"/>
      <c r="D483" s="982"/>
    </row>
    <row r="484" spans="1:4" ht="12.75">
      <c r="A484"/>
      <c r="B484"/>
      <c r="C484"/>
      <c r="D484" s="982"/>
    </row>
    <row r="485" spans="1:4" ht="12.75">
      <c r="A485"/>
      <c r="B485"/>
      <c r="C485"/>
      <c r="D485" s="982"/>
    </row>
    <row r="486" spans="1:4" ht="12.75">
      <c r="A486"/>
      <c r="B486"/>
      <c r="C486"/>
      <c r="D486" s="982"/>
    </row>
    <row r="487" spans="1:4" ht="12.75">
      <c r="A487"/>
      <c r="B487"/>
      <c r="C487"/>
      <c r="D487" s="982"/>
    </row>
    <row r="488" spans="1:4" ht="12.75">
      <c r="A488"/>
      <c r="B488"/>
      <c r="C488"/>
      <c r="D488" s="982"/>
    </row>
    <row r="489" spans="1:4" ht="12.75">
      <c r="A489"/>
      <c r="B489"/>
      <c r="C489"/>
      <c r="D489" s="982"/>
    </row>
    <row r="490" spans="1:4" ht="12.75">
      <c r="A490"/>
      <c r="B490"/>
      <c r="C490"/>
      <c r="D490" s="982"/>
    </row>
    <row r="491" spans="1:4" ht="12.75">
      <c r="A491"/>
      <c r="B491"/>
      <c r="C491"/>
      <c r="D491" s="982"/>
    </row>
    <row r="492" spans="1:4" ht="12.75">
      <c r="A492"/>
      <c r="B492"/>
      <c r="C492"/>
      <c r="D492" s="982"/>
    </row>
    <row r="493" spans="1:4" ht="12.75">
      <c r="A493"/>
      <c r="B493"/>
      <c r="C493"/>
      <c r="D493" s="982"/>
    </row>
    <row r="494" spans="1:4" ht="12.75">
      <c r="A494"/>
      <c r="B494"/>
      <c r="C494"/>
      <c r="D494" s="982"/>
    </row>
    <row r="495" spans="1:4" ht="12.75">
      <c r="A495"/>
      <c r="B495"/>
      <c r="C495"/>
      <c r="D495" s="982"/>
    </row>
    <row r="496" spans="1:4" ht="12.75">
      <c r="A496"/>
      <c r="B496"/>
      <c r="C496"/>
      <c r="D496" s="982"/>
    </row>
    <row r="497" spans="1:4" ht="12.75">
      <c r="A497"/>
      <c r="B497"/>
      <c r="C497"/>
      <c r="D497" s="982"/>
    </row>
    <row r="498" spans="1:4" ht="12.75">
      <c r="A498"/>
      <c r="B498"/>
      <c r="C498"/>
      <c r="D498" s="982"/>
    </row>
    <row r="499" spans="1:4" ht="12.75">
      <c r="A499"/>
      <c r="B499"/>
      <c r="C499"/>
      <c r="D499" s="982"/>
    </row>
    <row r="500" spans="1:4" ht="12.75">
      <c r="A500"/>
      <c r="B500"/>
      <c r="C500"/>
      <c r="D500" s="982"/>
    </row>
    <row r="501" spans="1:4" ht="12.75">
      <c r="A501"/>
      <c r="B501"/>
      <c r="C501"/>
      <c r="D501" s="982"/>
    </row>
    <row r="502" spans="1:4" ht="12.75">
      <c r="A502"/>
      <c r="B502"/>
      <c r="C502"/>
      <c r="D502" s="982"/>
    </row>
    <row r="503" spans="1:4" ht="12.75">
      <c r="A503"/>
      <c r="B503"/>
      <c r="C503"/>
      <c r="D503" s="982"/>
    </row>
    <row r="504" spans="1:4" ht="12.75">
      <c r="A504"/>
      <c r="B504"/>
      <c r="C504"/>
      <c r="D504" s="982"/>
    </row>
    <row r="505" spans="1:4" ht="12.75">
      <c r="A505"/>
      <c r="B505"/>
      <c r="C505"/>
      <c r="D505" s="982"/>
    </row>
    <row r="506" spans="1:4" ht="12.75">
      <c r="A506"/>
      <c r="B506"/>
      <c r="C506"/>
      <c r="D506" s="982"/>
    </row>
    <row r="507" spans="1:4" ht="12.75">
      <c r="A507"/>
      <c r="B507"/>
      <c r="C507"/>
      <c r="D507" s="982"/>
    </row>
    <row r="508" spans="1:4" ht="12.75">
      <c r="A508"/>
      <c r="B508"/>
      <c r="C508"/>
      <c r="D508" s="982"/>
    </row>
    <row r="509" spans="1:4" ht="12.75">
      <c r="A509"/>
      <c r="B509"/>
      <c r="C509"/>
      <c r="D509" s="982"/>
    </row>
    <row r="510" spans="1:4" ht="12.75">
      <c r="A510"/>
      <c r="B510"/>
      <c r="C510"/>
      <c r="D510" s="982"/>
    </row>
    <row r="511" spans="1:4" ht="12.75">
      <c r="A511"/>
      <c r="B511"/>
      <c r="C511"/>
      <c r="D511" s="982"/>
    </row>
    <row r="512" spans="1:4" ht="12.75">
      <c r="A512"/>
      <c r="B512"/>
      <c r="C512"/>
      <c r="D512" s="982"/>
    </row>
    <row r="513" spans="1:4" ht="12.75">
      <c r="A513"/>
      <c r="B513"/>
      <c r="C513"/>
      <c r="D513" s="982"/>
    </row>
    <row r="514" spans="1:4" ht="12.75">
      <c r="A514"/>
      <c r="B514"/>
      <c r="C514"/>
      <c r="D514" s="982"/>
    </row>
    <row r="515" spans="1:4" ht="12.75">
      <c r="A515"/>
      <c r="B515"/>
      <c r="C515"/>
      <c r="D515" s="982"/>
    </row>
    <row r="516" spans="1:4" ht="12.75">
      <c r="A516"/>
      <c r="B516"/>
      <c r="C516"/>
      <c r="D516" s="982"/>
    </row>
    <row r="517" spans="1:4" ht="12.75">
      <c r="A517"/>
      <c r="B517"/>
      <c r="C517"/>
      <c r="D517" s="982"/>
    </row>
    <row r="518" spans="1:4" ht="12.75">
      <c r="A518"/>
      <c r="B518"/>
      <c r="C518"/>
      <c r="D518" s="982"/>
    </row>
    <row r="519" spans="1:4" ht="12.75">
      <c r="A519"/>
      <c r="B519"/>
      <c r="C519"/>
      <c r="D519" s="982"/>
    </row>
    <row r="520" spans="1:4" ht="12.75">
      <c r="A520"/>
      <c r="B520"/>
      <c r="C520"/>
      <c r="D520" s="982"/>
    </row>
    <row r="521" spans="1:4" ht="12.75">
      <c r="A521"/>
      <c r="B521"/>
      <c r="C521"/>
      <c r="D521" s="982"/>
    </row>
    <row r="522" spans="1:4" ht="12.75">
      <c r="A522"/>
      <c r="B522"/>
      <c r="C522"/>
      <c r="D522" s="982"/>
    </row>
    <row r="523" spans="1:4" ht="12.75">
      <c r="A523"/>
      <c r="B523"/>
      <c r="C523"/>
      <c r="D523" s="982"/>
    </row>
    <row r="524" spans="1:4" ht="12.75">
      <c r="A524"/>
      <c r="B524"/>
      <c r="C524"/>
      <c r="D524" s="982"/>
    </row>
    <row r="525" spans="1:4" ht="12.75">
      <c r="A525"/>
      <c r="B525"/>
      <c r="C525"/>
      <c r="D525" s="982"/>
    </row>
    <row r="526" spans="1:4" ht="12.75">
      <c r="A526"/>
      <c r="B526"/>
      <c r="C526"/>
      <c r="D526" s="982"/>
    </row>
    <row r="527" spans="1:4" ht="12.75">
      <c r="A527"/>
      <c r="B527"/>
      <c r="C527"/>
      <c r="D527" s="982"/>
    </row>
    <row r="528" spans="1:4" ht="12.75">
      <c r="A528"/>
      <c r="B528"/>
      <c r="C528"/>
      <c r="D528" s="982"/>
    </row>
    <row r="529" spans="1:4" ht="12.75">
      <c r="A529"/>
      <c r="B529"/>
      <c r="C529"/>
      <c r="D529" s="982"/>
    </row>
    <row r="530" spans="1:4" ht="12.75">
      <c r="A530"/>
      <c r="B530"/>
      <c r="C530"/>
      <c r="D530" s="982"/>
    </row>
    <row r="531" spans="1:4" ht="12.75">
      <c r="A531"/>
      <c r="B531"/>
      <c r="C531"/>
      <c r="D531" s="982"/>
    </row>
    <row r="532" spans="1:4" ht="12.75">
      <c r="A532"/>
      <c r="B532"/>
      <c r="C532"/>
      <c r="D532" s="982"/>
    </row>
    <row r="533" spans="1:4" ht="12.75">
      <c r="A533"/>
      <c r="B533"/>
      <c r="C533"/>
      <c r="D533" s="982"/>
    </row>
    <row r="534" spans="1:4" ht="12.75">
      <c r="A534"/>
      <c r="B534"/>
      <c r="C534"/>
      <c r="D534" s="982"/>
    </row>
    <row r="535" spans="1:4" ht="12.75">
      <c r="A535"/>
      <c r="B535"/>
      <c r="C535"/>
      <c r="D535" s="982"/>
    </row>
    <row r="536" spans="1:4" ht="12.75">
      <c r="A536"/>
      <c r="B536"/>
      <c r="C536"/>
      <c r="D536" s="982"/>
    </row>
    <row r="537" spans="1:4" ht="12.75">
      <c r="A537"/>
      <c r="B537"/>
      <c r="C537"/>
      <c r="D537" s="982"/>
    </row>
    <row r="538" spans="1:4" ht="12.75">
      <c r="A538"/>
      <c r="B538"/>
      <c r="C538"/>
      <c r="D538" s="982"/>
    </row>
    <row r="539" spans="1:4" ht="12.75">
      <c r="A539"/>
      <c r="B539"/>
      <c r="C539"/>
      <c r="D539" s="982"/>
    </row>
    <row r="540" spans="1:4" ht="12.75">
      <c r="A540"/>
      <c r="B540"/>
      <c r="C540"/>
      <c r="D540" s="982"/>
    </row>
    <row r="541" spans="1:4" ht="12.75">
      <c r="A541"/>
      <c r="B541"/>
      <c r="C541"/>
      <c r="D541" s="982"/>
    </row>
    <row r="542" spans="1:4" ht="12.75">
      <c r="A542"/>
      <c r="B542"/>
      <c r="C542"/>
    </row>
    <row r="543" spans="1:4" ht="12.75">
      <c r="A543"/>
      <c r="B543"/>
      <c r="C543"/>
    </row>
    <row r="544" spans="1:4" ht="12.75">
      <c r="A544"/>
      <c r="B544"/>
      <c r="C544"/>
    </row>
    <row r="545" spans="1:3" ht="12.75">
      <c r="A545"/>
      <c r="B545"/>
      <c r="C545"/>
    </row>
    <row r="546" spans="1:3" ht="12.75">
      <c r="A546"/>
      <c r="B546"/>
      <c r="C546"/>
    </row>
    <row r="547" spans="1:3" ht="12.75">
      <c r="A547"/>
      <c r="B547"/>
      <c r="C547"/>
    </row>
    <row r="548" spans="1:3" ht="12.75">
      <c r="A548"/>
      <c r="B548"/>
      <c r="C548"/>
    </row>
    <row r="549" spans="1:3" ht="12.75">
      <c r="A549"/>
      <c r="B549"/>
      <c r="C549"/>
    </row>
    <row r="550" spans="1:3" ht="12.75">
      <c r="A550"/>
      <c r="B550"/>
      <c r="C550"/>
    </row>
    <row r="551" spans="1:3" ht="12.75">
      <c r="A551"/>
      <c r="B551"/>
      <c r="C551"/>
    </row>
    <row r="552" spans="1:3" ht="12.75">
      <c r="A552"/>
      <c r="B552"/>
      <c r="C552"/>
    </row>
    <row r="553" spans="1:3" ht="12.75">
      <c r="A553"/>
      <c r="B553"/>
      <c r="C553"/>
    </row>
    <row r="554" spans="1:3" ht="12.75">
      <c r="A554"/>
      <c r="B554"/>
      <c r="C554"/>
    </row>
    <row r="555" spans="1:3" ht="12.75">
      <c r="A555"/>
      <c r="B555"/>
      <c r="C555"/>
    </row>
    <row r="556" spans="1:3" ht="12.75">
      <c r="A556"/>
      <c r="B556"/>
      <c r="C556"/>
    </row>
    <row r="557" spans="1:3" ht="12.75">
      <c r="A557"/>
      <c r="B557"/>
      <c r="C557"/>
    </row>
    <row r="558" spans="1:3" ht="12.75">
      <c r="A558"/>
      <c r="B558"/>
      <c r="C558"/>
    </row>
    <row r="559" spans="1:3" ht="12.75">
      <c r="A559"/>
      <c r="B559"/>
      <c r="C559"/>
    </row>
    <row r="560" spans="1:3" ht="12.75">
      <c r="A560"/>
      <c r="B560"/>
      <c r="C560"/>
    </row>
    <row r="561" spans="1:3" ht="12.75">
      <c r="A561"/>
      <c r="B561"/>
      <c r="C561"/>
    </row>
    <row r="562" spans="1:3" ht="12.75">
      <c r="A562"/>
      <c r="B562"/>
      <c r="C562"/>
    </row>
    <row r="563" spans="1:3" ht="12.75">
      <c r="A563"/>
      <c r="B563"/>
      <c r="C563"/>
    </row>
    <row r="564" spans="1:3" ht="12.75">
      <c r="A564"/>
      <c r="B564"/>
      <c r="C564"/>
    </row>
    <row r="565" spans="1:3" ht="12.75">
      <c r="A565"/>
      <c r="B565"/>
      <c r="C565"/>
    </row>
    <row r="566" spans="1:3" ht="12.75">
      <c r="A566"/>
      <c r="B566"/>
      <c r="C566"/>
    </row>
    <row r="567" spans="1:3" ht="12.75">
      <c r="A567"/>
      <c r="B567"/>
      <c r="C567"/>
    </row>
    <row r="568" spans="1:3" ht="12.75">
      <c r="A568"/>
      <c r="B568"/>
      <c r="C568"/>
    </row>
    <row r="569" spans="1:3" ht="12.75">
      <c r="A569"/>
      <c r="B569"/>
      <c r="C569"/>
    </row>
  </sheetData>
  <sheetProtection formatCells="0" formatColumns="0" formatRows="0" insertColumns="0" insertRows="0"/>
  <pageMargins left="0.7" right="0.7" top="0.75" bottom="0.75" header="0.3" footer="0.3"/>
  <pageSetup orientation="portrait"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IT42"/>
  <sheetViews>
    <sheetView showGridLines="0" showZeros="0" zoomScale="89" zoomScaleNormal="89" workbookViewId="0">
      <selection activeCell="O5" sqref="O5"/>
    </sheetView>
  </sheetViews>
  <sheetFormatPr baseColWidth="10" defaultColWidth="0" defaultRowHeight="20.25" customHeight="1" zeroHeight="1"/>
  <cols>
    <col min="1" max="1" width="1.7109375" style="1" customWidth="1"/>
    <col min="2" max="2" width="14.42578125" style="4" customWidth="1"/>
    <col min="3" max="3" width="11.28515625" style="5" customWidth="1"/>
    <col min="4" max="4" width="7.28515625" style="5" customWidth="1"/>
    <col min="5" max="5" width="5.28515625" style="5" customWidth="1"/>
    <col min="6" max="6" width="9.85546875" style="6" customWidth="1"/>
    <col min="7" max="7" width="9.42578125" style="6" customWidth="1"/>
    <col min="8" max="8" width="13.140625" style="6" customWidth="1"/>
    <col min="9" max="9" width="10.5703125" style="6" customWidth="1"/>
    <col min="10" max="10" width="13.140625" style="6" customWidth="1"/>
    <col min="11" max="11" width="2.7109375" style="6" hidden="1" customWidth="1"/>
    <col min="12" max="12" width="13.140625" style="6" customWidth="1"/>
    <col min="13" max="13" width="12.85546875" style="2" customWidth="1"/>
    <col min="14" max="14" width="12.42578125" style="2" customWidth="1"/>
    <col min="15" max="15" width="9" style="2" customWidth="1"/>
    <col min="16" max="16" width="6.7109375" style="2" customWidth="1"/>
    <col min="17" max="17" width="1.42578125" style="9" customWidth="1"/>
    <col min="18" max="18" width="7.85546875" style="146" customWidth="1"/>
    <col min="19" max="19" width="9.140625" style="146" hidden="1" customWidth="1"/>
    <col min="20" max="20" width="6.140625" style="143" hidden="1" customWidth="1"/>
    <col min="21" max="21" width="9.5703125" style="144" hidden="1" customWidth="1"/>
    <col min="22" max="22" width="35.42578125" style="145" hidden="1" customWidth="1"/>
    <col min="23" max="23" width="47.85546875" style="146" hidden="1" customWidth="1"/>
    <col min="24" max="24" width="26.85546875" style="146" hidden="1" customWidth="1"/>
    <col min="25" max="25" width="22" style="146" hidden="1" customWidth="1"/>
    <col min="26" max="26" width="10.5703125" style="147" hidden="1" customWidth="1"/>
    <col min="27" max="27" width="30.5703125" style="146" hidden="1" customWidth="1"/>
    <col min="28" max="28" width="21" style="146" hidden="1" customWidth="1"/>
    <col min="29" max="29" width="17.85546875" style="146" hidden="1" customWidth="1"/>
    <col min="30" max="30" width="15.85546875" style="146" hidden="1" customWidth="1"/>
    <col min="31" max="31" width="13" style="146" hidden="1" customWidth="1"/>
    <col min="32" max="32" width="25.140625" style="146" hidden="1" customWidth="1"/>
    <col min="33" max="33" width="13.28515625" style="146" hidden="1" customWidth="1"/>
    <col min="34" max="34" width="19" style="146" hidden="1" customWidth="1"/>
    <col min="35" max="35" width="17.5703125" style="146" hidden="1" customWidth="1"/>
    <col min="36" max="37" width="17.42578125" style="146" hidden="1" customWidth="1"/>
    <col min="38" max="38" width="18.7109375" style="146" hidden="1" customWidth="1"/>
    <col min="39" max="39" width="20.7109375" style="146" hidden="1" customWidth="1"/>
    <col min="40" max="40" width="22.28515625" style="146" hidden="1" customWidth="1"/>
    <col min="41" max="41" width="18.85546875" style="146" hidden="1" customWidth="1"/>
    <col min="42" max="42" width="16" style="175" hidden="1" customWidth="1"/>
    <col min="43" max="43" width="15.42578125" style="146" hidden="1" customWidth="1"/>
    <col min="44" max="44" width="15.7109375" style="146" hidden="1" customWidth="1"/>
    <col min="45" max="45" width="26.140625" style="146" hidden="1" customWidth="1"/>
    <col min="46" max="46" width="26.7109375" style="146" hidden="1" customWidth="1"/>
    <col min="47" max="47" width="23.5703125" style="146" hidden="1" customWidth="1"/>
    <col min="48" max="48" width="22" style="146" hidden="1" customWidth="1"/>
    <col min="49" max="49" width="14.7109375" style="146" hidden="1" customWidth="1"/>
    <col min="50" max="51" width="15.42578125" style="146" hidden="1" customWidth="1"/>
    <col min="52" max="52" width="17.5703125" style="146" hidden="1" customWidth="1"/>
    <col min="53" max="53" width="22.42578125" style="146" hidden="1" customWidth="1"/>
    <col min="54" max="54" width="23.140625" style="146" hidden="1" customWidth="1"/>
    <col min="55" max="55" width="25.28515625" style="146" hidden="1" customWidth="1"/>
    <col min="56" max="56" width="23" style="146" hidden="1" customWidth="1"/>
    <col min="57" max="57" width="25.140625" style="146" hidden="1" customWidth="1"/>
    <col min="58" max="58" width="23.140625" style="146" hidden="1" customWidth="1"/>
    <col min="59" max="61" width="21.7109375" style="146" hidden="1" customWidth="1"/>
    <col min="62" max="62" width="22.85546875" style="146" hidden="1" customWidth="1"/>
    <col min="63" max="63" width="23.140625" style="146" hidden="1" customWidth="1"/>
    <col min="64" max="64" width="66.85546875" style="146" hidden="1" customWidth="1"/>
    <col min="65" max="65" width="11.42578125" style="1" hidden="1" customWidth="1"/>
    <col min="66" max="66" width="29.140625" style="1" hidden="1" customWidth="1"/>
    <col min="67" max="67" width="11.42578125" style="1" hidden="1" customWidth="1"/>
    <col min="68" max="68" width="42.28515625" style="1" hidden="1" customWidth="1"/>
    <col min="69" max="254" width="11.42578125" style="1" hidden="1" customWidth="1"/>
    <col min="255" max="16384" width="7.7109375" style="1" hidden="1"/>
  </cols>
  <sheetData>
    <row r="1" spans="2:64" ht="18.75">
      <c r="B1" s="1576" t="s">
        <v>0</v>
      </c>
      <c r="C1" s="1576"/>
      <c r="D1" s="1576"/>
      <c r="E1" s="1576"/>
      <c r="F1" s="1576"/>
      <c r="G1" s="1576"/>
      <c r="H1" s="1576"/>
      <c r="I1" s="1576"/>
      <c r="J1" s="1576"/>
      <c r="K1" s="1576"/>
      <c r="L1" s="1576"/>
      <c r="M1" s="1576"/>
      <c r="N1" s="1576"/>
      <c r="O1" s="1576"/>
      <c r="P1" s="583"/>
      <c r="Q1" s="584"/>
      <c r="R1" s="585"/>
      <c r="S1" s="750"/>
      <c r="T1" s="751"/>
      <c r="U1" s="751"/>
      <c r="AP1" s="148"/>
    </row>
    <row r="2" spans="2:64" ht="14.25" customHeight="1">
      <c r="B2" s="1577" t="s">
        <v>41</v>
      </c>
      <c r="C2" s="1577"/>
      <c r="D2" s="1577"/>
      <c r="E2" s="1577"/>
      <c r="F2" s="1577"/>
      <c r="G2" s="1577"/>
      <c r="H2" s="1577"/>
      <c r="I2" s="1577"/>
      <c r="J2" s="1577"/>
      <c r="K2" s="1577"/>
      <c r="L2" s="1577"/>
      <c r="M2" s="1577"/>
      <c r="N2" s="1577"/>
      <c r="O2" s="1577"/>
      <c r="P2" s="583"/>
      <c r="Q2" s="584"/>
      <c r="R2" s="587"/>
      <c r="S2" s="752"/>
      <c r="T2" s="751"/>
      <c r="U2" s="751"/>
      <c r="AP2" s="148"/>
    </row>
    <row r="3" spans="2:64" ht="18.75" customHeight="1">
      <c r="B3" s="583"/>
      <c r="C3" s="588"/>
      <c r="D3" s="1578" t="s">
        <v>1252</v>
      </c>
      <c r="E3" s="1578"/>
      <c r="F3" s="1578"/>
      <c r="G3" s="1578"/>
      <c r="H3" s="1578"/>
      <c r="I3" s="1578"/>
      <c r="J3" s="1578"/>
      <c r="K3" s="1578"/>
      <c r="L3" s="1578"/>
      <c r="M3" s="1579" t="s">
        <v>149</v>
      </c>
      <c r="N3" s="1580"/>
      <c r="O3" s="1581"/>
      <c r="P3" s="1582"/>
      <c r="Q3" s="584"/>
      <c r="R3" s="1583">
        <f>+T4</f>
        <v>0.83920000000000006</v>
      </c>
      <c r="S3" s="753"/>
      <c r="T3" s="751"/>
      <c r="U3" s="751"/>
      <c r="V3" s="149"/>
      <c r="AP3" s="148"/>
    </row>
    <row r="4" spans="2:64" ht="23.25" customHeight="1">
      <c r="B4" s="583"/>
      <c r="C4" s="588"/>
      <c r="D4" s="589"/>
      <c r="E4" s="589"/>
      <c r="F4" s="589"/>
      <c r="G4" s="589"/>
      <c r="H4" s="589"/>
      <c r="I4" s="589"/>
      <c r="J4" s="589"/>
      <c r="K4" s="589"/>
      <c r="L4" s="589"/>
      <c r="M4" s="1586" t="s">
        <v>1251</v>
      </c>
      <c r="N4" s="1586"/>
      <c r="O4" s="1584">
        <v>309</v>
      </c>
      <c r="P4" s="1585"/>
      <c r="Q4" s="584"/>
      <c r="R4" s="1583"/>
      <c r="S4" s="753"/>
      <c r="T4" s="767">
        <f>IF(K26/G25&lt;100,K26/G25,100%)*100</f>
        <v>0.83920000000000006</v>
      </c>
      <c r="U4" s="751"/>
      <c r="V4" s="1"/>
      <c r="AP4" s="148"/>
    </row>
    <row r="5" spans="2:64" ht="4.5" customHeight="1">
      <c r="B5" s="583"/>
      <c r="C5" s="590"/>
      <c r="D5" s="583"/>
      <c r="E5" s="583"/>
      <c r="F5" s="591"/>
      <c r="G5" s="583"/>
      <c r="H5" s="583"/>
      <c r="I5" s="583"/>
      <c r="J5" s="583"/>
      <c r="K5" s="583"/>
      <c r="L5" s="583"/>
      <c r="M5" s="583"/>
      <c r="N5" s="583"/>
      <c r="O5" s="583"/>
      <c r="P5" s="583"/>
      <c r="Q5" s="584"/>
      <c r="R5" s="592"/>
      <c r="S5" s="754"/>
      <c r="T5" s="751"/>
      <c r="U5" s="751"/>
      <c r="AP5" s="148"/>
    </row>
    <row r="6" spans="2:64" ht="18">
      <c r="B6" s="1575" t="s">
        <v>77</v>
      </c>
      <c r="C6" s="1575"/>
      <c r="D6" s="1573" t="str">
        <f>VLOOKUP($O$4,Datos_Producto!$E$4:$EE$541,3,FALSE)</f>
        <v>SECRETARIA DE COMPETITIVIDAD</v>
      </c>
      <c r="E6" s="1573"/>
      <c r="F6" s="1573"/>
      <c r="G6" s="1573"/>
      <c r="H6" s="1573"/>
      <c r="I6" s="1573"/>
      <c r="J6" s="1573"/>
      <c r="K6" s="1573"/>
      <c r="L6" s="1573"/>
      <c r="M6" s="1573"/>
      <c r="N6" s="1574"/>
      <c r="O6" s="150"/>
      <c r="P6" s="150"/>
      <c r="Q6" s="593"/>
      <c r="R6" s="594"/>
      <c r="S6" s="755"/>
      <c r="T6" s="751"/>
      <c r="U6" s="751"/>
      <c r="W6" s="151"/>
      <c r="AP6" s="148"/>
    </row>
    <row r="7" spans="2:64" ht="1.5" customHeight="1">
      <c r="B7" s="640"/>
      <c r="C7" s="641"/>
      <c r="D7" s="642"/>
      <c r="E7" s="642"/>
      <c r="F7" s="642"/>
      <c r="G7" s="642"/>
      <c r="H7" s="642"/>
      <c r="I7" s="642"/>
      <c r="J7" s="642"/>
      <c r="K7" s="642"/>
      <c r="L7" s="642"/>
      <c r="M7" s="642"/>
      <c r="N7" s="642"/>
      <c r="O7" s="641"/>
      <c r="P7" s="643"/>
      <c r="Q7" s="593"/>
      <c r="R7" s="594"/>
      <c r="S7" s="755"/>
      <c r="T7" s="751"/>
      <c r="U7" s="751"/>
      <c r="W7" s="151"/>
      <c r="AP7" s="148"/>
    </row>
    <row r="8" spans="2:64" s="3" customFormat="1" ht="18">
      <c r="B8" s="1555" t="s">
        <v>76</v>
      </c>
      <c r="C8" s="1555"/>
      <c r="D8" s="1555"/>
      <c r="E8" s="1555"/>
      <c r="F8" s="1555"/>
      <c r="G8" s="1555"/>
      <c r="H8" s="1555"/>
      <c r="I8" s="1555"/>
      <c r="J8" s="1555"/>
      <c r="K8" s="1555"/>
      <c r="L8" s="1555"/>
      <c r="M8" s="1555"/>
      <c r="N8" s="1555"/>
      <c r="O8" s="1555"/>
      <c r="P8" s="1555"/>
      <c r="Q8" s="595"/>
      <c r="R8" s="142" t="s">
        <v>47</v>
      </c>
      <c r="S8" s="756"/>
      <c r="T8" s="757"/>
      <c r="U8" s="757"/>
      <c r="V8" s="40"/>
      <c r="W8" s="152"/>
      <c r="X8" s="152"/>
      <c r="Y8" s="152"/>
      <c r="Z8" s="152"/>
      <c r="AA8" s="152"/>
      <c r="AB8" s="152"/>
      <c r="AC8" s="152"/>
      <c r="AD8" s="152"/>
      <c r="AE8" s="152"/>
      <c r="AF8" s="152"/>
      <c r="AG8" s="152"/>
      <c r="AH8" s="152"/>
      <c r="AI8" s="152"/>
      <c r="AJ8" s="152"/>
      <c r="AK8" s="152"/>
      <c r="AL8" s="152"/>
      <c r="AM8" s="152"/>
      <c r="AN8" s="152"/>
      <c r="AO8" s="152"/>
      <c r="AP8" s="152"/>
      <c r="AQ8" s="152"/>
      <c r="AR8" s="152"/>
      <c r="AS8" s="152"/>
      <c r="AT8" s="152"/>
      <c r="AU8" s="152"/>
      <c r="AV8" s="152"/>
      <c r="AW8" s="152"/>
      <c r="AX8" s="152"/>
      <c r="AY8" s="152"/>
      <c r="AZ8" s="152"/>
      <c r="BA8" s="152"/>
      <c r="BB8" s="152"/>
      <c r="BC8" s="152"/>
      <c r="BD8" s="152"/>
      <c r="BE8" s="152"/>
      <c r="BF8" s="152"/>
      <c r="BG8" s="152"/>
      <c r="BH8" s="152"/>
      <c r="BI8" s="152"/>
      <c r="BJ8" s="152"/>
      <c r="BK8" s="152"/>
      <c r="BL8" s="153"/>
    </row>
    <row r="9" spans="2:64" s="3" customFormat="1" ht="36" customHeight="1">
      <c r="B9" s="619" t="s">
        <v>75</v>
      </c>
      <c r="C9" s="620">
        <f>VLOOKUP($O$4,Datos_Producto!$E$4:$EE$541,1,FALSE)</f>
        <v>309</v>
      </c>
      <c r="D9" s="1565" t="str">
        <f>VLOOKUP($O$4,Datos_Producto!$E$4:$EE$541,6,FALSE)</f>
        <v>FOMENTAR EL EMPLEO Y EMPRENDIMIENTO EN 100% DE LA POBLACIÓN ECONÓMICAMENTE ACTIVA, VÍCTIMA DEL CONFLICTO ARMADO CON PROCESOS DE CONVOCATORIA COMPETENCIAS LABORALES, CAPACITACIÓN, CREACIÓN DE EMPRESA.</v>
      </c>
      <c r="E9" s="1566"/>
      <c r="F9" s="1566"/>
      <c r="G9" s="1566"/>
      <c r="H9" s="1566"/>
      <c r="I9" s="1566"/>
      <c r="J9" s="1566"/>
      <c r="K9" s="1566"/>
      <c r="L9" s="1566"/>
      <c r="M9" s="1566"/>
      <c r="N9" s="1567"/>
      <c r="O9" s="621" t="s">
        <v>150</v>
      </c>
      <c r="P9" s="747">
        <f>VLOOKUP($O$4,Datos_Producto!$E$4:$EE$541,13,FALSE)</f>
        <v>0.16500000000000001</v>
      </c>
      <c r="Q9" s="595"/>
      <c r="R9" s="596"/>
      <c r="S9" s="757"/>
      <c r="T9" s="757"/>
      <c r="U9" s="757"/>
      <c r="V9" s="40"/>
      <c r="W9" s="154"/>
      <c r="X9" s="152"/>
      <c r="Y9" s="152"/>
      <c r="Z9" s="152"/>
      <c r="AA9" s="152"/>
      <c r="AB9" s="152"/>
      <c r="AC9" s="152"/>
      <c r="AD9" s="152"/>
      <c r="AE9" s="152"/>
      <c r="AF9" s="152"/>
      <c r="AG9" s="152"/>
      <c r="AH9" s="152"/>
      <c r="AI9" s="152"/>
      <c r="AJ9" s="152"/>
      <c r="AK9" s="152"/>
      <c r="AL9" s="152"/>
      <c r="AM9" s="152"/>
      <c r="AN9" s="152"/>
      <c r="AO9" s="152"/>
      <c r="AP9" s="152"/>
      <c r="AQ9" s="152"/>
      <c r="AR9" s="152"/>
      <c r="AS9" s="152"/>
      <c r="AT9" s="152"/>
      <c r="AU9" s="152"/>
      <c r="AV9" s="152"/>
      <c r="AW9" s="152"/>
      <c r="AX9" s="152"/>
      <c r="AY9" s="152"/>
      <c r="AZ9" s="152"/>
      <c r="BA9" s="152"/>
      <c r="BB9" s="152"/>
      <c r="BC9" s="152"/>
      <c r="BD9" s="152"/>
      <c r="BE9" s="152"/>
      <c r="BF9" s="152"/>
      <c r="BG9" s="152"/>
      <c r="BH9" s="152"/>
      <c r="BI9" s="152"/>
      <c r="BJ9" s="152"/>
      <c r="BK9" s="152"/>
      <c r="BL9" s="153"/>
    </row>
    <row r="10" spans="2:64" s="3" customFormat="1" ht="12.75">
      <c r="B10" s="619" t="s">
        <v>74</v>
      </c>
      <c r="C10" s="1572" t="str">
        <f>VLOOKUP($O$4,Datos_Producto!$E$4:$EE$541,2,FALSE)</f>
        <v>1-DESARROLLO INTEGRAL DEL SER HUMANO</v>
      </c>
      <c r="D10" s="1572"/>
      <c r="E10" s="1572"/>
      <c r="F10" s="1572"/>
      <c r="G10" s="1572"/>
      <c r="H10" s="1572"/>
      <c r="I10" s="1572"/>
      <c r="J10" s="1587" t="s">
        <v>73</v>
      </c>
      <c r="K10" s="1587"/>
      <c r="L10" s="1572" t="str">
        <f>VLOOKUP($O$4,Datos_Producto!$E$4:$EE$541,4,FALSE)</f>
        <v>1.7. VICTIMAS DEL CONFLICTO ARMADO CON GARANTIA DE DERECHOS</v>
      </c>
      <c r="M10" s="1572"/>
      <c r="N10" s="1572"/>
      <c r="O10" s="1572"/>
      <c r="P10" s="1572"/>
      <c r="Q10" s="595"/>
      <c r="R10" s="597"/>
      <c r="S10" s="758"/>
      <c r="T10" s="757"/>
      <c r="U10" s="757"/>
      <c r="V10" s="152"/>
      <c r="W10" s="152"/>
      <c r="X10" s="152"/>
      <c r="Y10" s="152"/>
      <c r="Z10" s="152"/>
      <c r="AA10" s="152"/>
      <c r="AB10" s="152"/>
      <c r="AC10" s="152"/>
      <c r="AD10" s="152"/>
      <c r="AE10" s="152"/>
      <c r="AF10" s="152"/>
      <c r="AG10" s="152"/>
      <c r="AH10" s="152"/>
      <c r="AI10" s="152"/>
      <c r="AJ10" s="152"/>
      <c r="AK10" s="152"/>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152"/>
      <c r="BL10" s="153"/>
    </row>
    <row r="11" spans="2:64" s="3" customFormat="1" ht="12.75">
      <c r="B11" s="619" t="s">
        <v>151</v>
      </c>
      <c r="C11" s="1572" t="str">
        <f>VLOOKUP($O$4,Datos_Producto!$E$4:$EE$541,5,FALSE)</f>
        <v>ATENCION INTEGRAL BASICA</v>
      </c>
      <c r="D11" s="1572"/>
      <c r="E11" s="1572"/>
      <c r="F11" s="1572"/>
      <c r="G11" s="1572"/>
      <c r="H11" s="1572"/>
      <c r="I11" s="1572"/>
      <c r="J11" s="1587"/>
      <c r="K11" s="1587"/>
      <c r="L11" s="1572"/>
      <c r="M11" s="1572"/>
      <c r="N11" s="1572"/>
      <c r="O11" s="1572"/>
      <c r="P11" s="1572"/>
      <c r="Q11" s="595"/>
      <c r="R11" s="597"/>
      <c r="S11" s="758"/>
      <c r="T11" s="757"/>
      <c r="U11" s="757"/>
      <c r="V11" s="152"/>
      <c r="W11" s="152"/>
      <c r="X11" s="152"/>
      <c r="Y11" s="152"/>
      <c r="Z11" s="152"/>
      <c r="AA11" s="152"/>
      <c r="AB11" s="152"/>
      <c r="AC11" s="152"/>
      <c r="AD11" s="152"/>
      <c r="AE11" s="152"/>
      <c r="AF11" s="152"/>
      <c r="AG11" s="152"/>
      <c r="AH11" s="152"/>
      <c r="AI11" s="152"/>
      <c r="AJ11" s="152"/>
      <c r="AK11" s="152"/>
      <c r="AL11" s="152"/>
      <c r="AM11" s="152"/>
      <c r="AN11" s="152"/>
      <c r="AO11" s="152"/>
      <c r="AP11" s="152"/>
      <c r="AQ11" s="152"/>
      <c r="AR11" s="152"/>
      <c r="AS11" s="152"/>
      <c r="AT11" s="152"/>
      <c r="AU11" s="152"/>
      <c r="AV11" s="152"/>
      <c r="AW11" s="152"/>
      <c r="AX11" s="152"/>
      <c r="AY11" s="152"/>
      <c r="AZ11" s="152"/>
      <c r="BA11" s="152"/>
      <c r="BB11" s="152"/>
      <c r="BC11" s="152"/>
      <c r="BD11" s="152"/>
      <c r="BE11" s="152"/>
      <c r="BF11" s="152"/>
      <c r="BG11" s="152"/>
      <c r="BH11" s="152"/>
      <c r="BI11" s="152"/>
      <c r="BJ11" s="152"/>
      <c r="BK11" s="152"/>
      <c r="BL11" s="153"/>
    </row>
    <row r="12" spans="2:64" ht="3" customHeight="1">
      <c r="B12" s="636"/>
      <c r="C12" s="637"/>
      <c r="D12" s="637"/>
      <c r="E12" s="637"/>
      <c r="F12" s="638"/>
      <c r="G12" s="638"/>
      <c r="H12" s="638"/>
      <c r="I12" s="638"/>
      <c r="J12" s="638"/>
      <c r="K12" s="638"/>
      <c r="L12" s="638"/>
      <c r="M12" s="639"/>
      <c r="N12" s="639"/>
      <c r="O12" s="639"/>
      <c r="P12" s="639"/>
      <c r="Q12" s="598"/>
      <c r="R12" s="599"/>
      <c r="S12" s="599"/>
      <c r="T12" s="586"/>
      <c r="U12" s="586"/>
      <c r="AP12" s="148"/>
      <c r="BL12" s="155"/>
    </row>
    <row r="13" spans="2:64" ht="51.75" customHeight="1">
      <c r="B13" s="1589" t="s">
        <v>2160</v>
      </c>
      <c r="C13" s="1589"/>
      <c r="D13" s="768">
        <f>VLOOKUP($O$4,Datos_Producto!$E$4:$EE$541,120,FALSE)</f>
        <v>269</v>
      </c>
      <c r="E13" s="1590" t="str">
        <f>VLOOKUP($O$4,Datos_Producto!$E$4:$EE$541,121,FALSE)</f>
        <v>116 MUNICIPIOS RESTITUYEN DERECHOS Y MEJORAN CALIDAD DE VIDA DE LAS VÍCTIMAS DEL CONFLICTO ARMADO</v>
      </c>
      <c r="F13" s="1590"/>
      <c r="G13" s="1590"/>
      <c r="H13" s="1590"/>
      <c r="I13" s="1590"/>
      <c r="J13" s="768">
        <f>VLOOKUP($O$4,Datos_Producto!$E$4:$EE$541,122,FALSE)</f>
        <v>0</v>
      </c>
      <c r="K13" s="1590" t="str">
        <f>VLOOKUP($O$4,Datos_Producto!$E$4:$EE$541,123,FALSE)</f>
        <v/>
      </c>
      <c r="L13" s="1590"/>
      <c r="M13" s="1590"/>
      <c r="N13" s="1590"/>
      <c r="O13" s="1590"/>
      <c r="P13" s="1590"/>
      <c r="Q13" s="598"/>
      <c r="R13" s="599"/>
      <c r="S13" s="599"/>
      <c r="T13" s="586"/>
      <c r="U13" s="586"/>
      <c r="AP13" s="148"/>
      <c r="BL13" s="155"/>
    </row>
    <row r="14" spans="2:64" ht="1.5" customHeight="1">
      <c r="B14" s="1588"/>
      <c r="C14" s="1588"/>
      <c r="D14" s="1588"/>
      <c r="E14" s="1588"/>
      <c r="F14" s="1588"/>
      <c r="G14" s="1588"/>
      <c r="H14" s="1588"/>
      <c r="I14" s="1588"/>
      <c r="J14" s="1588"/>
      <c r="K14" s="1588"/>
      <c r="L14" s="1588"/>
      <c r="M14" s="1588"/>
      <c r="N14" s="1588"/>
      <c r="O14" s="1588"/>
      <c r="P14" s="1588"/>
      <c r="Q14" s="600"/>
      <c r="R14" s="601"/>
      <c r="S14" s="601"/>
      <c r="T14" s="586"/>
      <c r="U14" s="586"/>
      <c r="AP14" s="148"/>
    </row>
    <row r="15" spans="2:64" ht="18">
      <c r="B15" s="1555" t="s">
        <v>71</v>
      </c>
      <c r="C15" s="1555"/>
      <c r="D15" s="1555"/>
      <c r="E15" s="1555"/>
      <c r="F15" s="1555"/>
      <c r="G15" s="1555"/>
      <c r="H15" s="1555"/>
      <c r="I15" s="1555"/>
      <c r="J15" s="1555"/>
      <c r="K15" s="1555"/>
      <c r="L15" s="1555"/>
      <c r="M15" s="1555"/>
      <c r="N15" s="1555"/>
      <c r="O15" s="1555"/>
      <c r="P15" s="1555"/>
      <c r="Q15" s="600"/>
      <c r="R15" s="601"/>
      <c r="S15" s="601"/>
      <c r="T15" s="586"/>
      <c r="U15" s="586"/>
      <c r="AP15" s="148"/>
    </row>
    <row r="16" spans="2:64" ht="40.5" customHeight="1">
      <c r="B16" s="1568" t="s">
        <v>70</v>
      </c>
      <c r="C16" s="1569"/>
      <c r="D16" s="1565" t="str">
        <f>VLOOKUP($O$4,Datos_Producto!$E$4:$EE$541,7,FALSE)</f>
        <v>% DE PVCA EN PROCESOS DE COMPETENCIA LABORAL Y DE EMPRENDIMIENTO</v>
      </c>
      <c r="E16" s="1566"/>
      <c r="F16" s="1566"/>
      <c r="G16" s="1566"/>
      <c r="H16" s="1566"/>
      <c r="I16" s="1566"/>
      <c r="J16" s="1566"/>
      <c r="K16" s="1566"/>
      <c r="L16" s="1567"/>
      <c r="M16" s="622" t="s">
        <v>68</v>
      </c>
      <c r="N16" s="1564" t="str">
        <f>+IF(R16="I","INCREMENTO",IF(R16="M","MANTENIMIENTO","REDUCCIÓN"))</f>
        <v>INCREMENTO</v>
      </c>
      <c r="O16" s="1564">
        <f>+IF(F16="I",(+N16),IF(F16="M",(+N16)/4,))</f>
        <v>0</v>
      </c>
      <c r="P16" s="1564">
        <f>+IF(G16="I",(+O16),IF(G16="M",(+O16)/4,))</f>
        <v>0</v>
      </c>
      <c r="Q16" s="600"/>
      <c r="R16" s="1552" t="str">
        <f>VLOOKUP($O$4,Datos_Producto!$E$4:$EE$541,9,FALSE)</f>
        <v>I</v>
      </c>
      <c r="S16" s="1552"/>
      <c r="T16" s="1552"/>
      <c r="U16" s="1552"/>
      <c r="AP16" s="148"/>
    </row>
    <row r="17" spans="2:64" ht="19.5" customHeight="1">
      <c r="B17" s="759" t="s">
        <v>67</v>
      </c>
      <c r="C17" s="776">
        <f>VLOOKUP($O$4,Datos_Producto!$E$4:$EE$541,10,FALSE)</f>
        <v>0</v>
      </c>
      <c r="D17" s="1560" t="s">
        <v>2082</v>
      </c>
      <c r="E17" s="1561"/>
      <c r="F17" s="776">
        <f>VLOOKUP($O$4,Datos_Producto!$E$4:$EE$541,12,FALSE)</f>
        <v>100</v>
      </c>
      <c r="G17" s="1562" t="s">
        <v>2081</v>
      </c>
      <c r="H17" s="1563"/>
      <c r="I17" s="776">
        <f>VLOOKUP($O$4,Datos_Producto!$E$4:$EE$541,11,FALSE)</f>
        <v>100</v>
      </c>
      <c r="J17" s="1570" t="s">
        <v>2382</v>
      </c>
      <c r="K17" s="1571"/>
      <c r="L17" s="777">
        <f>IF($N$16="MANTENIMIENTO",C17,IF($N$16="REDUCCIÓN",J25,C17+J25))</f>
        <v>83.92</v>
      </c>
      <c r="M17" s="623" t="s">
        <v>1765</v>
      </c>
      <c r="N17" s="1557" t="str">
        <f>VLOOKUP($O$4,Datos_Producto!$E$4:$EE$541,8,FALSE)</f>
        <v>PORCENTAJE DE PERSONAS</v>
      </c>
      <c r="O17" s="1558"/>
      <c r="P17" s="1559"/>
      <c r="Q17" s="600"/>
      <c r="R17" s="601"/>
      <c r="S17" s="601"/>
      <c r="T17" s="586"/>
      <c r="U17" s="586"/>
      <c r="AP17" s="148"/>
    </row>
    <row r="18" spans="2:64" ht="1.5" customHeight="1">
      <c r="B18" s="1556"/>
      <c r="C18" s="1556"/>
      <c r="D18" s="1556"/>
      <c r="E18" s="1556"/>
      <c r="F18" s="1556"/>
      <c r="G18" s="1556"/>
      <c r="H18" s="1556"/>
      <c r="I18" s="1556"/>
      <c r="J18" s="1556"/>
      <c r="K18" s="1556"/>
      <c r="L18" s="1556"/>
      <c r="M18" s="1556"/>
      <c r="N18" s="1556"/>
      <c r="O18" s="1556"/>
      <c r="P18" s="1556"/>
      <c r="Q18" s="600"/>
      <c r="R18" s="601"/>
      <c r="S18" s="601"/>
      <c r="T18" s="586"/>
      <c r="U18" s="586"/>
      <c r="AP18" s="148"/>
      <c r="BL18" s="156"/>
    </row>
    <row r="19" spans="2:64" ht="18">
      <c r="B19" s="1555" t="s">
        <v>152</v>
      </c>
      <c r="C19" s="1555"/>
      <c r="D19" s="1555"/>
      <c r="E19" s="1555"/>
      <c r="F19" s="1555"/>
      <c r="G19" s="1555"/>
      <c r="H19" s="1555"/>
      <c r="I19" s="1555"/>
      <c r="J19" s="1555"/>
      <c r="K19" s="1555"/>
      <c r="L19" s="1555"/>
      <c r="M19" s="1555"/>
      <c r="N19" s="1555"/>
      <c r="O19" s="1555"/>
      <c r="P19" s="1555"/>
      <c r="Q19" s="600"/>
      <c r="R19" s="601"/>
      <c r="S19" s="601"/>
      <c r="T19" s="586"/>
      <c r="U19" s="586"/>
      <c r="V19" s="297"/>
      <c r="W19" s="297"/>
      <c r="AP19" s="148"/>
      <c r="BL19" s="156"/>
    </row>
    <row r="20" spans="2:64" ht="15.75">
      <c r="B20" s="1553" t="s">
        <v>33</v>
      </c>
      <c r="C20" s="1553"/>
      <c r="D20" s="1553"/>
      <c r="E20" s="1553"/>
      <c r="F20" s="1553"/>
      <c r="G20" s="1553"/>
      <c r="H20" s="1553" t="s">
        <v>34</v>
      </c>
      <c r="I20" s="1553"/>
      <c r="J20" s="1553"/>
      <c r="K20" s="1553"/>
      <c r="L20" s="1553"/>
      <c r="M20" s="1553" t="s">
        <v>1249</v>
      </c>
      <c r="N20" s="1553"/>
      <c r="O20" s="1553"/>
      <c r="P20" s="1553"/>
      <c r="Q20" s="600"/>
      <c r="R20" s="601"/>
      <c r="S20" s="601"/>
      <c r="T20" s="586"/>
      <c r="U20" s="586"/>
      <c r="V20" s="297"/>
      <c r="W20" s="297"/>
      <c r="AP20" s="148"/>
      <c r="BL20" s="156"/>
    </row>
    <row r="21" spans="2:64" ht="27" customHeight="1">
      <c r="B21" s="624" t="s">
        <v>35</v>
      </c>
      <c r="C21" s="1149" t="s">
        <v>40</v>
      </c>
      <c r="D21" s="1554" t="s">
        <v>148</v>
      </c>
      <c r="E21" s="1554"/>
      <c r="F21" s="1149" t="s">
        <v>1328</v>
      </c>
      <c r="G21" s="1149" t="s">
        <v>1329</v>
      </c>
      <c r="H21" s="1149" t="s">
        <v>42</v>
      </c>
      <c r="I21" s="1149" t="s">
        <v>1331</v>
      </c>
      <c r="J21" s="1149" t="s">
        <v>1732</v>
      </c>
      <c r="K21" s="1150"/>
      <c r="L21" s="1149" t="s">
        <v>2383</v>
      </c>
      <c r="M21" s="1149" t="s">
        <v>153</v>
      </c>
      <c r="N21" s="1149" t="s">
        <v>154</v>
      </c>
      <c r="O21" s="1554" t="s">
        <v>155</v>
      </c>
      <c r="P21" s="1554"/>
      <c r="Q21" s="584"/>
      <c r="R21" s="585"/>
      <c r="S21" s="585"/>
      <c r="T21" s="586"/>
      <c r="U21" s="583"/>
      <c r="AP21" s="148"/>
      <c r="BL21" s="156"/>
    </row>
    <row r="22" spans="2:64" ht="13.5">
      <c r="B22" s="625">
        <v>2012</v>
      </c>
      <c r="C22" s="772">
        <f>VLOOKUP($O$4,Datos_Producto!$E$4:$EE$541,15,FALSE)</f>
        <v>5</v>
      </c>
      <c r="D22" s="1540">
        <f>+C22</f>
        <v>5</v>
      </c>
      <c r="E22" s="1540"/>
      <c r="F22" s="626">
        <f>VLOOKUP($O$4,Datos_Producto!$E$4:$EE$541,16,FALSE)*100</f>
        <v>5</v>
      </c>
      <c r="G22" s="627">
        <f>+F22</f>
        <v>5</v>
      </c>
      <c r="H22" s="1321">
        <f>VLOOKUP($O$4,Datos_Producto!$E$4:$EE$541,17,FALSE)</f>
        <v>0</v>
      </c>
      <c r="I22" s="774">
        <f>VLOOKUP($O$4,Datos_Producto!$E$4:$EE$541,22,FALSE)</f>
        <v>0</v>
      </c>
      <c r="J22" s="772">
        <f>IF($N$16="MANTENIMIENTO",H22,H22)</f>
        <v>0</v>
      </c>
      <c r="K22" s="748">
        <f>+IF($N$16="INCREMENTO",(J22),IF($N$16="MANTENIMIENTO",(J22),$C$17-J22 ))*100/$F$17</f>
        <v>0</v>
      </c>
      <c r="L22" s="760">
        <f>+IF(K22&lt;100,K22,100)</f>
        <v>0</v>
      </c>
      <c r="M22" s="628">
        <f>VLOOKUP($O$4,Datos_Producto!$E$4:$EE$541,23,FALSE)/1000000</f>
        <v>11</v>
      </c>
      <c r="N22" s="628">
        <f>VLOOKUP($O$4,Datos_Producto!$E$4:$EE$541,31,FALSE)/1000000</f>
        <v>0</v>
      </c>
      <c r="O22" s="1541">
        <f>+N22</f>
        <v>0</v>
      </c>
      <c r="P22" s="1541"/>
      <c r="Q22" s="600"/>
      <c r="R22" s="601"/>
      <c r="S22" s="601"/>
      <c r="T22" s="586"/>
      <c r="U22" s="583"/>
      <c r="V22" s="157"/>
      <c r="AP22" s="148"/>
      <c r="BL22" s="158"/>
    </row>
    <row r="23" spans="2:64" ht="13.5">
      <c r="B23" s="629">
        <v>2013</v>
      </c>
      <c r="C23" s="771">
        <f>VLOOKUP($O$4,Datos_Producto!$E$4:$EE$541,43,FALSE)</f>
        <v>30</v>
      </c>
      <c r="D23" s="1542">
        <f>IF($N$16="MANTENIMIENTO",C23,IF($N$16="REDUCCIÓN",C23,D22+C23))</f>
        <v>35</v>
      </c>
      <c r="E23" s="1542"/>
      <c r="F23" s="630">
        <f>VLOOKUP($O$4,Datos_Producto!$E$4:$EE$541,44,FALSE)*100</f>
        <v>30</v>
      </c>
      <c r="G23" s="631">
        <f>+G22+F23</f>
        <v>35</v>
      </c>
      <c r="H23" s="1322">
        <f>VLOOKUP($O$4,Datos_Producto!$E$4:$EE$541,45,FALSE)</f>
        <v>53.2</v>
      </c>
      <c r="I23" s="775">
        <f>VLOOKUP($O$4,Datos_Producto!$E$4:$EE$541,50,FALSE)</f>
        <v>100</v>
      </c>
      <c r="J23" s="773">
        <f>IF($N$16="MANTENIMIENTO",H23,IF($N$16="REDUCCIÓN",H23,H22+H23))</f>
        <v>53.2</v>
      </c>
      <c r="K23" s="749">
        <f>+IF($N$16="INCREMENTO",(J23),IF($N$16="MANTENIMIENTO",(J23),$C$17-J23 ))*100/$F$17</f>
        <v>53.2</v>
      </c>
      <c r="L23" s="761">
        <f>+IF(K23&lt;100,K23,100)</f>
        <v>53.2</v>
      </c>
      <c r="M23" s="633">
        <f>VLOOKUP($O$4,Datos_Producto!$E$4:$EE$541,51,FALSE)/1000000</f>
        <v>0</v>
      </c>
      <c r="N23" s="633">
        <f>VLOOKUP($O$4,Datos_Producto!$E$4:$EE$541,59,FALSE)/1000000</f>
        <v>94.4</v>
      </c>
      <c r="O23" s="1543">
        <f>+O22+N23</f>
        <v>94.4</v>
      </c>
      <c r="P23" s="1543"/>
      <c r="Q23" s="600"/>
      <c r="R23" s="601"/>
      <c r="S23" s="601"/>
      <c r="T23" s="586"/>
      <c r="U23" s="602"/>
      <c r="AP23" s="148"/>
      <c r="BL23" s="159"/>
    </row>
    <row r="24" spans="2:64" ht="13.5">
      <c r="B24" s="625">
        <v>2014</v>
      </c>
      <c r="C24" s="772">
        <f>VLOOKUP($O$4,Datos_Producto!$E$4:$EE$541,71,FALSE)</f>
        <v>30</v>
      </c>
      <c r="D24" s="1540">
        <f>IF($N$16="MANTENIMIENTO",C24,IF($N$16="REDUCCIÓN",C24,D23+C24))</f>
        <v>65</v>
      </c>
      <c r="E24" s="1540"/>
      <c r="F24" s="634">
        <f>VLOOKUP($O$4,Datos_Producto!$E$4:$EE$541,72,FALSE)*100</f>
        <v>30</v>
      </c>
      <c r="G24" s="627">
        <f>+G23+F24</f>
        <v>65</v>
      </c>
      <c r="H24" s="1321">
        <f>VLOOKUP($O$4,Datos_Producto!$E$4:$EE$541,75,FALSE)</f>
        <v>20.72</v>
      </c>
      <c r="I24" s="774">
        <f>VLOOKUP($O$4,Datos_Producto!$E$4:$EE$541,80,FALSE)</f>
        <v>69.066666666666663</v>
      </c>
      <c r="J24" s="1335">
        <f>IF($N$16="MANTENIMIENTO",H24,IF($N$16="REDUCCIÓN",H24,H22+H23+H24))</f>
        <v>73.92</v>
      </c>
      <c r="K24" s="748">
        <f>+IF($N$16="INCREMENTO",(J24),IF($N$16="MANTENIMIENTO",(J24),$C$17-J24 ))*100/$F$17</f>
        <v>73.92</v>
      </c>
      <c r="L24" s="762">
        <f>+IF(K24&lt;100,K24,100)</f>
        <v>73.92</v>
      </c>
      <c r="M24" s="628">
        <f>VLOOKUP($O$4,Datos_Producto!$E$4:$EE$541,129,FALSE)/1000000</f>
        <v>137</v>
      </c>
      <c r="N24" s="628">
        <f>VLOOKUP($O$4,Datos_Producto!$E$4:$EE$541,130,FALSE)/1000000</f>
        <v>0</v>
      </c>
      <c r="O24" s="1541">
        <f>+O23+N24</f>
        <v>94.4</v>
      </c>
      <c r="P24" s="1541"/>
      <c r="Q24" s="600"/>
      <c r="R24" s="601"/>
      <c r="S24" s="601"/>
      <c r="T24" s="586"/>
      <c r="U24" s="583"/>
      <c r="AP24" s="148"/>
      <c r="BL24" s="160"/>
    </row>
    <row r="25" spans="2:64" ht="13.5">
      <c r="B25" s="635">
        <v>2015</v>
      </c>
      <c r="C25" s="771">
        <f>VLOOKUP($O$4,Datos_Producto!$E$4:$EE$541,83,FALSE)</f>
        <v>35</v>
      </c>
      <c r="D25" s="1542">
        <f>IF($N$16="MANTENIMIENTO",C25,IF($N$16="REDUCCIÓN",C25,D24+C25))</f>
        <v>100</v>
      </c>
      <c r="E25" s="1542"/>
      <c r="F25" s="630">
        <f>VLOOKUP($O$4,Datos_Producto!$E$4:$EE$541,84,FALSE)*100</f>
        <v>35</v>
      </c>
      <c r="G25" s="631">
        <f>+G24+F25</f>
        <v>100</v>
      </c>
      <c r="H25" s="1323">
        <f>VLOOKUP($O$4,Datos_Producto!$E$4:$EE$541,85,FALSE)</f>
        <v>10</v>
      </c>
      <c r="I25" s="632">
        <f>VLOOKUP($O$4,Datos_Producto!$E$4:$EE$541,89,FALSE)</f>
        <v>28.571428571428573</v>
      </c>
      <c r="J25" s="1336">
        <f>IF($N$16="MANTENIMIENTO",H25,IF($N$16="REDUCCIÓN",H25,H22+H23+H24+H25))</f>
        <v>83.92</v>
      </c>
      <c r="K25" s="749">
        <f>+IF($N$16="INCREMENTO",(J25),IF($N$16="MANTENIMIENTO",(J25),$C$17-J25 ))*100/$F$17</f>
        <v>83.92</v>
      </c>
      <c r="L25" s="761">
        <f>+IF(K25&lt;100,K25,100)</f>
        <v>83.92</v>
      </c>
      <c r="M25" s="633">
        <f>VLOOKUP($O$4,Datos_Producto!$E$4:$EE$541,92,FALSE)/1000000</f>
        <v>0</v>
      </c>
      <c r="N25" s="633">
        <f>VLOOKUP($O$4,Datos_Producto!$E$4:$EE$541,100,FALSE)/1000000</f>
        <v>0</v>
      </c>
      <c r="O25" s="1543">
        <f>+O24+N25</f>
        <v>94.4</v>
      </c>
      <c r="P25" s="1543"/>
      <c r="Q25" s="603"/>
      <c r="R25" s="604"/>
      <c r="S25" s="604"/>
      <c r="T25" s="586"/>
      <c r="U25" s="583"/>
      <c r="AP25" s="148"/>
    </row>
    <row r="26" spans="2:64" ht="15.75" customHeight="1">
      <c r="B26" s="1546" t="s">
        <v>2384</v>
      </c>
      <c r="C26" s="1547"/>
      <c r="D26" s="1547"/>
      <c r="E26" s="1547"/>
      <c r="F26" s="1547"/>
      <c r="G26" s="1547"/>
      <c r="H26" s="1547"/>
      <c r="I26" s="1547"/>
      <c r="J26" s="1548"/>
      <c r="K26" s="1544">
        <f>+VLOOKUP($O$4,Datos_Producto!$E$4:$EE$541,114,FALSE)/100</f>
        <v>0.83920000000000006</v>
      </c>
      <c r="L26" s="1545"/>
      <c r="M26" s="1549"/>
      <c r="N26" s="1550"/>
      <c r="O26" s="1550"/>
      <c r="P26" s="1551"/>
      <c r="Q26" s="603"/>
      <c r="R26" s="604"/>
      <c r="S26" s="604"/>
      <c r="T26" s="586"/>
      <c r="U26" s="583"/>
      <c r="AP26" s="148"/>
    </row>
    <row r="27" spans="2:64" ht="14.25" customHeight="1">
      <c r="B27" s="1538" t="s">
        <v>156</v>
      </c>
      <c r="C27" s="1538"/>
      <c r="D27" s="1538"/>
      <c r="E27" s="1538"/>
      <c r="F27" s="1538"/>
      <c r="G27" s="1538"/>
      <c r="H27" s="1539" t="s">
        <v>157</v>
      </c>
      <c r="I27" s="1539"/>
      <c r="J27" s="1539"/>
      <c r="K27" s="1539"/>
      <c r="L27" s="1539"/>
      <c r="M27" s="1539" t="s">
        <v>158</v>
      </c>
      <c r="N27" s="1539"/>
      <c r="O27" s="1539"/>
      <c r="P27" s="1539"/>
      <c r="Q27" s="605"/>
      <c r="R27" s="606"/>
      <c r="S27" s="606"/>
      <c r="T27" s="586"/>
      <c r="U27" s="586"/>
      <c r="V27" s="2"/>
      <c r="AP27" s="148"/>
    </row>
    <row r="28" spans="2:64" ht="11.25" customHeight="1">
      <c r="B28" s="1529" t="str">
        <f>VLOOKUP($O$4,Datos_Producto!$E$4:$EE$541,128,FALSE)</f>
        <v>SE OBTUVO LA PARTICIPACIÓN DE LA POBLACIÓN VICTIMA DEL CONFLICTO ARMADO EN MÁS DE 40 MUNICIPIOS, LOS CUALES FORTALECIERON SUS COMPETENCIAS EMPRESARIALES A TRAVÉS DE CAPACITACIONES CON EL SENA, ACOMPAÑAMIENTO EN EL DESARROLLO DE LOS PROYECTOS PRODUCTIVOS, ASESORÍA EN LOS PLANES DE NEGOCIOS Y SE INCENTIVÓ EL TRABAJO ASOCIATIVO.</v>
      </c>
      <c r="C28" s="1530"/>
      <c r="D28" s="1530"/>
      <c r="E28" s="1530"/>
      <c r="F28" s="1530"/>
      <c r="G28" s="1531"/>
      <c r="H28" s="644"/>
      <c r="I28" s="644"/>
      <c r="J28" s="645"/>
      <c r="K28" s="645"/>
      <c r="L28" s="646"/>
      <c r="M28" s="646"/>
      <c r="N28" s="646"/>
      <c r="O28" s="646"/>
      <c r="P28" s="647"/>
      <c r="Q28" s="608"/>
      <c r="R28" s="609"/>
      <c r="S28" s="609"/>
      <c r="T28" s="586"/>
      <c r="U28" s="586"/>
      <c r="V28" s="2"/>
      <c r="AP28" s="148"/>
    </row>
    <row r="29" spans="2:64" ht="15.75" customHeight="1">
      <c r="B29" s="1532"/>
      <c r="C29" s="1533"/>
      <c r="D29" s="1533"/>
      <c r="E29" s="1533"/>
      <c r="F29" s="1533"/>
      <c r="G29" s="1534"/>
      <c r="H29" s="610"/>
      <c r="I29" s="610"/>
      <c r="J29" s="610"/>
      <c r="K29" s="610"/>
      <c r="L29" s="161"/>
      <c r="M29" s="161"/>
      <c r="N29" s="162"/>
      <c r="O29" s="162"/>
      <c r="P29" s="648"/>
      <c r="Q29" s="608"/>
      <c r="R29" s="609"/>
      <c r="S29" s="609"/>
      <c r="T29" s="586"/>
      <c r="U29" s="586"/>
      <c r="AP29" s="148"/>
    </row>
    <row r="30" spans="2:64" ht="15.75" customHeight="1">
      <c r="B30" s="1532"/>
      <c r="C30" s="1533"/>
      <c r="D30" s="1533"/>
      <c r="E30" s="1533"/>
      <c r="F30" s="1533"/>
      <c r="G30" s="1534"/>
      <c r="H30" s="163"/>
      <c r="I30" s="163"/>
      <c r="J30" s="161"/>
      <c r="K30" s="161"/>
      <c r="L30" s="161"/>
      <c r="M30" s="161"/>
      <c r="N30" s="162"/>
      <c r="O30" s="162"/>
      <c r="P30" s="648"/>
      <c r="Q30" s="608"/>
      <c r="R30" s="609"/>
      <c r="S30" s="609"/>
      <c r="T30" s="586"/>
      <c r="U30" s="586"/>
      <c r="AP30" s="148"/>
    </row>
    <row r="31" spans="2:64" ht="15.75" customHeight="1">
      <c r="B31" s="1532"/>
      <c r="C31" s="1533"/>
      <c r="D31" s="1533"/>
      <c r="E31" s="1533"/>
      <c r="F31" s="1533"/>
      <c r="G31" s="1534"/>
      <c r="H31" s="163"/>
      <c r="I31" s="163"/>
      <c r="J31" s="161"/>
      <c r="K31" s="161"/>
      <c r="L31" s="161"/>
      <c r="M31" s="161"/>
      <c r="N31" s="162"/>
      <c r="O31" s="162"/>
      <c r="P31" s="648"/>
      <c r="Q31" s="608"/>
      <c r="R31" s="609"/>
      <c r="S31" s="609"/>
      <c r="T31" s="586"/>
      <c r="U31" s="586"/>
      <c r="AP31" s="148"/>
    </row>
    <row r="32" spans="2:64" ht="15.75" customHeight="1">
      <c r="B32" s="1532"/>
      <c r="C32" s="1533"/>
      <c r="D32" s="1533"/>
      <c r="E32" s="1533"/>
      <c r="F32" s="1533"/>
      <c r="G32" s="1534"/>
      <c r="H32" s="163"/>
      <c r="I32" s="163"/>
      <c r="J32" s="161"/>
      <c r="K32" s="161"/>
      <c r="L32" s="161"/>
      <c r="M32" s="161"/>
      <c r="N32" s="162"/>
      <c r="O32" s="162"/>
      <c r="P32" s="648"/>
      <c r="Q32" s="608"/>
      <c r="R32" s="609"/>
      <c r="S32" s="609"/>
      <c r="T32" s="586"/>
      <c r="U32" s="586"/>
      <c r="AP32" s="148"/>
    </row>
    <row r="33" spans="1:64" ht="15.75" customHeight="1">
      <c r="B33" s="1532"/>
      <c r="C33" s="1533"/>
      <c r="D33" s="1533"/>
      <c r="E33" s="1533"/>
      <c r="F33" s="1533"/>
      <c r="G33" s="1534"/>
      <c r="H33" s="163"/>
      <c r="I33" s="163"/>
      <c r="J33" s="161"/>
      <c r="K33" s="161"/>
      <c r="L33" s="161"/>
      <c r="M33" s="161"/>
      <c r="N33" s="162"/>
      <c r="O33" s="162"/>
      <c r="P33" s="648"/>
      <c r="Q33" s="608"/>
      <c r="R33" s="609"/>
      <c r="S33" s="609"/>
      <c r="T33" s="586"/>
      <c r="U33" s="586"/>
      <c r="AP33" s="148"/>
    </row>
    <row r="34" spans="1:64" ht="15.75" customHeight="1">
      <c r="B34" s="1532"/>
      <c r="C34" s="1533"/>
      <c r="D34" s="1533"/>
      <c r="E34" s="1533"/>
      <c r="F34" s="1533"/>
      <c r="G34" s="1534"/>
      <c r="H34" s="163"/>
      <c r="I34" s="163"/>
      <c r="J34" s="161"/>
      <c r="K34" s="161"/>
      <c r="L34" s="161"/>
      <c r="M34" s="161"/>
      <c r="N34" s="162"/>
      <c r="O34" s="162"/>
      <c r="P34" s="648"/>
      <c r="Q34" s="608"/>
      <c r="R34" s="609"/>
      <c r="S34" s="609"/>
      <c r="T34" s="586"/>
      <c r="U34" s="586"/>
      <c r="AP34" s="148"/>
    </row>
    <row r="35" spans="1:64" ht="15.75" customHeight="1">
      <c r="B35" s="1532"/>
      <c r="C35" s="1533"/>
      <c r="D35" s="1533"/>
      <c r="E35" s="1533"/>
      <c r="F35" s="1533"/>
      <c r="G35" s="1534"/>
      <c r="H35" s="163"/>
      <c r="I35" s="163"/>
      <c r="J35" s="161"/>
      <c r="K35" s="161"/>
      <c r="L35" s="161"/>
      <c r="M35" s="161"/>
      <c r="N35" s="162"/>
      <c r="O35" s="162"/>
      <c r="P35" s="648"/>
      <c r="Q35" s="608"/>
      <c r="R35" s="609"/>
      <c r="S35" s="609"/>
      <c r="T35" s="586"/>
      <c r="U35" s="586"/>
      <c r="AP35" s="148"/>
    </row>
    <row r="36" spans="1:64" ht="15.75" customHeight="1">
      <c r="B36" s="1532"/>
      <c r="C36" s="1533"/>
      <c r="D36" s="1533"/>
      <c r="E36" s="1533"/>
      <c r="F36" s="1533"/>
      <c r="G36" s="1534"/>
      <c r="H36" s="163"/>
      <c r="I36" s="163"/>
      <c r="J36" s="611"/>
      <c r="K36" s="611"/>
      <c r="L36" s="611"/>
      <c r="M36" s="611"/>
      <c r="N36" s="163"/>
      <c r="O36" s="163"/>
      <c r="P36" s="649"/>
      <c r="Q36" s="608"/>
      <c r="R36" s="609"/>
      <c r="S36" s="609"/>
      <c r="T36" s="586"/>
      <c r="U36" s="586"/>
      <c r="AP36" s="148"/>
      <c r="BL36" s="164"/>
    </row>
    <row r="37" spans="1:64" ht="15.75" customHeight="1">
      <c r="B37" s="1532"/>
      <c r="C37" s="1533"/>
      <c r="D37" s="1533"/>
      <c r="E37" s="1533"/>
      <c r="F37" s="1533"/>
      <c r="G37" s="1534"/>
      <c r="H37" s="165"/>
      <c r="I37" s="165"/>
      <c r="J37" s="166"/>
      <c r="K37" s="166"/>
      <c r="L37" s="165"/>
      <c r="M37" s="167"/>
      <c r="N37" s="167"/>
      <c r="O37" s="167"/>
      <c r="P37" s="650"/>
      <c r="Q37" s="608"/>
      <c r="R37" s="609"/>
      <c r="S37" s="609"/>
      <c r="T37" s="586"/>
      <c r="U37" s="586"/>
      <c r="AP37" s="148"/>
      <c r="BL37" s="164"/>
    </row>
    <row r="38" spans="1:64" ht="8.25" customHeight="1">
      <c r="B38" s="1532"/>
      <c r="C38" s="1533"/>
      <c r="D38" s="1533"/>
      <c r="E38" s="1533"/>
      <c r="F38" s="1533"/>
      <c r="G38" s="1534"/>
      <c r="H38" s="165"/>
      <c r="I38" s="607"/>
      <c r="J38" s="165"/>
      <c r="K38" s="165"/>
      <c r="L38" s="607"/>
      <c r="M38" s="165"/>
      <c r="N38" s="607"/>
      <c r="O38" s="165"/>
      <c r="P38" s="651"/>
      <c r="Q38" s="608"/>
      <c r="R38" s="609"/>
      <c r="S38" s="609"/>
      <c r="T38" s="586"/>
      <c r="U38" s="586"/>
      <c r="W38" s="168"/>
      <c r="AP38" s="148"/>
      <c r="BL38" s="164"/>
    </row>
    <row r="39" spans="1:64" ht="15.75" hidden="1" customHeight="1">
      <c r="B39" s="1532"/>
      <c r="C39" s="1533"/>
      <c r="D39" s="1533"/>
      <c r="E39" s="1533"/>
      <c r="F39" s="1533"/>
      <c r="G39" s="1534"/>
      <c r="H39" s="165"/>
      <c r="I39" s="169"/>
      <c r="J39" s="165"/>
      <c r="K39" s="165"/>
      <c r="L39" s="169"/>
      <c r="M39" s="165"/>
      <c r="N39" s="169"/>
      <c r="O39" s="165"/>
      <c r="P39" s="652"/>
      <c r="Q39" s="608"/>
      <c r="R39" s="609"/>
      <c r="S39" s="609"/>
      <c r="T39" s="586"/>
      <c r="U39" s="586"/>
      <c r="AP39" s="148"/>
      <c r="BL39" s="170"/>
    </row>
    <row r="40" spans="1:64" ht="31.5" customHeight="1">
      <c r="B40" s="1535"/>
      <c r="C40" s="1536"/>
      <c r="D40" s="1536"/>
      <c r="E40" s="1536"/>
      <c r="F40" s="1536"/>
      <c r="G40" s="1537"/>
      <c r="H40" s="653"/>
      <c r="I40" s="653"/>
      <c r="J40" s="653"/>
      <c r="K40" s="653"/>
      <c r="L40" s="653"/>
      <c r="M40" s="653"/>
      <c r="N40" s="654"/>
      <c r="O40" s="654"/>
      <c r="P40" s="655"/>
      <c r="Q40" s="608"/>
      <c r="R40" s="609"/>
      <c r="S40" s="609"/>
      <c r="T40" s="586"/>
      <c r="U40" s="586"/>
      <c r="AP40" s="148"/>
      <c r="BL40" s="170"/>
    </row>
    <row r="41" spans="1:64" s="2" customFormat="1" ht="13.5">
      <c r="A41" s="1"/>
      <c r="B41" s="612"/>
      <c r="C41" s="612"/>
      <c r="D41" s="613"/>
      <c r="E41" s="613"/>
      <c r="F41" s="613"/>
      <c r="G41" s="614"/>
      <c r="H41" s="614" t="s">
        <v>2385</v>
      </c>
      <c r="I41" s="615"/>
      <c r="J41" s="615"/>
      <c r="K41" s="615"/>
      <c r="L41" s="616"/>
      <c r="M41" s="616" t="s">
        <v>1330</v>
      </c>
      <c r="N41" s="617"/>
      <c r="O41" s="617"/>
      <c r="P41" s="617"/>
      <c r="Q41" s="608"/>
      <c r="R41" s="609"/>
      <c r="S41" s="609"/>
      <c r="T41" s="586"/>
      <c r="U41" s="586"/>
      <c r="V41" s="145"/>
      <c r="W41" s="146"/>
      <c r="X41" s="146"/>
      <c r="Y41" s="146"/>
      <c r="Z41" s="147"/>
      <c r="AA41" s="146"/>
      <c r="AB41" s="146"/>
      <c r="AC41" s="146"/>
      <c r="AD41" s="146"/>
      <c r="AE41" s="146"/>
      <c r="AF41" s="146"/>
      <c r="AG41" s="146"/>
      <c r="AH41" s="146"/>
      <c r="AI41" s="146"/>
      <c r="AJ41" s="146"/>
      <c r="AK41" s="146"/>
      <c r="AL41" s="146"/>
      <c r="AM41" s="146"/>
      <c r="AN41" s="146"/>
      <c r="AO41" s="146"/>
      <c r="AP41" s="148"/>
      <c r="AQ41" s="146"/>
      <c r="AR41" s="146"/>
      <c r="AS41" s="146"/>
      <c r="AT41" s="146"/>
      <c r="AU41" s="146"/>
      <c r="AV41" s="146"/>
      <c r="AW41" s="146"/>
      <c r="AX41" s="146"/>
      <c r="AY41" s="146"/>
      <c r="AZ41" s="146"/>
      <c r="BA41" s="146"/>
      <c r="BB41" s="146"/>
      <c r="BC41" s="146"/>
      <c r="BD41" s="146"/>
      <c r="BE41" s="146"/>
      <c r="BF41" s="146"/>
      <c r="BG41" s="146"/>
      <c r="BH41" s="146"/>
      <c r="BI41" s="146"/>
      <c r="BJ41" s="146"/>
      <c r="BK41" s="146"/>
      <c r="BL41" s="170"/>
    </row>
    <row r="42" spans="1:64" s="2" customFormat="1" ht="11.25" customHeight="1">
      <c r="A42" s="1"/>
      <c r="B42" s="618"/>
      <c r="C42" s="612"/>
      <c r="D42" s="613"/>
      <c r="E42" s="613"/>
      <c r="F42" s="613"/>
      <c r="G42" s="613"/>
      <c r="H42" s="615"/>
      <c r="I42" s="615"/>
      <c r="J42" s="615"/>
      <c r="K42" s="615"/>
      <c r="L42" s="615"/>
      <c r="M42" s="615"/>
      <c r="N42" s="617"/>
      <c r="O42" s="617"/>
      <c r="P42" s="617"/>
      <c r="Q42" s="608"/>
      <c r="R42" s="609"/>
      <c r="S42" s="609"/>
      <c r="T42" s="586"/>
      <c r="U42" s="586"/>
      <c r="V42" s="145"/>
      <c r="W42" s="146"/>
      <c r="X42" s="146"/>
      <c r="Y42" s="146"/>
      <c r="Z42" s="147"/>
      <c r="AA42" s="146"/>
      <c r="AB42" s="146"/>
      <c r="AC42" s="146"/>
      <c r="AD42" s="146"/>
      <c r="AE42" s="146"/>
      <c r="AF42" s="146"/>
      <c r="AG42" s="146"/>
      <c r="AH42" s="146"/>
      <c r="AI42" s="146"/>
      <c r="AJ42" s="146"/>
      <c r="AK42" s="146"/>
      <c r="AL42" s="146"/>
      <c r="AM42" s="146"/>
      <c r="AN42" s="146"/>
      <c r="AO42" s="146"/>
      <c r="AP42" s="148"/>
      <c r="AQ42" s="146"/>
      <c r="AR42" s="146"/>
      <c r="AS42" s="146"/>
      <c r="AT42" s="146"/>
      <c r="AU42" s="146"/>
      <c r="AV42" s="146"/>
      <c r="AW42" s="146"/>
      <c r="AX42" s="146"/>
      <c r="AY42" s="146"/>
      <c r="AZ42" s="146"/>
      <c r="BA42" s="146"/>
      <c r="BB42" s="146"/>
      <c r="BC42" s="146"/>
      <c r="BD42" s="146"/>
      <c r="BE42" s="146"/>
      <c r="BF42" s="146"/>
      <c r="BG42" s="146"/>
      <c r="BH42" s="146"/>
      <c r="BI42" s="146"/>
      <c r="BJ42" s="146"/>
      <c r="BK42" s="146"/>
      <c r="BL42" s="171"/>
    </row>
  </sheetData>
  <sheetProtection algorithmName="SHA-512" hashValue="+4qbU1iw2/f3vEX9YwLJ92QNHs02CSn0Sj5uunS80YCxLMq1OewN1FnenkKJEKVEFUSOD5+l8OT4vWfi5BJn8g==" saltValue="kigOcjM9XhF2+PNzwpLvPQ==" spinCount="100000" sheet="1" objects="1" scenarios="1" formatCells="0" formatRows="0"/>
  <dataConsolidate link="1"/>
  <mergeCells count="50">
    <mergeCell ref="C11:I11"/>
    <mergeCell ref="J10:K11"/>
    <mergeCell ref="L10:P11"/>
    <mergeCell ref="B14:P14"/>
    <mergeCell ref="B15:P15"/>
    <mergeCell ref="B13:C13"/>
    <mergeCell ref="E13:I13"/>
    <mergeCell ref="K13:P13"/>
    <mergeCell ref="B1:O1"/>
    <mergeCell ref="B2:O2"/>
    <mergeCell ref="D3:L3"/>
    <mergeCell ref="M3:P3"/>
    <mergeCell ref="R3:R4"/>
    <mergeCell ref="O4:P4"/>
    <mergeCell ref="M4:N4"/>
    <mergeCell ref="B8:P8"/>
    <mergeCell ref="D9:N9"/>
    <mergeCell ref="C10:I10"/>
    <mergeCell ref="D6:N6"/>
    <mergeCell ref="B6:C6"/>
    <mergeCell ref="R16:U16"/>
    <mergeCell ref="B20:G20"/>
    <mergeCell ref="H20:L20"/>
    <mergeCell ref="M20:P20"/>
    <mergeCell ref="D21:E21"/>
    <mergeCell ref="O21:P21"/>
    <mergeCell ref="B19:P19"/>
    <mergeCell ref="B18:P18"/>
    <mergeCell ref="N17:P17"/>
    <mergeCell ref="D17:E17"/>
    <mergeCell ref="G17:H17"/>
    <mergeCell ref="N16:P16"/>
    <mergeCell ref="D16:L16"/>
    <mergeCell ref="B16:C16"/>
    <mergeCell ref="J17:K17"/>
    <mergeCell ref="B28:G40"/>
    <mergeCell ref="B27:G27"/>
    <mergeCell ref="H27:L27"/>
    <mergeCell ref="M27:P27"/>
    <mergeCell ref="D22:E22"/>
    <mergeCell ref="O22:P22"/>
    <mergeCell ref="D23:E23"/>
    <mergeCell ref="O23:P23"/>
    <mergeCell ref="D24:E24"/>
    <mergeCell ref="O24:P24"/>
    <mergeCell ref="D25:E25"/>
    <mergeCell ref="O25:P25"/>
    <mergeCell ref="K26:L26"/>
    <mergeCell ref="B26:J26"/>
    <mergeCell ref="M26:P26"/>
  </mergeCells>
  <conditionalFormatting sqref="R2:S2">
    <cfRule type="iconSet" priority="2">
      <iconSet showValue="0">
        <cfvo type="percent" val="0"/>
        <cfvo type="percent" val="61"/>
        <cfvo type="percent" val="91"/>
      </iconSet>
    </cfRule>
    <cfRule type="colorScale" priority="3">
      <colorScale>
        <cfvo type="percent" val="0"/>
        <cfvo type="percent" val="50"/>
        <cfvo type="percent" val="100"/>
        <color rgb="FFF8696B"/>
        <color rgb="FFFFEB84"/>
        <color rgb="FF63BE7B"/>
      </colorScale>
    </cfRule>
  </conditionalFormatting>
  <conditionalFormatting sqref="R3:S3">
    <cfRule type="iconSet" priority="1">
      <iconSet iconSet="3TrafficLights2" showValue="0">
        <cfvo type="percent" val="0"/>
        <cfvo type="num" val="0.6"/>
        <cfvo type="num" val="0.9"/>
      </iconSet>
    </cfRule>
  </conditionalFormatting>
  <dataValidations count="5">
    <dataValidation type="list" allowBlank="1" showInputMessage="1" showErrorMessage="1" sqref="H37:I37 L37">
      <formula1>#REF!</formula1>
    </dataValidation>
    <dataValidation type="list" showInputMessage="1" showErrorMessage="1" sqref="N29:P35">
      <formula1>#REF!</formula1>
    </dataValidation>
    <dataValidation type="list" errorStyle="warning" showInputMessage="1" showErrorMessage="1" sqref="F5">
      <formula1>#REF!</formula1>
    </dataValidation>
    <dataValidation type="list" allowBlank="1" showInputMessage="1" showErrorMessage="1" sqref="O4">
      <formula1>INDIRECT(M$3)</formula1>
    </dataValidation>
    <dataValidation type="list" allowBlank="1" showInputMessage="1" showErrorMessage="1" sqref="M3">
      <formula1>ENTIDADES</formula1>
    </dataValidation>
  </dataValidations>
  <hyperlinks>
    <hyperlink ref="R8" location="Portada!A1" display="Volver"/>
  </hyperlinks>
  <printOptions horizontalCentered="1" verticalCentered="1"/>
  <pageMargins left="0.78740157480314965" right="0.78740157480314965" top="0.35433070866141736" bottom="0.62992125984251968" header="0.23622047244094491" footer="0.70866141732283472"/>
  <pageSetup scale="70"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filterMode="1">
    <tabColor rgb="FFFF0000"/>
  </sheetPr>
  <dimension ref="A1:EF3229"/>
  <sheetViews>
    <sheetView topLeftCell="E1" zoomScale="64" zoomScaleNormal="64" workbookViewId="0">
      <pane xSplit="5" ySplit="4" topLeftCell="J470" activePane="bottomRight" state="frozen"/>
      <selection activeCell="M327" sqref="M327"/>
      <selection pane="topRight" activeCell="M327" sqref="M327"/>
      <selection pane="bottomLeft" activeCell="M327" sqref="M327"/>
      <selection pane="bottomRight" activeCell="G477" sqref="G477"/>
    </sheetView>
  </sheetViews>
  <sheetFormatPr baseColWidth="10" defaultColWidth="25.85546875" defaultRowHeight="12.75" zeroHeight="1"/>
  <cols>
    <col min="1" max="1" width="5.42578125" style="546" hidden="1" customWidth="1"/>
    <col min="2" max="2" width="4.5703125" style="546" hidden="1" customWidth="1"/>
    <col min="3" max="3" width="5.85546875" style="546" hidden="1" customWidth="1"/>
    <col min="4" max="4" width="6.85546875" style="546" hidden="1" customWidth="1"/>
    <col min="5" max="5" width="9.85546875" style="546" customWidth="1"/>
    <col min="6" max="6" width="23.5703125" style="546" customWidth="1"/>
    <col min="7" max="7" width="21.5703125" style="546" customWidth="1"/>
    <col min="8" max="8" width="22.42578125" style="546" customWidth="1"/>
    <col min="9" max="9" width="21.140625" style="546" customWidth="1"/>
    <col min="10" max="10" width="42.28515625" style="546" customWidth="1"/>
    <col min="11" max="11" width="43.5703125" style="546" customWidth="1"/>
    <col min="12" max="12" width="14.7109375" style="546" customWidth="1"/>
    <col min="13" max="13" width="11" style="547" customWidth="1"/>
    <col min="14" max="14" width="11.5703125" style="546" customWidth="1"/>
    <col min="15" max="15" width="19.28515625" style="546" hidden="1" customWidth="1"/>
    <col min="16" max="16" width="13.85546875" style="548" customWidth="1"/>
    <col min="17" max="17" width="9.85546875" style="549" hidden="1" customWidth="1"/>
    <col min="18" max="18" width="12.42578125" style="546" hidden="1" customWidth="1"/>
    <col min="19" max="19" width="10.28515625" style="546" hidden="1" customWidth="1"/>
    <col min="20" max="20" width="9.85546875" style="546" hidden="1" customWidth="1"/>
    <col min="21" max="21" width="11.5703125" style="548" customWidth="1"/>
    <col min="22" max="26" width="11.5703125" style="548" hidden="1" customWidth="1"/>
    <col min="27" max="27" width="14.85546875" style="546" hidden="1" customWidth="1"/>
    <col min="28" max="28" width="16.85546875" style="546" hidden="1" customWidth="1"/>
    <col min="29" max="29" width="14.5703125" style="546" hidden="1" customWidth="1"/>
    <col min="30" max="33" width="11.5703125" style="546" hidden="1" customWidth="1"/>
    <col min="34" max="34" width="17.7109375" style="546" hidden="1" customWidth="1"/>
    <col min="35" max="35" width="14.85546875" style="546" hidden="1" customWidth="1"/>
    <col min="36" max="36" width="18.140625" style="546" hidden="1" customWidth="1"/>
    <col min="37" max="46" width="11.5703125" style="546" hidden="1" customWidth="1"/>
    <col min="47" max="47" width="5.42578125" style="550" hidden="1" customWidth="1"/>
    <col min="48" max="48" width="10.28515625" style="546" hidden="1" customWidth="1"/>
    <col min="49" max="49" width="11.5703125" style="549" customWidth="1"/>
    <col min="50" max="54" width="11.5703125" style="546" hidden="1" customWidth="1"/>
    <col min="55" max="55" width="19.140625" style="546" hidden="1" customWidth="1"/>
    <col min="56" max="74" width="11.5703125" style="546" hidden="1" customWidth="1"/>
    <col min="75" max="75" width="6.5703125" style="546" hidden="1" customWidth="1"/>
    <col min="76" max="76" width="7.42578125" style="546" hidden="1" customWidth="1"/>
    <col min="77" max="77" width="17.85546875" style="551" hidden="1" customWidth="1"/>
    <col min="78" max="78" width="12.42578125" style="552" hidden="1" customWidth="1"/>
    <col min="79" max="79" width="14" style="556" customWidth="1"/>
    <col min="80" max="83" width="11.5703125" style="553" hidden="1" customWidth="1"/>
    <col min="84" max="84" width="13" style="553" hidden="1" customWidth="1"/>
    <col min="85" max="85" width="14.85546875" style="553" hidden="1" customWidth="1"/>
    <col min="86" max="86" width="17" style="553" hidden="1" customWidth="1"/>
    <col min="87" max="87" width="9.85546875" style="553" hidden="1" customWidth="1"/>
    <col min="88" max="88" width="10" style="553" hidden="1" customWidth="1"/>
    <col min="89" max="89" width="17" style="553" customWidth="1"/>
    <col min="90" max="90" width="14.5703125" style="553" hidden="1" customWidth="1"/>
    <col min="91" max="114" width="11.5703125" style="553" hidden="1" customWidth="1"/>
    <col min="115" max="115" width="14.85546875" style="546" customWidth="1"/>
    <col min="116" max="116" width="11.5703125" style="546" hidden="1" customWidth="1"/>
    <col min="117" max="119" width="11.5703125" style="548" hidden="1" customWidth="1"/>
    <col min="120" max="120" width="14.5703125" style="548" hidden="1" customWidth="1"/>
    <col min="121" max="121" width="18.42578125" style="548" hidden="1" customWidth="1"/>
    <col min="122" max="122" width="11.5703125" style="546" hidden="1" customWidth="1"/>
    <col min="123" max="123" width="17.7109375" style="546" hidden="1" customWidth="1"/>
    <col min="124" max="124" width="11.42578125" style="546" hidden="1" customWidth="1"/>
    <col min="125" max="125" width="32" style="546" hidden="1" customWidth="1"/>
    <col min="126" max="126" width="11.42578125" style="546" hidden="1" customWidth="1"/>
    <col min="127" max="127" width="17.140625" style="546" hidden="1" customWidth="1"/>
    <col min="128" max="128" width="11.42578125" style="546" hidden="1" customWidth="1"/>
    <col min="129" max="129" width="16.85546875" style="546" hidden="1" customWidth="1"/>
    <col min="130" max="130" width="13.42578125" style="546" hidden="1" customWidth="1"/>
    <col min="131" max="131" width="11.7109375" style="546" hidden="1" customWidth="1"/>
    <col min="132" max="132" width="83.5703125" style="546" customWidth="1"/>
    <col min="133" max="133" width="12.28515625" style="546" hidden="1" customWidth="1"/>
    <col min="134" max="134" width="8.42578125" style="546" hidden="1" customWidth="1"/>
    <col min="135" max="135" width="16.7109375" style="546" hidden="1" customWidth="1"/>
    <col min="136" max="136" width="36.28515625" style="546" hidden="1" customWidth="1"/>
    <col min="137" max="16384" width="25.85546875" style="546"/>
  </cols>
  <sheetData>
    <row r="1" spans="1:136" s="559" customFormat="1">
      <c r="A1" s="300"/>
      <c r="B1" s="300"/>
      <c r="C1" s="300"/>
      <c r="D1" s="300"/>
      <c r="M1" s="560"/>
      <c r="P1" s="561"/>
      <c r="Q1" s="562"/>
      <c r="U1" s="561"/>
      <c r="V1" s="561"/>
      <c r="W1" s="561"/>
      <c r="X1" s="561"/>
      <c r="Y1" s="561"/>
      <c r="Z1" s="561"/>
      <c r="AU1" s="563"/>
      <c r="AW1" s="562"/>
      <c r="BY1" s="564"/>
      <c r="BZ1" s="565"/>
      <c r="CA1" s="566"/>
      <c r="CB1" s="567"/>
      <c r="CC1" s="567"/>
      <c r="CD1" s="567"/>
      <c r="CE1" s="567"/>
      <c r="CF1" s="567"/>
      <c r="CG1" s="567"/>
      <c r="CH1" s="567"/>
      <c r="CI1" s="567"/>
      <c r="CJ1" s="567"/>
      <c r="CK1" s="567"/>
      <c r="CL1" s="567"/>
      <c r="CM1" s="567"/>
      <c r="CN1" s="567"/>
      <c r="CO1" s="567"/>
      <c r="CP1" s="567"/>
      <c r="CQ1" s="567"/>
      <c r="CR1" s="567"/>
      <c r="CS1" s="567"/>
      <c r="CT1" s="567"/>
      <c r="CU1" s="567"/>
      <c r="CV1" s="567"/>
      <c r="CW1" s="567"/>
      <c r="CX1" s="567"/>
      <c r="CY1" s="567"/>
      <c r="CZ1" s="567"/>
      <c r="DA1" s="567"/>
      <c r="DB1" s="567"/>
      <c r="DC1" s="567"/>
      <c r="DD1" s="567"/>
      <c r="DE1" s="567"/>
      <c r="DF1" s="567"/>
      <c r="DG1" s="567"/>
      <c r="DH1" s="567"/>
      <c r="DI1" s="567"/>
      <c r="DJ1" s="567"/>
      <c r="DM1" s="561"/>
      <c r="DN1" s="561"/>
      <c r="DO1" s="561"/>
      <c r="DP1" s="561"/>
      <c r="DQ1" s="561"/>
    </row>
    <row r="2" spans="1:136" s="559" customFormat="1">
      <c r="A2" s="300"/>
      <c r="B2" s="300"/>
      <c r="C2" s="300"/>
      <c r="D2" s="300"/>
      <c r="M2" s="560"/>
      <c r="P2" s="561"/>
      <c r="Q2" s="562"/>
      <c r="U2" s="561"/>
      <c r="V2" s="561"/>
      <c r="W2" s="561"/>
      <c r="X2" s="561"/>
      <c r="Y2" s="561"/>
      <c r="Z2" s="561"/>
      <c r="AU2" s="563"/>
      <c r="AW2" s="562"/>
      <c r="BY2" s="564"/>
      <c r="BZ2" s="565"/>
      <c r="CA2" s="566"/>
      <c r="CB2" s="567"/>
      <c r="CC2" s="567"/>
      <c r="CD2" s="567"/>
      <c r="CE2" s="567"/>
      <c r="CF2" s="567"/>
      <c r="CG2" s="567"/>
      <c r="CH2" s="567"/>
      <c r="CI2" s="567"/>
      <c r="CJ2" s="567"/>
      <c r="CK2" s="567"/>
      <c r="CL2" s="567"/>
      <c r="CM2" s="567"/>
      <c r="CN2" s="567"/>
      <c r="CO2" s="567"/>
      <c r="CP2" s="567"/>
      <c r="CQ2" s="567"/>
      <c r="CR2" s="567"/>
      <c r="CS2" s="567"/>
      <c r="CT2" s="567"/>
      <c r="CU2" s="567"/>
      <c r="CV2" s="567"/>
      <c r="CW2" s="567"/>
      <c r="CX2" s="567"/>
      <c r="CY2" s="567"/>
      <c r="CZ2" s="567"/>
      <c r="DA2" s="567"/>
      <c r="DB2" s="567"/>
      <c r="DC2" s="567"/>
      <c r="DD2" s="567"/>
      <c r="DE2" s="567"/>
      <c r="DF2" s="567"/>
      <c r="DG2" s="567"/>
      <c r="DH2" s="567"/>
      <c r="DI2" s="567"/>
      <c r="DJ2" s="567"/>
      <c r="DM2" s="561"/>
      <c r="DN2" s="561"/>
      <c r="DO2" s="561"/>
      <c r="DP2" s="561"/>
      <c r="DQ2" s="561"/>
    </row>
    <row r="3" spans="1:136" s="300" customFormat="1" ht="26.25">
      <c r="E3" s="532">
        <v>1</v>
      </c>
      <c r="F3" s="532">
        <v>2</v>
      </c>
      <c r="G3" s="532">
        <v>3</v>
      </c>
      <c r="H3" s="532">
        <v>4</v>
      </c>
      <c r="I3" s="532">
        <v>5</v>
      </c>
      <c r="J3" s="532">
        <v>6</v>
      </c>
      <c r="K3" s="532">
        <v>7</v>
      </c>
      <c r="L3" s="532">
        <v>8</v>
      </c>
      <c r="M3" s="532">
        <v>9</v>
      </c>
      <c r="N3" s="532">
        <v>10</v>
      </c>
      <c r="O3" s="532">
        <v>11</v>
      </c>
      <c r="P3" s="532">
        <v>12</v>
      </c>
      <c r="Q3" s="532">
        <v>13</v>
      </c>
      <c r="R3" s="532">
        <v>14</v>
      </c>
      <c r="S3" s="532">
        <v>15</v>
      </c>
      <c r="T3" s="532">
        <v>16</v>
      </c>
      <c r="U3" s="532">
        <v>17</v>
      </c>
      <c r="V3" s="532">
        <v>18</v>
      </c>
      <c r="W3" s="532">
        <v>19</v>
      </c>
      <c r="X3" s="532">
        <v>20</v>
      </c>
      <c r="Y3" s="532">
        <v>21</v>
      </c>
      <c r="Z3" s="532">
        <v>22</v>
      </c>
      <c r="AA3" s="532">
        <v>23</v>
      </c>
      <c r="AB3" s="532">
        <v>24</v>
      </c>
      <c r="AC3" s="532">
        <v>25</v>
      </c>
      <c r="AD3" s="532">
        <v>26</v>
      </c>
      <c r="AE3" s="532">
        <v>27</v>
      </c>
      <c r="AF3" s="532">
        <v>28</v>
      </c>
      <c r="AG3" s="532">
        <v>29</v>
      </c>
      <c r="AH3" s="532">
        <v>30</v>
      </c>
      <c r="AI3" s="532">
        <v>31</v>
      </c>
      <c r="AJ3" s="532">
        <v>32</v>
      </c>
      <c r="AK3" s="532">
        <v>33</v>
      </c>
      <c r="AL3" s="532">
        <v>34</v>
      </c>
      <c r="AM3" s="532">
        <v>35</v>
      </c>
      <c r="AN3" s="532">
        <v>36</v>
      </c>
      <c r="AO3" s="532">
        <v>37</v>
      </c>
      <c r="AP3" s="532">
        <v>38</v>
      </c>
      <c r="AQ3" s="532">
        <v>39</v>
      </c>
      <c r="AR3" s="532">
        <v>40</v>
      </c>
      <c r="AS3" s="532">
        <v>41</v>
      </c>
      <c r="AT3" s="532">
        <v>42</v>
      </c>
      <c r="AU3" s="532">
        <v>43</v>
      </c>
      <c r="AV3" s="532">
        <v>44</v>
      </c>
      <c r="AW3" s="532">
        <v>45</v>
      </c>
      <c r="AX3" s="532">
        <v>46</v>
      </c>
      <c r="AY3" s="532">
        <v>47</v>
      </c>
      <c r="AZ3" s="532">
        <v>48</v>
      </c>
      <c r="BA3" s="532">
        <v>49</v>
      </c>
      <c r="BB3" s="532">
        <v>50</v>
      </c>
      <c r="BC3" s="532">
        <v>51</v>
      </c>
      <c r="BD3" s="532">
        <v>52</v>
      </c>
      <c r="BE3" s="532">
        <v>53</v>
      </c>
      <c r="BF3" s="532">
        <v>54</v>
      </c>
      <c r="BG3" s="532">
        <v>55</v>
      </c>
      <c r="BH3" s="532">
        <v>56</v>
      </c>
      <c r="BI3" s="532">
        <v>57</v>
      </c>
      <c r="BJ3" s="532">
        <v>58</v>
      </c>
      <c r="BK3" s="532">
        <v>59</v>
      </c>
      <c r="BL3" s="532">
        <v>60</v>
      </c>
      <c r="BM3" s="532">
        <v>61</v>
      </c>
      <c r="BN3" s="532">
        <v>62</v>
      </c>
      <c r="BO3" s="532">
        <v>63</v>
      </c>
      <c r="BP3" s="532">
        <v>64</v>
      </c>
      <c r="BQ3" s="532">
        <v>65</v>
      </c>
      <c r="BR3" s="532">
        <v>66</v>
      </c>
      <c r="BS3" s="532">
        <v>67</v>
      </c>
      <c r="BT3" s="532">
        <v>68</v>
      </c>
      <c r="BU3" s="532">
        <v>69</v>
      </c>
      <c r="BV3" s="532">
        <v>70</v>
      </c>
      <c r="BW3" s="532">
        <v>71</v>
      </c>
      <c r="BX3" s="532">
        <v>72</v>
      </c>
      <c r="BY3" s="532">
        <v>73</v>
      </c>
      <c r="BZ3" s="532">
        <v>74</v>
      </c>
      <c r="CA3" s="532">
        <v>75</v>
      </c>
      <c r="CB3" s="532">
        <v>76</v>
      </c>
      <c r="CC3" s="532">
        <v>77</v>
      </c>
      <c r="CD3" s="532">
        <v>78</v>
      </c>
      <c r="CE3" s="532">
        <v>79</v>
      </c>
      <c r="CF3" s="532">
        <v>80</v>
      </c>
      <c r="CG3" s="532">
        <v>81</v>
      </c>
      <c r="CH3" s="532">
        <v>82</v>
      </c>
      <c r="CI3" s="532">
        <v>83</v>
      </c>
      <c r="CJ3" s="532">
        <v>84</v>
      </c>
      <c r="CK3" s="532">
        <v>85</v>
      </c>
      <c r="CL3" s="532">
        <v>86</v>
      </c>
      <c r="CM3" s="532">
        <v>87</v>
      </c>
      <c r="CN3" s="532">
        <v>88</v>
      </c>
      <c r="CO3" s="532">
        <v>89</v>
      </c>
      <c r="CP3" s="532">
        <v>90</v>
      </c>
      <c r="CQ3" s="532">
        <v>91</v>
      </c>
      <c r="CR3" s="532">
        <v>92</v>
      </c>
      <c r="CS3" s="532">
        <v>93</v>
      </c>
      <c r="CT3" s="532">
        <v>94</v>
      </c>
      <c r="CU3" s="532">
        <v>95</v>
      </c>
      <c r="CV3" s="532">
        <v>96</v>
      </c>
      <c r="CW3" s="532">
        <v>97</v>
      </c>
      <c r="CX3" s="532">
        <v>98</v>
      </c>
      <c r="CY3" s="532">
        <v>99</v>
      </c>
      <c r="CZ3" s="532">
        <v>100</v>
      </c>
      <c r="DA3" s="532">
        <v>101</v>
      </c>
      <c r="DB3" s="532">
        <v>102</v>
      </c>
      <c r="DC3" s="532">
        <v>103</v>
      </c>
      <c r="DD3" s="532">
        <v>104</v>
      </c>
      <c r="DE3" s="532">
        <v>105</v>
      </c>
      <c r="DF3" s="532">
        <v>106</v>
      </c>
      <c r="DG3" s="532">
        <v>107</v>
      </c>
      <c r="DH3" s="532">
        <v>108</v>
      </c>
      <c r="DI3" s="532">
        <v>109</v>
      </c>
      <c r="DJ3" s="532">
        <v>110</v>
      </c>
      <c r="DK3" s="532">
        <v>111</v>
      </c>
      <c r="DL3" s="532">
        <v>112</v>
      </c>
      <c r="DM3" s="532">
        <v>113</v>
      </c>
      <c r="DN3" s="532">
        <v>114</v>
      </c>
      <c r="DO3" s="532">
        <v>115</v>
      </c>
      <c r="DP3" s="532">
        <v>116</v>
      </c>
      <c r="DQ3" s="532">
        <v>117</v>
      </c>
      <c r="DR3" s="532">
        <v>118</v>
      </c>
      <c r="DS3" s="532">
        <v>119</v>
      </c>
      <c r="DT3" s="532">
        <v>120</v>
      </c>
      <c r="DU3" s="532">
        <v>121</v>
      </c>
      <c r="DV3" s="532">
        <v>122</v>
      </c>
      <c r="DW3" s="532">
        <v>123</v>
      </c>
      <c r="DX3" s="532">
        <v>124</v>
      </c>
      <c r="DY3" s="532">
        <v>125</v>
      </c>
      <c r="DZ3" s="532">
        <v>126</v>
      </c>
      <c r="EA3" s="532">
        <v>127</v>
      </c>
      <c r="EB3" s="532">
        <v>128</v>
      </c>
      <c r="EC3" s="532">
        <v>129</v>
      </c>
      <c r="ED3" s="532">
        <v>130</v>
      </c>
      <c r="EE3" s="532">
        <v>131</v>
      </c>
      <c r="EF3" s="532">
        <v>132</v>
      </c>
    </row>
    <row r="4" spans="1:136" s="302" customFormat="1" ht="140.25">
      <c r="D4" s="520">
        <v>1</v>
      </c>
      <c r="E4" s="519" t="s">
        <v>2080</v>
      </c>
      <c r="F4" s="554" t="s">
        <v>2</v>
      </c>
      <c r="G4" s="554" t="s">
        <v>146</v>
      </c>
      <c r="H4" s="554" t="s">
        <v>1</v>
      </c>
      <c r="I4" s="554" t="s">
        <v>159</v>
      </c>
      <c r="J4" s="554" t="s">
        <v>160</v>
      </c>
      <c r="K4" s="554" t="s">
        <v>161</v>
      </c>
      <c r="L4" s="554" t="s">
        <v>2079</v>
      </c>
      <c r="M4" s="554" t="s">
        <v>2078</v>
      </c>
      <c r="N4" s="554" t="s">
        <v>2077</v>
      </c>
      <c r="O4" s="554" t="s">
        <v>2163</v>
      </c>
      <c r="P4" s="554" t="s">
        <v>2076</v>
      </c>
      <c r="Q4" s="554" t="s">
        <v>162</v>
      </c>
      <c r="R4" s="515" t="s">
        <v>2075</v>
      </c>
      <c r="S4" s="515" t="s">
        <v>2312</v>
      </c>
      <c r="T4" s="518" t="s">
        <v>2313</v>
      </c>
      <c r="U4" s="557" t="s">
        <v>2314</v>
      </c>
      <c r="V4" s="517" t="s">
        <v>2074</v>
      </c>
      <c r="W4" s="517" t="s">
        <v>2073</v>
      </c>
      <c r="X4" s="517" t="s">
        <v>2032</v>
      </c>
      <c r="Y4" s="517" t="s">
        <v>2315</v>
      </c>
      <c r="Z4" s="517" t="s">
        <v>2072</v>
      </c>
      <c r="AA4" s="516" t="s">
        <v>2071</v>
      </c>
      <c r="AB4" s="515" t="s">
        <v>2062</v>
      </c>
      <c r="AC4" s="515" t="s">
        <v>2042</v>
      </c>
      <c r="AD4" s="515" t="s">
        <v>2041</v>
      </c>
      <c r="AE4" s="515" t="s">
        <v>2061</v>
      </c>
      <c r="AF4" s="515" t="s">
        <v>2039</v>
      </c>
      <c r="AG4" s="515" t="s">
        <v>2038</v>
      </c>
      <c r="AH4" s="515" t="s">
        <v>2037</v>
      </c>
      <c r="AI4" s="516" t="s">
        <v>2316</v>
      </c>
      <c r="AJ4" s="515" t="s">
        <v>2062</v>
      </c>
      <c r="AK4" s="515" t="s">
        <v>2042</v>
      </c>
      <c r="AL4" s="515" t="s">
        <v>2041</v>
      </c>
      <c r="AM4" s="515" t="s">
        <v>2061</v>
      </c>
      <c r="AN4" s="515" t="s">
        <v>2039</v>
      </c>
      <c r="AO4" s="515" t="s">
        <v>2038</v>
      </c>
      <c r="AP4" s="515" t="s">
        <v>2037</v>
      </c>
      <c r="AQ4" s="515" t="s">
        <v>2036</v>
      </c>
      <c r="AR4" s="515" t="s">
        <v>2035</v>
      </c>
      <c r="AS4" s="515" t="s">
        <v>2060</v>
      </c>
      <c r="AT4" s="766" t="s">
        <v>2070</v>
      </c>
      <c r="AU4" s="513" t="s">
        <v>2317</v>
      </c>
      <c r="AV4" s="766" t="s">
        <v>2069</v>
      </c>
      <c r="AW4" s="513" t="s">
        <v>2068</v>
      </c>
      <c r="AX4" s="514" t="s">
        <v>2067</v>
      </c>
      <c r="AY4" s="514" t="s">
        <v>2066</v>
      </c>
      <c r="AZ4" s="514" t="s">
        <v>2045</v>
      </c>
      <c r="BA4" s="514" t="s">
        <v>2065</v>
      </c>
      <c r="BB4" s="514" t="s">
        <v>2064</v>
      </c>
      <c r="BC4" s="513" t="s">
        <v>2063</v>
      </c>
      <c r="BD4" s="512" t="s">
        <v>2062</v>
      </c>
      <c r="BE4" s="512" t="s">
        <v>2042</v>
      </c>
      <c r="BF4" s="512" t="s">
        <v>2041</v>
      </c>
      <c r="BG4" s="512" t="s">
        <v>2061</v>
      </c>
      <c r="BH4" s="512" t="s">
        <v>2039</v>
      </c>
      <c r="BI4" s="512" t="s">
        <v>2038</v>
      </c>
      <c r="BJ4" s="512" t="s">
        <v>2037</v>
      </c>
      <c r="BK4" s="513" t="s">
        <v>2365</v>
      </c>
      <c r="BL4" s="512" t="s">
        <v>2062</v>
      </c>
      <c r="BM4" s="511" t="s">
        <v>2042</v>
      </c>
      <c r="BN4" s="511" t="s">
        <v>2041</v>
      </c>
      <c r="BO4" s="511" t="s">
        <v>2061</v>
      </c>
      <c r="BP4" s="511" t="s">
        <v>2039</v>
      </c>
      <c r="BQ4" s="511" t="s">
        <v>2038</v>
      </c>
      <c r="BR4" s="511" t="s">
        <v>2037</v>
      </c>
      <c r="BS4" s="511" t="s">
        <v>2036</v>
      </c>
      <c r="BT4" s="511" t="s">
        <v>2035</v>
      </c>
      <c r="BU4" s="511" t="s">
        <v>2060</v>
      </c>
      <c r="BV4" s="510" t="s">
        <v>2059</v>
      </c>
      <c r="BW4" s="509" t="s">
        <v>2058</v>
      </c>
      <c r="BX4" s="509" t="s">
        <v>2057</v>
      </c>
      <c r="BY4" s="509" t="s">
        <v>2318</v>
      </c>
      <c r="BZ4" s="509" t="s">
        <v>2056</v>
      </c>
      <c r="CA4" s="558" t="s">
        <v>2055</v>
      </c>
      <c r="CB4" s="506" t="s">
        <v>2054</v>
      </c>
      <c r="CC4" s="506" t="s">
        <v>2053</v>
      </c>
      <c r="CD4" s="506" t="s">
        <v>2045</v>
      </c>
      <c r="CE4" s="506" t="s">
        <v>2319</v>
      </c>
      <c r="CF4" s="506" t="s">
        <v>2052</v>
      </c>
      <c r="CG4" s="506" t="s">
        <v>32</v>
      </c>
      <c r="CH4" s="508" t="s">
        <v>2051</v>
      </c>
      <c r="CI4" s="507" t="s">
        <v>2050</v>
      </c>
      <c r="CJ4" s="656" t="s">
        <v>2049</v>
      </c>
      <c r="CK4" s="663" t="s">
        <v>2621</v>
      </c>
      <c r="CL4" s="658" t="s">
        <v>2048</v>
      </c>
      <c r="CM4" s="659" t="s">
        <v>2047</v>
      </c>
      <c r="CN4" s="659" t="s">
        <v>2046</v>
      </c>
      <c r="CO4" s="659" t="s">
        <v>2045</v>
      </c>
      <c r="CP4" s="659" t="s">
        <v>2320</v>
      </c>
      <c r="CQ4" s="659" t="s">
        <v>31</v>
      </c>
      <c r="CR4" s="660" t="s">
        <v>2044</v>
      </c>
      <c r="CS4" s="661" t="s">
        <v>2062</v>
      </c>
      <c r="CT4" s="661" t="s">
        <v>2042</v>
      </c>
      <c r="CU4" s="661" t="s">
        <v>2041</v>
      </c>
      <c r="CV4" s="661" t="s">
        <v>2040</v>
      </c>
      <c r="CW4" s="661" t="s">
        <v>2039</v>
      </c>
      <c r="CX4" s="661" t="s">
        <v>2038</v>
      </c>
      <c r="CY4" s="661" t="s">
        <v>2037</v>
      </c>
      <c r="CZ4" s="660" t="s">
        <v>2043</v>
      </c>
      <c r="DA4" s="661" t="s">
        <v>2062</v>
      </c>
      <c r="DB4" s="661" t="s">
        <v>2042</v>
      </c>
      <c r="DC4" s="661" t="s">
        <v>2041</v>
      </c>
      <c r="DD4" s="661" t="s">
        <v>2040</v>
      </c>
      <c r="DE4" s="661" t="s">
        <v>2039</v>
      </c>
      <c r="DF4" s="661" t="s">
        <v>2038</v>
      </c>
      <c r="DG4" s="661" t="s">
        <v>2037</v>
      </c>
      <c r="DH4" s="661" t="s">
        <v>2036</v>
      </c>
      <c r="DI4" s="661" t="s">
        <v>2035</v>
      </c>
      <c r="DJ4" s="661" t="s">
        <v>2034</v>
      </c>
      <c r="DK4" s="662" t="s">
        <v>2321</v>
      </c>
      <c r="DL4" s="657" t="s">
        <v>2033</v>
      </c>
      <c r="DM4" s="505" t="s">
        <v>2322</v>
      </c>
      <c r="DN4" s="505" t="s">
        <v>2032</v>
      </c>
      <c r="DO4" s="505" t="s">
        <v>2031</v>
      </c>
      <c r="DP4" s="505" t="s">
        <v>2030</v>
      </c>
      <c r="DQ4" s="505" t="s">
        <v>2029</v>
      </c>
      <c r="DR4" s="504" t="s">
        <v>2028</v>
      </c>
      <c r="DS4" s="504" t="s">
        <v>2027</v>
      </c>
      <c r="DT4" s="172" t="s">
        <v>163</v>
      </c>
      <c r="DU4" s="172" t="s">
        <v>164</v>
      </c>
      <c r="DV4" s="172" t="s">
        <v>165</v>
      </c>
      <c r="DW4" s="172" t="s">
        <v>166</v>
      </c>
      <c r="DX4" s="172" t="s">
        <v>167</v>
      </c>
      <c r="DY4" s="172" t="s">
        <v>168</v>
      </c>
      <c r="DZ4" s="172" t="s">
        <v>169</v>
      </c>
      <c r="EA4" s="172" t="s">
        <v>170</v>
      </c>
      <c r="EB4" s="707" t="s">
        <v>2083</v>
      </c>
      <c r="EC4" s="536" t="s">
        <v>2161</v>
      </c>
      <c r="ED4" s="536" t="s">
        <v>2162</v>
      </c>
      <c r="EE4" s="708" t="s">
        <v>2195</v>
      </c>
      <c r="EF4" s="708" t="s">
        <v>2783</v>
      </c>
    </row>
    <row r="5" spans="1:136" s="302" customFormat="1" ht="38.25" hidden="1">
      <c r="D5" s="520">
        <v>2</v>
      </c>
      <c r="E5" s="533">
        <v>11</v>
      </c>
      <c r="F5" s="521" t="s">
        <v>43</v>
      </c>
      <c r="G5" s="521" t="s">
        <v>10</v>
      </c>
      <c r="H5" s="522" t="s">
        <v>2651</v>
      </c>
      <c r="I5" s="1360" t="s">
        <v>171</v>
      </c>
      <c r="J5" s="503" t="s">
        <v>172</v>
      </c>
      <c r="K5" s="503" t="s">
        <v>173</v>
      </c>
      <c r="L5" s="502" t="s">
        <v>2021</v>
      </c>
      <c r="M5" s="446" t="s">
        <v>1771</v>
      </c>
      <c r="N5" s="446">
        <v>8000</v>
      </c>
      <c r="O5" s="446">
        <f>+N5+P5</f>
        <v>32000</v>
      </c>
      <c r="P5" s="501">
        <v>24000</v>
      </c>
      <c r="Q5" s="357">
        <v>0.16500000000000001</v>
      </c>
      <c r="R5" s="1366">
        <f t="shared" ref="R5:R68" si="0">+Q5*T5</f>
        <v>0</v>
      </c>
      <c r="S5" s="357">
        <v>0</v>
      </c>
      <c r="T5" s="1369">
        <f t="shared" ref="T5:T36" si="1">IF($M5="M",0.25,(IF($P5&gt;0,S5/$P5," ")))</f>
        <v>0</v>
      </c>
      <c r="U5" s="668">
        <v>4521</v>
      </c>
      <c r="V5" s="500">
        <f t="shared" ref="V5:V36" si="2">+IF(M5="I",(+U5),IF(M5="M",(+U5)/4,))</f>
        <v>4521</v>
      </c>
      <c r="W5" s="310">
        <f t="shared" ref="W5:W36" si="3">IF(S5=0,0,+U5*100/S5)</f>
        <v>0</v>
      </c>
      <c r="X5" s="310">
        <f t="shared" ref="X5:X68" si="4">+IF(W5&lt;100,W5,100)</f>
        <v>0</v>
      </c>
      <c r="Y5" s="310">
        <f t="shared" ref="Y5:Y16" si="5">+(X5*R5)/100</f>
        <v>0</v>
      </c>
      <c r="Z5" s="310">
        <f t="shared" ref="Z5:Z68" si="6">+IF(U5&gt;S5,100,X5)</f>
        <v>100</v>
      </c>
      <c r="AA5" s="487">
        <v>0</v>
      </c>
      <c r="AB5" s="487">
        <v>0</v>
      </c>
      <c r="AC5" s="487">
        <v>0</v>
      </c>
      <c r="AD5" s="487">
        <v>0</v>
      </c>
      <c r="AE5" s="487">
        <v>0</v>
      </c>
      <c r="AF5" s="487">
        <v>0</v>
      </c>
      <c r="AG5" s="487">
        <v>0</v>
      </c>
      <c r="AH5" s="487">
        <v>0</v>
      </c>
      <c r="AI5" s="487">
        <v>1200000000</v>
      </c>
      <c r="AJ5" s="487">
        <v>1200000000</v>
      </c>
      <c r="AK5" s="487">
        <v>0</v>
      </c>
      <c r="AL5" s="487">
        <v>0</v>
      </c>
      <c r="AM5" s="487">
        <v>0</v>
      </c>
      <c r="AN5" s="487">
        <v>0</v>
      </c>
      <c r="AO5" s="487">
        <v>0</v>
      </c>
      <c r="AP5" s="487">
        <v>0</v>
      </c>
      <c r="AQ5" s="487">
        <v>0</v>
      </c>
      <c r="AR5" s="487">
        <v>0</v>
      </c>
      <c r="AS5" s="487" t="s">
        <v>1798</v>
      </c>
      <c r="AT5" s="446">
        <f t="shared" ref="AT5:AT68" si="7">+Q5*AV5</f>
        <v>5.5E-2</v>
      </c>
      <c r="AU5" s="446">
        <v>8000</v>
      </c>
      <c r="AV5" s="499">
        <f t="shared" ref="AV5:AV36" si="8">IF($M5="M",0.25,(IF($P5&gt;0,AU5/$P5," ")))</f>
        <v>0.33333333333333331</v>
      </c>
      <c r="AW5" s="680">
        <v>12515</v>
      </c>
      <c r="AX5" s="312">
        <f t="shared" ref="AX5:AX36" si="9">+IF(M5="I",(+AW5),IF(M5="M",(+AW5)/4,))</f>
        <v>12515</v>
      </c>
      <c r="AY5" s="312">
        <f t="shared" ref="AY5:AY36" si="10">IF(AU5=0,0,+AW5*100/AU5)</f>
        <v>156.4375</v>
      </c>
      <c r="AZ5" s="312">
        <f t="shared" ref="AZ5:AZ68" si="11">+IF(AY5&lt;100,AY5,100)</f>
        <v>100</v>
      </c>
      <c r="BA5" s="310">
        <f t="shared" ref="BA5:BA68" si="12">+(AZ5*AT5)/100</f>
        <v>5.5E-2</v>
      </c>
      <c r="BB5" s="310">
        <f t="shared" ref="BB5:BB68" si="13">+IF(AW5&gt;AU5,100,AZ5)</f>
        <v>100</v>
      </c>
      <c r="BC5" s="487">
        <v>992000000</v>
      </c>
      <c r="BD5" s="487">
        <v>0</v>
      </c>
      <c r="BE5" s="487">
        <v>992000000</v>
      </c>
      <c r="BF5" s="487">
        <v>0</v>
      </c>
      <c r="BG5" s="487">
        <v>0</v>
      </c>
      <c r="BH5" s="487">
        <v>0</v>
      </c>
      <c r="BI5" s="487">
        <v>0</v>
      </c>
      <c r="BJ5" s="487">
        <v>0</v>
      </c>
      <c r="BK5" s="498">
        <v>1330000000</v>
      </c>
      <c r="BL5" s="497">
        <v>1300000000</v>
      </c>
      <c r="BM5" s="497">
        <v>30000000</v>
      </c>
      <c r="BN5" s="1383">
        <v>0</v>
      </c>
      <c r="BO5" s="1383">
        <v>0</v>
      </c>
      <c r="BP5" s="1383">
        <v>0</v>
      </c>
      <c r="BQ5" s="1383">
        <v>0</v>
      </c>
      <c r="BR5" s="1383">
        <v>0</v>
      </c>
      <c r="BS5" s="1383">
        <v>0</v>
      </c>
      <c r="BT5" s="1383">
        <v>0</v>
      </c>
      <c r="BU5" s="1383">
        <v>0</v>
      </c>
      <c r="BV5" s="496">
        <f t="shared" ref="BV5:BV68" si="14">+Q5*BX5</f>
        <v>5.5E-2</v>
      </c>
      <c r="BW5" s="495">
        <v>8000</v>
      </c>
      <c r="BX5" s="494">
        <f t="shared" ref="BX5:BX36" si="15">IF($M5="M",0.25,(IF($P5&gt;0,BW5/$P5," ")))</f>
        <v>0.33333333333333331</v>
      </c>
      <c r="BY5" s="493">
        <v>7511</v>
      </c>
      <c r="BZ5" s="492">
        <v>7511</v>
      </c>
      <c r="CA5" s="688">
        <v>8000</v>
      </c>
      <c r="CB5" s="471">
        <f t="shared" ref="CB5:CB36" si="16">+IF(M5="I",(+CA5),IF(M5="M",(+CA5)/4,))</f>
        <v>8000</v>
      </c>
      <c r="CC5" s="471">
        <f t="shared" ref="CC5:CC36" si="17">IF(BW5=0,0,+CA5*100/BW5)</f>
        <v>100</v>
      </c>
      <c r="CD5" s="471">
        <f t="shared" ref="CD5:CD68" si="18">+IF(CC5&lt;100,CC5,100)</f>
        <v>100</v>
      </c>
      <c r="CE5" s="486">
        <f t="shared" ref="CE5:CE68" si="19">+(CD5*BV5)/100</f>
        <v>5.5E-2</v>
      </c>
      <c r="CF5" s="491">
        <f t="shared" ref="CF5:CF68" si="20">+IF(BZ5&gt;BW5,100,CD5)</f>
        <v>100</v>
      </c>
      <c r="CG5" s="486">
        <f t="shared" ref="CG5:CG68" si="21">(CC5*BV5)/100</f>
        <v>5.5E-2</v>
      </c>
      <c r="CH5" s="490">
        <f t="shared" ref="CH5:CH68" si="22">+Q5*CJ5</f>
        <v>5.5E-2</v>
      </c>
      <c r="CI5" s="489">
        <v>8000</v>
      </c>
      <c r="CJ5" s="488">
        <f t="shared" ref="CJ5:CJ36" si="23">IF($M5="M",0.25,(IF($P5&gt;0,CI5/$P5," ")))</f>
        <v>0.33333333333333331</v>
      </c>
      <c r="CK5" s="1398">
        <v>0</v>
      </c>
      <c r="CL5" s="301">
        <f t="shared" ref="CL5:CL36" si="24">+CI5-CK5</f>
        <v>8000</v>
      </c>
      <c r="CM5" s="316">
        <f t="shared" ref="CM5:CM36" si="25">+IF(M5="I",(+CK5),IF(M5="M",(+CK5)/4,))</f>
        <v>0</v>
      </c>
      <c r="CN5" s="316">
        <f t="shared" ref="CN5:CN36" si="26">IF(CI5=0,0,+CK5*100/CI5)</f>
        <v>0</v>
      </c>
      <c r="CO5" s="316">
        <f t="shared" ref="CO5:CO68" si="27">+IF(CN5&lt;100,CN5,100)</f>
        <v>0</v>
      </c>
      <c r="CP5" s="316">
        <f t="shared" ref="CP5:CP68" si="28">+(CO5*CH5)/100</f>
        <v>0</v>
      </c>
      <c r="CQ5" s="316">
        <f t="shared" ref="CQ5:CQ68" si="29">+(CN5*CH5)/100</f>
        <v>0</v>
      </c>
      <c r="CR5" s="487">
        <v>960000000</v>
      </c>
      <c r="CS5" s="487">
        <v>960000000</v>
      </c>
      <c r="CT5" s="487">
        <v>0</v>
      </c>
      <c r="CU5" s="487">
        <v>0</v>
      </c>
      <c r="CV5" s="487">
        <v>0</v>
      </c>
      <c r="CW5" s="487">
        <v>0</v>
      </c>
      <c r="CX5" s="487">
        <v>0</v>
      </c>
      <c r="CY5" s="487">
        <v>0</v>
      </c>
      <c r="CZ5" s="486">
        <v>0</v>
      </c>
      <c r="DA5" s="486">
        <v>0</v>
      </c>
      <c r="DB5" s="486">
        <v>0</v>
      </c>
      <c r="DC5" s="486">
        <v>0</v>
      </c>
      <c r="DD5" s="486">
        <v>0</v>
      </c>
      <c r="DE5" s="486">
        <v>0</v>
      </c>
      <c r="DF5" s="486">
        <v>0</v>
      </c>
      <c r="DG5" s="486">
        <v>0</v>
      </c>
      <c r="DH5" s="486">
        <v>0</v>
      </c>
      <c r="DI5" s="486">
        <v>0</v>
      </c>
      <c r="DJ5" s="486">
        <v>0</v>
      </c>
      <c r="DK5" s="702">
        <f t="shared" ref="DK5:DK36" si="30">+IF(M5="I",(+U5+AW5+CA5+CK5),IF(M5="M",(+U5+AW5+CA5+CK5)/4,))</f>
        <v>25036</v>
      </c>
      <c r="DL5" s="311">
        <f t="shared" ref="DL5:DL68" si="31">+R5+AT5+BV5+CH5</f>
        <v>0.16500000000000001</v>
      </c>
      <c r="DM5" s="310">
        <f t="shared" ref="DM5:DM68" si="32">+DK5*100/P5</f>
        <v>104.31666666666666</v>
      </c>
      <c r="DN5" s="310">
        <f t="shared" ref="DN5:DN68" si="33">+IF(DM5&lt;100,DM5,100)</f>
        <v>100</v>
      </c>
      <c r="DO5" s="308">
        <f t="shared" ref="DO5:DO68" si="34">+(DN5*Q5)/100</f>
        <v>0.16500000000000001</v>
      </c>
      <c r="DP5" s="485">
        <f>+IF(((DN5*Q5)/100)&lt;Q5, ((DN5*Q5)/100),Q5)</f>
        <v>0.16500000000000001</v>
      </c>
      <c r="DQ5" s="484">
        <f t="shared" ref="DQ5:DQ68" si="35">+IF(DL5&lt;DP5,DL5,DP5)</f>
        <v>0.16500000000000001</v>
      </c>
      <c r="DR5" s="483">
        <f t="shared" ref="DR5:DR68" si="36">+T5+AV5+BX5+CJ5</f>
        <v>1</v>
      </c>
      <c r="DS5" s="482">
        <f t="shared" ref="DS5:DS68" si="37">+Q5-R5-AT5-BV5-CH5</f>
        <v>0</v>
      </c>
      <c r="DT5" s="173">
        <v>3</v>
      </c>
      <c r="DU5" s="174" t="s">
        <v>145</v>
      </c>
      <c r="DV5" s="173"/>
      <c r="DW5" s="174" t="s">
        <v>84</v>
      </c>
      <c r="DX5" s="173"/>
      <c r="DY5" s="173"/>
      <c r="DZ5" s="173"/>
      <c r="EA5" s="665"/>
      <c r="EB5" s="1252" t="s">
        <v>2245</v>
      </c>
      <c r="EC5" s="537">
        <v>0</v>
      </c>
      <c r="EE5" s="1406">
        <v>0</v>
      </c>
      <c r="EF5" s="706"/>
    </row>
    <row r="6" spans="1:136" s="302" customFormat="1" ht="72" hidden="1">
      <c r="D6" s="520">
        <v>3</v>
      </c>
      <c r="E6" s="534">
        <v>12</v>
      </c>
      <c r="F6" s="523" t="s">
        <v>43</v>
      </c>
      <c r="G6" s="523" t="s">
        <v>10</v>
      </c>
      <c r="H6" s="524" t="s">
        <v>2651</v>
      </c>
      <c r="I6" s="462" t="s">
        <v>171</v>
      </c>
      <c r="J6" s="335" t="s">
        <v>174</v>
      </c>
      <c r="K6" s="335" t="s">
        <v>175</v>
      </c>
      <c r="L6" s="454" t="s">
        <v>2026</v>
      </c>
      <c r="M6" s="333" t="s">
        <v>1771</v>
      </c>
      <c r="N6" s="333">
        <v>0</v>
      </c>
      <c r="O6" s="333">
        <f>+N6+P6</f>
        <v>100</v>
      </c>
      <c r="P6" s="332">
        <v>100</v>
      </c>
      <c r="Q6" s="357">
        <v>0.16500000000000001</v>
      </c>
      <c r="R6" s="342">
        <f t="shared" si="0"/>
        <v>1.6500000000000001E-2</v>
      </c>
      <c r="S6" s="459">
        <v>10</v>
      </c>
      <c r="T6" s="387">
        <f t="shared" si="1"/>
        <v>0.1</v>
      </c>
      <c r="U6" s="669">
        <v>10</v>
      </c>
      <c r="V6" s="388">
        <f t="shared" si="2"/>
        <v>10</v>
      </c>
      <c r="W6" s="356">
        <f t="shared" si="3"/>
        <v>100</v>
      </c>
      <c r="X6" s="356">
        <f t="shared" si="4"/>
        <v>100</v>
      </c>
      <c r="Y6" s="356">
        <f t="shared" si="5"/>
        <v>1.6500000000000001E-2</v>
      </c>
      <c r="Z6" s="356">
        <f t="shared" si="6"/>
        <v>100</v>
      </c>
      <c r="AA6" s="313">
        <v>1241000000</v>
      </c>
      <c r="AB6" s="313">
        <v>0</v>
      </c>
      <c r="AC6" s="313">
        <v>1241000000</v>
      </c>
      <c r="AD6" s="313">
        <v>0</v>
      </c>
      <c r="AE6" s="313">
        <v>0</v>
      </c>
      <c r="AF6" s="313">
        <v>0</v>
      </c>
      <c r="AG6" s="313">
        <v>0</v>
      </c>
      <c r="AH6" s="313">
        <v>0</v>
      </c>
      <c r="AI6" s="313">
        <v>1042693000</v>
      </c>
      <c r="AJ6" s="313">
        <v>554101000</v>
      </c>
      <c r="AK6" s="313">
        <v>454192000</v>
      </c>
      <c r="AL6" s="313">
        <v>0</v>
      </c>
      <c r="AM6" s="313">
        <v>0</v>
      </c>
      <c r="AN6" s="313">
        <v>0</v>
      </c>
      <c r="AO6" s="313">
        <v>0</v>
      </c>
      <c r="AP6" s="313">
        <v>34400000</v>
      </c>
      <c r="AQ6" s="313">
        <v>0</v>
      </c>
      <c r="AR6" s="313">
        <v>0</v>
      </c>
      <c r="AS6" s="313" t="s">
        <v>1798</v>
      </c>
      <c r="AT6" s="333">
        <f t="shared" si="7"/>
        <v>4.5045000000000009E-2</v>
      </c>
      <c r="AU6" s="333">
        <v>27.3</v>
      </c>
      <c r="AV6" s="387">
        <f t="shared" si="8"/>
        <v>0.27300000000000002</v>
      </c>
      <c r="AW6" s="681">
        <v>27.3</v>
      </c>
      <c r="AX6" s="474">
        <f t="shared" si="9"/>
        <v>27.3</v>
      </c>
      <c r="AY6" s="474">
        <f t="shared" si="10"/>
        <v>100</v>
      </c>
      <c r="AZ6" s="474">
        <f t="shared" si="11"/>
        <v>100</v>
      </c>
      <c r="BA6" s="356">
        <f t="shared" si="12"/>
        <v>4.5045000000000009E-2</v>
      </c>
      <c r="BB6" s="356">
        <f t="shared" si="13"/>
        <v>100</v>
      </c>
      <c r="BC6" s="313">
        <v>1609000000</v>
      </c>
      <c r="BD6" s="313">
        <v>1379000000</v>
      </c>
      <c r="BE6" s="313">
        <v>230000000</v>
      </c>
      <c r="BF6" s="313">
        <v>0</v>
      </c>
      <c r="BG6" s="313">
        <v>0</v>
      </c>
      <c r="BH6" s="313">
        <v>0</v>
      </c>
      <c r="BI6" s="313">
        <v>0</v>
      </c>
      <c r="BJ6" s="313">
        <v>0</v>
      </c>
      <c r="BK6" s="473">
        <v>1004465000</v>
      </c>
      <c r="BL6" s="472">
        <v>404465000</v>
      </c>
      <c r="BM6" s="472">
        <v>600000000</v>
      </c>
      <c r="BN6" s="472">
        <v>0</v>
      </c>
      <c r="BO6" s="472">
        <v>0</v>
      </c>
      <c r="BP6" s="472">
        <v>0</v>
      </c>
      <c r="BQ6" s="472">
        <v>0</v>
      </c>
      <c r="BR6" s="472">
        <v>0</v>
      </c>
      <c r="BS6" s="472">
        <v>0</v>
      </c>
      <c r="BT6" s="472">
        <v>0</v>
      </c>
      <c r="BU6" s="472">
        <v>0</v>
      </c>
      <c r="BV6" s="342">
        <f t="shared" si="14"/>
        <v>5.3955000000000003E-2</v>
      </c>
      <c r="BW6" s="350">
        <v>32.700000000000003</v>
      </c>
      <c r="BX6" s="385">
        <f t="shared" si="15"/>
        <v>0.32700000000000001</v>
      </c>
      <c r="BY6" s="369">
        <v>25</v>
      </c>
      <c r="BZ6" s="391">
        <v>25</v>
      </c>
      <c r="CA6" s="689">
        <v>30</v>
      </c>
      <c r="CB6" s="471">
        <f t="shared" si="16"/>
        <v>30</v>
      </c>
      <c r="CC6" s="471">
        <f t="shared" si="17"/>
        <v>91.743119266055032</v>
      </c>
      <c r="CD6" s="470">
        <f t="shared" si="18"/>
        <v>91.743119266055032</v>
      </c>
      <c r="CE6" s="380">
        <f t="shared" si="19"/>
        <v>4.9499999999999995E-2</v>
      </c>
      <c r="CF6" s="469">
        <f t="shared" si="20"/>
        <v>91.743119266055032</v>
      </c>
      <c r="CG6" s="380">
        <f t="shared" si="21"/>
        <v>4.9499999999999995E-2</v>
      </c>
      <c r="CH6" s="468">
        <f t="shared" si="22"/>
        <v>4.9500000000000002E-2</v>
      </c>
      <c r="CI6" s="319">
        <v>30</v>
      </c>
      <c r="CJ6" s="664">
        <f t="shared" si="23"/>
        <v>0.3</v>
      </c>
      <c r="CK6" s="1401">
        <v>30</v>
      </c>
      <c r="CL6" s="301">
        <f t="shared" si="24"/>
        <v>0</v>
      </c>
      <c r="CM6" s="381">
        <f t="shared" si="25"/>
        <v>30</v>
      </c>
      <c r="CN6" s="381">
        <f t="shared" si="26"/>
        <v>100</v>
      </c>
      <c r="CO6" s="316">
        <f t="shared" si="27"/>
        <v>100</v>
      </c>
      <c r="CP6" s="381">
        <f t="shared" si="28"/>
        <v>4.9500000000000002E-2</v>
      </c>
      <c r="CQ6" s="381">
        <f t="shared" si="29"/>
        <v>4.9500000000000002E-2</v>
      </c>
      <c r="CR6" s="313">
        <v>1379000000</v>
      </c>
      <c r="CS6" s="313">
        <v>0</v>
      </c>
      <c r="CT6" s="313">
        <v>1379000000</v>
      </c>
      <c r="CU6" s="313">
        <v>0</v>
      </c>
      <c r="CV6" s="313">
        <v>0</v>
      </c>
      <c r="CW6" s="313">
        <v>0</v>
      </c>
      <c r="CX6" s="313">
        <v>0</v>
      </c>
      <c r="CY6" s="313">
        <v>0</v>
      </c>
      <c r="CZ6" s="380">
        <v>0</v>
      </c>
      <c r="DA6" s="380">
        <v>0</v>
      </c>
      <c r="DB6" s="380">
        <v>0</v>
      </c>
      <c r="DC6" s="380">
        <v>0</v>
      </c>
      <c r="DD6" s="380">
        <v>0</v>
      </c>
      <c r="DE6" s="380">
        <v>0</v>
      </c>
      <c r="DF6" s="380">
        <v>0</v>
      </c>
      <c r="DG6" s="380">
        <v>0</v>
      </c>
      <c r="DH6" s="380">
        <v>0</v>
      </c>
      <c r="DI6" s="380">
        <v>0</v>
      </c>
      <c r="DJ6" s="380">
        <v>0</v>
      </c>
      <c r="DK6" s="702">
        <f t="shared" si="30"/>
        <v>97.3</v>
      </c>
      <c r="DL6" s="311">
        <f t="shared" si="31"/>
        <v>0.16500000000000004</v>
      </c>
      <c r="DM6" s="310">
        <f t="shared" si="32"/>
        <v>97.3</v>
      </c>
      <c r="DN6" s="356">
        <f t="shared" si="33"/>
        <v>97.3</v>
      </c>
      <c r="DO6" s="308">
        <f t="shared" si="34"/>
        <v>0.16054500000000002</v>
      </c>
      <c r="DP6" s="359">
        <f>+IF(((DN6*Q6)/100)&lt;Q6, ((DN6*Q6)/100),Q6)</f>
        <v>0.16054500000000002</v>
      </c>
      <c r="DQ6" s="306">
        <f t="shared" si="35"/>
        <v>0.16054500000000002</v>
      </c>
      <c r="DR6" s="379">
        <f t="shared" si="36"/>
        <v>1</v>
      </c>
      <c r="DS6" s="378">
        <f t="shared" si="37"/>
        <v>0</v>
      </c>
      <c r="DT6" s="173">
        <v>4</v>
      </c>
      <c r="DU6" s="174" t="s">
        <v>144</v>
      </c>
      <c r="DV6" s="173">
        <v>6</v>
      </c>
      <c r="DW6" s="174" t="s">
        <v>143</v>
      </c>
      <c r="DX6" s="173"/>
      <c r="DY6" s="173"/>
      <c r="DZ6" s="173"/>
      <c r="EA6" s="665"/>
      <c r="EB6" s="1253" t="s">
        <v>2246</v>
      </c>
      <c r="EC6" s="537">
        <v>485000000</v>
      </c>
      <c r="EE6" s="1409">
        <v>100</v>
      </c>
      <c r="EF6" s="706"/>
    </row>
    <row r="7" spans="1:136" s="302" customFormat="1" ht="51" hidden="1">
      <c r="D7" s="520">
        <v>4</v>
      </c>
      <c r="E7" s="534">
        <v>13</v>
      </c>
      <c r="F7" s="523" t="s">
        <v>43</v>
      </c>
      <c r="G7" s="523" t="s">
        <v>10</v>
      </c>
      <c r="H7" s="524" t="s">
        <v>2651</v>
      </c>
      <c r="I7" s="462" t="s">
        <v>171</v>
      </c>
      <c r="J7" s="335" t="s">
        <v>176</v>
      </c>
      <c r="K7" s="335" t="s">
        <v>177</v>
      </c>
      <c r="L7" s="453" t="s">
        <v>2025</v>
      </c>
      <c r="M7" s="339" t="s">
        <v>1785</v>
      </c>
      <c r="N7" s="333">
        <v>76</v>
      </c>
      <c r="O7" s="333">
        <f>+P7</f>
        <v>95</v>
      </c>
      <c r="P7" s="332">
        <v>95</v>
      </c>
      <c r="Q7" s="1364">
        <v>0.16500000000000001</v>
      </c>
      <c r="R7" s="342">
        <f t="shared" si="0"/>
        <v>4.1250000000000002E-2</v>
      </c>
      <c r="S7" s="477">
        <v>95</v>
      </c>
      <c r="T7" s="387">
        <f t="shared" si="1"/>
        <v>0.25</v>
      </c>
      <c r="U7" s="669">
        <v>97</v>
      </c>
      <c r="V7" s="388">
        <f t="shared" si="2"/>
        <v>24.25</v>
      </c>
      <c r="W7" s="356">
        <f t="shared" si="3"/>
        <v>102.10526315789474</v>
      </c>
      <c r="X7" s="356">
        <f t="shared" si="4"/>
        <v>100</v>
      </c>
      <c r="Y7" s="356">
        <f t="shared" si="5"/>
        <v>4.1250000000000002E-2</v>
      </c>
      <c r="Z7" s="356">
        <f t="shared" si="6"/>
        <v>100</v>
      </c>
      <c r="AA7" s="361">
        <v>442000000</v>
      </c>
      <c r="AB7" s="361">
        <v>0</v>
      </c>
      <c r="AC7" s="361">
        <v>442000000</v>
      </c>
      <c r="AD7" s="361">
        <v>0</v>
      </c>
      <c r="AE7" s="361">
        <v>0</v>
      </c>
      <c r="AF7" s="361">
        <v>0</v>
      </c>
      <c r="AG7" s="361">
        <v>0</v>
      </c>
      <c r="AH7" s="361">
        <v>0</v>
      </c>
      <c r="AI7" s="361">
        <v>362765000</v>
      </c>
      <c r="AJ7" s="361">
        <v>0</v>
      </c>
      <c r="AK7" s="361">
        <v>362765000</v>
      </c>
      <c r="AL7" s="361">
        <v>0</v>
      </c>
      <c r="AM7" s="361">
        <v>0</v>
      </c>
      <c r="AN7" s="361">
        <v>0</v>
      </c>
      <c r="AO7" s="361">
        <v>0</v>
      </c>
      <c r="AP7" s="361">
        <v>0</v>
      </c>
      <c r="AQ7" s="361">
        <v>0</v>
      </c>
      <c r="AR7" s="361">
        <v>0</v>
      </c>
      <c r="AS7" s="313" t="s">
        <v>1798</v>
      </c>
      <c r="AT7" s="333">
        <f t="shared" si="7"/>
        <v>4.1250000000000002E-2</v>
      </c>
      <c r="AU7" s="339">
        <v>95</v>
      </c>
      <c r="AV7" s="387">
        <f t="shared" si="8"/>
        <v>0.25</v>
      </c>
      <c r="AW7" s="677">
        <v>100</v>
      </c>
      <c r="AX7" s="474">
        <f t="shared" si="9"/>
        <v>25</v>
      </c>
      <c r="AY7" s="474">
        <f t="shared" si="10"/>
        <v>105.26315789473684</v>
      </c>
      <c r="AZ7" s="474">
        <f t="shared" si="11"/>
        <v>100</v>
      </c>
      <c r="BA7" s="356">
        <f t="shared" si="12"/>
        <v>4.1250000000000002E-2</v>
      </c>
      <c r="BB7" s="356">
        <f t="shared" si="13"/>
        <v>100</v>
      </c>
      <c r="BC7" s="313">
        <v>491000000</v>
      </c>
      <c r="BD7" s="313">
        <v>491000000</v>
      </c>
      <c r="BE7" s="313">
        <v>0</v>
      </c>
      <c r="BF7" s="313">
        <v>0</v>
      </c>
      <c r="BG7" s="313">
        <v>0</v>
      </c>
      <c r="BH7" s="313">
        <v>0</v>
      </c>
      <c r="BI7" s="313">
        <v>0</v>
      </c>
      <c r="BJ7" s="313">
        <v>0</v>
      </c>
      <c r="BK7" s="473">
        <v>856811981</v>
      </c>
      <c r="BL7" s="472">
        <v>0</v>
      </c>
      <c r="BM7" s="472">
        <v>811548867</v>
      </c>
      <c r="BN7" s="472">
        <v>45263114</v>
      </c>
      <c r="BO7" s="472">
        <v>0</v>
      </c>
      <c r="BP7" s="472">
        <v>0</v>
      </c>
      <c r="BQ7" s="472">
        <v>0</v>
      </c>
      <c r="BR7" s="472">
        <v>0</v>
      </c>
      <c r="BS7" s="472">
        <v>0</v>
      </c>
      <c r="BT7" s="472">
        <v>0</v>
      </c>
      <c r="BU7" s="472">
        <v>0</v>
      </c>
      <c r="BV7" s="342">
        <f t="shared" si="14"/>
        <v>4.1250000000000002E-2</v>
      </c>
      <c r="BW7" s="350">
        <v>95</v>
      </c>
      <c r="BX7" s="385">
        <f t="shared" si="15"/>
        <v>0.25</v>
      </c>
      <c r="BY7" s="369">
        <v>95</v>
      </c>
      <c r="BZ7" s="391">
        <v>95</v>
      </c>
      <c r="CA7" s="689">
        <v>96</v>
      </c>
      <c r="CB7" s="471">
        <f t="shared" si="16"/>
        <v>24</v>
      </c>
      <c r="CC7" s="471">
        <f t="shared" si="17"/>
        <v>101.05263157894737</v>
      </c>
      <c r="CD7" s="470">
        <f t="shared" si="18"/>
        <v>100</v>
      </c>
      <c r="CE7" s="380">
        <f t="shared" si="19"/>
        <v>4.1250000000000002E-2</v>
      </c>
      <c r="CF7" s="469">
        <f t="shared" si="20"/>
        <v>100</v>
      </c>
      <c r="CG7" s="380">
        <f t="shared" si="21"/>
        <v>4.1684210526315796E-2</v>
      </c>
      <c r="CH7" s="468">
        <f t="shared" si="22"/>
        <v>4.1250000000000002E-2</v>
      </c>
      <c r="CI7" s="319">
        <v>95</v>
      </c>
      <c r="CJ7" s="664">
        <f t="shared" si="23"/>
        <v>0.25</v>
      </c>
      <c r="CK7" s="1400">
        <v>95</v>
      </c>
      <c r="CL7" s="301">
        <f t="shared" si="24"/>
        <v>0</v>
      </c>
      <c r="CM7" s="381">
        <f t="shared" si="25"/>
        <v>23.75</v>
      </c>
      <c r="CN7" s="381">
        <f t="shared" si="26"/>
        <v>100</v>
      </c>
      <c r="CO7" s="381">
        <f t="shared" si="27"/>
        <v>100</v>
      </c>
      <c r="CP7" s="381">
        <f t="shared" si="28"/>
        <v>4.1250000000000002E-2</v>
      </c>
      <c r="CQ7" s="381">
        <f t="shared" si="29"/>
        <v>4.1250000000000002E-2</v>
      </c>
      <c r="CR7" s="313">
        <v>491000000</v>
      </c>
      <c r="CS7" s="313">
        <v>0</v>
      </c>
      <c r="CT7" s="313">
        <v>491000000</v>
      </c>
      <c r="CU7" s="313">
        <v>0</v>
      </c>
      <c r="CV7" s="313">
        <v>0</v>
      </c>
      <c r="CW7" s="313">
        <v>0</v>
      </c>
      <c r="CX7" s="313">
        <v>0</v>
      </c>
      <c r="CY7" s="313">
        <v>0</v>
      </c>
      <c r="CZ7" s="380">
        <v>0</v>
      </c>
      <c r="DA7" s="380">
        <v>0</v>
      </c>
      <c r="DB7" s="380">
        <v>0</v>
      </c>
      <c r="DC7" s="380">
        <v>0</v>
      </c>
      <c r="DD7" s="380">
        <v>0</v>
      </c>
      <c r="DE7" s="380">
        <v>0</v>
      </c>
      <c r="DF7" s="380">
        <v>0</v>
      </c>
      <c r="DG7" s="380">
        <v>0</v>
      </c>
      <c r="DH7" s="380">
        <v>0</v>
      </c>
      <c r="DI7" s="380">
        <v>0</v>
      </c>
      <c r="DJ7" s="380">
        <v>0</v>
      </c>
      <c r="DK7" s="702">
        <f t="shared" si="30"/>
        <v>97</v>
      </c>
      <c r="DL7" s="311">
        <f t="shared" si="31"/>
        <v>0.16500000000000001</v>
      </c>
      <c r="DM7" s="310">
        <f t="shared" si="32"/>
        <v>102.10526315789474</v>
      </c>
      <c r="DN7" s="356">
        <f t="shared" si="33"/>
        <v>100</v>
      </c>
      <c r="DO7" s="308">
        <f t="shared" si="34"/>
        <v>0.16500000000000001</v>
      </c>
      <c r="DP7" s="359">
        <f>+IF(M7="M",DO7,0)</f>
        <v>0.16500000000000001</v>
      </c>
      <c r="DQ7" s="306">
        <f t="shared" si="35"/>
        <v>0.16500000000000001</v>
      </c>
      <c r="DR7" s="379">
        <f t="shared" si="36"/>
        <v>1</v>
      </c>
      <c r="DS7" s="378">
        <f t="shared" si="37"/>
        <v>0</v>
      </c>
      <c r="DT7" s="173">
        <v>3</v>
      </c>
      <c r="DU7" s="174" t="s">
        <v>145</v>
      </c>
      <c r="DV7" s="173"/>
      <c r="DW7" s="174" t="s">
        <v>84</v>
      </c>
      <c r="DX7" s="173"/>
      <c r="DY7" s="173"/>
      <c r="DZ7" s="173"/>
      <c r="EA7" s="665"/>
      <c r="EB7" s="1253" t="s">
        <v>2342</v>
      </c>
      <c r="EC7" s="537">
        <v>3116000000</v>
      </c>
      <c r="EE7" s="1407">
        <v>0</v>
      </c>
      <c r="EF7" s="706"/>
    </row>
    <row r="8" spans="1:136" s="302" customFormat="1" ht="89.25" hidden="1">
      <c r="D8" s="520">
        <v>5</v>
      </c>
      <c r="E8" s="534">
        <v>14</v>
      </c>
      <c r="F8" s="523" t="s">
        <v>43</v>
      </c>
      <c r="G8" s="523" t="s">
        <v>10</v>
      </c>
      <c r="H8" s="524" t="s">
        <v>2651</v>
      </c>
      <c r="I8" s="462" t="s">
        <v>171</v>
      </c>
      <c r="J8" s="335" t="s">
        <v>178</v>
      </c>
      <c r="K8" s="335" t="s">
        <v>179</v>
      </c>
      <c r="L8" s="454" t="s">
        <v>2024</v>
      </c>
      <c r="M8" s="333" t="s">
        <v>1771</v>
      </c>
      <c r="N8" s="333">
        <v>3.6</v>
      </c>
      <c r="O8" s="333">
        <f>+N8+P8</f>
        <v>4.5999999999999996</v>
      </c>
      <c r="P8" s="481">
        <v>1</v>
      </c>
      <c r="Q8" s="357">
        <v>0.16500000000000001</v>
      </c>
      <c r="R8" s="342">
        <f t="shared" si="0"/>
        <v>0</v>
      </c>
      <c r="S8" s="459">
        <v>0</v>
      </c>
      <c r="T8" s="387">
        <f t="shared" si="1"/>
        <v>0</v>
      </c>
      <c r="U8" s="670">
        <v>0</v>
      </c>
      <c r="V8" s="388">
        <f t="shared" si="2"/>
        <v>0</v>
      </c>
      <c r="W8" s="356">
        <f t="shared" si="3"/>
        <v>0</v>
      </c>
      <c r="X8" s="356">
        <f t="shared" si="4"/>
        <v>0</v>
      </c>
      <c r="Y8" s="356">
        <f t="shared" si="5"/>
        <v>0</v>
      </c>
      <c r="Z8" s="356">
        <f t="shared" si="6"/>
        <v>0</v>
      </c>
      <c r="AA8" s="313">
        <v>448000000</v>
      </c>
      <c r="AB8" s="313">
        <v>0</v>
      </c>
      <c r="AC8" s="313">
        <v>448000000</v>
      </c>
      <c r="AD8" s="313">
        <v>0</v>
      </c>
      <c r="AE8" s="313">
        <v>0</v>
      </c>
      <c r="AF8" s="313">
        <v>0</v>
      </c>
      <c r="AG8" s="313">
        <v>0</v>
      </c>
      <c r="AH8" s="313">
        <v>0</v>
      </c>
      <c r="AI8" s="313">
        <v>2553000</v>
      </c>
      <c r="AJ8" s="313">
        <v>2399000</v>
      </c>
      <c r="AK8" s="313">
        <v>154000</v>
      </c>
      <c r="AL8" s="313">
        <v>0</v>
      </c>
      <c r="AM8" s="313">
        <v>0</v>
      </c>
      <c r="AN8" s="313">
        <v>0</v>
      </c>
      <c r="AO8" s="313">
        <v>0</v>
      </c>
      <c r="AP8" s="313">
        <v>0</v>
      </c>
      <c r="AQ8" s="313">
        <v>0</v>
      </c>
      <c r="AR8" s="313">
        <v>0</v>
      </c>
      <c r="AS8" s="313" t="s">
        <v>1798</v>
      </c>
      <c r="AT8" s="333">
        <f t="shared" si="7"/>
        <v>3.3000000000000002E-2</v>
      </c>
      <c r="AU8" s="333">
        <v>0.2</v>
      </c>
      <c r="AV8" s="387">
        <f t="shared" si="8"/>
        <v>0.2</v>
      </c>
      <c r="AW8" s="677">
        <v>0.2</v>
      </c>
      <c r="AX8" s="474">
        <f t="shared" si="9"/>
        <v>0.2</v>
      </c>
      <c r="AY8" s="474">
        <f t="shared" si="10"/>
        <v>100</v>
      </c>
      <c r="AZ8" s="474">
        <f t="shared" si="11"/>
        <v>100</v>
      </c>
      <c r="BA8" s="356">
        <f t="shared" si="12"/>
        <v>3.3000000000000002E-2</v>
      </c>
      <c r="BB8" s="356">
        <f t="shared" si="13"/>
        <v>100</v>
      </c>
      <c r="BC8" s="313">
        <v>893000000</v>
      </c>
      <c r="BD8" s="313">
        <v>498000000</v>
      </c>
      <c r="BE8" s="313">
        <v>395000000</v>
      </c>
      <c r="BF8" s="313">
        <v>0</v>
      </c>
      <c r="BG8" s="313">
        <v>0</v>
      </c>
      <c r="BH8" s="313">
        <v>0</v>
      </c>
      <c r="BI8" s="313">
        <v>0</v>
      </c>
      <c r="BJ8" s="313">
        <v>0</v>
      </c>
      <c r="BK8" s="473">
        <v>661251874</v>
      </c>
      <c r="BL8" s="472">
        <v>422551874</v>
      </c>
      <c r="BM8" s="472">
        <v>238700000</v>
      </c>
      <c r="BN8" s="472">
        <v>0</v>
      </c>
      <c r="BO8" s="472">
        <v>0</v>
      </c>
      <c r="BP8" s="472">
        <v>0</v>
      </c>
      <c r="BQ8" s="472">
        <v>0</v>
      </c>
      <c r="BR8" s="472">
        <v>0</v>
      </c>
      <c r="BS8" s="472">
        <v>0</v>
      </c>
      <c r="BT8" s="472">
        <v>0</v>
      </c>
      <c r="BU8" s="472">
        <v>0</v>
      </c>
      <c r="BV8" s="342">
        <f t="shared" si="14"/>
        <v>6.6000000000000003E-2</v>
      </c>
      <c r="BW8" s="350">
        <v>0.4</v>
      </c>
      <c r="BX8" s="385">
        <f t="shared" si="15"/>
        <v>0.4</v>
      </c>
      <c r="BY8" s="369">
        <v>4</v>
      </c>
      <c r="BZ8" s="391">
        <v>0.3</v>
      </c>
      <c r="CA8" s="689">
        <v>-0.8</v>
      </c>
      <c r="CB8" s="471">
        <f t="shared" si="16"/>
        <v>-0.8</v>
      </c>
      <c r="CC8" s="471">
        <f t="shared" si="17"/>
        <v>-200</v>
      </c>
      <c r="CD8" s="470">
        <f t="shared" si="18"/>
        <v>-200</v>
      </c>
      <c r="CE8" s="380">
        <f t="shared" si="19"/>
        <v>-0.13200000000000001</v>
      </c>
      <c r="CF8" s="469">
        <f t="shared" si="20"/>
        <v>-200</v>
      </c>
      <c r="CG8" s="380">
        <f t="shared" si="21"/>
        <v>-0.13200000000000001</v>
      </c>
      <c r="CH8" s="468">
        <f t="shared" si="22"/>
        <v>6.6000000000000003E-2</v>
      </c>
      <c r="CI8" s="418">
        <v>0.4</v>
      </c>
      <c r="CJ8" s="664">
        <f t="shared" si="23"/>
        <v>0.4</v>
      </c>
      <c r="CK8" s="1399">
        <v>0.1</v>
      </c>
      <c r="CL8" s="301">
        <f t="shared" si="24"/>
        <v>0.30000000000000004</v>
      </c>
      <c r="CM8" s="381">
        <f t="shared" si="25"/>
        <v>0.1</v>
      </c>
      <c r="CN8" s="381">
        <f t="shared" si="26"/>
        <v>25</v>
      </c>
      <c r="CO8" s="316">
        <f t="shared" si="27"/>
        <v>25</v>
      </c>
      <c r="CP8" s="381">
        <f t="shared" si="28"/>
        <v>1.6500000000000001E-2</v>
      </c>
      <c r="CQ8" s="381">
        <f t="shared" si="29"/>
        <v>1.6500000000000001E-2</v>
      </c>
      <c r="CR8" s="313">
        <v>804000000</v>
      </c>
      <c r="CS8" s="313">
        <v>306000000</v>
      </c>
      <c r="CT8" s="313">
        <v>498000000</v>
      </c>
      <c r="CU8" s="313">
        <v>0</v>
      </c>
      <c r="CV8" s="313">
        <v>0</v>
      </c>
      <c r="CW8" s="313">
        <v>0</v>
      </c>
      <c r="CX8" s="313">
        <v>0</v>
      </c>
      <c r="CY8" s="313">
        <v>0</v>
      </c>
      <c r="CZ8" s="380">
        <v>0</v>
      </c>
      <c r="DA8" s="380">
        <v>0</v>
      </c>
      <c r="DB8" s="380">
        <v>0</v>
      </c>
      <c r="DC8" s="380">
        <v>0</v>
      </c>
      <c r="DD8" s="380">
        <v>0</v>
      </c>
      <c r="DE8" s="380">
        <v>0</v>
      </c>
      <c r="DF8" s="380">
        <v>0</v>
      </c>
      <c r="DG8" s="380">
        <v>0</v>
      </c>
      <c r="DH8" s="380">
        <v>0</v>
      </c>
      <c r="DI8" s="380">
        <v>0</v>
      </c>
      <c r="DJ8" s="380">
        <v>0</v>
      </c>
      <c r="DK8" s="702">
        <f t="shared" si="30"/>
        <v>-0.50000000000000011</v>
      </c>
      <c r="DL8" s="311">
        <f t="shared" si="31"/>
        <v>0.16500000000000001</v>
      </c>
      <c r="DM8" s="310">
        <f t="shared" si="32"/>
        <v>-50.000000000000014</v>
      </c>
      <c r="DN8" s="356">
        <f t="shared" si="33"/>
        <v>-50.000000000000014</v>
      </c>
      <c r="DO8" s="308">
        <f t="shared" si="34"/>
        <v>-8.2500000000000032E-2</v>
      </c>
      <c r="DP8" s="359">
        <f>+IF(((DN8*Q8)/100)&lt;Q8, ((DN8*Q8)/100),Q8)</f>
        <v>-8.2500000000000032E-2</v>
      </c>
      <c r="DQ8" s="306">
        <f t="shared" si="35"/>
        <v>-8.2500000000000032E-2</v>
      </c>
      <c r="DR8" s="379">
        <f t="shared" si="36"/>
        <v>1</v>
      </c>
      <c r="DS8" s="378">
        <f t="shared" si="37"/>
        <v>0</v>
      </c>
      <c r="DT8" s="173">
        <v>3</v>
      </c>
      <c r="DU8" s="174" t="s">
        <v>145</v>
      </c>
      <c r="DV8" s="173"/>
      <c r="DW8" s="174" t="s">
        <v>84</v>
      </c>
      <c r="DX8" s="173"/>
      <c r="DY8" s="173"/>
      <c r="DZ8" s="173"/>
      <c r="EA8" s="665"/>
      <c r="EB8" s="1253" t="s">
        <v>2247</v>
      </c>
      <c r="EC8" s="537">
        <v>0</v>
      </c>
      <c r="EE8" s="1410">
        <v>0</v>
      </c>
      <c r="EF8" s="706"/>
    </row>
    <row r="9" spans="1:136" s="302" customFormat="1" ht="127.5" hidden="1">
      <c r="D9" s="520">
        <v>6</v>
      </c>
      <c r="E9" s="534">
        <v>15</v>
      </c>
      <c r="F9" s="523" t="s">
        <v>43</v>
      </c>
      <c r="G9" s="523" t="s">
        <v>7</v>
      </c>
      <c r="H9" s="524" t="s">
        <v>2651</v>
      </c>
      <c r="I9" s="462" t="s">
        <v>171</v>
      </c>
      <c r="J9" s="335" t="s">
        <v>180</v>
      </c>
      <c r="K9" s="335" t="s">
        <v>181</v>
      </c>
      <c r="L9" s="454" t="s">
        <v>2021</v>
      </c>
      <c r="M9" s="333" t="s">
        <v>1785</v>
      </c>
      <c r="N9" s="333">
        <v>3936</v>
      </c>
      <c r="O9" s="333">
        <f>+P9</f>
        <v>4000</v>
      </c>
      <c r="P9" s="332">
        <v>4000</v>
      </c>
      <c r="Q9" s="357">
        <v>0.16500000000000001</v>
      </c>
      <c r="R9" s="342">
        <f t="shared" si="0"/>
        <v>4.1250000000000002E-2</v>
      </c>
      <c r="S9" s="459">
        <v>4000</v>
      </c>
      <c r="T9" s="387">
        <f t="shared" si="1"/>
        <v>0.25</v>
      </c>
      <c r="U9" s="670">
        <v>7871</v>
      </c>
      <c r="V9" s="388">
        <f t="shared" si="2"/>
        <v>1967.75</v>
      </c>
      <c r="W9" s="356">
        <f t="shared" si="3"/>
        <v>196.77500000000001</v>
      </c>
      <c r="X9" s="356">
        <f t="shared" si="4"/>
        <v>100</v>
      </c>
      <c r="Y9" s="356">
        <f t="shared" si="5"/>
        <v>4.1250000000000002E-2</v>
      </c>
      <c r="Z9" s="356">
        <f t="shared" si="6"/>
        <v>100</v>
      </c>
      <c r="AA9" s="313">
        <v>1427000000</v>
      </c>
      <c r="AB9" s="313">
        <v>1427000000</v>
      </c>
      <c r="AC9" s="313">
        <v>0</v>
      </c>
      <c r="AD9" s="313">
        <v>0</v>
      </c>
      <c r="AE9" s="313">
        <v>0</v>
      </c>
      <c r="AF9" s="313">
        <v>0</v>
      </c>
      <c r="AG9" s="313">
        <v>0</v>
      </c>
      <c r="AH9" s="313">
        <v>0</v>
      </c>
      <c r="AI9" s="313">
        <v>373817000</v>
      </c>
      <c r="AJ9" s="313">
        <v>163117000</v>
      </c>
      <c r="AK9" s="313">
        <v>0</v>
      </c>
      <c r="AL9" s="313">
        <v>0</v>
      </c>
      <c r="AM9" s="313">
        <v>0</v>
      </c>
      <c r="AN9" s="313">
        <v>210700000</v>
      </c>
      <c r="AO9" s="313">
        <v>0</v>
      </c>
      <c r="AP9" s="313">
        <v>0</v>
      </c>
      <c r="AQ9" s="313">
        <v>0</v>
      </c>
      <c r="AR9" s="313">
        <v>134611000</v>
      </c>
      <c r="AS9" s="313" t="s">
        <v>2023</v>
      </c>
      <c r="AT9" s="333">
        <f t="shared" si="7"/>
        <v>4.1250000000000002E-2</v>
      </c>
      <c r="AU9" s="333">
        <v>4000</v>
      </c>
      <c r="AV9" s="387">
        <f t="shared" si="8"/>
        <v>0.25</v>
      </c>
      <c r="AW9" s="677">
        <v>3200</v>
      </c>
      <c r="AX9" s="474">
        <f t="shared" si="9"/>
        <v>800</v>
      </c>
      <c r="AY9" s="474">
        <f t="shared" si="10"/>
        <v>80</v>
      </c>
      <c r="AZ9" s="474">
        <f t="shared" si="11"/>
        <v>80</v>
      </c>
      <c r="BA9" s="356">
        <f t="shared" si="12"/>
        <v>3.3000000000000002E-2</v>
      </c>
      <c r="BB9" s="356">
        <f t="shared" si="13"/>
        <v>80</v>
      </c>
      <c r="BC9" s="313">
        <v>1031000000</v>
      </c>
      <c r="BD9" s="313">
        <v>0</v>
      </c>
      <c r="BE9" s="313">
        <v>1031000000</v>
      </c>
      <c r="BF9" s="313">
        <v>0</v>
      </c>
      <c r="BG9" s="313">
        <v>0</v>
      </c>
      <c r="BH9" s="313">
        <v>0</v>
      </c>
      <c r="BI9" s="313">
        <v>0</v>
      </c>
      <c r="BJ9" s="313">
        <v>0</v>
      </c>
      <c r="BK9" s="473">
        <v>2740962756</v>
      </c>
      <c r="BL9" s="472">
        <v>812957816</v>
      </c>
      <c r="BM9" s="472">
        <v>0</v>
      </c>
      <c r="BN9" s="472">
        <v>0</v>
      </c>
      <c r="BO9" s="472">
        <v>0</v>
      </c>
      <c r="BP9" s="472">
        <v>1928004940</v>
      </c>
      <c r="BQ9" s="472">
        <v>0</v>
      </c>
      <c r="BR9" s="472">
        <v>0</v>
      </c>
      <c r="BS9" s="472">
        <v>0</v>
      </c>
      <c r="BT9" s="472">
        <v>0</v>
      </c>
      <c r="BU9" s="472">
        <v>0</v>
      </c>
      <c r="BV9" s="342">
        <f t="shared" si="14"/>
        <v>4.1250000000000002E-2</v>
      </c>
      <c r="BW9" s="350">
        <v>4000</v>
      </c>
      <c r="BX9" s="385">
        <f t="shared" si="15"/>
        <v>0.25</v>
      </c>
      <c r="BY9" s="369">
        <v>6500</v>
      </c>
      <c r="BZ9" s="391">
        <v>6500</v>
      </c>
      <c r="CA9" s="689">
        <v>6500</v>
      </c>
      <c r="CB9" s="471">
        <f t="shared" si="16"/>
        <v>1625</v>
      </c>
      <c r="CC9" s="471">
        <f t="shared" si="17"/>
        <v>162.5</v>
      </c>
      <c r="CD9" s="470">
        <f t="shared" si="18"/>
        <v>100</v>
      </c>
      <c r="CE9" s="380">
        <f t="shared" si="19"/>
        <v>4.1250000000000002E-2</v>
      </c>
      <c r="CF9" s="469">
        <f t="shared" si="20"/>
        <v>100</v>
      </c>
      <c r="CG9" s="380">
        <f t="shared" si="21"/>
        <v>6.7031250000000001E-2</v>
      </c>
      <c r="CH9" s="468">
        <f t="shared" si="22"/>
        <v>4.1250000000000002E-2</v>
      </c>
      <c r="CI9" s="319">
        <v>4000</v>
      </c>
      <c r="CJ9" s="318">
        <f t="shared" si="23"/>
        <v>0.25</v>
      </c>
      <c r="CK9" s="1257">
        <v>8696</v>
      </c>
      <c r="CL9" s="301">
        <f t="shared" si="24"/>
        <v>-4696</v>
      </c>
      <c r="CM9" s="381">
        <f t="shared" si="25"/>
        <v>2174</v>
      </c>
      <c r="CN9" s="381">
        <f t="shared" si="26"/>
        <v>217.4</v>
      </c>
      <c r="CO9" s="381">
        <f t="shared" si="27"/>
        <v>100</v>
      </c>
      <c r="CP9" s="381">
        <f t="shared" si="28"/>
        <v>4.1250000000000002E-2</v>
      </c>
      <c r="CQ9" s="381">
        <f t="shared" si="29"/>
        <v>8.9677500000000007E-2</v>
      </c>
      <c r="CR9" s="313">
        <v>2379000000</v>
      </c>
      <c r="CS9" s="313">
        <v>2379000000</v>
      </c>
      <c r="CT9" s="313">
        <v>0</v>
      </c>
      <c r="CU9" s="313">
        <v>0</v>
      </c>
      <c r="CV9" s="313">
        <v>0</v>
      </c>
      <c r="CW9" s="313">
        <v>0</v>
      </c>
      <c r="CX9" s="313">
        <v>0</v>
      </c>
      <c r="CY9" s="313">
        <v>0</v>
      </c>
      <c r="CZ9" s="380">
        <v>0</v>
      </c>
      <c r="DA9" s="380">
        <v>0</v>
      </c>
      <c r="DB9" s="380">
        <v>0</v>
      </c>
      <c r="DC9" s="380">
        <v>0</v>
      </c>
      <c r="DD9" s="380">
        <v>0</v>
      </c>
      <c r="DE9" s="380">
        <v>0</v>
      </c>
      <c r="DF9" s="380">
        <v>0</v>
      </c>
      <c r="DG9" s="380">
        <v>0</v>
      </c>
      <c r="DH9" s="380">
        <v>0</v>
      </c>
      <c r="DI9" s="380">
        <v>0</v>
      </c>
      <c r="DJ9" s="380">
        <v>0</v>
      </c>
      <c r="DK9" s="702">
        <f t="shared" si="30"/>
        <v>6566.75</v>
      </c>
      <c r="DL9" s="311">
        <f t="shared" si="31"/>
        <v>0.16500000000000001</v>
      </c>
      <c r="DM9" s="310">
        <f t="shared" si="32"/>
        <v>164.16874999999999</v>
      </c>
      <c r="DN9" s="356">
        <f t="shared" si="33"/>
        <v>100</v>
      </c>
      <c r="DO9" s="308">
        <f t="shared" si="34"/>
        <v>0.16500000000000001</v>
      </c>
      <c r="DP9" s="359">
        <f>+IF(M9="M",DO9,0)</f>
        <v>0.16500000000000001</v>
      </c>
      <c r="DQ9" s="306">
        <f t="shared" si="35"/>
        <v>0.16500000000000001</v>
      </c>
      <c r="DR9" s="379">
        <f t="shared" si="36"/>
        <v>1</v>
      </c>
      <c r="DS9" s="378">
        <f t="shared" si="37"/>
        <v>0</v>
      </c>
      <c r="DT9" s="173">
        <v>7</v>
      </c>
      <c r="DU9" s="174" t="s">
        <v>142</v>
      </c>
      <c r="DV9" s="173">
        <v>8</v>
      </c>
      <c r="DW9" s="174" t="s">
        <v>141</v>
      </c>
      <c r="DX9" s="173"/>
      <c r="DY9" s="173"/>
      <c r="DZ9" s="173"/>
      <c r="EA9" s="665"/>
      <c r="EB9" s="1253" t="s">
        <v>3217</v>
      </c>
      <c r="EC9" s="537">
        <v>150000000</v>
      </c>
      <c r="EE9" s="1408">
        <v>80</v>
      </c>
      <c r="EF9" s="706"/>
    </row>
    <row r="10" spans="1:136" s="302" customFormat="1" ht="84" hidden="1">
      <c r="D10" s="520">
        <v>7</v>
      </c>
      <c r="E10" s="534">
        <v>16</v>
      </c>
      <c r="F10" s="523" t="s">
        <v>43</v>
      </c>
      <c r="G10" s="523" t="s">
        <v>7</v>
      </c>
      <c r="H10" s="524" t="s">
        <v>2651</v>
      </c>
      <c r="I10" s="462" t="s">
        <v>171</v>
      </c>
      <c r="J10" s="335" t="s">
        <v>182</v>
      </c>
      <c r="K10" s="335" t="s">
        <v>183</v>
      </c>
      <c r="L10" s="454" t="s">
        <v>2021</v>
      </c>
      <c r="M10" s="333" t="s">
        <v>1785</v>
      </c>
      <c r="N10" s="333">
        <v>1532</v>
      </c>
      <c r="O10" s="333">
        <f>+P10</f>
        <v>2000</v>
      </c>
      <c r="P10" s="332">
        <v>2000</v>
      </c>
      <c r="Q10" s="357">
        <v>0.16500000000000001</v>
      </c>
      <c r="R10" s="342">
        <f t="shared" si="0"/>
        <v>4.1250000000000002E-2</v>
      </c>
      <c r="S10" s="459">
        <v>2000</v>
      </c>
      <c r="T10" s="387">
        <f t="shared" si="1"/>
        <v>0.25</v>
      </c>
      <c r="U10" s="670">
        <v>3064</v>
      </c>
      <c r="V10" s="388">
        <f t="shared" si="2"/>
        <v>766</v>
      </c>
      <c r="W10" s="356">
        <f t="shared" si="3"/>
        <v>153.19999999999999</v>
      </c>
      <c r="X10" s="356">
        <f t="shared" si="4"/>
        <v>100</v>
      </c>
      <c r="Y10" s="356">
        <f t="shared" si="5"/>
        <v>4.1250000000000002E-2</v>
      </c>
      <c r="Z10" s="356">
        <f t="shared" si="6"/>
        <v>100</v>
      </c>
      <c r="AA10" s="313">
        <v>666000000</v>
      </c>
      <c r="AB10" s="313">
        <v>666000000</v>
      </c>
      <c r="AC10" s="313">
        <v>0</v>
      </c>
      <c r="AD10" s="313">
        <v>0</v>
      </c>
      <c r="AE10" s="313">
        <v>0</v>
      </c>
      <c r="AF10" s="313">
        <v>0</v>
      </c>
      <c r="AG10" s="313">
        <v>0</v>
      </c>
      <c r="AH10" s="313">
        <v>0</v>
      </c>
      <c r="AI10" s="313">
        <v>373817000</v>
      </c>
      <c r="AJ10" s="313">
        <v>163117000</v>
      </c>
      <c r="AK10" s="313">
        <v>0</v>
      </c>
      <c r="AL10" s="313">
        <v>0</v>
      </c>
      <c r="AM10" s="313">
        <v>0</v>
      </c>
      <c r="AN10" s="313">
        <v>210700000</v>
      </c>
      <c r="AO10" s="313">
        <v>0</v>
      </c>
      <c r="AP10" s="313">
        <v>0</v>
      </c>
      <c r="AQ10" s="313">
        <v>0</v>
      </c>
      <c r="AR10" s="313">
        <v>134611000</v>
      </c>
      <c r="AS10" s="313" t="s">
        <v>2022</v>
      </c>
      <c r="AT10" s="333">
        <f t="shared" si="7"/>
        <v>4.1250000000000002E-2</v>
      </c>
      <c r="AU10" s="333">
        <v>2000</v>
      </c>
      <c r="AV10" s="387">
        <f t="shared" si="8"/>
        <v>0.25</v>
      </c>
      <c r="AW10" s="677">
        <v>1210</v>
      </c>
      <c r="AX10" s="474">
        <f t="shared" si="9"/>
        <v>302.5</v>
      </c>
      <c r="AY10" s="474">
        <f t="shared" si="10"/>
        <v>60.5</v>
      </c>
      <c r="AZ10" s="474">
        <f t="shared" si="11"/>
        <v>60.5</v>
      </c>
      <c r="BA10" s="356">
        <f t="shared" si="12"/>
        <v>2.4956249999999999E-2</v>
      </c>
      <c r="BB10" s="356">
        <f t="shared" si="13"/>
        <v>60.5</v>
      </c>
      <c r="BC10" s="313">
        <v>481000000</v>
      </c>
      <c r="BD10" s="313">
        <v>0</v>
      </c>
      <c r="BE10" s="313">
        <v>481000000</v>
      </c>
      <c r="BF10" s="313">
        <v>0</v>
      </c>
      <c r="BG10" s="313">
        <v>0</v>
      </c>
      <c r="BH10" s="313">
        <v>0</v>
      </c>
      <c r="BI10" s="313">
        <v>0</v>
      </c>
      <c r="BJ10" s="313">
        <v>0</v>
      </c>
      <c r="BK10" s="473">
        <v>1806739740</v>
      </c>
      <c r="BL10" s="472">
        <v>735544680</v>
      </c>
      <c r="BM10" s="472">
        <v>0</v>
      </c>
      <c r="BN10" s="472">
        <v>0</v>
      </c>
      <c r="BO10" s="472">
        <v>0</v>
      </c>
      <c r="BP10" s="472">
        <v>1071195060</v>
      </c>
      <c r="BQ10" s="472">
        <v>0</v>
      </c>
      <c r="BR10" s="472">
        <v>0</v>
      </c>
      <c r="BS10" s="472">
        <v>0</v>
      </c>
      <c r="BT10" s="472">
        <v>0</v>
      </c>
      <c r="BU10" s="472">
        <v>0</v>
      </c>
      <c r="BV10" s="342">
        <f t="shared" si="14"/>
        <v>4.1250000000000002E-2</v>
      </c>
      <c r="BW10" s="350">
        <v>2000</v>
      </c>
      <c r="BX10" s="385">
        <f t="shared" si="15"/>
        <v>0.25</v>
      </c>
      <c r="BY10" s="399">
        <v>3000</v>
      </c>
      <c r="BZ10" s="398">
        <v>3000</v>
      </c>
      <c r="CA10" s="690">
        <v>2600</v>
      </c>
      <c r="CB10" s="471">
        <f t="shared" si="16"/>
        <v>650</v>
      </c>
      <c r="CC10" s="471">
        <f t="shared" si="17"/>
        <v>130</v>
      </c>
      <c r="CD10" s="470">
        <f t="shared" si="18"/>
        <v>100</v>
      </c>
      <c r="CE10" s="380">
        <f t="shared" si="19"/>
        <v>4.1250000000000002E-2</v>
      </c>
      <c r="CF10" s="469">
        <f t="shared" si="20"/>
        <v>100</v>
      </c>
      <c r="CG10" s="380">
        <f t="shared" si="21"/>
        <v>5.3624999999999999E-2</v>
      </c>
      <c r="CH10" s="468">
        <f t="shared" si="22"/>
        <v>4.1250000000000002E-2</v>
      </c>
      <c r="CI10" s="319">
        <v>2000</v>
      </c>
      <c r="CJ10" s="318">
        <f t="shared" si="23"/>
        <v>0.25</v>
      </c>
      <c r="CK10" s="1258">
        <v>4000</v>
      </c>
      <c r="CL10" s="301">
        <f t="shared" si="24"/>
        <v>-2000</v>
      </c>
      <c r="CM10" s="381">
        <f t="shared" si="25"/>
        <v>1000</v>
      </c>
      <c r="CN10" s="381">
        <f t="shared" si="26"/>
        <v>200</v>
      </c>
      <c r="CO10" s="381">
        <f t="shared" si="27"/>
        <v>100</v>
      </c>
      <c r="CP10" s="381">
        <f t="shared" si="28"/>
        <v>4.1250000000000002E-2</v>
      </c>
      <c r="CQ10" s="381">
        <f t="shared" si="29"/>
        <v>8.2500000000000004E-2</v>
      </c>
      <c r="CR10" s="313">
        <v>1110000000</v>
      </c>
      <c r="CS10" s="313">
        <v>1110000000</v>
      </c>
      <c r="CT10" s="313">
        <v>0</v>
      </c>
      <c r="CU10" s="313">
        <v>0</v>
      </c>
      <c r="CV10" s="313">
        <v>0</v>
      </c>
      <c r="CW10" s="313">
        <v>0</v>
      </c>
      <c r="CX10" s="313">
        <v>0</v>
      </c>
      <c r="CY10" s="313">
        <v>0</v>
      </c>
      <c r="CZ10" s="380">
        <v>0</v>
      </c>
      <c r="DA10" s="380">
        <v>0</v>
      </c>
      <c r="DB10" s="380">
        <v>0</v>
      </c>
      <c r="DC10" s="380">
        <v>0</v>
      </c>
      <c r="DD10" s="380">
        <v>0</v>
      </c>
      <c r="DE10" s="380">
        <v>0</v>
      </c>
      <c r="DF10" s="380">
        <v>0</v>
      </c>
      <c r="DG10" s="380">
        <v>0</v>
      </c>
      <c r="DH10" s="380">
        <v>0</v>
      </c>
      <c r="DI10" s="380">
        <v>0</v>
      </c>
      <c r="DJ10" s="380">
        <v>0</v>
      </c>
      <c r="DK10" s="702">
        <f t="shared" si="30"/>
        <v>2718.5</v>
      </c>
      <c r="DL10" s="311">
        <f t="shared" si="31"/>
        <v>0.16500000000000001</v>
      </c>
      <c r="DM10" s="310">
        <f t="shared" si="32"/>
        <v>135.92500000000001</v>
      </c>
      <c r="DN10" s="356">
        <f t="shared" si="33"/>
        <v>100</v>
      </c>
      <c r="DO10" s="308">
        <f t="shared" si="34"/>
        <v>0.16500000000000001</v>
      </c>
      <c r="DP10" s="359">
        <f>+IF(M10="M",DO10,0)</f>
        <v>0.16500000000000001</v>
      </c>
      <c r="DQ10" s="306">
        <f t="shared" si="35"/>
        <v>0.16500000000000001</v>
      </c>
      <c r="DR10" s="379">
        <f t="shared" si="36"/>
        <v>1</v>
      </c>
      <c r="DS10" s="378">
        <f t="shared" si="37"/>
        <v>0</v>
      </c>
      <c r="DT10" s="173">
        <v>7</v>
      </c>
      <c r="DU10" s="174" t="s">
        <v>142</v>
      </c>
      <c r="DV10" s="173">
        <v>8</v>
      </c>
      <c r="DW10" s="174" t="s">
        <v>141</v>
      </c>
      <c r="DX10" s="173"/>
      <c r="DY10" s="173"/>
      <c r="DZ10" s="173"/>
      <c r="EA10" s="665"/>
      <c r="EB10" s="1253" t="s">
        <v>3218</v>
      </c>
      <c r="EC10" s="537">
        <v>110000000</v>
      </c>
      <c r="EE10" s="739">
        <v>100</v>
      </c>
      <c r="EF10" s="706"/>
    </row>
    <row r="11" spans="1:136" s="302" customFormat="1" ht="51" hidden="1">
      <c r="D11" s="520">
        <v>8</v>
      </c>
      <c r="E11" s="534">
        <v>17</v>
      </c>
      <c r="F11" s="523" t="s">
        <v>43</v>
      </c>
      <c r="G11" s="523" t="s">
        <v>9</v>
      </c>
      <c r="H11" s="524" t="s">
        <v>2651</v>
      </c>
      <c r="I11" s="462" t="s">
        <v>171</v>
      </c>
      <c r="J11" s="335" t="s">
        <v>184</v>
      </c>
      <c r="K11" s="335" t="s">
        <v>185</v>
      </c>
      <c r="L11" s="454" t="s">
        <v>1415</v>
      </c>
      <c r="M11" s="333" t="s">
        <v>1785</v>
      </c>
      <c r="N11" s="333">
        <v>0</v>
      </c>
      <c r="O11" s="333">
        <f>+P11</f>
        <v>116</v>
      </c>
      <c r="P11" s="332">
        <v>116</v>
      </c>
      <c r="Q11" s="357">
        <v>0.16500000000000001</v>
      </c>
      <c r="R11" s="342">
        <f t="shared" si="0"/>
        <v>4.1250000000000002E-2</v>
      </c>
      <c r="S11" s="459">
        <v>116</v>
      </c>
      <c r="T11" s="387">
        <f t="shared" si="1"/>
        <v>0.25</v>
      </c>
      <c r="U11" s="670">
        <v>0</v>
      </c>
      <c r="V11" s="388">
        <f t="shared" si="2"/>
        <v>0</v>
      </c>
      <c r="W11" s="356">
        <f t="shared" si="3"/>
        <v>0</v>
      </c>
      <c r="X11" s="356">
        <f t="shared" si="4"/>
        <v>0</v>
      </c>
      <c r="Y11" s="356">
        <f t="shared" si="5"/>
        <v>0</v>
      </c>
      <c r="Z11" s="356">
        <f t="shared" si="6"/>
        <v>0</v>
      </c>
      <c r="AA11" s="313">
        <v>0</v>
      </c>
      <c r="AB11" s="313">
        <v>0</v>
      </c>
      <c r="AC11" s="313">
        <v>0</v>
      </c>
      <c r="AD11" s="313">
        <v>0</v>
      </c>
      <c r="AE11" s="313">
        <v>0</v>
      </c>
      <c r="AF11" s="313">
        <v>0</v>
      </c>
      <c r="AG11" s="313">
        <v>0</v>
      </c>
      <c r="AH11" s="313">
        <v>0</v>
      </c>
      <c r="AI11" s="313">
        <v>0</v>
      </c>
      <c r="AJ11" s="313">
        <v>0</v>
      </c>
      <c r="AK11" s="313">
        <v>0</v>
      </c>
      <c r="AL11" s="313">
        <v>0</v>
      </c>
      <c r="AM11" s="313">
        <v>0</v>
      </c>
      <c r="AN11" s="313">
        <v>0</v>
      </c>
      <c r="AO11" s="313">
        <v>0</v>
      </c>
      <c r="AP11" s="313">
        <v>0</v>
      </c>
      <c r="AQ11" s="313">
        <v>0</v>
      </c>
      <c r="AR11" s="313">
        <v>0</v>
      </c>
      <c r="AS11" s="313" t="s">
        <v>1798</v>
      </c>
      <c r="AT11" s="333">
        <f t="shared" si="7"/>
        <v>4.1250000000000002E-2</v>
      </c>
      <c r="AU11" s="333">
        <v>116</v>
      </c>
      <c r="AV11" s="387">
        <f t="shared" si="8"/>
        <v>0.25</v>
      </c>
      <c r="AW11" s="677">
        <v>80</v>
      </c>
      <c r="AX11" s="474">
        <f t="shared" si="9"/>
        <v>20</v>
      </c>
      <c r="AY11" s="474">
        <f t="shared" si="10"/>
        <v>68.965517241379317</v>
      </c>
      <c r="AZ11" s="474">
        <f t="shared" si="11"/>
        <v>68.965517241379317</v>
      </c>
      <c r="BA11" s="356">
        <f t="shared" si="12"/>
        <v>2.8448275862068967E-2</v>
      </c>
      <c r="BB11" s="356">
        <f t="shared" si="13"/>
        <v>68.965517241379317</v>
      </c>
      <c r="BC11" s="313">
        <v>50000000</v>
      </c>
      <c r="BD11" s="313">
        <v>0</v>
      </c>
      <c r="BE11" s="313">
        <v>50000000</v>
      </c>
      <c r="BF11" s="313">
        <v>0</v>
      </c>
      <c r="BG11" s="313">
        <v>0</v>
      </c>
      <c r="BH11" s="313">
        <v>0</v>
      </c>
      <c r="BI11" s="313">
        <v>0</v>
      </c>
      <c r="BJ11" s="313">
        <v>0</v>
      </c>
      <c r="BK11" s="473">
        <v>0</v>
      </c>
      <c r="BL11" s="472">
        <v>0</v>
      </c>
      <c r="BM11" s="472">
        <v>0</v>
      </c>
      <c r="BN11" s="472">
        <v>0</v>
      </c>
      <c r="BO11" s="472">
        <v>0</v>
      </c>
      <c r="BP11" s="472">
        <v>0</v>
      </c>
      <c r="BQ11" s="472">
        <v>0</v>
      </c>
      <c r="BR11" s="472">
        <v>0</v>
      </c>
      <c r="BS11" s="472">
        <v>0</v>
      </c>
      <c r="BT11" s="472">
        <v>0</v>
      </c>
      <c r="BU11" s="472">
        <v>0</v>
      </c>
      <c r="BV11" s="342">
        <f t="shared" si="14"/>
        <v>4.1250000000000002E-2</v>
      </c>
      <c r="BW11" s="350">
        <v>116</v>
      </c>
      <c r="BX11" s="385">
        <f t="shared" si="15"/>
        <v>0.25</v>
      </c>
      <c r="BY11" s="369">
        <v>116</v>
      </c>
      <c r="BZ11" s="391">
        <v>116</v>
      </c>
      <c r="CA11" s="689">
        <v>116</v>
      </c>
      <c r="CB11" s="471">
        <f t="shared" si="16"/>
        <v>29</v>
      </c>
      <c r="CC11" s="471">
        <f t="shared" si="17"/>
        <v>100</v>
      </c>
      <c r="CD11" s="470">
        <f t="shared" si="18"/>
        <v>100</v>
      </c>
      <c r="CE11" s="380">
        <f t="shared" si="19"/>
        <v>4.1250000000000002E-2</v>
      </c>
      <c r="CF11" s="469">
        <f t="shared" si="20"/>
        <v>100</v>
      </c>
      <c r="CG11" s="380">
        <f t="shared" si="21"/>
        <v>4.1250000000000002E-2</v>
      </c>
      <c r="CH11" s="468">
        <f t="shared" si="22"/>
        <v>4.1250000000000002E-2</v>
      </c>
      <c r="CI11" s="319">
        <v>0</v>
      </c>
      <c r="CJ11" s="318">
        <f t="shared" si="23"/>
        <v>0.25</v>
      </c>
      <c r="CK11" s="1258">
        <v>100</v>
      </c>
      <c r="CL11" s="301">
        <f t="shared" si="24"/>
        <v>-100</v>
      </c>
      <c r="CM11" s="381">
        <f t="shared" si="25"/>
        <v>25</v>
      </c>
      <c r="CN11" s="381">
        <f t="shared" si="26"/>
        <v>0</v>
      </c>
      <c r="CO11" s="381">
        <f t="shared" si="27"/>
        <v>0</v>
      </c>
      <c r="CP11" s="381">
        <f t="shared" si="28"/>
        <v>0</v>
      </c>
      <c r="CQ11" s="381">
        <f t="shared" si="29"/>
        <v>0</v>
      </c>
      <c r="CR11" s="313">
        <v>0</v>
      </c>
      <c r="CS11" s="313">
        <v>0</v>
      </c>
      <c r="CT11" s="313">
        <v>0</v>
      </c>
      <c r="CU11" s="313">
        <v>0</v>
      </c>
      <c r="CV11" s="313">
        <v>0</v>
      </c>
      <c r="CW11" s="313">
        <v>0</v>
      </c>
      <c r="CX11" s="313">
        <v>0</v>
      </c>
      <c r="CY11" s="313">
        <v>0</v>
      </c>
      <c r="CZ11" s="380">
        <v>0</v>
      </c>
      <c r="DA11" s="380">
        <v>0</v>
      </c>
      <c r="DB11" s="380">
        <v>0</v>
      </c>
      <c r="DC11" s="380">
        <v>0</v>
      </c>
      <c r="DD11" s="380">
        <v>0</v>
      </c>
      <c r="DE11" s="380">
        <v>0</v>
      </c>
      <c r="DF11" s="380">
        <v>0</v>
      </c>
      <c r="DG11" s="380">
        <v>0</v>
      </c>
      <c r="DH11" s="380">
        <v>0</v>
      </c>
      <c r="DI11" s="380">
        <v>0</v>
      </c>
      <c r="DJ11" s="380">
        <v>0</v>
      </c>
      <c r="DK11" s="702">
        <f t="shared" si="30"/>
        <v>74</v>
      </c>
      <c r="DL11" s="311">
        <f t="shared" si="31"/>
        <v>0.16500000000000001</v>
      </c>
      <c r="DM11" s="310">
        <f t="shared" si="32"/>
        <v>63.793103448275865</v>
      </c>
      <c r="DN11" s="356">
        <f t="shared" si="33"/>
        <v>63.793103448275865</v>
      </c>
      <c r="DO11" s="308">
        <f t="shared" si="34"/>
        <v>0.10525862068965518</v>
      </c>
      <c r="DP11" s="359">
        <f>+IF(M11="M",DO11,0)</f>
        <v>0.10525862068965518</v>
      </c>
      <c r="DQ11" s="306">
        <f t="shared" si="35"/>
        <v>0.10525862068965518</v>
      </c>
      <c r="DR11" s="379">
        <f t="shared" si="36"/>
        <v>1</v>
      </c>
      <c r="DS11" s="378">
        <f t="shared" si="37"/>
        <v>0</v>
      </c>
      <c r="DT11" s="173">
        <v>1</v>
      </c>
      <c r="DU11" s="174" t="s">
        <v>186</v>
      </c>
      <c r="DV11" s="173"/>
      <c r="DW11" s="174" t="s">
        <v>84</v>
      </c>
      <c r="DX11" s="173"/>
      <c r="DY11" s="173"/>
      <c r="DZ11" s="173"/>
      <c r="EA11" s="665"/>
      <c r="EB11" s="1253" t="s">
        <v>2084</v>
      </c>
      <c r="EC11" s="537">
        <v>0</v>
      </c>
      <c r="EE11" s="734">
        <v>4</v>
      </c>
      <c r="EF11" s="706"/>
    </row>
    <row r="12" spans="1:136" s="302" customFormat="1" ht="144" hidden="1">
      <c r="D12" s="520">
        <v>9</v>
      </c>
      <c r="E12" s="534">
        <v>18</v>
      </c>
      <c r="F12" s="523" t="s">
        <v>43</v>
      </c>
      <c r="G12" s="523" t="s">
        <v>8</v>
      </c>
      <c r="H12" s="524" t="s">
        <v>2651</v>
      </c>
      <c r="I12" s="462" t="s">
        <v>187</v>
      </c>
      <c r="J12" s="335" t="s">
        <v>188</v>
      </c>
      <c r="K12" s="335" t="s">
        <v>189</v>
      </c>
      <c r="L12" s="454" t="s">
        <v>2021</v>
      </c>
      <c r="M12" s="333" t="s">
        <v>1771</v>
      </c>
      <c r="N12" s="333">
        <v>7646</v>
      </c>
      <c r="O12" s="333">
        <f t="shared" ref="O12:O17" si="38">+N12+P12</f>
        <v>15646</v>
      </c>
      <c r="P12" s="332">
        <v>8000</v>
      </c>
      <c r="Q12" s="357">
        <v>0.25</v>
      </c>
      <c r="R12" s="342">
        <f t="shared" si="0"/>
        <v>6.25E-2</v>
      </c>
      <c r="S12" s="459">
        <v>2000</v>
      </c>
      <c r="T12" s="387">
        <f t="shared" si="1"/>
        <v>0.25</v>
      </c>
      <c r="U12" s="670">
        <v>2004</v>
      </c>
      <c r="V12" s="388">
        <f t="shared" si="2"/>
        <v>2004</v>
      </c>
      <c r="W12" s="356">
        <f t="shared" si="3"/>
        <v>100.2</v>
      </c>
      <c r="X12" s="356">
        <f t="shared" si="4"/>
        <v>100</v>
      </c>
      <c r="Y12" s="356">
        <f t="shared" si="5"/>
        <v>6.25E-2</v>
      </c>
      <c r="Z12" s="356">
        <f t="shared" si="6"/>
        <v>100</v>
      </c>
      <c r="AA12" s="313">
        <v>3024000000</v>
      </c>
      <c r="AB12" s="313">
        <v>2000000000</v>
      </c>
      <c r="AC12" s="313">
        <v>0</v>
      </c>
      <c r="AD12" s="313">
        <v>0</v>
      </c>
      <c r="AE12" s="313">
        <v>0</v>
      </c>
      <c r="AF12" s="313">
        <v>0</v>
      </c>
      <c r="AG12" s="313">
        <v>0</v>
      </c>
      <c r="AH12" s="313">
        <v>1024000000</v>
      </c>
      <c r="AI12" s="313">
        <v>2364000000</v>
      </c>
      <c r="AJ12" s="313">
        <v>2000000000</v>
      </c>
      <c r="AK12" s="313">
        <v>0</v>
      </c>
      <c r="AL12" s="313">
        <v>364000000</v>
      </c>
      <c r="AM12" s="313">
        <v>0</v>
      </c>
      <c r="AN12" s="313">
        <v>0</v>
      </c>
      <c r="AO12" s="313">
        <v>0</v>
      </c>
      <c r="AP12" s="313">
        <v>0</v>
      </c>
      <c r="AQ12" s="313">
        <v>0</v>
      </c>
      <c r="AR12" s="313">
        <v>304420000</v>
      </c>
      <c r="AS12" s="313" t="s">
        <v>2020</v>
      </c>
      <c r="AT12" s="333">
        <f t="shared" si="7"/>
        <v>6.25E-2</v>
      </c>
      <c r="AU12" s="333">
        <v>2000</v>
      </c>
      <c r="AV12" s="387">
        <f t="shared" si="8"/>
        <v>0.25</v>
      </c>
      <c r="AW12" s="677">
        <v>2100</v>
      </c>
      <c r="AX12" s="474">
        <f t="shared" si="9"/>
        <v>2100</v>
      </c>
      <c r="AY12" s="474">
        <f t="shared" si="10"/>
        <v>105</v>
      </c>
      <c r="AZ12" s="474">
        <f t="shared" si="11"/>
        <v>100</v>
      </c>
      <c r="BA12" s="356">
        <f t="shared" si="12"/>
        <v>6.25E-2</v>
      </c>
      <c r="BB12" s="356">
        <f t="shared" si="13"/>
        <v>100</v>
      </c>
      <c r="BC12" s="313">
        <v>1405000000</v>
      </c>
      <c r="BD12" s="313">
        <v>0</v>
      </c>
      <c r="BE12" s="313">
        <v>1405000000</v>
      </c>
      <c r="BF12" s="313">
        <v>0</v>
      </c>
      <c r="BG12" s="313">
        <v>0</v>
      </c>
      <c r="BH12" s="313">
        <v>0</v>
      </c>
      <c r="BI12" s="313">
        <v>0</v>
      </c>
      <c r="BJ12" s="313">
        <v>0</v>
      </c>
      <c r="BK12" s="473">
        <v>702500000</v>
      </c>
      <c r="BL12" s="472">
        <v>702500000</v>
      </c>
      <c r="BM12" s="472">
        <v>0</v>
      </c>
      <c r="BN12" s="472">
        <v>0</v>
      </c>
      <c r="BO12" s="472">
        <v>0</v>
      </c>
      <c r="BP12" s="472">
        <v>0</v>
      </c>
      <c r="BQ12" s="472">
        <v>0</v>
      </c>
      <c r="BR12" s="472">
        <v>0</v>
      </c>
      <c r="BS12" s="472">
        <v>0</v>
      </c>
      <c r="BT12" s="472">
        <v>567893472</v>
      </c>
      <c r="BU12" s="472" t="s">
        <v>2019</v>
      </c>
      <c r="BV12" s="342">
        <f t="shared" si="14"/>
        <v>6.25E-2</v>
      </c>
      <c r="BW12" s="350">
        <v>2000</v>
      </c>
      <c r="BX12" s="385">
        <f t="shared" si="15"/>
        <v>0.25</v>
      </c>
      <c r="BY12" s="369">
        <v>2160</v>
      </c>
      <c r="BZ12" s="391">
        <v>2160</v>
      </c>
      <c r="CA12" s="689">
        <v>2160</v>
      </c>
      <c r="CB12" s="471">
        <f t="shared" si="16"/>
        <v>2160</v>
      </c>
      <c r="CC12" s="471">
        <f t="shared" si="17"/>
        <v>108</v>
      </c>
      <c r="CD12" s="470">
        <f t="shared" si="18"/>
        <v>100</v>
      </c>
      <c r="CE12" s="380">
        <f t="shared" si="19"/>
        <v>6.25E-2</v>
      </c>
      <c r="CF12" s="469">
        <f t="shared" si="20"/>
        <v>100</v>
      </c>
      <c r="CG12" s="380">
        <f t="shared" si="21"/>
        <v>6.7500000000000004E-2</v>
      </c>
      <c r="CH12" s="468">
        <f t="shared" si="22"/>
        <v>6.25E-2</v>
      </c>
      <c r="CI12" s="319">
        <v>2000</v>
      </c>
      <c r="CJ12" s="318">
        <f t="shared" si="23"/>
        <v>0.25</v>
      </c>
      <c r="CK12" s="1259">
        <v>1268</v>
      </c>
      <c r="CL12" s="301">
        <f t="shared" si="24"/>
        <v>732</v>
      </c>
      <c r="CM12" s="381">
        <f t="shared" si="25"/>
        <v>1268</v>
      </c>
      <c r="CN12" s="381">
        <f t="shared" si="26"/>
        <v>63.4</v>
      </c>
      <c r="CO12" s="316">
        <f t="shared" si="27"/>
        <v>63.4</v>
      </c>
      <c r="CP12" s="381">
        <f t="shared" si="28"/>
        <v>3.9625E-2</v>
      </c>
      <c r="CQ12" s="381">
        <f t="shared" si="29"/>
        <v>3.9625E-2</v>
      </c>
      <c r="CR12" s="313">
        <v>3242000000</v>
      </c>
      <c r="CS12" s="313">
        <v>3242000000</v>
      </c>
      <c r="CT12" s="313">
        <v>0</v>
      </c>
      <c r="CU12" s="313">
        <v>0</v>
      </c>
      <c r="CV12" s="313">
        <v>0</v>
      </c>
      <c r="CW12" s="313">
        <v>0</v>
      </c>
      <c r="CX12" s="313">
        <v>0</v>
      </c>
      <c r="CY12" s="313">
        <v>0</v>
      </c>
      <c r="CZ12" s="380">
        <v>0</v>
      </c>
      <c r="DA12" s="380">
        <v>0</v>
      </c>
      <c r="DB12" s="380">
        <v>0</v>
      </c>
      <c r="DC12" s="380">
        <v>0</v>
      </c>
      <c r="DD12" s="380">
        <v>0</v>
      </c>
      <c r="DE12" s="380">
        <v>0</v>
      </c>
      <c r="DF12" s="380">
        <v>0</v>
      </c>
      <c r="DG12" s="380">
        <v>0</v>
      </c>
      <c r="DH12" s="380">
        <v>0</v>
      </c>
      <c r="DI12" s="380">
        <v>0</v>
      </c>
      <c r="DJ12" s="380">
        <v>0</v>
      </c>
      <c r="DK12" s="702">
        <f t="shared" si="30"/>
        <v>7532</v>
      </c>
      <c r="DL12" s="311">
        <f t="shared" si="31"/>
        <v>0.25</v>
      </c>
      <c r="DM12" s="310">
        <f t="shared" si="32"/>
        <v>94.15</v>
      </c>
      <c r="DN12" s="356">
        <f t="shared" si="33"/>
        <v>94.15</v>
      </c>
      <c r="DO12" s="308">
        <f t="shared" si="34"/>
        <v>0.235375</v>
      </c>
      <c r="DP12" s="359">
        <f t="shared" ref="DP12:DP17" si="39">+IF(((DN12*Q12)/100)&lt;Q12, ((DN12*Q12)/100),Q12)</f>
        <v>0.235375</v>
      </c>
      <c r="DQ12" s="306">
        <f t="shared" si="35"/>
        <v>0.235375</v>
      </c>
      <c r="DR12" s="379">
        <f t="shared" si="36"/>
        <v>1</v>
      </c>
      <c r="DS12" s="378">
        <f t="shared" si="37"/>
        <v>0</v>
      </c>
      <c r="DT12" s="173">
        <v>35</v>
      </c>
      <c r="DU12" s="174" t="s">
        <v>137</v>
      </c>
      <c r="DV12" s="173">
        <v>77</v>
      </c>
      <c r="DW12" s="174" t="s">
        <v>130</v>
      </c>
      <c r="DX12" s="173"/>
      <c r="DY12" s="173"/>
      <c r="DZ12" s="173"/>
      <c r="EA12" s="665"/>
      <c r="EB12" s="1253" t="s">
        <v>2477</v>
      </c>
      <c r="EC12" s="537">
        <v>100000000</v>
      </c>
      <c r="EE12" s="733">
        <v>116</v>
      </c>
      <c r="EF12" s="706"/>
    </row>
    <row r="13" spans="1:136" s="302" customFormat="1" ht="153" hidden="1">
      <c r="D13" s="520">
        <v>10</v>
      </c>
      <c r="E13" s="534">
        <v>19</v>
      </c>
      <c r="F13" s="336" t="s">
        <v>43</v>
      </c>
      <c r="G13" s="336" t="s">
        <v>8</v>
      </c>
      <c r="H13" s="336" t="s">
        <v>2651</v>
      </c>
      <c r="I13" s="336" t="s">
        <v>187</v>
      </c>
      <c r="J13" s="335" t="s">
        <v>1254</v>
      </c>
      <c r="K13" s="335" t="s">
        <v>190</v>
      </c>
      <c r="L13" s="454" t="s">
        <v>1501</v>
      </c>
      <c r="M13" s="333" t="s">
        <v>1771</v>
      </c>
      <c r="N13" s="333">
        <v>0</v>
      </c>
      <c r="O13" s="333">
        <f t="shared" si="38"/>
        <v>1800</v>
      </c>
      <c r="P13" s="332">
        <v>1800</v>
      </c>
      <c r="Q13" s="478">
        <v>0.25</v>
      </c>
      <c r="R13" s="342">
        <f t="shared" si="0"/>
        <v>0.1111111111111111</v>
      </c>
      <c r="S13" s="459">
        <v>800</v>
      </c>
      <c r="T13" s="449">
        <f t="shared" si="1"/>
        <v>0.44444444444444442</v>
      </c>
      <c r="U13" s="1371">
        <v>780</v>
      </c>
      <c r="V13" s="388">
        <f t="shared" si="2"/>
        <v>780</v>
      </c>
      <c r="W13" s="356">
        <f t="shared" si="3"/>
        <v>97.5</v>
      </c>
      <c r="X13" s="356">
        <f t="shared" si="4"/>
        <v>97.5</v>
      </c>
      <c r="Y13" s="356">
        <f t="shared" si="5"/>
        <v>0.10833333333333332</v>
      </c>
      <c r="Z13" s="356">
        <f t="shared" si="6"/>
        <v>97.5</v>
      </c>
      <c r="AA13" s="313">
        <v>0</v>
      </c>
      <c r="AB13" s="313">
        <v>0</v>
      </c>
      <c r="AC13" s="313">
        <v>0</v>
      </c>
      <c r="AD13" s="313">
        <v>0</v>
      </c>
      <c r="AE13" s="313">
        <v>0</v>
      </c>
      <c r="AF13" s="313">
        <v>0</v>
      </c>
      <c r="AG13" s="313">
        <v>0</v>
      </c>
      <c r="AH13" s="313">
        <v>0</v>
      </c>
      <c r="AI13" s="313">
        <v>0</v>
      </c>
      <c r="AJ13" s="313">
        <v>0</v>
      </c>
      <c r="AK13" s="313">
        <v>0</v>
      </c>
      <c r="AL13" s="313">
        <v>0</v>
      </c>
      <c r="AM13" s="313">
        <v>0</v>
      </c>
      <c r="AN13" s="313">
        <v>0</v>
      </c>
      <c r="AO13" s="313">
        <v>0</v>
      </c>
      <c r="AP13" s="313">
        <v>0</v>
      </c>
      <c r="AQ13" s="313">
        <v>0</v>
      </c>
      <c r="AR13" s="313">
        <v>0</v>
      </c>
      <c r="AS13" s="313">
        <v>0</v>
      </c>
      <c r="AT13" s="392">
        <f t="shared" si="7"/>
        <v>8.3333333333333329E-2</v>
      </c>
      <c r="AU13" s="333">
        <v>600</v>
      </c>
      <c r="AV13" s="449">
        <f t="shared" si="8"/>
        <v>0.33333333333333331</v>
      </c>
      <c r="AW13" s="677">
        <v>625</v>
      </c>
      <c r="AX13" s="474">
        <f t="shared" si="9"/>
        <v>625</v>
      </c>
      <c r="AY13" s="474">
        <f t="shared" si="10"/>
        <v>104.16666666666667</v>
      </c>
      <c r="AZ13" s="474">
        <f t="shared" si="11"/>
        <v>100</v>
      </c>
      <c r="BA13" s="356">
        <f t="shared" si="12"/>
        <v>8.3333333333333315E-2</v>
      </c>
      <c r="BB13" s="356">
        <f t="shared" si="13"/>
        <v>100</v>
      </c>
      <c r="BC13" s="313">
        <v>180000000</v>
      </c>
      <c r="BD13" s="313">
        <v>0</v>
      </c>
      <c r="BE13" s="313">
        <v>0</v>
      </c>
      <c r="BF13" s="313">
        <v>0</v>
      </c>
      <c r="BG13" s="313">
        <v>0</v>
      </c>
      <c r="BH13" s="313">
        <v>0</v>
      </c>
      <c r="BI13" s="313">
        <v>0</v>
      </c>
      <c r="BJ13" s="313">
        <v>180000000</v>
      </c>
      <c r="BK13" s="473">
        <v>150000000</v>
      </c>
      <c r="BL13" s="472">
        <v>150000000</v>
      </c>
      <c r="BM13" s="472">
        <v>0</v>
      </c>
      <c r="BN13" s="472">
        <v>0</v>
      </c>
      <c r="BO13" s="472">
        <v>0</v>
      </c>
      <c r="BP13" s="472">
        <v>0</v>
      </c>
      <c r="BQ13" s="472">
        <v>0</v>
      </c>
      <c r="BR13" s="472">
        <v>0</v>
      </c>
      <c r="BS13" s="472">
        <v>0</v>
      </c>
      <c r="BT13" s="472">
        <v>1359799996</v>
      </c>
      <c r="BU13" s="472" t="s">
        <v>1600</v>
      </c>
      <c r="BV13" s="342">
        <f t="shared" si="14"/>
        <v>4.8611111111111112E-2</v>
      </c>
      <c r="BW13" s="350">
        <v>350</v>
      </c>
      <c r="BX13" s="385">
        <f t="shared" si="15"/>
        <v>0.19444444444444445</v>
      </c>
      <c r="BY13" s="369">
        <v>91</v>
      </c>
      <c r="BZ13" s="391">
        <v>91</v>
      </c>
      <c r="CA13" s="689">
        <v>462</v>
      </c>
      <c r="CB13" s="471">
        <f t="shared" si="16"/>
        <v>462</v>
      </c>
      <c r="CC13" s="471">
        <f t="shared" si="17"/>
        <v>132</v>
      </c>
      <c r="CD13" s="470">
        <f t="shared" si="18"/>
        <v>100</v>
      </c>
      <c r="CE13" s="380">
        <f t="shared" si="19"/>
        <v>4.8611111111111119E-2</v>
      </c>
      <c r="CF13" s="469">
        <f t="shared" si="20"/>
        <v>100</v>
      </c>
      <c r="CG13" s="380">
        <f t="shared" si="21"/>
        <v>6.4166666666666664E-2</v>
      </c>
      <c r="CH13" s="468">
        <f t="shared" si="22"/>
        <v>6.9444444444444441E-3</v>
      </c>
      <c r="CI13" s="319">
        <v>50</v>
      </c>
      <c r="CJ13" s="318">
        <f t="shared" si="23"/>
        <v>2.7777777777777776E-2</v>
      </c>
      <c r="CK13" s="1259">
        <v>148</v>
      </c>
      <c r="CL13" s="301">
        <f t="shared" si="24"/>
        <v>-98</v>
      </c>
      <c r="CM13" s="381">
        <f t="shared" si="25"/>
        <v>148</v>
      </c>
      <c r="CN13" s="381">
        <f t="shared" si="26"/>
        <v>296</v>
      </c>
      <c r="CO13" s="316">
        <f t="shared" si="27"/>
        <v>100</v>
      </c>
      <c r="CP13" s="381">
        <f t="shared" si="28"/>
        <v>6.9444444444444441E-3</v>
      </c>
      <c r="CQ13" s="381">
        <f t="shared" si="29"/>
        <v>2.0555555555555553E-2</v>
      </c>
      <c r="CR13" s="313">
        <v>0</v>
      </c>
      <c r="CS13" s="313">
        <v>0</v>
      </c>
      <c r="CT13" s="313">
        <v>0</v>
      </c>
      <c r="CU13" s="313">
        <v>0</v>
      </c>
      <c r="CV13" s="313">
        <v>0</v>
      </c>
      <c r="CW13" s="313">
        <v>0</v>
      </c>
      <c r="CX13" s="313">
        <v>0</v>
      </c>
      <c r="CY13" s="313">
        <v>0</v>
      </c>
      <c r="CZ13" s="380">
        <v>0</v>
      </c>
      <c r="DA13" s="380">
        <v>0</v>
      </c>
      <c r="DB13" s="380">
        <v>0</v>
      </c>
      <c r="DC13" s="380">
        <v>0</v>
      </c>
      <c r="DD13" s="380">
        <v>0</v>
      </c>
      <c r="DE13" s="380">
        <v>0</v>
      </c>
      <c r="DF13" s="380">
        <v>0</v>
      </c>
      <c r="DG13" s="380">
        <v>0</v>
      </c>
      <c r="DH13" s="380">
        <v>0</v>
      </c>
      <c r="DI13" s="380">
        <v>0</v>
      </c>
      <c r="DJ13" s="380">
        <v>0</v>
      </c>
      <c r="DK13" s="702">
        <f t="shared" si="30"/>
        <v>2015</v>
      </c>
      <c r="DL13" s="311">
        <f t="shared" si="31"/>
        <v>0.24999999999999997</v>
      </c>
      <c r="DM13" s="310">
        <f t="shared" si="32"/>
        <v>111.94444444444444</v>
      </c>
      <c r="DN13" s="356">
        <f t="shared" si="33"/>
        <v>100</v>
      </c>
      <c r="DO13" s="308">
        <f t="shared" si="34"/>
        <v>0.25</v>
      </c>
      <c r="DP13" s="359">
        <f t="shared" si="39"/>
        <v>0.25</v>
      </c>
      <c r="DQ13" s="306">
        <f t="shared" si="35"/>
        <v>0.25</v>
      </c>
      <c r="DR13" s="379">
        <f t="shared" si="36"/>
        <v>0.99999999999999989</v>
      </c>
      <c r="DS13" s="378">
        <f t="shared" si="37"/>
        <v>1.0408340855860843E-17</v>
      </c>
      <c r="DT13" s="173">
        <v>35</v>
      </c>
      <c r="DU13" s="174" t="s">
        <v>137</v>
      </c>
      <c r="DV13" s="173">
        <v>77</v>
      </c>
      <c r="DW13" s="174" t="s">
        <v>130</v>
      </c>
      <c r="DX13" s="173"/>
      <c r="DY13" s="173"/>
      <c r="DZ13" s="173"/>
      <c r="EA13" s="665"/>
      <c r="EB13" s="1253" t="s">
        <v>2422</v>
      </c>
      <c r="EC13" s="537">
        <v>0</v>
      </c>
      <c r="EE13" s="733">
        <v>1</v>
      </c>
      <c r="EF13" s="706"/>
    </row>
    <row r="14" spans="1:136" s="302" customFormat="1" ht="102" hidden="1">
      <c r="D14" s="520">
        <v>11</v>
      </c>
      <c r="E14" s="534">
        <v>20</v>
      </c>
      <c r="F14" s="523" t="s">
        <v>43</v>
      </c>
      <c r="G14" s="523" t="s">
        <v>7</v>
      </c>
      <c r="H14" s="524" t="s">
        <v>2651</v>
      </c>
      <c r="I14" s="462" t="s">
        <v>187</v>
      </c>
      <c r="J14" s="335" t="s">
        <v>191</v>
      </c>
      <c r="K14" s="335" t="s">
        <v>192</v>
      </c>
      <c r="L14" s="454" t="s">
        <v>1984</v>
      </c>
      <c r="M14" s="333" t="s">
        <v>1771</v>
      </c>
      <c r="N14" s="333">
        <v>132</v>
      </c>
      <c r="O14" s="333">
        <f t="shared" si="38"/>
        <v>292</v>
      </c>
      <c r="P14" s="332">
        <v>160</v>
      </c>
      <c r="Q14" s="357">
        <v>0.16500000000000001</v>
      </c>
      <c r="R14" s="342">
        <f t="shared" si="0"/>
        <v>0</v>
      </c>
      <c r="S14" s="459">
        <v>0</v>
      </c>
      <c r="T14" s="387">
        <f t="shared" si="1"/>
        <v>0</v>
      </c>
      <c r="U14" s="670">
        <v>0</v>
      </c>
      <c r="V14" s="388">
        <f t="shared" si="2"/>
        <v>0</v>
      </c>
      <c r="W14" s="356">
        <f t="shared" si="3"/>
        <v>0</v>
      </c>
      <c r="X14" s="356">
        <f t="shared" si="4"/>
        <v>0</v>
      </c>
      <c r="Y14" s="356">
        <f t="shared" si="5"/>
        <v>0</v>
      </c>
      <c r="Z14" s="356">
        <f t="shared" si="6"/>
        <v>0</v>
      </c>
      <c r="AA14" s="313">
        <v>189000000</v>
      </c>
      <c r="AB14" s="313">
        <v>89000000</v>
      </c>
      <c r="AC14" s="313">
        <v>0</v>
      </c>
      <c r="AD14" s="313">
        <v>0</v>
      </c>
      <c r="AE14" s="313">
        <v>0</v>
      </c>
      <c r="AF14" s="313">
        <v>0</v>
      </c>
      <c r="AG14" s="313">
        <v>0</v>
      </c>
      <c r="AH14" s="313">
        <v>100000000</v>
      </c>
      <c r="AI14" s="313">
        <v>18000000</v>
      </c>
      <c r="AJ14" s="313">
        <v>18000000</v>
      </c>
      <c r="AK14" s="313">
        <v>0</v>
      </c>
      <c r="AL14" s="313">
        <v>0</v>
      </c>
      <c r="AM14" s="313">
        <v>0</v>
      </c>
      <c r="AN14" s="313">
        <v>0</v>
      </c>
      <c r="AO14" s="313">
        <v>0</v>
      </c>
      <c r="AP14" s="313">
        <v>0</v>
      </c>
      <c r="AQ14" s="313">
        <v>0</v>
      </c>
      <c r="AR14" s="313">
        <v>0</v>
      </c>
      <c r="AS14" s="313">
        <v>0</v>
      </c>
      <c r="AT14" s="333">
        <f t="shared" si="7"/>
        <v>5.2593750000000002E-2</v>
      </c>
      <c r="AU14" s="333">
        <v>51</v>
      </c>
      <c r="AV14" s="387">
        <f t="shared" si="8"/>
        <v>0.31874999999999998</v>
      </c>
      <c r="AW14" s="1377">
        <v>70</v>
      </c>
      <c r="AX14" s="474">
        <f t="shared" si="9"/>
        <v>70</v>
      </c>
      <c r="AY14" s="474">
        <f t="shared" si="10"/>
        <v>137.25490196078431</v>
      </c>
      <c r="AZ14" s="474">
        <f t="shared" si="11"/>
        <v>100</v>
      </c>
      <c r="BA14" s="356">
        <f t="shared" si="12"/>
        <v>5.2593750000000002E-2</v>
      </c>
      <c r="BB14" s="356">
        <f t="shared" si="13"/>
        <v>100</v>
      </c>
      <c r="BC14" s="313">
        <v>328000000</v>
      </c>
      <c r="BD14" s="313">
        <v>0</v>
      </c>
      <c r="BE14" s="313">
        <v>208000000</v>
      </c>
      <c r="BF14" s="313">
        <v>0</v>
      </c>
      <c r="BG14" s="313">
        <v>0</v>
      </c>
      <c r="BH14" s="313">
        <v>0</v>
      </c>
      <c r="BI14" s="313">
        <v>0</v>
      </c>
      <c r="BJ14" s="313">
        <v>120000000</v>
      </c>
      <c r="BK14" s="473">
        <v>40000000</v>
      </c>
      <c r="BL14" s="472">
        <v>40000000</v>
      </c>
      <c r="BM14" s="472">
        <v>0</v>
      </c>
      <c r="BN14" s="472">
        <v>0</v>
      </c>
      <c r="BO14" s="472">
        <v>0</v>
      </c>
      <c r="BP14" s="472">
        <v>0</v>
      </c>
      <c r="BQ14" s="472">
        <v>0</v>
      </c>
      <c r="BR14" s="472">
        <v>0</v>
      </c>
      <c r="BS14" s="472">
        <v>0</v>
      </c>
      <c r="BT14" s="472">
        <v>0</v>
      </c>
      <c r="BU14" s="472">
        <v>0</v>
      </c>
      <c r="BV14" s="342">
        <f t="shared" si="14"/>
        <v>5.9812499999999998E-2</v>
      </c>
      <c r="BW14" s="350">
        <v>58</v>
      </c>
      <c r="BX14" s="385">
        <f t="shared" si="15"/>
        <v>0.36249999999999999</v>
      </c>
      <c r="BY14" s="399">
        <v>0</v>
      </c>
      <c r="BZ14" s="398">
        <v>0</v>
      </c>
      <c r="CA14" s="690">
        <v>0</v>
      </c>
      <c r="CB14" s="471">
        <f t="shared" si="16"/>
        <v>0</v>
      </c>
      <c r="CC14" s="471">
        <f t="shared" si="17"/>
        <v>0</v>
      </c>
      <c r="CD14" s="470">
        <f t="shared" si="18"/>
        <v>0</v>
      </c>
      <c r="CE14" s="380">
        <f t="shared" si="19"/>
        <v>0</v>
      </c>
      <c r="CF14" s="469">
        <f t="shared" si="20"/>
        <v>0</v>
      </c>
      <c r="CG14" s="380">
        <f t="shared" si="21"/>
        <v>0</v>
      </c>
      <c r="CH14" s="468">
        <f t="shared" si="22"/>
        <v>5.2593750000000002E-2</v>
      </c>
      <c r="CI14" s="319">
        <v>51</v>
      </c>
      <c r="CJ14" s="318">
        <f t="shared" si="23"/>
        <v>0.31874999999999998</v>
      </c>
      <c r="CK14" s="1259">
        <v>0</v>
      </c>
      <c r="CL14" s="301">
        <f t="shared" si="24"/>
        <v>51</v>
      </c>
      <c r="CM14" s="381">
        <f t="shared" si="25"/>
        <v>0</v>
      </c>
      <c r="CN14" s="381">
        <f t="shared" si="26"/>
        <v>0</v>
      </c>
      <c r="CO14" s="316">
        <f t="shared" si="27"/>
        <v>0</v>
      </c>
      <c r="CP14" s="381">
        <f t="shared" si="28"/>
        <v>0</v>
      </c>
      <c r="CQ14" s="381">
        <f t="shared" si="29"/>
        <v>0</v>
      </c>
      <c r="CR14" s="313">
        <v>600000000</v>
      </c>
      <c r="CS14" s="313">
        <v>480000000</v>
      </c>
      <c r="CT14" s="313">
        <v>0</v>
      </c>
      <c r="CU14" s="313">
        <v>0</v>
      </c>
      <c r="CV14" s="313">
        <v>0</v>
      </c>
      <c r="CW14" s="313">
        <v>0</v>
      </c>
      <c r="CX14" s="313">
        <v>0</v>
      </c>
      <c r="CY14" s="313">
        <v>120000000</v>
      </c>
      <c r="CZ14" s="380">
        <v>0</v>
      </c>
      <c r="DA14" s="380">
        <v>0</v>
      </c>
      <c r="DB14" s="380">
        <v>0</v>
      </c>
      <c r="DC14" s="380">
        <v>0</v>
      </c>
      <c r="DD14" s="380">
        <v>0</v>
      </c>
      <c r="DE14" s="380">
        <v>0</v>
      </c>
      <c r="DF14" s="380">
        <v>0</v>
      </c>
      <c r="DG14" s="380">
        <v>0</v>
      </c>
      <c r="DH14" s="380">
        <v>0</v>
      </c>
      <c r="DI14" s="380">
        <v>0</v>
      </c>
      <c r="DJ14" s="380">
        <v>0</v>
      </c>
      <c r="DK14" s="702">
        <f t="shared" si="30"/>
        <v>70</v>
      </c>
      <c r="DL14" s="311">
        <f t="shared" si="31"/>
        <v>0.16500000000000001</v>
      </c>
      <c r="DM14" s="310">
        <f t="shared" si="32"/>
        <v>43.75</v>
      </c>
      <c r="DN14" s="356">
        <f t="shared" si="33"/>
        <v>43.75</v>
      </c>
      <c r="DO14" s="308">
        <f t="shared" si="34"/>
        <v>7.2187500000000002E-2</v>
      </c>
      <c r="DP14" s="359">
        <f t="shared" si="39"/>
        <v>7.2187500000000002E-2</v>
      </c>
      <c r="DQ14" s="306">
        <f t="shared" si="35"/>
        <v>7.2187500000000002E-2</v>
      </c>
      <c r="DR14" s="379">
        <f t="shared" si="36"/>
        <v>0.99999999999999989</v>
      </c>
      <c r="DS14" s="378">
        <f t="shared" si="37"/>
        <v>0</v>
      </c>
      <c r="DT14" s="173">
        <v>9</v>
      </c>
      <c r="DU14" s="174" t="s">
        <v>193</v>
      </c>
      <c r="DV14" s="173"/>
      <c r="DW14" s="174" t="s">
        <v>84</v>
      </c>
      <c r="DX14" s="173"/>
      <c r="DY14" s="173"/>
      <c r="DZ14" s="173"/>
      <c r="EA14" s="665"/>
      <c r="EB14" s="1253" t="s">
        <v>2423</v>
      </c>
      <c r="EC14" s="537">
        <v>80000000</v>
      </c>
      <c r="EE14" s="740">
        <v>100</v>
      </c>
      <c r="EF14" s="706"/>
    </row>
    <row r="15" spans="1:136" s="302" customFormat="1" ht="63.75" hidden="1">
      <c r="D15" s="520">
        <v>12</v>
      </c>
      <c r="E15" s="534">
        <v>21</v>
      </c>
      <c r="F15" s="523" t="s">
        <v>43</v>
      </c>
      <c r="G15" s="523" t="s">
        <v>3</v>
      </c>
      <c r="H15" s="524" t="s">
        <v>2651</v>
      </c>
      <c r="I15" s="462" t="s">
        <v>187</v>
      </c>
      <c r="J15" s="335" t="s">
        <v>194</v>
      </c>
      <c r="K15" s="335" t="s">
        <v>195</v>
      </c>
      <c r="L15" s="454" t="s">
        <v>1501</v>
      </c>
      <c r="M15" s="333" t="s">
        <v>1771</v>
      </c>
      <c r="N15" s="333">
        <v>0</v>
      </c>
      <c r="O15" s="333">
        <f t="shared" si="38"/>
        <v>35000</v>
      </c>
      <c r="P15" s="332">
        <v>35000</v>
      </c>
      <c r="Q15" s="357">
        <v>0.16500000000000001</v>
      </c>
      <c r="R15" s="342">
        <f t="shared" si="0"/>
        <v>0</v>
      </c>
      <c r="S15" s="459">
        <v>0</v>
      </c>
      <c r="T15" s="387">
        <f t="shared" si="1"/>
        <v>0</v>
      </c>
      <c r="U15" s="670">
        <v>0</v>
      </c>
      <c r="V15" s="388">
        <f t="shared" si="2"/>
        <v>0</v>
      </c>
      <c r="W15" s="356">
        <f t="shared" si="3"/>
        <v>0</v>
      </c>
      <c r="X15" s="356">
        <f t="shared" si="4"/>
        <v>0</v>
      </c>
      <c r="Y15" s="356">
        <f t="shared" si="5"/>
        <v>0</v>
      </c>
      <c r="Z15" s="356">
        <f t="shared" si="6"/>
        <v>0</v>
      </c>
      <c r="AA15" s="313">
        <v>0</v>
      </c>
      <c r="AB15" s="313">
        <v>0</v>
      </c>
      <c r="AC15" s="313">
        <v>0</v>
      </c>
      <c r="AD15" s="313">
        <v>0</v>
      </c>
      <c r="AE15" s="313">
        <v>0</v>
      </c>
      <c r="AF15" s="313">
        <v>0</v>
      </c>
      <c r="AG15" s="313">
        <v>0</v>
      </c>
      <c r="AH15" s="313">
        <v>0</v>
      </c>
      <c r="AI15" s="313">
        <v>0</v>
      </c>
      <c r="AJ15" s="313">
        <v>0</v>
      </c>
      <c r="AK15" s="313">
        <v>0</v>
      </c>
      <c r="AL15" s="313">
        <v>0</v>
      </c>
      <c r="AM15" s="313">
        <v>0</v>
      </c>
      <c r="AN15" s="313">
        <v>0</v>
      </c>
      <c r="AO15" s="313">
        <v>0</v>
      </c>
      <c r="AP15" s="313">
        <v>0</v>
      </c>
      <c r="AQ15" s="313">
        <v>0</v>
      </c>
      <c r="AR15" s="313">
        <v>0</v>
      </c>
      <c r="AS15" s="313">
        <v>0</v>
      </c>
      <c r="AT15" s="333">
        <f t="shared" si="7"/>
        <v>5.4996857142857146E-2</v>
      </c>
      <c r="AU15" s="333">
        <v>11666</v>
      </c>
      <c r="AV15" s="387">
        <f t="shared" si="8"/>
        <v>0.33331428571428573</v>
      </c>
      <c r="AW15" s="677">
        <v>10144</v>
      </c>
      <c r="AX15" s="474">
        <f t="shared" si="9"/>
        <v>10144</v>
      </c>
      <c r="AY15" s="474">
        <f t="shared" si="10"/>
        <v>86.953540202297276</v>
      </c>
      <c r="AZ15" s="474">
        <f t="shared" si="11"/>
        <v>86.953540202297276</v>
      </c>
      <c r="BA15" s="356">
        <f t="shared" si="12"/>
        <v>4.7821714285714287E-2</v>
      </c>
      <c r="BB15" s="356">
        <f t="shared" si="13"/>
        <v>86.953540202297276</v>
      </c>
      <c r="BC15" s="313">
        <v>152000000</v>
      </c>
      <c r="BD15" s="313">
        <v>0</v>
      </c>
      <c r="BE15" s="313">
        <v>152000000</v>
      </c>
      <c r="BF15" s="313">
        <v>0</v>
      </c>
      <c r="BG15" s="313">
        <v>0</v>
      </c>
      <c r="BH15" s="313">
        <v>0</v>
      </c>
      <c r="BI15" s="313">
        <v>0</v>
      </c>
      <c r="BJ15" s="313">
        <v>0</v>
      </c>
      <c r="BK15" s="473">
        <v>250090688</v>
      </c>
      <c r="BL15" s="472">
        <v>250090688</v>
      </c>
      <c r="BM15" s="472">
        <v>0</v>
      </c>
      <c r="BN15" s="472">
        <v>0</v>
      </c>
      <c r="BO15" s="472">
        <v>0</v>
      </c>
      <c r="BP15" s="472">
        <v>0</v>
      </c>
      <c r="BQ15" s="472">
        <v>0</v>
      </c>
      <c r="BR15" s="472">
        <v>0</v>
      </c>
      <c r="BS15" s="472">
        <v>0</v>
      </c>
      <c r="BT15" s="472">
        <v>0</v>
      </c>
      <c r="BU15" s="472">
        <v>0</v>
      </c>
      <c r="BV15" s="342">
        <f t="shared" si="14"/>
        <v>5.5001571428571434E-2</v>
      </c>
      <c r="BW15" s="350">
        <v>11667</v>
      </c>
      <c r="BX15" s="385">
        <f t="shared" si="15"/>
        <v>0.33334285714285716</v>
      </c>
      <c r="BY15" s="369">
        <v>6301</v>
      </c>
      <c r="BZ15" s="391">
        <v>6301</v>
      </c>
      <c r="CA15" s="689">
        <v>11762</v>
      </c>
      <c r="CB15" s="471">
        <f t="shared" si="16"/>
        <v>11762</v>
      </c>
      <c r="CC15" s="471">
        <f t="shared" si="17"/>
        <v>100.81426244964429</v>
      </c>
      <c r="CD15" s="470">
        <f t="shared" si="18"/>
        <v>100</v>
      </c>
      <c r="CE15" s="380">
        <f t="shared" si="19"/>
        <v>5.5001571428571434E-2</v>
      </c>
      <c r="CF15" s="469">
        <f t="shared" si="20"/>
        <v>100</v>
      </c>
      <c r="CG15" s="380">
        <f t="shared" si="21"/>
        <v>5.5449428571428566E-2</v>
      </c>
      <c r="CH15" s="468">
        <f t="shared" si="22"/>
        <v>5.5001571428571434E-2</v>
      </c>
      <c r="CI15" s="319">
        <v>11667</v>
      </c>
      <c r="CJ15" s="318">
        <f t="shared" si="23"/>
        <v>0.33334285714285716</v>
      </c>
      <c r="CK15" s="1259">
        <v>1209</v>
      </c>
      <c r="CL15" s="301">
        <f t="shared" si="24"/>
        <v>10458</v>
      </c>
      <c r="CM15" s="381">
        <f t="shared" si="25"/>
        <v>1209</v>
      </c>
      <c r="CN15" s="381">
        <f t="shared" si="26"/>
        <v>10.362561069683723</v>
      </c>
      <c r="CO15" s="316">
        <f t="shared" si="27"/>
        <v>10.362561069683723</v>
      </c>
      <c r="CP15" s="381">
        <f t="shared" si="28"/>
        <v>5.6995714285714297E-3</v>
      </c>
      <c r="CQ15" s="381">
        <f t="shared" si="29"/>
        <v>5.6995714285714297E-3</v>
      </c>
      <c r="CR15" s="313">
        <v>152000000</v>
      </c>
      <c r="CS15" s="313">
        <v>152000000</v>
      </c>
      <c r="CT15" s="313">
        <v>0</v>
      </c>
      <c r="CU15" s="313">
        <v>0</v>
      </c>
      <c r="CV15" s="313">
        <v>0</v>
      </c>
      <c r="CW15" s="313">
        <v>0</v>
      </c>
      <c r="CX15" s="313">
        <v>0</v>
      </c>
      <c r="CY15" s="313">
        <v>0</v>
      </c>
      <c r="CZ15" s="380">
        <v>0</v>
      </c>
      <c r="DA15" s="380">
        <v>0</v>
      </c>
      <c r="DB15" s="380">
        <v>0</v>
      </c>
      <c r="DC15" s="380">
        <v>0</v>
      </c>
      <c r="DD15" s="380">
        <v>0</v>
      </c>
      <c r="DE15" s="380">
        <v>0</v>
      </c>
      <c r="DF15" s="380">
        <v>0</v>
      </c>
      <c r="DG15" s="380">
        <v>0</v>
      </c>
      <c r="DH15" s="380">
        <v>0</v>
      </c>
      <c r="DI15" s="380">
        <v>0</v>
      </c>
      <c r="DJ15" s="380">
        <v>0</v>
      </c>
      <c r="DK15" s="702">
        <f t="shared" si="30"/>
        <v>23115</v>
      </c>
      <c r="DL15" s="311">
        <f t="shared" si="31"/>
        <v>0.16500000000000001</v>
      </c>
      <c r="DM15" s="310">
        <f t="shared" si="32"/>
        <v>66.042857142857144</v>
      </c>
      <c r="DN15" s="356">
        <f t="shared" si="33"/>
        <v>66.042857142857144</v>
      </c>
      <c r="DO15" s="308">
        <f t="shared" si="34"/>
        <v>0.1089707142857143</v>
      </c>
      <c r="DP15" s="359">
        <f t="shared" si="39"/>
        <v>0.1089707142857143</v>
      </c>
      <c r="DQ15" s="306">
        <f t="shared" si="35"/>
        <v>0.1089707142857143</v>
      </c>
      <c r="DR15" s="379">
        <f t="shared" si="36"/>
        <v>1</v>
      </c>
      <c r="DS15" s="378">
        <f t="shared" si="37"/>
        <v>0</v>
      </c>
      <c r="DT15" s="173">
        <v>9</v>
      </c>
      <c r="DU15" s="174" t="s">
        <v>193</v>
      </c>
      <c r="DV15" s="173"/>
      <c r="DW15" s="174" t="s">
        <v>84</v>
      </c>
      <c r="DX15" s="173"/>
      <c r="DY15" s="173"/>
      <c r="DZ15" s="173"/>
      <c r="EA15" s="665"/>
      <c r="EB15" s="1253" t="s">
        <v>2213</v>
      </c>
      <c r="EC15" s="537">
        <v>751000000</v>
      </c>
      <c r="EE15" s="739">
        <v>29</v>
      </c>
      <c r="EF15" s="706"/>
    </row>
    <row r="16" spans="1:136" s="302" customFormat="1" ht="63.75" hidden="1">
      <c r="D16" s="520">
        <v>13</v>
      </c>
      <c r="E16" s="534">
        <v>22</v>
      </c>
      <c r="F16" s="336" t="s">
        <v>43</v>
      </c>
      <c r="G16" s="336" t="s">
        <v>3</v>
      </c>
      <c r="H16" s="336" t="s">
        <v>2651</v>
      </c>
      <c r="I16" s="336" t="s">
        <v>187</v>
      </c>
      <c r="J16" s="335" t="s">
        <v>1255</v>
      </c>
      <c r="K16" s="335" t="s">
        <v>196</v>
      </c>
      <c r="L16" s="454" t="s">
        <v>1969</v>
      </c>
      <c r="M16" s="333" t="s">
        <v>1771</v>
      </c>
      <c r="N16" s="333">
        <v>37</v>
      </c>
      <c r="O16" s="333">
        <f t="shared" si="38"/>
        <v>287</v>
      </c>
      <c r="P16" s="332">
        <v>250</v>
      </c>
      <c r="Q16" s="478">
        <v>0.16500000000000001</v>
      </c>
      <c r="R16" s="342">
        <f t="shared" si="0"/>
        <v>6.6E-4</v>
      </c>
      <c r="S16" s="480">
        <v>1</v>
      </c>
      <c r="T16" s="387">
        <f t="shared" si="1"/>
        <v>4.0000000000000001E-3</v>
      </c>
      <c r="U16" s="670">
        <v>1</v>
      </c>
      <c r="V16" s="388">
        <f t="shared" si="2"/>
        <v>1</v>
      </c>
      <c r="W16" s="356">
        <f t="shared" si="3"/>
        <v>100</v>
      </c>
      <c r="X16" s="356">
        <f t="shared" si="4"/>
        <v>100</v>
      </c>
      <c r="Y16" s="356">
        <f t="shared" si="5"/>
        <v>6.6E-4</v>
      </c>
      <c r="Z16" s="356">
        <f t="shared" si="6"/>
        <v>100</v>
      </c>
      <c r="AA16" s="313">
        <v>166000000</v>
      </c>
      <c r="AB16" s="313">
        <v>166000000</v>
      </c>
      <c r="AC16" s="313">
        <v>0</v>
      </c>
      <c r="AD16" s="313">
        <v>0</v>
      </c>
      <c r="AE16" s="313">
        <v>0</v>
      </c>
      <c r="AF16" s="313">
        <v>0</v>
      </c>
      <c r="AG16" s="313">
        <v>0</v>
      </c>
      <c r="AH16" s="313">
        <v>0</v>
      </c>
      <c r="AI16" s="313">
        <v>90161000</v>
      </c>
      <c r="AJ16" s="313">
        <v>90161000</v>
      </c>
      <c r="AK16" s="313">
        <v>0</v>
      </c>
      <c r="AL16" s="313">
        <v>0</v>
      </c>
      <c r="AM16" s="313">
        <v>0</v>
      </c>
      <c r="AN16" s="313">
        <v>0</v>
      </c>
      <c r="AO16" s="313">
        <v>0</v>
      </c>
      <c r="AP16" s="313">
        <v>0</v>
      </c>
      <c r="AQ16" s="313">
        <v>0</v>
      </c>
      <c r="AR16" s="313">
        <v>0</v>
      </c>
      <c r="AS16" s="313">
        <v>0</v>
      </c>
      <c r="AT16" s="392">
        <f t="shared" si="7"/>
        <v>0.12870000000000001</v>
      </c>
      <c r="AU16" s="333">
        <v>195</v>
      </c>
      <c r="AV16" s="387">
        <f t="shared" si="8"/>
        <v>0.78</v>
      </c>
      <c r="AW16" s="677">
        <v>195</v>
      </c>
      <c r="AX16" s="474">
        <f t="shared" si="9"/>
        <v>195</v>
      </c>
      <c r="AY16" s="474">
        <f t="shared" si="10"/>
        <v>100</v>
      </c>
      <c r="AZ16" s="474">
        <f t="shared" si="11"/>
        <v>100</v>
      </c>
      <c r="BA16" s="356">
        <f t="shared" si="12"/>
        <v>0.12870000000000001</v>
      </c>
      <c r="BB16" s="356">
        <f t="shared" si="13"/>
        <v>100</v>
      </c>
      <c r="BC16" s="313">
        <v>229000000</v>
      </c>
      <c r="BD16" s="313">
        <v>0</v>
      </c>
      <c r="BE16" s="313">
        <v>229000000</v>
      </c>
      <c r="BF16" s="313">
        <v>0</v>
      </c>
      <c r="BG16" s="313">
        <v>0</v>
      </c>
      <c r="BH16" s="313">
        <v>0</v>
      </c>
      <c r="BI16" s="313">
        <v>0</v>
      </c>
      <c r="BJ16" s="313">
        <v>0</v>
      </c>
      <c r="BK16" s="473">
        <v>494750000</v>
      </c>
      <c r="BL16" s="472">
        <v>494750000</v>
      </c>
      <c r="BM16" s="472">
        <v>0</v>
      </c>
      <c r="BN16" s="472">
        <v>0</v>
      </c>
      <c r="BO16" s="472">
        <v>0</v>
      </c>
      <c r="BP16" s="472">
        <v>0</v>
      </c>
      <c r="BQ16" s="472">
        <v>0</v>
      </c>
      <c r="BR16" s="472">
        <v>0</v>
      </c>
      <c r="BS16" s="472">
        <v>0</v>
      </c>
      <c r="BT16" s="472">
        <v>0</v>
      </c>
      <c r="BU16" s="472">
        <v>0</v>
      </c>
      <c r="BV16" s="342">
        <f t="shared" si="14"/>
        <v>0</v>
      </c>
      <c r="BW16" s="350">
        <v>0</v>
      </c>
      <c r="BX16" s="385">
        <f t="shared" si="15"/>
        <v>0</v>
      </c>
      <c r="BY16" s="467">
        <v>0</v>
      </c>
      <c r="BZ16" s="466">
        <v>0</v>
      </c>
      <c r="CA16" s="691">
        <v>0</v>
      </c>
      <c r="CB16" s="471">
        <f t="shared" si="16"/>
        <v>0</v>
      </c>
      <c r="CC16" s="471">
        <f t="shared" si="17"/>
        <v>0</v>
      </c>
      <c r="CD16" s="470">
        <f t="shared" si="18"/>
        <v>0</v>
      </c>
      <c r="CE16" s="380">
        <f t="shared" si="19"/>
        <v>0</v>
      </c>
      <c r="CF16" s="469">
        <f t="shared" si="20"/>
        <v>0</v>
      </c>
      <c r="CG16" s="380">
        <f t="shared" si="21"/>
        <v>0</v>
      </c>
      <c r="CH16" s="468">
        <f t="shared" si="22"/>
        <v>3.5639999999999998E-2</v>
      </c>
      <c r="CI16" s="319">
        <v>54</v>
      </c>
      <c r="CJ16" s="318">
        <f t="shared" si="23"/>
        <v>0.216</v>
      </c>
      <c r="CK16" s="1259">
        <v>25</v>
      </c>
      <c r="CL16" s="301">
        <f t="shared" si="24"/>
        <v>29</v>
      </c>
      <c r="CM16" s="381">
        <f t="shared" si="25"/>
        <v>25</v>
      </c>
      <c r="CN16" s="381">
        <f t="shared" si="26"/>
        <v>46.296296296296298</v>
      </c>
      <c r="CO16" s="316">
        <f t="shared" si="27"/>
        <v>46.296296296296298</v>
      </c>
      <c r="CP16" s="381">
        <f t="shared" si="28"/>
        <v>1.6500000000000001E-2</v>
      </c>
      <c r="CQ16" s="381">
        <f t="shared" si="29"/>
        <v>1.6500000000000001E-2</v>
      </c>
      <c r="CR16" s="313">
        <v>229000000</v>
      </c>
      <c r="CS16" s="313">
        <v>229000000</v>
      </c>
      <c r="CT16" s="313">
        <v>0</v>
      </c>
      <c r="CU16" s="313">
        <v>0</v>
      </c>
      <c r="CV16" s="313">
        <v>0</v>
      </c>
      <c r="CW16" s="313">
        <v>0</v>
      </c>
      <c r="CX16" s="313">
        <v>0</v>
      </c>
      <c r="CY16" s="313">
        <v>0</v>
      </c>
      <c r="CZ16" s="380">
        <v>0</v>
      </c>
      <c r="DA16" s="380">
        <v>0</v>
      </c>
      <c r="DB16" s="380">
        <v>0</v>
      </c>
      <c r="DC16" s="380">
        <v>0</v>
      </c>
      <c r="DD16" s="380">
        <v>0</v>
      </c>
      <c r="DE16" s="380">
        <v>0</v>
      </c>
      <c r="DF16" s="380">
        <v>0</v>
      </c>
      <c r="DG16" s="380">
        <v>0</v>
      </c>
      <c r="DH16" s="380">
        <v>0</v>
      </c>
      <c r="DI16" s="380">
        <v>0</v>
      </c>
      <c r="DJ16" s="380">
        <v>0</v>
      </c>
      <c r="DK16" s="702">
        <f t="shared" si="30"/>
        <v>221</v>
      </c>
      <c r="DL16" s="311">
        <f t="shared" si="31"/>
        <v>0.16500000000000001</v>
      </c>
      <c r="DM16" s="310">
        <f t="shared" si="32"/>
        <v>88.4</v>
      </c>
      <c r="DN16" s="356">
        <f t="shared" si="33"/>
        <v>88.4</v>
      </c>
      <c r="DO16" s="308">
        <f t="shared" si="34"/>
        <v>0.14586000000000002</v>
      </c>
      <c r="DP16" s="359">
        <f t="shared" si="39"/>
        <v>0.14586000000000002</v>
      </c>
      <c r="DQ16" s="306">
        <f t="shared" si="35"/>
        <v>0.14586000000000002</v>
      </c>
      <c r="DR16" s="379">
        <f t="shared" si="36"/>
        <v>1</v>
      </c>
      <c r="DS16" s="378">
        <f t="shared" si="37"/>
        <v>0</v>
      </c>
      <c r="DT16" s="173">
        <v>9</v>
      </c>
      <c r="DU16" s="174" t="s">
        <v>193</v>
      </c>
      <c r="DV16" s="173"/>
      <c r="DW16" s="174" t="s">
        <v>84</v>
      </c>
      <c r="DX16" s="173"/>
      <c r="DY16" s="173"/>
      <c r="DZ16" s="173"/>
      <c r="EA16" s="665"/>
      <c r="EB16" s="1253" t="s">
        <v>2478</v>
      </c>
      <c r="EC16" s="537">
        <v>6450000000</v>
      </c>
      <c r="EE16" s="734">
        <v>1100</v>
      </c>
      <c r="EF16" s="706"/>
    </row>
    <row r="17" spans="4:136" s="302" customFormat="1" ht="89.25" hidden="1">
      <c r="D17" s="520">
        <v>14</v>
      </c>
      <c r="E17" s="534">
        <v>23</v>
      </c>
      <c r="F17" s="523" t="s">
        <v>43</v>
      </c>
      <c r="G17" s="523" t="s">
        <v>3</v>
      </c>
      <c r="H17" s="524" t="s">
        <v>2651</v>
      </c>
      <c r="I17" s="462" t="s">
        <v>187</v>
      </c>
      <c r="J17" s="335" t="s">
        <v>197</v>
      </c>
      <c r="K17" s="335" t="s">
        <v>198</v>
      </c>
      <c r="L17" s="454" t="s">
        <v>1501</v>
      </c>
      <c r="M17" s="333" t="s">
        <v>1771</v>
      </c>
      <c r="N17" s="333">
        <v>0</v>
      </c>
      <c r="O17" s="333">
        <f t="shared" si="38"/>
        <v>12800</v>
      </c>
      <c r="P17" s="332">
        <v>12800</v>
      </c>
      <c r="Q17" s="357">
        <v>0.16500000000000001</v>
      </c>
      <c r="R17" s="342">
        <f t="shared" si="0"/>
        <v>0</v>
      </c>
      <c r="S17" s="459">
        <v>0</v>
      </c>
      <c r="T17" s="387">
        <f t="shared" si="1"/>
        <v>0</v>
      </c>
      <c r="U17" s="670">
        <v>0</v>
      </c>
      <c r="V17" s="388">
        <f t="shared" si="2"/>
        <v>0</v>
      </c>
      <c r="W17" s="356">
        <f t="shared" si="3"/>
        <v>0</v>
      </c>
      <c r="X17" s="356">
        <f t="shared" si="4"/>
        <v>0</v>
      </c>
      <c r="Y17" s="356">
        <v>0</v>
      </c>
      <c r="Z17" s="356">
        <f t="shared" si="6"/>
        <v>0</v>
      </c>
      <c r="AA17" s="313">
        <v>0</v>
      </c>
      <c r="AB17" s="313">
        <v>0</v>
      </c>
      <c r="AC17" s="313">
        <v>0</v>
      </c>
      <c r="AD17" s="313">
        <v>0</v>
      </c>
      <c r="AE17" s="313">
        <v>0</v>
      </c>
      <c r="AF17" s="313">
        <v>0</v>
      </c>
      <c r="AG17" s="313">
        <v>0</v>
      </c>
      <c r="AH17" s="313">
        <v>0</v>
      </c>
      <c r="AI17" s="313">
        <v>0</v>
      </c>
      <c r="AJ17" s="313">
        <v>0</v>
      </c>
      <c r="AK17" s="313">
        <v>0</v>
      </c>
      <c r="AL17" s="313">
        <v>0</v>
      </c>
      <c r="AM17" s="313">
        <v>0</v>
      </c>
      <c r="AN17" s="313">
        <v>0</v>
      </c>
      <c r="AO17" s="313">
        <v>0</v>
      </c>
      <c r="AP17" s="313">
        <v>0</v>
      </c>
      <c r="AQ17" s="313">
        <v>0</v>
      </c>
      <c r="AR17" s="313">
        <v>0</v>
      </c>
      <c r="AS17" s="313">
        <v>0</v>
      </c>
      <c r="AT17" s="333">
        <f t="shared" si="7"/>
        <v>5.4991406249999999E-2</v>
      </c>
      <c r="AU17" s="333">
        <v>4266</v>
      </c>
      <c r="AV17" s="387">
        <f t="shared" si="8"/>
        <v>0.33328124999999997</v>
      </c>
      <c r="AW17" s="677">
        <v>4513</v>
      </c>
      <c r="AX17" s="474">
        <f t="shared" si="9"/>
        <v>4513</v>
      </c>
      <c r="AY17" s="474">
        <f t="shared" si="10"/>
        <v>105.78996718237225</v>
      </c>
      <c r="AZ17" s="474">
        <f t="shared" si="11"/>
        <v>100</v>
      </c>
      <c r="BA17" s="356">
        <f t="shared" si="12"/>
        <v>5.4991406249999999E-2</v>
      </c>
      <c r="BB17" s="356">
        <f t="shared" si="13"/>
        <v>100</v>
      </c>
      <c r="BC17" s="313">
        <v>122000000</v>
      </c>
      <c r="BD17" s="313">
        <v>0</v>
      </c>
      <c r="BE17" s="313">
        <v>122000000</v>
      </c>
      <c r="BF17" s="313">
        <v>0</v>
      </c>
      <c r="BG17" s="313">
        <v>0</v>
      </c>
      <c r="BH17" s="313">
        <v>0</v>
      </c>
      <c r="BI17" s="313">
        <v>0</v>
      </c>
      <c r="BJ17" s="313">
        <v>0</v>
      </c>
      <c r="BK17" s="473">
        <v>47091248</v>
      </c>
      <c r="BL17" s="472">
        <v>47091248</v>
      </c>
      <c r="BM17" s="472">
        <v>0</v>
      </c>
      <c r="BN17" s="472">
        <v>0</v>
      </c>
      <c r="BO17" s="472">
        <v>0</v>
      </c>
      <c r="BP17" s="472">
        <v>0</v>
      </c>
      <c r="BQ17" s="472">
        <v>0</v>
      </c>
      <c r="BR17" s="472">
        <v>0</v>
      </c>
      <c r="BS17" s="472">
        <v>0</v>
      </c>
      <c r="BT17" s="472">
        <v>0</v>
      </c>
      <c r="BU17" s="472">
        <v>0</v>
      </c>
      <c r="BV17" s="342">
        <f t="shared" si="14"/>
        <v>5.5004296875000004E-2</v>
      </c>
      <c r="BW17" s="350">
        <v>4267</v>
      </c>
      <c r="BX17" s="385">
        <f t="shared" si="15"/>
        <v>0.33335937500000001</v>
      </c>
      <c r="BY17" s="369">
        <v>7640</v>
      </c>
      <c r="BZ17" s="391">
        <v>7640</v>
      </c>
      <c r="CA17" s="689">
        <v>7640</v>
      </c>
      <c r="CB17" s="471">
        <f t="shared" si="16"/>
        <v>7640</v>
      </c>
      <c r="CC17" s="471">
        <f t="shared" si="17"/>
        <v>179.0485118350129</v>
      </c>
      <c r="CD17" s="470">
        <f t="shared" si="18"/>
        <v>100</v>
      </c>
      <c r="CE17" s="380">
        <f t="shared" si="19"/>
        <v>5.5004296875000004E-2</v>
      </c>
      <c r="CF17" s="469">
        <f t="shared" si="20"/>
        <v>100</v>
      </c>
      <c r="CG17" s="380">
        <f t="shared" si="21"/>
        <v>9.8484375000000013E-2</v>
      </c>
      <c r="CH17" s="468">
        <f t="shared" si="22"/>
        <v>5.5004296875000004E-2</v>
      </c>
      <c r="CI17" s="319">
        <v>4267</v>
      </c>
      <c r="CJ17" s="318">
        <f t="shared" si="23"/>
        <v>0.33335937500000001</v>
      </c>
      <c r="CK17" s="1259">
        <v>4592</v>
      </c>
      <c r="CL17" s="301">
        <f t="shared" si="24"/>
        <v>-325</v>
      </c>
      <c r="CM17" s="381">
        <f t="shared" si="25"/>
        <v>4592</v>
      </c>
      <c r="CN17" s="381">
        <f t="shared" si="26"/>
        <v>107.61659245371456</v>
      </c>
      <c r="CO17" s="316">
        <f t="shared" si="27"/>
        <v>100</v>
      </c>
      <c r="CP17" s="381">
        <f t="shared" si="28"/>
        <v>5.5004296875000004E-2</v>
      </c>
      <c r="CQ17" s="381">
        <f t="shared" si="29"/>
        <v>5.9193750000000003E-2</v>
      </c>
      <c r="CR17" s="313">
        <v>122000000</v>
      </c>
      <c r="CS17" s="313">
        <v>122000000</v>
      </c>
      <c r="CT17" s="313">
        <v>0</v>
      </c>
      <c r="CU17" s="313">
        <v>0</v>
      </c>
      <c r="CV17" s="313">
        <v>0</v>
      </c>
      <c r="CW17" s="313">
        <v>0</v>
      </c>
      <c r="CX17" s="313">
        <v>0</v>
      </c>
      <c r="CY17" s="313">
        <v>0</v>
      </c>
      <c r="CZ17" s="380">
        <v>0</v>
      </c>
      <c r="DA17" s="380">
        <v>0</v>
      </c>
      <c r="DB17" s="380">
        <v>0</v>
      </c>
      <c r="DC17" s="380">
        <v>0</v>
      </c>
      <c r="DD17" s="380">
        <v>0</v>
      </c>
      <c r="DE17" s="380">
        <v>0</v>
      </c>
      <c r="DF17" s="380">
        <v>0</v>
      </c>
      <c r="DG17" s="380">
        <v>0</v>
      </c>
      <c r="DH17" s="380">
        <v>0</v>
      </c>
      <c r="DI17" s="380">
        <v>0</v>
      </c>
      <c r="DJ17" s="380">
        <v>0</v>
      </c>
      <c r="DK17" s="702">
        <f t="shared" si="30"/>
        <v>16745</v>
      </c>
      <c r="DL17" s="311">
        <f t="shared" si="31"/>
        <v>0.16500000000000001</v>
      </c>
      <c r="DM17" s="310">
        <f t="shared" si="32"/>
        <v>130.8203125</v>
      </c>
      <c r="DN17" s="356">
        <f t="shared" si="33"/>
        <v>100</v>
      </c>
      <c r="DO17" s="308">
        <f t="shared" si="34"/>
        <v>0.16500000000000001</v>
      </c>
      <c r="DP17" s="359">
        <f t="shared" si="39"/>
        <v>0.16500000000000001</v>
      </c>
      <c r="DQ17" s="306">
        <f t="shared" si="35"/>
        <v>0.16500000000000001</v>
      </c>
      <c r="DR17" s="379">
        <f t="shared" si="36"/>
        <v>1</v>
      </c>
      <c r="DS17" s="378">
        <f t="shared" si="37"/>
        <v>0</v>
      </c>
      <c r="DT17" s="173">
        <v>9</v>
      </c>
      <c r="DU17" s="174" t="s">
        <v>193</v>
      </c>
      <c r="DV17" s="173"/>
      <c r="DW17" s="174" t="s">
        <v>84</v>
      </c>
      <c r="DX17" s="173"/>
      <c r="DY17" s="173"/>
      <c r="DZ17" s="173"/>
      <c r="EA17" s="665"/>
      <c r="EB17" s="1253" t="s">
        <v>2214</v>
      </c>
      <c r="EC17" s="537">
        <v>180000000</v>
      </c>
      <c r="EE17" s="734">
        <v>4</v>
      </c>
      <c r="EF17" s="706"/>
    </row>
    <row r="18" spans="4:136" s="302" customFormat="1" ht="63.75" hidden="1">
      <c r="D18" s="520">
        <v>15</v>
      </c>
      <c r="E18" s="534">
        <v>24</v>
      </c>
      <c r="F18" s="523" t="s">
        <v>43</v>
      </c>
      <c r="G18" s="523" t="s">
        <v>81</v>
      </c>
      <c r="H18" s="524" t="s">
        <v>2651</v>
      </c>
      <c r="I18" s="462" t="s">
        <v>187</v>
      </c>
      <c r="J18" s="335" t="s">
        <v>199</v>
      </c>
      <c r="K18" s="335" t="s">
        <v>200</v>
      </c>
      <c r="L18" s="454" t="s">
        <v>1415</v>
      </c>
      <c r="M18" s="333" t="s">
        <v>1785</v>
      </c>
      <c r="N18" s="333">
        <v>0</v>
      </c>
      <c r="O18" s="333">
        <f>+P18</f>
        <v>12</v>
      </c>
      <c r="P18" s="332">
        <v>12</v>
      </c>
      <c r="Q18" s="357">
        <v>0.16500000000000001</v>
      </c>
      <c r="R18" s="342">
        <f t="shared" si="0"/>
        <v>4.1250000000000002E-2</v>
      </c>
      <c r="S18" s="459">
        <v>12</v>
      </c>
      <c r="T18" s="387">
        <f t="shared" si="1"/>
        <v>0.25</v>
      </c>
      <c r="U18" s="670">
        <v>20</v>
      </c>
      <c r="V18" s="388">
        <f t="shared" si="2"/>
        <v>5</v>
      </c>
      <c r="W18" s="356">
        <f t="shared" si="3"/>
        <v>166.66666666666666</v>
      </c>
      <c r="X18" s="356">
        <f t="shared" si="4"/>
        <v>100</v>
      </c>
      <c r="Y18" s="356">
        <f t="shared" ref="Y18:Y81" si="40">+(X18*R18)/100</f>
        <v>4.1250000000000002E-2</v>
      </c>
      <c r="Z18" s="356">
        <f t="shared" si="6"/>
        <v>100</v>
      </c>
      <c r="AA18" s="313">
        <v>120000000</v>
      </c>
      <c r="AB18" s="313">
        <v>120000000</v>
      </c>
      <c r="AC18" s="313">
        <v>0</v>
      </c>
      <c r="AD18" s="313">
        <v>0</v>
      </c>
      <c r="AE18" s="313">
        <v>0</v>
      </c>
      <c r="AF18" s="313">
        <v>0</v>
      </c>
      <c r="AG18" s="313">
        <v>0</v>
      </c>
      <c r="AH18" s="313">
        <v>0</v>
      </c>
      <c r="AI18" s="313">
        <v>116279000</v>
      </c>
      <c r="AJ18" s="313">
        <v>116279000</v>
      </c>
      <c r="AK18" s="313">
        <v>0</v>
      </c>
      <c r="AL18" s="313">
        <v>0</v>
      </c>
      <c r="AM18" s="313">
        <v>0</v>
      </c>
      <c r="AN18" s="313">
        <v>0</v>
      </c>
      <c r="AO18" s="313">
        <v>0</v>
      </c>
      <c r="AP18" s="313">
        <v>0</v>
      </c>
      <c r="AQ18" s="313">
        <v>0</v>
      </c>
      <c r="AR18" s="313">
        <v>0</v>
      </c>
      <c r="AS18" s="313">
        <v>0</v>
      </c>
      <c r="AT18" s="333">
        <f t="shared" si="7"/>
        <v>4.1250000000000002E-2</v>
      </c>
      <c r="AU18" s="333">
        <v>12</v>
      </c>
      <c r="AV18" s="387">
        <f t="shared" si="8"/>
        <v>0.25</v>
      </c>
      <c r="AW18" s="677">
        <v>40</v>
      </c>
      <c r="AX18" s="474">
        <f t="shared" si="9"/>
        <v>10</v>
      </c>
      <c r="AY18" s="474">
        <f t="shared" si="10"/>
        <v>333.33333333333331</v>
      </c>
      <c r="AZ18" s="474">
        <f t="shared" si="11"/>
        <v>100</v>
      </c>
      <c r="BA18" s="356">
        <f t="shared" si="12"/>
        <v>4.1250000000000002E-2</v>
      </c>
      <c r="BB18" s="356">
        <f t="shared" si="13"/>
        <v>100</v>
      </c>
      <c r="BC18" s="313">
        <v>372000000</v>
      </c>
      <c r="BD18" s="313">
        <v>0</v>
      </c>
      <c r="BE18" s="313">
        <v>72000000</v>
      </c>
      <c r="BF18" s="313">
        <v>0</v>
      </c>
      <c r="BG18" s="313">
        <v>0</v>
      </c>
      <c r="BH18" s="313">
        <v>0</v>
      </c>
      <c r="BI18" s="313">
        <v>0</v>
      </c>
      <c r="BJ18" s="313">
        <v>300000000</v>
      </c>
      <c r="BK18" s="473">
        <v>149900000</v>
      </c>
      <c r="BL18" s="472">
        <v>149900000</v>
      </c>
      <c r="BM18" s="472">
        <v>0</v>
      </c>
      <c r="BN18" s="472">
        <v>0</v>
      </c>
      <c r="BO18" s="472">
        <v>0</v>
      </c>
      <c r="BP18" s="472">
        <v>0</v>
      </c>
      <c r="BQ18" s="472">
        <v>0</v>
      </c>
      <c r="BR18" s="472">
        <v>0</v>
      </c>
      <c r="BS18" s="472">
        <v>0</v>
      </c>
      <c r="BT18" s="472">
        <v>0</v>
      </c>
      <c r="BU18" s="472">
        <v>0</v>
      </c>
      <c r="BV18" s="342">
        <f t="shared" si="14"/>
        <v>4.1250000000000002E-2</v>
      </c>
      <c r="BW18" s="350">
        <v>12</v>
      </c>
      <c r="BX18" s="385">
        <f t="shared" si="15"/>
        <v>0.25</v>
      </c>
      <c r="BY18" s="369">
        <v>7</v>
      </c>
      <c r="BZ18" s="391">
        <v>7</v>
      </c>
      <c r="CA18" s="689">
        <v>12</v>
      </c>
      <c r="CB18" s="471">
        <f t="shared" si="16"/>
        <v>3</v>
      </c>
      <c r="CC18" s="471">
        <f t="shared" si="17"/>
        <v>100</v>
      </c>
      <c r="CD18" s="470">
        <f t="shared" si="18"/>
        <v>100</v>
      </c>
      <c r="CE18" s="380">
        <f t="shared" si="19"/>
        <v>4.1250000000000002E-2</v>
      </c>
      <c r="CF18" s="469">
        <f t="shared" si="20"/>
        <v>100</v>
      </c>
      <c r="CG18" s="380">
        <f t="shared" si="21"/>
        <v>4.1250000000000002E-2</v>
      </c>
      <c r="CH18" s="468">
        <f t="shared" si="22"/>
        <v>4.1250000000000002E-2</v>
      </c>
      <c r="CI18" s="319">
        <v>12</v>
      </c>
      <c r="CJ18" s="318">
        <f t="shared" si="23"/>
        <v>0.25</v>
      </c>
      <c r="CK18" s="1259">
        <v>22</v>
      </c>
      <c r="CL18" s="301">
        <f t="shared" si="24"/>
        <v>-10</v>
      </c>
      <c r="CM18" s="381">
        <f t="shared" si="25"/>
        <v>5.5</v>
      </c>
      <c r="CN18" s="381">
        <f t="shared" si="26"/>
        <v>183.33333333333334</v>
      </c>
      <c r="CO18" s="381">
        <f t="shared" si="27"/>
        <v>100</v>
      </c>
      <c r="CP18" s="381">
        <f t="shared" si="28"/>
        <v>4.1250000000000002E-2</v>
      </c>
      <c r="CQ18" s="381">
        <f t="shared" si="29"/>
        <v>7.5625000000000012E-2</v>
      </c>
      <c r="CR18" s="313">
        <v>420000000</v>
      </c>
      <c r="CS18" s="313">
        <v>120000000</v>
      </c>
      <c r="CT18" s="313">
        <v>0</v>
      </c>
      <c r="CU18" s="313">
        <v>0</v>
      </c>
      <c r="CV18" s="313">
        <v>0</v>
      </c>
      <c r="CW18" s="313">
        <v>0</v>
      </c>
      <c r="CX18" s="313">
        <v>0</v>
      </c>
      <c r="CY18" s="313">
        <v>300000000</v>
      </c>
      <c r="CZ18" s="380">
        <v>0</v>
      </c>
      <c r="DA18" s="380">
        <v>0</v>
      </c>
      <c r="DB18" s="380">
        <v>0</v>
      </c>
      <c r="DC18" s="380">
        <v>0</v>
      </c>
      <c r="DD18" s="380">
        <v>0</v>
      </c>
      <c r="DE18" s="380">
        <v>0</v>
      </c>
      <c r="DF18" s="380">
        <v>0</v>
      </c>
      <c r="DG18" s="380">
        <v>0</v>
      </c>
      <c r="DH18" s="380">
        <v>0</v>
      </c>
      <c r="DI18" s="380">
        <v>0</v>
      </c>
      <c r="DJ18" s="380">
        <v>0</v>
      </c>
      <c r="DK18" s="702">
        <f t="shared" si="30"/>
        <v>23.5</v>
      </c>
      <c r="DL18" s="311">
        <f t="shared" si="31"/>
        <v>0.16500000000000001</v>
      </c>
      <c r="DM18" s="310">
        <f t="shared" si="32"/>
        <v>195.83333333333334</v>
      </c>
      <c r="DN18" s="356">
        <f t="shared" si="33"/>
        <v>100</v>
      </c>
      <c r="DO18" s="308">
        <f t="shared" si="34"/>
        <v>0.16500000000000001</v>
      </c>
      <c r="DP18" s="359">
        <f>+IF(M18="M",DO18,0)</f>
        <v>0.16500000000000001</v>
      </c>
      <c r="DQ18" s="306">
        <f t="shared" si="35"/>
        <v>0.16500000000000001</v>
      </c>
      <c r="DR18" s="379">
        <f t="shared" si="36"/>
        <v>1</v>
      </c>
      <c r="DS18" s="378">
        <f t="shared" si="37"/>
        <v>0</v>
      </c>
      <c r="DT18" s="173">
        <v>9</v>
      </c>
      <c r="DU18" s="174" t="s">
        <v>193</v>
      </c>
      <c r="DV18" s="173"/>
      <c r="DW18" s="174" t="s">
        <v>84</v>
      </c>
      <c r="DX18" s="173"/>
      <c r="DY18" s="173"/>
      <c r="DZ18" s="173"/>
      <c r="EA18" s="665"/>
      <c r="EB18" s="1253" t="s">
        <v>2479</v>
      </c>
      <c r="EC18" s="537">
        <v>6000000</v>
      </c>
      <c r="EE18" s="734">
        <v>0</v>
      </c>
      <c r="EF18" s="706"/>
    </row>
    <row r="19" spans="4:136" s="302" customFormat="1" ht="114.75" hidden="1">
      <c r="D19" s="520">
        <v>16</v>
      </c>
      <c r="E19" s="534">
        <v>25</v>
      </c>
      <c r="F19" s="523" t="s">
        <v>43</v>
      </c>
      <c r="G19" s="523" t="s">
        <v>81</v>
      </c>
      <c r="H19" s="524" t="s">
        <v>2651</v>
      </c>
      <c r="I19" s="462" t="s">
        <v>187</v>
      </c>
      <c r="J19" s="335" t="s">
        <v>201</v>
      </c>
      <c r="K19" s="335" t="s">
        <v>202</v>
      </c>
      <c r="L19" s="454" t="s">
        <v>1983</v>
      </c>
      <c r="M19" s="333" t="s">
        <v>1785</v>
      </c>
      <c r="N19" s="333">
        <v>0</v>
      </c>
      <c r="O19" s="333">
        <f>+N19+P19</f>
        <v>80</v>
      </c>
      <c r="P19" s="332">
        <v>80</v>
      </c>
      <c r="Q19" s="357">
        <v>0.16500000000000001</v>
      </c>
      <c r="R19" s="342">
        <f t="shared" si="0"/>
        <v>4.1250000000000002E-2</v>
      </c>
      <c r="S19" s="459">
        <v>20</v>
      </c>
      <c r="T19" s="387">
        <f t="shared" si="1"/>
        <v>0.25</v>
      </c>
      <c r="U19" s="670">
        <v>131</v>
      </c>
      <c r="V19" s="388">
        <f t="shared" si="2"/>
        <v>32.75</v>
      </c>
      <c r="W19" s="356">
        <f t="shared" si="3"/>
        <v>655</v>
      </c>
      <c r="X19" s="356">
        <f t="shared" si="4"/>
        <v>100</v>
      </c>
      <c r="Y19" s="356">
        <f t="shared" si="40"/>
        <v>4.1250000000000002E-2</v>
      </c>
      <c r="Z19" s="356">
        <f t="shared" si="6"/>
        <v>100</v>
      </c>
      <c r="AA19" s="313">
        <v>107000000</v>
      </c>
      <c r="AB19" s="313">
        <v>19000000</v>
      </c>
      <c r="AC19" s="313">
        <v>0</v>
      </c>
      <c r="AD19" s="313">
        <v>88000000</v>
      </c>
      <c r="AE19" s="313">
        <v>0</v>
      </c>
      <c r="AF19" s="313">
        <v>0</v>
      </c>
      <c r="AG19" s="313">
        <v>0</v>
      </c>
      <c r="AH19" s="313">
        <v>0</v>
      </c>
      <c r="AI19" s="313">
        <v>0</v>
      </c>
      <c r="AJ19" s="313">
        <v>0</v>
      </c>
      <c r="AK19" s="313">
        <v>0</v>
      </c>
      <c r="AL19" s="313">
        <v>0</v>
      </c>
      <c r="AM19" s="313">
        <v>0</v>
      </c>
      <c r="AN19" s="313">
        <v>0</v>
      </c>
      <c r="AO19" s="313">
        <v>0</v>
      </c>
      <c r="AP19" s="313">
        <v>0</v>
      </c>
      <c r="AQ19" s="313">
        <v>0</v>
      </c>
      <c r="AR19" s="313">
        <v>88073000</v>
      </c>
      <c r="AS19" s="313" t="s">
        <v>1982</v>
      </c>
      <c r="AT19" s="333">
        <f t="shared" si="7"/>
        <v>4.1250000000000002E-2</v>
      </c>
      <c r="AU19" s="333">
        <v>20</v>
      </c>
      <c r="AV19" s="387">
        <f t="shared" si="8"/>
        <v>0.25</v>
      </c>
      <c r="AW19" s="677">
        <v>134</v>
      </c>
      <c r="AX19" s="474">
        <f t="shared" si="9"/>
        <v>33.5</v>
      </c>
      <c r="AY19" s="474">
        <f t="shared" si="10"/>
        <v>670</v>
      </c>
      <c r="AZ19" s="474">
        <f t="shared" si="11"/>
        <v>100</v>
      </c>
      <c r="BA19" s="356">
        <f t="shared" si="12"/>
        <v>4.1250000000000002E-2</v>
      </c>
      <c r="BB19" s="356">
        <f t="shared" si="13"/>
        <v>100</v>
      </c>
      <c r="BC19" s="313">
        <v>280000000</v>
      </c>
      <c r="BD19" s="313">
        <v>0</v>
      </c>
      <c r="BE19" s="313">
        <v>80000000</v>
      </c>
      <c r="BF19" s="313">
        <v>0</v>
      </c>
      <c r="BG19" s="313">
        <v>0</v>
      </c>
      <c r="BH19" s="313">
        <v>0</v>
      </c>
      <c r="BI19" s="313">
        <v>0</v>
      </c>
      <c r="BJ19" s="313">
        <v>200000000</v>
      </c>
      <c r="BK19" s="473">
        <v>61800000</v>
      </c>
      <c r="BL19" s="472">
        <v>61800000</v>
      </c>
      <c r="BM19" s="472">
        <v>0</v>
      </c>
      <c r="BN19" s="472">
        <v>0</v>
      </c>
      <c r="BO19" s="472">
        <v>0</v>
      </c>
      <c r="BP19" s="472">
        <v>0</v>
      </c>
      <c r="BQ19" s="472">
        <v>0</v>
      </c>
      <c r="BR19" s="472">
        <v>0</v>
      </c>
      <c r="BS19" s="472">
        <v>0</v>
      </c>
      <c r="BT19" s="472">
        <v>0</v>
      </c>
      <c r="BU19" s="472">
        <v>0</v>
      </c>
      <c r="BV19" s="342">
        <f t="shared" si="14"/>
        <v>4.1250000000000002E-2</v>
      </c>
      <c r="BW19" s="350">
        <v>20</v>
      </c>
      <c r="BX19" s="385">
        <f t="shared" si="15"/>
        <v>0.25</v>
      </c>
      <c r="BY19" s="369">
        <v>100</v>
      </c>
      <c r="BZ19" s="391">
        <v>100</v>
      </c>
      <c r="CA19" s="689">
        <v>134</v>
      </c>
      <c r="CB19" s="471">
        <f t="shared" si="16"/>
        <v>33.5</v>
      </c>
      <c r="CC19" s="471">
        <f t="shared" si="17"/>
        <v>670</v>
      </c>
      <c r="CD19" s="470">
        <f t="shared" si="18"/>
        <v>100</v>
      </c>
      <c r="CE19" s="380">
        <f t="shared" si="19"/>
        <v>4.1250000000000002E-2</v>
      </c>
      <c r="CF19" s="469">
        <f t="shared" si="20"/>
        <v>100</v>
      </c>
      <c r="CG19" s="380">
        <f t="shared" si="21"/>
        <v>0.27637500000000004</v>
      </c>
      <c r="CH19" s="468">
        <f t="shared" si="22"/>
        <v>4.1250000000000002E-2</v>
      </c>
      <c r="CI19" s="319">
        <v>20</v>
      </c>
      <c r="CJ19" s="318">
        <f t="shared" si="23"/>
        <v>0.25</v>
      </c>
      <c r="CK19" s="1259">
        <v>143</v>
      </c>
      <c r="CL19" s="301">
        <f t="shared" si="24"/>
        <v>-123</v>
      </c>
      <c r="CM19" s="381">
        <f t="shared" si="25"/>
        <v>35.75</v>
      </c>
      <c r="CN19" s="381">
        <f t="shared" si="26"/>
        <v>715</v>
      </c>
      <c r="CO19" s="316">
        <f t="shared" si="27"/>
        <v>100</v>
      </c>
      <c r="CP19" s="381">
        <f t="shared" si="28"/>
        <v>4.1250000000000002E-2</v>
      </c>
      <c r="CQ19" s="381">
        <f t="shared" si="29"/>
        <v>0.29493750000000002</v>
      </c>
      <c r="CR19" s="313">
        <v>280000000</v>
      </c>
      <c r="CS19" s="313">
        <v>80000000</v>
      </c>
      <c r="CT19" s="313">
        <v>0</v>
      </c>
      <c r="CU19" s="313">
        <v>0</v>
      </c>
      <c r="CV19" s="313">
        <v>0</v>
      </c>
      <c r="CW19" s="313">
        <v>0</v>
      </c>
      <c r="CX19" s="313">
        <v>0</v>
      </c>
      <c r="CY19" s="313">
        <v>200000000</v>
      </c>
      <c r="CZ19" s="380">
        <v>0</v>
      </c>
      <c r="DA19" s="380">
        <v>0</v>
      </c>
      <c r="DB19" s="380">
        <v>0</v>
      </c>
      <c r="DC19" s="380">
        <v>0</v>
      </c>
      <c r="DD19" s="380">
        <v>0</v>
      </c>
      <c r="DE19" s="380">
        <v>0</v>
      </c>
      <c r="DF19" s="380">
        <v>0</v>
      </c>
      <c r="DG19" s="380">
        <v>0</v>
      </c>
      <c r="DH19" s="380">
        <v>0</v>
      </c>
      <c r="DI19" s="380">
        <v>0</v>
      </c>
      <c r="DJ19" s="380">
        <v>0</v>
      </c>
      <c r="DK19" s="702">
        <f t="shared" si="30"/>
        <v>135.5</v>
      </c>
      <c r="DL19" s="311">
        <f t="shared" si="31"/>
        <v>0.16500000000000001</v>
      </c>
      <c r="DM19" s="310">
        <f t="shared" si="32"/>
        <v>169.375</v>
      </c>
      <c r="DN19" s="356">
        <f t="shared" si="33"/>
        <v>100</v>
      </c>
      <c r="DO19" s="308">
        <f t="shared" si="34"/>
        <v>0.16500000000000001</v>
      </c>
      <c r="DP19" s="359">
        <f>+IF(((DN19*Q19)/100)&lt;Q19, ((DN19*Q19)/100),Q19)</f>
        <v>0.16500000000000001</v>
      </c>
      <c r="DQ19" s="306">
        <f t="shared" si="35"/>
        <v>0.16500000000000001</v>
      </c>
      <c r="DR19" s="379">
        <f t="shared" si="36"/>
        <v>1</v>
      </c>
      <c r="DS19" s="378">
        <f t="shared" si="37"/>
        <v>0</v>
      </c>
      <c r="DT19" s="173">
        <v>9</v>
      </c>
      <c r="DU19" s="174" t="s">
        <v>193</v>
      </c>
      <c r="DV19" s="173"/>
      <c r="DW19" s="174" t="s">
        <v>84</v>
      </c>
      <c r="DX19" s="173"/>
      <c r="DY19" s="173"/>
      <c r="DZ19" s="173"/>
      <c r="EA19" s="665"/>
      <c r="EB19" s="1253" t="s">
        <v>2480</v>
      </c>
      <c r="EC19" s="537">
        <v>15000000</v>
      </c>
      <c r="EE19" s="734">
        <v>35</v>
      </c>
      <c r="EF19" s="706"/>
    </row>
    <row r="20" spans="4:136" s="302" customFormat="1" ht="51" hidden="1">
      <c r="D20" s="520">
        <v>17</v>
      </c>
      <c r="E20" s="534">
        <v>26</v>
      </c>
      <c r="F20" s="523" t="s">
        <v>43</v>
      </c>
      <c r="G20" s="523" t="s">
        <v>81</v>
      </c>
      <c r="H20" s="524" t="s">
        <v>2651</v>
      </c>
      <c r="I20" s="462" t="s">
        <v>187</v>
      </c>
      <c r="J20" s="335" t="s">
        <v>203</v>
      </c>
      <c r="K20" s="335" t="s">
        <v>204</v>
      </c>
      <c r="L20" s="454" t="s">
        <v>2018</v>
      </c>
      <c r="M20" s="333" t="s">
        <v>1771</v>
      </c>
      <c r="N20" s="333">
        <v>0</v>
      </c>
      <c r="O20" s="333">
        <f>+N20+P20</f>
        <v>12</v>
      </c>
      <c r="P20" s="332">
        <v>12</v>
      </c>
      <c r="Q20" s="357">
        <v>0.16500000000000001</v>
      </c>
      <c r="R20" s="342">
        <f t="shared" si="0"/>
        <v>0</v>
      </c>
      <c r="S20" s="459">
        <v>0</v>
      </c>
      <c r="T20" s="387">
        <f t="shared" si="1"/>
        <v>0</v>
      </c>
      <c r="U20" s="670">
        <v>0</v>
      </c>
      <c r="V20" s="388">
        <f t="shared" si="2"/>
        <v>0</v>
      </c>
      <c r="W20" s="356">
        <f t="shared" si="3"/>
        <v>0</v>
      </c>
      <c r="X20" s="356">
        <f t="shared" si="4"/>
        <v>0</v>
      </c>
      <c r="Y20" s="356">
        <f t="shared" si="40"/>
        <v>0</v>
      </c>
      <c r="Z20" s="356">
        <f t="shared" si="6"/>
        <v>0</v>
      </c>
      <c r="AA20" s="313">
        <v>0</v>
      </c>
      <c r="AB20" s="313">
        <v>0</v>
      </c>
      <c r="AC20" s="313">
        <v>0</v>
      </c>
      <c r="AD20" s="313">
        <v>0</v>
      </c>
      <c r="AE20" s="313">
        <v>0</v>
      </c>
      <c r="AF20" s="313">
        <v>0</v>
      </c>
      <c r="AG20" s="313">
        <v>0</v>
      </c>
      <c r="AH20" s="313">
        <v>0</v>
      </c>
      <c r="AI20" s="313">
        <v>0</v>
      </c>
      <c r="AJ20" s="313">
        <v>0</v>
      </c>
      <c r="AK20" s="313">
        <v>0</v>
      </c>
      <c r="AL20" s="313">
        <v>0</v>
      </c>
      <c r="AM20" s="313">
        <v>0</v>
      </c>
      <c r="AN20" s="313">
        <v>0</v>
      </c>
      <c r="AO20" s="313">
        <v>0</v>
      </c>
      <c r="AP20" s="313">
        <v>0</v>
      </c>
      <c r="AQ20" s="313">
        <v>0</v>
      </c>
      <c r="AR20" s="313">
        <v>0</v>
      </c>
      <c r="AS20" s="313" t="s">
        <v>1798</v>
      </c>
      <c r="AT20" s="333">
        <f t="shared" si="7"/>
        <v>5.5E-2</v>
      </c>
      <c r="AU20" s="333">
        <v>4</v>
      </c>
      <c r="AV20" s="387">
        <f t="shared" si="8"/>
        <v>0.33333333333333331</v>
      </c>
      <c r="AW20" s="677">
        <v>9</v>
      </c>
      <c r="AX20" s="474">
        <f t="shared" si="9"/>
        <v>9</v>
      </c>
      <c r="AY20" s="474">
        <f t="shared" si="10"/>
        <v>225</v>
      </c>
      <c r="AZ20" s="474">
        <f t="shared" si="11"/>
        <v>100</v>
      </c>
      <c r="BA20" s="356">
        <f t="shared" si="12"/>
        <v>5.5E-2</v>
      </c>
      <c r="BB20" s="356">
        <f t="shared" si="13"/>
        <v>100</v>
      </c>
      <c r="BC20" s="313">
        <v>360000000</v>
      </c>
      <c r="BD20" s="313">
        <v>0</v>
      </c>
      <c r="BE20" s="313">
        <v>40000000</v>
      </c>
      <c r="BF20" s="313">
        <v>0</v>
      </c>
      <c r="BG20" s="313">
        <v>0</v>
      </c>
      <c r="BH20" s="313">
        <v>0</v>
      </c>
      <c r="BI20" s="313">
        <v>0</v>
      </c>
      <c r="BJ20" s="313">
        <v>320000000</v>
      </c>
      <c r="BK20" s="473">
        <v>81000000</v>
      </c>
      <c r="BL20" s="472">
        <v>81000000</v>
      </c>
      <c r="BM20" s="472">
        <v>0</v>
      </c>
      <c r="BN20" s="472">
        <v>0</v>
      </c>
      <c r="BO20" s="472">
        <v>0</v>
      </c>
      <c r="BP20" s="472">
        <v>0</v>
      </c>
      <c r="BQ20" s="472">
        <v>0</v>
      </c>
      <c r="BR20" s="472">
        <v>0</v>
      </c>
      <c r="BS20" s="472">
        <v>0</v>
      </c>
      <c r="BT20" s="472">
        <v>0</v>
      </c>
      <c r="BU20" s="472">
        <v>0</v>
      </c>
      <c r="BV20" s="342">
        <f t="shared" si="14"/>
        <v>6.8750000000000006E-2</v>
      </c>
      <c r="BW20" s="350">
        <v>5</v>
      </c>
      <c r="BX20" s="385">
        <f t="shared" si="15"/>
        <v>0.41666666666666669</v>
      </c>
      <c r="BY20" s="369">
        <v>0</v>
      </c>
      <c r="BZ20" s="391">
        <v>0</v>
      </c>
      <c r="CA20" s="689">
        <v>7</v>
      </c>
      <c r="CB20" s="471">
        <f t="shared" si="16"/>
        <v>7</v>
      </c>
      <c r="CC20" s="471">
        <f t="shared" si="17"/>
        <v>140</v>
      </c>
      <c r="CD20" s="470">
        <f t="shared" si="18"/>
        <v>100</v>
      </c>
      <c r="CE20" s="380">
        <f t="shared" si="19"/>
        <v>6.8750000000000006E-2</v>
      </c>
      <c r="CF20" s="469">
        <f t="shared" si="20"/>
        <v>100</v>
      </c>
      <c r="CG20" s="380">
        <f t="shared" si="21"/>
        <v>9.6250000000000002E-2</v>
      </c>
      <c r="CH20" s="468">
        <f t="shared" si="22"/>
        <v>4.1250000000000002E-2</v>
      </c>
      <c r="CI20" s="319">
        <v>3</v>
      </c>
      <c r="CJ20" s="318">
        <f t="shared" si="23"/>
        <v>0.25</v>
      </c>
      <c r="CK20" s="1259">
        <v>22</v>
      </c>
      <c r="CL20" s="301">
        <f t="shared" si="24"/>
        <v>-19</v>
      </c>
      <c r="CM20" s="381">
        <f t="shared" si="25"/>
        <v>22</v>
      </c>
      <c r="CN20" s="381">
        <f t="shared" si="26"/>
        <v>733.33333333333337</v>
      </c>
      <c r="CO20" s="316">
        <f t="shared" si="27"/>
        <v>100</v>
      </c>
      <c r="CP20" s="381">
        <f t="shared" si="28"/>
        <v>4.1250000000000002E-2</v>
      </c>
      <c r="CQ20" s="381">
        <f t="shared" si="29"/>
        <v>0.30250000000000005</v>
      </c>
      <c r="CR20" s="313">
        <v>330000000</v>
      </c>
      <c r="CS20" s="313">
        <v>90000000</v>
      </c>
      <c r="CT20" s="313">
        <v>0</v>
      </c>
      <c r="CU20" s="313">
        <v>0</v>
      </c>
      <c r="CV20" s="313">
        <v>0</v>
      </c>
      <c r="CW20" s="313">
        <v>0</v>
      </c>
      <c r="CX20" s="313">
        <v>0</v>
      </c>
      <c r="CY20" s="313">
        <v>240000000</v>
      </c>
      <c r="CZ20" s="380">
        <v>0</v>
      </c>
      <c r="DA20" s="380">
        <v>0</v>
      </c>
      <c r="DB20" s="380">
        <v>0</v>
      </c>
      <c r="DC20" s="380">
        <v>0</v>
      </c>
      <c r="DD20" s="380">
        <v>0</v>
      </c>
      <c r="DE20" s="380">
        <v>0</v>
      </c>
      <c r="DF20" s="380">
        <v>0</v>
      </c>
      <c r="DG20" s="380">
        <v>0</v>
      </c>
      <c r="DH20" s="380">
        <v>0</v>
      </c>
      <c r="DI20" s="380">
        <v>0</v>
      </c>
      <c r="DJ20" s="380">
        <v>0</v>
      </c>
      <c r="DK20" s="702">
        <f t="shared" si="30"/>
        <v>38</v>
      </c>
      <c r="DL20" s="311">
        <f t="shared" si="31"/>
        <v>0.16500000000000001</v>
      </c>
      <c r="DM20" s="310">
        <f t="shared" si="32"/>
        <v>316.66666666666669</v>
      </c>
      <c r="DN20" s="356">
        <f t="shared" si="33"/>
        <v>100</v>
      </c>
      <c r="DO20" s="308">
        <f t="shared" si="34"/>
        <v>0.16500000000000001</v>
      </c>
      <c r="DP20" s="359">
        <f>+IF(((DN20*Q20)/100)&lt;Q20, ((DN20*Q20)/100),Q20)</f>
        <v>0.16500000000000001</v>
      </c>
      <c r="DQ20" s="306">
        <f t="shared" si="35"/>
        <v>0.16500000000000001</v>
      </c>
      <c r="DR20" s="379">
        <f t="shared" si="36"/>
        <v>1</v>
      </c>
      <c r="DS20" s="378">
        <f t="shared" si="37"/>
        <v>0</v>
      </c>
      <c r="DT20" s="173">
        <v>9</v>
      </c>
      <c r="DU20" s="174" t="s">
        <v>193</v>
      </c>
      <c r="DV20" s="173"/>
      <c r="DW20" s="174" t="s">
        <v>84</v>
      </c>
      <c r="DX20" s="173"/>
      <c r="DY20" s="173"/>
      <c r="DZ20" s="173"/>
      <c r="EA20" s="665"/>
      <c r="EB20" s="1253" t="s">
        <v>2424</v>
      </c>
      <c r="EC20" s="537">
        <v>0</v>
      </c>
      <c r="EE20" s="734">
        <v>0</v>
      </c>
      <c r="EF20" s="706"/>
    </row>
    <row r="21" spans="4:136" s="302" customFormat="1" ht="51" hidden="1">
      <c r="D21" s="520">
        <v>18</v>
      </c>
      <c r="E21" s="534">
        <v>27</v>
      </c>
      <c r="F21" s="523" t="s">
        <v>43</v>
      </c>
      <c r="G21" s="523" t="s">
        <v>8</v>
      </c>
      <c r="H21" s="524" t="s">
        <v>2651</v>
      </c>
      <c r="I21" s="462" t="s">
        <v>187</v>
      </c>
      <c r="J21" s="335" t="s">
        <v>205</v>
      </c>
      <c r="K21" s="335" t="s">
        <v>206</v>
      </c>
      <c r="L21" s="454" t="s">
        <v>1954</v>
      </c>
      <c r="M21" s="333" t="s">
        <v>1771</v>
      </c>
      <c r="N21" s="333">
        <v>0</v>
      </c>
      <c r="O21" s="333">
        <f>+N21+P21</f>
        <v>1</v>
      </c>
      <c r="P21" s="332">
        <v>1</v>
      </c>
      <c r="Q21" s="357">
        <v>8.8999999999999996E-2</v>
      </c>
      <c r="R21" s="342">
        <f t="shared" si="0"/>
        <v>0</v>
      </c>
      <c r="S21" s="459">
        <v>0</v>
      </c>
      <c r="T21" s="387">
        <f t="shared" si="1"/>
        <v>0</v>
      </c>
      <c r="U21" s="670">
        <v>0</v>
      </c>
      <c r="V21" s="388">
        <f t="shared" si="2"/>
        <v>0</v>
      </c>
      <c r="W21" s="356">
        <f t="shared" si="3"/>
        <v>0</v>
      </c>
      <c r="X21" s="356">
        <f t="shared" si="4"/>
        <v>0</v>
      </c>
      <c r="Y21" s="356">
        <f t="shared" si="40"/>
        <v>0</v>
      </c>
      <c r="Z21" s="356">
        <f t="shared" si="6"/>
        <v>0</v>
      </c>
      <c r="AA21" s="313">
        <v>0</v>
      </c>
      <c r="AB21" s="313">
        <v>0</v>
      </c>
      <c r="AC21" s="313">
        <v>0</v>
      </c>
      <c r="AD21" s="313">
        <v>0</v>
      </c>
      <c r="AE21" s="313">
        <v>0</v>
      </c>
      <c r="AF21" s="313">
        <v>0</v>
      </c>
      <c r="AG21" s="313">
        <v>0</v>
      </c>
      <c r="AH21" s="313">
        <v>0</v>
      </c>
      <c r="AI21" s="313">
        <v>0</v>
      </c>
      <c r="AJ21" s="313">
        <v>0</v>
      </c>
      <c r="AK21" s="313">
        <v>0</v>
      </c>
      <c r="AL21" s="313">
        <v>0</v>
      </c>
      <c r="AM21" s="313">
        <v>0</v>
      </c>
      <c r="AN21" s="313">
        <v>0</v>
      </c>
      <c r="AO21" s="313">
        <v>0</v>
      </c>
      <c r="AP21" s="313">
        <v>0</v>
      </c>
      <c r="AQ21" s="313">
        <v>0</v>
      </c>
      <c r="AR21" s="313">
        <v>0</v>
      </c>
      <c r="AS21" s="313" t="s">
        <v>1798</v>
      </c>
      <c r="AT21" s="333">
        <f t="shared" si="7"/>
        <v>4.4499999999999998E-2</v>
      </c>
      <c r="AU21" s="333">
        <v>0.5</v>
      </c>
      <c r="AV21" s="387">
        <f t="shared" si="8"/>
        <v>0.5</v>
      </c>
      <c r="AW21" s="677">
        <v>0.5</v>
      </c>
      <c r="AX21" s="474">
        <f t="shared" si="9"/>
        <v>0.5</v>
      </c>
      <c r="AY21" s="474">
        <f t="shared" si="10"/>
        <v>100</v>
      </c>
      <c r="AZ21" s="474">
        <f t="shared" si="11"/>
        <v>100</v>
      </c>
      <c r="BA21" s="356">
        <f t="shared" si="12"/>
        <v>4.4500000000000005E-2</v>
      </c>
      <c r="BB21" s="356">
        <f t="shared" si="13"/>
        <v>100</v>
      </c>
      <c r="BC21" s="313">
        <v>0</v>
      </c>
      <c r="BD21" s="313">
        <v>0</v>
      </c>
      <c r="BE21" s="313">
        <v>0</v>
      </c>
      <c r="BF21" s="313">
        <v>0</v>
      </c>
      <c r="BG21" s="313">
        <v>0</v>
      </c>
      <c r="BH21" s="313">
        <v>0</v>
      </c>
      <c r="BI21" s="313">
        <v>0</v>
      </c>
      <c r="BJ21" s="313">
        <v>0</v>
      </c>
      <c r="BK21" s="473">
        <v>0</v>
      </c>
      <c r="BL21" s="472">
        <v>0</v>
      </c>
      <c r="BM21" s="472">
        <v>0</v>
      </c>
      <c r="BN21" s="472">
        <v>0</v>
      </c>
      <c r="BO21" s="472">
        <v>0</v>
      </c>
      <c r="BP21" s="472">
        <v>0</v>
      </c>
      <c r="BQ21" s="472">
        <v>0</v>
      </c>
      <c r="BR21" s="472">
        <v>0</v>
      </c>
      <c r="BS21" s="472">
        <v>0</v>
      </c>
      <c r="BT21" s="472">
        <v>0</v>
      </c>
      <c r="BU21" s="472">
        <v>0</v>
      </c>
      <c r="BV21" s="342">
        <f t="shared" si="14"/>
        <v>2.2249999999999999E-2</v>
      </c>
      <c r="BW21" s="350">
        <v>0.25</v>
      </c>
      <c r="BX21" s="385">
        <f t="shared" si="15"/>
        <v>0.25</v>
      </c>
      <c r="BY21" s="369">
        <v>1</v>
      </c>
      <c r="BZ21" s="391">
        <v>0.5</v>
      </c>
      <c r="CA21" s="689">
        <v>0.25</v>
      </c>
      <c r="CB21" s="476">
        <f t="shared" si="16"/>
        <v>0.25</v>
      </c>
      <c r="CC21" s="471">
        <f t="shared" si="17"/>
        <v>100</v>
      </c>
      <c r="CD21" s="470">
        <f t="shared" si="18"/>
        <v>100</v>
      </c>
      <c r="CE21" s="380">
        <f t="shared" si="19"/>
        <v>2.2250000000000002E-2</v>
      </c>
      <c r="CF21" s="469">
        <f t="shared" si="20"/>
        <v>100</v>
      </c>
      <c r="CG21" s="380">
        <f t="shared" si="21"/>
        <v>2.2250000000000002E-2</v>
      </c>
      <c r="CH21" s="468">
        <f t="shared" si="22"/>
        <v>2.2249999999999999E-2</v>
      </c>
      <c r="CI21" s="418">
        <v>0.25</v>
      </c>
      <c r="CJ21" s="318">
        <f t="shared" si="23"/>
        <v>0.25</v>
      </c>
      <c r="CK21" s="1259">
        <v>0.25</v>
      </c>
      <c r="CL21" s="301">
        <f t="shared" si="24"/>
        <v>0</v>
      </c>
      <c r="CM21" s="381">
        <f t="shared" si="25"/>
        <v>0.25</v>
      </c>
      <c r="CN21" s="381">
        <f t="shared" si="26"/>
        <v>100</v>
      </c>
      <c r="CO21" s="316">
        <f t="shared" si="27"/>
        <v>100</v>
      </c>
      <c r="CP21" s="381">
        <f t="shared" si="28"/>
        <v>2.2250000000000002E-2</v>
      </c>
      <c r="CQ21" s="381">
        <f t="shared" si="29"/>
        <v>2.2250000000000002E-2</v>
      </c>
      <c r="CR21" s="313">
        <v>0</v>
      </c>
      <c r="CS21" s="313">
        <v>0</v>
      </c>
      <c r="CT21" s="313">
        <v>0</v>
      </c>
      <c r="CU21" s="313">
        <v>0</v>
      </c>
      <c r="CV21" s="313">
        <v>0</v>
      </c>
      <c r="CW21" s="313">
        <v>0</v>
      </c>
      <c r="CX21" s="313">
        <v>0</v>
      </c>
      <c r="CY21" s="313">
        <v>0</v>
      </c>
      <c r="CZ21" s="380">
        <v>0</v>
      </c>
      <c r="DA21" s="380">
        <v>0</v>
      </c>
      <c r="DB21" s="380">
        <v>0</v>
      </c>
      <c r="DC21" s="380">
        <v>0</v>
      </c>
      <c r="DD21" s="380">
        <v>0</v>
      </c>
      <c r="DE21" s="380">
        <v>0</v>
      </c>
      <c r="DF21" s="380">
        <v>0</v>
      </c>
      <c r="DG21" s="380">
        <v>0</v>
      </c>
      <c r="DH21" s="380">
        <v>0</v>
      </c>
      <c r="DI21" s="380">
        <v>0</v>
      </c>
      <c r="DJ21" s="380">
        <v>0</v>
      </c>
      <c r="DK21" s="702">
        <f t="shared" si="30"/>
        <v>1</v>
      </c>
      <c r="DL21" s="311">
        <f t="shared" si="31"/>
        <v>8.8999999999999996E-2</v>
      </c>
      <c r="DM21" s="310">
        <f t="shared" si="32"/>
        <v>100</v>
      </c>
      <c r="DN21" s="356">
        <f t="shared" si="33"/>
        <v>100</v>
      </c>
      <c r="DO21" s="308">
        <f t="shared" si="34"/>
        <v>8.900000000000001E-2</v>
      </c>
      <c r="DP21" s="359">
        <f>+IF(((DN21*Q21)/100)&lt;Q21, ((DN21*Q21)/100),Q21)</f>
        <v>8.8999999999999996E-2</v>
      </c>
      <c r="DQ21" s="306">
        <f t="shared" si="35"/>
        <v>8.8999999999999996E-2</v>
      </c>
      <c r="DR21" s="379">
        <f t="shared" si="36"/>
        <v>1</v>
      </c>
      <c r="DS21" s="378">
        <f t="shared" si="37"/>
        <v>0</v>
      </c>
      <c r="DT21" s="173">
        <v>9</v>
      </c>
      <c r="DU21" s="174" t="s">
        <v>193</v>
      </c>
      <c r="DV21" s="173"/>
      <c r="DW21" s="174" t="s">
        <v>84</v>
      </c>
      <c r="DX21" s="173"/>
      <c r="DY21" s="173"/>
      <c r="DZ21" s="173"/>
      <c r="EA21" s="665"/>
      <c r="EB21" s="1253" t="s">
        <v>2425</v>
      </c>
      <c r="EC21" s="537">
        <v>0</v>
      </c>
      <c r="EE21" s="733">
        <v>116</v>
      </c>
      <c r="EF21" s="706"/>
    </row>
    <row r="22" spans="4:136" s="302" customFormat="1" ht="156" hidden="1">
      <c r="D22" s="520">
        <v>19</v>
      </c>
      <c r="E22" s="534">
        <v>28</v>
      </c>
      <c r="F22" s="523" t="s">
        <v>43</v>
      </c>
      <c r="G22" s="523" t="s">
        <v>7</v>
      </c>
      <c r="H22" s="524" t="s">
        <v>2651</v>
      </c>
      <c r="I22" s="462" t="s">
        <v>207</v>
      </c>
      <c r="J22" s="335" t="s">
        <v>208</v>
      </c>
      <c r="K22" s="335" t="s">
        <v>209</v>
      </c>
      <c r="L22" s="454" t="s">
        <v>1415</v>
      </c>
      <c r="M22" s="333" t="s">
        <v>1785</v>
      </c>
      <c r="N22" s="333">
        <v>0</v>
      </c>
      <c r="O22" s="333">
        <f>+P22</f>
        <v>116</v>
      </c>
      <c r="P22" s="332">
        <v>116</v>
      </c>
      <c r="Q22" s="357">
        <v>0.16500000000000001</v>
      </c>
      <c r="R22" s="342">
        <f t="shared" si="0"/>
        <v>4.1250000000000002E-2</v>
      </c>
      <c r="S22" s="459">
        <v>116</v>
      </c>
      <c r="T22" s="387">
        <f t="shared" si="1"/>
        <v>0.25</v>
      </c>
      <c r="U22" s="670">
        <v>92</v>
      </c>
      <c r="V22" s="388">
        <f t="shared" si="2"/>
        <v>23</v>
      </c>
      <c r="W22" s="356">
        <f t="shared" si="3"/>
        <v>79.310344827586206</v>
      </c>
      <c r="X22" s="356">
        <f t="shared" si="4"/>
        <v>79.310344827586206</v>
      </c>
      <c r="Y22" s="356">
        <f t="shared" si="40"/>
        <v>3.2715517241379312E-2</v>
      </c>
      <c r="Z22" s="356">
        <f t="shared" si="6"/>
        <v>79.310344827586206</v>
      </c>
      <c r="AA22" s="313">
        <v>11000000</v>
      </c>
      <c r="AB22" s="313">
        <v>11000000</v>
      </c>
      <c r="AC22" s="313">
        <v>0</v>
      </c>
      <c r="AD22" s="313">
        <v>0</v>
      </c>
      <c r="AE22" s="313">
        <v>0</v>
      </c>
      <c r="AF22" s="313">
        <v>0</v>
      </c>
      <c r="AG22" s="313">
        <v>0</v>
      </c>
      <c r="AH22" s="313">
        <v>0</v>
      </c>
      <c r="AI22" s="313">
        <v>23000000</v>
      </c>
      <c r="AJ22" s="313">
        <v>23000000</v>
      </c>
      <c r="AK22" s="313">
        <v>0</v>
      </c>
      <c r="AL22" s="313">
        <v>0</v>
      </c>
      <c r="AM22" s="313">
        <v>0</v>
      </c>
      <c r="AN22" s="313">
        <v>0</v>
      </c>
      <c r="AO22" s="313">
        <v>0</v>
      </c>
      <c r="AP22" s="313">
        <v>0</v>
      </c>
      <c r="AQ22" s="313">
        <v>0</v>
      </c>
      <c r="AR22" s="313">
        <v>0</v>
      </c>
      <c r="AS22" s="313" t="s">
        <v>1798</v>
      </c>
      <c r="AT22" s="333">
        <f t="shared" si="7"/>
        <v>4.1250000000000002E-2</v>
      </c>
      <c r="AU22" s="333">
        <v>116</v>
      </c>
      <c r="AV22" s="387">
        <f t="shared" si="8"/>
        <v>0.25</v>
      </c>
      <c r="AW22" s="677">
        <v>53</v>
      </c>
      <c r="AX22" s="474">
        <f t="shared" si="9"/>
        <v>13.25</v>
      </c>
      <c r="AY22" s="474">
        <f t="shared" si="10"/>
        <v>45.689655172413794</v>
      </c>
      <c r="AZ22" s="474">
        <f t="shared" si="11"/>
        <v>45.689655172413794</v>
      </c>
      <c r="BA22" s="356">
        <f t="shared" si="12"/>
        <v>1.8846982758620692E-2</v>
      </c>
      <c r="BB22" s="356">
        <f t="shared" si="13"/>
        <v>45.689655172413794</v>
      </c>
      <c r="BC22" s="313">
        <v>8000000</v>
      </c>
      <c r="BD22" s="313">
        <v>0</v>
      </c>
      <c r="BE22" s="313">
        <v>8000000</v>
      </c>
      <c r="BF22" s="313">
        <v>0</v>
      </c>
      <c r="BG22" s="313">
        <v>0</v>
      </c>
      <c r="BH22" s="313">
        <v>0</v>
      </c>
      <c r="BI22" s="313">
        <v>0</v>
      </c>
      <c r="BJ22" s="313">
        <v>0</v>
      </c>
      <c r="BK22" s="473">
        <v>28000000</v>
      </c>
      <c r="BL22" s="472">
        <v>28000000</v>
      </c>
      <c r="BM22" s="472">
        <v>0</v>
      </c>
      <c r="BN22" s="472">
        <v>0</v>
      </c>
      <c r="BO22" s="472">
        <v>0</v>
      </c>
      <c r="BP22" s="472">
        <v>0</v>
      </c>
      <c r="BQ22" s="472">
        <v>0</v>
      </c>
      <c r="BR22" s="472">
        <v>0</v>
      </c>
      <c r="BS22" s="472">
        <v>0</v>
      </c>
      <c r="BT22" s="472">
        <v>0</v>
      </c>
      <c r="BU22" s="472">
        <v>0</v>
      </c>
      <c r="BV22" s="342">
        <f t="shared" si="14"/>
        <v>4.1250000000000002E-2</v>
      </c>
      <c r="BW22" s="350">
        <v>116</v>
      </c>
      <c r="BX22" s="385">
        <f t="shared" si="15"/>
        <v>0.25</v>
      </c>
      <c r="BY22" s="399">
        <v>0</v>
      </c>
      <c r="BZ22" s="398">
        <v>116</v>
      </c>
      <c r="CA22" s="690">
        <v>116</v>
      </c>
      <c r="CB22" s="471">
        <f t="shared" si="16"/>
        <v>29</v>
      </c>
      <c r="CC22" s="471">
        <f t="shared" si="17"/>
        <v>100</v>
      </c>
      <c r="CD22" s="470">
        <f t="shared" si="18"/>
        <v>100</v>
      </c>
      <c r="CE22" s="380">
        <f t="shared" si="19"/>
        <v>4.1250000000000002E-2</v>
      </c>
      <c r="CF22" s="469">
        <f t="shared" si="20"/>
        <v>100</v>
      </c>
      <c r="CG22" s="380">
        <f t="shared" si="21"/>
        <v>4.1250000000000002E-2</v>
      </c>
      <c r="CH22" s="468">
        <f t="shared" si="22"/>
        <v>4.1250000000000002E-2</v>
      </c>
      <c r="CI22" s="319">
        <v>116</v>
      </c>
      <c r="CJ22" s="318">
        <f t="shared" si="23"/>
        <v>0.25</v>
      </c>
      <c r="CK22" s="1259">
        <v>116</v>
      </c>
      <c r="CL22" s="301">
        <f t="shared" si="24"/>
        <v>0</v>
      </c>
      <c r="CM22" s="381">
        <f t="shared" si="25"/>
        <v>29</v>
      </c>
      <c r="CN22" s="381">
        <f t="shared" si="26"/>
        <v>100</v>
      </c>
      <c r="CO22" s="381">
        <f t="shared" si="27"/>
        <v>100</v>
      </c>
      <c r="CP22" s="381">
        <f t="shared" si="28"/>
        <v>4.1250000000000002E-2</v>
      </c>
      <c r="CQ22" s="381">
        <f t="shared" si="29"/>
        <v>4.1250000000000002E-2</v>
      </c>
      <c r="CR22" s="313">
        <v>18000000</v>
      </c>
      <c r="CS22" s="313">
        <v>18000000</v>
      </c>
      <c r="CT22" s="313">
        <v>0</v>
      </c>
      <c r="CU22" s="313">
        <v>0</v>
      </c>
      <c r="CV22" s="313">
        <v>0</v>
      </c>
      <c r="CW22" s="313">
        <v>0</v>
      </c>
      <c r="CX22" s="313">
        <v>0</v>
      </c>
      <c r="CY22" s="313">
        <v>0</v>
      </c>
      <c r="CZ22" s="380">
        <v>0</v>
      </c>
      <c r="DA22" s="380">
        <v>0</v>
      </c>
      <c r="DB22" s="380">
        <v>0</v>
      </c>
      <c r="DC22" s="380">
        <v>0</v>
      </c>
      <c r="DD22" s="380">
        <v>0</v>
      </c>
      <c r="DE22" s="380">
        <v>0</v>
      </c>
      <c r="DF22" s="380">
        <v>0</v>
      </c>
      <c r="DG22" s="380">
        <v>0</v>
      </c>
      <c r="DH22" s="380">
        <v>0</v>
      </c>
      <c r="DI22" s="380">
        <v>0</v>
      </c>
      <c r="DJ22" s="380">
        <v>0</v>
      </c>
      <c r="DK22" s="702">
        <f t="shared" si="30"/>
        <v>94.25</v>
      </c>
      <c r="DL22" s="311">
        <f t="shared" si="31"/>
        <v>0.16500000000000001</v>
      </c>
      <c r="DM22" s="310">
        <f t="shared" si="32"/>
        <v>81.25</v>
      </c>
      <c r="DN22" s="356">
        <f t="shared" si="33"/>
        <v>81.25</v>
      </c>
      <c r="DO22" s="308">
        <f t="shared" si="34"/>
        <v>0.1340625</v>
      </c>
      <c r="DP22" s="359">
        <f>+IF(M22="M",DO22,0)</f>
        <v>0.1340625</v>
      </c>
      <c r="DQ22" s="306">
        <f t="shared" si="35"/>
        <v>0.1340625</v>
      </c>
      <c r="DR22" s="379">
        <f t="shared" si="36"/>
        <v>1</v>
      </c>
      <c r="DS22" s="378">
        <f t="shared" si="37"/>
        <v>0</v>
      </c>
      <c r="DT22" s="173">
        <v>9</v>
      </c>
      <c r="DU22" s="174" t="s">
        <v>193</v>
      </c>
      <c r="DV22" s="173">
        <v>10</v>
      </c>
      <c r="DW22" s="174" t="s">
        <v>140</v>
      </c>
      <c r="DX22" s="173">
        <v>39</v>
      </c>
      <c r="DY22" s="173">
        <v>40</v>
      </c>
      <c r="DZ22" s="173"/>
      <c r="EA22" s="665"/>
      <c r="EB22" s="1253" t="s">
        <v>2426</v>
      </c>
      <c r="EC22" s="537">
        <v>60000000</v>
      </c>
      <c r="EE22" s="740">
        <v>100</v>
      </c>
      <c r="EF22" s="706"/>
    </row>
    <row r="23" spans="4:136" s="302" customFormat="1" ht="51" hidden="1">
      <c r="D23" s="520">
        <v>20</v>
      </c>
      <c r="E23" s="534">
        <v>31</v>
      </c>
      <c r="F23" s="523" t="s">
        <v>43</v>
      </c>
      <c r="G23" s="523" t="s">
        <v>7</v>
      </c>
      <c r="H23" s="524" t="s">
        <v>2651</v>
      </c>
      <c r="I23" s="462" t="s">
        <v>210</v>
      </c>
      <c r="J23" s="335" t="s">
        <v>211</v>
      </c>
      <c r="K23" s="335" t="s">
        <v>212</v>
      </c>
      <c r="L23" s="454" t="s">
        <v>1954</v>
      </c>
      <c r="M23" s="333" t="s">
        <v>1771</v>
      </c>
      <c r="N23" s="333">
        <v>0</v>
      </c>
      <c r="O23" s="333">
        <f>+N23+P23</f>
        <v>4</v>
      </c>
      <c r="P23" s="332">
        <v>4</v>
      </c>
      <c r="Q23" s="357">
        <v>0.16500000000000001</v>
      </c>
      <c r="R23" s="342">
        <f t="shared" si="0"/>
        <v>4.1250000000000002E-2</v>
      </c>
      <c r="S23" s="459">
        <v>1</v>
      </c>
      <c r="T23" s="387">
        <f t="shared" si="1"/>
        <v>0.25</v>
      </c>
      <c r="U23" s="670">
        <v>0</v>
      </c>
      <c r="V23" s="388">
        <f t="shared" si="2"/>
        <v>0</v>
      </c>
      <c r="W23" s="356">
        <f t="shared" si="3"/>
        <v>0</v>
      </c>
      <c r="X23" s="356">
        <f t="shared" si="4"/>
        <v>0</v>
      </c>
      <c r="Y23" s="356">
        <f t="shared" si="40"/>
        <v>0</v>
      </c>
      <c r="Z23" s="356">
        <f t="shared" si="6"/>
        <v>0</v>
      </c>
      <c r="AA23" s="313">
        <v>27000000</v>
      </c>
      <c r="AB23" s="313">
        <v>27000000</v>
      </c>
      <c r="AC23" s="313">
        <v>0</v>
      </c>
      <c r="AD23" s="313">
        <v>0</v>
      </c>
      <c r="AE23" s="313">
        <v>0</v>
      </c>
      <c r="AF23" s="313">
        <v>0</v>
      </c>
      <c r="AG23" s="313">
        <v>0</v>
      </c>
      <c r="AH23" s="313">
        <v>0</v>
      </c>
      <c r="AI23" s="313">
        <v>0</v>
      </c>
      <c r="AJ23" s="313">
        <v>0</v>
      </c>
      <c r="AK23" s="313">
        <v>0</v>
      </c>
      <c r="AL23" s="313">
        <v>0</v>
      </c>
      <c r="AM23" s="313">
        <v>0</v>
      </c>
      <c r="AN23" s="313">
        <v>0</v>
      </c>
      <c r="AO23" s="313">
        <v>0</v>
      </c>
      <c r="AP23" s="313">
        <v>0</v>
      </c>
      <c r="AQ23" s="313">
        <v>0</v>
      </c>
      <c r="AR23" s="313">
        <v>0</v>
      </c>
      <c r="AS23" s="313" t="s">
        <v>1798</v>
      </c>
      <c r="AT23" s="333">
        <f t="shared" si="7"/>
        <v>4.1250000000000002E-2</v>
      </c>
      <c r="AU23" s="333">
        <v>1</v>
      </c>
      <c r="AV23" s="387">
        <f t="shared" si="8"/>
        <v>0.25</v>
      </c>
      <c r="AW23" s="677">
        <v>2</v>
      </c>
      <c r="AX23" s="474">
        <f t="shared" si="9"/>
        <v>2</v>
      </c>
      <c r="AY23" s="474">
        <f t="shared" si="10"/>
        <v>200</v>
      </c>
      <c r="AZ23" s="474">
        <f t="shared" si="11"/>
        <v>100</v>
      </c>
      <c r="BA23" s="356">
        <f t="shared" si="12"/>
        <v>4.1250000000000002E-2</v>
      </c>
      <c r="BB23" s="356">
        <f t="shared" si="13"/>
        <v>100</v>
      </c>
      <c r="BC23" s="313">
        <v>20000000</v>
      </c>
      <c r="BD23" s="313">
        <v>0</v>
      </c>
      <c r="BE23" s="313">
        <v>20000000</v>
      </c>
      <c r="BF23" s="313">
        <v>0</v>
      </c>
      <c r="BG23" s="313">
        <v>0</v>
      </c>
      <c r="BH23" s="313">
        <v>0</v>
      </c>
      <c r="BI23" s="313">
        <v>0</v>
      </c>
      <c r="BJ23" s="313">
        <v>0</v>
      </c>
      <c r="BK23" s="473">
        <v>30000000</v>
      </c>
      <c r="BL23" s="472">
        <v>30000000</v>
      </c>
      <c r="BM23" s="472">
        <v>0</v>
      </c>
      <c r="BN23" s="472">
        <v>0</v>
      </c>
      <c r="BO23" s="472">
        <v>0</v>
      </c>
      <c r="BP23" s="472">
        <v>0</v>
      </c>
      <c r="BQ23" s="472">
        <v>0</v>
      </c>
      <c r="BR23" s="472">
        <v>0</v>
      </c>
      <c r="BS23" s="472">
        <v>0</v>
      </c>
      <c r="BT23" s="472">
        <v>0</v>
      </c>
      <c r="BU23" s="472">
        <v>0</v>
      </c>
      <c r="BV23" s="342">
        <f t="shared" si="14"/>
        <v>4.1250000000000002E-2</v>
      </c>
      <c r="BW23" s="350">
        <v>1</v>
      </c>
      <c r="BX23" s="385">
        <f t="shared" si="15"/>
        <v>0.25</v>
      </c>
      <c r="BY23" s="399">
        <v>0</v>
      </c>
      <c r="BZ23" s="398">
        <v>1</v>
      </c>
      <c r="CA23" s="690">
        <v>1</v>
      </c>
      <c r="CB23" s="471">
        <f t="shared" si="16"/>
        <v>1</v>
      </c>
      <c r="CC23" s="471">
        <f t="shared" si="17"/>
        <v>100</v>
      </c>
      <c r="CD23" s="470">
        <f t="shared" si="18"/>
        <v>100</v>
      </c>
      <c r="CE23" s="380">
        <f t="shared" si="19"/>
        <v>4.1250000000000002E-2</v>
      </c>
      <c r="CF23" s="469">
        <f t="shared" si="20"/>
        <v>100</v>
      </c>
      <c r="CG23" s="380">
        <f t="shared" si="21"/>
        <v>4.1250000000000002E-2</v>
      </c>
      <c r="CH23" s="468">
        <f t="shared" si="22"/>
        <v>4.1250000000000002E-2</v>
      </c>
      <c r="CI23" s="319">
        <v>1</v>
      </c>
      <c r="CJ23" s="318">
        <f t="shared" si="23"/>
        <v>0.25</v>
      </c>
      <c r="CK23" s="1259">
        <v>1</v>
      </c>
      <c r="CL23" s="301">
        <f t="shared" si="24"/>
        <v>0</v>
      </c>
      <c r="CM23" s="381">
        <f t="shared" si="25"/>
        <v>1</v>
      </c>
      <c r="CN23" s="381">
        <f t="shared" si="26"/>
        <v>100</v>
      </c>
      <c r="CO23" s="316">
        <f t="shared" si="27"/>
        <v>100</v>
      </c>
      <c r="CP23" s="381">
        <f t="shared" si="28"/>
        <v>4.1250000000000002E-2</v>
      </c>
      <c r="CQ23" s="381">
        <f t="shared" si="29"/>
        <v>4.1250000000000002E-2</v>
      </c>
      <c r="CR23" s="313">
        <v>45000000</v>
      </c>
      <c r="CS23" s="313">
        <v>45000000</v>
      </c>
      <c r="CT23" s="313">
        <v>0</v>
      </c>
      <c r="CU23" s="313">
        <v>0</v>
      </c>
      <c r="CV23" s="313">
        <v>0</v>
      </c>
      <c r="CW23" s="313">
        <v>0</v>
      </c>
      <c r="CX23" s="313">
        <v>0</v>
      </c>
      <c r="CY23" s="313">
        <v>0</v>
      </c>
      <c r="CZ23" s="380">
        <v>0</v>
      </c>
      <c r="DA23" s="380">
        <v>0</v>
      </c>
      <c r="DB23" s="380">
        <v>0</v>
      </c>
      <c r="DC23" s="380">
        <v>0</v>
      </c>
      <c r="DD23" s="380">
        <v>0</v>
      </c>
      <c r="DE23" s="380">
        <v>0</v>
      </c>
      <c r="DF23" s="380">
        <v>0</v>
      </c>
      <c r="DG23" s="380">
        <v>0</v>
      </c>
      <c r="DH23" s="380">
        <v>0</v>
      </c>
      <c r="DI23" s="380">
        <v>0</v>
      </c>
      <c r="DJ23" s="380">
        <v>0</v>
      </c>
      <c r="DK23" s="702">
        <f t="shared" si="30"/>
        <v>4</v>
      </c>
      <c r="DL23" s="311">
        <f t="shared" si="31"/>
        <v>0.16500000000000001</v>
      </c>
      <c r="DM23" s="310">
        <f t="shared" si="32"/>
        <v>100</v>
      </c>
      <c r="DN23" s="356">
        <f t="shared" si="33"/>
        <v>100</v>
      </c>
      <c r="DO23" s="308">
        <f t="shared" si="34"/>
        <v>0.16500000000000001</v>
      </c>
      <c r="DP23" s="359">
        <f>+IF(((DN23*Q23)/100)&lt;Q23, ((DN23*Q23)/100),Q23)</f>
        <v>0.16500000000000001</v>
      </c>
      <c r="DQ23" s="306">
        <f t="shared" si="35"/>
        <v>0.16500000000000001</v>
      </c>
      <c r="DR23" s="379">
        <f t="shared" si="36"/>
        <v>1</v>
      </c>
      <c r="DS23" s="378">
        <f t="shared" si="37"/>
        <v>0</v>
      </c>
      <c r="DT23" s="173">
        <v>1</v>
      </c>
      <c r="DU23" s="174" t="s">
        <v>186</v>
      </c>
      <c r="DV23" s="173"/>
      <c r="DW23" s="174" t="s">
        <v>84</v>
      </c>
      <c r="DX23" s="173"/>
      <c r="DY23" s="173"/>
      <c r="DZ23" s="173"/>
      <c r="EA23" s="665"/>
      <c r="EB23" s="1253" t="s">
        <v>2427</v>
      </c>
      <c r="EC23" s="537">
        <v>24000000</v>
      </c>
      <c r="EE23" s="735">
        <v>100</v>
      </c>
      <c r="EF23" s="706"/>
    </row>
    <row r="24" spans="4:136" s="302" customFormat="1" ht="63.75" hidden="1">
      <c r="D24" s="520">
        <v>21</v>
      </c>
      <c r="E24" s="534">
        <v>32</v>
      </c>
      <c r="F24" s="523" t="s">
        <v>43</v>
      </c>
      <c r="G24" s="523" t="s">
        <v>9</v>
      </c>
      <c r="H24" s="524" t="s">
        <v>2651</v>
      </c>
      <c r="I24" s="462" t="s">
        <v>210</v>
      </c>
      <c r="J24" s="335" t="s">
        <v>213</v>
      </c>
      <c r="K24" s="335" t="s">
        <v>214</v>
      </c>
      <c r="L24" s="453" t="s">
        <v>1947</v>
      </c>
      <c r="M24" s="333" t="s">
        <v>1785</v>
      </c>
      <c r="N24" s="333">
        <v>100</v>
      </c>
      <c r="O24" s="333">
        <f>+P24</f>
        <v>100</v>
      </c>
      <c r="P24" s="332">
        <v>100</v>
      </c>
      <c r="Q24" s="357">
        <v>0.16500000000000001</v>
      </c>
      <c r="R24" s="342">
        <f t="shared" si="0"/>
        <v>4.1250000000000002E-2</v>
      </c>
      <c r="S24" s="459">
        <v>100</v>
      </c>
      <c r="T24" s="387">
        <f t="shared" si="1"/>
        <v>0.25</v>
      </c>
      <c r="U24" s="670">
        <v>100</v>
      </c>
      <c r="V24" s="388">
        <f t="shared" si="2"/>
        <v>25</v>
      </c>
      <c r="W24" s="356">
        <f t="shared" si="3"/>
        <v>100</v>
      </c>
      <c r="X24" s="356">
        <f t="shared" si="4"/>
        <v>100</v>
      </c>
      <c r="Y24" s="356">
        <f t="shared" si="40"/>
        <v>4.1250000000000002E-2</v>
      </c>
      <c r="Z24" s="356">
        <f t="shared" si="6"/>
        <v>100</v>
      </c>
      <c r="AA24" s="313">
        <v>0</v>
      </c>
      <c r="AB24" s="313">
        <v>0</v>
      </c>
      <c r="AC24" s="313">
        <v>0</v>
      </c>
      <c r="AD24" s="313">
        <v>0</v>
      </c>
      <c r="AE24" s="313">
        <v>0</v>
      </c>
      <c r="AF24" s="313">
        <v>0</v>
      </c>
      <c r="AG24" s="313">
        <v>0</v>
      </c>
      <c r="AH24" s="313">
        <v>0</v>
      </c>
      <c r="AI24" s="313">
        <v>0</v>
      </c>
      <c r="AJ24" s="313">
        <v>0</v>
      </c>
      <c r="AK24" s="313">
        <v>0</v>
      </c>
      <c r="AL24" s="313">
        <v>0</v>
      </c>
      <c r="AM24" s="313">
        <v>0</v>
      </c>
      <c r="AN24" s="313">
        <v>0</v>
      </c>
      <c r="AO24" s="313">
        <v>0</v>
      </c>
      <c r="AP24" s="313">
        <v>0</v>
      </c>
      <c r="AQ24" s="313">
        <v>0</v>
      </c>
      <c r="AR24" s="313">
        <v>0</v>
      </c>
      <c r="AS24" s="313" t="s">
        <v>1798</v>
      </c>
      <c r="AT24" s="333">
        <f t="shared" si="7"/>
        <v>4.1250000000000002E-2</v>
      </c>
      <c r="AU24" s="333">
        <v>100</v>
      </c>
      <c r="AV24" s="387">
        <f t="shared" si="8"/>
        <v>0.25</v>
      </c>
      <c r="AW24" s="677">
        <v>5</v>
      </c>
      <c r="AX24" s="474">
        <f t="shared" si="9"/>
        <v>1.25</v>
      </c>
      <c r="AY24" s="474">
        <f t="shared" si="10"/>
        <v>5</v>
      </c>
      <c r="AZ24" s="474">
        <f t="shared" si="11"/>
        <v>5</v>
      </c>
      <c r="BA24" s="356">
        <f t="shared" si="12"/>
        <v>2.0625000000000001E-3</v>
      </c>
      <c r="BB24" s="356">
        <f t="shared" si="13"/>
        <v>5</v>
      </c>
      <c r="BC24" s="313">
        <v>20000000</v>
      </c>
      <c r="BD24" s="313">
        <v>0</v>
      </c>
      <c r="BE24" s="313">
        <v>20000000</v>
      </c>
      <c r="BF24" s="313">
        <v>0</v>
      </c>
      <c r="BG24" s="313">
        <v>0</v>
      </c>
      <c r="BH24" s="313">
        <v>0</v>
      </c>
      <c r="BI24" s="313">
        <v>0</v>
      </c>
      <c r="BJ24" s="313">
        <v>0</v>
      </c>
      <c r="BK24" s="473">
        <v>20000000</v>
      </c>
      <c r="BL24" s="472">
        <v>20000000</v>
      </c>
      <c r="BM24" s="472">
        <v>0</v>
      </c>
      <c r="BN24" s="472">
        <v>0</v>
      </c>
      <c r="BO24" s="472">
        <v>0</v>
      </c>
      <c r="BP24" s="472">
        <v>0</v>
      </c>
      <c r="BQ24" s="472">
        <v>0</v>
      </c>
      <c r="BR24" s="472">
        <v>0</v>
      </c>
      <c r="BS24" s="472">
        <v>0</v>
      </c>
      <c r="BT24" s="472">
        <v>0</v>
      </c>
      <c r="BU24" s="472">
        <v>0</v>
      </c>
      <c r="BV24" s="342">
        <f t="shared" si="14"/>
        <v>4.1250000000000002E-2</v>
      </c>
      <c r="BW24" s="350">
        <v>100</v>
      </c>
      <c r="BX24" s="385">
        <f t="shared" si="15"/>
        <v>0.25</v>
      </c>
      <c r="BY24" s="369">
        <v>100</v>
      </c>
      <c r="BZ24" s="391">
        <v>100</v>
      </c>
      <c r="CA24" s="689">
        <v>100</v>
      </c>
      <c r="CB24" s="471">
        <f t="shared" si="16"/>
        <v>25</v>
      </c>
      <c r="CC24" s="471">
        <f t="shared" si="17"/>
        <v>100</v>
      </c>
      <c r="CD24" s="470">
        <f t="shared" si="18"/>
        <v>100</v>
      </c>
      <c r="CE24" s="380">
        <f t="shared" si="19"/>
        <v>4.1250000000000002E-2</v>
      </c>
      <c r="CF24" s="469">
        <f t="shared" si="20"/>
        <v>100</v>
      </c>
      <c r="CG24" s="380">
        <f t="shared" si="21"/>
        <v>4.1250000000000002E-2</v>
      </c>
      <c r="CH24" s="468">
        <f t="shared" si="22"/>
        <v>4.1250000000000002E-2</v>
      </c>
      <c r="CI24" s="319">
        <v>100</v>
      </c>
      <c r="CJ24" s="318">
        <f t="shared" si="23"/>
        <v>0.25</v>
      </c>
      <c r="CK24" s="1259">
        <v>100</v>
      </c>
      <c r="CL24" s="301">
        <f t="shared" si="24"/>
        <v>0</v>
      </c>
      <c r="CM24" s="381">
        <f t="shared" si="25"/>
        <v>25</v>
      </c>
      <c r="CN24" s="381">
        <f t="shared" si="26"/>
        <v>100</v>
      </c>
      <c r="CO24" s="381">
        <f t="shared" si="27"/>
        <v>100</v>
      </c>
      <c r="CP24" s="381">
        <f t="shared" si="28"/>
        <v>4.1250000000000002E-2</v>
      </c>
      <c r="CQ24" s="381">
        <f t="shared" si="29"/>
        <v>4.1250000000000002E-2</v>
      </c>
      <c r="CR24" s="313">
        <v>0</v>
      </c>
      <c r="CS24" s="313">
        <v>0</v>
      </c>
      <c r="CT24" s="313">
        <v>0</v>
      </c>
      <c r="CU24" s="313">
        <v>0</v>
      </c>
      <c r="CV24" s="313">
        <v>0</v>
      </c>
      <c r="CW24" s="313">
        <v>0</v>
      </c>
      <c r="CX24" s="313">
        <v>0</v>
      </c>
      <c r="CY24" s="313">
        <v>0</v>
      </c>
      <c r="CZ24" s="380">
        <v>0</v>
      </c>
      <c r="DA24" s="380">
        <v>0</v>
      </c>
      <c r="DB24" s="380">
        <v>0</v>
      </c>
      <c r="DC24" s="380">
        <v>0</v>
      </c>
      <c r="DD24" s="380">
        <v>0</v>
      </c>
      <c r="DE24" s="380">
        <v>0</v>
      </c>
      <c r="DF24" s="380">
        <v>0</v>
      </c>
      <c r="DG24" s="380">
        <v>0</v>
      </c>
      <c r="DH24" s="380">
        <v>0</v>
      </c>
      <c r="DI24" s="380">
        <v>0</v>
      </c>
      <c r="DJ24" s="380">
        <v>0</v>
      </c>
      <c r="DK24" s="702">
        <f t="shared" si="30"/>
        <v>76.25</v>
      </c>
      <c r="DL24" s="311">
        <f t="shared" si="31"/>
        <v>0.16500000000000001</v>
      </c>
      <c r="DM24" s="310">
        <f t="shared" si="32"/>
        <v>76.25</v>
      </c>
      <c r="DN24" s="356">
        <f t="shared" si="33"/>
        <v>76.25</v>
      </c>
      <c r="DO24" s="308">
        <f t="shared" si="34"/>
        <v>0.12581249999999999</v>
      </c>
      <c r="DP24" s="359">
        <f>+IF(M24="M",DO24,0)</f>
        <v>0.12581249999999999</v>
      </c>
      <c r="DQ24" s="306">
        <f t="shared" si="35"/>
        <v>0.12581249999999999</v>
      </c>
      <c r="DR24" s="379">
        <f t="shared" si="36"/>
        <v>1</v>
      </c>
      <c r="DS24" s="378">
        <f t="shared" si="37"/>
        <v>0</v>
      </c>
      <c r="DT24" s="173">
        <v>1</v>
      </c>
      <c r="DU24" s="174" t="s">
        <v>186</v>
      </c>
      <c r="DV24" s="173"/>
      <c r="DW24" s="174" t="s">
        <v>84</v>
      </c>
      <c r="DX24" s="173"/>
      <c r="DY24" s="173"/>
      <c r="DZ24" s="173"/>
      <c r="EA24" s="665"/>
      <c r="EB24" s="1253" t="s">
        <v>2085</v>
      </c>
      <c r="EC24" s="537">
        <v>0</v>
      </c>
      <c r="EE24" s="734">
        <v>1</v>
      </c>
      <c r="EF24" s="706"/>
    </row>
    <row r="25" spans="4:136" s="302" customFormat="1" ht="89.25" hidden="1">
      <c r="D25" s="520">
        <v>22</v>
      </c>
      <c r="E25" s="534">
        <v>41</v>
      </c>
      <c r="F25" s="523" t="s">
        <v>43</v>
      </c>
      <c r="G25" s="523" t="s">
        <v>10</v>
      </c>
      <c r="H25" s="524" t="s">
        <v>2652</v>
      </c>
      <c r="I25" s="462" t="s">
        <v>171</v>
      </c>
      <c r="J25" s="335" t="s">
        <v>215</v>
      </c>
      <c r="K25" s="335" t="s">
        <v>216</v>
      </c>
      <c r="L25" s="454" t="s">
        <v>1832</v>
      </c>
      <c r="M25" s="333" t="s">
        <v>1771</v>
      </c>
      <c r="N25" s="333">
        <v>0</v>
      </c>
      <c r="O25" s="333">
        <f>+N25+P25</f>
        <v>64</v>
      </c>
      <c r="P25" s="332">
        <v>64</v>
      </c>
      <c r="Q25" s="357">
        <v>0.25</v>
      </c>
      <c r="R25" s="342">
        <f t="shared" si="0"/>
        <v>5.078125E-2</v>
      </c>
      <c r="S25" s="459">
        <v>13</v>
      </c>
      <c r="T25" s="387">
        <f t="shared" si="1"/>
        <v>0.203125</v>
      </c>
      <c r="U25" s="670">
        <v>13</v>
      </c>
      <c r="V25" s="388">
        <f t="shared" si="2"/>
        <v>13</v>
      </c>
      <c r="W25" s="356">
        <f t="shared" si="3"/>
        <v>100</v>
      </c>
      <c r="X25" s="356">
        <f t="shared" si="4"/>
        <v>100</v>
      </c>
      <c r="Y25" s="356">
        <f t="shared" si="40"/>
        <v>5.078125E-2</v>
      </c>
      <c r="Z25" s="356">
        <f t="shared" si="6"/>
        <v>100</v>
      </c>
      <c r="AA25" s="313">
        <v>837000000</v>
      </c>
      <c r="AB25" s="313">
        <v>180000000</v>
      </c>
      <c r="AC25" s="313">
        <v>657000000</v>
      </c>
      <c r="AD25" s="313">
        <v>0</v>
      </c>
      <c r="AE25" s="313">
        <v>0</v>
      </c>
      <c r="AF25" s="313">
        <v>0</v>
      </c>
      <c r="AG25" s="313">
        <v>0</v>
      </c>
      <c r="AH25" s="313">
        <v>0</v>
      </c>
      <c r="AI25" s="313">
        <v>611954000</v>
      </c>
      <c r="AJ25" s="313">
        <v>186634000</v>
      </c>
      <c r="AK25" s="313">
        <v>300620000</v>
      </c>
      <c r="AL25" s="313">
        <v>0</v>
      </c>
      <c r="AM25" s="313">
        <v>0</v>
      </c>
      <c r="AN25" s="313">
        <v>0</v>
      </c>
      <c r="AO25" s="313">
        <v>0</v>
      </c>
      <c r="AP25" s="313">
        <v>124700000</v>
      </c>
      <c r="AQ25" s="313">
        <v>0</v>
      </c>
      <c r="AR25" s="313">
        <v>0</v>
      </c>
      <c r="AS25" s="313" t="s">
        <v>1798</v>
      </c>
      <c r="AT25" s="333">
        <f t="shared" si="7"/>
        <v>5.078125E-2</v>
      </c>
      <c r="AU25" s="333">
        <v>13</v>
      </c>
      <c r="AV25" s="387">
        <f t="shared" si="8"/>
        <v>0.203125</v>
      </c>
      <c r="AW25" s="677">
        <v>13</v>
      </c>
      <c r="AX25" s="474">
        <f t="shared" si="9"/>
        <v>13</v>
      </c>
      <c r="AY25" s="474">
        <f t="shared" si="10"/>
        <v>100</v>
      </c>
      <c r="AZ25" s="474">
        <f t="shared" si="11"/>
        <v>100</v>
      </c>
      <c r="BA25" s="356">
        <f t="shared" si="12"/>
        <v>5.078125E-2</v>
      </c>
      <c r="BB25" s="356">
        <f t="shared" si="13"/>
        <v>100</v>
      </c>
      <c r="BC25" s="313">
        <v>860000000</v>
      </c>
      <c r="BD25" s="313">
        <v>730000000</v>
      </c>
      <c r="BE25" s="313">
        <v>130000000</v>
      </c>
      <c r="BF25" s="313">
        <v>0</v>
      </c>
      <c r="BG25" s="313">
        <v>0</v>
      </c>
      <c r="BH25" s="313">
        <v>0</v>
      </c>
      <c r="BI25" s="313">
        <v>0</v>
      </c>
      <c r="BJ25" s="313">
        <v>0</v>
      </c>
      <c r="BK25" s="473">
        <v>700000000</v>
      </c>
      <c r="BL25" s="472">
        <v>300000000</v>
      </c>
      <c r="BM25" s="472">
        <v>400000000</v>
      </c>
      <c r="BN25" s="472">
        <v>0</v>
      </c>
      <c r="BO25" s="472">
        <v>0</v>
      </c>
      <c r="BP25" s="472">
        <v>0</v>
      </c>
      <c r="BQ25" s="472">
        <v>0</v>
      </c>
      <c r="BR25" s="472">
        <v>0</v>
      </c>
      <c r="BS25" s="472">
        <v>0</v>
      </c>
      <c r="BT25" s="472">
        <v>0</v>
      </c>
      <c r="BU25" s="472">
        <v>0</v>
      </c>
      <c r="BV25" s="342">
        <f t="shared" si="14"/>
        <v>7.421875E-2</v>
      </c>
      <c r="BW25" s="350">
        <v>19</v>
      </c>
      <c r="BX25" s="385">
        <f t="shared" si="15"/>
        <v>0.296875</v>
      </c>
      <c r="BY25" s="369">
        <v>63</v>
      </c>
      <c r="BZ25" s="391">
        <v>63</v>
      </c>
      <c r="CA25" s="689">
        <v>19</v>
      </c>
      <c r="CB25" s="471">
        <f t="shared" si="16"/>
        <v>19</v>
      </c>
      <c r="CC25" s="471">
        <f t="shared" si="17"/>
        <v>100</v>
      </c>
      <c r="CD25" s="470">
        <f t="shared" si="18"/>
        <v>100</v>
      </c>
      <c r="CE25" s="380">
        <f t="shared" si="19"/>
        <v>7.421875E-2</v>
      </c>
      <c r="CF25" s="469">
        <f t="shared" si="20"/>
        <v>100</v>
      </c>
      <c r="CG25" s="380">
        <f t="shared" si="21"/>
        <v>7.421875E-2</v>
      </c>
      <c r="CH25" s="468">
        <f t="shared" si="22"/>
        <v>7.421875E-2</v>
      </c>
      <c r="CI25" s="319">
        <v>19</v>
      </c>
      <c r="CJ25" s="318">
        <f t="shared" si="23"/>
        <v>0.296875</v>
      </c>
      <c r="CK25" s="1259">
        <v>19</v>
      </c>
      <c r="CL25" s="301">
        <f t="shared" si="24"/>
        <v>0</v>
      </c>
      <c r="CM25" s="381">
        <f t="shared" si="25"/>
        <v>19</v>
      </c>
      <c r="CN25" s="381">
        <f t="shared" si="26"/>
        <v>100</v>
      </c>
      <c r="CO25" s="316">
        <f t="shared" si="27"/>
        <v>100</v>
      </c>
      <c r="CP25" s="381">
        <f t="shared" si="28"/>
        <v>7.421875E-2</v>
      </c>
      <c r="CQ25" s="381">
        <f t="shared" si="29"/>
        <v>7.421875E-2</v>
      </c>
      <c r="CR25" s="313">
        <v>1030000000</v>
      </c>
      <c r="CS25" s="313">
        <v>300000000</v>
      </c>
      <c r="CT25" s="313">
        <v>730000000</v>
      </c>
      <c r="CU25" s="313">
        <v>0</v>
      </c>
      <c r="CV25" s="313">
        <v>0</v>
      </c>
      <c r="CW25" s="313">
        <v>0</v>
      </c>
      <c r="CX25" s="313">
        <v>0</v>
      </c>
      <c r="CY25" s="313">
        <v>0</v>
      </c>
      <c r="CZ25" s="380">
        <v>0</v>
      </c>
      <c r="DA25" s="380">
        <v>0</v>
      </c>
      <c r="DB25" s="380">
        <v>0</v>
      </c>
      <c r="DC25" s="380">
        <v>0</v>
      </c>
      <c r="DD25" s="380">
        <v>0</v>
      </c>
      <c r="DE25" s="380">
        <v>0</v>
      </c>
      <c r="DF25" s="380">
        <v>0</v>
      </c>
      <c r="DG25" s="380">
        <v>0</v>
      </c>
      <c r="DH25" s="380">
        <v>0</v>
      </c>
      <c r="DI25" s="380">
        <v>0</v>
      </c>
      <c r="DJ25" s="380">
        <v>0</v>
      </c>
      <c r="DK25" s="702">
        <f t="shared" si="30"/>
        <v>64</v>
      </c>
      <c r="DL25" s="311">
        <f t="shared" si="31"/>
        <v>0.25</v>
      </c>
      <c r="DM25" s="310">
        <f t="shared" si="32"/>
        <v>100</v>
      </c>
      <c r="DN25" s="356">
        <f t="shared" si="33"/>
        <v>100</v>
      </c>
      <c r="DO25" s="308">
        <f t="shared" si="34"/>
        <v>0.25</v>
      </c>
      <c r="DP25" s="359">
        <f>+IF(((DN25*Q25)/100)&lt;Q25, ((DN25*Q25)/100),Q25)</f>
        <v>0.25</v>
      </c>
      <c r="DQ25" s="306">
        <f t="shared" si="35"/>
        <v>0.25</v>
      </c>
      <c r="DR25" s="379">
        <f t="shared" si="36"/>
        <v>1</v>
      </c>
      <c r="DS25" s="378">
        <f t="shared" si="37"/>
        <v>0</v>
      </c>
      <c r="DT25" s="173">
        <v>39</v>
      </c>
      <c r="DU25" s="174" t="s">
        <v>217</v>
      </c>
      <c r="DV25" s="173"/>
      <c r="DW25" s="174" t="s">
        <v>84</v>
      </c>
      <c r="DX25" s="173"/>
      <c r="DY25" s="173"/>
      <c r="DZ25" s="173"/>
      <c r="EA25" s="665"/>
      <c r="EB25" s="1253" t="s">
        <v>2248</v>
      </c>
      <c r="EC25" s="537">
        <v>441000000</v>
      </c>
      <c r="EE25" s="734">
        <v>400</v>
      </c>
      <c r="EF25" s="706"/>
    </row>
    <row r="26" spans="4:136" s="302" customFormat="1" ht="51" hidden="1">
      <c r="D26" s="520">
        <v>23</v>
      </c>
      <c r="E26" s="534">
        <v>42</v>
      </c>
      <c r="F26" s="523" t="s">
        <v>43</v>
      </c>
      <c r="G26" s="523" t="s">
        <v>10</v>
      </c>
      <c r="H26" s="524" t="s">
        <v>2652</v>
      </c>
      <c r="I26" s="462" t="s">
        <v>171</v>
      </c>
      <c r="J26" s="335" t="s">
        <v>218</v>
      </c>
      <c r="K26" s="335" t="s">
        <v>219</v>
      </c>
      <c r="L26" s="454" t="s">
        <v>1793</v>
      </c>
      <c r="M26" s="333" t="s">
        <v>1771</v>
      </c>
      <c r="N26" s="333">
        <v>0</v>
      </c>
      <c r="O26" s="333">
        <f>+N26+P26</f>
        <v>116</v>
      </c>
      <c r="P26" s="332">
        <v>116</v>
      </c>
      <c r="Q26" s="357">
        <v>0.25</v>
      </c>
      <c r="R26" s="342">
        <f t="shared" si="0"/>
        <v>4.3103448275862072E-2</v>
      </c>
      <c r="S26" s="459">
        <v>20</v>
      </c>
      <c r="T26" s="387">
        <f t="shared" si="1"/>
        <v>0.17241379310344829</v>
      </c>
      <c r="U26" s="670">
        <v>57</v>
      </c>
      <c r="V26" s="388">
        <f t="shared" si="2"/>
        <v>57</v>
      </c>
      <c r="W26" s="356">
        <f t="shared" si="3"/>
        <v>285</v>
      </c>
      <c r="X26" s="356">
        <f t="shared" si="4"/>
        <v>100</v>
      </c>
      <c r="Y26" s="356">
        <f t="shared" si="40"/>
        <v>4.3103448275862072E-2</v>
      </c>
      <c r="Z26" s="356">
        <f t="shared" si="6"/>
        <v>100</v>
      </c>
      <c r="AA26" s="313">
        <v>833000000</v>
      </c>
      <c r="AB26" s="313">
        <v>401000000</v>
      </c>
      <c r="AC26" s="313">
        <v>432000000</v>
      </c>
      <c r="AD26" s="313">
        <v>0</v>
      </c>
      <c r="AE26" s="313">
        <v>0</v>
      </c>
      <c r="AF26" s="313">
        <v>0</v>
      </c>
      <c r="AG26" s="313">
        <v>0</v>
      </c>
      <c r="AH26" s="313">
        <v>0</v>
      </c>
      <c r="AI26" s="313">
        <v>133486000</v>
      </c>
      <c r="AJ26" s="313">
        <v>0</v>
      </c>
      <c r="AK26" s="313">
        <v>8786000</v>
      </c>
      <c r="AL26" s="313">
        <v>0</v>
      </c>
      <c r="AM26" s="313">
        <v>0</v>
      </c>
      <c r="AN26" s="313">
        <v>0</v>
      </c>
      <c r="AO26" s="313">
        <v>0</v>
      </c>
      <c r="AP26" s="313">
        <v>124700000</v>
      </c>
      <c r="AQ26" s="313">
        <v>0</v>
      </c>
      <c r="AR26" s="313">
        <v>0</v>
      </c>
      <c r="AS26" s="313" t="s">
        <v>1798</v>
      </c>
      <c r="AT26" s="333">
        <f t="shared" si="7"/>
        <v>6.25E-2</v>
      </c>
      <c r="AU26" s="333">
        <v>29</v>
      </c>
      <c r="AV26" s="387">
        <f t="shared" si="8"/>
        <v>0.25</v>
      </c>
      <c r="AW26" s="677">
        <v>36</v>
      </c>
      <c r="AX26" s="474">
        <f t="shared" si="9"/>
        <v>36</v>
      </c>
      <c r="AY26" s="474">
        <f t="shared" si="10"/>
        <v>124.13793103448276</v>
      </c>
      <c r="AZ26" s="474">
        <f t="shared" si="11"/>
        <v>100</v>
      </c>
      <c r="BA26" s="356">
        <f t="shared" si="12"/>
        <v>6.25E-2</v>
      </c>
      <c r="BB26" s="356">
        <f t="shared" si="13"/>
        <v>100</v>
      </c>
      <c r="BC26" s="313">
        <v>770000000</v>
      </c>
      <c r="BD26" s="313">
        <v>480000000</v>
      </c>
      <c r="BE26" s="313">
        <v>290000000</v>
      </c>
      <c r="BF26" s="313">
        <v>0</v>
      </c>
      <c r="BG26" s="313">
        <v>0</v>
      </c>
      <c r="BH26" s="313">
        <v>0</v>
      </c>
      <c r="BI26" s="313">
        <v>0</v>
      </c>
      <c r="BJ26" s="313">
        <v>0</v>
      </c>
      <c r="BK26" s="473">
        <v>1128093979</v>
      </c>
      <c r="BL26" s="472">
        <v>624028648</v>
      </c>
      <c r="BM26" s="472">
        <v>504065331</v>
      </c>
      <c r="BN26" s="472">
        <v>0</v>
      </c>
      <c r="BO26" s="472">
        <v>0</v>
      </c>
      <c r="BP26" s="472">
        <v>0</v>
      </c>
      <c r="BQ26" s="472">
        <v>0</v>
      </c>
      <c r="BR26" s="472">
        <v>0</v>
      </c>
      <c r="BS26" s="472">
        <v>0</v>
      </c>
      <c r="BT26" s="472">
        <v>0</v>
      </c>
      <c r="BU26" s="472">
        <v>0</v>
      </c>
      <c r="BV26" s="342">
        <f t="shared" si="14"/>
        <v>7.7586206896551727E-2</v>
      </c>
      <c r="BW26" s="350">
        <v>36</v>
      </c>
      <c r="BX26" s="385">
        <f t="shared" si="15"/>
        <v>0.31034482758620691</v>
      </c>
      <c r="BY26" s="369">
        <v>27</v>
      </c>
      <c r="BZ26" s="391">
        <v>27</v>
      </c>
      <c r="CA26" s="689">
        <v>36</v>
      </c>
      <c r="CB26" s="471">
        <f t="shared" si="16"/>
        <v>36</v>
      </c>
      <c r="CC26" s="471">
        <f t="shared" si="17"/>
        <v>100</v>
      </c>
      <c r="CD26" s="470">
        <f t="shared" si="18"/>
        <v>100</v>
      </c>
      <c r="CE26" s="380">
        <f t="shared" si="19"/>
        <v>7.7586206896551727E-2</v>
      </c>
      <c r="CF26" s="469">
        <f t="shared" si="20"/>
        <v>100</v>
      </c>
      <c r="CG26" s="380">
        <f t="shared" si="21"/>
        <v>7.7586206896551727E-2</v>
      </c>
      <c r="CH26" s="468">
        <f t="shared" si="22"/>
        <v>6.6810344827586202E-2</v>
      </c>
      <c r="CI26" s="319">
        <v>31</v>
      </c>
      <c r="CJ26" s="318">
        <f t="shared" si="23"/>
        <v>0.26724137931034481</v>
      </c>
      <c r="CK26" s="1259">
        <v>48</v>
      </c>
      <c r="CL26" s="301">
        <f t="shared" si="24"/>
        <v>-17</v>
      </c>
      <c r="CM26" s="381">
        <f t="shared" si="25"/>
        <v>48</v>
      </c>
      <c r="CN26" s="381">
        <f t="shared" si="26"/>
        <v>154.83870967741936</v>
      </c>
      <c r="CO26" s="316">
        <f t="shared" si="27"/>
        <v>100</v>
      </c>
      <c r="CP26" s="381">
        <f t="shared" si="28"/>
        <v>6.6810344827586202E-2</v>
      </c>
      <c r="CQ26" s="381">
        <f t="shared" si="29"/>
        <v>0.10344827586206896</v>
      </c>
      <c r="CR26" s="313">
        <v>1149000000</v>
      </c>
      <c r="CS26" s="313">
        <v>669000000</v>
      </c>
      <c r="CT26" s="313">
        <v>480000000</v>
      </c>
      <c r="CU26" s="313">
        <v>0</v>
      </c>
      <c r="CV26" s="313">
        <v>0</v>
      </c>
      <c r="CW26" s="313">
        <v>0</v>
      </c>
      <c r="CX26" s="313">
        <v>0</v>
      </c>
      <c r="CY26" s="313">
        <v>0</v>
      </c>
      <c r="CZ26" s="380">
        <v>0</v>
      </c>
      <c r="DA26" s="380">
        <v>0</v>
      </c>
      <c r="DB26" s="380">
        <v>0</v>
      </c>
      <c r="DC26" s="380">
        <v>0</v>
      </c>
      <c r="DD26" s="380">
        <v>0</v>
      </c>
      <c r="DE26" s="380">
        <v>0</v>
      </c>
      <c r="DF26" s="380">
        <v>0</v>
      </c>
      <c r="DG26" s="380">
        <v>0</v>
      </c>
      <c r="DH26" s="380">
        <v>0</v>
      </c>
      <c r="DI26" s="380">
        <v>0</v>
      </c>
      <c r="DJ26" s="380">
        <v>0</v>
      </c>
      <c r="DK26" s="702">
        <f t="shared" si="30"/>
        <v>177</v>
      </c>
      <c r="DL26" s="311">
        <f t="shared" si="31"/>
        <v>0.25</v>
      </c>
      <c r="DM26" s="310">
        <f t="shared" si="32"/>
        <v>152.58620689655172</v>
      </c>
      <c r="DN26" s="356">
        <f t="shared" si="33"/>
        <v>100</v>
      </c>
      <c r="DO26" s="308">
        <f t="shared" si="34"/>
        <v>0.25</v>
      </c>
      <c r="DP26" s="359">
        <f>+IF(((DN26*Q26)/100)&lt;Q26, ((DN26*Q26)/100),Q26)</f>
        <v>0.25</v>
      </c>
      <c r="DQ26" s="306">
        <f t="shared" si="35"/>
        <v>0.25</v>
      </c>
      <c r="DR26" s="379">
        <f t="shared" si="36"/>
        <v>1</v>
      </c>
      <c r="DS26" s="378">
        <f t="shared" si="37"/>
        <v>0</v>
      </c>
      <c r="DT26" s="173">
        <v>39</v>
      </c>
      <c r="DU26" s="174" t="s">
        <v>217</v>
      </c>
      <c r="DV26" s="173"/>
      <c r="DW26" s="174" t="s">
        <v>84</v>
      </c>
      <c r="DX26" s="173"/>
      <c r="DY26" s="173"/>
      <c r="DZ26" s="173"/>
      <c r="EA26" s="665"/>
      <c r="EB26" s="1253" t="s">
        <v>2249</v>
      </c>
      <c r="EC26" s="537">
        <v>0</v>
      </c>
      <c r="EE26" s="734">
        <v>400</v>
      </c>
      <c r="EF26" s="706"/>
    </row>
    <row r="27" spans="4:136" s="302" customFormat="1" ht="120" hidden="1">
      <c r="D27" s="520">
        <v>24</v>
      </c>
      <c r="E27" s="534">
        <v>43</v>
      </c>
      <c r="F27" s="523" t="s">
        <v>43</v>
      </c>
      <c r="G27" s="523" t="s">
        <v>8</v>
      </c>
      <c r="H27" s="524" t="s">
        <v>2652</v>
      </c>
      <c r="I27" s="462" t="s">
        <v>171</v>
      </c>
      <c r="J27" s="335" t="s">
        <v>220</v>
      </c>
      <c r="K27" s="335" t="s">
        <v>221</v>
      </c>
      <c r="L27" s="454" t="s">
        <v>1986</v>
      </c>
      <c r="M27" s="333" t="s">
        <v>1771</v>
      </c>
      <c r="N27" s="333">
        <v>9181</v>
      </c>
      <c r="O27" s="333">
        <f>+N27+P27</f>
        <v>50055</v>
      </c>
      <c r="P27" s="332">
        <v>40874</v>
      </c>
      <c r="Q27" s="357">
        <v>0.16500000000000001</v>
      </c>
      <c r="R27" s="342">
        <f t="shared" si="0"/>
        <v>0</v>
      </c>
      <c r="S27" s="459">
        <v>0</v>
      </c>
      <c r="T27" s="387">
        <f t="shared" si="1"/>
        <v>0</v>
      </c>
      <c r="U27" s="670">
        <v>0</v>
      </c>
      <c r="V27" s="388">
        <f t="shared" si="2"/>
        <v>0</v>
      </c>
      <c r="W27" s="356">
        <f t="shared" si="3"/>
        <v>0</v>
      </c>
      <c r="X27" s="356">
        <f t="shared" si="4"/>
        <v>0</v>
      </c>
      <c r="Y27" s="356">
        <f t="shared" si="40"/>
        <v>0</v>
      </c>
      <c r="Z27" s="356">
        <f t="shared" si="6"/>
        <v>0</v>
      </c>
      <c r="AA27" s="313">
        <v>628000000</v>
      </c>
      <c r="AB27" s="313">
        <v>628000000</v>
      </c>
      <c r="AC27" s="313">
        <v>0</v>
      </c>
      <c r="AD27" s="313">
        <v>0</v>
      </c>
      <c r="AE27" s="313">
        <v>0</v>
      </c>
      <c r="AF27" s="313">
        <v>0</v>
      </c>
      <c r="AG27" s="313">
        <v>0</v>
      </c>
      <c r="AH27" s="313">
        <v>0</v>
      </c>
      <c r="AI27" s="313">
        <v>433625000</v>
      </c>
      <c r="AJ27" s="313">
        <v>299916000</v>
      </c>
      <c r="AK27" s="313">
        <v>133709000</v>
      </c>
      <c r="AL27" s="313">
        <v>0</v>
      </c>
      <c r="AM27" s="313">
        <v>0</v>
      </c>
      <c r="AN27" s="313">
        <v>0</v>
      </c>
      <c r="AO27" s="313">
        <v>0</v>
      </c>
      <c r="AP27" s="313">
        <v>0</v>
      </c>
      <c r="AQ27" s="313">
        <v>0</v>
      </c>
      <c r="AR27" s="313">
        <v>0</v>
      </c>
      <c r="AS27" s="313" t="s">
        <v>1798</v>
      </c>
      <c r="AT27" s="333">
        <f t="shared" si="7"/>
        <v>5.1707320056759799E-2</v>
      </c>
      <c r="AU27" s="333">
        <v>12809</v>
      </c>
      <c r="AV27" s="387">
        <f t="shared" si="8"/>
        <v>0.31337769731369575</v>
      </c>
      <c r="AW27" s="677">
        <v>12809</v>
      </c>
      <c r="AX27" s="474">
        <f t="shared" si="9"/>
        <v>12809</v>
      </c>
      <c r="AY27" s="474">
        <f t="shared" si="10"/>
        <v>100</v>
      </c>
      <c r="AZ27" s="474">
        <f t="shared" si="11"/>
        <v>100</v>
      </c>
      <c r="BA27" s="356">
        <f t="shared" si="12"/>
        <v>5.1707320056759799E-2</v>
      </c>
      <c r="BB27" s="356">
        <f t="shared" si="13"/>
        <v>100</v>
      </c>
      <c r="BC27" s="313">
        <v>454000000</v>
      </c>
      <c r="BD27" s="313">
        <v>0</v>
      </c>
      <c r="BE27" s="313">
        <v>454000000</v>
      </c>
      <c r="BF27" s="313">
        <v>0</v>
      </c>
      <c r="BG27" s="313">
        <v>0</v>
      </c>
      <c r="BH27" s="313">
        <v>0</v>
      </c>
      <c r="BI27" s="313">
        <v>0</v>
      </c>
      <c r="BJ27" s="313">
        <v>0</v>
      </c>
      <c r="BK27" s="473">
        <v>3009889561</v>
      </c>
      <c r="BL27" s="472">
        <v>939535135</v>
      </c>
      <c r="BM27" s="472">
        <v>2070354426</v>
      </c>
      <c r="BN27" s="472">
        <v>0</v>
      </c>
      <c r="BO27" s="472">
        <v>0</v>
      </c>
      <c r="BP27" s="472">
        <v>0</v>
      </c>
      <c r="BQ27" s="472">
        <v>0</v>
      </c>
      <c r="BR27" s="472">
        <v>0</v>
      </c>
      <c r="BS27" s="472">
        <v>0</v>
      </c>
      <c r="BT27" s="472">
        <v>0</v>
      </c>
      <c r="BU27" s="472">
        <v>0</v>
      </c>
      <c r="BV27" s="342">
        <f t="shared" si="14"/>
        <v>9.5450041591231591E-2</v>
      </c>
      <c r="BW27" s="350">
        <v>23645</v>
      </c>
      <c r="BX27" s="385">
        <f t="shared" si="15"/>
        <v>0.57848510055291869</v>
      </c>
      <c r="BY27" s="369">
        <v>10162</v>
      </c>
      <c r="BZ27" s="391">
        <v>10162</v>
      </c>
      <c r="CA27" s="689">
        <v>25576</v>
      </c>
      <c r="CB27" s="471">
        <f t="shared" si="16"/>
        <v>25576</v>
      </c>
      <c r="CC27" s="471">
        <f t="shared" si="17"/>
        <v>108.16663142313385</v>
      </c>
      <c r="CD27" s="470">
        <f t="shared" si="18"/>
        <v>100</v>
      </c>
      <c r="CE27" s="380">
        <f t="shared" si="19"/>
        <v>9.5450041591231591E-2</v>
      </c>
      <c r="CF27" s="469">
        <f t="shared" si="20"/>
        <v>100</v>
      </c>
      <c r="CG27" s="380">
        <f t="shared" si="21"/>
        <v>0.10324509468121544</v>
      </c>
      <c r="CH27" s="468">
        <f t="shared" si="22"/>
        <v>1.7842638352008614E-2</v>
      </c>
      <c r="CI27" s="319">
        <v>4420</v>
      </c>
      <c r="CJ27" s="318">
        <f t="shared" si="23"/>
        <v>0.10813720213338553</v>
      </c>
      <c r="CK27" s="1258">
        <v>9495</v>
      </c>
      <c r="CL27" s="301">
        <f t="shared" si="24"/>
        <v>-5075</v>
      </c>
      <c r="CM27" s="381">
        <f t="shared" si="25"/>
        <v>9495</v>
      </c>
      <c r="CN27" s="381">
        <f t="shared" si="26"/>
        <v>214.81900452488688</v>
      </c>
      <c r="CO27" s="316">
        <f t="shared" si="27"/>
        <v>100</v>
      </c>
      <c r="CP27" s="381">
        <f t="shared" si="28"/>
        <v>1.7842638352008614E-2</v>
      </c>
      <c r="CQ27" s="381">
        <f t="shared" si="29"/>
        <v>3.8329378088760586E-2</v>
      </c>
      <c r="CR27" s="313">
        <v>1047000000</v>
      </c>
      <c r="CS27" s="313">
        <v>1047000000</v>
      </c>
      <c r="CT27" s="313">
        <v>0</v>
      </c>
      <c r="CU27" s="313">
        <v>0</v>
      </c>
      <c r="CV27" s="313">
        <v>0</v>
      </c>
      <c r="CW27" s="313">
        <v>0</v>
      </c>
      <c r="CX27" s="313">
        <v>0</v>
      </c>
      <c r="CY27" s="313">
        <v>0</v>
      </c>
      <c r="CZ27" s="380">
        <v>0</v>
      </c>
      <c r="DA27" s="380">
        <v>0</v>
      </c>
      <c r="DB27" s="380">
        <v>0</v>
      </c>
      <c r="DC27" s="380">
        <v>0</v>
      </c>
      <c r="DD27" s="380">
        <v>0</v>
      </c>
      <c r="DE27" s="380">
        <v>0</v>
      </c>
      <c r="DF27" s="380">
        <v>0</v>
      </c>
      <c r="DG27" s="380">
        <v>0</v>
      </c>
      <c r="DH27" s="380">
        <v>0</v>
      </c>
      <c r="DI27" s="380">
        <v>0</v>
      </c>
      <c r="DJ27" s="380">
        <v>0</v>
      </c>
      <c r="DK27" s="702">
        <f t="shared" si="30"/>
        <v>47880</v>
      </c>
      <c r="DL27" s="311">
        <f t="shared" si="31"/>
        <v>0.16500000000000001</v>
      </c>
      <c r="DM27" s="310">
        <f t="shared" si="32"/>
        <v>117.14048050105201</v>
      </c>
      <c r="DN27" s="356">
        <f t="shared" si="33"/>
        <v>100</v>
      </c>
      <c r="DO27" s="308">
        <f t="shared" si="34"/>
        <v>0.16500000000000001</v>
      </c>
      <c r="DP27" s="359">
        <f>+IF(((DN27*Q27)/100)&lt;Q27, ((DN27*Q27)/100),Q27)</f>
        <v>0.16500000000000001</v>
      </c>
      <c r="DQ27" s="306">
        <f t="shared" si="35"/>
        <v>0.16500000000000001</v>
      </c>
      <c r="DR27" s="379">
        <f t="shared" si="36"/>
        <v>1</v>
      </c>
      <c r="DS27" s="378">
        <f t="shared" si="37"/>
        <v>0</v>
      </c>
      <c r="DT27" s="173">
        <v>35</v>
      </c>
      <c r="DU27" s="174" t="s">
        <v>137</v>
      </c>
      <c r="DV27" s="173">
        <v>36</v>
      </c>
      <c r="DW27" s="174" t="s">
        <v>136</v>
      </c>
      <c r="DX27" s="173">
        <v>37</v>
      </c>
      <c r="DY27" s="173"/>
      <c r="DZ27" s="173"/>
      <c r="EA27" s="665"/>
      <c r="EB27" s="1253" t="s">
        <v>2428</v>
      </c>
      <c r="EC27" s="537">
        <v>257000000</v>
      </c>
      <c r="EE27" s="733">
        <v>0</v>
      </c>
      <c r="EF27" s="706"/>
    </row>
    <row r="28" spans="4:136" s="302" customFormat="1" ht="51" hidden="1">
      <c r="D28" s="520">
        <v>25</v>
      </c>
      <c r="E28" s="534">
        <v>44</v>
      </c>
      <c r="F28" s="523" t="s">
        <v>43</v>
      </c>
      <c r="G28" s="523" t="s">
        <v>9</v>
      </c>
      <c r="H28" s="524" t="s">
        <v>2652</v>
      </c>
      <c r="I28" s="462" t="s">
        <v>171</v>
      </c>
      <c r="J28" s="335" t="s">
        <v>222</v>
      </c>
      <c r="K28" s="335" t="s">
        <v>223</v>
      </c>
      <c r="L28" s="454" t="s">
        <v>1415</v>
      </c>
      <c r="M28" s="333" t="s">
        <v>1785</v>
      </c>
      <c r="N28" s="333">
        <v>0</v>
      </c>
      <c r="O28" s="333">
        <f>+P28</f>
        <v>116</v>
      </c>
      <c r="P28" s="332">
        <v>116</v>
      </c>
      <c r="Q28" s="357">
        <v>0.16500000000000001</v>
      </c>
      <c r="R28" s="342">
        <f t="shared" si="0"/>
        <v>4.1250000000000002E-2</v>
      </c>
      <c r="S28" s="459">
        <v>116</v>
      </c>
      <c r="T28" s="387">
        <f t="shared" si="1"/>
        <v>0.25</v>
      </c>
      <c r="U28" s="670">
        <v>0</v>
      </c>
      <c r="V28" s="388">
        <f t="shared" si="2"/>
        <v>0</v>
      </c>
      <c r="W28" s="356">
        <f t="shared" si="3"/>
        <v>0</v>
      </c>
      <c r="X28" s="356">
        <f t="shared" si="4"/>
        <v>0</v>
      </c>
      <c r="Y28" s="356">
        <f t="shared" si="40"/>
        <v>0</v>
      </c>
      <c r="Z28" s="356">
        <f t="shared" si="6"/>
        <v>0</v>
      </c>
      <c r="AA28" s="313">
        <v>0</v>
      </c>
      <c r="AB28" s="313">
        <v>0</v>
      </c>
      <c r="AC28" s="313">
        <v>0</v>
      </c>
      <c r="AD28" s="313">
        <v>0</v>
      </c>
      <c r="AE28" s="313">
        <v>0</v>
      </c>
      <c r="AF28" s="313">
        <v>0</v>
      </c>
      <c r="AG28" s="313">
        <v>0</v>
      </c>
      <c r="AH28" s="313">
        <v>0</v>
      </c>
      <c r="AI28" s="313">
        <v>0</v>
      </c>
      <c r="AJ28" s="313">
        <v>0</v>
      </c>
      <c r="AK28" s="313">
        <v>0</v>
      </c>
      <c r="AL28" s="313">
        <v>0</v>
      </c>
      <c r="AM28" s="313">
        <v>0</v>
      </c>
      <c r="AN28" s="313">
        <v>0</v>
      </c>
      <c r="AO28" s="313">
        <v>0</v>
      </c>
      <c r="AP28" s="313">
        <v>0</v>
      </c>
      <c r="AQ28" s="313">
        <v>0</v>
      </c>
      <c r="AR28" s="313">
        <v>0</v>
      </c>
      <c r="AS28" s="313" t="s">
        <v>1798</v>
      </c>
      <c r="AT28" s="333">
        <f t="shared" si="7"/>
        <v>4.1250000000000002E-2</v>
      </c>
      <c r="AU28" s="333">
        <v>116</v>
      </c>
      <c r="AV28" s="387">
        <f t="shared" si="8"/>
        <v>0.25</v>
      </c>
      <c r="AW28" s="677">
        <v>80</v>
      </c>
      <c r="AX28" s="474">
        <f t="shared" si="9"/>
        <v>20</v>
      </c>
      <c r="AY28" s="474">
        <f t="shared" si="10"/>
        <v>68.965517241379317</v>
      </c>
      <c r="AZ28" s="474">
        <f t="shared" si="11"/>
        <v>68.965517241379317</v>
      </c>
      <c r="BA28" s="356">
        <f t="shared" si="12"/>
        <v>2.8448275862068967E-2</v>
      </c>
      <c r="BB28" s="356">
        <f t="shared" si="13"/>
        <v>68.965517241379317</v>
      </c>
      <c r="BC28" s="313">
        <v>30000000</v>
      </c>
      <c r="BD28" s="313">
        <v>0</v>
      </c>
      <c r="BE28" s="313">
        <v>30000000</v>
      </c>
      <c r="BF28" s="313">
        <v>0</v>
      </c>
      <c r="BG28" s="313">
        <v>0</v>
      </c>
      <c r="BH28" s="313">
        <v>0</v>
      </c>
      <c r="BI28" s="313">
        <v>0</v>
      </c>
      <c r="BJ28" s="313">
        <v>0</v>
      </c>
      <c r="BK28" s="473">
        <v>0</v>
      </c>
      <c r="BL28" s="472">
        <v>0</v>
      </c>
      <c r="BM28" s="472">
        <v>0</v>
      </c>
      <c r="BN28" s="472">
        <v>0</v>
      </c>
      <c r="BO28" s="472">
        <v>0</v>
      </c>
      <c r="BP28" s="472">
        <v>0</v>
      </c>
      <c r="BQ28" s="472">
        <v>0</v>
      </c>
      <c r="BR28" s="472">
        <v>0</v>
      </c>
      <c r="BS28" s="472">
        <v>0</v>
      </c>
      <c r="BT28" s="472">
        <v>0</v>
      </c>
      <c r="BU28" s="472">
        <v>0</v>
      </c>
      <c r="BV28" s="342">
        <f t="shared" si="14"/>
        <v>4.1250000000000002E-2</v>
      </c>
      <c r="BW28" s="350">
        <v>116</v>
      </c>
      <c r="BX28" s="385">
        <f t="shared" si="15"/>
        <v>0.25</v>
      </c>
      <c r="BY28" s="369">
        <v>116</v>
      </c>
      <c r="BZ28" s="391">
        <v>116</v>
      </c>
      <c r="CA28" s="689">
        <v>116</v>
      </c>
      <c r="CB28" s="471">
        <f t="shared" si="16"/>
        <v>29</v>
      </c>
      <c r="CC28" s="471">
        <f t="shared" si="17"/>
        <v>100</v>
      </c>
      <c r="CD28" s="470">
        <f t="shared" si="18"/>
        <v>100</v>
      </c>
      <c r="CE28" s="380">
        <f t="shared" si="19"/>
        <v>4.1250000000000002E-2</v>
      </c>
      <c r="CF28" s="469">
        <f t="shared" si="20"/>
        <v>100</v>
      </c>
      <c r="CG28" s="380">
        <f t="shared" si="21"/>
        <v>4.1250000000000002E-2</v>
      </c>
      <c r="CH28" s="468">
        <f t="shared" si="22"/>
        <v>4.1250000000000002E-2</v>
      </c>
      <c r="CI28" s="319">
        <v>0</v>
      </c>
      <c r="CJ28" s="318">
        <f t="shared" si="23"/>
        <v>0.25</v>
      </c>
      <c r="CK28" s="1258">
        <v>100</v>
      </c>
      <c r="CL28" s="301">
        <f t="shared" si="24"/>
        <v>-100</v>
      </c>
      <c r="CM28" s="381">
        <f t="shared" si="25"/>
        <v>25</v>
      </c>
      <c r="CN28" s="381">
        <f t="shared" si="26"/>
        <v>0</v>
      </c>
      <c r="CO28" s="381">
        <f t="shared" si="27"/>
        <v>0</v>
      </c>
      <c r="CP28" s="381">
        <f t="shared" si="28"/>
        <v>0</v>
      </c>
      <c r="CQ28" s="381">
        <f t="shared" si="29"/>
        <v>0</v>
      </c>
      <c r="CR28" s="313">
        <v>0</v>
      </c>
      <c r="CS28" s="313">
        <v>0</v>
      </c>
      <c r="CT28" s="313">
        <v>0</v>
      </c>
      <c r="CU28" s="313">
        <v>0</v>
      </c>
      <c r="CV28" s="313">
        <v>0</v>
      </c>
      <c r="CW28" s="313">
        <v>0</v>
      </c>
      <c r="CX28" s="313">
        <v>0</v>
      </c>
      <c r="CY28" s="313">
        <v>0</v>
      </c>
      <c r="CZ28" s="380">
        <v>0</v>
      </c>
      <c r="DA28" s="380">
        <v>0</v>
      </c>
      <c r="DB28" s="380">
        <v>0</v>
      </c>
      <c r="DC28" s="380">
        <v>0</v>
      </c>
      <c r="DD28" s="380">
        <v>0</v>
      </c>
      <c r="DE28" s="380">
        <v>0</v>
      </c>
      <c r="DF28" s="380">
        <v>0</v>
      </c>
      <c r="DG28" s="380">
        <v>0</v>
      </c>
      <c r="DH28" s="380">
        <v>0</v>
      </c>
      <c r="DI28" s="380">
        <v>0</v>
      </c>
      <c r="DJ28" s="380">
        <v>0</v>
      </c>
      <c r="DK28" s="702">
        <f t="shared" si="30"/>
        <v>74</v>
      </c>
      <c r="DL28" s="311">
        <f t="shared" si="31"/>
        <v>0.16500000000000001</v>
      </c>
      <c r="DM28" s="310">
        <f t="shared" si="32"/>
        <v>63.793103448275865</v>
      </c>
      <c r="DN28" s="356">
        <f t="shared" si="33"/>
        <v>63.793103448275865</v>
      </c>
      <c r="DO28" s="308">
        <f t="shared" si="34"/>
        <v>0.10525862068965518</v>
      </c>
      <c r="DP28" s="359">
        <f>+IF(M28="M",DO28,0)</f>
        <v>0.10525862068965518</v>
      </c>
      <c r="DQ28" s="306">
        <f t="shared" si="35"/>
        <v>0.10525862068965518</v>
      </c>
      <c r="DR28" s="379">
        <f t="shared" si="36"/>
        <v>1</v>
      </c>
      <c r="DS28" s="378">
        <f t="shared" si="37"/>
        <v>0</v>
      </c>
      <c r="DT28" s="173">
        <v>33</v>
      </c>
      <c r="DU28" s="174" t="s">
        <v>139</v>
      </c>
      <c r="DV28" s="173"/>
      <c r="DW28" s="174" t="s">
        <v>84</v>
      </c>
      <c r="DX28" s="173"/>
      <c r="DY28" s="173"/>
      <c r="DZ28" s="173"/>
      <c r="EA28" s="665"/>
      <c r="EB28" s="1253" t="s">
        <v>2086</v>
      </c>
      <c r="EC28" s="537">
        <v>0</v>
      </c>
      <c r="EE28" s="734">
        <v>1</v>
      </c>
      <c r="EF28" s="706"/>
    </row>
    <row r="29" spans="4:136" s="302" customFormat="1" ht="242.25" hidden="1">
      <c r="D29" s="520">
        <v>26</v>
      </c>
      <c r="E29" s="534">
        <v>45</v>
      </c>
      <c r="F29" s="523" t="s">
        <v>43</v>
      </c>
      <c r="G29" s="523" t="s">
        <v>8</v>
      </c>
      <c r="H29" s="524" t="s">
        <v>2652</v>
      </c>
      <c r="I29" s="462" t="s">
        <v>187</v>
      </c>
      <c r="J29" s="335" t="s">
        <v>224</v>
      </c>
      <c r="K29" s="335" t="s">
        <v>225</v>
      </c>
      <c r="L29" s="454" t="s">
        <v>1415</v>
      </c>
      <c r="M29" s="333" t="s">
        <v>1771</v>
      </c>
      <c r="N29" s="333">
        <v>0</v>
      </c>
      <c r="O29" s="333">
        <f t="shared" ref="O29:O34" si="41">+N29+P29</f>
        <v>35</v>
      </c>
      <c r="P29" s="332">
        <v>35</v>
      </c>
      <c r="Q29" s="357">
        <v>0.16500000000000001</v>
      </c>
      <c r="R29" s="342">
        <f t="shared" si="0"/>
        <v>1.8857142857142857E-2</v>
      </c>
      <c r="S29" s="459">
        <v>4</v>
      </c>
      <c r="T29" s="387">
        <f t="shared" si="1"/>
        <v>0.11428571428571428</v>
      </c>
      <c r="U29" s="670">
        <v>4</v>
      </c>
      <c r="V29" s="388">
        <f t="shared" si="2"/>
        <v>4</v>
      </c>
      <c r="W29" s="356">
        <f t="shared" si="3"/>
        <v>100</v>
      </c>
      <c r="X29" s="356">
        <f t="shared" si="4"/>
        <v>100</v>
      </c>
      <c r="Y29" s="356">
        <f t="shared" si="40"/>
        <v>1.8857142857142857E-2</v>
      </c>
      <c r="Z29" s="356">
        <f t="shared" si="6"/>
        <v>100</v>
      </c>
      <c r="AA29" s="313">
        <v>41000000</v>
      </c>
      <c r="AB29" s="313">
        <v>41000000</v>
      </c>
      <c r="AC29" s="313">
        <v>0</v>
      </c>
      <c r="AD29" s="313">
        <v>0</v>
      </c>
      <c r="AE29" s="313">
        <v>0</v>
      </c>
      <c r="AF29" s="313">
        <v>0</v>
      </c>
      <c r="AG29" s="313">
        <v>0</v>
      </c>
      <c r="AH29" s="313">
        <v>0</v>
      </c>
      <c r="AI29" s="313">
        <v>0</v>
      </c>
      <c r="AJ29" s="313">
        <v>0</v>
      </c>
      <c r="AK29" s="313">
        <v>0</v>
      </c>
      <c r="AL29" s="313">
        <v>0</v>
      </c>
      <c r="AM29" s="313">
        <v>0</v>
      </c>
      <c r="AN29" s="313">
        <v>0</v>
      </c>
      <c r="AO29" s="313">
        <v>0</v>
      </c>
      <c r="AP29" s="313">
        <v>0</v>
      </c>
      <c r="AQ29" s="313">
        <v>0</v>
      </c>
      <c r="AR29" s="313">
        <v>0</v>
      </c>
      <c r="AS29" s="313" t="s">
        <v>1798</v>
      </c>
      <c r="AT29" s="333">
        <f t="shared" si="7"/>
        <v>5.6571428571428578E-2</v>
      </c>
      <c r="AU29" s="333">
        <v>12</v>
      </c>
      <c r="AV29" s="387">
        <f t="shared" si="8"/>
        <v>0.34285714285714286</v>
      </c>
      <c r="AW29" s="677">
        <v>12</v>
      </c>
      <c r="AX29" s="474">
        <f t="shared" si="9"/>
        <v>12</v>
      </c>
      <c r="AY29" s="474">
        <f t="shared" si="10"/>
        <v>100</v>
      </c>
      <c r="AZ29" s="474">
        <f t="shared" si="11"/>
        <v>100</v>
      </c>
      <c r="BA29" s="356">
        <f t="shared" si="12"/>
        <v>5.6571428571428578E-2</v>
      </c>
      <c r="BB29" s="356">
        <f t="shared" si="13"/>
        <v>100</v>
      </c>
      <c r="BC29" s="313">
        <v>29000000</v>
      </c>
      <c r="BD29" s="313">
        <v>0</v>
      </c>
      <c r="BE29" s="313">
        <v>29000000</v>
      </c>
      <c r="BF29" s="313">
        <v>0</v>
      </c>
      <c r="BG29" s="313">
        <v>0</v>
      </c>
      <c r="BH29" s="313">
        <v>0</v>
      </c>
      <c r="BI29" s="313">
        <v>0</v>
      </c>
      <c r="BJ29" s="313">
        <v>0</v>
      </c>
      <c r="BK29" s="473">
        <v>29000000</v>
      </c>
      <c r="BL29" s="472">
        <v>29000000</v>
      </c>
      <c r="BM29" s="472">
        <v>0</v>
      </c>
      <c r="BN29" s="472">
        <v>0</v>
      </c>
      <c r="BO29" s="472">
        <v>0</v>
      </c>
      <c r="BP29" s="472">
        <v>0</v>
      </c>
      <c r="BQ29" s="472">
        <v>0</v>
      </c>
      <c r="BR29" s="472">
        <v>0</v>
      </c>
      <c r="BS29" s="472">
        <v>0</v>
      </c>
      <c r="BT29" s="472">
        <v>0</v>
      </c>
      <c r="BU29" s="472">
        <v>0</v>
      </c>
      <c r="BV29" s="342">
        <f t="shared" si="14"/>
        <v>5.1857142857142859E-2</v>
      </c>
      <c r="BW29" s="350">
        <v>11</v>
      </c>
      <c r="BX29" s="385">
        <f t="shared" si="15"/>
        <v>0.31428571428571428</v>
      </c>
      <c r="BY29" s="369">
        <v>0</v>
      </c>
      <c r="BZ29" s="391">
        <v>21</v>
      </c>
      <c r="CA29" s="689">
        <v>19</v>
      </c>
      <c r="CB29" s="471">
        <f t="shared" si="16"/>
        <v>19</v>
      </c>
      <c r="CC29" s="471">
        <f t="shared" si="17"/>
        <v>172.72727272727272</v>
      </c>
      <c r="CD29" s="470">
        <f t="shared" si="18"/>
        <v>100</v>
      </c>
      <c r="CE29" s="380">
        <f t="shared" si="19"/>
        <v>5.1857142857142859E-2</v>
      </c>
      <c r="CF29" s="469">
        <f t="shared" si="20"/>
        <v>100</v>
      </c>
      <c r="CG29" s="380">
        <f t="shared" si="21"/>
        <v>8.957142857142858E-2</v>
      </c>
      <c r="CH29" s="468">
        <f t="shared" si="22"/>
        <v>3.7714285714285714E-2</v>
      </c>
      <c r="CI29" s="319">
        <v>8</v>
      </c>
      <c r="CJ29" s="318">
        <f t="shared" si="23"/>
        <v>0.22857142857142856</v>
      </c>
      <c r="CK29" s="1259">
        <v>38</v>
      </c>
      <c r="CL29" s="301">
        <f t="shared" si="24"/>
        <v>-30</v>
      </c>
      <c r="CM29" s="381">
        <f t="shared" si="25"/>
        <v>38</v>
      </c>
      <c r="CN29" s="381">
        <f t="shared" si="26"/>
        <v>475</v>
      </c>
      <c r="CO29" s="316">
        <f t="shared" si="27"/>
        <v>100</v>
      </c>
      <c r="CP29" s="381">
        <f t="shared" si="28"/>
        <v>3.7714285714285714E-2</v>
      </c>
      <c r="CQ29" s="381">
        <f t="shared" si="29"/>
        <v>0.17914285714285716</v>
      </c>
      <c r="CR29" s="313">
        <v>68000000</v>
      </c>
      <c r="CS29" s="313">
        <v>68000000</v>
      </c>
      <c r="CT29" s="313">
        <v>0</v>
      </c>
      <c r="CU29" s="313">
        <v>0</v>
      </c>
      <c r="CV29" s="313">
        <v>0</v>
      </c>
      <c r="CW29" s="313">
        <v>0</v>
      </c>
      <c r="CX29" s="313">
        <v>0</v>
      </c>
      <c r="CY29" s="313">
        <v>0</v>
      </c>
      <c r="CZ29" s="380">
        <v>0</v>
      </c>
      <c r="DA29" s="380">
        <v>0</v>
      </c>
      <c r="DB29" s="380">
        <v>0</v>
      </c>
      <c r="DC29" s="380">
        <v>0</v>
      </c>
      <c r="DD29" s="380">
        <v>0</v>
      </c>
      <c r="DE29" s="380">
        <v>0</v>
      </c>
      <c r="DF29" s="380">
        <v>0</v>
      </c>
      <c r="DG29" s="380">
        <v>0</v>
      </c>
      <c r="DH29" s="380">
        <v>0</v>
      </c>
      <c r="DI29" s="380">
        <v>0</v>
      </c>
      <c r="DJ29" s="380">
        <v>0</v>
      </c>
      <c r="DK29" s="702">
        <f t="shared" si="30"/>
        <v>73</v>
      </c>
      <c r="DL29" s="311">
        <f t="shared" si="31"/>
        <v>0.16499999999999998</v>
      </c>
      <c r="DM29" s="310">
        <f t="shared" si="32"/>
        <v>208.57142857142858</v>
      </c>
      <c r="DN29" s="356">
        <f t="shared" si="33"/>
        <v>100</v>
      </c>
      <c r="DO29" s="308">
        <f t="shared" si="34"/>
        <v>0.16500000000000001</v>
      </c>
      <c r="DP29" s="359">
        <f t="shared" ref="DP29:DP34" si="42">+IF(((DN29*Q29)/100)&lt;Q29, ((DN29*Q29)/100),Q29)</f>
        <v>0.16500000000000001</v>
      </c>
      <c r="DQ29" s="306">
        <f t="shared" si="35"/>
        <v>0.16500000000000001</v>
      </c>
      <c r="DR29" s="379">
        <f t="shared" si="36"/>
        <v>0.99999999999999989</v>
      </c>
      <c r="DS29" s="378">
        <f t="shared" si="37"/>
        <v>0</v>
      </c>
      <c r="DT29" s="173">
        <v>36</v>
      </c>
      <c r="DU29" s="174" t="s">
        <v>136</v>
      </c>
      <c r="DV29" s="173">
        <v>37</v>
      </c>
      <c r="DW29" s="174" t="s">
        <v>135</v>
      </c>
      <c r="DX29" s="173">
        <v>38</v>
      </c>
      <c r="DY29" s="173">
        <v>77</v>
      </c>
      <c r="DZ29" s="173"/>
      <c r="EA29" s="665"/>
      <c r="EB29" s="1253" t="s">
        <v>2481</v>
      </c>
      <c r="EC29" s="537">
        <v>250000000</v>
      </c>
      <c r="EE29" s="733">
        <v>100</v>
      </c>
      <c r="EF29" s="706"/>
    </row>
    <row r="30" spans="4:136" s="302" customFormat="1" ht="120" hidden="1">
      <c r="D30" s="520">
        <v>27</v>
      </c>
      <c r="E30" s="534">
        <v>46</v>
      </c>
      <c r="F30" s="523" t="s">
        <v>43</v>
      </c>
      <c r="G30" s="523" t="s">
        <v>8</v>
      </c>
      <c r="H30" s="524" t="s">
        <v>2652</v>
      </c>
      <c r="I30" s="462" t="s">
        <v>187</v>
      </c>
      <c r="J30" s="335" t="s">
        <v>226</v>
      </c>
      <c r="K30" s="335" t="s">
        <v>227</v>
      </c>
      <c r="L30" s="454" t="s">
        <v>1986</v>
      </c>
      <c r="M30" s="333" t="s">
        <v>1771</v>
      </c>
      <c r="N30" s="333">
        <v>36362</v>
      </c>
      <c r="O30" s="333">
        <f t="shared" si="41"/>
        <v>70922</v>
      </c>
      <c r="P30" s="332">
        <v>34560</v>
      </c>
      <c r="Q30" s="357">
        <v>0.25</v>
      </c>
      <c r="R30" s="342">
        <f t="shared" si="0"/>
        <v>6.1487268518518517E-2</v>
      </c>
      <c r="S30" s="459">
        <v>8500</v>
      </c>
      <c r="T30" s="387">
        <f t="shared" si="1"/>
        <v>0.24594907407407407</v>
      </c>
      <c r="U30" s="670">
        <v>10113</v>
      </c>
      <c r="V30" s="388">
        <f t="shared" si="2"/>
        <v>10113</v>
      </c>
      <c r="W30" s="356">
        <f t="shared" si="3"/>
        <v>118.97647058823529</v>
      </c>
      <c r="X30" s="356">
        <f t="shared" si="4"/>
        <v>100</v>
      </c>
      <c r="Y30" s="356">
        <f t="shared" si="40"/>
        <v>6.1487268518518517E-2</v>
      </c>
      <c r="Z30" s="356">
        <f t="shared" si="6"/>
        <v>100</v>
      </c>
      <c r="AA30" s="313">
        <v>4631000000</v>
      </c>
      <c r="AB30" s="313">
        <v>1800000000</v>
      </c>
      <c r="AC30" s="313">
        <v>0</v>
      </c>
      <c r="AD30" s="313">
        <v>0</v>
      </c>
      <c r="AE30" s="313">
        <v>0</v>
      </c>
      <c r="AF30" s="313">
        <v>0</v>
      </c>
      <c r="AG30" s="313">
        <v>0</v>
      </c>
      <c r="AH30" s="313">
        <v>2831000000</v>
      </c>
      <c r="AI30" s="313">
        <v>800000000</v>
      </c>
      <c r="AJ30" s="313">
        <v>800000000</v>
      </c>
      <c r="AK30" s="313">
        <v>0</v>
      </c>
      <c r="AL30" s="313">
        <v>0</v>
      </c>
      <c r="AM30" s="313">
        <v>0</v>
      </c>
      <c r="AN30" s="313">
        <v>0</v>
      </c>
      <c r="AO30" s="313">
        <v>0</v>
      </c>
      <c r="AP30" s="313">
        <v>0</v>
      </c>
      <c r="AQ30" s="313">
        <v>0</v>
      </c>
      <c r="AR30" s="313">
        <v>0</v>
      </c>
      <c r="AS30" s="313" t="s">
        <v>1798</v>
      </c>
      <c r="AT30" s="333">
        <f t="shared" si="7"/>
        <v>6.2282986111111112E-2</v>
      </c>
      <c r="AU30" s="333">
        <v>8610</v>
      </c>
      <c r="AV30" s="387">
        <f t="shared" si="8"/>
        <v>0.24913194444444445</v>
      </c>
      <c r="AW30" s="677">
        <v>13605</v>
      </c>
      <c r="AX30" s="474">
        <f t="shared" si="9"/>
        <v>13605</v>
      </c>
      <c r="AY30" s="474">
        <f t="shared" si="10"/>
        <v>158.01393728222996</v>
      </c>
      <c r="AZ30" s="474">
        <f t="shared" si="11"/>
        <v>100</v>
      </c>
      <c r="BA30" s="356">
        <f t="shared" si="12"/>
        <v>6.2282986111111119E-2</v>
      </c>
      <c r="BB30" s="356">
        <f t="shared" si="13"/>
        <v>100</v>
      </c>
      <c r="BC30" s="313">
        <v>4131000000</v>
      </c>
      <c r="BD30" s="313">
        <v>0</v>
      </c>
      <c r="BE30" s="313">
        <v>1300000000</v>
      </c>
      <c r="BF30" s="313">
        <v>0</v>
      </c>
      <c r="BG30" s="313">
        <v>0</v>
      </c>
      <c r="BH30" s="313">
        <v>0</v>
      </c>
      <c r="BI30" s="313">
        <v>0</v>
      </c>
      <c r="BJ30" s="313">
        <v>2831000000</v>
      </c>
      <c r="BK30" s="473">
        <v>4301381744</v>
      </c>
      <c r="BL30" s="472">
        <v>2249956920</v>
      </c>
      <c r="BM30" s="472">
        <v>0</v>
      </c>
      <c r="BN30" s="472">
        <v>0</v>
      </c>
      <c r="BO30" s="472">
        <v>0</v>
      </c>
      <c r="BP30" s="472">
        <v>2051424824</v>
      </c>
      <c r="BQ30" s="472">
        <v>0</v>
      </c>
      <c r="BR30" s="472">
        <v>0</v>
      </c>
      <c r="BS30" s="472">
        <v>0</v>
      </c>
      <c r="BT30" s="472">
        <v>0</v>
      </c>
      <c r="BU30" s="472">
        <v>0</v>
      </c>
      <c r="BV30" s="342">
        <f t="shared" si="14"/>
        <v>6.2934027777777776E-2</v>
      </c>
      <c r="BW30" s="350">
        <v>8700</v>
      </c>
      <c r="BX30" s="385">
        <f t="shared" si="15"/>
        <v>0.2517361111111111</v>
      </c>
      <c r="BY30" s="369">
        <v>10724</v>
      </c>
      <c r="BZ30" s="391">
        <v>10724</v>
      </c>
      <c r="CA30" s="689">
        <v>10724</v>
      </c>
      <c r="CB30" s="471">
        <f t="shared" si="16"/>
        <v>10724</v>
      </c>
      <c r="CC30" s="471">
        <f t="shared" si="17"/>
        <v>123.26436781609195</v>
      </c>
      <c r="CD30" s="470">
        <f t="shared" si="18"/>
        <v>100</v>
      </c>
      <c r="CE30" s="380">
        <f t="shared" si="19"/>
        <v>6.2934027777777776E-2</v>
      </c>
      <c r="CF30" s="469">
        <f t="shared" si="20"/>
        <v>100</v>
      </c>
      <c r="CG30" s="380">
        <f t="shared" si="21"/>
        <v>7.7575231481481474E-2</v>
      </c>
      <c r="CH30" s="468">
        <f t="shared" si="22"/>
        <v>6.3295717592592587E-2</v>
      </c>
      <c r="CI30" s="319">
        <v>8750</v>
      </c>
      <c r="CJ30" s="318">
        <f t="shared" si="23"/>
        <v>0.25318287037037035</v>
      </c>
      <c r="CK30" s="1259">
        <v>11882</v>
      </c>
      <c r="CL30" s="301">
        <f t="shared" si="24"/>
        <v>-3132</v>
      </c>
      <c r="CM30" s="381">
        <f t="shared" si="25"/>
        <v>11882</v>
      </c>
      <c r="CN30" s="381">
        <f t="shared" si="26"/>
        <v>135.79428571428571</v>
      </c>
      <c r="CO30" s="316">
        <f t="shared" si="27"/>
        <v>100</v>
      </c>
      <c r="CP30" s="381">
        <f t="shared" si="28"/>
        <v>6.3295717592592587E-2</v>
      </c>
      <c r="CQ30" s="381">
        <f t="shared" si="29"/>
        <v>8.5951967592592576E-2</v>
      </c>
      <c r="CR30" s="313">
        <v>5831000000</v>
      </c>
      <c r="CS30" s="313">
        <v>3000000000</v>
      </c>
      <c r="CT30" s="313">
        <v>0</v>
      </c>
      <c r="CU30" s="313">
        <v>0</v>
      </c>
      <c r="CV30" s="313">
        <v>0</v>
      </c>
      <c r="CW30" s="313">
        <v>0</v>
      </c>
      <c r="CX30" s="313">
        <v>0</v>
      </c>
      <c r="CY30" s="313">
        <v>2831000000</v>
      </c>
      <c r="CZ30" s="380">
        <v>0</v>
      </c>
      <c r="DA30" s="380">
        <v>0</v>
      </c>
      <c r="DB30" s="380">
        <v>0</v>
      </c>
      <c r="DC30" s="380">
        <v>0</v>
      </c>
      <c r="DD30" s="380">
        <v>0</v>
      </c>
      <c r="DE30" s="380">
        <v>0</v>
      </c>
      <c r="DF30" s="380">
        <v>0</v>
      </c>
      <c r="DG30" s="380">
        <v>0</v>
      </c>
      <c r="DH30" s="380">
        <v>0</v>
      </c>
      <c r="DI30" s="380">
        <v>0</v>
      </c>
      <c r="DJ30" s="380">
        <v>0</v>
      </c>
      <c r="DK30" s="702">
        <f t="shared" si="30"/>
        <v>46324</v>
      </c>
      <c r="DL30" s="311">
        <f t="shared" si="31"/>
        <v>0.24999999999999997</v>
      </c>
      <c r="DM30" s="310">
        <f t="shared" si="32"/>
        <v>134.03935185185185</v>
      </c>
      <c r="DN30" s="356">
        <f t="shared" si="33"/>
        <v>100</v>
      </c>
      <c r="DO30" s="308">
        <f t="shared" si="34"/>
        <v>0.25</v>
      </c>
      <c r="DP30" s="359">
        <f t="shared" si="42"/>
        <v>0.25</v>
      </c>
      <c r="DQ30" s="306">
        <f t="shared" si="35"/>
        <v>0.25</v>
      </c>
      <c r="DR30" s="379">
        <f t="shared" si="36"/>
        <v>0.99999999999999989</v>
      </c>
      <c r="DS30" s="378">
        <f t="shared" si="37"/>
        <v>0</v>
      </c>
      <c r="DT30" s="173">
        <v>35</v>
      </c>
      <c r="DU30" s="174" t="s">
        <v>137</v>
      </c>
      <c r="DV30" s="173">
        <v>36</v>
      </c>
      <c r="DW30" s="174" t="s">
        <v>136</v>
      </c>
      <c r="DX30" s="173">
        <v>37</v>
      </c>
      <c r="DY30" s="173"/>
      <c r="DZ30" s="173"/>
      <c r="EA30" s="665"/>
      <c r="EB30" s="1253" t="s">
        <v>2429</v>
      </c>
      <c r="EC30" s="537">
        <v>4499000000</v>
      </c>
      <c r="EE30" s="733">
        <v>100</v>
      </c>
      <c r="EF30" s="706"/>
    </row>
    <row r="31" spans="4:136" s="302" customFormat="1" ht="409.5" hidden="1">
      <c r="D31" s="520">
        <v>28</v>
      </c>
      <c r="E31" s="534">
        <v>47</v>
      </c>
      <c r="F31" s="523" t="s">
        <v>43</v>
      </c>
      <c r="G31" s="479" t="s">
        <v>8</v>
      </c>
      <c r="H31" s="524" t="s">
        <v>2652</v>
      </c>
      <c r="I31" s="462" t="s">
        <v>187</v>
      </c>
      <c r="J31" s="335" t="s">
        <v>228</v>
      </c>
      <c r="K31" s="335" t="s">
        <v>229</v>
      </c>
      <c r="L31" s="453" t="s">
        <v>2017</v>
      </c>
      <c r="M31" s="333" t="s">
        <v>1771</v>
      </c>
      <c r="N31" s="333">
        <v>64</v>
      </c>
      <c r="O31" s="333">
        <f t="shared" si="41"/>
        <v>134</v>
      </c>
      <c r="P31" s="332">
        <v>70</v>
      </c>
      <c r="Q31" s="357">
        <v>0.25</v>
      </c>
      <c r="R31" s="342">
        <f t="shared" si="0"/>
        <v>8.9285714285714288E-2</v>
      </c>
      <c r="S31" s="459">
        <v>25</v>
      </c>
      <c r="T31" s="387">
        <f t="shared" si="1"/>
        <v>0.35714285714285715</v>
      </c>
      <c r="U31" s="670">
        <v>25</v>
      </c>
      <c r="V31" s="388">
        <f t="shared" si="2"/>
        <v>25</v>
      </c>
      <c r="W31" s="356">
        <f t="shared" si="3"/>
        <v>100</v>
      </c>
      <c r="X31" s="356">
        <f t="shared" si="4"/>
        <v>100</v>
      </c>
      <c r="Y31" s="356">
        <f t="shared" si="40"/>
        <v>8.9285714285714288E-2</v>
      </c>
      <c r="Z31" s="356">
        <f t="shared" si="6"/>
        <v>100</v>
      </c>
      <c r="AA31" s="313">
        <v>624000000</v>
      </c>
      <c r="AB31" s="313">
        <v>624000000</v>
      </c>
      <c r="AC31" s="313">
        <v>0</v>
      </c>
      <c r="AD31" s="313">
        <v>0</v>
      </c>
      <c r="AE31" s="313">
        <v>0</v>
      </c>
      <c r="AF31" s="313">
        <v>0</v>
      </c>
      <c r="AG31" s="313">
        <v>0</v>
      </c>
      <c r="AH31" s="313">
        <v>0</v>
      </c>
      <c r="AI31" s="313">
        <v>89999000</v>
      </c>
      <c r="AJ31" s="313">
        <v>89999000</v>
      </c>
      <c r="AK31" s="313">
        <v>0</v>
      </c>
      <c r="AL31" s="313">
        <v>0</v>
      </c>
      <c r="AM31" s="313">
        <v>0</v>
      </c>
      <c r="AN31" s="313">
        <v>0</v>
      </c>
      <c r="AO31" s="313">
        <v>0</v>
      </c>
      <c r="AP31" s="313">
        <v>0</v>
      </c>
      <c r="AQ31" s="313">
        <v>0</v>
      </c>
      <c r="AR31" s="313">
        <v>0</v>
      </c>
      <c r="AS31" s="313" t="s">
        <v>1798</v>
      </c>
      <c r="AT31" s="333">
        <f t="shared" si="7"/>
        <v>0.10357142857142858</v>
      </c>
      <c r="AU31" s="333">
        <v>29</v>
      </c>
      <c r="AV31" s="387">
        <f t="shared" si="8"/>
        <v>0.41428571428571431</v>
      </c>
      <c r="AW31" s="677">
        <v>29</v>
      </c>
      <c r="AX31" s="474">
        <f t="shared" si="9"/>
        <v>29</v>
      </c>
      <c r="AY31" s="474">
        <f t="shared" si="10"/>
        <v>100</v>
      </c>
      <c r="AZ31" s="474">
        <f t="shared" si="11"/>
        <v>100</v>
      </c>
      <c r="BA31" s="356">
        <f t="shared" si="12"/>
        <v>0.10357142857142858</v>
      </c>
      <c r="BB31" s="356">
        <f t="shared" si="13"/>
        <v>100</v>
      </c>
      <c r="BC31" s="313">
        <v>450000000</v>
      </c>
      <c r="BD31" s="313">
        <v>0</v>
      </c>
      <c r="BE31" s="313">
        <v>450000000</v>
      </c>
      <c r="BF31" s="313">
        <v>0</v>
      </c>
      <c r="BG31" s="313">
        <v>0</v>
      </c>
      <c r="BH31" s="313">
        <v>0</v>
      </c>
      <c r="BI31" s="313">
        <v>0</v>
      </c>
      <c r="BJ31" s="313">
        <v>0</v>
      </c>
      <c r="BK31" s="473">
        <v>550000000</v>
      </c>
      <c r="BL31" s="472">
        <v>550000000</v>
      </c>
      <c r="BM31" s="472">
        <v>0</v>
      </c>
      <c r="BN31" s="472">
        <v>0</v>
      </c>
      <c r="BO31" s="472">
        <v>0</v>
      </c>
      <c r="BP31" s="472">
        <v>0</v>
      </c>
      <c r="BQ31" s="472">
        <v>0</v>
      </c>
      <c r="BR31" s="472">
        <v>0</v>
      </c>
      <c r="BS31" s="472">
        <v>0</v>
      </c>
      <c r="BT31" s="472">
        <v>672000000</v>
      </c>
      <c r="BU31" s="472" t="s">
        <v>2016</v>
      </c>
      <c r="BV31" s="342">
        <f t="shared" si="14"/>
        <v>2.8571428571428571E-2</v>
      </c>
      <c r="BW31" s="350">
        <v>8</v>
      </c>
      <c r="BX31" s="385">
        <f t="shared" si="15"/>
        <v>0.11428571428571428</v>
      </c>
      <c r="BY31" s="369">
        <v>0</v>
      </c>
      <c r="BZ31" s="391">
        <v>0</v>
      </c>
      <c r="CA31" s="689">
        <v>32.990001678466797</v>
      </c>
      <c r="CB31" s="471">
        <f t="shared" si="16"/>
        <v>32.990001678466797</v>
      </c>
      <c r="CC31" s="471">
        <f t="shared" si="17"/>
        <v>412.37502098083496</v>
      </c>
      <c r="CD31" s="470">
        <f t="shared" si="18"/>
        <v>100</v>
      </c>
      <c r="CE31" s="380">
        <f t="shared" si="19"/>
        <v>2.8571428571428571E-2</v>
      </c>
      <c r="CF31" s="469">
        <f t="shared" si="20"/>
        <v>100</v>
      </c>
      <c r="CG31" s="380">
        <f t="shared" si="21"/>
        <v>0.11782143456595284</v>
      </c>
      <c r="CH31" s="468">
        <f t="shared" si="22"/>
        <v>2.8571428571428571E-2</v>
      </c>
      <c r="CI31" s="418">
        <v>8</v>
      </c>
      <c r="CJ31" s="318">
        <f t="shared" si="23"/>
        <v>0.11428571428571428</v>
      </c>
      <c r="CK31" s="1259">
        <v>0</v>
      </c>
      <c r="CL31" s="301">
        <f t="shared" si="24"/>
        <v>8</v>
      </c>
      <c r="CM31" s="381">
        <f t="shared" si="25"/>
        <v>0</v>
      </c>
      <c r="CN31" s="381">
        <f t="shared" si="26"/>
        <v>0</v>
      </c>
      <c r="CO31" s="316">
        <f t="shared" si="27"/>
        <v>0</v>
      </c>
      <c r="CP31" s="381">
        <f t="shared" si="28"/>
        <v>0</v>
      </c>
      <c r="CQ31" s="381">
        <f t="shared" si="29"/>
        <v>0</v>
      </c>
      <c r="CR31" s="313">
        <v>1039000000</v>
      </c>
      <c r="CS31" s="313">
        <v>1039000000</v>
      </c>
      <c r="CT31" s="313">
        <v>0</v>
      </c>
      <c r="CU31" s="313">
        <v>0</v>
      </c>
      <c r="CV31" s="313">
        <v>0</v>
      </c>
      <c r="CW31" s="313">
        <v>0</v>
      </c>
      <c r="CX31" s="313">
        <v>0</v>
      </c>
      <c r="CY31" s="313">
        <v>0</v>
      </c>
      <c r="CZ31" s="380">
        <v>0</v>
      </c>
      <c r="DA31" s="380">
        <v>0</v>
      </c>
      <c r="DB31" s="380">
        <v>0</v>
      </c>
      <c r="DC31" s="380">
        <v>0</v>
      </c>
      <c r="DD31" s="380">
        <v>0</v>
      </c>
      <c r="DE31" s="380">
        <v>0</v>
      </c>
      <c r="DF31" s="380">
        <v>0</v>
      </c>
      <c r="DG31" s="380">
        <v>0</v>
      </c>
      <c r="DH31" s="380">
        <v>0</v>
      </c>
      <c r="DI31" s="380">
        <v>0</v>
      </c>
      <c r="DJ31" s="380">
        <v>0</v>
      </c>
      <c r="DK31" s="702">
        <f t="shared" si="30"/>
        <v>86.990001678466797</v>
      </c>
      <c r="DL31" s="311">
        <f t="shared" si="31"/>
        <v>0.25</v>
      </c>
      <c r="DM31" s="310">
        <f t="shared" si="32"/>
        <v>124.27143096923828</v>
      </c>
      <c r="DN31" s="356">
        <f t="shared" si="33"/>
        <v>100</v>
      </c>
      <c r="DO31" s="308">
        <f t="shared" si="34"/>
        <v>0.25</v>
      </c>
      <c r="DP31" s="359">
        <f t="shared" si="42"/>
        <v>0.25</v>
      </c>
      <c r="DQ31" s="306">
        <f t="shared" si="35"/>
        <v>0.25</v>
      </c>
      <c r="DR31" s="379">
        <f t="shared" si="36"/>
        <v>1</v>
      </c>
      <c r="DS31" s="378">
        <f t="shared" si="37"/>
        <v>0</v>
      </c>
      <c r="DT31" s="173">
        <v>38</v>
      </c>
      <c r="DU31" s="174" t="s">
        <v>230</v>
      </c>
      <c r="DV31" s="173">
        <v>75</v>
      </c>
      <c r="DW31" s="174" t="s">
        <v>231</v>
      </c>
      <c r="DX31" s="173">
        <v>76</v>
      </c>
      <c r="DY31" s="173">
        <v>77</v>
      </c>
      <c r="DZ31" s="173"/>
      <c r="EA31" s="665"/>
      <c r="EB31" s="1253" t="s">
        <v>2482</v>
      </c>
      <c r="EC31" s="537">
        <v>127000000</v>
      </c>
      <c r="EE31" s="733">
        <v>100</v>
      </c>
      <c r="EF31" s="706"/>
    </row>
    <row r="32" spans="4:136" s="302" customFormat="1" ht="60" hidden="1">
      <c r="D32" s="520">
        <v>29</v>
      </c>
      <c r="E32" s="534">
        <v>48</v>
      </c>
      <c r="F32" s="523" t="s">
        <v>43</v>
      </c>
      <c r="G32" s="523" t="s">
        <v>8</v>
      </c>
      <c r="H32" s="524" t="s">
        <v>2652</v>
      </c>
      <c r="I32" s="462" t="s">
        <v>187</v>
      </c>
      <c r="J32" s="335" t="s">
        <v>232</v>
      </c>
      <c r="K32" s="335" t="s">
        <v>233</v>
      </c>
      <c r="L32" s="454" t="s">
        <v>2009</v>
      </c>
      <c r="M32" s="333" t="s">
        <v>1771</v>
      </c>
      <c r="N32" s="333">
        <v>0</v>
      </c>
      <c r="O32" s="333">
        <f t="shared" si="41"/>
        <v>200</v>
      </c>
      <c r="P32" s="332">
        <v>200</v>
      </c>
      <c r="Q32" s="357">
        <v>0.16500000000000001</v>
      </c>
      <c r="R32" s="342">
        <f t="shared" si="0"/>
        <v>0</v>
      </c>
      <c r="S32" s="459">
        <v>0</v>
      </c>
      <c r="T32" s="387">
        <f t="shared" si="1"/>
        <v>0</v>
      </c>
      <c r="U32" s="670">
        <v>0</v>
      </c>
      <c r="V32" s="388">
        <f t="shared" si="2"/>
        <v>0</v>
      </c>
      <c r="W32" s="356">
        <f t="shared" si="3"/>
        <v>0</v>
      </c>
      <c r="X32" s="356">
        <f t="shared" si="4"/>
        <v>0</v>
      </c>
      <c r="Y32" s="356">
        <f t="shared" si="40"/>
        <v>0</v>
      </c>
      <c r="Z32" s="356">
        <f t="shared" si="6"/>
        <v>0</v>
      </c>
      <c r="AA32" s="313">
        <v>0</v>
      </c>
      <c r="AB32" s="313">
        <v>0</v>
      </c>
      <c r="AC32" s="313">
        <v>0</v>
      </c>
      <c r="AD32" s="313">
        <v>0</v>
      </c>
      <c r="AE32" s="313">
        <v>0</v>
      </c>
      <c r="AF32" s="313">
        <v>0</v>
      </c>
      <c r="AG32" s="313">
        <v>0</v>
      </c>
      <c r="AH32" s="313">
        <v>0</v>
      </c>
      <c r="AI32" s="313">
        <v>0</v>
      </c>
      <c r="AJ32" s="313">
        <v>0</v>
      </c>
      <c r="AK32" s="313">
        <v>0</v>
      </c>
      <c r="AL32" s="313">
        <v>0</v>
      </c>
      <c r="AM32" s="313">
        <v>0</v>
      </c>
      <c r="AN32" s="313">
        <v>0</v>
      </c>
      <c r="AO32" s="313">
        <v>0</v>
      </c>
      <c r="AP32" s="313">
        <v>0</v>
      </c>
      <c r="AQ32" s="313">
        <v>0</v>
      </c>
      <c r="AR32" s="313">
        <v>0</v>
      </c>
      <c r="AS32" s="313" t="s">
        <v>1798</v>
      </c>
      <c r="AT32" s="333">
        <f t="shared" si="7"/>
        <v>4.1250000000000002E-2</v>
      </c>
      <c r="AU32" s="333">
        <v>50</v>
      </c>
      <c r="AV32" s="387">
        <f t="shared" si="8"/>
        <v>0.25</v>
      </c>
      <c r="AW32" s="677">
        <v>41</v>
      </c>
      <c r="AX32" s="474">
        <f t="shared" si="9"/>
        <v>41</v>
      </c>
      <c r="AY32" s="474">
        <f t="shared" si="10"/>
        <v>82</v>
      </c>
      <c r="AZ32" s="474">
        <f t="shared" si="11"/>
        <v>82</v>
      </c>
      <c r="BA32" s="356">
        <f t="shared" si="12"/>
        <v>3.3825000000000001E-2</v>
      </c>
      <c r="BB32" s="356">
        <f t="shared" si="13"/>
        <v>82</v>
      </c>
      <c r="BC32" s="313">
        <v>300000000</v>
      </c>
      <c r="BD32" s="313">
        <v>0</v>
      </c>
      <c r="BE32" s="313">
        <v>300000000</v>
      </c>
      <c r="BF32" s="313">
        <v>0</v>
      </c>
      <c r="BG32" s="313">
        <v>0</v>
      </c>
      <c r="BH32" s="313">
        <v>0</v>
      </c>
      <c r="BI32" s="313">
        <v>0</v>
      </c>
      <c r="BJ32" s="313">
        <v>0</v>
      </c>
      <c r="BK32" s="473">
        <v>127332000</v>
      </c>
      <c r="BL32" s="472">
        <v>127332000</v>
      </c>
      <c r="BM32" s="472">
        <v>0</v>
      </c>
      <c r="BN32" s="472">
        <v>0</v>
      </c>
      <c r="BO32" s="472">
        <v>0</v>
      </c>
      <c r="BP32" s="472">
        <v>0</v>
      </c>
      <c r="BQ32" s="472">
        <v>0</v>
      </c>
      <c r="BR32" s="472">
        <v>0</v>
      </c>
      <c r="BS32" s="472">
        <v>0</v>
      </c>
      <c r="BT32" s="472">
        <v>0</v>
      </c>
      <c r="BU32" s="472">
        <v>0</v>
      </c>
      <c r="BV32" s="342">
        <f t="shared" si="14"/>
        <v>8.2500000000000004E-2</v>
      </c>
      <c r="BW32" s="350">
        <v>100</v>
      </c>
      <c r="BX32" s="385">
        <f t="shared" si="15"/>
        <v>0.5</v>
      </c>
      <c r="BY32" s="369">
        <v>0</v>
      </c>
      <c r="BZ32" s="391">
        <v>0</v>
      </c>
      <c r="CA32" s="689">
        <v>131</v>
      </c>
      <c r="CB32" s="471">
        <f t="shared" si="16"/>
        <v>131</v>
      </c>
      <c r="CC32" s="471">
        <f t="shared" si="17"/>
        <v>131</v>
      </c>
      <c r="CD32" s="470">
        <f t="shared" si="18"/>
        <v>100</v>
      </c>
      <c r="CE32" s="380">
        <f t="shared" si="19"/>
        <v>8.2500000000000004E-2</v>
      </c>
      <c r="CF32" s="469">
        <f t="shared" si="20"/>
        <v>100</v>
      </c>
      <c r="CG32" s="380">
        <f t="shared" si="21"/>
        <v>0.108075</v>
      </c>
      <c r="CH32" s="468">
        <f t="shared" si="22"/>
        <v>4.1250000000000002E-2</v>
      </c>
      <c r="CI32" s="319">
        <v>50</v>
      </c>
      <c r="CJ32" s="318">
        <f t="shared" si="23"/>
        <v>0.25</v>
      </c>
      <c r="CK32" s="1259">
        <v>128</v>
      </c>
      <c r="CL32" s="301">
        <f t="shared" si="24"/>
        <v>-78</v>
      </c>
      <c r="CM32" s="381">
        <f t="shared" si="25"/>
        <v>128</v>
      </c>
      <c r="CN32" s="381">
        <f t="shared" si="26"/>
        <v>256</v>
      </c>
      <c r="CO32" s="316">
        <f t="shared" si="27"/>
        <v>100</v>
      </c>
      <c r="CP32" s="381">
        <f t="shared" si="28"/>
        <v>4.1250000000000002E-2</v>
      </c>
      <c r="CQ32" s="381">
        <f t="shared" si="29"/>
        <v>0.1056</v>
      </c>
      <c r="CR32" s="313">
        <v>350000000</v>
      </c>
      <c r="CS32" s="313">
        <v>350000000</v>
      </c>
      <c r="CT32" s="313">
        <v>0</v>
      </c>
      <c r="CU32" s="313">
        <v>0</v>
      </c>
      <c r="CV32" s="313">
        <v>0</v>
      </c>
      <c r="CW32" s="313">
        <v>0</v>
      </c>
      <c r="CX32" s="313">
        <v>0</v>
      </c>
      <c r="CY32" s="313">
        <v>0</v>
      </c>
      <c r="CZ32" s="380">
        <v>0</v>
      </c>
      <c r="DA32" s="380">
        <v>0</v>
      </c>
      <c r="DB32" s="380">
        <v>0</v>
      </c>
      <c r="DC32" s="380">
        <v>0</v>
      </c>
      <c r="DD32" s="380">
        <v>0</v>
      </c>
      <c r="DE32" s="380">
        <v>0</v>
      </c>
      <c r="DF32" s="380">
        <v>0</v>
      </c>
      <c r="DG32" s="380">
        <v>0</v>
      </c>
      <c r="DH32" s="380">
        <v>0</v>
      </c>
      <c r="DI32" s="380">
        <v>0</v>
      </c>
      <c r="DJ32" s="380">
        <v>0</v>
      </c>
      <c r="DK32" s="702">
        <f t="shared" si="30"/>
        <v>300</v>
      </c>
      <c r="DL32" s="311">
        <f t="shared" si="31"/>
        <v>0.16500000000000001</v>
      </c>
      <c r="DM32" s="310">
        <f t="shared" si="32"/>
        <v>150</v>
      </c>
      <c r="DN32" s="356">
        <f t="shared" si="33"/>
        <v>100</v>
      </c>
      <c r="DO32" s="308">
        <f t="shared" si="34"/>
        <v>0.16500000000000001</v>
      </c>
      <c r="DP32" s="359">
        <f t="shared" si="42"/>
        <v>0.16500000000000001</v>
      </c>
      <c r="DQ32" s="306">
        <f t="shared" si="35"/>
        <v>0.16500000000000001</v>
      </c>
      <c r="DR32" s="379">
        <f t="shared" si="36"/>
        <v>1</v>
      </c>
      <c r="DS32" s="378">
        <f t="shared" si="37"/>
        <v>0</v>
      </c>
      <c r="DT32" s="173">
        <v>36</v>
      </c>
      <c r="DU32" s="174" t="s">
        <v>136</v>
      </c>
      <c r="DV32" s="173"/>
      <c r="DW32" s="174" t="s">
        <v>84</v>
      </c>
      <c r="DX32" s="173"/>
      <c r="DY32" s="173"/>
      <c r="DZ32" s="173"/>
      <c r="EA32" s="665"/>
      <c r="EB32" s="1254" t="s">
        <v>2483</v>
      </c>
      <c r="EC32" s="537">
        <v>4320000000</v>
      </c>
      <c r="EE32" s="734">
        <v>600</v>
      </c>
      <c r="EF32" s="706"/>
    </row>
    <row r="33" spans="4:136" s="302" customFormat="1" ht="144" hidden="1">
      <c r="D33" s="520">
        <v>30</v>
      </c>
      <c r="E33" s="534">
        <v>49</v>
      </c>
      <c r="F33" s="523" t="s">
        <v>43</v>
      </c>
      <c r="G33" s="523" t="s">
        <v>8</v>
      </c>
      <c r="H33" s="524" t="s">
        <v>2652</v>
      </c>
      <c r="I33" s="462" t="s">
        <v>187</v>
      </c>
      <c r="J33" s="335" t="s">
        <v>234</v>
      </c>
      <c r="K33" s="335" t="s">
        <v>235</v>
      </c>
      <c r="L33" s="454" t="s">
        <v>1959</v>
      </c>
      <c r="M33" s="333" t="s">
        <v>1771</v>
      </c>
      <c r="N33" s="333">
        <v>76</v>
      </c>
      <c r="O33" s="333">
        <f t="shared" si="41"/>
        <v>152</v>
      </c>
      <c r="P33" s="332">
        <v>76</v>
      </c>
      <c r="Q33" s="357">
        <v>0.16500000000000001</v>
      </c>
      <c r="R33" s="342">
        <f t="shared" si="0"/>
        <v>4.1250000000000002E-2</v>
      </c>
      <c r="S33" s="459">
        <v>19</v>
      </c>
      <c r="T33" s="387">
        <f t="shared" si="1"/>
        <v>0.25</v>
      </c>
      <c r="U33" s="670">
        <v>0</v>
      </c>
      <c r="V33" s="388">
        <f t="shared" si="2"/>
        <v>0</v>
      </c>
      <c r="W33" s="356">
        <f t="shared" si="3"/>
        <v>0</v>
      </c>
      <c r="X33" s="356">
        <f t="shared" si="4"/>
        <v>0</v>
      </c>
      <c r="Y33" s="356">
        <f t="shared" si="40"/>
        <v>0</v>
      </c>
      <c r="Z33" s="356">
        <f t="shared" si="6"/>
        <v>0</v>
      </c>
      <c r="AA33" s="313">
        <v>126000000</v>
      </c>
      <c r="AB33" s="313">
        <v>126000000</v>
      </c>
      <c r="AC33" s="313">
        <v>0</v>
      </c>
      <c r="AD33" s="313">
        <v>0</v>
      </c>
      <c r="AE33" s="313">
        <v>0</v>
      </c>
      <c r="AF33" s="313">
        <v>0</v>
      </c>
      <c r="AG33" s="313">
        <v>0</v>
      </c>
      <c r="AH33" s="313">
        <v>0</v>
      </c>
      <c r="AI33" s="313">
        <v>195744000</v>
      </c>
      <c r="AJ33" s="313">
        <v>195744000</v>
      </c>
      <c r="AK33" s="313">
        <v>0</v>
      </c>
      <c r="AL33" s="313">
        <v>0</v>
      </c>
      <c r="AM33" s="313">
        <v>0</v>
      </c>
      <c r="AN33" s="313">
        <v>0</v>
      </c>
      <c r="AO33" s="313">
        <v>0</v>
      </c>
      <c r="AP33" s="313">
        <v>0</v>
      </c>
      <c r="AQ33" s="313">
        <v>0</v>
      </c>
      <c r="AR33" s="313">
        <v>0</v>
      </c>
      <c r="AS33" s="313" t="s">
        <v>1798</v>
      </c>
      <c r="AT33" s="333">
        <f t="shared" si="7"/>
        <v>4.1250000000000002E-2</v>
      </c>
      <c r="AU33" s="333">
        <v>19</v>
      </c>
      <c r="AV33" s="387">
        <f t="shared" si="8"/>
        <v>0.25</v>
      </c>
      <c r="AW33" s="677">
        <v>38</v>
      </c>
      <c r="AX33" s="474">
        <f t="shared" si="9"/>
        <v>38</v>
      </c>
      <c r="AY33" s="474">
        <f t="shared" si="10"/>
        <v>200</v>
      </c>
      <c r="AZ33" s="474">
        <f t="shared" si="11"/>
        <v>100</v>
      </c>
      <c r="BA33" s="356">
        <f t="shared" si="12"/>
        <v>4.1250000000000002E-2</v>
      </c>
      <c r="BB33" s="356">
        <f t="shared" si="13"/>
        <v>100</v>
      </c>
      <c r="BC33" s="313">
        <v>91000000</v>
      </c>
      <c r="BD33" s="313">
        <v>0</v>
      </c>
      <c r="BE33" s="313">
        <v>91000000</v>
      </c>
      <c r="BF33" s="313">
        <v>0</v>
      </c>
      <c r="BG33" s="313">
        <v>0</v>
      </c>
      <c r="BH33" s="313">
        <v>0</v>
      </c>
      <c r="BI33" s="313">
        <v>0</v>
      </c>
      <c r="BJ33" s="313">
        <v>0</v>
      </c>
      <c r="BK33" s="473">
        <v>231786291</v>
      </c>
      <c r="BL33" s="472">
        <v>231786291</v>
      </c>
      <c r="BM33" s="472">
        <v>0</v>
      </c>
      <c r="BN33" s="472">
        <v>0</v>
      </c>
      <c r="BO33" s="472">
        <v>0</v>
      </c>
      <c r="BP33" s="472">
        <v>0</v>
      </c>
      <c r="BQ33" s="472">
        <v>0</v>
      </c>
      <c r="BR33" s="472">
        <v>0</v>
      </c>
      <c r="BS33" s="472">
        <v>0</v>
      </c>
      <c r="BT33" s="472">
        <v>0</v>
      </c>
      <c r="BU33" s="472">
        <v>0</v>
      </c>
      <c r="BV33" s="342">
        <f t="shared" si="14"/>
        <v>4.1250000000000002E-2</v>
      </c>
      <c r="BW33" s="350">
        <v>19</v>
      </c>
      <c r="BX33" s="385">
        <f t="shared" si="15"/>
        <v>0.25</v>
      </c>
      <c r="BY33" s="369">
        <v>14</v>
      </c>
      <c r="BZ33" s="391">
        <v>14</v>
      </c>
      <c r="CA33" s="689">
        <v>19</v>
      </c>
      <c r="CB33" s="471">
        <f t="shared" si="16"/>
        <v>19</v>
      </c>
      <c r="CC33" s="471">
        <f t="shared" si="17"/>
        <v>100</v>
      </c>
      <c r="CD33" s="470">
        <f t="shared" si="18"/>
        <v>100</v>
      </c>
      <c r="CE33" s="380">
        <f t="shared" si="19"/>
        <v>4.1250000000000002E-2</v>
      </c>
      <c r="CF33" s="469">
        <f t="shared" si="20"/>
        <v>100</v>
      </c>
      <c r="CG33" s="380">
        <f t="shared" si="21"/>
        <v>4.1250000000000002E-2</v>
      </c>
      <c r="CH33" s="468">
        <f t="shared" si="22"/>
        <v>4.1250000000000002E-2</v>
      </c>
      <c r="CI33" s="319">
        <v>19</v>
      </c>
      <c r="CJ33" s="318">
        <f t="shared" si="23"/>
        <v>0.25</v>
      </c>
      <c r="CK33" s="1259">
        <v>88</v>
      </c>
      <c r="CL33" s="301">
        <f t="shared" si="24"/>
        <v>-69</v>
      </c>
      <c r="CM33" s="381">
        <f t="shared" si="25"/>
        <v>88</v>
      </c>
      <c r="CN33" s="381">
        <f t="shared" si="26"/>
        <v>463.15789473684208</v>
      </c>
      <c r="CO33" s="316">
        <f t="shared" si="27"/>
        <v>100</v>
      </c>
      <c r="CP33" s="381">
        <f t="shared" si="28"/>
        <v>4.1250000000000002E-2</v>
      </c>
      <c r="CQ33" s="381">
        <f t="shared" si="29"/>
        <v>0.19105263157894736</v>
      </c>
      <c r="CR33" s="313">
        <v>210000000</v>
      </c>
      <c r="CS33" s="313">
        <v>210000000</v>
      </c>
      <c r="CT33" s="313">
        <v>0</v>
      </c>
      <c r="CU33" s="313">
        <v>0</v>
      </c>
      <c r="CV33" s="313">
        <v>0</v>
      </c>
      <c r="CW33" s="313">
        <v>0</v>
      </c>
      <c r="CX33" s="313">
        <v>0</v>
      </c>
      <c r="CY33" s="313">
        <v>0</v>
      </c>
      <c r="CZ33" s="380">
        <v>0</v>
      </c>
      <c r="DA33" s="380">
        <v>0</v>
      </c>
      <c r="DB33" s="380">
        <v>0</v>
      </c>
      <c r="DC33" s="380">
        <v>0</v>
      </c>
      <c r="DD33" s="380">
        <v>0</v>
      </c>
      <c r="DE33" s="380">
        <v>0</v>
      </c>
      <c r="DF33" s="380">
        <v>0</v>
      </c>
      <c r="DG33" s="380">
        <v>0</v>
      </c>
      <c r="DH33" s="380">
        <v>0</v>
      </c>
      <c r="DI33" s="380">
        <v>0</v>
      </c>
      <c r="DJ33" s="380">
        <v>0</v>
      </c>
      <c r="DK33" s="702">
        <f t="shared" si="30"/>
        <v>145</v>
      </c>
      <c r="DL33" s="311">
        <f t="shared" si="31"/>
        <v>0.16500000000000001</v>
      </c>
      <c r="DM33" s="310">
        <f t="shared" si="32"/>
        <v>190.78947368421052</v>
      </c>
      <c r="DN33" s="356">
        <f t="shared" si="33"/>
        <v>100</v>
      </c>
      <c r="DO33" s="308">
        <f t="shared" si="34"/>
        <v>0.16500000000000001</v>
      </c>
      <c r="DP33" s="359">
        <f t="shared" si="42"/>
        <v>0.16500000000000001</v>
      </c>
      <c r="DQ33" s="306">
        <f t="shared" si="35"/>
        <v>0.16500000000000001</v>
      </c>
      <c r="DR33" s="379">
        <f t="shared" si="36"/>
        <v>1</v>
      </c>
      <c r="DS33" s="378">
        <f t="shared" si="37"/>
        <v>0</v>
      </c>
      <c r="DT33" s="173">
        <v>37</v>
      </c>
      <c r="DU33" s="174" t="s">
        <v>135</v>
      </c>
      <c r="DV33" s="173">
        <v>77</v>
      </c>
      <c r="DW33" s="174" t="s">
        <v>130</v>
      </c>
      <c r="DX33" s="173">
        <v>78</v>
      </c>
      <c r="DY33" s="173"/>
      <c r="DZ33" s="173"/>
      <c r="EA33" s="665"/>
      <c r="EB33" s="1254" t="s">
        <v>2430</v>
      </c>
      <c r="EC33" s="537">
        <v>400000000</v>
      </c>
      <c r="EE33" s="734">
        <v>0</v>
      </c>
      <c r="EF33" s="706"/>
    </row>
    <row r="34" spans="4:136" s="302" customFormat="1" ht="132" hidden="1">
      <c r="D34" s="520">
        <v>31</v>
      </c>
      <c r="E34" s="534">
        <v>50</v>
      </c>
      <c r="F34" s="523" t="s">
        <v>43</v>
      </c>
      <c r="G34" s="523" t="s">
        <v>8</v>
      </c>
      <c r="H34" s="524" t="s">
        <v>2652</v>
      </c>
      <c r="I34" s="462" t="s">
        <v>187</v>
      </c>
      <c r="J34" s="335" t="s">
        <v>236</v>
      </c>
      <c r="K34" s="335" t="s">
        <v>237</v>
      </c>
      <c r="L34" s="454" t="s">
        <v>1793</v>
      </c>
      <c r="M34" s="333" t="s">
        <v>1771</v>
      </c>
      <c r="N34" s="333">
        <v>33</v>
      </c>
      <c r="O34" s="333">
        <f t="shared" si="41"/>
        <v>133</v>
      </c>
      <c r="P34" s="332">
        <v>100</v>
      </c>
      <c r="Q34" s="357">
        <v>0.16500000000000001</v>
      </c>
      <c r="R34" s="342">
        <f t="shared" si="0"/>
        <v>0</v>
      </c>
      <c r="S34" s="459">
        <v>0</v>
      </c>
      <c r="T34" s="387">
        <f t="shared" si="1"/>
        <v>0</v>
      </c>
      <c r="U34" s="670">
        <v>0</v>
      </c>
      <c r="V34" s="388">
        <f t="shared" si="2"/>
        <v>0</v>
      </c>
      <c r="W34" s="356">
        <f t="shared" si="3"/>
        <v>0</v>
      </c>
      <c r="X34" s="356">
        <f t="shared" si="4"/>
        <v>0</v>
      </c>
      <c r="Y34" s="356">
        <f t="shared" si="40"/>
        <v>0</v>
      </c>
      <c r="Z34" s="356">
        <f t="shared" si="6"/>
        <v>0</v>
      </c>
      <c r="AA34" s="313">
        <v>311000000</v>
      </c>
      <c r="AB34" s="313">
        <v>311000000</v>
      </c>
      <c r="AC34" s="313">
        <v>0</v>
      </c>
      <c r="AD34" s="313">
        <v>0</v>
      </c>
      <c r="AE34" s="313">
        <v>0</v>
      </c>
      <c r="AF34" s="313">
        <v>0</v>
      </c>
      <c r="AG34" s="313">
        <v>0</v>
      </c>
      <c r="AH34" s="313">
        <v>0</v>
      </c>
      <c r="AI34" s="313">
        <v>0</v>
      </c>
      <c r="AJ34" s="313">
        <v>0</v>
      </c>
      <c r="AK34" s="313">
        <v>0</v>
      </c>
      <c r="AL34" s="313">
        <v>0</v>
      </c>
      <c r="AM34" s="313">
        <v>0</v>
      </c>
      <c r="AN34" s="313">
        <v>0</v>
      </c>
      <c r="AO34" s="313">
        <v>0</v>
      </c>
      <c r="AP34" s="313">
        <v>0</v>
      </c>
      <c r="AQ34" s="313">
        <v>0</v>
      </c>
      <c r="AR34" s="313">
        <v>0</v>
      </c>
      <c r="AS34" s="313" t="s">
        <v>1798</v>
      </c>
      <c r="AT34" s="333">
        <f t="shared" si="7"/>
        <v>4.1250000000000002E-2</v>
      </c>
      <c r="AU34" s="333">
        <v>25</v>
      </c>
      <c r="AV34" s="387">
        <f t="shared" si="8"/>
        <v>0.25</v>
      </c>
      <c r="AW34" s="677">
        <v>25</v>
      </c>
      <c r="AX34" s="474">
        <f t="shared" si="9"/>
        <v>25</v>
      </c>
      <c r="AY34" s="474">
        <f t="shared" si="10"/>
        <v>100</v>
      </c>
      <c r="AZ34" s="474">
        <f t="shared" si="11"/>
        <v>100</v>
      </c>
      <c r="BA34" s="356">
        <f t="shared" si="12"/>
        <v>4.1250000000000002E-2</v>
      </c>
      <c r="BB34" s="356">
        <f t="shared" si="13"/>
        <v>100</v>
      </c>
      <c r="BC34" s="313">
        <v>225000000</v>
      </c>
      <c r="BD34" s="313">
        <v>0</v>
      </c>
      <c r="BE34" s="313">
        <v>225000000</v>
      </c>
      <c r="BF34" s="313">
        <v>0</v>
      </c>
      <c r="BG34" s="313">
        <v>0</v>
      </c>
      <c r="BH34" s="313">
        <v>0</v>
      </c>
      <c r="BI34" s="313">
        <v>0</v>
      </c>
      <c r="BJ34" s="313">
        <v>0</v>
      </c>
      <c r="BK34" s="473">
        <v>240667040</v>
      </c>
      <c r="BL34" s="472">
        <v>240667040</v>
      </c>
      <c r="BM34" s="472">
        <v>0</v>
      </c>
      <c r="BN34" s="472">
        <v>0</v>
      </c>
      <c r="BO34" s="472">
        <v>0</v>
      </c>
      <c r="BP34" s="472">
        <v>0</v>
      </c>
      <c r="BQ34" s="472">
        <v>0</v>
      </c>
      <c r="BR34" s="472">
        <v>0</v>
      </c>
      <c r="BS34" s="472">
        <v>0</v>
      </c>
      <c r="BT34" s="472">
        <v>220900000</v>
      </c>
      <c r="BU34" s="472" t="s">
        <v>2015</v>
      </c>
      <c r="BV34" s="342">
        <f t="shared" si="14"/>
        <v>6.2700000000000006E-2</v>
      </c>
      <c r="BW34" s="350">
        <v>38</v>
      </c>
      <c r="BX34" s="385">
        <f t="shared" si="15"/>
        <v>0.38</v>
      </c>
      <c r="BY34" s="369">
        <v>14</v>
      </c>
      <c r="BZ34" s="391">
        <v>14</v>
      </c>
      <c r="CA34" s="689">
        <v>49</v>
      </c>
      <c r="CB34" s="471">
        <f t="shared" si="16"/>
        <v>49</v>
      </c>
      <c r="CC34" s="471">
        <f t="shared" si="17"/>
        <v>128.94736842105263</v>
      </c>
      <c r="CD34" s="470">
        <f t="shared" si="18"/>
        <v>100</v>
      </c>
      <c r="CE34" s="380">
        <f t="shared" si="19"/>
        <v>6.2700000000000006E-2</v>
      </c>
      <c r="CF34" s="469">
        <f t="shared" si="20"/>
        <v>100</v>
      </c>
      <c r="CG34" s="380">
        <f t="shared" si="21"/>
        <v>8.0850000000000005E-2</v>
      </c>
      <c r="CH34" s="468">
        <f t="shared" si="22"/>
        <v>6.105E-2</v>
      </c>
      <c r="CI34" s="319">
        <v>37</v>
      </c>
      <c r="CJ34" s="318">
        <f t="shared" si="23"/>
        <v>0.37</v>
      </c>
      <c r="CK34" s="1259">
        <v>55</v>
      </c>
      <c r="CL34" s="301">
        <f t="shared" si="24"/>
        <v>-18</v>
      </c>
      <c r="CM34" s="381">
        <f t="shared" si="25"/>
        <v>55</v>
      </c>
      <c r="CN34" s="381">
        <f t="shared" si="26"/>
        <v>148.64864864864865</v>
      </c>
      <c r="CO34" s="316">
        <f t="shared" si="27"/>
        <v>100</v>
      </c>
      <c r="CP34" s="381">
        <f t="shared" si="28"/>
        <v>6.1050000000000007E-2</v>
      </c>
      <c r="CQ34" s="381">
        <f t="shared" si="29"/>
        <v>9.0749999999999997E-2</v>
      </c>
      <c r="CR34" s="313">
        <v>519000000</v>
      </c>
      <c r="CS34" s="313">
        <v>519000000</v>
      </c>
      <c r="CT34" s="313">
        <v>0</v>
      </c>
      <c r="CU34" s="313">
        <v>0</v>
      </c>
      <c r="CV34" s="313">
        <v>0</v>
      </c>
      <c r="CW34" s="313">
        <v>0</v>
      </c>
      <c r="CX34" s="313">
        <v>0</v>
      </c>
      <c r="CY34" s="313">
        <v>0</v>
      </c>
      <c r="CZ34" s="380">
        <v>0</v>
      </c>
      <c r="DA34" s="380">
        <v>0</v>
      </c>
      <c r="DB34" s="380">
        <v>0</v>
      </c>
      <c r="DC34" s="380">
        <v>0</v>
      </c>
      <c r="DD34" s="380">
        <v>0</v>
      </c>
      <c r="DE34" s="380">
        <v>0</v>
      </c>
      <c r="DF34" s="380">
        <v>0</v>
      </c>
      <c r="DG34" s="380">
        <v>0</v>
      </c>
      <c r="DH34" s="380">
        <v>0</v>
      </c>
      <c r="DI34" s="380">
        <v>0</v>
      </c>
      <c r="DJ34" s="380">
        <v>0</v>
      </c>
      <c r="DK34" s="702">
        <f t="shared" si="30"/>
        <v>129</v>
      </c>
      <c r="DL34" s="311">
        <f t="shared" si="31"/>
        <v>0.16500000000000001</v>
      </c>
      <c r="DM34" s="310">
        <f t="shared" si="32"/>
        <v>129</v>
      </c>
      <c r="DN34" s="356">
        <f t="shared" si="33"/>
        <v>100</v>
      </c>
      <c r="DO34" s="308">
        <f t="shared" si="34"/>
        <v>0.16500000000000001</v>
      </c>
      <c r="DP34" s="359">
        <f t="shared" si="42"/>
        <v>0.16500000000000001</v>
      </c>
      <c r="DQ34" s="306">
        <f t="shared" si="35"/>
        <v>0.16500000000000001</v>
      </c>
      <c r="DR34" s="379">
        <f t="shared" si="36"/>
        <v>1</v>
      </c>
      <c r="DS34" s="378">
        <f t="shared" si="37"/>
        <v>0</v>
      </c>
      <c r="DT34" s="173">
        <v>37</v>
      </c>
      <c r="DU34" s="174" t="s">
        <v>135</v>
      </c>
      <c r="DV34" s="173">
        <v>38</v>
      </c>
      <c r="DW34" s="174" t="s">
        <v>230</v>
      </c>
      <c r="DX34" s="173">
        <v>77</v>
      </c>
      <c r="DY34" s="173"/>
      <c r="DZ34" s="173"/>
      <c r="EA34" s="665"/>
      <c r="EB34" s="1254" t="s">
        <v>2484</v>
      </c>
      <c r="EC34" s="537">
        <v>1799000000</v>
      </c>
      <c r="EE34" s="734">
        <v>0</v>
      </c>
      <c r="EF34" s="706"/>
    </row>
    <row r="35" spans="4:136" s="302" customFormat="1" ht="395.25" hidden="1">
      <c r="D35" s="520">
        <v>32</v>
      </c>
      <c r="E35" s="534">
        <v>51</v>
      </c>
      <c r="F35" s="523" t="s">
        <v>43</v>
      </c>
      <c r="G35" s="523" t="s">
        <v>8</v>
      </c>
      <c r="H35" s="524" t="s">
        <v>2652</v>
      </c>
      <c r="I35" s="462" t="s">
        <v>187</v>
      </c>
      <c r="J35" s="335" t="s">
        <v>238</v>
      </c>
      <c r="K35" s="335" t="s">
        <v>239</v>
      </c>
      <c r="L35" s="453" t="s">
        <v>2013</v>
      </c>
      <c r="M35" s="333" t="s">
        <v>1785</v>
      </c>
      <c r="N35" s="333">
        <v>0</v>
      </c>
      <c r="O35" s="333">
        <f>+P35</f>
        <v>100</v>
      </c>
      <c r="P35" s="332">
        <v>100</v>
      </c>
      <c r="Q35" s="357">
        <v>0.25</v>
      </c>
      <c r="R35" s="342">
        <f t="shared" si="0"/>
        <v>6.25E-2</v>
      </c>
      <c r="S35" s="459">
        <v>100</v>
      </c>
      <c r="T35" s="387">
        <f t="shared" si="1"/>
        <v>0.25</v>
      </c>
      <c r="U35" s="670">
        <v>100</v>
      </c>
      <c r="V35" s="388">
        <f t="shared" si="2"/>
        <v>25</v>
      </c>
      <c r="W35" s="356">
        <f t="shared" si="3"/>
        <v>100</v>
      </c>
      <c r="X35" s="356">
        <f t="shared" si="4"/>
        <v>100</v>
      </c>
      <c r="Y35" s="356">
        <f t="shared" si="40"/>
        <v>6.25E-2</v>
      </c>
      <c r="Z35" s="356">
        <f t="shared" si="6"/>
        <v>100</v>
      </c>
      <c r="AA35" s="313">
        <v>75000000</v>
      </c>
      <c r="AB35" s="313">
        <v>75000000</v>
      </c>
      <c r="AC35" s="313">
        <v>0</v>
      </c>
      <c r="AD35" s="313">
        <v>0</v>
      </c>
      <c r="AE35" s="313">
        <v>0</v>
      </c>
      <c r="AF35" s="313">
        <v>0</v>
      </c>
      <c r="AG35" s="313">
        <v>0</v>
      </c>
      <c r="AH35" s="313">
        <v>0</v>
      </c>
      <c r="AI35" s="313">
        <v>620000000</v>
      </c>
      <c r="AJ35" s="313">
        <v>620000000</v>
      </c>
      <c r="AK35" s="313">
        <v>0</v>
      </c>
      <c r="AL35" s="313">
        <v>0</v>
      </c>
      <c r="AM35" s="313">
        <v>0</v>
      </c>
      <c r="AN35" s="313">
        <v>0</v>
      </c>
      <c r="AO35" s="313">
        <v>0</v>
      </c>
      <c r="AP35" s="313">
        <v>0</v>
      </c>
      <c r="AQ35" s="313">
        <v>0</v>
      </c>
      <c r="AR35" s="313">
        <v>0</v>
      </c>
      <c r="AS35" s="313" t="s">
        <v>1798</v>
      </c>
      <c r="AT35" s="333">
        <f t="shared" si="7"/>
        <v>6.25E-2</v>
      </c>
      <c r="AU35" s="333">
        <v>100</v>
      </c>
      <c r="AV35" s="387">
        <f t="shared" si="8"/>
        <v>0.25</v>
      </c>
      <c r="AW35" s="677">
        <v>100</v>
      </c>
      <c r="AX35" s="474">
        <f t="shared" si="9"/>
        <v>25</v>
      </c>
      <c r="AY35" s="474">
        <f t="shared" si="10"/>
        <v>100</v>
      </c>
      <c r="AZ35" s="474">
        <f t="shared" si="11"/>
        <v>100</v>
      </c>
      <c r="BA35" s="356">
        <f t="shared" si="12"/>
        <v>6.25E-2</v>
      </c>
      <c r="BB35" s="356">
        <f t="shared" si="13"/>
        <v>100</v>
      </c>
      <c r="BC35" s="313">
        <v>54000000</v>
      </c>
      <c r="BD35" s="313">
        <v>0</v>
      </c>
      <c r="BE35" s="313">
        <v>54000000</v>
      </c>
      <c r="BF35" s="313">
        <v>0</v>
      </c>
      <c r="BG35" s="313">
        <v>0</v>
      </c>
      <c r="BH35" s="313">
        <v>0</v>
      </c>
      <c r="BI35" s="313">
        <v>0</v>
      </c>
      <c r="BJ35" s="313">
        <v>0</v>
      </c>
      <c r="BK35" s="473">
        <v>235000000</v>
      </c>
      <c r="BL35" s="472">
        <v>235000000</v>
      </c>
      <c r="BM35" s="472">
        <v>0</v>
      </c>
      <c r="BN35" s="472">
        <v>0</v>
      </c>
      <c r="BO35" s="472">
        <v>0</v>
      </c>
      <c r="BP35" s="472">
        <v>0</v>
      </c>
      <c r="BQ35" s="472">
        <v>0</v>
      </c>
      <c r="BR35" s="472">
        <v>0</v>
      </c>
      <c r="BS35" s="472">
        <v>0</v>
      </c>
      <c r="BT35" s="472">
        <v>0</v>
      </c>
      <c r="BU35" s="472">
        <v>0</v>
      </c>
      <c r="BV35" s="342">
        <f t="shared" si="14"/>
        <v>6.25E-2</v>
      </c>
      <c r="BW35" s="350">
        <v>100</v>
      </c>
      <c r="BX35" s="385">
        <f t="shared" si="15"/>
        <v>0.25</v>
      </c>
      <c r="BY35" s="369">
        <v>100</v>
      </c>
      <c r="BZ35" s="391">
        <v>100</v>
      </c>
      <c r="CA35" s="689">
        <v>100</v>
      </c>
      <c r="CB35" s="471">
        <f t="shared" si="16"/>
        <v>25</v>
      </c>
      <c r="CC35" s="471">
        <f t="shared" si="17"/>
        <v>100</v>
      </c>
      <c r="CD35" s="470">
        <f t="shared" si="18"/>
        <v>100</v>
      </c>
      <c r="CE35" s="380">
        <f t="shared" si="19"/>
        <v>6.25E-2</v>
      </c>
      <c r="CF35" s="469">
        <f t="shared" si="20"/>
        <v>100</v>
      </c>
      <c r="CG35" s="380">
        <f t="shared" si="21"/>
        <v>6.25E-2</v>
      </c>
      <c r="CH35" s="468">
        <f t="shared" si="22"/>
        <v>6.25E-2</v>
      </c>
      <c r="CI35" s="319">
        <v>100</v>
      </c>
      <c r="CJ35" s="318">
        <f t="shared" si="23"/>
        <v>0.25</v>
      </c>
      <c r="CK35" s="1259">
        <v>100</v>
      </c>
      <c r="CL35" s="301">
        <f t="shared" si="24"/>
        <v>0</v>
      </c>
      <c r="CM35" s="381">
        <f t="shared" si="25"/>
        <v>25</v>
      </c>
      <c r="CN35" s="381">
        <f t="shared" si="26"/>
        <v>100</v>
      </c>
      <c r="CO35" s="381">
        <f t="shared" si="27"/>
        <v>100</v>
      </c>
      <c r="CP35" s="381">
        <f t="shared" si="28"/>
        <v>6.25E-2</v>
      </c>
      <c r="CQ35" s="381">
        <f t="shared" si="29"/>
        <v>6.25E-2</v>
      </c>
      <c r="CR35" s="313">
        <v>125000000</v>
      </c>
      <c r="CS35" s="313">
        <v>125000000</v>
      </c>
      <c r="CT35" s="313">
        <v>0</v>
      </c>
      <c r="CU35" s="313">
        <v>0</v>
      </c>
      <c r="CV35" s="313">
        <v>0</v>
      </c>
      <c r="CW35" s="313">
        <v>0</v>
      </c>
      <c r="CX35" s="313">
        <v>0</v>
      </c>
      <c r="CY35" s="313">
        <v>0</v>
      </c>
      <c r="CZ35" s="380">
        <v>0</v>
      </c>
      <c r="DA35" s="380">
        <v>0</v>
      </c>
      <c r="DB35" s="380">
        <v>0</v>
      </c>
      <c r="DC35" s="380">
        <v>0</v>
      </c>
      <c r="DD35" s="380">
        <v>0</v>
      </c>
      <c r="DE35" s="380">
        <v>0</v>
      </c>
      <c r="DF35" s="380">
        <v>0</v>
      </c>
      <c r="DG35" s="380">
        <v>0</v>
      </c>
      <c r="DH35" s="380">
        <v>0</v>
      </c>
      <c r="DI35" s="380">
        <v>0</v>
      </c>
      <c r="DJ35" s="380">
        <v>0</v>
      </c>
      <c r="DK35" s="702">
        <f t="shared" si="30"/>
        <v>100</v>
      </c>
      <c r="DL35" s="311">
        <f t="shared" si="31"/>
        <v>0.25</v>
      </c>
      <c r="DM35" s="310">
        <f t="shared" si="32"/>
        <v>100</v>
      </c>
      <c r="DN35" s="356">
        <f t="shared" si="33"/>
        <v>100</v>
      </c>
      <c r="DO35" s="308">
        <f t="shared" si="34"/>
        <v>0.25</v>
      </c>
      <c r="DP35" s="359">
        <f>+IF(M35="M",DO35,0)</f>
        <v>0.25</v>
      </c>
      <c r="DQ35" s="306">
        <f t="shared" si="35"/>
        <v>0.25</v>
      </c>
      <c r="DR35" s="379">
        <f t="shared" si="36"/>
        <v>1</v>
      </c>
      <c r="DS35" s="378">
        <f t="shared" si="37"/>
        <v>0</v>
      </c>
      <c r="DT35" s="173">
        <v>77</v>
      </c>
      <c r="DU35" s="174" t="s">
        <v>130</v>
      </c>
      <c r="DV35" s="173"/>
      <c r="DW35" s="174" t="s">
        <v>84</v>
      </c>
      <c r="DX35" s="173"/>
      <c r="DY35" s="173"/>
      <c r="DZ35" s="173"/>
      <c r="EA35" s="665"/>
      <c r="EB35" s="1254" t="s">
        <v>2607</v>
      </c>
      <c r="EC35" s="537">
        <v>21000000</v>
      </c>
      <c r="EE35" s="733">
        <v>116</v>
      </c>
      <c r="EF35" s="706"/>
    </row>
    <row r="36" spans="4:136" s="302" customFormat="1" ht="89.25" hidden="1">
      <c r="D36" s="520">
        <v>33</v>
      </c>
      <c r="E36" s="534">
        <v>52</v>
      </c>
      <c r="F36" s="523" t="s">
        <v>43</v>
      </c>
      <c r="G36" s="523" t="s">
        <v>11</v>
      </c>
      <c r="H36" s="524" t="s">
        <v>2652</v>
      </c>
      <c r="I36" s="462" t="s">
        <v>187</v>
      </c>
      <c r="J36" s="335" t="s">
        <v>240</v>
      </c>
      <c r="K36" s="335" t="s">
        <v>241</v>
      </c>
      <c r="L36" s="454" t="s">
        <v>1501</v>
      </c>
      <c r="M36" s="333" t="s">
        <v>1785</v>
      </c>
      <c r="N36" s="333">
        <v>587</v>
      </c>
      <c r="O36" s="333">
        <f>+P36</f>
        <v>600</v>
      </c>
      <c r="P36" s="332">
        <v>600</v>
      </c>
      <c r="Q36" s="357">
        <v>0.16500000000000001</v>
      </c>
      <c r="R36" s="342">
        <f t="shared" si="0"/>
        <v>4.1250000000000002E-2</v>
      </c>
      <c r="S36" s="459">
        <v>600</v>
      </c>
      <c r="T36" s="387">
        <f t="shared" si="1"/>
        <v>0.25</v>
      </c>
      <c r="U36" s="670">
        <v>590</v>
      </c>
      <c r="V36" s="388">
        <f t="shared" si="2"/>
        <v>147.5</v>
      </c>
      <c r="W36" s="356">
        <f t="shared" si="3"/>
        <v>98.333333333333329</v>
      </c>
      <c r="X36" s="356">
        <f t="shared" si="4"/>
        <v>98.333333333333329</v>
      </c>
      <c r="Y36" s="356">
        <f t="shared" si="40"/>
        <v>4.0562500000000001E-2</v>
      </c>
      <c r="Z36" s="356">
        <f t="shared" si="6"/>
        <v>98.333333333333329</v>
      </c>
      <c r="AA36" s="313">
        <v>4899000000</v>
      </c>
      <c r="AB36" s="313">
        <v>4899000000</v>
      </c>
      <c r="AC36" s="313">
        <v>0</v>
      </c>
      <c r="AD36" s="313">
        <v>0</v>
      </c>
      <c r="AE36" s="313">
        <v>0</v>
      </c>
      <c r="AF36" s="313">
        <v>0</v>
      </c>
      <c r="AG36" s="313">
        <v>0</v>
      </c>
      <c r="AH36" s="313">
        <v>0</v>
      </c>
      <c r="AI36" s="313">
        <v>3963593000</v>
      </c>
      <c r="AJ36" s="313">
        <v>3963593000</v>
      </c>
      <c r="AK36" s="313">
        <v>0</v>
      </c>
      <c r="AL36" s="313">
        <v>0</v>
      </c>
      <c r="AM36" s="313">
        <v>0</v>
      </c>
      <c r="AN36" s="313">
        <v>0</v>
      </c>
      <c r="AO36" s="313">
        <v>0</v>
      </c>
      <c r="AP36" s="313">
        <v>0</v>
      </c>
      <c r="AQ36" s="313">
        <v>0</v>
      </c>
      <c r="AR36" s="313">
        <v>0</v>
      </c>
      <c r="AS36" s="313" t="s">
        <v>1798</v>
      </c>
      <c r="AT36" s="333">
        <f t="shared" si="7"/>
        <v>4.1250000000000002E-2</v>
      </c>
      <c r="AU36" s="333">
        <v>600</v>
      </c>
      <c r="AV36" s="387">
        <f t="shared" si="8"/>
        <v>0.25</v>
      </c>
      <c r="AW36" s="677">
        <v>524</v>
      </c>
      <c r="AX36" s="474">
        <f t="shared" si="9"/>
        <v>131</v>
      </c>
      <c r="AY36" s="474">
        <f t="shared" si="10"/>
        <v>87.333333333333329</v>
      </c>
      <c r="AZ36" s="474">
        <f t="shared" si="11"/>
        <v>87.333333333333329</v>
      </c>
      <c r="BA36" s="356">
        <f t="shared" si="12"/>
        <v>3.6025000000000001E-2</v>
      </c>
      <c r="BB36" s="356">
        <f t="shared" si="13"/>
        <v>87.333333333333329</v>
      </c>
      <c r="BC36" s="313">
        <v>4899000000</v>
      </c>
      <c r="BD36" s="313">
        <v>0</v>
      </c>
      <c r="BE36" s="313">
        <v>4899000000</v>
      </c>
      <c r="BF36" s="313">
        <v>0</v>
      </c>
      <c r="BG36" s="313">
        <v>0</v>
      </c>
      <c r="BH36" s="313">
        <v>0</v>
      </c>
      <c r="BI36" s="313">
        <v>0</v>
      </c>
      <c r="BJ36" s="313">
        <v>0</v>
      </c>
      <c r="BK36" s="473">
        <v>3428022790</v>
      </c>
      <c r="BL36" s="472">
        <v>3428022790</v>
      </c>
      <c r="BM36" s="472">
        <v>0</v>
      </c>
      <c r="BN36" s="472">
        <v>0</v>
      </c>
      <c r="BO36" s="472">
        <v>0</v>
      </c>
      <c r="BP36" s="472">
        <v>0</v>
      </c>
      <c r="BQ36" s="472">
        <v>0</v>
      </c>
      <c r="BR36" s="472">
        <v>0</v>
      </c>
      <c r="BS36" s="472">
        <v>0</v>
      </c>
      <c r="BT36" s="472">
        <v>0</v>
      </c>
      <c r="BU36" s="472">
        <v>0</v>
      </c>
      <c r="BV36" s="342">
        <f t="shared" si="14"/>
        <v>4.1250000000000002E-2</v>
      </c>
      <c r="BW36" s="350">
        <v>600</v>
      </c>
      <c r="BX36" s="385">
        <f t="shared" si="15"/>
        <v>0.25</v>
      </c>
      <c r="BY36" s="369">
        <v>454</v>
      </c>
      <c r="BZ36" s="391">
        <v>454</v>
      </c>
      <c r="CA36" s="689">
        <v>474</v>
      </c>
      <c r="CB36" s="471">
        <f t="shared" si="16"/>
        <v>118.5</v>
      </c>
      <c r="CC36" s="471">
        <f t="shared" si="17"/>
        <v>79</v>
      </c>
      <c r="CD36" s="470">
        <f t="shared" si="18"/>
        <v>79</v>
      </c>
      <c r="CE36" s="380">
        <f t="shared" si="19"/>
        <v>3.2587499999999998E-2</v>
      </c>
      <c r="CF36" s="469">
        <f t="shared" si="20"/>
        <v>79</v>
      </c>
      <c r="CG36" s="380">
        <f t="shared" si="21"/>
        <v>3.2587499999999998E-2</v>
      </c>
      <c r="CH36" s="468">
        <f t="shared" si="22"/>
        <v>4.1250000000000002E-2</v>
      </c>
      <c r="CI36" s="319">
        <v>600</v>
      </c>
      <c r="CJ36" s="318">
        <f t="shared" si="23"/>
        <v>0.25</v>
      </c>
      <c r="CK36" s="1259">
        <v>762</v>
      </c>
      <c r="CL36" s="301">
        <f t="shared" si="24"/>
        <v>-162</v>
      </c>
      <c r="CM36" s="381">
        <f t="shared" si="25"/>
        <v>190.5</v>
      </c>
      <c r="CN36" s="381">
        <f t="shared" si="26"/>
        <v>127</v>
      </c>
      <c r="CO36" s="381">
        <f t="shared" si="27"/>
        <v>100</v>
      </c>
      <c r="CP36" s="381">
        <f t="shared" si="28"/>
        <v>4.1250000000000002E-2</v>
      </c>
      <c r="CQ36" s="381">
        <f t="shared" si="29"/>
        <v>5.2387500000000004E-2</v>
      </c>
      <c r="CR36" s="313">
        <v>4899000000</v>
      </c>
      <c r="CS36" s="313">
        <v>4899000000</v>
      </c>
      <c r="CT36" s="313">
        <v>0</v>
      </c>
      <c r="CU36" s="313">
        <v>0</v>
      </c>
      <c r="CV36" s="313">
        <v>0</v>
      </c>
      <c r="CW36" s="313">
        <v>0</v>
      </c>
      <c r="CX36" s="313">
        <v>0</v>
      </c>
      <c r="CY36" s="313">
        <v>0</v>
      </c>
      <c r="CZ36" s="380">
        <v>0</v>
      </c>
      <c r="DA36" s="380">
        <v>0</v>
      </c>
      <c r="DB36" s="380">
        <v>0</v>
      </c>
      <c r="DC36" s="380">
        <v>0</v>
      </c>
      <c r="DD36" s="380">
        <v>0</v>
      </c>
      <c r="DE36" s="380">
        <v>0</v>
      </c>
      <c r="DF36" s="380">
        <v>0</v>
      </c>
      <c r="DG36" s="380">
        <v>0</v>
      </c>
      <c r="DH36" s="380">
        <v>0</v>
      </c>
      <c r="DI36" s="380">
        <v>0</v>
      </c>
      <c r="DJ36" s="380">
        <v>0</v>
      </c>
      <c r="DK36" s="702">
        <f t="shared" si="30"/>
        <v>587.5</v>
      </c>
      <c r="DL36" s="311">
        <f t="shared" si="31"/>
        <v>0.16500000000000001</v>
      </c>
      <c r="DM36" s="310">
        <f t="shared" si="32"/>
        <v>97.916666666666671</v>
      </c>
      <c r="DN36" s="356">
        <f t="shared" si="33"/>
        <v>97.916666666666671</v>
      </c>
      <c r="DO36" s="308">
        <f t="shared" si="34"/>
        <v>0.1615625</v>
      </c>
      <c r="DP36" s="359">
        <f>+IF(M36="M",DO36,0)</f>
        <v>0.1615625</v>
      </c>
      <c r="DQ36" s="306">
        <f t="shared" si="35"/>
        <v>0.1615625</v>
      </c>
      <c r="DR36" s="379">
        <f t="shared" si="36"/>
        <v>1</v>
      </c>
      <c r="DS36" s="378">
        <f t="shared" si="37"/>
        <v>0</v>
      </c>
      <c r="DT36" s="173">
        <v>39</v>
      </c>
      <c r="DU36" s="174" t="s">
        <v>217</v>
      </c>
      <c r="DV36" s="173"/>
      <c r="DW36" s="174" t="s">
        <v>84</v>
      </c>
      <c r="DX36" s="173"/>
      <c r="DY36" s="173"/>
      <c r="DZ36" s="173"/>
      <c r="EA36" s="665"/>
      <c r="EB36" s="1254" t="s">
        <v>2087</v>
      </c>
      <c r="EC36" s="537">
        <v>960000000</v>
      </c>
      <c r="EE36" s="739">
        <v>0</v>
      </c>
      <c r="EF36" s="706"/>
    </row>
    <row r="37" spans="4:136" s="302" customFormat="1" ht="63.75" hidden="1">
      <c r="D37" s="520">
        <v>34</v>
      </c>
      <c r="E37" s="534">
        <v>53</v>
      </c>
      <c r="F37" s="523" t="s">
        <v>43</v>
      </c>
      <c r="G37" s="523" t="s">
        <v>7</v>
      </c>
      <c r="H37" s="524" t="s">
        <v>2652</v>
      </c>
      <c r="I37" s="462" t="s">
        <v>187</v>
      </c>
      <c r="J37" s="335" t="s">
        <v>242</v>
      </c>
      <c r="K37" s="335" t="s">
        <v>243</v>
      </c>
      <c r="L37" s="454" t="s">
        <v>1984</v>
      </c>
      <c r="M37" s="333" t="s">
        <v>1771</v>
      </c>
      <c r="N37" s="333">
        <v>132</v>
      </c>
      <c r="O37" s="333">
        <f>+N37+P37</f>
        <v>292</v>
      </c>
      <c r="P37" s="332">
        <v>160</v>
      </c>
      <c r="Q37" s="357">
        <v>0.16500000000000001</v>
      </c>
      <c r="R37" s="342">
        <f t="shared" si="0"/>
        <v>7.2187499999999995E-3</v>
      </c>
      <c r="S37" s="459">
        <v>7</v>
      </c>
      <c r="T37" s="387">
        <f t="shared" ref="T37:T68" si="43">IF($M37="M",0.25,(IF($P37&gt;0,S37/$P37," ")))</f>
        <v>4.3749999999999997E-2</v>
      </c>
      <c r="U37" s="670">
        <v>0</v>
      </c>
      <c r="V37" s="388">
        <f t="shared" ref="V37:V68" si="44">+IF(M37="I",(+U37),IF(M37="M",(+U37)/4,))</f>
        <v>0</v>
      </c>
      <c r="W37" s="356">
        <f t="shared" ref="W37:W68" si="45">IF(S37=0,0,+U37*100/S37)</f>
        <v>0</v>
      </c>
      <c r="X37" s="356">
        <f t="shared" si="4"/>
        <v>0</v>
      </c>
      <c r="Y37" s="356">
        <f t="shared" si="40"/>
        <v>0</v>
      </c>
      <c r="Z37" s="356">
        <f t="shared" si="6"/>
        <v>0</v>
      </c>
      <c r="AA37" s="313">
        <v>636000000</v>
      </c>
      <c r="AB37" s="313">
        <v>121000000</v>
      </c>
      <c r="AC37" s="313">
        <v>0</v>
      </c>
      <c r="AD37" s="313">
        <v>0</v>
      </c>
      <c r="AE37" s="313">
        <v>0</v>
      </c>
      <c r="AF37" s="313">
        <v>0</v>
      </c>
      <c r="AG37" s="313">
        <v>0</v>
      </c>
      <c r="AH37" s="313">
        <v>515000000</v>
      </c>
      <c r="AI37" s="313">
        <v>0</v>
      </c>
      <c r="AJ37" s="313">
        <v>0</v>
      </c>
      <c r="AK37" s="313">
        <v>0</v>
      </c>
      <c r="AL37" s="313">
        <v>0</v>
      </c>
      <c r="AM37" s="313">
        <v>0</v>
      </c>
      <c r="AN37" s="313">
        <v>0</v>
      </c>
      <c r="AO37" s="313">
        <v>0</v>
      </c>
      <c r="AP37" s="313">
        <v>0</v>
      </c>
      <c r="AQ37" s="313">
        <v>0</v>
      </c>
      <c r="AR37" s="313">
        <v>0</v>
      </c>
      <c r="AS37" s="313" t="s">
        <v>1798</v>
      </c>
      <c r="AT37" s="333">
        <f t="shared" si="7"/>
        <v>5.2593750000000002E-2</v>
      </c>
      <c r="AU37" s="333">
        <v>51</v>
      </c>
      <c r="AV37" s="387">
        <f t="shared" ref="AV37:AV68" si="46">IF($M37="M",0.25,(IF($P37&gt;0,AU37/$P37," ")))</f>
        <v>0.31874999999999998</v>
      </c>
      <c r="AW37" s="677">
        <v>70</v>
      </c>
      <c r="AX37" s="474">
        <f t="shared" ref="AX37:AX68" si="47">+IF(M37="I",(+AW37),IF(M37="M",(+AW37)/4,))</f>
        <v>70</v>
      </c>
      <c r="AY37" s="474">
        <f t="shared" ref="AY37:AY68" si="48">IF(AU37=0,0,+AW37*100/AU37)</f>
        <v>137.25490196078431</v>
      </c>
      <c r="AZ37" s="474">
        <f t="shared" si="11"/>
        <v>100</v>
      </c>
      <c r="BA37" s="356">
        <f t="shared" si="12"/>
        <v>5.2593750000000002E-2</v>
      </c>
      <c r="BB37" s="356">
        <f t="shared" si="13"/>
        <v>100</v>
      </c>
      <c r="BC37" s="313">
        <v>603000000</v>
      </c>
      <c r="BD37" s="313">
        <v>0</v>
      </c>
      <c r="BE37" s="313">
        <v>88000000</v>
      </c>
      <c r="BF37" s="313">
        <v>0</v>
      </c>
      <c r="BG37" s="313">
        <v>0</v>
      </c>
      <c r="BH37" s="313">
        <v>0</v>
      </c>
      <c r="BI37" s="313">
        <v>0</v>
      </c>
      <c r="BJ37" s="313">
        <v>515000000</v>
      </c>
      <c r="BK37" s="473">
        <v>140000000</v>
      </c>
      <c r="BL37" s="472">
        <v>140000000</v>
      </c>
      <c r="BM37" s="472">
        <v>0</v>
      </c>
      <c r="BN37" s="472">
        <v>0</v>
      </c>
      <c r="BO37" s="472">
        <v>0</v>
      </c>
      <c r="BP37" s="472">
        <v>0</v>
      </c>
      <c r="BQ37" s="472">
        <v>0</v>
      </c>
      <c r="BR37" s="472">
        <v>0</v>
      </c>
      <c r="BS37" s="472">
        <v>0</v>
      </c>
      <c r="BT37" s="472">
        <v>0</v>
      </c>
      <c r="BU37" s="472">
        <v>0</v>
      </c>
      <c r="BV37" s="342">
        <f t="shared" si="14"/>
        <v>5.2593750000000002E-2</v>
      </c>
      <c r="BW37" s="350">
        <v>51</v>
      </c>
      <c r="BX37" s="385">
        <f t="shared" ref="BX37:BX68" si="49">IF($M37="M",0.25,(IF($P37&gt;0,BW37/$P37," ")))</f>
        <v>0.31874999999999998</v>
      </c>
      <c r="BY37" s="399">
        <v>0</v>
      </c>
      <c r="BZ37" s="398">
        <v>0</v>
      </c>
      <c r="CA37" s="690">
        <v>0</v>
      </c>
      <c r="CB37" s="471">
        <f t="shared" ref="CB37:CB68" si="50">+IF(M37="I",(+CA37),IF(M37="M",(+CA37)/4,))</f>
        <v>0</v>
      </c>
      <c r="CC37" s="471">
        <f t="shared" ref="CC37:CC68" si="51">IF(BW37=0,0,+CA37*100/BW37)</f>
        <v>0</v>
      </c>
      <c r="CD37" s="470">
        <f t="shared" si="18"/>
        <v>0</v>
      </c>
      <c r="CE37" s="380">
        <f t="shared" si="19"/>
        <v>0</v>
      </c>
      <c r="CF37" s="469">
        <f t="shared" si="20"/>
        <v>0</v>
      </c>
      <c r="CG37" s="380">
        <f t="shared" si="21"/>
        <v>0</v>
      </c>
      <c r="CH37" s="468">
        <f t="shared" si="22"/>
        <v>5.2593750000000002E-2</v>
      </c>
      <c r="CI37" s="319">
        <v>51</v>
      </c>
      <c r="CJ37" s="318">
        <f t="shared" ref="CJ37:CJ68" si="52">IF($M37="M",0.25,(IF($P37&gt;0,CI37/$P37," ")))</f>
        <v>0.31874999999999998</v>
      </c>
      <c r="CK37" s="1259">
        <v>0</v>
      </c>
      <c r="CL37" s="301">
        <f t="shared" ref="CL37:CL68" si="53">+CI37-CK37</f>
        <v>51</v>
      </c>
      <c r="CM37" s="381">
        <f t="shared" ref="CM37:CM68" si="54">+IF(M37="I",(+CK37),IF(M37="M",(+CK37)/4,))</f>
        <v>0</v>
      </c>
      <c r="CN37" s="381">
        <f t="shared" ref="CN37:CN68" si="55">IF(CI37=0,0,+CK37*100/CI37)</f>
        <v>0</v>
      </c>
      <c r="CO37" s="316">
        <f t="shared" si="27"/>
        <v>0</v>
      </c>
      <c r="CP37" s="381">
        <f t="shared" si="28"/>
        <v>0</v>
      </c>
      <c r="CQ37" s="381">
        <f t="shared" si="29"/>
        <v>0</v>
      </c>
      <c r="CR37" s="313">
        <v>718000000</v>
      </c>
      <c r="CS37" s="313">
        <v>202000000</v>
      </c>
      <c r="CT37" s="313">
        <v>0</v>
      </c>
      <c r="CU37" s="313">
        <v>0</v>
      </c>
      <c r="CV37" s="313">
        <v>0</v>
      </c>
      <c r="CW37" s="313">
        <v>0</v>
      </c>
      <c r="CX37" s="313">
        <v>0</v>
      </c>
      <c r="CY37" s="313">
        <v>516000000</v>
      </c>
      <c r="CZ37" s="380">
        <v>0</v>
      </c>
      <c r="DA37" s="380">
        <v>0</v>
      </c>
      <c r="DB37" s="380">
        <v>0</v>
      </c>
      <c r="DC37" s="380">
        <v>0</v>
      </c>
      <c r="DD37" s="380">
        <v>0</v>
      </c>
      <c r="DE37" s="380">
        <v>0</v>
      </c>
      <c r="DF37" s="380">
        <v>0</v>
      </c>
      <c r="DG37" s="380">
        <v>0</v>
      </c>
      <c r="DH37" s="380">
        <v>0</v>
      </c>
      <c r="DI37" s="380">
        <v>0</v>
      </c>
      <c r="DJ37" s="380">
        <v>0</v>
      </c>
      <c r="DK37" s="702">
        <f t="shared" ref="DK37:DK68" si="56">+IF(M37="I",(+U37+AW37+CA37+CK37),IF(M37="M",(+U37+AW37+CA37+CK37)/4,))</f>
        <v>70</v>
      </c>
      <c r="DL37" s="311">
        <f t="shared" si="31"/>
        <v>0.16500000000000001</v>
      </c>
      <c r="DM37" s="310">
        <f t="shared" si="32"/>
        <v>43.75</v>
      </c>
      <c r="DN37" s="356">
        <f t="shared" si="33"/>
        <v>43.75</v>
      </c>
      <c r="DO37" s="308">
        <f t="shared" si="34"/>
        <v>7.2187500000000002E-2</v>
      </c>
      <c r="DP37" s="359">
        <f>+IF(((DN37*Q37)/100)&lt;Q37, ((DN37*Q37)/100),Q37)</f>
        <v>7.2187500000000002E-2</v>
      </c>
      <c r="DQ37" s="306">
        <f t="shared" si="35"/>
        <v>7.2187500000000002E-2</v>
      </c>
      <c r="DR37" s="379">
        <f t="shared" si="36"/>
        <v>0.99999999999999989</v>
      </c>
      <c r="DS37" s="378">
        <f t="shared" si="37"/>
        <v>0</v>
      </c>
      <c r="DT37" s="173">
        <v>39</v>
      </c>
      <c r="DU37" s="174" t="s">
        <v>217</v>
      </c>
      <c r="DV37" s="173"/>
      <c r="DW37" s="174" t="s">
        <v>84</v>
      </c>
      <c r="DX37" s="173"/>
      <c r="DY37" s="173"/>
      <c r="DZ37" s="173"/>
      <c r="EA37" s="665"/>
      <c r="EB37" s="1254" t="s">
        <v>2485</v>
      </c>
      <c r="EC37" s="537">
        <v>66250000</v>
      </c>
      <c r="EE37" s="735">
        <v>100</v>
      </c>
      <c r="EF37" s="706"/>
    </row>
    <row r="38" spans="4:136" s="302" customFormat="1" ht="102" hidden="1">
      <c r="D38" s="520">
        <v>35</v>
      </c>
      <c r="E38" s="534">
        <v>54</v>
      </c>
      <c r="F38" s="523" t="s">
        <v>43</v>
      </c>
      <c r="G38" s="523" t="s">
        <v>3</v>
      </c>
      <c r="H38" s="524" t="s">
        <v>2652</v>
      </c>
      <c r="I38" s="462" t="s">
        <v>187</v>
      </c>
      <c r="J38" s="335" t="s">
        <v>244</v>
      </c>
      <c r="K38" s="335" t="s">
        <v>245</v>
      </c>
      <c r="L38" s="454" t="s">
        <v>1501</v>
      </c>
      <c r="M38" s="333" t="s">
        <v>1771</v>
      </c>
      <c r="N38" s="333">
        <v>29489</v>
      </c>
      <c r="O38" s="333">
        <f>+N38+P38</f>
        <v>62717</v>
      </c>
      <c r="P38" s="332">
        <v>33228</v>
      </c>
      <c r="Q38" s="357">
        <v>0.16500000000000001</v>
      </c>
      <c r="R38" s="342">
        <f t="shared" si="0"/>
        <v>4.1250000000000002E-2</v>
      </c>
      <c r="S38" s="459">
        <v>8307</v>
      </c>
      <c r="T38" s="387">
        <f t="shared" si="43"/>
        <v>0.25</v>
      </c>
      <c r="U38" s="670">
        <v>9968</v>
      </c>
      <c r="V38" s="388">
        <f t="shared" si="44"/>
        <v>9968</v>
      </c>
      <c r="W38" s="356">
        <f t="shared" si="45"/>
        <v>119.99518478391718</v>
      </c>
      <c r="X38" s="356">
        <f t="shared" si="4"/>
        <v>100</v>
      </c>
      <c r="Y38" s="356">
        <f t="shared" si="40"/>
        <v>4.1250000000000002E-2</v>
      </c>
      <c r="Z38" s="356">
        <f t="shared" si="6"/>
        <v>100</v>
      </c>
      <c r="AA38" s="313">
        <v>522000000</v>
      </c>
      <c r="AB38" s="313">
        <v>522000000</v>
      </c>
      <c r="AC38" s="313">
        <v>0</v>
      </c>
      <c r="AD38" s="313">
        <v>0</v>
      </c>
      <c r="AE38" s="313">
        <v>0</v>
      </c>
      <c r="AF38" s="313">
        <v>0</v>
      </c>
      <c r="AG38" s="313">
        <v>0</v>
      </c>
      <c r="AH38" s="313">
        <v>0</v>
      </c>
      <c r="AI38" s="313">
        <v>337120000</v>
      </c>
      <c r="AJ38" s="313">
        <v>337120000</v>
      </c>
      <c r="AK38" s="313">
        <v>0</v>
      </c>
      <c r="AL38" s="313">
        <v>0</v>
      </c>
      <c r="AM38" s="313">
        <v>0</v>
      </c>
      <c r="AN38" s="313">
        <v>0</v>
      </c>
      <c r="AO38" s="313">
        <v>0</v>
      </c>
      <c r="AP38" s="313">
        <v>0</v>
      </c>
      <c r="AQ38" s="313">
        <v>0</v>
      </c>
      <c r="AR38" s="313">
        <v>0</v>
      </c>
      <c r="AS38" s="313" t="s">
        <v>1798</v>
      </c>
      <c r="AT38" s="333">
        <f t="shared" si="7"/>
        <v>4.1250000000000002E-2</v>
      </c>
      <c r="AU38" s="333">
        <v>8307</v>
      </c>
      <c r="AV38" s="387">
        <f t="shared" si="46"/>
        <v>0.25</v>
      </c>
      <c r="AW38" s="677">
        <v>9537</v>
      </c>
      <c r="AX38" s="474">
        <f t="shared" si="47"/>
        <v>9537</v>
      </c>
      <c r="AY38" s="474">
        <f t="shared" si="48"/>
        <v>114.80678945467677</v>
      </c>
      <c r="AZ38" s="474">
        <f t="shared" si="11"/>
        <v>100</v>
      </c>
      <c r="BA38" s="356">
        <f t="shared" si="12"/>
        <v>4.1250000000000002E-2</v>
      </c>
      <c r="BB38" s="356">
        <f t="shared" si="13"/>
        <v>100</v>
      </c>
      <c r="BC38" s="313">
        <v>522000000</v>
      </c>
      <c r="BD38" s="313">
        <v>0</v>
      </c>
      <c r="BE38" s="313">
        <v>522000000</v>
      </c>
      <c r="BF38" s="313">
        <v>0</v>
      </c>
      <c r="BG38" s="313">
        <v>0</v>
      </c>
      <c r="BH38" s="313">
        <v>0</v>
      </c>
      <c r="BI38" s="313">
        <v>0</v>
      </c>
      <c r="BJ38" s="313">
        <v>0</v>
      </c>
      <c r="BK38" s="473">
        <v>659343287</v>
      </c>
      <c r="BL38" s="472">
        <v>659343287</v>
      </c>
      <c r="BM38" s="472">
        <v>0</v>
      </c>
      <c r="BN38" s="472">
        <v>0</v>
      </c>
      <c r="BO38" s="472">
        <v>0</v>
      </c>
      <c r="BP38" s="472">
        <v>0</v>
      </c>
      <c r="BQ38" s="472">
        <v>0</v>
      </c>
      <c r="BR38" s="472">
        <v>0</v>
      </c>
      <c r="BS38" s="472">
        <v>0</v>
      </c>
      <c r="BT38" s="472">
        <v>0</v>
      </c>
      <c r="BU38" s="472">
        <v>0</v>
      </c>
      <c r="BV38" s="342">
        <f t="shared" si="14"/>
        <v>4.1250000000000002E-2</v>
      </c>
      <c r="BW38" s="350">
        <v>8307</v>
      </c>
      <c r="BX38" s="385">
        <f t="shared" si="49"/>
        <v>0.25</v>
      </c>
      <c r="BY38" s="369">
        <v>20106</v>
      </c>
      <c r="BZ38" s="391">
        <v>20106</v>
      </c>
      <c r="CA38" s="689">
        <v>20106</v>
      </c>
      <c r="CB38" s="471">
        <f t="shared" si="50"/>
        <v>20106</v>
      </c>
      <c r="CC38" s="471">
        <f t="shared" si="51"/>
        <v>242.03683640303359</v>
      </c>
      <c r="CD38" s="470">
        <f t="shared" si="18"/>
        <v>100</v>
      </c>
      <c r="CE38" s="380">
        <f t="shared" si="19"/>
        <v>4.1250000000000002E-2</v>
      </c>
      <c r="CF38" s="469">
        <f t="shared" si="20"/>
        <v>100</v>
      </c>
      <c r="CG38" s="380">
        <f t="shared" si="21"/>
        <v>9.9840195016251354E-2</v>
      </c>
      <c r="CH38" s="468">
        <f t="shared" si="22"/>
        <v>4.1250000000000002E-2</v>
      </c>
      <c r="CI38" s="319">
        <v>8307</v>
      </c>
      <c r="CJ38" s="318">
        <f t="shared" si="52"/>
        <v>0.25</v>
      </c>
      <c r="CK38" s="1259">
        <v>23991</v>
      </c>
      <c r="CL38" s="301">
        <f t="shared" si="53"/>
        <v>-15684</v>
      </c>
      <c r="CM38" s="381">
        <f t="shared" si="54"/>
        <v>23991</v>
      </c>
      <c r="CN38" s="381">
        <f t="shared" si="55"/>
        <v>288.80462260743951</v>
      </c>
      <c r="CO38" s="316">
        <f t="shared" si="27"/>
        <v>100</v>
      </c>
      <c r="CP38" s="381">
        <f t="shared" si="28"/>
        <v>4.1250000000000002E-2</v>
      </c>
      <c r="CQ38" s="381">
        <f t="shared" si="29"/>
        <v>0.1191319068255688</v>
      </c>
      <c r="CR38" s="313">
        <v>522000000</v>
      </c>
      <c r="CS38" s="313">
        <v>522000000</v>
      </c>
      <c r="CT38" s="313">
        <v>0</v>
      </c>
      <c r="CU38" s="313">
        <v>0</v>
      </c>
      <c r="CV38" s="313">
        <v>0</v>
      </c>
      <c r="CW38" s="313">
        <v>0</v>
      </c>
      <c r="CX38" s="313">
        <v>0</v>
      </c>
      <c r="CY38" s="313">
        <v>0</v>
      </c>
      <c r="CZ38" s="380">
        <v>0</v>
      </c>
      <c r="DA38" s="380">
        <v>0</v>
      </c>
      <c r="DB38" s="380">
        <v>0</v>
      </c>
      <c r="DC38" s="380">
        <v>0</v>
      </c>
      <c r="DD38" s="380">
        <v>0</v>
      </c>
      <c r="DE38" s="380">
        <v>0</v>
      </c>
      <c r="DF38" s="380">
        <v>0</v>
      </c>
      <c r="DG38" s="380">
        <v>0</v>
      </c>
      <c r="DH38" s="380">
        <v>0</v>
      </c>
      <c r="DI38" s="380">
        <v>0</v>
      </c>
      <c r="DJ38" s="380">
        <v>0</v>
      </c>
      <c r="DK38" s="702">
        <f t="shared" si="56"/>
        <v>63602</v>
      </c>
      <c r="DL38" s="311">
        <f t="shared" si="31"/>
        <v>0.16500000000000001</v>
      </c>
      <c r="DM38" s="310">
        <f t="shared" si="32"/>
        <v>191.41085831226675</v>
      </c>
      <c r="DN38" s="356">
        <f t="shared" si="33"/>
        <v>100</v>
      </c>
      <c r="DO38" s="308">
        <f t="shared" si="34"/>
        <v>0.16500000000000001</v>
      </c>
      <c r="DP38" s="359">
        <f>+IF(((DN38*Q38)/100)&lt;Q38, ((DN38*Q38)/100),Q38)</f>
        <v>0.16500000000000001</v>
      </c>
      <c r="DQ38" s="306">
        <f t="shared" si="35"/>
        <v>0.16500000000000001</v>
      </c>
      <c r="DR38" s="379">
        <f t="shared" si="36"/>
        <v>1</v>
      </c>
      <c r="DS38" s="378">
        <f t="shared" si="37"/>
        <v>0</v>
      </c>
      <c r="DT38" s="173">
        <v>39</v>
      </c>
      <c r="DU38" s="174" t="s">
        <v>217</v>
      </c>
      <c r="DV38" s="173"/>
      <c r="DW38" s="174" t="s">
        <v>84</v>
      </c>
      <c r="DX38" s="173"/>
      <c r="DY38" s="173"/>
      <c r="DZ38" s="173"/>
      <c r="EA38" s="665"/>
      <c r="EB38" s="1254" t="s">
        <v>2215</v>
      </c>
      <c r="EC38" s="537">
        <v>660000000</v>
      </c>
      <c r="EE38" s="734">
        <v>4</v>
      </c>
      <c r="EF38" s="706"/>
    </row>
    <row r="39" spans="4:136" s="302" customFormat="1" ht="76.5" hidden="1">
      <c r="D39" s="520">
        <v>36</v>
      </c>
      <c r="E39" s="534">
        <v>55</v>
      </c>
      <c r="F39" s="523" t="s">
        <v>43</v>
      </c>
      <c r="G39" s="523" t="s">
        <v>3</v>
      </c>
      <c r="H39" s="524" t="s">
        <v>2652</v>
      </c>
      <c r="I39" s="462" t="s">
        <v>187</v>
      </c>
      <c r="J39" s="335" t="s">
        <v>246</v>
      </c>
      <c r="K39" s="335" t="s">
        <v>247</v>
      </c>
      <c r="L39" s="454" t="s">
        <v>1501</v>
      </c>
      <c r="M39" s="333" t="s">
        <v>1771</v>
      </c>
      <c r="N39" s="333">
        <v>0</v>
      </c>
      <c r="O39" s="333">
        <f>+N39+P39</f>
        <v>850</v>
      </c>
      <c r="P39" s="332">
        <v>850</v>
      </c>
      <c r="Q39" s="357">
        <v>0.16500000000000001</v>
      </c>
      <c r="R39" s="342">
        <f t="shared" si="0"/>
        <v>4.0764705882352946E-2</v>
      </c>
      <c r="S39" s="459">
        <v>210</v>
      </c>
      <c r="T39" s="387">
        <f t="shared" si="43"/>
        <v>0.24705882352941178</v>
      </c>
      <c r="U39" s="670">
        <v>231</v>
      </c>
      <c r="V39" s="388">
        <f t="shared" si="44"/>
        <v>231</v>
      </c>
      <c r="W39" s="356">
        <f t="shared" si="45"/>
        <v>110</v>
      </c>
      <c r="X39" s="356">
        <f t="shared" si="4"/>
        <v>100</v>
      </c>
      <c r="Y39" s="356">
        <f t="shared" si="40"/>
        <v>4.0764705882352946E-2</v>
      </c>
      <c r="Z39" s="356">
        <f t="shared" si="6"/>
        <v>100</v>
      </c>
      <c r="AA39" s="313">
        <v>135000000</v>
      </c>
      <c r="AB39" s="313">
        <v>135000000</v>
      </c>
      <c r="AC39" s="313">
        <v>0</v>
      </c>
      <c r="AD39" s="313">
        <v>0</v>
      </c>
      <c r="AE39" s="313">
        <v>0</v>
      </c>
      <c r="AF39" s="313">
        <v>0</v>
      </c>
      <c r="AG39" s="313">
        <v>0</v>
      </c>
      <c r="AH39" s="313">
        <v>0</v>
      </c>
      <c r="AI39" s="313">
        <v>63000000</v>
      </c>
      <c r="AJ39" s="313">
        <v>63000000</v>
      </c>
      <c r="AK39" s="313">
        <v>0</v>
      </c>
      <c r="AL39" s="313">
        <v>0</v>
      </c>
      <c r="AM39" s="313">
        <v>0</v>
      </c>
      <c r="AN39" s="313">
        <v>0</v>
      </c>
      <c r="AO39" s="313">
        <v>0</v>
      </c>
      <c r="AP39" s="313">
        <v>0</v>
      </c>
      <c r="AQ39" s="313">
        <v>0</v>
      </c>
      <c r="AR39" s="313">
        <v>0</v>
      </c>
      <c r="AS39" s="313" t="s">
        <v>1798</v>
      </c>
      <c r="AT39" s="333">
        <f t="shared" si="7"/>
        <v>4.0764705882352946E-2</v>
      </c>
      <c r="AU39" s="333">
        <v>210</v>
      </c>
      <c r="AV39" s="387">
        <f t="shared" si="46"/>
        <v>0.24705882352941178</v>
      </c>
      <c r="AW39" s="677">
        <v>244</v>
      </c>
      <c r="AX39" s="474">
        <f t="shared" si="47"/>
        <v>244</v>
      </c>
      <c r="AY39" s="474">
        <f t="shared" si="48"/>
        <v>116.19047619047619</v>
      </c>
      <c r="AZ39" s="474">
        <f t="shared" si="11"/>
        <v>100</v>
      </c>
      <c r="BA39" s="356">
        <f t="shared" si="12"/>
        <v>4.0764705882352946E-2</v>
      </c>
      <c r="BB39" s="356">
        <f t="shared" si="13"/>
        <v>100</v>
      </c>
      <c r="BC39" s="313">
        <v>135000000</v>
      </c>
      <c r="BD39" s="313">
        <v>0</v>
      </c>
      <c r="BE39" s="313">
        <v>135000000</v>
      </c>
      <c r="BF39" s="313">
        <v>0</v>
      </c>
      <c r="BG39" s="313">
        <v>0</v>
      </c>
      <c r="BH39" s="313">
        <v>0</v>
      </c>
      <c r="BI39" s="313">
        <v>0</v>
      </c>
      <c r="BJ39" s="313">
        <v>0</v>
      </c>
      <c r="BK39" s="473">
        <v>441513373</v>
      </c>
      <c r="BL39" s="472">
        <v>441513373</v>
      </c>
      <c r="BM39" s="472">
        <v>0</v>
      </c>
      <c r="BN39" s="472">
        <v>0</v>
      </c>
      <c r="BO39" s="472">
        <v>0</v>
      </c>
      <c r="BP39" s="472">
        <v>0</v>
      </c>
      <c r="BQ39" s="472">
        <v>0</v>
      </c>
      <c r="BR39" s="472">
        <v>0</v>
      </c>
      <c r="BS39" s="472">
        <v>0</v>
      </c>
      <c r="BT39" s="472">
        <v>0</v>
      </c>
      <c r="BU39" s="472">
        <v>0</v>
      </c>
      <c r="BV39" s="342">
        <f t="shared" si="14"/>
        <v>4.0764705882352946E-2</v>
      </c>
      <c r="BW39" s="350">
        <v>210</v>
      </c>
      <c r="BX39" s="385">
        <f t="shared" si="49"/>
        <v>0.24705882352941178</v>
      </c>
      <c r="BY39" s="369">
        <v>250</v>
      </c>
      <c r="BZ39" s="391">
        <v>250</v>
      </c>
      <c r="CA39" s="689">
        <v>250</v>
      </c>
      <c r="CB39" s="471">
        <f t="shared" si="50"/>
        <v>250</v>
      </c>
      <c r="CC39" s="471">
        <f t="shared" si="51"/>
        <v>119.04761904761905</v>
      </c>
      <c r="CD39" s="470">
        <f t="shared" si="18"/>
        <v>100</v>
      </c>
      <c r="CE39" s="380">
        <f t="shared" si="19"/>
        <v>4.0764705882352946E-2</v>
      </c>
      <c r="CF39" s="469">
        <f t="shared" si="20"/>
        <v>100</v>
      </c>
      <c r="CG39" s="380">
        <f t="shared" si="21"/>
        <v>4.852941176470589E-2</v>
      </c>
      <c r="CH39" s="468">
        <f t="shared" si="22"/>
        <v>4.2705882352941184E-2</v>
      </c>
      <c r="CI39" s="319">
        <v>220</v>
      </c>
      <c r="CJ39" s="318">
        <f t="shared" si="52"/>
        <v>0.25882352941176473</v>
      </c>
      <c r="CK39" s="1259">
        <v>245</v>
      </c>
      <c r="CL39" s="301">
        <f t="shared" si="53"/>
        <v>-25</v>
      </c>
      <c r="CM39" s="381">
        <f t="shared" si="54"/>
        <v>245</v>
      </c>
      <c r="CN39" s="381">
        <f t="shared" si="55"/>
        <v>111.36363636363636</v>
      </c>
      <c r="CO39" s="316">
        <f t="shared" si="27"/>
        <v>100</v>
      </c>
      <c r="CP39" s="381">
        <f t="shared" si="28"/>
        <v>4.2705882352941184E-2</v>
      </c>
      <c r="CQ39" s="381">
        <f t="shared" si="29"/>
        <v>4.7558823529411771E-2</v>
      </c>
      <c r="CR39" s="313">
        <v>135000000</v>
      </c>
      <c r="CS39" s="313">
        <v>135000000</v>
      </c>
      <c r="CT39" s="313">
        <v>0</v>
      </c>
      <c r="CU39" s="313">
        <v>0</v>
      </c>
      <c r="CV39" s="313">
        <v>0</v>
      </c>
      <c r="CW39" s="313">
        <v>0</v>
      </c>
      <c r="CX39" s="313">
        <v>0</v>
      </c>
      <c r="CY39" s="313">
        <v>0</v>
      </c>
      <c r="CZ39" s="380">
        <v>0</v>
      </c>
      <c r="DA39" s="380">
        <v>0</v>
      </c>
      <c r="DB39" s="380">
        <v>0</v>
      </c>
      <c r="DC39" s="380">
        <v>0</v>
      </c>
      <c r="DD39" s="380">
        <v>0</v>
      </c>
      <c r="DE39" s="380">
        <v>0</v>
      </c>
      <c r="DF39" s="380">
        <v>0</v>
      </c>
      <c r="DG39" s="380">
        <v>0</v>
      </c>
      <c r="DH39" s="380">
        <v>0</v>
      </c>
      <c r="DI39" s="380">
        <v>0</v>
      </c>
      <c r="DJ39" s="380">
        <v>0</v>
      </c>
      <c r="DK39" s="702">
        <f t="shared" si="56"/>
        <v>970</v>
      </c>
      <c r="DL39" s="311">
        <f t="shared" si="31"/>
        <v>0.16500000000000001</v>
      </c>
      <c r="DM39" s="310">
        <f t="shared" si="32"/>
        <v>114.11764705882354</v>
      </c>
      <c r="DN39" s="356">
        <f t="shared" si="33"/>
        <v>100</v>
      </c>
      <c r="DO39" s="308">
        <f t="shared" si="34"/>
        <v>0.16500000000000001</v>
      </c>
      <c r="DP39" s="359">
        <f>+IF(((DN39*Q39)/100)&lt;Q39, ((DN39*Q39)/100),Q39)</f>
        <v>0.16500000000000001</v>
      </c>
      <c r="DQ39" s="306">
        <f t="shared" si="35"/>
        <v>0.16500000000000001</v>
      </c>
      <c r="DR39" s="379">
        <f t="shared" si="36"/>
        <v>1</v>
      </c>
      <c r="DS39" s="378">
        <f t="shared" si="37"/>
        <v>0</v>
      </c>
      <c r="DT39" s="173">
        <v>39</v>
      </c>
      <c r="DU39" s="174" t="s">
        <v>217</v>
      </c>
      <c r="DV39" s="173"/>
      <c r="DW39" s="174" t="s">
        <v>84</v>
      </c>
      <c r="DX39" s="173"/>
      <c r="DY39" s="173"/>
      <c r="DZ39" s="173"/>
      <c r="EA39" s="665"/>
      <c r="EB39" s="1254" t="s">
        <v>2216</v>
      </c>
      <c r="EC39" s="537">
        <v>132000000</v>
      </c>
      <c r="EE39" s="735">
        <v>948</v>
      </c>
      <c r="EF39" s="706"/>
    </row>
    <row r="40" spans="4:136" s="302" customFormat="1" ht="51" hidden="1">
      <c r="D40" s="520">
        <v>37</v>
      </c>
      <c r="E40" s="534">
        <v>56</v>
      </c>
      <c r="F40" s="523" t="s">
        <v>43</v>
      </c>
      <c r="G40" s="523" t="s">
        <v>3</v>
      </c>
      <c r="H40" s="524" t="s">
        <v>2652</v>
      </c>
      <c r="I40" s="462" t="s">
        <v>187</v>
      </c>
      <c r="J40" s="335" t="s">
        <v>248</v>
      </c>
      <c r="K40" s="335" t="s">
        <v>249</v>
      </c>
      <c r="L40" s="454" t="s">
        <v>1501</v>
      </c>
      <c r="M40" s="333" t="s">
        <v>1785</v>
      </c>
      <c r="N40" s="333">
        <v>0</v>
      </c>
      <c r="O40" s="333">
        <f>+P40</f>
        <v>24000</v>
      </c>
      <c r="P40" s="332">
        <v>24000</v>
      </c>
      <c r="Q40" s="357">
        <v>0.16500000000000001</v>
      </c>
      <c r="R40" s="342">
        <f t="shared" si="0"/>
        <v>4.1250000000000002E-2</v>
      </c>
      <c r="S40" s="459">
        <v>24000</v>
      </c>
      <c r="T40" s="387">
        <f t="shared" si="43"/>
        <v>0.25</v>
      </c>
      <c r="U40" s="670">
        <v>75330</v>
      </c>
      <c r="V40" s="388">
        <f t="shared" si="44"/>
        <v>18832.5</v>
      </c>
      <c r="W40" s="356">
        <f t="shared" si="45"/>
        <v>313.875</v>
      </c>
      <c r="X40" s="356">
        <f t="shared" si="4"/>
        <v>100</v>
      </c>
      <c r="Y40" s="356">
        <f t="shared" si="40"/>
        <v>4.1250000000000002E-2</v>
      </c>
      <c r="Z40" s="356">
        <f t="shared" si="6"/>
        <v>100</v>
      </c>
      <c r="AA40" s="313">
        <v>650000000</v>
      </c>
      <c r="AB40" s="313">
        <v>650000000</v>
      </c>
      <c r="AC40" s="313">
        <v>0</v>
      </c>
      <c r="AD40" s="313">
        <v>0</v>
      </c>
      <c r="AE40" s="313">
        <v>0</v>
      </c>
      <c r="AF40" s="313">
        <v>0</v>
      </c>
      <c r="AG40" s="313">
        <v>0</v>
      </c>
      <c r="AH40" s="313">
        <v>0</v>
      </c>
      <c r="AI40" s="313">
        <v>984002000</v>
      </c>
      <c r="AJ40" s="313">
        <v>984002000</v>
      </c>
      <c r="AK40" s="313">
        <v>0</v>
      </c>
      <c r="AL40" s="313">
        <v>0</v>
      </c>
      <c r="AM40" s="313">
        <v>0</v>
      </c>
      <c r="AN40" s="313">
        <v>0</v>
      </c>
      <c r="AO40" s="313">
        <v>0</v>
      </c>
      <c r="AP40" s="313">
        <v>0</v>
      </c>
      <c r="AQ40" s="313">
        <v>0</v>
      </c>
      <c r="AR40" s="313">
        <v>0</v>
      </c>
      <c r="AS40" s="313" t="s">
        <v>1798</v>
      </c>
      <c r="AT40" s="333">
        <f t="shared" si="7"/>
        <v>4.1250000000000002E-2</v>
      </c>
      <c r="AU40" s="333">
        <v>24000</v>
      </c>
      <c r="AV40" s="387">
        <f t="shared" si="46"/>
        <v>0.25</v>
      </c>
      <c r="AW40" s="677">
        <v>24554</v>
      </c>
      <c r="AX40" s="474">
        <f t="shared" si="47"/>
        <v>6138.5</v>
      </c>
      <c r="AY40" s="474">
        <f t="shared" si="48"/>
        <v>102.30833333333334</v>
      </c>
      <c r="AZ40" s="474">
        <f t="shared" si="11"/>
        <v>100</v>
      </c>
      <c r="BA40" s="356">
        <f t="shared" si="12"/>
        <v>4.1250000000000002E-2</v>
      </c>
      <c r="BB40" s="356">
        <f t="shared" si="13"/>
        <v>100</v>
      </c>
      <c r="BC40" s="313">
        <v>650000000</v>
      </c>
      <c r="BD40" s="313">
        <v>0</v>
      </c>
      <c r="BE40" s="313">
        <v>650000000</v>
      </c>
      <c r="BF40" s="313">
        <v>0</v>
      </c>
      <c r="BG40" s="313">
        <v>0</v>
      </c>
      <c r="BH40" s="313">
        <v>0</v>
      </c>
      <c r="BI40" s="313">
        <v>0</v>
      </c>
      <c r="BJ40" s="313">
        <v>0</v>
      </c>
      <c r="BK40" s="473">
        <v>834485654</v>
      </c>
      <c r="BL40" s="472">
        <v>515949134</v>
      </c>
      <c r="BM40" s="472">
        <v>0</v>
      </c>
      <c r="BN40" s="472">
        <v>318536520</v>
      </c>
      <c r="BO40" s="472">
        <v>0</v>
      </c>
      <c r="BP40" s="472">
        <v>0</v>
      </c>
      <c r="BQ40" s="472">
        <v>0</v>
      </c>
      <c r="BR40" s="472">
        <v>0</v>
      </c>
      <c r="BS40" s="472">
        <v>0</v>
      </c>
      <c r="BT40" s="472">
        <v>0</v>
      </c>
      <c r="BU40" s="472">
        <v>0</v>
      </c>
      <c r="BV40" s="342">
        <f t="shared" si="14"/>
        <v>4.1250000000000002E-2</v>
      </c>
      <c r="BW40" s="350">
        <v>24000</v>
      </c>
      <c r="BX40" s="385">
        <f t="shared" si="49"/>
        <v>0.25</v>
      </c>
      <c r="BY40" s="369">
        <v>0</v>
      </c>
      <c r="BZ40" s="391">
        <v>0</v>
      </c>
      <c r="CA40" s="689">
        <v>24265</v>
      </c>
      <c r="CB40" s="471">
        <f t="shared" si="50"/>
        <v>6066.25</v>
      </c>
      <c r="CC40" s="471">
        <f t="shared" si="51"/>
        <v>101.10416666666667</v>
      </c>
      <c r="CD40" s="470">
        <f t="shared" si="18"/>
        <v>100</v>
      </c>
      <c r="CE40" s="380">
        <f t="shared" si="19"/>
        <v>4.1250000000000002E-2</v>
      </c>
      <c r="CF40" s="469">
        <f t="shared" si="20"/>
        <v>100</v>
      </c>
      <c r="CG40" s="380">
        <f t="shared" si="21"/>
        <v>4.1705468750000002E-2</v>
      </c>
      <c r="CH40" s="468">
        <f t="shared" si="22"/>
        <v>4.1250000000000002E-2</v>
      </c>
      <c r="CI40" s="319">
        <v>23080</v>
      </c>
      <c r="CJ40" s="318">
        <f t="shared" si="52"/>
        <v>0.25</v>
      </c>
      <c r="CK40" s="1259">
        <v>25415</v>
      </c>
      <c r="CL40" s="301">
        <f t="shared" si="53"/>
        <v>-2335</v>
      </c>
      <c r="CM40" s="381">
        <f t="shared" si="54"/>
        <v>6353.75</v>
      </c>
      <c r="CN40" s="381">
        <f t="shared" si="55"/>
        <v>110.11698440207972</v>
      </c>
      <c r="CO40" s="381">
        <f t="shared" si="27"/>
        <v>100</v>
      </c>
      <c r="CP40" s="381">
        <f t="shared" si="28"/>
        <v>4.1250000000000002E-2</v>
      </c>
      <c r="CQ40" s="381">
        <f t="shared" si="29"/>
        <v>4.5423256065857884E-2</v>
      </c>
      <c r="CR40" s="313">
        <v>650000000</v>
      </c>
      <c r="CS40" s="313">
        <v>650000000</v>
      </c>
      <c r="CT40" s="313">
        <v>0</v>
      </c>
      <c r="CU40" s="313">
        <v>0</v>
      </c>
      <c r="CV40" s="313">
        <v>0</v>
      </c>
      <c r="CW40" s="313">
        <v>0</v>
      </c>
      <c r="CX40" s="313">
        <v>0</v>
      </c>
      <c r="CY40" s="313">
        <v>0</v>
      </c>
      <c r="CZ40" s="380">
        <v>0</v>
      </c>
      <c r="DA40" s="380">
        <v>0</v>
      </c>
      <c r="DB40" s="380">
        <v>0</v>
      </c>
      <c r="DC40" s="380">
        <v>0</v>
      </c>
      <c r="DD40" s="380">
        <v>0</v>
      </c>
      <c r="DE40" s="380">
        <v>0</v>
      </c>
      <c r="DF40" s="380">
        <v>0</v>
      </c>
      <c r="DG40" s="380">
        <v>0</v>
      </c>
      <c r="DH40" s="380">
        <v>0</v>
      </c>
      <c r="DI40" s="380">
        <v>0</v>
      </c>
      <c r="DJ40" s="380">
        <v>0</v>
      </c>
      <c r="DK40" s="702">
        <f t="shared" si="56"/>
        <v>37391</v>
      </c>
      <c r="DL40" s="311">
        <f t="shared" si="31"/>
        <v>0.16500000000000001</v>
      </c>
      <c r="DM40" s="310">
        <f t="shared" si="32"/>
        <v>155.79583333333332</v>
      </c>
      <c r="DN40" s="356">
        <f t="shared" si="33"/>
        <v>100</v>
      </c>
      <c r="DO40" s="308">
        <f t="shared" si="34"/>
        <v>0.16500000000000001</v>
      </c>
      <c r="DP40" s="359">
        <f>+IF(M40="M",DO40,0)</f>
        <v>0.16500000000000001</v>
      </c>
      <c r="DQ40" s="306">
        <f t="shared" si="35"/>
        <v>0.16500000000000001</v>
      </c>
      <c r="DR40" s="379">
        <f t="shared" si="36"/>
        <v>1</v>
      </c>
      <c r="DS40" s="378">
        <f t="shared" si="37"/>
        <v>0</v>
      </c>
      <c r="DT40" s="173">
        <v>39</v>
      </c>
      <c r="DU40" s="174" t="s">
        <v>217</v>
      </c>
      <c r="DV40" s="173"/>
      <c r="DW40" s="174" t="s">
        <v>84</v>
      </c>
      <c r="DX40" s="173"/>
      <c r="DY40" s="173"/>
      <c r="DZ40" s="173"/>
      <c r="EA40" s="665"/>
      <c r="EB40" s="1254" t="s">
        <v>2217</v>
      </c>
      <c r="EC40" s="537">
        <v>30000000</v>
      </c>
      <c r="EE40" s="734">
        <v>1000</v>
      </c>
      <c r="EF40" s="706"/>
    </row>
    <row r="41" spans="4:136" s="302" customFormat="1" ht="48" hidden="1">
      <c r="D41" s="520">
        <v>38</v>
      </c>
      <c r="E41" s="534">
        <v>57</v>
      </c>
      <c r="F41" s="523" t="s">
        <v>43</v>
      </c>
      <c r="G41" s="523" t="s">
        <v>3</v>
      </c>
      <c r="H41" s="524" t="s">
        <v>2652</v>
      </c>
      <c r="I41" s="462" t="s">
        <v>187</v>
      </c>
      <c r="J41" s="335" t="s">
        <v>250</v>
      </c>
      <c r="K41" s="335" t="s">
        <v>251</v>
      </c>
      <c r="L41" s="454" t="s">
        <v>1501</v>
      </c>
      <c r="M41" s="333" t="s">
        <v>1771</v>
      </c>
      <c r="N41" s="333">
        <v>0</v>
      </c>
      <c r="O41" s="333">
        <f>+N41+P41</f>
        <v>12180</v>
      </c>
      <c r="P41" s="332">
        <v>12180</v>
      </c>
      <c r="Q41" s="357">
        <v>0.16500000000000001</v>
      </c>
      <c r="R41" s="342">
        <f t="shared" si="0"/>
        <v>4.1250000000000002E-2</v>
      </c>
      <c r="S41" s="459">
        <v>3045</v>
      </c>
      <c r="T41" s="387">
        <f t="shared" si="43"/>
        <v>0.25</v>
      </c>
      <c r="U41" s="670">
        <v>4586</v>
      </c>
      <c r="V41" s="388">
        <f t="shared" si="44"/>
        <v>4586</v>
      </c>
      <c r="W41" s="356">
        <f t="shared" si="45"/>
        <v>150.60755336617405</v>
      </c>
      <c r="X41" s="356">
        <f t="shared" si="4"/>
        <v>100</v>
      </c>
      <c r="Y41" s="356">
        <f t="shared" si="40"/>
        <v>4.1250000000000002E-2</v>
      </c>
      <c r="Z41" s="356">
        <f t="shared" si="6"/>
        <v>100</v>
      </c>
      <c r="AA41" s="313">
        <v>320000000</v>
      </c>
      <c r="AB41" s="313">
        <v>0</v>
      </c>
      <c r="AC41" s="313">
        <v>0</v>
      </c>
      <c r="AD41" s="313">
        <v>0</v>
      </c>
      <c r="AE41" s="313">
        <v>0</v>
      </c>
      <c r="AF41" s="313">
        <v>0</v>
      </c>
      <c r="AG41" s="313">
        <v>0</v>
      </c>
      <c r="AH41" s="313">
        <v>320000000</v>
      </c>
      <c r="AI41" s="313">
        <v>357000000</v>
      </c>
      <c r="AJ41" s="313">
        <v>39000000</v>
      </c>
      <c r="AK41" s="313">
        <v>0</v>
      </c>
      <c r="AL41" s="313">
        <v>318000000</v>
      </c>
      <c r="AM41" s="313">
        <v>0</v>
      </c>
      <c r="AN41" s="313">
        <v>0</v>
      </c>
      <c r="AO41" s="313">
        <v>0</v>
      </c>
      <c r="AP41" s="313">
        <v>0</v>
      </c>
      <c r="AQ41" s="313">
        <v>0</v>
      </c>
      <c r="AR41" s="313">
        <v>0</v>
      </c>
      <c r="AS41" s="313" t="s">
        <v>1798</v>
      </c>
      <c r="AT41" s="333">
        <f t="shared" si="7"/>
        <v>4.1250000000000002E-2</v>
      </c>
      <c r="AU41" s="333">
        <v>3045</v>
      </c>
      <c r="AV41" s="387">
        <f t="shared" si="46"/>
        <v>0.25</v>
      </c>
      <c r="AW41" s="677">
        <v>3051</v>
      </c>
      <c r="AX41" s="474">
        <f t="shared" si="47"/>
        <v>3051</v>
      </c>
      <c r="AY41" s="474">
        <f t="shared" si="48"/>
        <v>100.19704433497537</v>
      </c>
      <c r="AZ41" s="474">
        <f t="shared" si="11"/>
        <v>100</v>
      </c>
      <c r="BA41" s="356">
        <f t="shared" si="12"/>
        <v>4.1250000000000002E-2</v>
      </c>
      <c r="BB41" s="356">
        <f t="shared" si="13"/>
        <v>100</v>
      </c>
      <c r="BC41" s="313">
        <v>608000000</v>
      </c>
      <c r="BD41" s="313">
        <v>0</v>
      </c>
      <c r="BE41" s="313">
        <v>0</v>
      </c>
      <c r="BF41" s="313">
        <v>0</v>
      </c>
      <c r="BG41" s="313">
        <v>0</v>
      </c>
      <c r="BH41" s="313">
        <v>0</v>
      </c>
      <c r="BI41" s="313">
        <v>0</v>
      </c>
      <c r="BJ41" s="313">
        <v>608000000</v>
      </c>
      <c r="BK41" s="473">
        <v>288937356</v>
      </c>
      <c r="BL41" s="472">
        <v>152421704</v>
      </c>
      <c r="BM41" s="472">
        <v>0</v>
      </c>
      <c r="BN41" s="472">
        <v>136515652</v>
      </c>
      <c r="BO41" s="472">
        <v>0</v>
      </c>
      <c r="BP41" s="472">
        <v>0</v>
      </c>
      <c r="BQ41" s="472">
        <v>0</v>
      </c>
      <c r="BR41" s="472">
        <v>0</v>
      </c>
      <c r="BS41" s="472">
        <v>0</v>
      </c>
      <c r="BT41" s="472">
        <v>0</v>
      </c>
      <c r="BU41" s="472">
        <v>0</v>
      </c>
      <c r="BV41" s="342">
        <f t="shared" si="14"/>
        <v>4.584236453201971E-2</v>
      </c>
      <c r="BW41" s="350">
        <v>3384</v>
      </c>
      <c r="BX41" s="385">
        <f t="shared" si="49"/>
        <v>0.27783251231527095</v>
      </c>
      <c r="BY41" s="369">
        <v>0</v>
      </c>
      <c r="BZ41" s="391">
        <v>0</v>
      </c>
      <c r="CA41" s="689">
        <v>3055</v>
      </c>
      <c r="CB41" s="471">
        <f t="shared" si="50"/>
        <v>3055</v>
      </c>
      <c r="CC41" s="471">
        <f t="shared" si="51"/>
        <v>90.277777777777771</v>
      </c>
      <c r="CD41" s="470">
        <f t="shared" si="18"/>
        <v>90.277777777777771</v>
      </c>
      <c r="CE41" s="380">
        <f t="shared" si="19"/>
        <v>4.1385467980295569E-2</v>
      </c>
      <c r="CF41" s="469">
        <f t="shared" si="20"/>
        <v>90.277777777777771</v>
      </c>
      <c r="CG41" s="380">
        <f t="shared" si="21"/>
        <v>4.1385467980295569E-2</v>
      </c>
      <c r="CH41" s="468">
        <f t="shared" si="22"/>
        <v>3.6657635467980301E-2</v>
      </c>
      <c r="CI41" s="319">
        <v>2706</v>
      </c>
      <c r="CJ41" s="318">
        <f t="shared" si="52"/>
        <v>0.22216748768472908</v>
      </c>
      <c r="CK41" s="1259">
        <v>3055</v>
      </c>
      <c r="CL41" s="301">
        <f t="shared" si="53"/>
        <v>-349</v>
      </c>
      <c r="CM41" s="381">
        <f t="shared" si="54"/>
        <v>3055</v>
      </c>
      <c r="CN41" s="381">
        <f t="shared" si="55"/>
        <v>112.89726533628972</v>
      </c>
      <c r="CO41" s="316">
        <f t="shared" si="27"/>
        <v>100</v>
      </c>
      <c r="CP41" s="381">
        <f t="shared" si="28"/>
        <v>3.6657635467980301E-2</v>
      </c>
      <c r="CQ41" s="381">
        <f t="shared" si="29"/>
        <v>4.1385467980295569E-2</v>
      </c>
      <c r="CR41" s="313">
        <v>670000000</v>
      </c>
      <c r="CS41" s="313">
        <v>0</v>
      </c>
      <c r="CT41" s="313">
        <v>0</v>
      </c>
      <c r="CU41" s="313">
        <v>0</v>
      </c>
      <c r="CV41" s="313">
        <v>0</v>
      </c>
      <c r="CW41" s="313">
        <v>0</v>
      </c>
      <c r="CX41" s="313">
        <v>0</v>
      </c>
      <c r="CY41" s="313">
        <v>670000000</v>
      </c>
      <c r="CZ41" s="380">
        <v>0</v>
      </c>
      <c r="DA41" s="380">
        <v>0</v>
      </c>
      <c r="DB41" s="380">
        <v>0</v>
      </c>
      <c r="DC41" s="380">
        <v>0</v>
      </c>
      <c r="DD41" s="380">
        <v>0</v>
      </c>
      <c r="DE41" s="380">
        <v>0</v>
      </c>
      <c r="DF41" s="380">
        <v>0</v>
      </c>
      <c r="DG41" s="380">
        <v>0</v>
      </c>
      <c r="DH41" s="380">
        <v>0</v>
      </c>
      <c r="DI41" s="380">
        <v>0</v>
      </c>
      <c r="DJ41" s="380">
        <v>0</v>
      </c>
      <c r="DK41" s="702">
        <f t="shared" si="56"/>
        <v>13747</v>
      </c>
      <c r="DL41" s="311">
        <f t="shared" si="31"/>
        <v>0.16500000000000004</v>
      </c>
      <c r="DM41" s="310">
        <f t="shared" si="32"/>
        <v>112.86535303776684</v>
      </c>
      <c r="DN41" s="356">
        <f t="shared" si="33"/>
        <v>100</v>
      </c>
      <c r="DO41" s="308">
        <f t="shared" si="34"/>
        <v>0.16500000000000001</v>
      </c>
      <c r="DP41" s="359">
        <f>+IF(((DN41*Q41)/100)&lt;Q41, ((DN41*Q41)/100),Q41)</f>
        <v>0.16500000000000001</v>
      </c>
      <c r="DQ41" s="306">
        <f t="shared" si="35"/>
        <v>0.16500000000000001</v>
      </c>
      <c r="DR41" s="379">
        <f t="shared" si="36"/>
        <v>1</v>
      </c>
      <c r="DS41" s="378">
        <f t="shared" si="37"/>
        <v>0</v>
      </c>
      <c r="DT41" s="173">
        <v>39</v>
      </c>
      <c r="DU41" s="174" t="s">
        <v>217</v>
      </c>
      <c r="DV41" s="173"/>
      <c r="DW41" s="174" t="s">
        <v>84</v>
      </c>
      <c r="DX41" s="173"/>
      <c r="DY41" s="173"/>
      <c r="DZ41" s="173"/>
      <c r="EA41" s="665"/>
      <c r="EB41" s="1254" t="s">
        <v>2218</v>
      </c>
      <c r="EC41" s="537">
        <v>183000000</v>
      </c>
      <c r="EE41" s="734">
        <v>58</v>
      </c>
      <c r="EF41" s="706"/>
    </row>
    <row r="42" spans="4:136" s="302" customFormat="1" ht="89.25" hidden="1">
      <c r="D42" s="520">
        <v>39</v>
      </c>
      <c r="E42" s="534">
        <v>58</v>
      </c>
      <c r="F42" s="523" t="s">
        <v>43</v>
      </c>
      <c r="G42" s="523" t="s">
        <v>81</v>
      </c>
      <c r="H42" s="524" t="s">
        <v>2652</v>
      </c>
      <c r="I42" s="462" t="s">
        <v>187</v>
      </c>
      <c r="J42" s="335" t="s">
        <v>252</v>
      </c>
      <c r="K42" s="335" t="s">
        <v>253</v>
      </c>
      <c r="L42" s="454" t="s">
        <v>1415</v>
      </c>
      <c r="M42" s="333" t="s">
        <v>1785</v>
      </c>
      <c r="N42" s="333">
        <v>35</v>
      </c>
      <c r="O42" s="333">
        <f>+P42</f>
        <v>35</v>
      </c>
      <c r="P42" s="332">
        <v>35</v>
      </c>
      <c r="Q42" s="357">
        <v>0.16500000000000001</v>
      </c>
      <c r="R42" s="342">
        <f t="shared" si="0"/>
        <v>4.1250000000000002E-2</v>
      </c>
      <c r="S42" s="459">
        <v>35</v>
      </c>
      <c r="T42" s="387">
        <f t="shared" si="43"/>
        <v>0.25</v>
      </c>
      <c r="U42" s="670">
        <v>78</v>
      </c>
      <c r="V42" s="388">
        <f t="shared" si="44"/>
        <v>19.5</v>
      </c>
      <c r="W42" s="356">
        <f t="shared" si="45"/>
        <v>222.85714285714286</v>
      </c>
      <c r="X42" s="356">
        <f t="shared" si="4"/>
        <v>100</v>
      </c>
      <c r="Y42" s="356">
        <f t="shared" si="40"/>
        <v>4.1250000000000002E-2</v>
      </c>
      <c r="Z42" s="356">
        <f t="shared" si="6"/>
        <v>100</v>
      </c>
      <c r="AA42" s="313">
        <v>975000000</v>
      </c>
      <c r="AB42" s="313">
        <v>350000000</v>
      </c>
      <c r="AC42" s="313">
        <v>0</v>
      </c>
      <c r="AD42" s="313">
        <v>0</v>
      </c>
      <c r="AE42" s="313">
        <v>0</v>
      </c>
      <c r="AF42" s="313">
        <v>0</v>
      </c>
      <c r="AG42" s="313">
        <v>0</v>
      </c>
      <c r="AH42" s="313">
        <v>625000000</v>
      </c>
      <c r="AI42" s="313">
        <v>272032000</v>
      </c>
      <c r="AJ42" s="313">
        <v>272032000</v>
      </c>
      <c r="AK42" s="313">
        <v>0</v>
      </c>
      <c r="AL42" s="313">
        <v>0</v>
      </c>
      <c r="AM42" s="313">
        <v>0</v>
      </c>
      <c r="AN42" s="313">
        <v>0</v>
      </c>
      <c r="AO42" s="313">
        <v>0</v>
      </c>
      <c r="AP42" s="313">
        <v>0</v>
      </c>
      <c r="AQ42" s="313">
        <v>0</v>
      </c>
      <c r="AR42" s="313">
        <v>91335000</v>
      </c>
      <c r="AS42" s="313" t="s">
        <v>1415</v>
      </c>
      <c r="AT42" s="333">
        <f t="shared" si="7"/>
        <v>4.1250000000000002E-2</v>
      </c>
      <c r="AU42" s="333">
        <v>35</v>
      </c>
      <c r="AV42" s="387">
        <f t="shared" si="46"/>
        <v>0.25</v>
      </c>
      <c r="AW42" s="677">
        <v>88</v>
      </c>
      <c r="AX42" s="474">
        <f t="shared" si="47"/>
        <v>22</v>
      </c>
      <c r="AY42" s="474">
        <f t="shared" si="48"/>
        <v>251.42857142857142</v>
      </c>
      <c r="AZ42" s="474">
        <f t="shared" si="11"/>
        <v>100</v>
      </c>
      <c r="BA42" s="356">
        <f t="shared" si="12"/>
        <v>4.1250000000000002E-2</v>
      </c>
      <c r="BB42" s="356">
        <f t="shared" si="13"/>
        <v>100</v>
      </c>
      <c r="BC42" s="313">
        <v>975000000</v>
      </c>
      <c r="BD42" s="313">
        <v>0</v>
      </c>
      <c r="BE42" s="313">
        <v>350000000</v>
      </c>
      <c r="BF42" s="313">
        <v>0</v>
      </c>
      <c r="BG42" s="313">
        <v>0</v>
      </c>
      <c r="BH42" s="313">
        <v>0</v>
      </c>
      <c r="BI42" s="313">
        <v>0</v>
      </c>
      <c r="BJ42" s="313">
        <v>625000000</v>
      </c>
      <c r="BK42" s="473">
        <v>458433333</v>
      </c>
      <c r="BL42" s="472">
        <v>458433333</v>
      </c>
      <c r="BM42" s="472">
        <v>0</v>
      </c>
      <c r="BN42" s="472">
        <v>0</v>
      </c>
      <c r="BO42" s="472">
        <v>0</v>
      </c>
      <c r="BP42" s="472">
        <v>0</v>
      </c>
      <c r="BQ42" s="472">
        <v>0</v>
      </c>
      <c r="BR42" s="472">
        <v>0</v>
      </c>
      <c r="BS42" s="472">
        <v>0</v>
      </c>
      <c r="BT42" s="472">
        <v>0</v>
      </c>
      <c r="BU42" s="472">
        <v>0</v>
      </c>
      <c r="BV42" s="342">
        <f t="shared" si="14"/>
        <v>4.1250000000000002E-2</v>
      </c>
      <c r="BW42" s="350">
        <v>35</v>
      </c>
      <c r="BX42" s="385">
        <f t="shared" si="49"/>
        <v>0.25</v>
      </c>
      <c r="BY42" s="399">
        <v>46</v>
      </c>
      <c r="BZ42" s="398">
        <v>46</v>
      </c>
      <c r="CA42" s="690">
        <v>47</v>
      </c>
      <c r="CB42" s="471">
        <f t="shared" si="50"/>
        <v>11.75</v>
      </c>
      <c r="CC42" s="471">
        <f t="shared" si="51"/>
        <v>134.28571428571428</v>
      </c>
      <c r="CD42" s="470">
        <f t="shared" si="18"/>
        <v>100</v>
      </c>
      <c r="CE42" s="380">
        <f t="shared" si="19"/>
        <v>4.1250000000000002E-2</v>
      </c>
      <c r="CF42" s="469">
        <f t="shared" si="20"/>
        <v>100</v>
      </c>
      <c r="CG42" s="380">
        <f t="shared" si="21"/>
        <v>5.5392857142857146E-2</v>
      </c>
      <c r="CH42" s="468">
        <f t="shared" si="22"/>
        <v>4.1250000000000002E-2</v>
      </c>
      <c r="CI42" s="319">
        <v>35</v>
      </c>
      <c r="CJ42" s="318">
        <f t="shared" si="52"/>
        <v>0.25</v>
      </c>
      <c r="CK42" s="1259">
        <v>40</v>
      </c>
      <c r="CL42" s="301">
        <f t="shared" si="53"/>
        <v>-5</v>
      </c>
      <c r="CM42" s="381">
        <f t="shared" si="54"/>
        <v>10</v>
      </c>
      <c r="CN42" s="381">
        <f t="shared" si="55"/>
        <v>114.28571428571429</v>
      </c>
      <c r="CO42" s="381">
        <f t="shared" si="27"/>
        <v>100</v>
      </c>
      <c r="CP42" s="381">
        <f t="shared" si="28"/>
        <v>4.1250000000000002E-2</v>
      </c>
      <c r="CQ42" s="381">
        <f t="shared" si="29"/>
        <v>4.7142857142857146E-2</v>
      </c>
      <c r="CR42" s="313">
        <v>975000000</v>
      </c>
      <c r="CS42" s="313">
        <v>350000000</v>
      </c>
      <c r="CT42" s="313">
        <v>0</v>
      </c>
      <c r="CU42" s="313">
        <v>0</v>
      </c>
      <c r="CV42" s="313">
        <v>0</v>
      </c>
      <c r="CW42" s="313">
        <v>0</v>
      </c>
      <c r="CX42" s="313">
        <v>0</v>
      </c>
      <c r="CY42" s="313">
        <v>625000000</v>
      </c>
      <c r="CZ42" s="380">
        <v>0</v>
      </c>
      <c r="DA42" s="380">
        <v>0</v>
      </c>
      <c r="DB42" s="380">
        <v>0</v>
      </c>
      <c r="DC42" s="380">
        <v>0</v>
      </c>
      <c r="DD42" s="380">
        <v>0</v>
      </c>
      <c r="DE42" s="380">
        <v>0</v>
      </c>
      <c r="DF42" s="380">
        <v>0</v>
      </c>
      <c r="DG42" s="380">
        <v>0</v>
      </c>
      <c r="DH42" s="380">
        <v>0</v>
      </c>
      <c r="DI42" s="380">
        <v>0</v>
      </c>
      <c r="DJ42" s="380">
        <v>0</v>
      </c>
      <c r="DK42" s="702">
        <f t="shared" si="56"/>
        <v>63.25</v>
      </c>
      <c r="DL42" s="311">
        <f t="shared" si="31"/>
        <v>0.16500000000000001</v>
      </c>
      <c r="DM42" s="310">
        <f t="shared" si="32"/>
        <v>180.71428571428572</v>
      </c>
      <c r="DN42" s="356">
        <f t="shared" si="33"/>
        <v>100</v>
      </c>
      <c r="DO42" s="308">
        <f t="shared" si="34"/>
        <v>0.16500000000000001</v>
      </c>
      <c r="DP42" s="359">
        <f>+IF(M42="M",DO42,0)</f>
        <v>0.16500000000000001</v>
      </c>
      <c r="DQ42" s="306">
        <f t="shared" si="35"/>
        <v>0.16500000000000001</v>
      </c>
      <c r="DR42" s="379">
        <f t="shared" si="36"/>
        <v>1</v>
      </c>
      <c r="DS42" s="378">
        <f t="shared" si="37"/>
        <v>0</v>
      </c>
      <c r="DT42" s="173">
        <v>39</v>
      </c>
      <c r="DU42" s="174" t="s">
        <v>217</v>
      </c>
      <c r="DV42" s="173"/>
      <c r="DW42" s="174" t="s">
        <v>84</v>
      </c>
      <c r="DX42" s="173"/>
      <c r="DY42" s="173"/>
      <c r="DZ42" s="173"/>
      <c r="EA42" s="665"/>
      <c r="EB42" s="1254" t="s">
        <v>2486</v>
      </c>
      <c r="EC42" s="537">
        <v>0</v>
      </c>
      <c r="EE42" s="734">
        <v>44</v>
      </c>
      <c r="EF42" s="706"/>
    </row>
    <row r="43" spans="4:136" s="302" customFormat="1" ht="114.75" hidden="1">
      <c r="D43" s="520">
        <v>40</v>
      </c>
      <c r="E43" s="534">
        <v>59</v>
      </c>
      <c r="F43" s="523" t="s">
        <v>43</v>
      </c>
      <c r="G43" s="523" t="s">
        <v>81</v>
      </c>
      <c r="H43" s="524" t="s">
        <v>2652</v>
      </c>
      <c r="I43" s="462" t="s">
        <v>187</v>
      </c>
      <c r="J43" s="335" t="s">
        <v>254</v>
      </c>
      <c r="K43" s="335" t="s">
        <v>255</v>
      </c>
      <c r="L43" s="454" t="s">
        <v>1983</v>
      </c>
      <c r="M43" s="333" t="s">
        <v>1771</v>
      </c>
      <c r="N43" s="333">
        <v>92</v>
      </c>
      <c r="O43" s="333">
        <f>+N43+P43</f>
        <v>184</v>
      </c>
      <c r="P43" s="332">
        <v>92</v>
      </c>
      <c r="Q43" s="357">
        <v>0.16500000000000001</v>
      </c>
      <c r="R43" s="342">
        <f t="shared" si="0"/>
        <v>4.1250000000000002E-2</v>
      </c>
      <c r="S43" s="459">
        <v>23</v>
      </c>
      <c r="T43" s="387">
        <f t="shared" si="43"/>
        <v>0.25</v>
      </c>
      <c r="U43" s="670">
        <v>47</v>
      </c>
      <c r="V43" s="388">
        <f t="shared" si="44"/>
        <v>47</v>
      </c>
      <c r="W43" s="356">
        <f t="shared" si="45"/>
        <v>204.34782608695653</v>
      </c>
      <c r="X43" s="356">
        <f t="shared" si="4"/>
        <v>100</v>
      </c>
      <c r="Y43" s="356">
        <f t="shared" si="40"/>
        <v>4.1250000000000002E-2</v>
      </c>
      <c r="Z43" s="356">
        <f t="shared" si="6"/>
        <v>100</v>
      </c>
      <c r="AA43" s="313">
        <v>435000000</v>
      </c>
      <c r="AB43" s="313">
        <v>115000000</v>
      </c>
      <c r="AC43" s="313">
        <v>0</v>
      </c>
      <c r="AD43" s="313">
        <v>0</v>
      </c>
      <c r="AE43" s="313">
        <v>0</v>
      </c>
      <c r="AF43" s="313">
        <v>0</v>
      </c>
      <c r="AG43" s="313">
        <v>0</v>
      </c>
      <c r="AH43" s="313">
        <v>320000000</v>
      </c>
      <c r="AI43" s="313">
        <v>0</v>
      </c>
      <c r="AJ43" s="313">
        <v>0</v>
      </c>
      <c r="AK43" s="313">
        <v>0</v>
      </c>
      <c r="AL43" s="313">
        <v>0</v>
      </c>
      <c r="AM43" s="313">
        <v>0</v>
      </c>
      <c r="AN43" s="313">
        <v>0</v>
      </c>
      <c r="AO43" s="313">
        <v>0</v>
      </c>
      <c r="AP43" s="313">
        <v>0</v>
      </c>
      <c r="AQ43" s="313">
        <v>0</v>
      </c>
      <c r="AR43" s="313">
        <v>18182000</v>
      </c>
      <c r="AS43" s="313" t="s">
        <v>1982</v>
      </c>
      <c r="AT43" s="333">
        <f t="shared" si="7"/>
        <v>4.1250000000000002E-2</v>
      </c>
      <c r="AU43" s="333">
        <v>23</v>
      </c>
      <c r="AV43" s="387">
        <f t="shared" si="46"/>
        <v>0.25</v>
      </c>
      <c r="AW43" s="677">
        <v>74</v>
      </c>
      <c r="AX43" s="474">
        <f t="shared" si="47"/>
        <v>74</v>
      </c>
      <c r="AY43" s="474">
        <f t="shared" si="48"/>
        <v>321.73913043478262</v>
      </c>
      <c r="AZ43" s="474">
        <f t="shared" si="11"/>
        <v>100</v>
      </c>
      <c r="BA43" s="356">
        <f t="shared" si="12"/>
        <v>4.1250000000000002E-2</v>
      </c>
      <c r="BB43" s="356">
        <f t="shared" si="13"/>
        <v>100</v>
      </c>
      <c r="BC43" s="313">
        <v>435000000</v>
      </c>
      <c r="BD43" s="313">
        <v>0</v>
      </c>
      <c r="BE43" s="313">
        <v>115000000</v>
      </c>
      <c r="BF43" s="313">
        <v>0</v>
      </c>
      <c r="BG43" s="313">
        <v>0</v>
      </c>
      <c r="BH43" s="313">
        <v>0</v>
      </c>
      <c r="BI43" s="313">
        <v>0</v>
      </c>
      <c r="BJ43" s="313">
        <v>320000000</v>
      </c>
      <c r="BK43" s="473">
        <v>119737498</v>
      </c>
      <c r="BL43" s="472">
        <v>119737498</v>
      </c>
      <c r="BM43" s="472">
        <v>0</v>
      </c>
      <c r="BN43" s="472">
        <v>0</v>
      </c>
      <c r="BO43" s="472">
        <v>0</v>
      </c>
      <c r="BP43" s="472">
        <v>0</v>
      </c>
      <c r="BQ43" s="472">
        <v>0</v>
      </c>
      <c r="BR43" s="472">
        <v>0</v>
      </c>
      <c r="BS43" s="472">
        <v>0</v>
      </c>
      <c r="BT43" s="472">
        <v>0</v>
      </c>
      <c r="BU43" s="472">
        <v>0</v>
      </c>
      <c r="BV43" s="342">
        <f t="shared" si="14"/>
        <v>4.1250000000000002E-2</v>
      </c>
      <c r="BW43" s="350">
        <v>23</v>
      </c>
      <c r="BX43" s="385">
        <f t="shared" si="49"/>
        <v>0.25</v>
      </c>
      <c r="BY43" s="369">
        <v>100</v>
      </c>
      <c r="BZ43" s="391">
        <v>100</v>
      </c>
      <c r="CA43" s="689">
        <v>120</v>
      </c>
      <c r="CB43" s="471">
        <f t="shared" si="50"/>
        <v>120</v>
      </c>
      <c r="CC43" s="471">
        <f t="shared" si="51"/>
        <v>521.73913043478262</v>
      </c>
      <c r="CD43" s="470">
        <f t="shared" si="18"/>
        <v>100</v>
      </c>
      <c r="CE43" s="380">
        <f t="shared" si="19"/>
        <v>4.1250000000000002E-2</v>
      </c>
      <c r="CF43" s="469">
        <f t="shared" si="20"/>
        <v>100</v>
      </c>
      <c r="CG43" s="380">
        <f t="shared" si="21"/>
        <v>0.21521739130434786</v>
      </c>
      <c r="CH43" s="468">
        <f t="shared" si="22"/>
        <v>4.1250000000000002E-2</v>
      </c>
      <c r="CI43" s="319">
        <v>23</v>
      </c>
      <c r="CJ43" s="318">
        <f t="shared" si="52"/>
        <v>0.25</v>
      </c>
      <c r="CK43" s="1259">
        <v>143</v>
      </c>
      <c r="CL43" s="301">
        <f t="shared" si="53"/>
        <v>-120</v>
      </c>
      <c r="CM43" s="381">
        <f t="shared" si="54"/>
        <v>143</v>
      </c>
      <c r="CN43" s="381">
        <f t="shared" si="55"/>
        <v>621.73913043478262</v>
      </c>
      <c r="CO43" s="316">
        <f t="shared" si="27"/>
        <v>100</v>
      </c>
      <c r="CP43" s="381">
        <f t="shared" si="28"/>
        <v>4.1250000000000002E-2</v>
      </c>
      <c r="CQ43" s="381">
        <f t="shared" si="29"/>
        <v>0.25646739130434787</v>
      </c>
      <c r="CR43" s="313">
        <v>435000000</v>
      </c>
      <c r="CS43" s="313">
        <v>115000000</v>
      </c>
      <c r="CT43" s="313">
        <v>0</v>
      </c>
      <c r="CU43" s="313">
        <v>0</v>
      </c>
      <c r="CV43" s="313">
        <v>0</v>
      </c>
      <c r="CW43" s="313">
        <v>0</v>
      </c>
      <c r="CX43" s="313">
        <v>0</v>
      </c>
      <c r="CY43" s="313">
        <v>320000000</v>
      </c>
      <c r="CZ43" s="380">
        <v>0</v>
      </c>
      <c r="DA43" s="380">
        <v>0</v>
      </c>
      <c r="DB43" s="380">
        <v>0</v>
      </c>
      <c r="DC43" s="380">
        <v>0</v>
      </c>
      <c r="DD43" s="380">
        <v>0</v>
      </c>
      <c r="DE43" s="380">
        <v>0</v>
      </c>
      <c r="DF43" s="380">
        <v>0</v>
      </c>
      <c r="DG43" s="380">
        <v>0</v>
      </c>
      <c r="DH43" s="380">
        <v>0</v>
      </c>
      <c r="DI43" s="380">
        <v>0</v>
      </c>
      <c r="DJ43" s="380">
        <v>0</v>
      </c>
      <c r="DK43" s="702">
        <f t="shared" si="56"/>
        <v>384</v>
      </c>
      <c r="DL43" s="311">
        <f t="shared" si="31"/>
        <v>0.16500000000000001</v>
      </c>
      <c r="DM43" s="310">
        <f t="shared" si="32"/>
        <v>417.39130434782606</v>
      </c>
      <c r="DN43" s="356">
        <f t="shared" si="33"/>
        <v>100</v>
      </c>
      <c r="DO43" s="308">
        <f t="shared" si="34"/>
        <v>0.16500000000000001</v>
      </c>
      <c r="DP43" s="359">
        <f>+IF(((DN43*Q43)/100)&lt;Q43, ((DN43*Q43)/100),Q43)</f>
        <v>0.16500000000000001</v>
      </c>
      <c r="DQ43" s="306">
        <f t="shared" si="35"/>
        <v>0.16500000000000001</v>
      </c>
      <c r="DR43" s="379">
        <f t="shared" si="36"/>
        <v>1</v>
      </c>
      <c r="DS43" s="378">
        <f t="shared" si="37"/>
        <v>0</v>
      </c>
      <c r="DT43" s="173">
        <v>39</v>
      </c>
      <c r="DU43" s="174" t="s">
        <v>217</v>
      </c>
      <c r="DV43" s="173"/>
      <c r="DW43" s="174" t="s">
        <v>84</v>
      </c>
      <c r="DX43" s="173"/>
      <c r="DY43" s="173"/>
      <c r="DZ43" s="173"/>
      <c r="EA43" s="665"/>
      <c r="EB43" s="1254" t="s">
        <v>2487</v>
      </c>
      <c r="EC43" s="537">
        <v>35000000</v>
      </c>
      <c r="EE43" s="734">
        <v>116</v>
      </c>
      <c r="EF43" s="706"/>
    </row>
    <row r="44" spans="4:136" s="302" customFormat="1" ht="293.25" hidden="1">
      <c r="D44" s="520">
        <v>41</v>
      </c>
      <c r="E44" s="534">
        <v>60</v>
      </c>
      <c r="F44" s="523" t="s">
        <v>43</v>
      </c>
      <c r="G44" s="523" t="s">
        <v>8</v>
      </c>
      <c r="H44" s="524" t="s">
        <v>2652</v>
      </c>
      <c r="I44" s="462" t="s">
        <v>187</v>
      </c>
      <c r="J44" s="335" t="s">
        <v>256</v>
      </c>
      <c r="K44" s="335" t="s">
        <v>257</v>
      </c>
      <c r="L44" s="453" t="s">
        <v>2013</v>
      </c>
      <c r="M44" s="333" t="s">
        <v>1785</v>
      </c>
      <c r="N44" s="333">
        <v>100</v>
      </c>
      <c r="O44" s="333">
        <f t="shared" ref="O44:O49" si="57">+P44</f>
        <v>100</v>
      </c>
      <c r="P44" s="332">
        <v>100</v>
      </c>
      <c r="Q44" s="357">
        <v>8.8999999999999996E-2</v>
      </c>
      <c r="R44" s="342">
        <f t="shared" si="0"/>
        <v>2.2249999999999999E-2</v>
      </c>
      <c r="S44" s="459">
        <v>100</v>
      </c>
      <c r="T44" s="387">
        <f t="shared" si="43"/>
        <v>0.25</v>
      </c>
      <c r="U44" s="670">
        <v>86</v>
      </c>
      <c r="V44" s="388">
        <f t="shared" si="44"/>
        <v>21.5</v>
      </c>
      <c r="W44" s="356">
        <f t="shared" si="45"/>
        <v>86</v>
      </c>
      <c r="X44" s="356">
        <f t="shared" si="4"/>
        <v>86</v>
      </c>
      <c r="Y44" s="356">
        <f t="shared" si="40"/>
        <v>1.9134999999999999E-2</v>
      </c>
      <c r="Z44" s="356">
        <f t="shared" si="6"/>
        <v>86</v>
      </c>
      <c r="AA44" s="313">
        <v>3572000000</v>
      </c>
      <c r="AB44" s="313">
        <v>0</v>
      </c>
      <c r="AC44" s="313">
        <v>3572000000</v>
      </c>
      <c r="AD44" s="313">
        <v>0</v>
      </c>
      <c r="AE44" s="313">
        <v>0</v>
      </c>
      <c r="AF44" s="313">
        <v>0</v>
      </c>
      <c r="AG44" s="313">
        <v>0</v>
      </c>
      <c r="AH44" s="313">
        <v>0</v>
      </c>
      <c r="AI44" s="313">
        <v>199808000</v>
      </c>
      <c r="AJ44" s="313">
        <v>0</v>
      </c>
      <c r="AK44" s="313">
        <v>199808000</v>
      </c>
      <c r="AL44" s="313">
        <v>0</v>
      </c>
      <c r="AM44" s="313">
        <v>0</v>
      </c>
      <c r="AN44" s="313">
        <v>0</v>
      </c>
      <c r="AO44" s="313">
        <v>0</v>
      </c>
      <c r="AP44" s="313">
        <v>0</v>
      </c>
      <c r="AQ44" s="313">
        <v>0</v>
      </c>
      <c r="AR44" s="313">
        <v>0</v>
      </c>
      <c r="AS44" s="313" t="s">
        <v>1798</v>
      </c>
      <c r="AT44" s="333">
        <f t="shared" si="7"/>
        <v>2.2249999999999999E-2</v>
      </c>
      <c r="AU44" s="333">
        <v>100</v>
      </c>
      <c r="AV44" s="387">
        <f t="shared" si="46"/>
        <v>0.25</v>
      </c>
      <c r="AW44" s="677">
        <v>100</v>
      </c>
      <c r="AX44" s="474">
        <f t="shared" si="47"/>
        <v>25</v>
      </c>
      <c r="AY44" s="474">
        <f t="shared" si="48"/>
        <v>100</v>
      </c>
      <c r="AZ44" s="474">
        <f t="shared" si="11"/>
        <v>100</v>
      </c>
      <c r="BA44" s="356">
        <f t="shared" si="12"/>
        <v>2.2250000000000002E-2</v>
      </c>
      <c r="BB44" s="356">
        <f t="shared" si="13"/>
        <v>100</v>
      </c>
      <c r="BC44" s="313">
        <v>3572000000</v>
      </c>
      <c r="BD44" s="313">
        <v>3572000000</v>
      </c>
      <c r="BE44" s="313">
        <v>0</v>
      </c>
      <c r="BF44" s="313">
        <v>0</v>
      </c>
      <c r="BG44" s="313">
        <v>0</v>
      </c>
      <c r="BH44" s="313">
        <v>0</v>
      </c>
      <c r="BI44" s="313">
        <v>0</v>
      </c>
      <c r="BJ44" s="313">
        <v>0</v>
      </c>
      <c r="BK44" s="473">
        <v>4430423090</v>
      </c>
      <c r="BL44" s="472">
        <v>0</v>
      </c>
      <c r="BM44" s="472">
        <v>4430423090</v>
      </c>
      <c r="BN44" s="472">
        <v>0</v>
      </c>
      <c r="BO44" s="472">
        <v>0</v>
      </c>
      <c r="BP44" s="472">
        <v>0</v>
      </c>
      <c r="BQ44" s="472">
        <v>0</v>
      </c>
      <c r="BR44" s="472">
        <v>0</v>
      </c>
      <c r="BS44" s="472">
        <v>0</v>
      </c>
      <c r="BT44" s="472">
        <v>0</v>
      </c>
      <c r="BU44" s="472">
        <v>0</v>
      </c>
      <c r="BV44" s="342">
        <f t="shared" si="14"/>
        <v>2.2249999999999999E-2</v>
      </c>
      <c r="BW44" s="350">
        <v>100</v>
      </c>
      <c r="BX44" s="385">
        <f t="shared" si="49"/>
        <v>0.25</v>
      </c>
      <c r="BY44" s="369">
        <v>100</v>
      </c>
      <c r="BZ44" s="391">
        <v>100</v>
      </c>
      <c r="CA44" s="689">
        <v>100</v>
      </c>
      <c r="CB44" s="471">
        <f t="shared" si="50"/>
        <v>25</v>
      </c>
      <c r="CC44" s="471">
        <f t="shared" si="51"/>
        <v>100</v>
      </c>
      <c r="CD44" s="470">
        <f t="shared" si="18"/>
        <v>100</v>
      </c>
      <c r="CE44" s="380">
        <f t="shared" si="19"/>
        <v>2.2250000000000002E-2</v>
      </c>
      <c r="CF44" s="469">
        <f t="shared" si="20"/>
        <v>100</v>
      </c>
      <c r="CG44" s="380">
        <f t="shared" si="21"/>
        <v>2.2250000000000002E-2</v>
      </c>
      <c r="CH44" s="468">
        <f t="shared" si="22"/>
        <v>2.2249999999999999E-2</v>
      </c>
      <c r="CI44" s="319">
        <v>100</v>
      </c>
      <c r="CJ44" s="318">
        <f t="shared" si="52"/>
        <v>0.25</v>
      </c>
      <c r="CK44" s="1259">
        <v>100</v>
      </c>
      <c r="CL44" s="301">
        <f t="shared" si="53"/>
        <v>0</v>
      </c>
      <c r="CM44" s="381">
        <f t="shared" si="54"/>
        <v>25</v>
      </c>
      <c r="CN44" s="381">
        <f t="shared" si="55"/>
        <v>100</v>
      </c>
      <c r="CO44" s="381">
        <f t="shared" si="27"/>
        <v>100</v>
      </c>
      <c r="CP44" s="381">
        <f t="shared" si="28"/>
        <v>2.2250000000000002E-2</v>
      </c>
      <c r="CQ44" s="381">
        <f t="shared" si="29"/>
        <v>2.2250000000000002E-2</v>
      </c>
      <c r="CR44" s="313">
        <v>3948000000</v>
      </c>
      <c r="CS44" s="313">
        <v>0</v>
      </c>
      <c r="CT44" s="313">
        <v>3948000000</v>
      </c>
      <c r="CU44" s="313">
        <v>0</v>
      </c>
      <c r="CV44" s="313">
        <v>0</v>
      </c>
      <c r="CW44" s="313">
        <v>0</v>
      </c>
      <c r="CX44" s="313">
        <v>0</v>
      </c>
      <c r="CY44" s="313">
        <v>0</v>
      </c>
      <c r="CZ44" s="380">
        <v>0</v>
      </c>
      <c r="DA44" s="380">
        <v>0</v>
      </c>
      <c r="DB44" s="380">
        <v>0</v>
      </c>
      <c r="DC44" s="380">
        <v>0</v>
      </c>
      <c r="DD44" s="380">
        <v>0</v>
      </c>
      <c r="DE44" s="380">
        <v>0</v>
      </c>
      <c r="DF44" s="380">
        <v>0</v>
      </c>
      <c r="DG44" s="380">
        <v>0</v>
      </c>
      <c r="DH44" s="380">
        <v>0</v>
      </c>
      <c r="DI44" s="380">
        <v>0</v>
      </c>
      <c r="DJ44" s="380">
        <v>0</v>
      </c>
      <c r="DK44" s="702">
        <f t="shared" si="56"/>
        <v>96.5</v>
      </c>
      <c r="DL44" s="311">
        <f t="shared" si="31"/>
        <v>8.8999999999999996E-2</v>
      </c>
      <c r="DM44" s="310">
        <f t="shared" si="32"/>
        <v>96.5</v>
      </c>
      <c r="DN44" s="356">
        <f t="shared" si="33"/>
        <v>96.5</v>
      </c>
      <c r="DO44" s="308">
        <f t="shared" si="34"/>
        <v>8.5885000000000003E-2</v>
      </c>
      <c r="DP44" s="359">
        <f t="shared" ref="DP44:DP49" si="58">+IF(M44="M",DO44,0)</f>
        <v>8.5885000000000003E-2</v>
      </c>
      <c r="DQ44" s="306">
        <f t="shared" si="35"/>
        <v>8.5885000000000003E-2</v>
      </c>
      <c r="DR44" s="379">
        <f t="shared" si="36"/>
        <v>1</v>
      </c>
      <c r="DS44" s="378">
        <f t="shared" si="37"/>
        <v>0</v>
      </c>
      <c r="DT44" s="173">
        <v>77</v>
      </c>
      <c r="DU44" s="174" t="s">
        <v>130</v>
      </c>
      <c r="DV44" s="173"/>
      <c r="DW44" s="174" t="s">
        <v>84</v>
      </c>
      <c r="DX44" s="173"/>
      <c r="DY44" s="173"/>
      <c r="DZ44" s="173"/>
      <c r="EA44" s="665"/>
      <c r="EB44" s="1254" t="s">
        <v>2488</v>
      </c>
      <c r="EC44" s="537">
        <v>0</v>
      </c>
      <c r="EE44" s="733">
        <v>0</v>
      </c>
      <c r="EF44" s="706"/>
    </row>
    <row r="45" spans="4:136" s="302" customFormat="1" ht="293.25" hidden="1">
      <c r="D45" s="520">
        <v>42</v>
      </c>
      <c r="E45" s="534">
        <v>61</v>
      </c>
      <c r="F45" s="523" t="s">
        <v>43</v>
      </c>
      <c r="G45" s="523" t="s">
        <v>8</v>
      </c>
      <c r="H45" s="524" t="s">
        <v>2652</v>
      </c>
      <c r="I45" s="462" t="s">
        <v>187</v>
      </c>
      <c r="J45" s="335" t="s">
        <v>258</v>
      </c>
      <c r="K45" s="335" t="s">
        <v>259</v>
      </c>
      <c r="L45" s="453" t="s">
        <v>2013</v>
      </c>
      <c r="M45" s="333" t="s">
        <v>1785</v>
      </c>
      <c r="N45" s="333">
        <v>100</v>
      </c>
      <c r="O45" s="333">
        <f t="shared" si="57"/>
        <v>100</v>
      </c>
      <c r="P45" s="332">
        <v>100</v>
      </c>
      <c r="Q45" s="357">
        <v>8.8999999999999996E-2</v>
      </c>
      <c r="R45" s="342">
        <f t="shared" si="0"/>
        <v>2.2249999999999999E-2</v>
      </c>
      <c r="S45" s="459">
        <v>100</v>
      </c>
      <c r="T45" s="387">
        <f t="shared" si="43"/>
        <v>0.25</v>
      </c>
      <c r="U45" s="670">
        <v>80</v>
      </c>
      <c r="V45" s="388">
        <f t="shared" si="44"/>
        <v>20</v>
      </c>
      <c r="W45" s="356">
        <f t="shared" si="45"/>
        <v>80</v>
      </c>
      <c r="X45" s="356">
        <f t="shared" si="4"/>
        <v>80</v>
      </c>
      <c r="Y45" s="356">
        <f t="shared" si="40"/>
        <v>1.7799999999999996E-2</v>
      </c>
      <c r="Z45" s="356">
        <f t="shared" si="6"/>
        <v>80</v>
      </c>
      <c r="AA45" s="313">
        <v>1672000000</v>
      </c>
      <c r="AB45" s="313">
        <v>0</v>
      </c>
      <c r="AC45" s="313">
        <v>1672000000</v>
      </c>
      <c r="AD45" s="313">
        <v>0</v>
      </c>
      <c r="AE45" s="313">
        <v>0</v>
      </c>
      <c r="AF45" s="313">
        <v>0</v>
      </c>
      <c r="AG45" s="313">
        <v>0</v>
      </c>
      <c r="AH45" s="313">
        <v>0</v>
      </c>
      <c r="AI45" s="313">
        <v>473261000</v>
      </c>
      <c r="AJ45" s="313">
        <v>98903000</v>
      </c>
      <c r="AK45" s="313">
        <v>374358000</v>
      </c>
      <c r="AL45" s="313">
        <v>0</v>
      </c>
      <c r="AM45" s="313">
        <v>0</v>
      </c>
      <c r="AN45" s="313">
        <v>0</v>
      </c>
      <c r="AO45" s="313">
        <v>0</v>
      </c>
      <c r="AP45" s="313">
        <v>0</v>
      </c>
      <c r="AQ45" s="313">
        <v>0</v>
      </c>
      <c r="AR45" s="313">
        <v>0</v>
      </c>
      <c r="AS45" s="313" t="s">
        <v>1798</v>
      </c>
      <c r="AT45" s="333">
        <f t="shared" si="7"/>
        <v>2.2249999999999999E-2</v>
      </c>
      <c r="AU45" s="333">
        <v>100</v>
      </c>
      <c r="AV45" s="387">
        <f t="shared" si="46"/>
        <v>0.25</v>
      </c>
      <c r="AW45" s="677">
        <v>100</v>
      </c>
      <c r="AX45" s="474">
        <f t="shared" si="47"/>
        <v>25</v>
      </c>
      <c r="AY45" s="474">
        <f t="shared" si="48"/>
        <v>100</v>
      </c>
      <c r="AZ45" s="474">
        <f t="shared" si="11"/>
        <v>100</v>
      </c>
      <c r="BA45" s="356">
        <f t="shared" si="12"/>
        <v>2.2250000000000002E-2</v>
      </c>
      <c r="BB45" s="356">
        <f t="shared" si="13"/>
        <v>100</v>
      </c>
      <c r="BC45" s="313">
        <v>1672000000</v>
      </c>
      <c r="BD45" s="313">
        <v>1672000000</v>
      </c>
      <c r="BE45" s="313">
        <v>0</v>
      </c>
      <c r="BF45" s="313">
        <v>0</v>
      </c>
      <c r="BG45" s="313">
        <v>0</v>
      </c>
      <c r="BH45" s="313">
        <v>0</v>
      </c>
      <c r="BI45" s="313">
        <v>0</v>
      </c>
      <c r="BJ45" s="313">
        <v>0</v>
      </c>
      <c r="BK45" s="473">
        <v>2821146760</v>
      </c>
      <c r="BL45" s="472">
        <v>0</v>
      </c>
      <c r="BM45" s="472">
        <v>2821146760</v>
      </c>
      <c r="BN45" s="472">
        <v>0</v>
      </c>
      <c r="BO45" s="472">
        <v>0</v>
      </c>
      <c r="BP45" s="472">
        <v>0</v>
      </c>
      <c r="BQ45" s="472">
        <v>0</v>
      </c>
      <c r="BR45" s="472">
        <v>0</v>
      </c>
      <c r="BS45" s="472">
        <v>0</v>
      </c>
      <c r="BT45" s="472">
        <v>0</v>
      </c>
      <c r="BU45" s="472">
        <v>0</v>
      </c>
      <c r="BV45" s="342">
        <f t="shared" si="14"/>
        <v>2.2249999999999999E-2</v>
      </c>
      <c r="BW45" s="350">
        <v>100</v>
      </c>
      <c r="BX45" s="385">
        <f t="shared" si="49"/>
        <v>0.25</v>
      </c>
      <c r="BY45" s="369">
        <v>100</v>
      </c>
      <c r="BZ45" s="391">
        <v>100</v>
      </c>
      <c r="CA45" s="689">
        <v>100</v>
      </c>
      <c r="CB45" s="471">
        <f t="shared" si="50"/>
        <v>25</v>
      </c>
      <c r="CC45" s="471">
        <f t="shared" si="51"/>
        <v>100</v>
      </c>
      <c r="CD45" s="470">
        <f t="shared" si="18"/>
        <v>100</v>
      </c>
      <c r="CE45" s="380">
        <f t="shared" si="19"/>
        <v>2.2250000000000002E-2</v>
      </c>
      <c r="CF45" s="469">
        <f t="shared" si="20"/>
        <v>100</v>
      </c>
      <c r="CG45" s="380">
        <f t="shared" si="21"/>
        <v>2.2250000000000002E-2</v>
      </c>
      <c r="CH45" s="468">
        <f t="shared" si="22"/>
        <v>2.2249999999999999E-2</v>
      </c>
      <c r="CI45" s="319">
        <v>100</v>
      </c>
      <c r="CJ45" s="318">
        <f t="shared" si="52"/>
        <v>0.25</v>
      </c>
      <c r="CK45" s="1259">
        <v>100</v>
      </c>
      <c r="CL45" s="301">
        <f t="shared" si="53"/>
        <v>0</v>
      </c>
      <c r="CM45" s="381">
        <f t="shared" si="54"/>
        <v>25</v>
      </c>
      <c r="CN45" s="381">
        <f t="shared" si="55"/>
        <v>100</v>
      </c>
      <c r="CO45" s="381">
        <f t="shared" si="27"/>
        <v>100</v>
      </c>
      <c r="CP45" s="381">
        <f t="shared" si="28"/>
        <v>2.2250000000000002E-2</v>
      </c>
      <c r="CQ45" s="381">
        <f t="shared" si="29"/>
        <v>2.2250000000000002E-2</v>
      </c>
      <c r="CR45" s="313">
        <v>1848000000</v>
      </c>
      <c r="CS45" s="313">
        <v>0</v>
      </c>
      <c r="CT45" s="313">
        <v>1848000000</v>
      </c>
      <c r="CU45" s="313">
        <v>0</v>
      </c>
      <c r="CV45" s="313">
        <v>0</v>
      </c>
      <c r="CW45" s="313">
        <v>0</v>
      </c>
      <c r="CX45" s="313">
        <v>0</v>
      </c>
      <c r="CY45" s="313">
        <v>0</v>
      </c>
      <c r="CZ45" s="380">
        <v>0</v>
      </c>
      <c r="DA45" s="380">
        <v>0</v>
      </c>
      <c r="DB45" s="380">
        <v>0</v>
      </c>
      <c r="DC45" s="380">
        <v>0</v>
      </c>
      <c r="DD45" s="380">
        <v>0</v>
      </c>
      <c r="DE45" s="380">
        <v>0</v>
      </c>
      <c r="DF45" s="380">
        <v>0</v>
      </c>
      <c r="DG45" s="380">
        <v>0</v>
      </c>
      <c r="DH45" s="380">
        <v>0</v>
      </c>
      <c r="DI45" s="380">
        <v>0</v>
      </c>
      <c r="DJ45" s="380">
        <v>0</v>
      </c>
      <c r="DK45" s="702">
        <f t="shared" si="56"/>
        <v>95</v>
      </c>
      <c r="DL45" s="311">
        <f t="shared" si="31"/>
        <v>8.8999999999999996E-2</v>
      </c>
      <c r="DM45" s="310">
        <f t="shared" si="32"/>
        <v>95</v>
      </c>
      <c r="DN45" s="356">
        <f t="shared" si="33"/>
        <v>95</v>
      </c>
      <c r="DO45" s="308">
        <f t="shared" si="34"/>
        <v>8.455E-2</v>
      </c>
      <c r="DP45" s="359">
        <f t="shared" si="58"/>
        <v>8.455E-2</v>
      </c>
      <c r="DQ45" s="306">
        <f t="shared" si="35"/>
        <v>8.455E-2</v>
      </c>
      <c r="DR45" s="379">
        <f t="shared" si="36"/>
        <v>1</v>
      </c>
      <c r="DS45" s="378">
        <f t="shared" si="37"/>
        <v>0</v>
      </c>
      <c r="DT45" s="173">
        <v>77</v>
      </c>
      <c r="DU45" s="174" t="s">
        <v>130</v>
      </c>
      <c r="DV45" s="173"/>
      <c r="DW45" s="174" t="s">
        <v>84</v>
      </c>
      <c r="DX45" s="173"/>
      <c r="DY45" s="173"/>
      <c r="DZ45" s="173"/>
      <c r="EA45" s="665"/>
      <c r="EB45" s="1254" t="s">
        <v>2489</v>
      </c>
      <c r="EC45" s="537">
        <v>0</v>
      </c>
      <c r="EE45" s="733">
        <v>1</v>
      </c>
      <c r="EF45" s="706"/>
    </row>
    <row r="46" spans="4:136" s="302" customFormat="1" ht="357" hidden="1">
      <c r="D46" s="520">
        <v>43</v>
      </c>
      <c r="E46" s="534">
        <v>62</v>
      </c>
      <c r="F46" s="523" t="s">
        <v>43</v>
      </c>
      <c r="G46" s="523" t="s">
        <v>8</v>
      </c>
      <c r="H46" s="524" t="s">
        <v>2652</v>
      </c>
      <c r="I46" s="462" t="s">
        <v>187</v>
      </c>
      <c r="J46" s="335" t="s">
        <v>260</v>
      </c>
      <c r="K46" s="335" t="s">
        <v>261</v>
      </c>
      <c r="L46" s="453" t="s">
        <v>2013</v>
      </c>
      <c r="M46" s="333" t="s">
        <v>1785</v>
      </c>
      <c r="N46" s="333">
        <v>52</v>
      </c>
      <c r="O46" s="333">
        <f t="shared" si="57"/>
        <v>52</v>
      </c>
      <c r="P46" s="332">
        <v>52</v>
      </c>
      <c r="Q46" s="357">
        <v>8.8999999999999996E-2</v>
      </c>
      <c r="R46" s="342">
        <f t="shared" si="0"/>
        <v>2.2249999999999999E-2</v>
      </c>
      <c r="S46" s="459">
        <v>52</v>
      </c>
      <c r="T46" s="387">
        <f t="shared" si="43"/>
        <v>0.25</v>
      </c>
      <c r="U46" s="670">
        <v>0</v>
      </c>
      <c r="V46" s="388">
        <f t="shared" si="44"/>
        <v>0</v>
      </c>
      <c r="W46" s="356">
        <f t="shared" si="45"/>
        <v>0</v>
      </c>
      <c r="X46" s="356">
        <f t="shared" si="4"/>
        <v>0</v>
      </c>
      <c r="Y46" s="356">
        <f t="shared" si="40"/>
        <v>0</v>
      </c>
      <c r="Z46" s="356">
        <f t="shared" si="6"/>
        <v>0</v>
      </c>
      <c r="AA46" s="313">
        <v>3600000000</v>
      </c>
      <c r="AB46" s="313">
        <v>3600000000</v>
      </c>
      <c r="AC46" s="313">
        <v>0</v>
      </c>
      <c r="AD46" s="313">
        <v>0</v>
      </c>
      <c r="AE46" s="313">
        <v>0</v>
      </c>
      <c r="AF46" s="313">
        <v>0</v>
      </c>
      <c r="AG46" s="313">
        <v>0</v>
      </c>
      <c r="AH46" s="313">
        <v>0</v>
      </c>
      <c r="AI46" s="313">
        <v>0</v>
      </c>
      <c r="AJ46" s="313">
        <v>0</v>
      </c>
      <c r="AK46" s="313">
        <v>0</v>
      </c>
      <c r="AL46" s="313">
        <v>0</v>
      </c>
      <c r="AM46" s="313">
        <v>0</v>
      </c>
      <c r="AN46" s="313">
        <v>0</v>
      </c>
      <c r="AO46" s="313">
        <v>0</v>
      </c>
      <c r="AP46" s="313">
        <v>0</v>
      </c>
      <c r="AQ46" s="313">
        <v>0</v>
      </c>
      <c r="AR46" s="313">
        <v>0</v>
      </c>
      <c r="AS46" s="313" t="s">
        <v>1798</v>
      </c>
      <c r="AT46" s="333">
        <f t="shared" si="7"/>
        <v>2.2249999999999999E-2</v>
      </c>
      <c r="AU46" s="333">
        <v>52</v>
      </c>
      <c r="AV46" s="387">
        <f t="shared" si="46"/>
        <v>0.25</v>
      </c>
      <c r="AW46" s="677">
        <v>100</v>
      </c>
      <c r="AX46" s="474">
        <f t="shared" si="47"/>
        <v>25</v>
      </c>
      <c r="AY46" s="474">
        <f t="shared" si="48"/>
        <v>192.30769230769232</v>
      </c>
      <c r="AZ46" s="474">
        <f t="shared" si="11"/>
        <v>100</v>
      </c>
      <c r="BA46" s="356">
        <f t="shared" si="12"/>
        <v>2.2250000000000002E-2</v>
      </c>
      <c r="BB46" s="356">
        <f t="shared" si="13"/>
        <v>100</v>
      </c>
      <c r="BC46" s="313">
        <v>2600000000</v>
      </c>
      <c r="BD46" s="313">
        <v>0</v>
      </c>
      <c r="BE46" s="313">
        <v>2600000000</v>
      </c>
      <c r="BF46" s="313">
        <v>0</v>
      </c>
      <c r="BG46" s="313">
        <v>0</v>
      </c>
      <c r="BH46" s="313">
        <v>0</v>
      </c>
      <c r="BI46" s="313">
        <v>0</v>
      </c>
      <c r="BJ46" s="313">
        <v>0</v>
      </c>
      <c r="BK46" s="473">
        <v>3311742063</v>
      </c>
      <c r="BL46" s="472">
        <v>2803802024</v>
      </c>
      <c r="BM46" s="472">
        <v>507940039</v>
      </c>
      <c r="BN46" s="472">
        <v>0</v>
      </c>
      <c r="BO46" s="472">
        <v>0</v>
      </c>
      <c r="BP46" s="472">
        <v>0</v>
      </c>
      <c r="BQ46" s="472">
        <v>0</v>
      </c>
      <c r="BR46" s="472">
        <v>0</v>
      </c>
      <c r="BS46" s="472">
        <v>0</v>
      </c>
      <c r="BT46" s="472">
        <v>290500000</v>
      </c>
      <c r="BU46" s="472" t="s">
        <v>2014</v>
      </c>
      <c r="BV46" s="342">
        <f t="shared" si="14"/>
        <v>2.2249999999999999E-2</v>
      </c>
      <c r="BW46" s="350">
        <v>52</v>
      </c>
      <c r="BX46" s="385">
        <f t="shared" si="49"/>
        <v>0.25</v>
      </c>
      <c r="BY46" s="369">
        <v>100</v>
      </c>
      <c r="BZ46" s="391">
        <v>100</v>
      </c>
      <c r="CA46" s="689">
        <v>100</v>
      </c>
      <c r="CB46" s="471">
        <f t="shared" si="50"/>
        <v>25</v>
      </c>
      <c r="CC46" s="471">
        <f t="shared" si="51"/>
        <v>192.30769230769232</v>
      </c>
      <c r="CD46" s="470">
        <f t="shared" si="18"/>
        <v>100</v>
      </c>
      <c r="CE46" s="380">
        <f t="shared" si="19"/>
        <v>2.2250000000000002E-2</v>
      </c>
      <c r="CF46" s="469">
        <f t="shared" si="20"/>
        <v>100</v>
      </c>
      <c r="CG46" s="380">
        <f t="shared" si="21"/>
        <v>4.2788461538461539E-2</v>
      </c>
      <c r="CH46" s="468">
        <f t="shared" si="22"/>
        <v>2.2249999999999999E-2</v>
      </c>
      <c r="CI46" s="319">
        <v>52</v>
      </c>
      <c r="CJ46" s="318">
        <f t="shared" si="52"/>
        <v>0.25</v>
      </c>
      <c r="CK46" s="1259">
        <v>52</v>
      </c>
      <c r="CL46" s="301">
        <f t="shared" si="53"/>
        <v>0</v>
      </c>
      <c r="CM46" s="381">
        <f t="shared" si="54"/>
        <v>13</v>
      </c>
      <c r="CN46" s="381">
        <f t="shared" si="55"/>
        <v>100</v>
      </c>
      <c r="CO46" s="381">
        <f t="shared" si="27"/>
        <v>100</v>
      </c>
      <c r="CP46" s="381">
        <f t="shared" si="28"/>
        <v>2.2250000000000002E-2</v>
      </c>
      <c r="CQ46" s="381">
        <f t="shared" si="29"/>
        <v>2.2250000000000002E-2</v>
      </c>
      <c r="CR46" s="313">
        <v>6000000000</v>
      </c>
      <c r="CS46" s="313">
        <v>6000000000</v>
      </c>
      <c r="CT46" s="313">
        <v>0</v>
      </c>
      <c r="CU46" s="313">
        <v>0</v>
      </c>
      <c r="CV46" s="313">
        <v>0</v>
      </c>
      <c r="CW46" s="313">
        <v>0</v>
      </c>
      <c r="CX46" s="313">
        <v>0</v>
      </c>
      <c r="CY46" s="313">
        <v>0</v>
      </c>
      <c r="CZ46" s="380">
        <v>0</v>
      </c>
      <c r="DA46" s="380">
        <v>0</v>
      </c>
      <c r="DB46" s="380">
        <v>0</v>
      </c>
      <c r="DC46" s="380">
        <v>0</v>
      </c>
      <c r="DD46" s="380">
        <v>0</v>
      </c>
      <c r="DE46" s="380">
        <v>0</v>
      </c>
      <c r="DF46" s="380">
        <v>0</v>
      </c>
      <c r="DG46" s="380">
        <v>0</v>
      </c>
      <c r="DH46" s="380">
        <v>0</v>
      </c>
      <c r="DI46" s="380">
        <v>0</v>
      </c>
      <c r="DJ46" s="380">
        <v>0</v>
      </c>
      <c r="DK46" s="702">
        <f t="shared" si="56"/>
        <v>63</v>
      </c>
      <c r="DL46" s="311">
        <f t="shared" si="31"/>
        <v>8.8999999999999996E-2</v>
      </c>
      <c r="DM46" s="310">
        <f t="shared" si="32"/>
        <v>121.15384615384616</v>
      </c>
      <c r="DN46" s="356">
        <f t="shared" si="33"/>
        <v>100</v>
      </c>
      <c r="DO46" s="308">
        <f t="shared" si="34"/>
        <v>8.900000000000001E-2</v>
      </c>
      <c r="DP46" s="359">
        <f t="shared" si="58"/>
        <v>8.900000000000001E-2</v>
      </c>
      <c r="DQ46" s="306">
        <f t="shared" si="35"/>
        <v>8.900000000000001E-2</v>
      </c>
      <c r="DR46" s="379">
        <f t="shared" si="36"/>
        <v>1</v>
      </c>
      <c r="DS46" s="378">
        <f t="shared" si="37"/>
        <v>0</v>
      </c>
      <c r="DT46" s="173">
        <v>77</v>
      </c>
      <c r="DU46" s="174" t="s">
        <v>130</v>
      </c>
      <c r="DV46" s="173"/>
      <c r="DW46" s="174" t="s">
        <v>84</v>
      </c>
      <c r="DX46" s="173"/>
      <c r="DY46" s="173"/>
      <c r="DZ46" s="173"/>
      <c r="EA46" s="665"/>
      <c r="EB46" s="1254" t="s">
        <v>2490</v>
      </c>
      <c r="EC46" s="537">
        <v>0</v>
      </c>
      <c r="EE46" s="733">
        <v>116</v>
      </c>
      <c r="EF46" s="706"/>
    </row>
    <row r="47" spans="4:136" s="302" customFormat="1" ht="89.25" hidden="1">
      <c r="D47" s="520">
        <v>44</v>
      </c>
      <c r="E47" s="534">
        <v>63</v>
      </c>
      <c r="F47" s="523" t="s">
        <v>43</v>
      </c>
      <c r="G47" s="523" t="s">
        <v>8</v>
      </c>
      <c r="H47" s="524" t="s">
        <v>2652</v>
      </c>
      <c r="I47" s="462" t="s">
        <v>187</v>
      </c>
      <c r="J47" s="335" t="s">
        <v>262</v>
      </c>
      <c r="K47" s="335" t="s">
        <v>263</v>
      </c>
      <c r="L47" s="454" t="s">
        <v>2013</v>
      </c>
      <c r="M47" s="333" t="s">
        <v>1785</v>
      </c>
      <c r="N47" s="333">
        <v>93</v>
      </c>
      <c r="O47" s="333">
        <f t="shared" si="57"/>
        <v>100</v>
      </c>
      <c r="P47" s="332">
        <v>100</v>
      </c>
      <c r="Q47" s="357">
        <v>0.25</v>
      </c>
      <c r="R47" s="342">
        <f t="shared" si="0"/>
        <v>6.25E-2</v>
      </c>
      <c r="S47" s="459">
        <v>100</v>
      </c>
      <c r="T47" s="387">
        <f t="shared" si="43"/>
        <v>0.25</v>
      </c>
      <c r="U47" s="670">
        <v>100</v>
      </c>
      <c r="V47" s="388">
        <f t="shared" si="44"/>
        <v>25</v>
      </c>
      <c r="W47" s="356">
        <f t="shared" si="45"/>
        <v>100</v>
      </c>
      <c r="X47" s="356">
        <f t="shared" si="4"/>
        <v>100</v>
      </c>
      <c r="Y47" s="356">
        <f t="shared" si="40"/>
        <v>6.25E-2</v>
      </c>
      <c r="Z47" s="356">
        <f t="shared" si="6"/>
        <v>100</v>
      </c>
      <c r="AA47" s="313">
        <v>236237000000</v>
      </c>
      <c r="AB47" s="313">
        <v>0</v>
      </c>
      <c r="AC47" s="313">
        <v>236237000000</v>
      </c>
      <c r="AD47" s="313">
        <v>0</v>
      </c>
      <c r="AE47" s="313">
        <v>0</v>
      </c>
      <c r="AF47" s="313">
        <v>0</v>
      </c>
      <c r="AG47" s="313">
        <v>0</v>
      </c>
      <c r="AH47" s="313">
        <v>0</v>
      </c>
      <c r="AI47" s="313">
        <v>358948948000</v>
      </c>
      <c r="AJ47" s="313">
        <v>0</v>
      </c>
      <c r="AK47" s="313">
        <v>358948948000</v>
      </c>
      <c r="AL47" s="313">
        <v>0</v>
      </c>
      <c r="AM47" s="313">
        <v>0</v>
      </c>
      <c r="AN47" s="313">
        <v>0</v>
      </c>
      <c r="AO47" s="313">
        <v>0</v>
      </c>
      <c r="AP47" s="313">
        <v>0</v>
      </c>
      <c r="AQ47" s="313">
        <v>0</v>
      </c>
      <c r="AR47" s="313">
        <v>0</v>
      </c>
      <c r="AS47" s="313" t="s">
        <v>1798</v>
      </c>
      <c r="AT47" s="333">
        <f t="shared" si="7"/>
        <v>6.25E-2</v>
      </c>
      <c r="AU47" s="333">
        <v>100</v>
      </c>
      <c r="AV47" s="387">
        <f t="shared" si="46"/>
        <v>0.25</v>
      </c>
      <c r="AW47" s="677">
        <v>99</v>
      </c>
      <c r="AX47" s="474">
        <f t="shared" si="47"/>
        <v>24.75</v>
      </c>
      <c r="AY47" s="474">
        <f t="shared" si="48"/>
        <v>99</v>
      </c>
      <c r="AZ47" s="474">
        <f t="shared" si="11"/>
        <v>99</v>
      </c>
      <c r="BA47" s="356">
        <f t="shared" si="12"/>
        <v>6.1874999999999999E-2</v>
      </c>
      <c r="BB47" s="356">
        <f t="shared" si="13"/>
        <v>99</v>
      </c>
      <c r="BC47" s="313">
        <v>236237000000</v>
      </c>
      <c r="BD47" s="313">
        <v>236237000</v>
      </c>
      <c r="BE47" s="313">
        <v>0</v>
      </c>
      <c r="BF47" s="313">
        <v>0</v>
      </c>
      <c r="BG47" s="313">
        <v>0</v>
      </c>
      <c r="BH47" s="313">
        <v>0</v>
      </c>
      <c r="BI47" s="313">
        <v>0</v>
      </c>
      <c r="BJ47" s="313">
        <v>0</v>
      </c>
      <c r="BK47" s="473">
        <v>360799432021</v>
      </c>
      <c r="BL47" s="472">
        <v>63565986</v>
      </c>
      <c r="BM47" s="472">
        <v>360735866035</v>
      </c>
      <c r="BN47" s="472">
        <v>0</v>
      </c>
      <c r="BO47" s="472">
        <v>0</v>
      </c>
      <c r="BP47" s="472">
        <v>0</v>
      </c>
      <c r="BQ47" s="472">
        <v>0</v>
      </c>
      <c r="BR47" s="472">
        <v>0</v>
      </c>
      <c r="BS47" s="472">
        <v>0</v>
      </c>
      <c r="BT47" s="472">
        <v>0</v>
      </c>
      <c r="BU47" s="472">
        <v>0</v>
      </c>
      <c r="BV47" s="342">
        <f t="shared" si="14"/>
        <v>6.25E-2</v>
      </c>
      <c r="BW47" s="350">
        <v>100</v>
      </c>
      <c r="BX47" s="385">
        <f t="shared" si="49"/>
        <v>0.25</v>
      </c>
      <c r="BY47" s="369">
        <v>99.879997253417969</v>
      </c>
      <c r="BZ47" s="391">
        <v>99.879997253417969</v>
      </c>
      <c r="CA47" s="689">
        <v>99.879997253417969</v>
      </c>
      <c r="CB47" s="471">
        <f t="shared" si="50"/>
        <v>24.969999313354492</v>
      </c>
      <c r="CC47" s="471">
        <f t="shared" si="51"/>
        <v>99.879997253417969</v>
      </c>
      <c r="CD47" s="470">
        <f t="shared" si="18"/>
        <v>99.879997253417969</v>
      </c>
      <c r="CE47" s="380">
        <f t="shared" si="19"/>
        <v>6.2424998283386234E-2</v>
      </c>
      <c r="CF47" s="469">
        <f t="shared" si="20"/>
        <v>99.879997253417969</v>
      </c>
      <c r="CG47" s="380">
        <f t="shared" si="21"/>
        <v>6.2424998283386234E-2</v>
      </c>
      <c r="CH47" s="468">
        <f t="shared" si="22"/>
        <v>6.25E-2</v>
      </c>
      <c r="CI47" s="319">
        <v>100</v>
      </c>
      <c r="CJ47" s="318">
        <f t="shared" si="52"/>
        <v>0.25</v>
      </c>
      <c r="CK47" s="1259">
        <v>100</v>
      </c>
      <c r="CL47" s="301">
        <f t="shared" si="53"/>
        <v>0</v>
      </c>
      <c r="CM47" s="381">
        <f t="shared" si="54"/>
        <v>25</v>
      </c>
      <c r="CN47" s="381">
        <f t="shared" si="55"/>
        <v>100</v>
      </c>
      <c r="CO47" s="381">
        <f t="shared" si="27"/>
        <v>100</v>
      </c>
      <c r="CP47" s="381">
        <f t="shared" si="28"/>
        <v>6.25E-2</v>
      </c>
      <c r="CQ47" s="381">
        <f t="shared" si="29"/>
        <v>6.25E-2</v>
      </c>
      <c r="CR47" s="313">
        <v>248670000000</v>
      </c>
      <c r="CS47" s="313">
        <v>0</v>
      </c>
      <c r="CT47" s="313">
        <v>248670000</v>
      </c>
      <c r="CU47" s="313">
        <v>0</v>
      </c>
      <c r="CV47" s="313">
        <v>0</v>
      </c>
      <c r="CW47" s="313">
        <v>0</v>
      </c>
      <c r="CX47" s="313">
        <v>0</v>
      </c>
      <c r="CY47" s="313">
        <v>0</v>
      </c>
      <c r="CZ47" s="380">
        <v>0</v>
      </c>
      <c r="DA47" s="380">
        <v>0</v>
      </c>
      <c r="DB47" s="380">
        <v>0</v>
      </c>
      <c r="DC47" s="380">
        <v>0</v>
      </c>
      <c r="DD47" s="380">
        <v>0</v>
      </c>
      <c r="DE47" s="380">
        <v>0</v>
      </c>
      <c r="DF47" s="380">
        <v>0</v>
      </c>
      <c r="DG47" s="380">
        <v>0</v>
      </c>
      <c r="DH47" s="380">
        <v>0</v>
      </c>
      <c r="DI47" s="380">
        <v>0</v>
      </c>
      <c r="DJ47" s="380">
        <v>0</v>
      </c>
      <c r="DK47" s="702">
        <f t="shared" si="56"/>
        <v>99.719999313354492</v>
      </c>
      <c r="DL47" s="311">
        <f t="shared" si="31"/>
        <v>0.25</v>
      </c>
      <c r="DM47" s="310">
        <f t="shared" si="32"/>
        <v>99.719999313354492</v>
      </c>
      <c r="DN47" s="356">
        <f t="shared" si="33"/>
        <v>99.719999313354492</v>
      </c>
      <c r="DO47" s="308">
        <f t="shared" si="34"/>
        <v>0.24929999828338623</v>
      </c>
      <c r="DP47" s="359">
        <f t="shared" si="58"/>
        <v>0.24929999828338623</v>
      </c>
      <c r="DQ47" s="306">
        <f t="shared" si="35"/>
        <v>0.24929999828338623</v>
      </c>
      <c r="DR47" s="379">
        <f t="shared" si="36"/>
        <v>1</v>
      </c>
      <c r="DS47" s="378">
        <f t="shared" si="37"/>
        <v>0</v>
      </c>
      <c r="DT47" s="173">
        <v>77</v>
      </c>
      <c r="DU47" s="174" t="s">
        <v>130</v>
      </c>
      <c r="DV47" s="173"/>
      <c r="DW47" s="174" t="s">
        <v>84</v>
      </c>
      <c r="DX47" s="173"/>
      <c r="DY47" s="173"/>
      <c r="DZ47" s="173"/>
      <c r="EA47" s="665"/>
      <c r="EB47" s="1254" t="s">
        <v>2491</v>
      </c>
      <c r="EC47" s="537">
        <v>0</v>
      </c>
      <c r="EE47" s="733">
        <v>116</v>
      </c>
      <c r="EF47" s="706"/>
    </row>
    <row r="48" spans="4:136" s="302" customFormat="1" ht="72" hidden="1">
      <c r="D48" s="520">
        <v>45</v>
      </c>
      <c r="E48" s="534">
        <v>64</v>
      </c>
      <c r="F48" s="523" t="s">
        <v>43</v>
      </c>
      <c r="G48" s="523" t="s">
        <v>8</v>
      </c>
      <c r="H48" s="524" t="s">
        <v>2652</v>
      </c>
      <c r="I48" s="462" t="s">
        <v>187</v>
      </c>
      <c r="J48" s="335" t="s">
        <v>264</v>
      </c>
      <c r="K48" s="335" t="s">
        <v>265</v>
      </c>
      <c r="L48" s="454" t="s">
        <v>2012</v>
      </c>
      <c r="M48" s="333" t="s">
        <v>1785</v>
      </c>
      <c r="N48" s="333">
        <v>100</v>
      </c>
      <c r="O48" s="333">
        <f t="shared" si="57"/>
        <v>100</v>
      </c>
      <c r="P48" s="332">
        <v>100</v>
      </c>
      <c r="Q48" s="357">
        <v>8.8999999999999996E-2</v>
      </c>
      <c r="R48" s="342">
        <f t="shared" si="0"/>
        <v>2.2249999999999999E-2</v>
      </c>
      <c r="S48" s="459">
        <v>100</v>
      </c>
      <c r="T48" s="387">
        <f t="shared" si="43"/>
        <v>0.25</v>
      </c>
      <c r="U48" s="670">
        <v>100</v>
      </c>
      <c r="V48" s="388">
        <f t="shared" si="44"/>
        <v>25</v>
      </c>
      <c r="W48" s="356">
        <f t="shared" si="45"/>
        <v>100</v>
      </c>
      <c r="X48" s="356">
        <f t="shared" si="4"/>
        <v>100</v>
      </c>
      <c r="Y48" s="356">
        <f t="shared" si="40"/>
        <v>2.2250000000000002E-2</v>
      </c>
      <c r="Z48" s="356">
        <f t="shared" si="6"/>
        <v>100</v>
      </c>
      <c r="AA48" s="313">
        <v>56050000000</v>
      </c>
      <c r="AB48" s="313">
        <v>0</v>
      </c>
      <c r="AC48" s="313">
        <v>56050000000</v>
      </c>
      <c r="AD48" s="313">
        <v>0</v>
      </c>
      <c r="AE48" s="313">
        <v>0</v>
      </c>
      <c r="AF48" s="313">
        <v>0</v>
      </c>
      <c r="AG48" s="313">
        <v>0</v>
      </c>
      <c r="AH48" s="313">
        <v>0</v>
      </c>
      <c r="AI48" s="313">
        <v>65164951000</v>
      </c>
      <c r="AJ48" s="313">
        <v>0</v>
      </c>
      <c r="AK48" s="313">
        <v>65164951000</v>
      </c>
      <c r="AL48" s="313">
        <v>0</v>
      </c>
      <c r="AM48" s="313">
        <v>0</v>
      </c>
      <c r="AN48" s="313">
        <v>0</v>
      </c>
      <c r="AO48" s="313">
        <v>0</v>
      </c>
      <c r="AP48" s="313">
        <v>0</v>
      </c>
      <c r="AQ48" s="313">
        <v>0</v>
      </c>
      <c r="AR48" s="313">
        <v>0</v>
      </c>
      <c r="AS48" s="313" t="s">
        <v>1798</v>
      </c>
      <c r="AT48" s="333">
        <f t="shared" si="7"/>
        <v>2.2249999999999999E-2</v>
      </c>
      <c r="AU48" s="333">
        <v>100</v>
      </c>
      <c r="AV48" s="387">
        <f t="shared" si="46"/>
        <v>0.25</v>
      </c>
      <c r="AW48" s="677">
        <v>100</v>
      </c>
      <c r="AX48" s="474">
        <f t="shared" si="47"/>
        <v>25</v>
      </c>
      <c r="AY48" s="474">
        <f t="shared" si="48"/>
        <v>100</v>
      </c>
      <c r="AZ48" s="474">
        <f t="shared" si="11"/>
        <v>100</v>
      </c>
      <c r="BA48" s="356">
        <f t="shared" si="12"/>
        <v>2.2250000000000002E-2</v>
      </c>
      <c r="BB48" s="356">
        <f t="shared" si="13"/>
        <v>100</v>
      </c>
      <c r="BC48" s="313">
        <v>56050000000</v>
      </c>
      <c r="BD48" s="313">
        <v>56050000</v>
      </c>
      <c r="BE48" s="313">
        <v>0</v>
      </c>
      <c r="BF48" s="313">
        <v>0</v>
      </c>
      <c r="BG48" s="313">
        <v>0</v>
      </c>
      <c r="BH48" s="313">
        <v>0</v>
      </c>
      <c r="BI48" s="313">
        <v>0</v>
      </c>
      <c r="BJ48" s="313">
        <v>0</v>
      </c>
      <c r="BK48" s="473">
        <v>69681787037</v>
      </c>
      <c r="BL48" s="472">
        <v>0</v>
      </c>
      <c r="BM48" s="472">
        <v>69681787037</v>
      </c>
      <c r="BN48" s="472">
        <v>0</v>
      </c>
      <c r="BO48" s="472">
        <v>0</v>
      </c>
      <c r="BP48" s="472">
        <v>0</v>
      </c>
      <c r="BQ48" s="472">
        <v>0</v>
      </c>
      <c r="BR48" s="472">
        <v>0</v>
      </c>
      <c r="BS48" s="472">
        <v>0</v>
      </c>
      <c r="BT48" s="472">
        <v>0</v>
      </c>
      <c r="BU48" s="472">
        <v>0</v>
      </c>
      <c r="BV48" s="342">
        <f t="shared" si="14"/>
        <v>2.2249999999999999E-2</v>
      </c>
      <c r="BW48" s="350">
        <v>100</v>
      </c>
      <c r="BX48" s="385">
        <f t="shared" si="49"/>
        <v>0.25</v>
      </c>
      <c r="BY48" s="369">
        <v>100</v>
      </c>
      <c r="BZ48" s="391">
        <v>100</v>
      </c>
      <c r="CA48" s="689">
        <v>100</v>
      </c>
      <c r="CB48" s="471">
        <f t="shared" si="50"/>
        <v>25</v>
      </c>
      <c r="CC48" s="471">
        <f t="shared" si="51"/>
        <v>100</v>
      </c>
      <c r="CD48" s="470">
        <f t="shared" si="18"/>
        <v>100</v>
      </c>
      <c r="CE48" s="380">
        <f t="shared" si="19"/>
        <v>2.2250000000000002E-2</v>
      </c>
      <c r="CF48" s="469">
        <f t="shared" si="20"/>
        <v>100</v>
      </c>
      <c r="CG48" s="380">
        <f t="shared" si="21"/>
        <v>2.2250000000000002E-2</v>
      </c>
      <c r="CH48" s="468">
        <f t="shared" si="22"/>
        <v>2.2249999999999999E-2</v>
      </c>
      <c r="CI48" s="319">
        <v>100</v>
      </c>
      <c r="CJ48" s="318">
        <f t="shared" si="52"/>
        <v>0.25</v>
      </c>
      <c r="CK48" s="1259">
        <v>100</v>
      </c>
      <c r="CL48" s="301">
        <f t="shared" si="53"/>
        <v>0</v>
      </c>
      <c r="CM48" s="381">
        <f t="shared" si="54"/>
        <v>25</v>
      </c>
      <c r="CN48" s="381">
        <f t="shared" si="55"/>
        <v>100</v>
      </c>
      <c r="CO48" s="381">
        <f t="shared" si="27"/>
        <v>100</v>
      </c>
      <c r="CP48" s="381">
        <f t="shared" si="28"/>
        <v>2.2250000000000002E-2</v>
      </c>
      <c r="CQ48" s="381">
        <f t="shared" si="29"/>
        <v>2.2250000000000002E-2</v>
      </c>
      <c r="CR48" s="313">
        <v>59000000000</v>
      </c>
      <c r="CS48" s="313">
        <v>0</v>
      </c>
      <c r="CT48" s="313">
        <v>59000000</v>
      </c>
      <c r="CU48" s="313">
        <v>0</v>
      </c>
      <c r="CV48" s="313">
        <v>0</v>
      </c>
      <c r="CW48" s="313">
        <v>0</v>
      </c>
      <c r="CX48" s="313">
        <v>0</v>
      </c>
      <c r="CY48" s="313">
        <v>0</v>
      </c>
      <c r="CZ48" s="380">
        <v>0</v>
      </c>
      <c r="DA48" s="380">
        <v>0</v>
      </c>
      <c r="DB48" s="380">
        <v>0</v>
      </c>
      <c r="DC48" s="380">
        <v>0</v>
      </c>
      <c r="DD48" s="380">
        <v>0</v>
      </c>
      <c r="DE48" s="380">
        <v>0</v>
      </c>
      <c r="DF48" s="380">
        <v>0</v>
      </c>
      <c r="DG48" s="380">
        <v>0</v>
      </c>
      <c r="DH48" s="380">
        <v>0</v>
      </c>
      <c r="DI48" s="380">
        <v>0</v>
      </c>
      <c r="DJ48" s="380">
        <v>0</v>
      </c>
      <c r="DK48" s="702">
        <f t="shared" si="56"/>
        <v>100</v>
      </c>
      <c r="DL48" s="311">
        <f t="shared" si="31"/>
        <v>8.8999999999999996E-2</v>
      </c>
      <c r="DM48" s="310">
        <f t="shared" si="32"/>
        <v>100</v>
      </c>
      <c r="DN48" s="356">
        <f t="shared" si="33"/>
        <v>100</v>
      </c>
      <c r="DO48" s="308">
        <f t="shared" si="34"/>
        <v>8.900000000000001E-2</v>
      </c>
      <c r="DP48" s="359">
        <f t="shared" si="58"/>
        <v>8.900000000000001E-2</v>
      </c>
      <c r="DQ48" s="306">
        <f t="shared" si="35"/>
        <v>8.900000000000001E-2</v>
      </c>
      <c r="DR48" s="379">
        <f t="shared" si="36"/>
        <v>1</v>
      </c>
      <c r="DS48" s="378">
        <f t="shared" si="37"/>
        <v>0</v>
      </c>
      <c r="DT48" s="173">
        <v>77</v>
      </c>
      <c r="DU48" s="174" t="s">
        <v>130</v>
      </c>
      <c r="DV48" s="173"/>
      <c r="DW48" s="174" t="s">
        <v>84</v>
      </c>
      <c r="DX48" s="173"/>
      <c r="DY48" s="173"/>
      <c r="DZ48" s="173"/>
      <c r="EA48" s="665"/>
      <c r="EB48" s="1254" t="s">
        <v>2431</v>
      </c>
      <c r="EC48" s="537">
        <v>0</v>
      </c>
      <c r="EE48" s="733">
        <v>0</v>
      </c>
      <c r="EF48" s="706"/>
    </row>
    <row r="49" spans="4:136" s="302" customFormat="1" ht="72" hidden="1">
      <c r="D49" s="520">
        <v>46</v>
      </c>
      <c r="E49" s="534">
        <v>65</v>
      </c>
      <c r="F49" s="523" t="s">
        <v>43</v>
      </c>
      <c r="G49" s="523" t="s">
        <v>7</v>
      </c>
      <c r="H49" s="524" t="s">
        <v>2652</v>
      </c>
      <c r="I49" s="462" t="s">
        <v>207</v>
      </c>
      <c r="J49" s="335" t="s">
        <v>266</v>
      </c>
      <c r="K49" s="335" t="s">
        <v>267</v>
      </c>
      <c r="L49" s="453" t="s">
        <v>1947</v>
      </c>
      <c r="M49" s="333" t="s">
        <v>1785</v>
      </c>
      <c r="N49" s="333">
        <v>0</v>
      </c>
      <c r="O49" s="333">
        <f t="shared" si="57"/>
        <v>100</v>
      </c>
      <c r="P49" s="332">
        <v>100</v>
      </c>
      <c r="Q49" s="357">
        <v>0.16500000000000001</v>
      </c>
      <c r="R49" s="342">
        <f t="shared" si="0"/>
        <v>4.1250000000000002E-2</v>
      </c>
      <c r="S49" s="459">
        <v>100</v>
      </c>
      <c r="T49" s="387">
        <f t="shared" si="43"/>
        <v>0.25</v>
      </c>
      <c r="U49" s="670">
        <v>100</v>
      </c>
      <c r="V49" s="388">
        <f t="shared" si="44"/>
        <v>25</v>
      </c>
      <c r="W49" s="356">
        <f t="shared" si="45"/>
        <v>100</v>
      </c>
      <c r="X49" s="356">
        <f t="shared" si="4"/>
        <v>100</v>
      </c>
      <c r="Y49" s="356">
        <f t="shared" si="40"/>
        <v>4.1250000000000002E-2</v>
      </c>
      <c r="Z49" s="356">
        <f t="shared" si="6"/>
        <v>100</v>
      </c>
      <c r="AA49" s="313">
        <v>4000000</v>
      </c>
      <c r="AB49" s="313">
        <v>4000000</v>
      </c>
      <c r="AC49" s="313">
        <v>0</v>
      </c>
      <c r="AD49" s="313">
        <v>0</v>
      </c>
      <c r="AE49" s="313">
        <v>0</v>
      </c>
      <c r="AF49" s="313">
        <v>0</v>
      </c>
      <c r="AG49" s="313">
        <v>0</v>
      </c>
      <c r="AH49" s="313">
        <v>0</v>
      </c>
      <c r="AI49" s="313">
        <v>0</v>
      </c>
      <c r="AJ49" s="313">
        <v>0</v>
      </c>
      <c r="AK49" s="313">
        <v>0</v>
      </c>
      <c r="AL49" s="313">
        <v>0</v>
      </c>
      <c r="AM49" s="313">
        <v>0</v>
      </c>
      <c r="AN49" s="313">
        <v>0</v>
      </c>
      <c r="AO49" s="313">
        <v>0</v>
      </c>
      <c r="AP49" s="313">
        <v>0</v>
      </c>
      <c r="AQ49" s="313">
        <v>0</v>
      </c>
      <c r="AR49" s="313">
        <v>0</v>
      </c>
      <c r="AS49" s="313" t="s">
        <v>1798</v>
      </c>
      <c r="AT49" s="333">
        <f t="shared" si="7"/>
        <v>4.1250000000000002E-2</v>
      </c>
      <c r="AU49" s="333">
        <v>100</v>
      </c>
      <c r="AV49" s="387">
        <f t="shared" si="46"/>
        <v>0.25</v>
      </c>
      <c r="AW49" s="677">
        <v>100</v>
      </c>
      <c r="AX49" s="474">
        <f t="shared" si="47"/>
        <v>25</v>
      </c>
      <c r="AY49" s="474">
        <f t="shared" si="48"/>
        <v>100</v>
      </c>
      <c r="AZ49" s="474">
        <f t="shared" si="11"/>
        <v>100</v>
      </c>
      <c r="BA49" s="356">
        <f t="shared" si="12"/>
        <v>4.1250000000000002E-2</v>
      </c>
      <c r="BB49" s="356">
        <f t="shared" si="13"/>
        <v>100</v>
      </c>
      <c r="BC49" s="313">
        <v>3000000</v>
      </c>
      <c r="BD49" s="313">
        <v>0</v>
      </c>
      <c r="BE49" s="313">
        <v>3000000</v>
      </c>
      <c r="BF49" s="313">
        <v>0</v>
      </c>
      <c r="BG49" s="313">
        <v>0</v>
      </c>
      <c r="BH49" s="313">
        <v>0</v>
      </c>
      <c r="BI49" s="313">
        <v>0</v>
      </c>
      <c r="BJ49" s="313">
        <v>0</v>
      </c>
      <c r="BK49" s="473">
        <v>0</v>
      </c>
      <c r="BL49" s="472">
        <v>0</v>
      </c>
      <c r="BM49" s="472">
        <v>0</v>
      </c>
      <c r="BN49" s="472">
        <v>0</v>
      </c>
      <c r="BO49" s="472">
        <v>0</v>
      </c>
      <c r="BP49" s="472">
        <v>0</v>
      </c>
      <c r="BQ49" s="472">
        <v>0</v>
      </c>
      <c r="BR49" s="472">
        <v>0</v>
      </c>
      <c r="BS49" s="472">
        <v>0</v>
      </c>
      <c r="BT49" s="472">
        <v>0</v>
      </c>
      <c r="BU49" s="472">
        <v>0</v>
      </c>
      <c r="BV49" s="342">
        <f t="shared" si="14"/>
        <v>4.1250000000000002E-2</v>
      </c>
      <c r="BW49" s="350">
        <v>100</v>
      </c>
      <c r="BX49" s="385">
        <f t="shared" si="49"/>
        <v>0.25</v>
      </c>
      <c r="BY49" s="399">
        <v>0</v>
      </c>
      <c r="BZ49" s="398">
        <v>99</v>
      </c>
      <c r="CA49" s="690">
        <v>100</v>
      </c>
      <c r="CB49" s="471">
        <f t="shared" si="50"/>
        <v>25</v>
      </c>
      <c r="CC49" s="471">
        <f t="shared" si="51"/>
        <v>100</v>
      </c>
      <c r="CD49" s="470">
        <f t="shared" si="18"/>
        <v>100</v>
      </c>
      <c r="CE49" s="380">
        <f t="shared" si="19"/>
        <v>4.1250000000000002E-2</v>
      </c>
      <c r="CF49" s="469">
        <f t="shared" si="20"/>
        <v>100</v>
      </c>
      <c r="CG49" s="380">
        <f t="shared" si="21"/>
        <v>4.1250000000000002E-2</v>
      </c>
      <c r="CH49" s="468">
        <f t="shared" si="22"/>
        <v>4.1250000000000002E-2</v>
      </c>
      <c r="CI49" s="319">
        <v>100</v>
      </c>
      <c r="CJ49" s="318">
        <f t="shared" si="52"/>
        <v>0.25</v>
      </c>
      <c r="CK49" s="1259">
        <v>100</v>
      </c>
      <c r="CL49" s="301">
        <f t="shared" si="53"/>
        <v>0</v>
      </c>
      <c r="CM49" s="381">
        <f t="shared" si="54"/>
        <v>25</v>
      </c>
      <c r="CN49" s="381">
        <f t="shared" si="55"/>
        <v>100</v>
      </c>
      <c r="CO49" s="381">
        <f t="shared" si="27"/>
        <v>100</v>
      </c>
      <c r="CP49" s="381">
        <f t="shared" si="28"/>
        <v>4.1250000000000002E-2</v>
      </c>
      <c r="CQ49" s="381">
        <f t="shared" si="29"/>
        <v>4.1250000000000002E-2</v>
      </c>
      <c r="CR49" s="313">
        <v>6000000</v>
      </c>
      <c r="CS49" s="313">
        <v>6000000</v>
      </c>
      <c r="CT49" s="313">
        <v>0</v>
      </c>
      <c r="CU49" s="313">
        <v>0</v>
      </c>
      <c r="CV49" s="313">
        <v>0</v>
      </c>
      <c r="CW49" s="313">
        <v>0</v>
      </c>
      <c r="CX49" s="313">
        <v>0</v>
      </c>
      <c r="CY49" s="313">
        <v>0</v>
      </c>
      <c r="CZ49" s="380">
        <v>0</v>
      </c>
      <c r="DA49" s="380">
        <v>0</v>
      </c>
      <c r="DB49" s="380">
        <v>0</v>
      </c>
      <c r="DC49" s="380">
        <v>0</v>
      </c>
      <c r="DD49" s="380">
        <v>0</v>
      </c>
      <c r="DE49" s="380">
        <v>0</v>
      </c>
      <c r="DF49" s="380">
        <v>0</v>
      </c>
      <c r="DG49" s="380">
        <v>0</v>
      </c>
      <c r="DH49" s="380">
        <v>0</v>
      </c>
      <c r="DI49" s="380">
        <v>0</v>
      </c>
      <c r="DJ49" s="380">
        <v>0</v>
      </c>
      <c r="DK49" s="702">
        <f t="shared" si="56"/>
        <v>100</v>
      </c>
      <c r="DL49" s="311">
        <f t="shared" si="31"/>
        <v>0.16500000000000001</v>
      </c>
      <c r="DM49" s="310">
        <f t="shared" si="32"/>
        <v>100</v>
      </c>
      <c r="DN49" s="356">
        <f t="shared" si="33"/>
        <v>100</v>
      </c>
      <c r="DO49" s="308">
        <f t="shared" si="34"/>
        <v>0.16500000000000001</v>
      </c>
      <c r="DP49" s="359">
        <f t="shared" si="58"/>
        <v>0.16500000000000001</v>
      </c>
      <c r="DQ49" s="306">
        <f t="shared" si="35"/>
        <v>0.16500000000000001</v>
      </c>
      <c r="DR49" s="379">
        <f t="shared" si="36"/>
        <v>1</v>
      </c>
      <c r="DS49" s="378">
        <f t="shared" si="37"/>
        <v>0</v>
      </c>
      <c r="DT49" s="173">
        <v>40</v>
      </c>
      <c r="DU49" s="174" t="s">
        <v>134</v>
      </c>
      <c r="DV49" s="173"/>
      <c r="DW49" s="174" t="s">
        <v>84</v>
      </c>
      <c r="DX49" s="173"/>
      <c r="DY49" s="173"/>
      <c r="DZ49" s="173"/>
      <c r="EA49" s="665"/>
      <c r="EB49" s="1254" t="s">
        <v>2432</v>
      </c>
      <c r="EC49" s="537">
        <v>210000000</v>
      </c>
      <c r="EE49" s="734">
        <v>750</v>
      </c>
      <c r="EF49" s="706"/>
    </row>
    <row r="50" spans="4:136" s="302" customFormat="1" ht="120" hidden="1">
      <c r="D50" s="520">
        <v>47</v>
      </c>
      <c r="E50" s="534">
        <v>66</v>
      </c>
      <c r="F50" s="523" t="s">
        <v>43</v>
      </c>
      <c r="G50" s="523" t="s">
        <v>7</v>
      </c>
      <c r="H50" s="524" t="s">
        <v>2652</v>
      </c>
      <c r="I50" s="462" t="s">
        <v>207</v>
      </c>
      <c r="J50" s="335" t="s">
        <v>268</v>
      </c>
      <c r="K50" s="335" t="s">
        <v>269</v>
      </c>
      <c r="L50" s="454" t="s">
        <v>1415</v>
      </c>
      <c r="M50" s="333" t="s">
        <v>1771</v>
      </c>
      <c r="N50" s="333">
        <v>0</v>
      </c>
      <c r="O50" s="333">
        <f>+N50+P50</f>
        <v>35</v>
      </c>
      <c r="P50" s="332">
        <v>35</v>
      </c>
      <c r="Q50" s="357">
        <v>0.25</v>
      </c>
      <c r="R50" s="342">
        <f t="shared" si="0"/>
        <v>0</v>
      </c>
      <c r="S50" s="459">
        <v>0</v>
      </c>
      <c r="T50" s="387">
        <f t="shared" si="43"/>
        <v>0</v>
      </c>
      <c r="U50" s="670">
        <v>0</v>
      </c>
      <c r="V50" s="388">
        <f t="shared" si="44"/>
        <v>0</v>
      </c>
      <c r="W50" s="356">
        <f t="shared" si="45"/>
        <v>0</v>
      </c>
      <c r="X50" s="356">
        <f t="shared" si="4"/>
        <v>0</v>
      </c>
      <c r="Y50" s="356">
        <f t="shared" si="40"/>
        <v>0</v>
      </c>
      <c r="Z50" s="356">
        <f t="shared" si="6"/>
        <v>0</v>
      </c>
      <c r="AA50" s="313">
        <v>9000000</v>
      </c>
      <c r="AB50" s="313">
        <v>9000000</v>
      </c>
      <c r="AC50" s="313">
        <v>0</v>
      </c>
      <c r="AD50" s="313">
        <v>0</v>
      </c>
      <c r="AE50" s="313">
        <v>0</v>
      </c>
      <c r="AF50" s="313">
        <v>0</v>
      </c>
      <c r="AG50" s="313">
        <v>0</v>
      </c>
      <c r="AH50" s="313">
        <v>0</v>
      </c>
      <c r="AI50" s="313">
        <v>0</v>
      </c>
      <c r="AJ50" s="313">
        <v>0</v>
      </c>
      <c r="AK50" s="313">
        <v>0</v>
      </c>
      <c r="AL50" s="313">
        <v>0</v>
      </c>
      <c r="AM50" s="313">
        <v>0</v>
      </c>
      <c r="AN50" s="313">
        <v>0</v>
      </c>
      <c r="AO50" s="313">
        <v>0</v>
      </c>
      <c r="AP50" s="313">
        <v>0</v>
      </c>
      <c r="AQ50" s="313">
        <v>0</v>
      </c>
      <c r="AR50" s="313">
        <v>0</v>
      </c>
      <c r="AS50" s="313" t="s">
        <v>1798</v>
      </c>
      <c r="AT50" s="333">
        <f t="shared" si="7"/>
        <v>0</v>
      </c>
      <c r="AU50" s="333">
        <v>0</v>
      </c>
      <c r="AV50" s="387">
        <f t="shared" si="46"/>
        <v>0</v>
      </c>
      <c r="AW50" s="677">
        <v>0</v>
      </c>
      <c r="AX50" s="474">
        <f t="shared" si="47"/>
        <v>0</v>
      </c>
      <c r="AY50" s="474">
        <f t="shared" si="48"/>
        <v>0</v>
      </c>
      <c r="AZ50" s="474">
        <f t="shared" si="11"/>
        <v>0</v>
      </c>
      <c r="BA50" s="356">
        <f t="shared" si="12"/>
        <v>0</v>
      </c>
      <c r="BB50" s="356">
        <f t="shared" si="13"/>
        <v>0</v>
      </c>
      <c r="BC50" s="313">
        <v>7000000</v>
      </c>
      <c r="BD50" s="313">
        <v>0</v>
      </c>
      <c r="BE50" s="313">
        <v>7000000</v>
      </c>
      <c r="BF50" s="313">
        <v>0</v>
      </c>
      <c r="BG50" s="313">
        <v>0</v>
      </c>
      <c r="BH50" s="313">
        <v>0</v>
      </c>
      <c r="BI50" s="313">
        <v>0</v>
      </c>
      <c r="BJ50" s="313">
        <v>0</v>
      </c>
      <c r="BK50" s="473">
        <v>20000000</v>
      </c>
      <c r="BL50" s="472">
        <v>20000000</v>
      </c>
      <c r="BM50" s="472">
        <v>0</v>
      </c>
      <c r="BN50" s="472">
        <v>0</v>
      </c>
      <c r="BO50" s="472">
        <v>0</v>
      </c>
      <c r="BP50" s="472">
        <v>0</v>
      </c>
      <c r="BQ50" s="472">
        <v>0</v>
      </c>
      <c r="BR50" s="472">
        <v>0</v>
      </c>
      <c r="BS50" s="472">
        <v>0</v>
      </c>
      <c r="BT50" s="472">
        <v>0</v>
      </c>
      <c r="BU50" s="472">
        <v>0</v>
      </c>
      <c r="BV50" s="342">
        <f t="shared" si="14"/>
        <v>0</v>
      </c>
      <c r="BW50" s="350">
        <v>0</v>
      </c>
      <c r="BX50" s="385">
        <f t="shared" si="49"/>
        <v>0</v>
      </c>
      <c r="BY50" s="399">
        <v>0</v>
      </c>
      <c r="BZ50" s="398">
        <v>0</v>
      </c>
      <c r="CA50" s="690">
        <v>0</v>
      </c>
      <c r="CB50" s="471">
        <f t="shared" si="50"/>
        <v>0</v>
      </c>
      <c r="CC50" s="471">
        <f t="shared" si="51"/>
        <v>0</v>
      </c>
      <c r="CD50" s="470">
        <f t="shared" si="18"/>
        <v>0</v>
      </c>
      <c r="CE50" s="380">
        <f t="shared" si="19"/>
        <v>0</v>
      </c>
      <c r="CF50" s="469">
        <f t="shared" si="20"/>
        <v>0</v>
      </c>
      <c r="CG50" s="380">
        <f t="shared" si="21"/>
        <v>0</v>
      </c>
      <c r="CH50" s="468">
        <f t="shared" si="22"/>
        <v>0.25</v>
      </c>
      <c r="CI50" s="319">
        <v>35</v>
      </c>
      <c r="CJ50" s="318">
        <f t="shared" si="52"/>
        <v>1</v>
      </c>
      <c r="CK50" s="1259">
        <v>35</v>
      </c>
      <c r="CL50" s="301">
        <f t="shared" si="53"/>
        <v>0</v>
      </c>
      <c r="CM50" s="381">
        <f t="shared" si="54"/>
        <v>35</v>
      </c>
      <c r="CN50" s="381">
        <f t="shared" si="55"/>
        <v>100</v>
      </c>
      <c r="CO50" s="316">
        <f t="shared" si="27"/>
        <v>100</v>
      </c>
      <c r="CP50" s="381">
        <f t="shared" si="28"/>
        <v>0.25</v>
      </c>
      <c r="CQ50" s="381">
        <f t="shared" si="29"/>
        <v>0.25</v>
      </c>
      <c r="CR50" s="313">
        <v>15000000</v>
      </c>
      <c r="CS50" s="313">
        <v>15000000</v>
      </c>
      <c r="CT50" s="313">
        <v>0</v>
      </c>
      <c r="CU50" s="313">
        <v>0</v>
      </c>
      <c r="CV50" s="313">
        <v>0</v>
      </c>
      <c r="CW50" s="313">
        <v>0</v>
      </c>
      <c r="CX50" s="313">
        <v>0</v>
      </c>
      <c r="CY50" s="313">
        <v>0</v>
      </c>
      <c r="CZ50" s="380">
        <v>0</v>
      </c>
      <c r="DA50" s="380">
        <v>0</v>
      </c>
      <c r="DB50" s="380">
        <v>0</v>
      </c>
      <c r="DC50" s="380">
        <v>0</v>
      </c>
      <c r="DD50" s="380">
        <v>0</v>
      </c>
      <c r="DE50" s="380">
        <v>0</v>
      </c>
      <c r="DF50" s="380">
        <v>0</v>
      </c>
      <c r="DG50" s="380">
        <v>0</v>
      </c>
      <c r="DH50" s="380">
        <v>0</v>
      </c>
      <c r="DI50" s="380">
        <v>0</v>
      </c>
      <c r="DJ50" s="380">
        <v>0</v>
      </c>
      <c r="DK50" s="702">
        <f t="shared" si="56"/>
        <v>35</v>
      </c>
      <c r="DL50" s="311">
        <f t="shared" si="31"/>
        <v>0.25</v>
      </c>
      <c r="DM50" s="310">
        <f t="shared" si="32"/>
        <v>100</v>
      </c>
      <c r="DN50" s="356">
        <f t="shared" si="33"/>
        <v>100</v>
      </c>
      <c r="DO50" s="308">
        <f t="shared" si="34"/>
        <v>0.25</v>
      </c>
      <c r="DP50" s="359">
        <f>+IF(((DN50*Q50)/100)&lt;Q50, ((DN50*Q50)/100),Q50)</f>
        <v>0.25</v>
      </c>
      <c r="DQ50" s="306">
        <f t="shared" si="35"/>
        <v>0.25</v>
      </c>
      <c r="DR50" s="379">
        <f t="shared" si="36"/>
        <v>1</v>
      </c>
      <c r="DS50" s="378">
        <f t="shared" si="37"/>
        <v>0</v>
      </c>
      <c r="DT50" s="173">
        <v>9</v>
      </c>
      <c r="DU50" s="174" t="s">
        <v>193</v>
      </c>
      <c r="DV50" s="173">
        <v>39</v>
      </c>
      <c r="DW50" s="174" t="s">
        <v>217</v>
      </c>
      <c r="DX50" s="173">
        <v>40</v>
      </c>
      <c r="DY50" s="173"/>
      <c r="DZ50" s="173"/>
      <c r="EA50" s="665"/>
      <c r="EB50" s="1254" t="s">
        <v>3219</v>
      </c>
      <c r="EC50" s="537">
        <v>0</v>
      </c>
      <c r="EE50" s="734">
        <v>1</v>
      </c>
      <c r="EF50" s="706"/>
    </row>
    <row r="51" spans="4:136" s="302" customFormat="1" ht="165.75" hidden="1">
      <c r="D51" s="520">
        <v>48</v>
      </c>
      <c r="E51" s="534">
        <v>67</v>
      </c>
      <c r="F51" s="523" t="s">
        <v>43</v>
      </c>
      <c r="G51" s="523" t="s">
        <v>12</v>
      </c>
      <c r="H51" s="524" t="s">
        <v>2652</v>
      </c>
      <c r="I51" s="462" t="s">
        <v>207</v>
      </c>
      <c r="J51" s="335" t="s">
        <v>270</v>
      </c>
      <c r="K51" s="335" t="s">
        <v>271</v>
      </c>
      <c r="L51" s="453" t="s">
        <v>1540</v>
      </c>
      <c r="M51" s="333" t="s">
        <v>1771</v>
      </c>
      <c r="N51" s="333">
        <v>0</v>
      </c>
      <c r="O51" s="333">
        <f>+N51+P51</f>
        <v>100</v>
      </c>
      <c r="P51" s="332">
        <v>100</v>
      </c>
      <c r="Q51" s="357">
        <v>0.25</v>
      </c>
      <c r="R51" s="342">
        <f t="shared" si="0"/>
        <v>1.2500000000000001E-2</v>
      </c>
      <c r="S51" s="459">
        <v>5</v>
      </c>
      <c r="T51" s="387">
        <f t="shared" si="43"/>
        <v>0.05</v>
      </c>
      <c r="U51" s="670">
        <v>6.5</v>
      </c>
      <c r="V51" s="388">
        <f t="shared" si="44"/>
        <v>6.5</v>
      </c>
      <c r="W51" s="356">
        <f t="shared" si="45"/>
        <v>130</v>
      </c>
      <c r="X51" s="356">
        <f t="shared" si="4"/>
        <v>100</v>
      </c>
      <c r="Y51" s="356">
        <f t="shared" si="40"/>
        <v>1.2500000000000001E-2</v>
      </c>
      <c r="Z51" s="356">
        <f t="shared" si="6"/>
        <v>100</v>
      </c>
      <c r="AA51" s="313">
        <v>0</v>
      </c>
      <c r="AB51" s="313">
        <v>0</v>
      </c>
      <c r="AC51" s="313">
        <v>0</v>
      </c>
      <c r="AD51" s="313">
        <v>0</v>
      </c>
      <c r="AE51" s="313">
        <v>0</v>
      </c>
      <c r="AF51" s="313">
        <v>0</v>
      </c>
      <c r="AG51" s="313">
        <v>0</v>
      </c>
      <c r="AH51" s="313">
        <v>0</v>
      </c>
      <c r="AI51" s="313">
        <v>17500000</v>
      </c>
      <c r="AJ51" s="313">
        <v>17500000</v>
      </c>
      <c r="AK51" s="313">
        <v>0</v>
      </c>
      <c r="AL51" s="313">
        <v>0</v>
      </c>
      <c r="AM51" s="313">
        <v>0</v>
      </c>
      <c r="AN51" s="313">
        <v>0</v>
      </c>
      <c r="AO51" s="313">
        <v>0</v>
      </c>
      <c r="AP51" s="313">
        <v>0</v>
      </c>
      <c r="AQ51" s="313">
        <v>0</v>
      </c>
      <c r="AR51" s="313">
        <v>0</v>
      </c>
      <c r="AS51" s="313" t="s">
        <v>1798</v>
      </c>
      <c r="AT51" s="333">
        <f t="shared" si="7"/>
        <v>7.4999999999999997E-2</v>
      </c>
      <c r="AU51" s="333">
        <v>30</v>
      </c>
      <c r="AV51" s="387">
        <f t="shared" si="46"/>
        <v>0.3</v>
      </c>
      <c r="AW51" s="677">
        <v>8</v>
      </c>
      <c r="AX51" s="474">
        <f t="shared" si="47"/>
        <v>8</v>
      </c>
      <c r="AY51" s="474">
        <f t="shared" si="48"/>
        <v>26.666666666666668</v>
      </c>
      <c r="AZ51" s="474">
        <f t="shared" si="11"/>
        <v>26.666666666666668</v>
      </c>
      <c r="BA51" s="356">
        <f t="shared" si="12"/>
        <v>0.02</v>
      </c>
      <c r="BB51" s="356">
        <f t="shared" si="13"/>
        <v>26.666666666666668</v>
      </c>
      <c r="BC51" s="313">
        <v>0</v>
      </c>
      <c r="BD51" s="313">
        <v>0</v>
      </c>
      <c r="BE51" s="313">
        <v>0</v>
      </c>
      <c r="BF51" s="313">
        <v>0</v>
      </c>
      <c r="BG51" s="313">
        <v>0</v>
      </c>
      <c r="BH51" s="313">
        <v>0</v>
      </c>
      <c r="BI51" s="313">
        <v>0</v>
      </c>
      <c r="BJ51" s="313">
        <v>0</v>
      </c>
      <c r="BK51" s="473">
        <v>0</v>
      </c>
      <c r="BL51" s="472">
        <v>0</v>
      </c>
      <c r="BM51" s="472">
        <v>0</v>
      </c>
      <c r="BN51" s="472">
        <v>0</v>
      </c>
      <c r="BO51" s="472">
        <v>0</v>
      </c>
      <c r="BP51" s="472">
        <v>0</v>
      </c>
      <c r="BQ51" s="472">
        <v>0</v>
      </c>
      <c r="BR51" s="472">
        <v>0</v>
      </c>
      <c r="BS51" s="472">
        <v>0</v>
      </c>
      <c r="BT51" s="472">
        <v>0</v>
      </c>
      <c r="BU51" s="472">
        <v>0</v>
      </c>
      <c r="BV51" s="342">
        <f t="shared" si="14"/>
        <v>7.4999999999999997E-2</v>
      </c>
      <c r="BW51" s="350">
        <v>30</v>
      </c>
      <c r="BX51" s="385">
        <f t="shared" si="49"/>
        <v>0.3</v>
      </c>
      <c r="BY51" s="399">
        <v>14.08</v>
      </c>
      <c r="BZ51" s="391">
        <v>14.08</v>
      </c>
      <c r="CA51" s="689">
        <v>60</v>
      </c>
      <c r="CB51" s="471">
        <f t="shared" si="50"/>
        <v>60</v>
      </c>
      <c r="CC51" s="471">
        <f t="shared" si="51"/>
        <v>200</v>
      </c>
      <c r="CD51" s="470">
        <f t="shared" si="18"/>
        <v>100</v>
      </c>
      <c r="CE51" s="380">
        <f t="shared" si="19"/>
        <v>7.4999999999999997E-2</v>
      </c>
      <c r="CF51" s="469">
        <f t="shared" si="20"/>
        <v>100</v>
      </c>
      <c r="CG51" s="380">
        <f t="shared" si="21"/>
        <v>0.15</v>
      </c>
      <c r="CH51" s="468">
        <f t="shared" si="22"/>
        <v>8.7499999999999994E-2</v>
      </c>
      <c r="CI51" s="319">
        <v>35</v>
      </c>
      <c r="CJ51" s="318">
        <f t="shared" si="52"/>
        <v>0.35</v>
      </c>
      <c r="CK51" s="1259">
        <v>45</v>
      </c>
      <c r="CL51" s="301">
        <f t="shared" si="53"/>
        <v>-10</v>
      </c>
      <c r="CM51" s="381">
        <f t="shared" si="54"/>
        <v>45</v>
      </c>
      <c r="CN51" s="381">
        <f t="shared" si="55"/>
        <v>128.57142857142858</v>
      </c>
      <c r="CO51" s="316">
        <f t="shared" si="27"/>
        <v>100</v>
      </c>
      <c r="CP51" s="381">
        <f t="shared" si="28"/>
        <v>8.7499999999999994E-2</v>
      </c>
      <c r="CQ51" s="381">
        <f t="shared" si="29"/>
        <v>0.1125</v>
      </c>
      <c r="CR51" s="313">
        <v>0</v>
      </c>
      <c r="CS51" s="313">
        <v>0</v>
      </c>
      <c r="CT51" s="313">
        <v>0</v>
      </c>
      <c r="CU51" s="313">
        <v>0</v>
      </c>
      <c r="CV51" s="313">
        <v>0</v>
      </c>
      <c r="CW51" s="313">
        <v>0</v>
      </c>
      <c r="CX51" s="313">
        <v>0</v>
      </c>
      <c r="CY51" s="313">
        <v>0</v>
      </c>
      <c r="CZ51" s="380">
        <v>0</v>
      </c>
      <c r="DA51" s="380">
        <v>0</v>
      </c>
      <c r="DB51" s="380">
        <v>0</v>
      </c>
      <c r="DC51" s="380">
        <v>0</v>
      </c>
      <c r="DD51" s="380">
        <v>0</v>
      </c>
      <c r="DE51" s="380">
        <v>0</v>
      </c>
      <c r="DF51" s="380">
        <v>0</v>
      </c>
      <c r="DG51" s="380">
        <v>0</v>
      </c>
      <c r="DH51" s="380">
        <v>0</v>
      </c>
      <c r="DI51" s="380">
        <v>0</v>
      </c>
      <c r="DJ51" s="380">
        <v>0</v>
      </c>
      <c r="DK51" s="702">
        <f t="shared" si="56"/>
        <v>119.5</v>
      </c>
      <c r="DL51" s="311">
        <f t="shared" si="31"/>
        <v>0.24999999999999997</v>
      </c>
      <c r="DM51" s="310">
        <f t="shared" si="32"/>
        <v>119.5</v>
      </c>
      <c r="DN51" s="356">
        <f t="shared" si="33"/>
        <v>100</v>
      </c>
      <c r="DO51" s="308">
        <f t="shared" si="34"/>
        <v>0.25</v>
      </c>
      <c r="DP51" s="359">
        <f>+IF(((DN51*Q51)/100)&lt;Q51, ((DN51*Q51)/100),Q51)</f>
        <v>0.25</v>
      </c>
      <c r="DQ51" s="306">
        <f t="shared" si="35"/>
        <v>0.25</v>
      </c>
      <c r="DR51" s="379">
        <f t="shared" si="36"/>
        <v>0.99999999999999989</v>
      </c>
      <c r="DS51" s="378">
        <f t="shared" si="37"/>
        <v>0</v>
      </c>
      <c r="DT51" s="173">
        <v>619</v>
      </c>
      <c r="DU51" s="174" t="s">
        <v>272</v>
      </c>
      <c r="DV51" s="173"/>
      <c r="DW51" s="174" t="s">
        <v>84</v>
      </c>
      <c r="DX51" s="173"/>
      <c r="DY51" s="173"/>
      <c r="DZ51" s="173"/>
      <c r="EA51" s="665"/>
      <c r="EB51" s="1254" t="s">
        <v>2492</v>
      </c>
      <c r="EC51" s="537">
        <v>0</v>
      </c>
      <c r="EE51" s="733">
        <v>116</v>
      </c>
      <c r="EF51" s="706"/>
    </row>
    <row r="52" spans="4:136" s="302" customFormat="1" ht="96" hidden="1">
      <c r="D52" s="520">
        <v>49</v>
      </c>
      <c r="E52" s="534">
        <v>68</v>
      </c>
      <c r="F52" s="523" t="s">
        <v>43</v>
      </c>
      <c r="G52" s="523" t="s">
        <v>7</v>
      </c>
      <c r="H52" s="524" t="s">
        <v>2652</v>
      </c>
      <c r="I52" s="462" t="s">
        <v>207</v>
      </c>
      <c r="J52" s="335" t="s">
        <v>273</v>
      </c>
      <c r="K52" s="335" t="s">
        <v>274</v>
      </c>
      <c r="L52" s="454" t="s">
        <v>1415</v>
      </c>
      <c r="M52" s="333" t="s">
        <v>1771</v>
      </c>
      <c r="N52" s="333">
        <v>50</v>
      </c>
      <c r="O52" s="333">
        <v>116</v>
      </c>
      <c r="P52" s="332">
        <v>116</v>
      </c>
      <c r="Q52" s="357">
        <v>0.16500000000000001</v>
      </c>
      <c r="R52" s="342">
        <f t="shared" si="0"/>
        <v>7.9655172413793107E-2</v>
      </c>
      <c r="S52" s="459">
        <v>56</v>
      </c>
      <c r="T52" s="387">
        <f t="shared" si="43"/>
        <v>0.48275862068965519</v>
      </c>
      <c r="U52" s="670">
        <v>53</v>
      </c>
      <c r="V52" s="388">
        <f t="shared" si="44"/>
        <v>53</v>
      </c>
      <c r="W52" s="356">
        <f t="shared" si="45"/>
        <v>94.642857142857139</v>
      </c>
      <c r="X52" s="356">
        <f t="shared" si="4"/>
        <v>94.642857142857139</v>
      </c>
      <c r="Y52" s="356">
        <f t="shared" si="40"/>
        <v>7.5387931034482755E-2</v>
      </c>
      <c r="Z52" s="356">
        <f t="shared" si="6"/>
        <v>94.642857142857139</v>
      </c>
      <c r="AA52" s="313">
        <v>0</v>
      </c>
      <c r="AB52" s="313">
        <v>0</v>
      </c>
      <c r="AC52" s="313">
        <v>0</v>
      </c>
      <c r="AD52" s="313">
        <v>0</v>
      </c>
      <c r="AE52" s="313">
        <v>0</v>
      </c>
      <c r="AF52" s="313">
        <v>0</v>
      </c>
      <c r="AG52" s="313">
        <v>0</v>
      </c>
      <c r="AH52" s="313">
        <v>0</v>
      </c>
      <c r="AI52" s="313">
        <v>50000000</v>
      </c>
      <c r="AJ52" s="313">
        <v>50000000</v>
      </c>
      <c r="AK52" s="313">
        <v>0</v>
      </c>
      <c r="AL52" s="313">
        <v>0</v>
      </c>
      <c r="AM52" s="313">
        <v>0</v>
      </c>
      <c r="AN52" s="313">
        <v>0</v>
      </c>
      <c r="AO52" s="313">
        <v>0</v>
      </c>
      <c r="AP52" s="313">
        <v>0</v>
      </c>
      <c r="AQ52" s="313">
        <v>0</v>
      </c>
      <c r="AR52" s="313">
        <v>0</v>
      </c>
      <c r="AS52" s="313" t="s">
        <v>1798</v>
      </c>
      <c r="AT52" s="333">
        <f t="shared" si="7"/>
        <v>2.1336206896551725E-2</v>
      </c>
      <c r="AU52" s="333">
        <v>15</v>
      </c>
      <c r="AV52" s="387">
        <f t="shared" si="46"/>
        <v>0.12931034482758622</v>
      </c>
      <c r="AW52" s="677">
        <v>9</v>
      </c>
      <c r="AX52" s="474">
        <f t="shared" si="47"/>
        <v>9</v>
      </c>
      <c r="AY52" s="474">
        <f t="shared" si="48"/>
        <v>60</v>
      </c>
      <c r="AZ52" s="474">
        <f t="shared" si="11"/>
        <v>60</v>
      </c>
      <c r="BA52" s="356">
        <f t="shared" si="12"/>
        <v>1.2801724137931035E-2</v>
      </c>
      <c r="BB52" s="356">
        <f t="shared" si="13"/>
        <v>60</v>
      </c>
      <c r="BC52" s="313">
        <v>0</v>
      </c>
      <c r="BD52" s="313">
        <v>0</v>
      </c>
      <c r="BE52" s="313">
        <v>0</v>
      </c>
      <c r="BF52" s="313">
        <v>0</v>
      </c>
      <c r="BG52" s="313">
        <v>0</v>
      </c>
      <c r="BH52" s="313">
        <v>0</v>
      </c>
      <c r="BI52" s="313">
        <v>0</v>
      </c>
      <c r="BJ52" s="313">
        <v>0</v>
      </c>
      <c r="BK52" s="473">
        <v>0</v>
      </c>
      <c r="BL52" s="472">
        <v>0</v>
      </c>
      <c r="BM52" s="472">
        <v>0</v>
      </c>
      <c r="BN52" s="472">
        <v>0</v>
      </c>
      <c r="BO52" s="472">
        <v>0</v>
      </c>
      <c r="BP52" s="472">
        <v>0</v>
      </c>
      <c r="BQ52" s="472">
        <v>0</v>
      </c>
      <c r="BR52" s="472">
        <v>0</v>
      </c>
      <c r="BS52" s="472">
        <v>0</v>
      </c>
      <c r="BT52" s="472">
        <v>0</v>
      </c>
      <c r="BU52" s="472">
        <v>0</v>
      </c>
      <c r="BV52" s="342">
        <f t="shared" si="14"/>
        <v>2.844827586206897E-2</v>
      </c>
      <c r="BW52" s="350">
        <v>20</v>
      </c>
      <c r="BX52" s="385">
        <f t="shared" si="49"/>
        <v>0.17241379310344829</v>
      </c>
      <c r="BY52" s="399">
        <v>0</v>
      </c>
      <c r="BZ52" s="398">
        <v>39</v>
      </c>
      <c r="CA52" s="690">
        <v>10</v>
      </c>
      <c r="CB52" s="471">
        <f t="shared" si="50"/>
        <v>10</v>
      </c>
      <c r="CC52" s="471">
        <f t="shared" si="51"/>
        <v>50</v>
      </c>
      <c r="CD52" s="470">
        <f t="shared" si="18"/>
        <v>50</v>
      </c>
      <c r="CE52" s="380">
        <f t="shared" si="19"/>
        <v>1.4224137931034487E-2</v>
      </c>
      <c r="CF52" s="469">
        <f t="shared" si="20"/>
        <v>100</v>
      </c>
      <c r="CG52" s="380">
        <f t="shared" si="21"/>
        <v>1.4224137931034487E-2</v>
      </c>
      <c r="CH52" s="468">
        <f t="shared" si="22"/>
        <v>3.5560344827586209E-2</v>
      </c>
      <c r="CI52" s="319">
        <v>25</v>
      </c>
      <c r="CJ52" s="318">
        <f t="shared" si="52"/>
        <v>0.21551724137931033</v>
      </c>
      <c r="CK52" s="1259">
        <v>40</v>
      </c>
      <c r="CL52" s="301">
        <f t="shared" si="53"/>
        <v>-15</v>
      </c>
      <c r="CM52" s="381">
        <f t="shared" si="54"/>
        <v>40</v>
      </c>
      <c r="CN52" s="381">
        <f t="shared" si="55"/>
        <v>160</v>
      </c>
      <c r="CO52" s="316">
        <f t="shared" si="27"/>
        <v>100</v>
      </c>
      <c r="CP52" s="381">
        <f t="shared" si="28"/>
        <v>3.5560344827586209E-2</v>
      </c>
      <c r="CQ52" s="381">
        <f t="shared" si="29"/>
        <v>5.6896551724137934E-2</v>
      </c>
      <c r="CR52" s="313">
        <v>0</v>
      </c>
      <c r="CS52" s="313">
        <v>0</v>
      </c>
      <c r="CT52" s="313">
        <v>0</v>
      </c>
      <c r="CU52" s="313">
        <v>0</v>
      </c>
      <c r="CV52" s="313">
        <v>0</v>
      </c>
      <c r="CW52" s="313">
        <v>0</v>
      </c>
      <c r="CX52" s="313">
        <v>0</v>
      </c>
      <c r="CY52" s="313">
        <v>0</v>
      </c>
      <c r="CZ52" s="380">
        <v>0</v>
      </c>
      <c r="DA52" s="380">
        <v>0</v>
      </c>
      <c r="DB52" s="380">
        <v>0</v>
      </c>
      <c r="DC52" s="380">
        <v>0</v>
      </c>
      <c r="DD52" s="380">
        <v>0</v>
      </c>
      <c r="DE52" s="380">
        <v>0</v>
      </c>
      <c r="DF52" s="380">
        <v>0</v>
      </c>
      <c r="DG52" s="380">
        <v>0</v>
      </c>
      <c r="DH52" s="380">
        <v>0</v>
      </c>
      <c r="DI52" s="380">
        <v>0</v>
      </c>
      <c r="DJ52" s="380">
        <v>0</v>
      </c>
      <c r="DK52" s="702">
        <f t="shared" si="56"/>
        <v>112</v>
      </c>
      <c r="DL52" s="311">
        <f t="shared" si="31"/>
        <v>0.16500000000000001</v>
      </c>
      <c r="DM52" s="310">
        <f t="shared" si="32"/>
        <v>96.551724137931032</v>
      </c>
      <c r="DN52" s="356">
        <f t="shared" si="33"/>
        <v>96.551724137931032</v>
      </c>
      <c r="DO52" s="308">
        <f t="shared" si="34"/>
        <v>0.15931034482758621</v>
      </c>
      <c r="DP52" s="359">
        <f>+IF(((DN52*Q52)/100)&lt;Q52, ((DN52*Q52)/100),Q52)</f>
        <v>0.15931034482758621</v>
      </c>
      <c r="DQ52" s="306">
        <f t="shared" si="35"/>
        <v>0.15931034482758621</v>
      </c>
      <c r="DR52" s="379">
        <f t="shared" si="36"/>
        <v>1</v>
      </c>
      <c r="DS52" s="378">
        <f t="shared" si="37"/>
        <v>0</v>
      </c>
      <c r="DT52" s="173">
        <v>619</v>
      </c>
      <c r="DU52" s="174" t="s">
        <v>272</v>
      </c>
      <c r="DV52" s="173"/>
      <c r="DW52" s="174" t="s">
        <v>84</v>
      </c>
      <c r="DX52" s="173"/>
      <c r="DY52" s="173"/>
      <c r="DZ52" s="173"/>
      <c r="EA52" s="665"/>
      <c r="EB52" s="1254" t="s">
        <v>3220</v>
      </c>
      <c r="EC52" s="537">
        <v>0</v>
      </c>
      <c r="EE52" s="734">
        <v>1</v>
      </c>
      <c r="EF52" s="706"/>
    </row>
    <row r="53" spans="4:136" s="302" customFormat="1" ht="102" hidden="1">
      <c r="D53" s="520">
        <v>50</v>
      </c>
      <c r="E53" s="534">
        <v>69</v>
      </c>
      <c r="F53" s="523" t="s">
        <v>43</v>
      </c>
      <c r="G53" s="523" t="s">
        <v>7</v>
      </c>
      <c r="H53" s="524" t="s">
        <v>2652</v>
      </c>
      <c r="I53" s="462" t="s">
        <v>210</v>
      </c>
      <c r="J53" s="335" t="s">
        <v>275</v>
      </c>
      <c r="K53" s="335" t="s">
        <v>276</v>
      </c>
      <c r="L53" s="454" t="s">
        <v>1415</v>
      </c>
      <c r="M53" s="333" t="s">
        <v>1785</v>
      </c>
      <c r="N53" s="333">
        <v>0</v>
      </c>
      <c r="O53" s="333">
        <f>+P53</f>
        <v>116</v>
      </c>
      <c r="P53" s="332">
        <v>116</v>
      </c>
      <c r="Q53" s="357">
        <v>0.25</v>
      </c>
      <c r="R53" s="342">
        <f t="shared" si="0"/>
        <v>6.25E-2</v>
      </c>
      <c r="S53" s="459">
        <v>116</v>
      </c>
      <c r="T53" s="387">
        <f t="shared" si="43"/>
        <v>0.25</v>
      </c>
      <c r="U53" s="670">
        <v>0</v>
      </c>
      <c r="V53" s="388">
        <f t="shared" si="44"/>
        <v>0</v>
      </c>
      <c r="W53" s="356">
        <f t="shared" si="45"/>
        <v>0</v>
      </c>
      <c r="X53" s="356">
        <f t="shared" si="4"/>
        <v>0</v>
      </c>
      <c r="Y53" s="356">
        <f t="shared" si="40"/>
        <v>0</v>
      </c>
      <c r="Z53" s="356">
        <f t="shared" si="6"/>
        <v>0</v>
      </c>
      <c r="AA53" s="313">
        <v>21000000</v>
      </c>
      <c r="AB53" s="313">
        <v>21000000</v>
      </c>
      <c r="AC53" s="313">
        <v>0</v>
      </c>
      <c r="AD53" s="313">
        <v>0</v>
      </c>
      <c r="AE53" s="313">
        <v>0</v>
      </c>
      <c r="AF53" s="313">
        <v>0</v>
      </c>
      <c r="AG53" s="313">
        <v>0</v>
      </c>
      <c r="AH53" s="313">
        <v>0</v>
      </c>
      <c r="AI53" s="313">
        <v>0</v>
      </c>
      <c r="AJ53" s="313">
        <v>0</v>
      </c>
      <c r="AK53" s="313">
        <v>0</v>
      </c>
      <c r="AL53" s="313">
        <v>0</v>
      </c>
      <c r="AM53" s="313">
        <v>0</v>
      </c>
      <c r="AN53" s="313">
        <v>0</v>
      </c>
      <c r="AO53" s="313">
        <v>0</v>
      </c>
      <c r="AP53" s="313">
        <v>0</v>
      </c>
      <c r="AQ53" s="313">
        <v>0</v>
      </c>
      <c r="AR53" s="313">
        <v>0</v>
      </c>
      <c r="AS53" s="313" t="s">
        <v>1798</v>
      </c>
      <c r="AT53" s="333">
        <f t="shared" si="7"/>
        <v>6.25E-2</v>
      </c>
      <c r="AU53" s="333">
        <v>116</v>
      </c>
      <c r="AV53" s="387">
        <f t="shared" si="46"/>
        <v>0.25</v>
      </c>
      <c r="AW53" s="677">
        <v>116</v>
      </c>
      <c r="AX53" s="474">
        <f t="shared" si="47"/>
        <v>29</v>
      </c>
      <c r="AY53" s="474">
        <f t="shared" si="48"/>
        <v>100</v>
      </c>
      <c r="AZ53" s="474">
        <f t="shared" si="11"/>
        <v>100</v>
      </c>
      <c r="BA53" s="356">
        <f t="shared" si="12"/>
        <v>6.25E-2</v>
      </c>
      <c r="BB53" s="356">
        <f t="shared" si="13"/>
        <v>100</v>
      </c>
      <c r="BC53" s="313">
        <v>15000000</v>
      </c>
      <c r="BD53" s="313">
        <v>0</v>
      </c>
      <c r="BE53" s="313">
        <v>15000000</v>
      </c>
      <c r="BF53" s="313">
        <v>0</v>
      </c>
      <c r="BG53" s="313">
        <v>0</v>
      </c>
      <c r="BH53" s="313">
        <v>0</v>
      </c>
      <c r="BI53" s="313">
        <v>0</v>
      </c>
      <c r="BJ53" s="313">
        <v>0</v>
      </c>
      <c r="BK53" s="473">
        <v>0</v>
      </c>
      <c r="BL53" s="472">
        <v>0</v>
      </c>
      <c r="BM53" s="472">
        <v>0</v>
      </c>
      <c r="BN53" s="472">
        <v>0</v>
      </c>
      <c r="BO53" s="472">
        <v>0</v>
      </c>
      <c r="BP53" s="472">
        <v>0</v>
      </c>
      <c r="BQ53" s="472">
        <v>0</v>
      </c>
      <c r="BR53" s="472">
        <v>0</v>
      </c>
      <c r="BS53" s="472">
        <v>0</v>
      </c>
      <c r="BT53" s="472">
        <v>0</v>
      </c>
      <c r="BU53" s="472">
        <v>0</v>
      </c>
      <c r="BV53" s="342">
        <f t="shared" si="14"/>
        <v>6.25E-2</v>
      </c>
      <c r="BW53" s="350">
        <v>116</v>
      </c>
      <c r="BX53" s="385">
        <f t="shared" si="49"/>
        <v>0.25</v>
      </c>
      <c r="BY53" s="399">
        <v>0</v>
      </c>
      <c r="BZ53" s="398">
        <v>123</v>
      </c>
      <c r="CA53" s="690">
        <v>116</v>
      </c>
      <c r="CB53" s="471">
        <f t="shared" si="50"/>
        <v>29</v>
      </c>
      <c r="CC53" s="471">
        <f t="shared" si="51"/>
        <v>100</v>
      </c>
      <c r="CD53" s="470">
        <f t="shared" si="18"/>
        <v>100</v>
      </c>
      <c r="CE53" s="380">
        <f t="shared" si="19"/>
        <v>6.25E-2</v>
      </c>
      <c r="CF53" s="469">
        <f t="shared" si="20"/>
        <v>100</v>
      </c>
      <c r="CG53" s="380">
        <f t="shared" si="21"/>
        <v>6.25E-2</v>
      </c>
      <c r="CH53" s="468">
        <f t="shared" si="22"/>
        <v>6.25E-2</v>
      </c>
      <c r="CI53" s="319">
        <v>116</v>
      </c>
      <c r="CJ53" s="318">
        <f t="shared" si="52"/>
        <v>0.25</v>
      </c>
      <c r="CK53" s="1259">
        <v>116</v>
      </c>
      <c r="CL53" s="301">
        <f t="shared" si="53"/>
        <v>0</v>
      </c>
      <c r="CM53" s="381">
        <f t="shared" si="54"/>
        <v>29</v>
      </c>
      <c r="CN53" s="381">
        <f t="shared" si="55"/>
        <v>100</v>
      </c>
      <c r="CO53" s="381">
        <f t="shared" si="27"/>
        <v>100</v>
      </c>
      <c r="CP53" s="381">
        <f t="shared" si="28"/>
        <v>6.25E-2</v>
      </c>
      <c r="CQ53" s="381">
        <f t="shared" si="29"/>
        <v>6.25E-2</v>
      </c>
      <c r="CR53" s="313">
        <v>35000000</v>
      </c>
      <c r="CS53" s="313">
        <v>35000000</v>
      </c>
      <c r="CT53" s="313">
        <v>0</v>
      </c>
      <c r="CU53" s="313">
        <v>0</v>
      </c>
      <c r="CV53" s="313">
        <v>0</v>
      </c>
      <c r="CW53" s="313">
        <v>0</v>
      </c>
      <c r="CX53" s="313">
        <v>0</v>
      </c>
      <c r="CY53" s="313">
        <v>0</v>
      </c>
      <c r="CZ53" s="380">
        <v>0</v>
      </c>
      <c r="DA53" s="380">
        <v>0</v>
      </c>
      <c r="DB53" s="380">
        <v>0</v>
      </c>
      <c r="DC53" s="380">
        <v>0</v>
      </c>
      <c r="DD53" s="380">
        <v>0</v>
      </c>
      <c r="DE53" s="380">
        <v>0</v>
      </c>
      <c r="DF53" s="380">
        <v>0</v>
      </c>
      <c r="DG53" s="380">
        <v>0</v>
      </c>
      <c r="DH53" s="380">
        <v>0</v>
      </c>
      <c r="DI53" s="380">
        <v>0</v>
      </c>
      <c r="DJ53" s="380">
        <v>0</v>
      </c>
      <c r="DK53" s="702">
        <f t="shared" si="56"/>
        <v>87</v>
      </c>
      <c r="DL53" s="311">
        <f t="shared" si="31"/>
        <v>0.25</v>
      </c>
      <c r="DM53" s="310">
        <f t="shared" si="32"/>
        <v>75</v>
      </c>
      <c r="DN53" s="356">
        <f t="shared" si="33"/>
        <v>75</v>
      </c>
      <c r="DO53" s="308">
        <f t="shared" si="34"/>
        <v>0.1875</v>
      </c>
      <c r="DP53" s="359">
        <f>+IF(M53="M",DO53,0)</f>
        <v>0.1875</v>
      </c>
      <c r="DQ53" s="306">
        <f t="shared" si="35"/>
        <v>0.1875</v>
      </c>
      <c r="DR53" s="379">
        <f t="shared" si="36"/>
        <v>1</v>
      </c>
      <c r="DS53" s="378">
        <f t="shared" si="37"/>
        <v>0</v>
      </c>
      <c r="DT53" s="173">
        <v>33</v>
      </c>
      <c r="DU53" s="174" t="s">
        <v>139</v>
      </c>
      <c r="DV53" s="173"/>
      <c r="DW53" s="174" t="s">
        <v>84</v>
      </c>
      <c r="DX53" s="173"/>
      <c r="DY53" s="173"/>
      <c r="DZ53" s="173"/>
      <c r="EA53" s="665"/>
      <c r="EB53" s="1254" t="s">
        <v>3221</v>
      </c>
      <c r="EC53" s="537">
        <v>26000000</v>
      </c>
      <c r="EE53" s="734">
        <v>300</v>
      </c>
      <c r="EF53" s="706"/>
    </row>
    <row r="54" spans="4:136" s="302" customFormat="1" ht="89.25" hidden="1">
      <c r="D54" s="520">
        <v>51</v>
      </c>
      <c r="E54" s="534">
        <v>70</v>
      </c>
      <c r="F54" s="523" t="s">
        <v>43</v>
      </c>
      <c r="G54" s="523" t="s">
        <v>7</v>
      </c>
      <c r="H54" s="524" t="s">
        <v>2652</v>
      </c>
      <c r="I54" s="462" t="s">
        <v>210</v>
      </c>
      <c r="J54" s="335" t="s">
        <v>277</v>
      </c>
      <c r="K54" s="335" t="s">
        <v>278</v>
      </c>
      <c r="L54" s="454" t="s">
        <v>1796</v>
      </c>
      <c r="M54" s="333" t="s">
        <v>1771</v>
      </c>
      <c r="N54" s="333">
        <v>0</v>
      </c>
      <c r="O54" s="333">
        <f>+N54+P54</f>
        <v>1</v>
      </c>
      <c r="P54" s="332">
        <v>1</v>
      </c>
      <c r="Q54" s="357">
        <v>0.25</v>
      </c>
      <c r="R54" s="342">
        <f t="shared" si="0"/>
        <v>7.4999999999999997E-2</v>
      </c>
      <c r="S54" s="459">
        <v>0.3</v>
      </c>
      <c r="T54" s="387">
        <f t="shared" si="43"/>
        <v>0.3</v>
      </c>
      <c r="U54" s="671">
        <v>0.3</v>
      </c>
      <c r="V54" s="388">
        <f t="shared" si="44"/>
        <v>0.3</v>
      </c>
      <c r="W54" s="356">
        <f t="shared" si="45"/>
        <v>100</v>
      </c>
      <c r="X54" s="356">
        <f t="shared" si="4"/>
        <v>100</v>
      </c>
      <c r="Y54" s="356">
        <f t="shared" si="40"/>
        <v>7.4999999999999997E-2</v>
      </c>
      <c r="Z54" s="356">
        <f t="shared" si="6"/>
        <v>100</v>
      </c>
      <c r="AA54" s="313">
        <v>7000000</v>
      </c>
      <c r="AB54" s="313">
        <v>7000000</v>
      </c>
      <c r="AC54" s="313">
        <v>0</v>
      </c>
      <c r="AD54" s="313">
        <v>0</v>
      </c>
      <c r="AE54" s="313">
        <v>0</v>
      </c>
      <c r="AF54" s="313">
        <v>0</v>
      </c>
      <c r="AG54" s="313">
        <v>0</v>
      </c>
      <c r="AH54" s="313">
        <v>0</v>
      </c>
      <c r="AI54" s="313">
        <v>25000000</v>
      </c>
      <c r="AJ54" s="313">
        <v>25000000</v>
      </c>
      <c r="AK54" s="313">
        <v>0</v>
      </c>
      <c r="AL54" s="313">
        <v>0</v>
      </c>
      <c r="AM54" s="313">
        <v>0</v>
      </c>
      <c r="AN54" s="313">
        <v>0</v>
      </c>
      <c r="AO54" s="313">
        <v>0</v>
      </c>
      <c r="AP54" s="313">
        <v>0</v>
      </c>
      <c r="AQ54" s="313">
        <v>0</v>
      </c>
      <c r="AR54" s="313">
        <v>0</v>
      </c>
      <c r="AS54" s="313" t="s">
        <v>1798</v>
      </c>
      <c r="AT54" s="333">
        <f t="shared" si="7"/>
        <v>7.4999999999999997E-2</v>
      </c>
      <c r="AU54" s="333">
        <v>0.3</v>
      </c>
      <c r="AV54" s="387">
        <f t="shared" si="46"/>
        <v>0.3</v>
      </c>
      <c r="AW54" s="682">
        <v>0.3</v>
      </c>
      <c r="AX54" s="474">
        <f t="shared" si="47"/>
        <v>0.3</v>
      </c>
      <c r="AY54" s="474">
        <f t="shared" si="48"/>
        <v>100</v>
      </c>
      <c r="AZ54" s="474">
        <f t="shared" si="11"/>
        <v>100</v>
      </c>
      <c r="BA54" s="356">
        <f t="shared" si="12"/>
        <v>7.4999999999999997E-2</v>
      </c>
      <c r="BB54" s="356">
        <f t="shared" si="13"/>
        <v>100</v>
      </c>
      <c r="BC54" s="313">
        <v>5000000</v>
      </c>
      <c r="BD54" s="313">
        <v>0</v>
      </c>
      <c r="BE54" s="313">
        <v>5000000</v>
      </c>
      <c r="BF54" s="313">
        <v>0</v>
      </c>
      <c r="BG54" s="313">
        <v>0</v>
      </c>
      <c r="BH54" s="313">
        <v>0</v>
      </c>
      <c r="BI54" s="313">
        <v>0</v>
      </c>
      <c r="BJ54" s="313">
        <v>0</v>
      </c>
      <c r="BK54" s="473">
        <v>40000000</v>
      </c>
      <c r="BL54" s="472">
        <v>40000000</v>
      </c>
      <c r="BM54" s="472">
        <v>0</v>
      </c>
      <c r="BN54" s="472">
        <v>0</v>
      </c>
      <c r="BO54" s="472">
        <v>0</v>
      </c>
      <c r="BP54" s="472">
        <v>0</v>
      </c>
      <c r="BQ54" s="472">
        <v>0</v>
      </c>
      <c r="BR54" s="472">
        <v>0</v>
      </c>
      <c r="BS54" s="472">
        <v>0</v>
      </c>
      <c r="BT54" s="472">
        <v>135500000</v>
      </c>
      <c r="BU54" s="472" t="s">
        <v>2011</v>
      </c>
      <c r="BV54" s="342">
        <f t="shared" si="14"/>
        <v>0.05</v>
      </c>
      <c r="BW54" s="350">
        <v>0.2</v>
      </c>
      <c r="BX54" s="385">
        <f t="shared" si="49"/>
        <v>0.2</v>
      </c>
      <c r="BY54" s="399">
        <v>0</v>
      </c>
      <c r="BZ54" s="398">
        <v>0.1</v>
      </c>
      <c r="CA54" s="690">
        <v>0.20000000298023224</v>
      </c>
      <c r="CB54" s="471">
        <f t="shared" si="50"/>
        <v>0.20000000298023224</v>
      </c>
      <c r="CC54" s="471">
        <f t="shared" si="51"/>
        <v>100.00000149011612</v>
      </c>
      <c r="CD54" s="470">
        <f t="shared" si="18"/>
        <v>100</v>
      </c>
      <c r="CE54" s="380">
        <f t="shared" si="19"/>
        <v>0.05</v>
      </c>
      <c r="CF54" s="469">
        <f t="shared" si="20"/>
        <v>100</v>
      </c>
      <c r="CG54" s="380">
        <f t="shared" si="21"/>
        <v>5.000000074505806E-2</v>
      </c>
      <c r="CH54" s="468">
        <f t="shared" si="22"/>
        <v>0.05</v>
      </c>
      <c r="CI54" s="319">
        <v>0.2</v>
      </c>
      <c r="CJ54" s="318">
        <f t="shared" si="52"/>
        <v>0.2</v>
      </c>
      <c r="CK54" s="1259">
        <v>1</v>
      </c>
      <c r="CL54" s="301">
        <f t="shared" si="53"/>
        <v>-0.8</v>
      </c>
      <c r="CM54" s="381">
        <f t="shared" si="54"/>
        <v>1</v>
      </c>
      <c r="CN54" s="381">
        <f t="shared" si="55"/>
        <v>500</v>
      </c>
      <c r="CO54" s="316">
        <f t="shared" si="27"/>
        <v>100</v>
      </c>
      <c r="CP54" s="381">
        <f t="shared" si="28"/>
        <v>0.05</v>
      </c>
      <c r="CQ54" s="381">
        <f t="shared" si="29"/>
        <v>0.25</v>
      </c>
      <c r="CR54" s="313">
        <v>12000000</v>
      </c>
      <c r="CS54" s="313">
        <v>12000000</v>
      </c>
      <c r="CT54" s="313">
        <v>0</v>
      </c>
      <c r="CU54" s="313">
        <v>0</v>
      </c>
      <c r="CV54" s="313">
        <v>0</v>
      </c>
      <c r="CW54" s="313">
        <v>0</v>
      </c>
      <c r="CX54" s="313">
        <v>0</v>
      </c>
      <c r="CY54" s="313">
        <v>0</v>
      </c>
      <c r="CZ54" s="380">
        <v>0</v>
      </c>
      <c r="DA54" s="380">
        <v>0</v>
      </c>
      <c r="DB54" s="380">
        <v>0</v>
      </c>
      <c r="DC54" s="380">
        <v>0</v>
      </c>
      <c r="DD54" s="380">
        <v>0</v>
      </c>
      <c r="DE54" s="380">
        <v>0</v>
      </c>
      <c r="DF54" s="380">
        <v>0</v>
      </c>
      <c r="DG54" s="380">
        <v>0</v>
      </c>
      <c r="DH54" s="380">
        <v>0</v>
      </c>
      <c r="DI54" s="380">
        <v>0</v>
      </c>
      <c r="DJ54" s="380">
        <v>0</v>
      </c>
      <c r="DK54" s="702">
        <f t="shared" si="56"/>
        <v>1.8000000029802323</v>
      </c>
      <c r="DL54" s="311">
        <f t="shared" si="31"/>
        <v>0.25</v>
      </c>
      <c r="DM54" s="310">
        <f t="shared" si="32"/>
        <v>180.00000029802322</v>
      </c>
      <c r="DN54" s="356">
        <f t="shared" si="33"/>
        <v>100</v>
      </c>
      <c r="DO54" s="308">
        <f t="shared" si="34"/>
        <v>0.25</v>
      </c>
      <c r="DP54" s="359">
        <f>+IF(((DN54*Q54)/100)&lt;Q54, ((DN54*Q54)/100),Q54)</f>
        <v>0.25</v>
      </c>
      <c r="DQ54" s="306">
        <f t="shared" si="35"/>
        <v>0.25</v>
      </c>
      <c r="DR54" s="379">
        <f t="shared" si="36"/>
        <v>1</v>
      </c>
      <c r="DS54" s="378">
        <f t="shared" si="37"/>
        <v>0</v>
      </c>
      <c r="DT54" s="173">
        <v>36</v>
      </c>
      <c r="DU54" s="174" t="s">
        <v>136</v>
      </c>
      <c r="DV54" s="173">
        <v>37</v>
      </c>
      <c r="DW54" s="174" t="s">
        <v>135</v>
      </c>
      <c r="DX54" s="173">
        <v>39</v>
      </c>
      <c r="DY54" s="173"/>
      <c r="DZ54" s="173"/>
      <c r="EA54" s="665"/>
      <c r="EB54" s="1254" t="s">
        <v>3222</v>
      </c>
      <c r="EC54" s="537">
        <v>26000000</v>
      </c>
      <c r="EE54" s="734">
        <v>0</v>
      </c>
      <c r="EF54" s="706"/>
    </row>
    <row r="55" spans="4:136" s="302" customFormat="1" ht="63.75" hidden="1">
      <c r="D55" s="520">
        <v>52</v>
      </c>
      <c r="E55" s="534">
        <v>71</v>
      </c>
      <c r="F55" s="523" t="s">
        <v>43</v>
      </c>
      <c r="G55" s="523" t="s">
        <v>9</v>
      </c>
      <c r="H55" s="524" t="s">
        <v>2652</v>
      </c>
      <c r="I55" s="462" t="s">
        <v>210</v>
      </c>
      <c r="J55" s="335" t="s">
        <v>279</v>
      </c>
      <c r="K55" s="335" t="s">
        <v>280</v>
      </c>
      <c r="L55" s="453" t="s">
        <v>1947</v>
      </c>
      <c r="M55" s="333" t="s">
        <v>1785</v>
      </c>
      <c r="N55" s="333">
        <v>0</v>
      </c>
      <c r="O55" s="333">
        <f>+P55</f>
        <v>100</v>
      </c>
      <c r="P55" s="332">
        <v>100</v>
      </c>
      <c r="Q55" s="357">
        <v>0.16500000000000001</v>
      </c>
      <c r="R55" s="342">
        <f t="shared" si="0"/>
        <v>4.1250000000000002E-2</v>
      </c>
      <c r="S55" s="459">
        <v>100</v>
      </c>
      <c r="T55" s="387">
        <f t="shared" si="43"/>
        <v>0.25</v>
      </c>
      <c r="U55" s="670">
        <v>100</v>
      </c>
      <c r="V55" s="388">
        <f t="shared" si="44"/>
        <v>25</v>
      </c>
      <c r="W55" s="356">
        <f t="shared" si="45"/>
        <v>100</v>
      </c>
      <c r="X55" s="356">
        <f t="shared" si="4"/>
        <v>100</v>
      </c>
      <c r="Y55" s="356">
        <f t="shared" si="40"/>
        <v>4.1250000000000002E-2</v>
      </c>
      <c r="Z55" s="356">
        <f t="shared" si="6"/>
        <v>100</v>
      </c>
      <c r="AA55" s="313">
        <v>0</v>
      </c>
      <c r="AB55" s="313">
        <v>0</v>
      </c>
      <c r="AC55" s="313">
        <v>0</v>
      </c>
      <c r="AD55" s="313">
        <v>0</v>
      </c>
      <c r="AE55" s="313">
        <v>0</v>
      </c>
      <c r="AF55" s="313">
        <v>0</v>
      </c>
      <c r="AG55" s="313">
        <v>0</v>
      </c>
      <c r="AH55" s="313">
        <v>0</v>
      </c>
      <c r="AI55" s="313">
        <v>0</v>
      </c>
      <c r="AJ55" s="313">
        <v>0</v>
      </c>
      <c r="AK55" s="313">
        <v>0</v>
      </c>
      <c r="AL55" s="313">
        <v>0</v>
      </c>
      <c r="AM55" s="313">
        <v>0</v>
      </c>
      <c r="AN55" s="313">
        <v>0</v>
      </c>
      <c r="AO55" s="313">
        <v>0</v>
      </c>
      <c r="AP55" s="313">
        <v>0</v>
      </c>
      <c r="AQ55" s="313">
        <v>0</v>
      </c>
      <c r="AR55" s="313">
        <v>0</v>
      </c>
      <c r="AS55" s="313" t="s">
        <v>1798</v>
      </c>
      <c r="AT55" s="333">
        <f t="shared" si="7"/>
        <v>4.1250000000000002E-2</v>
      </c>
      <c r="AU55" s="333">
        <v>100</v>
      </c>
      <c r="AV55" s="387">
        <f t="shared" si="46"/>
        <v>0.25</v>
      </c>
      <c r="AW55" s="677">
        <v>5</v>
      </c>
      <c r="AX55" s="474">
        <f t="shared" si="47"/>
        <v>1.25</v>
      </c>
      <c r="AY55" s="474">
        <f t="shared" si="48"/>
        <v>5</v>
      </c>
      <c r="AZ55" s="474">
        <f t="shared" si="11"/>
        <v>5</v>
      </c>
      <c r="BA55" s="356">
        <f t="shared" si="12"/>
        <v>2.0625000000000001E-3</v>
      </c>
      <c r="BB55" s="356">
        <f t="shared" si="13"/>
        <v>5</v>
      </c>
      <c r="BC55" s="313">
        <v>20000000</v>
      </c>
      <c r="BD55" s="313">
        <v>0</v>
      </c>
      <c r="BE55" s="313">
        <v>20000000</v>
      </c>
      <c r="BF55" s="313">
        <v>0</v>
      </c>
      <c r="BG55" s="313">
        <v>0</v>
      </c>
      <c r="BH55" s="313">
        <v>0</v>
      </c>
      <c r="BI55" s="313">
        <v>0</v>
      </c>
      <c r="BJ55" s="313">
        <v>0</v>
      </c>
      <c r="BK55" s="473">
        <v>20000000</v>
      </c>
      <c r="BL55" s="472">
        <v>20000000</v>
      </c>
      <c r="BM55" s="472">
        <v>0</v>
      </c>
      <c r="BN55" s="472">
        <v>0</v>
      </c>
      <c r="BO55" s="472">
        <v>0</v>
      </c>
      <c r="BP55" s="472">
        <v>0</v>
      </c>
      <c r="BQ55" s="472">
        <v>0</v>
      </c>
      <c r="BR55" s="472">
        <v>0</v>
      </c>
      <c r="BS55" s="472">
        <v>0</v>
      </c>
      <c r="BT55" s="472">
        <v>0</v>
      </c>
      <c r="BU55" s="472">
        <v>0</v>
      </c>
      <c r="BV55" s="342">
        <f t="shared" si="14"/>
        <v>4.1250000000000002E-2</v>
      </c>
      <c r="BW55" s="350">
        <v>100</v>
      </c>
      <c r="BX55" s="385">
        <f t="shared" si="49"/>
        <v>0.25</v>
      </c>
      <c r="BY55" s="399">
        <v>0</v>
      </c>
      <c r="BZ55" s="398">
        <v>100</v>
      </c>
      <c r="CA55" s="690">
        <v>100</v>
      </c>
      <c r="CB55" s="471">
        <f t="shared" si="50"/>
        <v>25</v>
      </c>
      <c r="CC55" s="471">
        <f t="shared" si="51"/>
        <v>100</v>
      </c>
      <c r="CD55" s="470">
        <f t="shared" si="18"/>
        <v>100</v>
      </c>
      <c r="CE55" s="380">
        <f t="shared" si="19"/>
        <v>4.1250000000000002E-2</v>
      </c>
      <c r="CF55" s="469">
        <f t="shared" si="20"/>
        <v>100</v>
      </c>
      <c r="CG55" s="380">
        <f t="shared" si="21"/>
        <v>4.1250000000000002E-2</v>
      </c>
      <c r="CH55" s="468">
        <f t="shared" si="22"/>
        <v>4.1250000000000002E-2</v>
      </c>
      <c r="CI55" s="319">
        <v>100</v>
      </c>
      <c r="CJ55" s="318">
        <f t="shared" si="52"/>
        <v>0.25</v>
      </c>
      <c r="CK55" s="1259">
        <v>100</v>
      </c>
      <c r="CL55" s="301">
        <f t="shared" si="53"/>
        <v>0</v>
      </c>
      <c r="CM55" s="381">
        <f t="shared" si="54"/>
        <v>25</v>
      </c>
      <c r="CN55" s="381">
        <f t="shared" si="55"/>
        <v>100</v>
      </c>
      <c r="CO55" s="381">
        <f t="shared" si="27"/>
        <v>100</v>
      </c>
      <c r="CP55" s="381">
        <f t="shared" si="28"/>
        <v>4.1250000000000002E-2</v>
      </c>
      <c r="CQ55" s="381">
        <f t="shared" si="29"/>
        <v>4.1250000000000002E-2</v>
      </c>
      <c r="CR55" s="313">
        <v>0</v>
      </c>
      <c r="CS55" s="313">
        <v>0</v>
      </c>
      <c r="CT55" s="313">
        <v>0</v>
      </c>
      <c r="CU55" s="313">
        <v>0</v>
      </c>
      <c r="CV55" s="313">
        <v>0</v>
      </c>
      <c r="CW55" s="313">
        <v>0</v>
      </c>
      <c r="CX55" s="313">
        <v>0</v>
      </c>
      <c r="CY55" s="313">
        <v>0</v>
      </c>
      <c r="CZ55" s="380">
        <v>0</v>
      </c>
      <c r="DA55" s="380">
        <v>0</v>
      </c>
      <c r="DB55" s="380">
        <v>0</v>
      </c>
      <c r="DC55" s="380">
        <v>0</v>
      </c>
      <c r="DD55" s="380">
        <v>0</v>
      </c>
      <c r="DE55" s="380">
        <v>0</v>
      </c>
      <c r="DF55" s="380">
        <v>0</v>
      </c>
      <c r="DG55" s="380">
        <v>0</v>
      </c>
      <c r="DH55" s="380">
        <v>0</v>
      </c>
      <c r="DI55" s="380">
        <v>0</v>
      </c>
      <c r="DJ55" s="380">
        <v>0</v>
      </c>
      <c r="DK55" s="702">
        <f t="shared" si="56"/>
        <v>76.25</v>
      </c>
      <c r="DL55" s="311">
        <f t="shared" si="31"/>
        <v>0.16500000000000001</v>
      </c>
      <c r="DM55" s="310">
        <f t="shared" si="32"/>
        <v>76.25</v>
      </c>
      <c r="DN55" s="356">
        <f t="shared" si="33"/>
        <v>76.25</v>
      </c>
      <c r="DO55" s="308">
        <f t="shared" si="34"/>
        <v>0.12581249999999999</v>
      </c>
      <c r="DP55" s="359">
        <f>+IF(M55="M",DO55,0)</f>
        <v>0.12581249999999999</v>
      </c>
      <c r="DQ55" s="306">
        <f t="shared" si="35"/>
        <v>0.12581249999999999</v>
      </c>
      <c r="DR55" s="379">
        <f t="shared" si="36"/>
        <v>1</v>
      </c>
      <c r="DS55" s="378">
        <f t="shared" si="37"/>
        <v>0</v>
      </c>
      <c r="DT55" s="173">
        <v>1</v>
      </c>
      <c r="DU55" s="174" t="s">
        <v>186</v>
      </c>
      <c r="DV55" s="173"/>
      <c r="DW55" s="174" t="s">
        <v>84</v>
      </c>
      <c r="DX55" s="173"/>
      <c r="DY55" s="173"/>
      <c r="DZ55" s="173"/>
      <c r="EA55" s="665"/>
      <c r="EB55" s="1254" t="s">
        <v>2088</v>
      </c>
      <c r="EC55" s="537">
        <v>0</v>
      </c>
      <c r="EE55" s="734">
        <v>1</v>
      </c>
      <c r="EF55" s="706"/>
    </row>
    <row r="56" spans="4:136" s="302" customFormat="1" ht="63.75" hidden="1">
      <c r="D56" s="520">
        <v>53</v>
      </c>
      <c r="E56" s="534">
        <v>80</v>
      </c>
      <c r="F56" s="523" t="s">
        <v>43</v>
      </c>
      <c r="G56" s="523" t="s">
        <v>10</v>
      </c>
      <c r="H56" s="524" t="s">
        <v>2653</v>
      </c>
      <c r="I56" s="462" t="s">
        <v>171</v>
      </c>
      <c r="J56" s="335" t="s">
        <v>281</v>
      </c>
      <c r="K56" s="335" t="s">
        <v>282</v>
      </c>
      <c r="L56" s="453" t="s">
        <v>1523</v>
      </c>
      <c r="M56" s="333" t="s">
        <v>1771</v>
      </c>
      <c r="N56" s="333">
        <v>0</v>
      </c>
      <c r="O56" s="333">
        <f>+N56+P56</f>
        <v>64</v>
      </c>
      <c r="P56" s="332">
        <v>64</v>
      </c>
      <c r="Q56" s="357">
        <v>0.25</v>
      </c>
      <c r="R56" s="342">
        <f t="shared" si="0"/>
        <v>5.078125E-2</v>
      </c>
      <c r="S56" s="459">
        <v>13</v>
      </c>
      <c r="T56" s="387">
        <f t="shared" si="43"/>
        <v>0.203125</v>
      </c>
      <c r="U56" s="670">
        <v>10</v>
      </c>
      <c r="V56" s="388">
        <f t="shared" si="44"/>
        <v>10</v>
      </c>
      <c r="W56" s="356">
        <f t="shared" si="45"/>
        <v>76.92307692307692</v>
      </c>
      <c r="X56" s="356">
        <f t="shared" si="4"/>
        <v>76.92307692307692</v>
      </c>
      <c r="Y56" s="356">
        <f t="shared" si="40"/>
        <v>3.90625E-2</v>
      </c>
      <c r="Z56" s="356">
        <f t="shared" si="6"/>
        <v>76.92307692307692</v>
      </c>
      <c r="AA56" s="313">
        <v>375000000</v>
      </c>
      <c r="AB56" s="313">
        <v>7000000</v>
      </c>
      <c r="AC56" s="313">
        <v>368000000</v>
      </c>
      <c r="AD56" s="313">
        <v>0</v>
      </c>
      <c r="AE56" s="313">
        <v>0</v>
      </c>
      <c r="AF56" s="313">
        <v>0</v>
      </c>
      <c r="AG56" s="313">
        <v>0</v>
      </c>
      <c r="AH56" s="313">
        <v>0</v>
      </c>
      <c r="AI56" s="313">
        <v>129900000</v>
      </c>
      <c r="AJ56" s="313">
        <v>0</v>
      </c>
      <c r="AK56" s="313">
        <v>129900000</v>
      </c>
      <c r="AL56" s="313">
        <v>0</v>
      </c>
      <c r="AM56" s="313">
        <v>0</v>
      </c>
      <c r="AN56" s="313">
        <v>0</v>
      </c>
      <c r="AO56" s="313">
        <v>0</v>
      </c>
      <c r="AP56" s="313">
        <v>0</v>
      </c>
      <c r="AQ56" s="313">
        <v>0</v>
      </c>
      <c r="AR56" s="313">
        <v>0</v>
      </c>
      <c r="AS56" s="313" t="s">
        <v>1798</v>
      </c>
      <c r="AT56" s="333">
        <f t="shared" si="7"/>
        <v>5.078125E-2</v>
      </c>
      <c r="AU56" s="333">
        <v>13</v>
      </c>
      <c r="AV56" s="387">
        <f t="shared" si="46"/>
        <v>0.203125</v>
      </c>
      <c r="AW56" s="682">
        <v>16</v>
      </c>
      <c r="AX56" s="474">
        <f t="shared" si="47"/>
        <v>16</v>
      </c>
      <c r="AY56" s="474">
        <f t="shared" si="48"/>
        <v>123.07692307692308</v>
      </c>
      <c r="AZ56" s="474">
        <f t="shared" si="11"/>
        <v>100</v>
      </c>
      <c r="BA56" s="356">
        <f t="shared" si="12"/>
        <v>5.078125E-2</v>
      </c>
      <c r="BB56" s="356">
        <f t="shared" si="13"/>
        <v>100</v>
      </c>
      <c r="BC56" s="313">
        <v>371000000</v>
      </c>
      <c r="BD56" s="313">
        <v>100000000</v>
      </c>
      <c r="BE56" s="313">
        <v>271000000</v>
      </c>
      <c r="BF56" s="313">
        <v>0</v>
      </c>
      <c r="BG56" s="313">
        <v>0</v>
      </c>
      <c r="BH56" s="313">
        <v>0</v>
      </c>
      <c r="BI56" s="313">
        <v>0</v>
      </c>
      <c r="BJ56" s="313">
        <v>0</v>
      </c>
      <c r="BK56" s="473">
        <v>356907815</v>
      </c>
      <c r="BL56" s="472">
        <v>356907815</v>
      </c>
      <c r="BM56" s="472">
        <v>0</v>
      </c>
      <c r="BN56" s="472">
        <v>0</v>
      </c>
      <c r="BO56" s="472">
        <v>0</v>
      </c>
      <c r="BP56" s="472">
        <v>0</v>
      </c>
      <c r="BQ56" s="472">
        <v>0</v>
      </c>
      <c r="BR56" s="472">
        <v>0</v>
      </c>
      <c r="BS56" s="472">
        <v>0</v>
      </c>
      <c r="BT56" s="472">
        <v>0</v>
      </c>
      <c r="BU56" s="472">
        <v>0</v>
      </c>
      <c r="BV56" s="342">
        <f t="shared" si="14"/>
        <v>7.421875E-2</v>
      </c>
      <c r="BW56" s="350">
        <v>19</v>
      </c>
      <c r="BX56" s="385">
        <f t="shared" si="49"/>
        <v>0.296875</v>
      </c>
      <c r="BY56" s="369">
        <v>10</v>
      </c>
      <c r="BZ56" s="391">
        <v>57</v>
      </c>
      <c r="CA56" s="689">
        <v>19</v>
      </c>
      <c r="CB56" s="471">
        <f t="shared" si="50"/>
        <v>19</v>
      </c>
      <c r="CC56" s="471">
        <f t="shared" si="51"/>
        <v>100</v>
      </c>
      <c r="CD56" s="470">
        <f t="shared" si="18"/>
        <v>100</v>
      </c>
      <c r="CE56" s="380">
        <f t="shared" si="19"/>
        <v>7.421875E-2</v>
      </c>
      <c r="CF56" s="469">
        <f t="shared" si="20"/>
        <v>100</v>
      </c>
      <c r="CG56" s="380">
        <f t="shared" si="21"/>
        <v>7.421875E-2</v>
      </c>
      <c r="CH56" s="468">
        <f t="shared" si="22"/>
        <v>7.421875E-2</v>
      </c>
      <c r="CI56" s="319">
        <v>19</v>
      </c>
      <c r="CJ56" s="318">
        <f t="shared" si="52"/>
        <v>0.296875</v>
      </c>
      <c r="CK56" s="1258">
        <v>19</v>
      </c>
      <c r="CL56" s="301">
        <f t="shared" si="53"/>
        <v>0</v>
      </c>
      <c r="CM56" s="381">
        <f t="shared" si="54"/>
        <v>19</v>
      </c>
      <c r="CN56" s="381">
        <f t="shared" si="55"/>
        <v>100</v>
      </c>
      <c r="CO56" s="316">
        <f t="shared" si="27"/>
        <v>100</v>
      </c>
      <c r="CP56" s="381">
        <f t="shared" si="28"/>
        <v>7.421875E-2</v>
      </c>
      <c r="CQ56" s="381">
        <f t="shared" si="29"/>
        <v>7.421875E-2</v>
      </c>
      <c r="CR56" s="313">
        <v>724000000</v>
      </c>
      <c r="CS56" s="313">
        <v>624000000</v>
      </c>
      <c r="CT56" s="313">
        <v>100000000</v>
      </c>
      <c r="CU56" s="313">
        <v>0</v>
      </c>
      <c r="CV56" s="313">
        <v>0</v>
      </c>
      <c r="CW56" s="313">
        <v>0</v>
      </c>
      <c r="CX56" s="313">
        <v>0</v>
      </c>
      <c r="CY56" s="313">
        <v>0</v>
      </c>
      <c r="CZ56" s="380">
        <v>0</v>
      </c>
      <c r="DA56" s="380">
        <v>0</v>
      </c>
      <c r="DB56" s="380">
        <v>0</v>
      </c>
      <c r="DC56" s="380">
        <v>0</v>
      </c>
      <c r="DD56" s="380">
        <v>0</v>
      </c>
      <c r="DE56" s="380">
        <v>0</v>
      </c>
      <c r="DF56" s="380">
        <v>0</v>
      </c>
      <c r="DG56" s="380">
        <v>0</v>
      </c>
      <c r="DH56" s="380">
        <v>0</v>
      </c>
      <c r="DI56" s="380">
        <v>0</v>
      </c>
      <c r="DJ56" s="380">
        <v>0</v>
      </c>
      <c r="DK56" s="702">
        <f t="shared" si="56"/>
        <v>64</v>
      </c>
      <c r="DL56" s="311">
        <f t="shared" si="31"/>
        <v>0.25</v>
      </c>
      <c r="DM56" s="310">
        <f t="shared" si="32"/>
        <v>100</v>
      </c>
      <c r="DN56" s="356">
        <f t="shared" si="33"/>
        <v>100</v>
      </c>
      <c r="DO56" s="308">
        <f t="shared" si="34"/>
        <v>0.25</v>
      </c>
      <c r="DP56" s="359">
        <f>+IF(((DN56*Q56)/100)&lt;Q56, ((DN56*Q56)/100),Q56)</f>
        <v>0.25</v>
      </c>
      <c r="DQ56" s="306">
        <f t="shared" si="35"/>
        <v>0.25</v>
      </c>
      <c r="DR56" s="379">
        <f t="shared" si="36"/>
        <v>1</v>
      </c>
      <c r="DS56" s="378">
        <f t="shared" si="37"/>
        <v>0</v>
      </c>
      <c r="DT56" s="173">
        <v>74</v>
      </c>
      <c r="DU56" s="174" t="s">
        <v>283</v>
      </c>
      <c r="DV56" s="173"/>
      <c r="DW56" s="174" t="s">
        <v>84</v>
      </c>
      <c r="DX56" s="173"/>
      <c r="DY56" s="173"/>
      <c r="DZ56" s="173"/>
      <c r="EA56" s="665"/>
      <c r="EB56" s="1254" t="s">
        <v>2250</v>
      </c>
      <c r="EC56" s="537">
        <v>0</v>
      </c>
      <c r="EE56" s="734">
        <v>0</v>
      </c>
      <c r="EF56" s="706"/>
    </row>
    <row r="57" spans="4:136" s="302" customFormat="1" ht="63.75" hidden="1">
      <c r="D57" s="520">
        <v>54</v>
      </c>
      <c r="E57" s="534">
        <v>81</v>
      </c>
      <c r="F57" s="523" t="s">
        <v>43</v>
      </c>
      <c r="G57" s="523" t="s">
        <v>10</v>
      </c>
      <c r="H57" s="524" t="s">
        <v>2653</v>
      </c>
      <c r="I57" s="462" t="s">
        <v>171</v>
      </c>
      <c r="J57" s="335" t="s">
        <v>284</v>
      </c>
      <c r="K57" s="335" t="s">
        <v>285</v>
      </c>
      <c r="L57" s="454" t="s">
        <v>1793</v>
      </c>
      <c r="M57" s="333" t="s">
        <v>1771</v>
      </c>
      <c r="N57" s="333">
        <v>0</v>
      </c>
      <c r="O57" s="333">
        <f>+N57+P57</f>
        <v>13</v>
      </c>
      <c r="P57" s="332">
        <v>13</v>
      </c>
      <c r="Q57" s="357">
        <v>0.25</v>
      </c>
      <c r="R57" s="342">
        <f t="shared" si="0"/>
        <v>1.9230769230769232E-2</v>
      </c>
      <c r="S57" s="459">
        <v>1</v>
      </c>
      <c r="T57" s="387">
        <f t="shared" si="43"/>
        <v>7.6923076923076927E-2</v>
      </c>
      <c r="U57" s="670">
        <v>3</v>
      </c>
      <c r="V57" s="388">
        <f t="shared" si="44"/>
        <v>3</v>
      </c>
      <c r="W57" s="356">
        <f t="shared" si="45"/>
        <v>300</v>
      </c>
      <c r="X57" s="356">
        <f t="shared" si="4"/>
        <v>100</v>
      </c>
      <c r="Y57" s="356">
        <f t="shared" si="40"/>
        <v>1.9230769230769232E-2</v>
      </c>
      <c r="Z57" s="356">
        <f t="shared" si="6"/>
        <v>100</v>
      </c>
      <c r="AA57" s="313">
        <v>252000000</v>
      </c>
      <c r="AB57" s="313">
        <v>7000000</v>
      </c>
      <c r="AC57" s="313">
        <v>245000000</v>
      </c>
      <c r="AD57" s="313">
        <v>0</v>
      </c>
      <c r="AE57" s="313">
        <v>0</v>
      </c>
      <c r="AF57" s="313">
        <v>0</v>
      </c>
      <c r="AG57" s="313">
        <v>0</v>
      </c>
      <c r="AH57" s="313">
        <v>0</v>
      </c>
      <c r="AI57" s="313">
        <v>303100000</v>
      </c>
      <c r="AJ57" s="313">
        <v>0</v>
      </c>
      <c r="AK57" s="313">
        <v>303100000</v>
      </c>
      <c r="AL57" s="313">
        <v>0</v>
      </c>
      <c r="AM57" s="313">
        <v>0</v>
      </c>
      <c r="AN57" s="313">
        <v>0</v>
      </c>
      <c r="AO57" s="313">
        <v>0</v>
      </c>
      <c r="AP57" s="313">
        <v>0</v>
      </c>
      <c r="AQ57" s="313">
        <v>0</v>
      </c>
      <c r="AR57" s="313">
        <v>0</v>
      </c>
      <c r="AS57" s="313" t="s">
        <v>1798</v>
      </c>
      <c r="AT57" s="333">
        <f t="shared" si="7"/>
        <v>3.8461538461538464E-2</v>
      </c>
      <c r="AU57" s="333">
        <v>2</v>
      </c>
      <c r="AV57" s="387">
        <f t="shared" si="46"/>
        <v>0.15384615384615385</v>
      </c>
      <c r="AW57" s="677">
        <v>21</v>
      </c>
      <c r="AX57" s="474">
        <f t="shared" si="47"/>
        <v>21</v>
      </c>
      <c r="AY57" s="474">
        <f t="shared" si="48"/>
        <v>1050</v>
      </c>
      <c r="AZ57" s="474">
        <f t="shared" si="11"/>
        <v>100</v>
      </c>
      <c r="BA57" s="356">
        <f t="shared" si="12"/>
        <v>3.8461538461538464E-2</v>
      </c>
      <c r="BB57" s="356">
        <f t="shared" si="13"/>
        <v>100</v>
      </c>
      <c r="BC57" s="313">
        <v>580000000</v>
      </c>
      <c r="BD57" s="313">
        <v>160000000</v>
      </c>
      <c r="BE57" s="313">
        <v>420000000</v>
      </c>
      <c r="BF57" s="313">
        <v>0</v>
      </c>
      <c r="BG57" s="313">
        <v>0</v>
      </c>
      <c r="BH57" s="313">
        <v>0</v>
      </c>
      <c r="BI57" s="313">
        <v>0</v>
      </c>
      <c r="BJ57" s="313">
        <v>0</v>
      </c>
      <c r="BK57" s="473">
        <v>401795210</v>
      </c>
      <c r="BL57" s="472">
        <v>401795210</v>
      </c>
      <c r="BM57" s="472">
        <v>0</v>
      </c>
      <c r="BN57" s="472">
        <v>0</v>
      </c>
      <c r="BO57" s="472">
        <v>0</v>
      </c>
      <c r="BP57" s="472">
        <v>0</v>
      </c>
      <c r="BQ57" s="472">
        <v>0</v>
      </c>
      <c r="BR57" s="472">
        <v>0</v>
      </c>
      <c r="BS57" s="472">
        <v>0</v>
      </c>
      <c r="BT57" s="472">
        <v>0</v>
      </c>
      <c r="BU57" s="472">
        <v>0</v>
      </c>
      <c r="BV57" s="342">
        <f t="shared" si="14"/>
        <v>9.6153846153846159E-2</v>
      </c>
      <c r="BW57" s="350">
        <v>5</v>
      </c>
      <c r="BX57" s="385">
        <f t="shared" si="49"/>
        <v>0.38461538461538464</v>
      </c>
      <c r="BY57" s="369">
        <v>5</v>
      </c>
      <c r="BZ57" s="391">
        <v>5</v>
      </c>
      <c r="CA57" s="689">
        <v>5</v>
      </c>
      <c r="CB57" s="471">
        <f t="shared" si="50"/>
        <v>5</v>
      </c>
      <c r="CC57" s="471">
        <f t="shared" si="51"/>
        <v>100</v>
      </c>
      <c r="CD57" s="470">
        <f t="shared" si="18"/>
        <v>100</v>
      </c>
      <c r="CE57" s="380">
        <f t="shared" si="19"/>
        <v>9.6153846153846173E-2</v>
      </c>
      <c r="CF57" s="469">
        <f t="shared" si="20"/>
        <v>100</v>
      </c>
      <c r="CG57" s="380">
        <f t="shared" si="21"/>
        <v>9.6153846153846173E-2</v>
      </c>
      <c r="CH57" s="468">
        <f t="shared" si="22"/>
        <v>9.6153846153846159E-2</v>
      </c>
      <c r="CI57" s="319">
        <v>5</v>
      </c>
      <c r="CJ57" s="318">
        <f t="shared" si="52"/>
        <v>0.38461538461538464</v>
      </c>
      <c r="CK57" s="1259">
        <v>12</v>
      </c>
      <c r="CL57" s="301">
        <f t="shared" si="53"/>
        <v>-7</v>
      </c>
      <c r="CM57" s="381">
        <f t="shared" si="54"/>
        <v>12</v>
      </c>
      <c r="CN57" s="381">
        <f t="shared" si="55"/>
        <v>240</v>
      </c>
      <c r="CO57" s="316">
        <f t="shared" si="27"/>
        <v>100</v>
      </c>
      <c r="CP57" s="381">
        <f t="shared" si="28"/>
        <v>9.6153846153846173E-2</v>
      </c>
      <c r="CQ57" s="381">
        <f t="shared" si="29"/>
        <v>0.23076923076923075</v>
      </c>
      <c r="CR57" s="313">
        <v>1128000000</v>
      </c>
      <c r="CS57" s="313">
        <v>968000000</v>
      </c>
      <c r="CT57" s="313">
        <v>160000000</v>
      </c>
      <c r="CU57" s="313">
        <v>0</v>
      </c>
      <c r="CV57" s="313">
        <v>0</v>
      </c>
      <c r="CW57" s="313">
        <v>0</v>
      </c>
      <c r="CX57" s="313">
        <v>0</v>
      </c>
      <c r="CY57" s="313">
        <v>0</v>
      </c>
      <c r="CZ57" s="380">
        <v>0</v>
      </c>
      <c r="DA57" s="380">
        <v>0</v>
      </c>
      <c r="DB57" s="380">
        <v>0</v>
      </c>
      <c r="DC57" s="380">
        <v>0</v>
      </c>
      <c r="DD57" s="380">
        <v>0</v>
      </c>
      <c r="DE57" s="380">
        <v>0</v>
      </c>
      <c r="DF57" s="380">
        <v>0</v>
      </c>
      <c r="DG57" s="380">
        <v>0</v>
      </c>
      <c r="DH57" s="380">
        <v>0</v>
      </c>
      <c r="DI57" s="380">
        <v>0</v>
      </c>
      <c r="DJ57" s="380">
        <v>0</v>
      </c>
      <c r="DK57" s="702">
        <f t="shared" si="56"/>
        <v>41</v>
      </c>
      <c r="DL57" s="311">
        <f t="shared" si="31"/>
        <v>0.25</v>
      </c>
      <c r="DM57" s="310">
        <f t="shared" si="32"/>
        <v>315.38461538461536</v>
      </c>
      <c r="DN57" s="356">
        <f t="shared" si="33"/>
        <v>100</v>
      </c>
      <c r="DO57" s="308">
        <f t="shared" si="34"/>
        <v>0.25</v>
      </c>
      <c r="DP57" s="359">
        <f>+IF(((DN57*Q57)/100)&lt;Q57, ((DN57*Q57)/100),Q57)</f>
        <v>0.25</v>
      </c>
      <c r="DQ57" s="306">
        <f t="shared" si="35"/>
        <v>0.25</v>
      </c>
      <c r="DR57" s="379">
        <f t="shared" si="36"/>
        <v>1</v>
      </c>
      <c r="DS57" s="378">
        <f t="shared" si="37"/>
        <v>0</v>
      </c>
      <c r="DT57" s="173">
        <v>74</v>
      </c>
      <c r="DU57" s="174" t="s">
        <v>283</v>
      </c>
      <c r="DV57" s="173"/>
      <c r="DW57" s="174" t="s">
        <v>84</v>
      </c>
      <c r="DX57" s="173"/>
      <c r="DY57" s="173"/>
      <c r="DZ57" s="173"/>
      <c r="EA57" s="665"/>
      <c r="EB57" s="1254" t="s">
        <v>2251</v>
      </c>
      <c r="EC57" s="537">
        <v>0</v>
      </c>
      <c r="EE57" s="734">
        <v>0</v>
      </c>
      <c r="EF57" s="706"/>
    </row>
    <row r="58" spans="4:136" s="302" customFormat="1" ht="120" hidden="1">
      <c r="D58" s="520">
        <v>55</v>
      </c>
      <c r="E58" s="534">
        <v>82</v>
      </c>
      <c r="F58" s="523" t="s">
        <v>43</v>
      </c>
      <c r="G58" s="523" t="s">
        <v>7</v>
      </c>
      <c r="H58" s="524" t="s">
        <v>2653</v>
      </c>
      <c r="I58" s="462" t="s">
        <v>171</v>
      </c>
      <c r="J58" s="335" t="s">
        <v>286</v>
      </c>
      <c r="K58" s="335" t="s">
        <v>287</v>
      </c>
      <c r="L58" s="454" t="s">
        <v>1825</v>
      </c>
      <c r="M58" s="333" t="s">
        <v>1785</v>
      </c>
      <c r="N58" s="333">
        <v>0</v>
      </c>
      <c r="O58" s="333">
        <f>+P58</f>
        <v>1</v>
      </c>
      <c r="P58" s="332">
        <v>1</v>
      </c>
      <c r="Q58" s="357">
        <v>0.25</v>
      </c>
      <c r="R58" s="342">
        <f t="shared" si="0"/>
        <v>6.25E-2</v>
      </c>
      <c r="S58" s="459">
        <v>1</v>
      </c>
      <c r="T58" s="387">
        <f t="shared" si="43"/>
        <v>0.25</v>
      </c>
      <c r="U58" s="670">
        <v>1</v>
      </c>
      <c r="V58" s="388">
        <f t="shared" si="44"/>
        <v>0.25</v>
      </c>
      <c r="W58" s="356">
        <f t="shared" si="45"/>
        <v>100</v>
      </c>
      <c r="X58" s="356">
        <f t="shared" si="4"/>
        <v>100</v>
      </c>
      <c r="Y58" s="356">
        <f t="shared" si="40"/>
        <v>6.25E-2</v>
      </c>
      <c r="Z58" s="356">
        <f t="shared" si="6"/>
        <v>100</v>
      </c>
      <c r="AA58" s="313">
        <v>200000000</v>
      </c>
      <c r="AB58" s="313">
        <v>100000000</v>
      </c>
      <c r="AC58" s="313">
        <v>0</v>
      </c>
      <c r="AD58" s="313">
        <v>0</v>
      </c>
      <c r="AE58" s="313">
        <v>0</v>
      </c>
      <c r="AF58" s="313">
        <v>0</v>
      </c>
      <c r="AG58" s="313">
        <v>0</v>
      </c>
      <c r="AH58" s="313">
        <v>100000000</v>
      </c>
      <c r="AI58" s="313">
        <v>50000000</v>
      </c>
      <c r="AJ58" s="313">
        <v>50000000</v>
      </c>
      <c r="AK58" s="313">
        <v>0</v>
      </c>
      <c r="AL58" s="313">
        <v>0</v>
      </c>
      <c r="AM58" s="313">
        <v>0</v>
      </c>
      <c r="AN58" s="313">
        <v>0</v>
      </c>
      <c r="AO58" s="313">
        <v>0</v>
      </c>
      <c r="AP58" s="313">
        <v>0</v>
      </c>
      <c r="AQ58" s="313">
        <v>0</v>
      </c>
      <c r="AR58" s="313">
        <v>150000000</v>
      </c>
      <c r="AS58" s="313" t="s">
        <v>2004</v>
      </c>
      <c r="AT58" s="333">
        <f t="shared" si="7"/>
        <v>6.25E-2</v>
      </c>
      <c r="AU58" s="333">
        <v>1</v>
      </c>
      <c r="AV58" s="387">
        <f t="shared" si="46"/>
        <v>0.25</v>
      </c>
      <c r="AW58" s="682">
        <v>1</v>
      </c>
      <c r="AX58" s="474">
        <f t="shared" si="47"/>
        <v>0.25</v>
      </c>
      <c r="AY58" s="474">
        <f t="shared" si="48"/>
        <v>100</v>
      </c>
      <c r="AZ58" s="474">
        <f t="shared" si="11"/>
        <v>100</v>
      </c>
      <c r="BA58" s="356">
        <f t="shared" si="12"/>
        <v>6.25E-2</v>
      </c>
      <c r="BB58" s="356">
        <f t="shared" si="13"/>
        <v>100</v>
      </c>
      <c r="BC58" s="313">
        <v>8000000</v>
      </c>
      <c r="BD58" s="313">
        <v>0</v>
      </c>
      <c r="BE58" s="313">
        <v>8000000</v>
      </c>
      <c r="BF58" s="313">
        <v>0</v>
      </c>
      <c r="BG58" s="313">
        <v>0</v>
      </c>
      <c r="BH58" s="313">
        <v>0</v>
      </c>
      <c r="BI58" s="313">
        <v>0</v>
      </c>
      <c r="BJ58" s="313">
        <v>0</v>
      </c>
      <c r="BK58" s="473">
        <v>50000000</v>
      </c>
      <c r="BL58" s="472">
        <v>50000000</v>
      </c>
      <c r="BM58" s="472">
        <v>0</v>
      </c>
      <c r="BN58" s="472">
        <v>0</v>
      </c>
      <c r="BO58" s="472">
        <v>0</v>
      </c>
      <c r="BP58" s="472">
        <v>0</v>
      </c>
      <c r="BQ58" s="472">
        <v>0</v>
      </c>
      <c r="BR58" s="472">
        <v>0</v>
      </c>
      <c r="BS58" s="472">
        <v>0</v>
      </c>
      <c r="BT58" s="472">
        <v>0</v>
      </c>
      <c r="BU58" s="472">
        <v>0</v>
      </c>
      <c r="BV58" s="342">
        <f t="shared" si="14"/>
        <v>6.25E-2</v>
      </c>
      <c r="BW58" s="350">
        <v>1</v>
      </c>
      <c r="BX58" s="385">
        <f t="shared" si="49"/>
        <v>0.25</v>
      </c>
      <c r="BY58" s="399">
        <v>1</v>
      </c>
      <c r="BZ58" s="398">
        <v>1</v>
      </c>
      <c r="CA58" s="690">
        <v>1</v>
      </c>
      <c r="CB58" s="471">
        <f t="shared" si="50"/>
        <v>0.25</v>
      </c>
      <c r="CC58" s="471">
        <f t="shared" si="51"/>
        <v>100</v>
      </c>
      <c r="CD58" s="470">
        <f t="shared" si="18"/>
        <v>100</v>
      </c>
      <c r="CE58" s="380">
        <f t="shared" si="19"/>
        <v>6.25E-2</v>
      </c>
      <c r="CF58" s="469">
        <f t="shared" si="20"/>
        <v>100</v>
      </c>
      <c r="CG58" s="380">
        <f t="shared" si="21"/>
        <v>6.25E-2</v>
      </c>
      <c r="CH58" s="468">
        <f t="shared" si="22"/>
        <v>6.25E-2</v>
      </c>
      <c r="CI58" s="319">
        <v>1</v>
      </c>
      <c r="CJ58" s="318">
        <f t="shared" si="52"/>
        <v>0.25</v>
      </c>
      <c r="CK58" s="1259">
        <v>1</v>
      </c>
      <c r="CL58" s="301">
        <f t="shared" si="53"/>
        <v>0</v>
      </c>
      <c r="CM58" s="381">
        <f t="shared" si="54"/>
        <v>0.25</v>
      </c>
      <c r="CN58" s="381">
        <f t="shared" si="55"/>
        <v>100</v>
      </c>
      <c r="CO58" s="381">
        <f t="shared" si="27"/>
        <v>100</v>
      </c>
      <c r="CP58" s="381">
        <f t="shared" si="28"/>
        <v>6.25E-2</v>
      </c>
      <c r="CQ58" s="381">
        <f t="shared" si="29"/>
        <v>6.25E-2</v>
      </c>
      <c r="CR58" s="313">
        <v>18000000</v>
      </c>
      <c r="CS58" s="313">
        <v>18000000</v>
      </c>
      <c r="CT58" s="313">
        <v>0</v>
      </c>
      <c r="CU58" s="313">
        <v>0</v>
      </c>
      <c r="CV58" s="313">
        <v>0</v>
      </c>
      <c r="CW58" s="313">
        <v>0</v>
      </c>
      <c r="CX58" s="313">
        <v>0</v>
      </c>
      <c r="CY58" s="313">
        <v>0</v>
      </c>
      <c r="CZ58" s="380">
        <v>0</v>
      </c>
      <c r="DA58" s="380">
        <v>0</v>
      </c>
      <c r="DB58" s="380">
        <v>0</v>
      </c>
      <c r="DC58" s="380">
        <v>0</v>
      </c>
      <c r="DD58" s="380">
        <v>0</v>
      </c>
      <c r="DE58" s="380">
        <v>0</v>
      </c>
      <c r="DF58" s="380">
        <v>0</v>
      </c>
      <c r="DG58" s="380">
        <v>0</v>
      </c>
      <c r="DH58" s="380">
        <v>0</v>
      </c>
      <c r="DI58" s="380">
        <v>0</v>
      </c>
      <c r="DJ58" s="380">
        <v>0</v>
      </c>
      <c r="DK58" s="702">
        <f t="shared" si="56"/>
        <v>1</v>
      </c>
      <c r="DL58" s="311">
        <f t="shared" si="31"/>
        <v>0.25</v>
      </c>
      <c r="DM58" s="310">
        <f t="shared" si="32"/>
        <v>100</v>
      </c>
      <c r="DN58" s="356">
        <f t="shared" si="33"/>
        <v>100</v>
      </c>
      <c r="DO58" s="308">
        <f t="shared" si="34"/>
        <v>0.25</v>
      </c>
      <c r="DP58" s="359">
        <f>+IF(M58="M",DO58,0)</f>
        <v>0.25</v>
      </c>
      <c r="DQ58" s="306">
        <f t="shared" si="35"/>
        <v>0.25</v>
      </c>
      <c r="DR58" s="379">
        <f t="shared" si="36"/>
        <v>1</v>
      </c>
      <c r="DS58" s="378">
        <f t="shared" si="37"/>
        <v>0</v>
      </c>
      <c r="DT58" s="173">
        <v>72</v>
      </c>
      <c r="DU58" s="174" t="s">
        <v>133</v>
      </c>
      <c r="DV58" s="173">
        <v>74</v>
      </c>
      <c r="DW58" s="174" t="s">
        <v>283</v>
      </c>
      <c r="DX58" s="173">
        <v>79</v>
      </c>
      <c r="DY58" s="173"/>
      <c r="DZ58" s="173"/>
      <c r="EA58" s="665"/>
      <c r="EB58" s="1254" t="s">
        <v>2493</v>
      </c>
      <c r="EC58" s="537">
        <v>20000000</v>
      </c>
      <c r="EE58" s="734">
        <v>341</v>
      </c>
      <c r="EF58" s="706"/>
    </row>
    <row r="59" spans="4:136" s="302" customFormat="1" ht="51" hidden="1">
      <c r="D59" s="520">
        <v>56</v>
      </c>
      <c r="E59" s="534">
        <v>83</v>
      </c>
      <c r="F59" s="523" t="s">
        <v>43</v>
      </c>
      <c r="G59" s="523" t="s">
        <v>9</v>
      </c>
      <c r="H59" s="524" t="s">
        <v>2653</v>
      </c>
      <c r="I59" s="462" t="s">
        <v>171</v>
      </c>
      <c r="J59" s="335" t="s">
        <v>288</v>
      </c>
      <c r="K59" s="335" t="s">
        <v>289</v>
      </c>
      <c r="L59" s="454" t="s">
        <v>1415</v>
      </c>
      <c r="M59" s="333" t="s">
        <v>1785</v>
      </c>
      <c r="N59" s="333">
        <v>0</v>
      </c>
      <c r="O59" s="333">
        <f>+P59</f>
        <v>116</v>
      </c>
      <c r="P59" s="332">
        <v>116</v>
      </c>
      <c r="Q59" s="357">
        <v>0.16500000000000001</v>
      </c>
      <c r="R59" s="342">
        <f t="shared" si="0"/>
        <v>4.1250000000000002E-2</v>
      </c>
      <c r="S59" s="459">
        <v>116</v>
      </c>
      <c r="T59" s="387">
        <f t="shared" si="43"/>
        <v>0.25</v>
      </c>
      <c r="U59" s="670">
        <v>0</v>
      </c>
      <c r="V59" s="388">
        <f t="shared" si="44"/>
        <v>0</v>
      </c>
      <c r="W59" s="356">
        <f t="shared" si="45"/>
        <v>0</v>
      </c>
      <c r="X59" s="356">
        <f t="shared" si="4"/>
        <v>0</v>
      </c>
      <c r="Y59" s="356">
        <f t="shared" si="40"/>
        <v>0</v>
      </c>
      <c r="Z59" s="356">
        <f t="shared" si="6"/>
        <v>0</v>
      </c>
      <c r="AA59" s="313">
        <v>0</v>
      </c>
      <c r="AB59" s="313">
        <v>0</v>
      </c>
      <c r="AC59" s="313">
        <v>0</v>
      </c>
      <c r="AD59" s="313">
        <v>0</v>
      </c>
      <c r="AE59" s="313">
        <v>0</v>
      </c>
      <c r="AF59" s="313">
        <v>0</v>
      </c>
      <c r="AG59" s="313">
        <v>0</v>
      </c>
      <c r="AH59" s="313">
        <v>0</v>
      </c>
      <c r="AI59" s="313">
        <v>0</v>
      </c>
      <c r="AJ59" s="313">
        <v>0</v>
      </c>
      <c r="AK59" s="313">
        <v>0</v>
      </c>
      <c r="AL59" s="313">
        <v>0</v>
      </c>
      <c r="AM59" s="313">
        <v>0</v>
      </c>
      <c r="AN59" s="313">
        <v>0</v>
      </c>
      <c r="AO59" s="313">
        <v>0</v>
      </c>
      <c r="AP59" s="313">
        <v>0</v>
      </c>
      <c r="AQ59" s="313">
        <v>0</v>
      </c>
      <c r="AR59" s="313">
        <v>0</v>
      </c>
      <c r="AS59" s="313" t="s">
        <v>1798</v>
      </c>
      <c r="AT59" s="333">
        <f t="shared" si="7"/>
        <v>4.1250000000000002E-2</v>
      </c>
      <c r="AU59" s="333">
        <v>116</v>
      </c>
      <c r="AV59" s="387">
        <f t="shared" si="46"/>
        <v>0.25</v>
      </c>
      <c r="AW59" s="677">
        <v>116</v>
      </c>
      <c r="AX59" s="474">
        <f t="shared" si="47"/>
        <v>29</v>
      </c>
      <c r="AY59" s="474">
        <f t="shared" si="48"/>
        <v>100</v>
      </c>
      <c r="AZ59" s="474">
        <f t="shared" si="11"/>
        <v>100</v>
      </c>
      <c r="BA59" s="356">
        <f t="shared" si="12"/>
        <v>4.1250000000000002E-2</v>
      </c>
      <c r="BB59" s="356">
        <f t="shared" si="13"/>
        <v>100</v>
      </c>
      <c r="BC59" s="313">
        <v>116000000</v>
      </c>
      <c r="BD59" s="313">
        <v>0</v>
      </c>
      <c r="BE59" s="313">
        <v>116000000</v>
      </c>
      <c r="BF59" s="313">
        <v>0</v>
      </c>
      <c r="BG59" s="313">
        <v>0</v>
      </c>
      <c r="BH59" s="313">
        <v>0</v>
      </c>
      <c r="BI59" s="313">
        <v>0</v>
      </c>
      <c r="BJ59" s="313">
        <v>0</v>
      </c>
      <c r="BK59" s="473">
        <v>0</v>
      </c>
      <c r="BL59" s="472">
        <v>0</v>
      </c>
      <c r="BM59" s="472">
        <v>0</v>
      </c>
      <c r="BN59" s="472">
        <v>0</v>
      </c>
      <c r="BO59" s="472">
        <v>0</v>
      </c>
      <c r="BP59" s="472">
        <v>0</v>
      </c>
      <c r="BQ59" s="472">
        <v>0</v>
      </c>
      <c r="BR59" s="472">
        <v>0</v>
      </c>
      <c r="BS59" s="472">
        <v>0</v>
      </c>
      <c r="BT59" s="472">
        <v>0</v>
      </c>
      <c r="BU59" s="472">
        <v>0</v>
      </c>
      <c r="BV59" s="342">
        <f t="shared" si="14"/>
        <v>4.1250000000000002E-2</v>
      </c>
      <c r="BW59" s="350">
        <v>116</v>
      </c>
      <c r="BX59" s="385">
        <f t="shared" si="49"/>
        <v>0.25</v>
      </c>
      <c r="BY59" s="369">
        <v>116</v>
      </c>
      <c r="BZ59" s="391">
        <v>116</v>
      </c>
      <c r="CA59" s="689">
        <v>116</v>
      </c>
      <c r="CB59" s="471">
        <f t="shared" si="50"/>
        <v>29</v>
      </c>
      <c r="CC59" s="471">
        <f t="shared" si="51"/>
        <v>100</v>
      </c>
      <c r="CD59" s="470">
        <f t="shared" si="18"/>
        <v>100</v>
      </c>
      <c r="CE59" s="380">
        <f t="shared" si="19"/>
        <v>4.1250000000000002E-2</v>
      </c>
      <c r="CF59" s="469">
        <f t="shared" si="20"/>
        <v>100</v>
      </c>
      <c r="CG59" s="380">
        <f t="shared" si="21"/>
        <v>4.1250000000000002E-2</v>
      </c>
      <c r="CH59" s="468">
        <f t="shared" si="22"/>
        <v>4.1250000000000002E-2</v>
      </c>
      <c r="CI59" s="319">
        <v>0</v>
      </c>
      <c r="CJ59" s="318">
        <f t="shared" si="52"/>
        <v>0.25</v>
      </c>
      <c r="CK59" s="1258">
        <v>0</v>
      </c>
      <c r="CL59" s="301">
        <f t="shared" si="53"/>
        <v>0</v>
      </c>
      <c r="CM59" s="381">
        <f t="shared" si="54"/>
        <v>0</v>
      </c>
      <c r="CN59" s="381">
        <f t="shared" si="55"/>
        <v>0</v>
      </c>
      <c r="CO59" s="381">
        <f t="shared" si="27"/>
        <v>0</v>
      </c>
      <c r="CP59" s="381">
        <f t="shared" si="28"/>
        <v>0</v>
      </c>
      <c r="CQ59" s="381">
        <f t="shared" si="29"/>
        <v>0</v>
      </c>
      <c r="CR59" s="313">
        <v>0</v>
      </c>
      <c r="CS59" s="313">
        <v>0</v>
      </c>
      <c r="CT59" s="313">
        <v>0</v>
      </c>
      <c r="CU59" s="313">
        <v>0</v>
      </c>
      <c r="CV59" s="313">
        <v>0</v>
      </c>
      <c r="CW59" s="313">
        <v>0</v>
      </c>
      <c r="CX59" s="313">
        <v>0</v>
      </c>
      <c r="CY59" s="313">
        <v>0</v>
      </c>
      <c r="CZ59" s="380">
        <v>0</v>
      </c>
      <c r="DA59" s="380">
        <v>0</v>
      </c>
      <c r="DB59" s="380">
        <v>0</v>
      </c>
      <c r="DC59" s="380">
        <v>0</v>
      </c>
      <c r="DD59" s="380">
        <v>0</v>
      </c>
      <c r="DE59" s="380">
        <v>0</v>
      </c>
      <c r="DF59" s="380">
        <v>0</v>
      </c>
      <c r="DG59" s="380">
        <v>0</v>
      </c>
      <c r="DH59" s="380">
        <v>0</v>
      </c>
      <c r="DI59" s="380">
        <v>0</v>
      </c>
      <c r="DJ59" s="380">
        <v>0</v>
      </c>
      <c r="DK59" s="702">
        <f t="shared" si="56"/>
        <v>58</v>
      </c>
      <c r="DL59" s="311">
        <f t="shared" si="31"/>
        <v>0.16500000000000001</v>
      </c>
      <c r="DM59" s="310">
        <f t="shared" si="32"/>
        <v>50</v>
      </c>
      <c r="DN59" s="356">
        <f t="shared" si="33"/>
        <v>50</v>
      </c>
      <c r="DO59" s="308">
        <f t="shared" si="34"/>
        <v>8.2500000000000004E-2</v>
      </c>
      <c r="DP59" s="359">
        <f>+IF(M59="M",DO59,0)</f>
        <v>8.2500000000000004E-2</v>
      </c>
      <c r="DQ59" s="306">
        <f t="shared" si="35"/>
        <v>8.2500000000000004E-2</v>
      </c>
      <c r="DR59" s="379">
        <f t="shared" si="36"/>
        <v>1</v>
      </c>
      <c r="DS59" s="378">
        <f t="shared" si="37"/>
        <v>0</v>
      </c>
      <c r="DT59" s="173">
        <v>73</v>
      </c>
      <c r="DU59" s="174" t="s">
        <v>132</v>
      </c>
      <c r="DV59" s="173"/>
      <c r="DW59" s="174" t="s">
        <v>84</v>
      </c>
      <c r="DX59" s="173"/>
      <c r="DY59" s="173"/>
      <c r="DZ59" s="173"/>
      <c r="EA59" s="665"/>
      <c r="EB59" s="1254" t="s">
        <v>2089</v>
      </c>
      <c r="EC59" s="537">
        <v>0</v>
      </c>
      <c r="EE59" s="734">
        <v>3</v>
      </c>
      <c r="EF59" s="706"/>
    </row>
    <row r="60" spans="4:136" s="302" customFormat="1" ht="132" hidden="1">
      <c r="D60" s="520">
        <v>57</v>
      </c>
      <c r="E60" s="534">
        <v>84</v>
      </c>
      <c r="F60" s="523" t="s">
        <v>43</v>
      </c>
      <c r="G60" s="523" t="s">
        <v>8</v>
      </c>
      <c r="H60" s="524" t="s">
        <v>2653</v>
      </c>
      <c r="I60" s="462" t="s">
        <v>187</v>
      </c>
      <c r="J60" s="335" t="s">
        <v>290</v>
      </c>
      <c r="K60" s="335" t="s">
        <v>291</v>
      </c>
      <c r="L60" s="453" t="s">
        <v>1404</v>
      </c>
      <c r="M60" s="333" t="s">
        <v>1771</v>
      </c>
      <c r="N60" s="333">
        <v>19.2</v>
      </c>
      <c r="O60" s="333">
        <f t="shared" ref="O60:O68" si="59">+N60+P60</f>
        <v>25</v>
      </c>
      <c r="P60" s="332">
        <v>5.8</v>
      </c>
      <c r="Q60" s="357">
        <v>0.25</v>
      </c>
      <c r="R60" s="342">
        <f t="shared" si="0"/>
        <v>6.25E-2</v>
      </c>
      <c r="S60" s="459">
        <v>1.45</v>
      </c>
      <c r="T60" s="387">
        <f t="shared" si="43"/>
        <v>0.25</v>
      </c>
      <c r="U60" s="670">
        <v>0</v>
      </c>
      <c r="V60" s="388">
        <f t="shared" si="44"/>
        <v>0</v>
      </c>
      <c r="W60" s="356">
        <f t="shared" si="45"/>
        <v>0</v>
      </c>
      <c r="X60" s="356">
        <f t="shared" si="4"/>
        <v>0</v>
      </c>
      <c r="Y60" s="356">
        <f t="shared" si="40"/>
        <v>0</v>
      </c>
      <c r="Z60" s="356">
        <f t="shared" si="6"/>
        <v>0</v>
      </c>
      <c r="AA60" s="313">
        <v>413000000</v>
      </c>
      <c r="AB60" s="313">
        <v>413000000</v>
      </c>
      <c r="AC60" s="313">
        <v>0</v>
      </c>
      <c r="AD60" s="313">
        <v>0</v>
      </c>
      <c r="AE60" s="313">
        <v>0</v>
      </c>
      <c r="AF60" s="313">
        <v>0</v>
      </c>
      <c r="AG60" s="313">
        <v>0</v>
      </c>
      <c r="AH60" s="313">
        <v>0</v>
      </c>
      <c r="AI60" s="313">
        <v>586641000</v>
      </c>
      <c r="AJ60" s="313">
        <v>586641000</v>
      </c>
      <c r="AK60" s="313">
        <v>0</v>
      </c>
      <c r="AL60" s="313">
        <v>0</v>
      </c>
      <c r="AM60" s="313">
        <v>0</v>
      </c>
      <c r="AN60" s="313">
        <v>0</v>
      </c>
      <c r="AO60" s="313">
        <v>0</v>
      </c>
      <c r="AP60" s="313">
        <v>0</v>
      </c>
      <c r="AQ60" s="313">
        <v>0</v>
      </c>
      <c r="AR60" s="313">
        <v>0</v>
      </c>
      <c r="AS60" s="313" t="s">
        <v>1798</v>
      </c>
      <c r="AT60" s="333">
        <f t="shared" si="7"/>
        <v>6.25E-2</v>
      </c>
      <c r="AU60" s="333">
        <v>1.45</v>
      </c>
      <c r="AV60" s="387">
        <f t="shared" si="46"/>
        <v>0.25</v>
      </c>
      <c r="AW60" s="677">
        <v>2.9</v>
      </c>
      <c r="AX60" s="474">
        <f t="shared" si="47"/>
        <v>2.9</v>
      </c>
      <c r="AY60" s="474">
        <f t="shared" si="48"/>
        <v>200</v>
      </c>
      <c r="AZ60" s="474">
        <f t="shared" si="11"/>
        <v>100</v>
      </c>
      <c r="BA60" s="356">
        <f t="shared" si="12"/>
        <v>6.25E-2</v>
      </c>
      <c r="BB60" s="356">
        <f t="shared" si="13"/>
        <v>100</v>
      </c>
      <c r="BC60" s="313">
        <v>159000000</v>
      </c>
      <c r="BD60" s="313">
        <v>0</v>
      </c>
      <c r="BE60" s="313">
        <v>159000000</v>
      </c>
      <c r="BF60" s="313">
        <v>0</v>
      </c>
      <c r="BG60" s="313">
        <v>0</v>
      </c>
      <c r="BH60" s="313">
        <v>0</v>
      </c>
      <c r="BI60" s="313">
        <v>0</v>
      </c>
      <c r="BJ60" s="313">
        <v>0</v>
      </c>
      <c r="BK60" s="473">
        <v>335638626</v>
      </c>
      <c r="BL60" s="472">
        <v>335638626</v>
      </c>
      <c r="BM60" s="472">
        <v>0</v>
      </c>
      <c r="BN60" s="472">
        <v>0</v>
      </c>
      <c r="BO60" s="472">
        <v>0</v>
      </c>
      <c r="BP60" s="472">
        <v>0</v>
      </c>
      <c r="BQ60" s="472">
        <v>0</v>
      </c>
      <c r="BR60" s="472">
        <v>0</v>
      </c>
      <c r="BS60" s="472">
        <v>0</v>
      </c>
      <c r="BT60" s="472">
        <v>1408844862</v>
      </c>
      <c r="BU60" s="472" t="s">
        <v>2010</v>
      </c>
      <c r="BV60" s="342">
        <f t="shared" si="14"/>
        <v>6.25E-2</v>
      </c>
      <c r="BW60" s="350">
        <v>1.45</v>
      </c>
      <c r="BX60" s="385">
        <f t="shared" si="49"/>
        <v>0.25</v>
      </c>
      <c r="BY60" s="369">
        <v>0.69999998807907104</v>
      </c>
      <c r="BZ60" s="391">
        <v>0.69999998807907104</v>
      </c>
      <c r="CA60" s="689">
        <v>2.9200000762939453</v>
      </c>
      <c r="CB60" s="471">
        <f t="shared" si="50"/>
        <v>2.9200000762939453</v>
      </c>
      <c r="CC60" s="471">
        <f t="shared" si="51"/>
        <v>201.379315606479</v>
      </c>
      <c r="CD60" s="470">
        <f t="shared" si="18"/>
        <v>100</v>
      </c>
      <c r="CE60" s="380">
        <f t="shared" si="19"/>
        <v>6.25E-2</v>
      </c>
      <c r="CF60" s="469">
        <f t="shared" si="20"/>
        <v>100</v>
      </c>
      <c r="CG60" s="380">
        <f t="shared" si="21"/>
        <v>0.12586207225404938</v>
      </c>
      <c r="CH60" s="468">
        <f t="shared" si="22"/>
        <v>6.25E-2</v>
      </c>
      <c r="CI60" s="396">
        <v>1.45</v>
      </c>
      <c r="CJ60" s="318">
        <f t="shared" si="52"/>
        <v>0.25</v>
      </c>
      <c r="CK60" s="1259">
        <v>2.9000000000000001E-2</v>
      </c>
      <c r="CL60" s="301">
        <f t="shared" si="53"/>
        <v>1.421</v>
      </c>
      <c r="CM60" s="381">
        <f t="shared" si="54"/>
        <v>2.9000000000000001E-2</v>
      </c>
      <c r="CN60" s="381">
        <f t="shared" si="55"/>
        <v>2.0000000000000004</v>
      </c>
      <c r="CO60" s="316">
        <f t="shared" si="27"/>
        <v>2.0000000000000004</v>
      </c>
      <c r="CP60" s="381">
        <f t="shared" si="28"/>
        <v>1.2500000000000002E-3</v>
      </c>
      <c r="CQ60" s="381">
        <f t="shared" si="29"/>
        <v>1.2500000000000002E-3</v>
      </c>
      <c r="CR60" s="313">
        <v>368000000</v>
      </c>
      <c r="CS60" s="313">
        <v>368000000</v>
      </c>
      <c r="CT60" s="313">
        <v>0</v>
      </c>
      <c r="CU60" s="313">
        <v>0</v>
      </c>
      <c r="CV60" s="313">
        <v>0</v>
      </c>
      <c r="CW60" s="313">
        <v>0</v>
      </c>
      <c r="CX60" s="313">
        <v>0</v>
      </c>
      <c r="CY60" s="313">
        <v>0</v>
      </c>
      <c r="CZ60" s="380">
        <v>0</v>
      </c>
      <c r="DA60" s="380">
        <v>0</v>
      </c>
      <c r="DB60" s="380">
        <v>0</v>
      </c>
      <c r="DC60" s="380">
        <v>0</v>
      </c>
      <c r="DD60" s="380">
        <v>0</v>
      </c>
      <c r="DE60" s="380">
        <v>0</v>
      </c>
      <c r="DF60" s="380">
        <v>0</v>
      </c>
      <c r="DG60" s="380">
        <v>0</v>
      </c>
      <c r="DH60" s="380">
        <v>0</v>
      </c>
      <c r="DI60" s="380">
        <v>0</v>
      </c>
      <c r="DJ60" s="380">
        <v>0</v>
      </c>
      <c r="DK60" s="702">
        <f t="shared" si="56"/>
        <v>5.8490000762939456</v>
      </c>
      <c r="DL60" s="311">
        <f t="shared" si="31"/>
        <v>0.25</v>
      </c>
      <c r="DM60" s="310">
        <f t="shared" si="32"/>
        <v>100.84482890161975</v>
      </c>
      <c r="DN60" s="356">
        <f t="shared" si="33"/>
        <v>100</v>
      </c>
      <c r="DO60" s="308">
        <f t="shared" si="34"/>
        <v>0.25</v>
      </c>
      <c r="DP60" s="359">
        <f t="shared" ref="DP60:DP68" si="60">+IF(((DN60*Q60)/100)&lt;Q60, ((DN60*Q60)/100),Q60)</f>
        <v>0.25</v>
      </c>
      <c r="DQ60" s="306">
        <f t="shared" si="35"/>
        <v>0.25</v>
      </c>
      <c r="DR60" s="379">
        <f t="shared" si="36"/>
        <v>1</v>
      </c>
      <c r="DS60" s="378">
        <f t="shared" si="37"/>
        <v>0</v>
      </c>
      <c r="DT60" s="173">
        <v>37</v>
      </c>
      <c r="DU60" s="174" t="s">
        <v>135</v>
      </c>
      <c r="DV60" s="173">
        <v>75</v>
      </c>
      <c r="DW60" s="174" t="s">
        <v>231</v>
      </c>
      <c r="DX60" s="173">
        <v>76</v>
      </c>
      <c r="DY60" s="173">
        <v>77</v>
      </c>
      <c r="DZ60" s="173"/>
      <c r="EA60" s="665"/>
      <c r="EB60" s="1254" t="s">
        <v>2433</v>
      </c>
      <c r="EC60" s="537">
        <v>64000000</v>
      </c>
      <c r="EE60" s="734">
        <v>0</v>
      </c>
      <c r="EF60" s="706"/>
    </row>
    <row r="61" spans="4:136" s="302" customFormat="1" ht="48" hidden="1">
      <c r="D61" s="520">
        <v>58</v>
      </c>
      <c r="E61" s="534">
        <v>85</v>
      </c>
      <c r="F61" s="523" t="s">
        <v>43</v>
      </c>
      <c r="G61" s="523" t="s">
        <v>8</v>
      </c>
      <c r="H61" s="524" t="s">
        <v>2653</v>
      </c>
      <c r="I61" s="462" t="s">
        <v>187</v>
      </c>
      <c r="J61" s="335" t="s">
        <v>292</v>
      </c>
      <c r="K61" s="335" t="s">
        <v>293</v>
      </c>
      <c r="L61" s="454" t="s">
        <v>1837</v>
      </c>
      <c r="M61" s="333" t="s">
        <v>1771</v>
      </c>
      <c r="N61" s="333">
        <v>0</v>
      </c>
      <c r="O61" s="333">
        <f t="shared" si="59"/>
        <v>1</v>
      </c>
      <c r="P61" s="332">
        <v>1</v>
      </c>
      <c r="Q61" s="357">
        <v>0.16500000000000001</v>
      </c>
      <c r="R61" s="342">
        <f t="shared" si="0"/>
        <v>0</v>
      </c>
      <c r="S61" s="459">
        <v>0</v>
      </c>
      <c r="T61" s="387">
        <f t="shared" si="43"/>
        <v>0</v>
      </c>
      <c r="U61" s="670">
        <v>0</v>
      </c>
      <c r="V61" s="388">
        <f t="shared" si="44"/>
        <v>0</v>
      </c>
      <c r="W61" s="356">
        <f t="shared" si="45"/>
        <v>0</v>
      </c>
      <c r="X61" s="356">
        <f t="shared" si="4"/>
        <v>0</v>
      </c>
      <c r="Y61" s="356">
        <f t="shared" si="40"/>
        <v>0</v>
      </c>
      <c r="Z61" s="356">
        <f t="shared" si="6"/>
        <v>0</v>
      </c>
      <c r="AA61" s="313">
        <v>400000000</v>
      </c>
      <c r="AB61" s="313">
        <v>400000000</v>
      </c>
      <c r="AC61" s="313">
        <v>0</v>
      </c>
      <c r="AD61" s="313">
        <v>0</v>
      </c>
      <c r="AE61" s="313">
        <v>0</v>
      </c>
      <c r="AF61" s="313">
        <v>0</v>
      </c>
      <c r="AG61" s="313">
        <v>0</v>
      </c>
      <c r="AH61" s="313">
        <v>0</v>
      </c>
      <c r="AI61" s="313">
        <v>0</v>
      </c>
      <c r="AJ61" s="313">
        <v>0</v>
      </c>
      <c r="AK61" s="313">
        <v>0</v>
      </c>
      <c r="AL61" s="313">
        <v>0</v>
      </c>
      <c r="AM61" s="313">
        <v>0</v>
      </c>
      <c r="AN61" s="313">
        <v>0</v>
      </c>
      <c r="AO61" s="313">
        <v>0</v>
      </c>
      <c r="AP61" s="313">
        <v>0</v>
      </c>
      <c r="AQ61" s="313">
        <v>0</v>
      </c>
      <c r="AR61" s="313">
        <v>0</v>
      </c>
      <c r="AS61" s="313" t="s">
        <v>1798</v>
      </c>
      <c r="AT61" s="333">
        <f t="shared" si="7"/>
        <v>0.13200000000000001</v>
      </c>
      <c r="AU61" s="333">
        <v>0.8</v>
      </c>
      <c r="AV61" s="387">
        <f t="shared" si="46"/>
        <v>0.8</v>
      </c>
      <c r="AW61" s="677">
        <v>1</v>
      </c>
      <c r="AX61" s="474">
        <f t="shared" si="47"/>
        <v>1</v>
      </c>
      <c r="AY61" s="474">
        <f t="shared" si="48"/>
        <v>125</v>
      </c>
      <c r="AZ61" s="474">
        <f t="shared" si="11"/>
        <v>100</v>
      </c>
      <c r="BA61" s="356">
        <f t="shared" si="12"/>
        <v>0.13200000000000001</v>
      </c>
      <c r="BB61" s="356">
        <f t="shared" si="13"/>
        <v>100</v>
      </c>
      <c r="BC61" s="313">
        <v>0</v>
      </c>
      <c r="BD61" s="313">
        <v>0</v>
      </c>
      <c r="BE61" s="313">
        <v>0</v>
      </c>
      <c r="BF61" s="313">
        <v>0</v>
      </c>
      <c r="BG61" s="313">
        <v>0</v>
      </c>
      <c r="BH61" s="313">
        <v>0</v>
      </c>
      <c r="BI61" s="313">
        <v>0</v>
      </c>
      <c r="BJ61" s="313">
        <v>0</v>
      </c>
      <c r="BK61" s="473">
        <v>0</v>
      </c>
      <c r="BL61" s="472">
        <v>0</v>
      </c>
      <c r="BM61" s="472">
        <v>0</v>
      </c>
      <c r="BN61" s="472">
        <v>0</v>
      </c>
      <c r="BO61" s="472">
        <v>0</v>
      </c>
      <c r="BP61" s="472">
        <v>0</v>
      </c>
      <c r="BQ61" s="472">
        <v>0</v>
      </c>
      <c r="BR61" s="472">
        <v>0</v>
      </c>
      <c r="BS61" s="472">
        <v>0</v>
      </c>
      <c r="BT61" s="472">
        <v>0</v>
      </c>
      <c r="BU61" s="472">
        <v>0</v>
      </c>
      <c r="BV61" s="342">
        <f t="shared" si="14"/>
        <v>0</v>
      </c>
      <c r="BW61" s="350">
        <v>0</v>
      </c>
      <c r="BX61" s="385">
        <f t="shared" si="49"/>
        <v>0</v>
      </c>
      <c r="BY61" s="369">
        <v>0</v>
      </c>
      <c r="BZ61" s="391">
        <v>0.4</v>
      </c>
      <c r="CA61" s="689">
        <v>0</v>
      </c>
      <c r="CB61" s="471">
        <f t="shared" si="50"/>
        <v>0</v>
      </c>
      <c r="CC61" s="471">
        <f t="shared" si="51"/>
        <v>0</v>
      </c>
      <c r="CD61" s="470">
        <f t="shared" si="18"/>
        <v>0</v>
      </c>
      <c r="CE61" s="380">
        <f t="shared" si="19"/>
        <v>0</v>
      </c>
      <c r="CF61" s="469">
        <f t="shared" si="20"/>
        <v>100</v>
      </c>
      <c r="CG61" s="380">
        <f t="shared" si="21"/>
        <v>0</v>
      </c>
      <c r="CH61" s="468">
        <f t="shared" si="22"/>
        <v>3.3000000000000002E-2</v>
      </c>
      <c r="CI61" s="439">
        <v>0.2</v>
      </c>
      <c r="CJ61" s="318">
        <f t="shared" si="52"/>
        <v>0.2</v>
      </c>
      <c r="CK61" s="1259">
        <v>1</v>
      </c>
      <c r="CL61" s="301">
        <f t="shared" si="53"/>
        <v>-0.8</v>
      </c>
      <c r="CM61" s="381">
        <f t="shared" si="54"/>
        <v>1</v>
      </c>
      <c r="CN61" s="381">
        <f t="shared" si="55"/>
        <v>500</v>
      </c>
      <c r="CO61" s="316">
        <f t="shared" si="27"/>
        <v>100</v>
      </c>
      <c r="CP61" s="381">
        <f t="shared" si="28"/>
        <v>3.3000000000000002E-2</v>
      </c>
      <c r="CQ61" s="381">
        <f t="shared" si="29"/>
        <v>0.16500000000000001</v>
      </c>
      <c r="CR61" s="313">
        <v>500000</v>
      </c>
      <c r="CS61" s="313">
        <v>0</v>
      </c>
      <c r="CT61" s="313">
        <v>0</v>
      </c>
      <c r="CU61" s="313">
        <v>0</v>
      </c>
      <c r="CV61" s="313">
        <v>0</v>
      </c>
      <c r="CW61" s="313">
        <v>0</v>
      </c>
      <c r="CX61" s="313">
        <v>0</v>
      </c>
      <c r="CY61" s="313">
        <v>0</v>
      </c>
      <c r="CZ61" s="380">
        <v>0</v>
      </c>
      <c r="DA61" s="380">
        <v>0</v>
      </c>
      <c r="DB61" s="380">
        <v>0</v>
      </c>
      <c r="DC61" s="380">
        <v>0</v>
      </c>
      <c r="DD61" s="380">
        <v>0</v>
      </c>
      <c r="DE61" s="380">
        <v>0</v>
      </c>
      <c r="DF61" s="380">
        <v>0</v>
      </c>
      <c r="DG61" s="380">
        <v>0</v>
      </c>
      <c r="DH61" s="380">
        <v>0</v>
      </c>
      <c r="DI61" s="380">
        <v>0</v>
      </c>
      <c r="DJ61" s="380">
        <v>0</v>
      </c>
      <c r="DK61" s="702">
        <f t="shared" si="56"/>
        <v>2</v>
      </c>
      <c r="DL61" s="311">
        <f t="shared" si="31"/>
        <v>0.16500000000000001</v>
      </c>
      <c r="DM61" s="310">
        <f t="shared" si="32"/>
        <v>200</v>
      </c>
      <c r="DN61" s="356">
        <f t="shared" si="33"/>
        <v>100</v>
      </c>
      <c r="DO61" s="308">
        <f t="shared" si="34"/>
        <v>0.16500000000000001</v>
      </c>
      <c r="DP61" s="359">
        <f t="shared" si="60"/>
        <v>0.16500000000000001</v>
      </c>
      <c r="DQ61" s="306">
        <f t="shared" si="35"/>
        <v>0.16500000000000001</v>
      </c>
      <c r="DR61" s="379">
        <f t="shared" si="36"/>
        <v>1</v>
      </c>
      <c r="DS61" s="378">
        <f t="shared" si="37"/>
        <v>0</v>
      </c>
      <c r="DT61" s="173">
        <v>74</v>
      </c>
      <c r="DU61" s="174" t="s">
        <v>283</v>
      </c>
      <c r="DV61" s="173"/>
      <c r="DW61" s="174" t="s">
        <v>84</v>
      </c>
      <c r="DX61" s="173"/>
      <c r="DY61" s="173"/>
      <c r="DZ61" s="173"/>
      <c r="EA61" s="665"/>
      <c r="EB61" s="1254" t="s">
        <v>2434</v>
      </c>
      <c r="EC61" s="537">
        <v>60000000</v>
      </c>
      <c r="EE61" s="734">
        <v>2</v>
      </c>
      <c r="EF61" s="706"/>
    </row>
    <row r="62" spans="4:136" s="302" customFormat="1" ht="132" hidden="1">
      <c r="D62" s="520">
        <v>59</v>
      </c>
      <c r="E62" s="534">
        <v>86</v>
      </c>
      <c r="F62" s="523" t="s">
        <v>43</v>
      </c>
      <c r="G62" s="523" t="s">
        <v>8</v>
      </c>
      <c r="H62" s="524" t="s">
        <v>2653</v>
      </c>
      <c r="I62" s="462" t="s">
        <v>187</v>
      </c>
      <c r="J62" s="335" t="s">
        <v>294</v>
      </c>
      <c r="K62" s="335" t="s">
        <v>295</v>
      </c>
      <c r="L62" s="454" t="s">
        <v>2009</v>
      </c>
      <c r="M62" s="333" t="s">
        <v>1771</v>
      </c>
      <c r="N62" s="333">
        <v>0</v>
      </c>
      <c r="O62" s="333">
        <f t="shared" si="59"/>
        <v>3000</v>
      </c>
      <c r="P62" s="332">
        <v>3000</v>
      </c>
      <c r="Q62" s="357">
        <v>0.25</v>
      </c>
      <c r="R62" s="342">
        <f t="shared" si="0"/>
        <v>4.8333333333333332E-2</v>
      </c>
      <c r="S62" s="459">
        <v>580</v>
      </c>
      <c r="T62" s="387">
        <f t="shared" si="43"/>
        <v>0.19333333333333333</v>
      </c>
      <c r="U62" s="670">
        <v>580</v>
      </c>
      <c r="V62" s="388">
        <f t="shared" si="44"/>
        <v>580</v>
      </c>
      <c r="W62" s="356">
        <f t="shared" si="45"/>
        <v>100</v>
      </c>
      <c r="X62" s="356">
        <f t="shared" si="4"/>
        <v>100</v>
      </c>
      <c r="Y62" s="356">
        <f t="shared" si="40"/>
        <v>4.8333333333333332E-2</v>
      </c>
      <c r="Z62" s="356">
        <f t="shared" si="6"/>
        <v>100</v>
      </c>
      <c r="AA62" s="313">
        <v>227000000</v>
      </c>
      <c r="AB62" s="313">
        <v>227000000</v>
      </c>
      <c r="AC62" s="313">
        <v>0</v>
      </c>
      <c r="AD62" s="313">
        <v>0</v>
      </c>
      <c r="AE62" s="313">
        <v>0</v>
      </c>
      <c r="AF62" s="313">
        <v>0</v>
      </c>
      <c r="AG62" s="313">
        <v>0</v>
      </c>
      <c r="AH62" s="313">
        <v>0</v>
      </c>
      <c r="AI62" s="313">
        <v>0</v>
      </c>
      <c r="AJ62" s="313">
        <v>0</v>
      </c>
      <c r="AK62" s="313">
        <v>0</v>
      </c>
      <c r="AL62" s="313">
        <v>0</v>
      </c>
      <c r="AM62" s="313">
        <v>0</v>
      </c>
      <c r="AN62" s="313">
        <v>0</v>
      </c>
      <c r="AO62" s="313">
        <v>0</v>
      </c>
      <c r="AP62" s="313">
        <v>0</v>
      </c>
      <c r="AQ62" s="313">
        <v>0</v>
      </c>
      <c r="AR62" s="313">
        <v>0</v>
      </c>
      <c r="AS62" s="313" t="s">
        <v>1798</v>
      </c>
      <c r="AT62" s="333">
        <f t="shared" si="7"/>
        <v>0.15</v>
      </c>
      <c r="AU62" s="333">
        <v>1800</v>
      </c>
      <c r="AV62" s="387">
        <f t="shared" si="46"/>
        <v>0.6</v>
      </c>
      <c r="AW62" s="677">
        <v>1800</v>
      </c>
      <c r="AX62" s="474">
        <f t="shared" si="47"/>
        <v>1800</v>
      </c>
      <c r="AY62" s="474">
        <f t="shared" si="48"/>
        <v>100</v>
      </c>
      <c r="AZ62" s="474">
        <f t="shared" si="11"/>
        <v>100</v>
      </c>
      <c r="BA62" s="356">
        <f t="shared" si="12"/>
        <v>0.15</v>
      </c>
      <c r="BB62" s="356">
        <f t="shared" si="13"/>
        <v>100</v>
      </c>
      <c r="BC62" s="313">
        <v>164000000</v>
      </c>
      <c r="BD62" s="313">
        <v>0</v>
      </c>
      <c r="BE62" s="313">
        <v>164000000</v>
      </c>
      <c r="BF62" s="313">
        <v>0</v>
      </c>
      <c r="BG62" s="313">
        <v>0</v>
      </c>
      <c r="BH62" s="313">
        <v>0</v>
      </c>
      <c r="BI62" s="313">
        <v>0</v>
      </c>
      <c r="BJ62" s="313">
        <v>0</v>
      </c>
      <c r="BK62" s="473">
        <v>564000000</v>
      </c>
      <c r="BL62" s="472">
        <v>564000000</v>
      </c>
      <c r="BM62" s="472">
        <v>0</v>
      </c>
      <c r="BN62" s="472">
        <v>0</v>
      </c>
      <c r="BO62" s="472">
        <v>0</v>
      </c>
      <c r="BP62" s="472">
        <v>0</v>
      </c>
      <c r="BQ62" s="472">
        <v>0</v>
      </c>
      <c r="BR62" s="472">
        <v>0</v>
      </c>
      <c r="BS62" s="472">
        <v>0</v>
      </c>
      <c r="BT62" s="472">
        <v>0</v>
      </c>
      <c r="BU62" s="472">
        <v>0</v>
      </c>
      <c r="BV62" s="342">
        <f t="shared" si="14"/>
        <v>3.3333333333333333E-2</v>
      </c>
      <c r="BW62" s="350">
        <v>400</v>
      </c>
      <c r="BX62" s="385">
        <f t="shared" si="49"/>
        <v>0.13333333333333333</v>
      </c>
      <c r="BY62" s="369">
        <v>400</v>
      </c>
      <c r="BZ62" s="391">
        <v>400</v>
      </c>
      <c r="CA62" s="689">
        <v>1575</v>
      </c>
      <c r="CB62" s="471">
        <f t="shared" si="50"/>
        <v>1575</v>
      </c>
      <c r="CC62" s="471">
        <f t="shared" si="51"/>
        <v>393.75</v>
      </c>
      <c r="CD62" s="470">
        <f t="shared" si="18"/>
        <v>100</v>
      </c>
      <c r="CE62" s="380">
        <f t="shared" si="19"/>
        <v>3.3333333333333333E-2</v>
      </c>
      <c r="CF62" s="469">
        <f t="shared" si="20"/>
        <v>100</v>
      </c>
      <c r="CG62" s="380">
        <f t="shared" si="21"/>
        <v>0.13125000000000001</v>
      </c>
      <c r="CH62" s="468">
        <f t="shared" si="22"/>
        <v>1.8333333333333333E-2</v>
      </c>
      <c r="CI62" s="319">
        <v>220</v>
      </c>
      <c r="CJ62" s="318">
        <f t="shared" si="52"/>
        <v>7.3333333333333334E-2</v>
      </c>
      <c r="CK62" s="1259">
        <v>1311</v>
      </c>
      <c r="CL62" s="301">
        <f t="shared" si="53"/>
        <v>-1091</v>
      </c>
      <c r="CM62" s="381">
        <f t="shared" si="54"/>
        <v>1311</v>
      </c>
      <c r="CN62" s="381">
        <f t="shared" si="55"/>
        <v>595.90909090909088</v>
      </c>
      <c r="CO62" s="316">
        <f t="shared" si="27"/>
        <v>100</v>
      </c>
      <c r="CP62" s="381">
        <f t="shared" si="28"/>
        <v>1.8333333333333333E-2</v>
      </c>
      <c r="CQ62" s="381">
        <f t="shared" si="29"/>
        <v>0.10924999999999999</v>
      </c>
      <c r="CR62" s="313">
        <v>378000000</v>
      </c>
      <c r="CS62" s="313">
        <v>378000000</v>
      </c>
      <c r="CT62" s="313">
        <v>0</v>
      </c>
      <c r="CU62" s="313">
        <v>0</v>
      </c>
      <c r="CV62" s="313">
        <v>0</v>
      </c>
      <c r="CW62" s="313">
        <v>0</v>
      </c>
      <c r="CX62" s="313">
        <v>0</v>
      </c>
      <c r="CY62" s="313">
        <v>0</v>
      </c>
      <c r="CZ62" s="380">
        <v>0</v>
      </c>
      <c r="DA62" s="380">
        <v>0</v>
      </c>
      <c r="DB62" s="380">
        <v>0</v>
      </c>
      <c r="DC62" s="380">
        <v>0</v>
      </c>
      <c r="DD62" s="380">
        <v>0</v>
      </c>
      <c r="DE62" s="380">
        <v>0</v>
      </c>
      <c r="DF62" s="380">
        <v>0</v>
      </c>
      <c r="DG62" s="380">
        <v>0</v>
      </c>
      <c r="DH62" s="380">
        <v>0</v>
      </c>
      <c r="DI62" s="380">
        <v>0</v>
      </c>
      <c r="DJ62" s="380">
        <v>0</v>
      </c>
      <c r="DK62" s="702">
        <f t="shared" si="56"/>
        <v>5266</v>
      </c>
      <c r="DL62" s="311">
        <f t="shared" si="31"/>
        <v>0.25</v>
      </c>
      <c r="DM62" s="310">
        <f t="shared" si="32"/>
        <v>175.53333333333333</v>
      </c>
      <c r="DN62" s="356">
        <f t="shared" si="33"/>
        <v>100</v>
      </c>
      <c r="DO62" s="308">
        <f t="shared" si="34"/>
        <v>0.25</v>
      </c>
      <c r="DP62" s="359">
        <f t="shared" si="60"/>
        <v>0.25</v>
      </c>
      <c r="DQ62" s="306">
        <f t="shared" si="35"/>
        <v>0.25</v>
      </c>
      <c r="DR62" s="379">
        <f t="shared" si="36"/>
        <v>1</v>
      </c>
      <c r="DS62" s="378">
        <f t="shared" si="37"/>
        <v>0</v>
      </c>
      <c r="DT62" s="173">
        <v>38</v>
      </c>
      <c r="DU62" s="174" t="s">
        <v>230</v>
      </c>
      <c r="DV62" s="173">
        <v>75</v>
      </c>
      <c r="DW62" s="174" t="s">
        <v>231</v>
      </c>
      <c r="DX62" s="173">
        <v>76</v>
      </c>
      <c r="DY62" s="173">
        <v>77</v>
      </c>
      <c r="DZ62" s="173"/>
      <c r="EA62" s="665"/>
      <c r="EB62" s="1254" t="s">
        <v>2494</v>
      </c>
      <c r="EC62" s="537">
        <v>300000000</v>
      </c>
      <c r="EE62" s="734">
        <v>1</v>
      </c>
      <c r="EF62" s="706"/>
    </row>
    <row r="63" spans="4:136" s="302" customFormat="1" ht="114.75" hidden="1">
      <c r="D63" s="520">
        <v>60</v>
      </c>
      <c r="E63" s="534">
        <v>87</v>
      </c>
      <c r="F63" s="523" t="s">
        <v>43</v>
      </c>
      <c r="G63" s="523" t="s">
        <v>8</v>
      </c>
      <c r="H63" s="524" t="s">
        <v>2653</v>
      </c>
      <c r="I63" s="462" t="s">
        <v>187</v>
      </c>
      <c r="J63" s="335" t="s">
        <v>296</v>
      </c>
      <c r="K63" s="335" t="s">
        <v>297</v>
      </c>
      <c r="L63" s="454" t="s">
        <v>1773</v>
      </c>
      <c r="M63" s="333" t="s">
        <v>1771</v>
      </c>
      <c r="N63" s="333">
        <v>138</v>
      </c>
      <c r="O63" s="333">
        <f t="shared" si="59"/>
        <v>488</v>
      </c>
      <c r="P63" s="332">
        <v>350</v>
      </c>
      <c r="Q63" s="357">
        <v>0.25</v>
      </c>
      <c r="R63" s="342">
        <f t="shared" si="0"/>
        <v>0</v>
      </c>
      <c r="S63" s="459">
        <v>0</v>
      </c>
      <c r="T63" s="387">
        <f t="shared" si="43"/>
        <v>0</v>
      </c>
      <c r="U63" s="670">
        <v>0</v>
      </c>
      <c r="V63" s="388">
        <f t="shared" si="44"/>
        <v>0</v>
      </c>
      <c r="W63" s="356">
        <f t="shared" si="45"/>
        <v>0</v>
      </c>
      <c r="X63" s="356">
        <f t="shared" si="4"/>
        <v>0</v>
      </c>
      <c r="Y63" s="356">
        <f t="shared" si="40"/>
        <v>0</v>
      </c>
      <c r="Z63" s="356">
        <f t="shared" si="6"/>
        <v>0</v>
      </c>
      <c r="AA63" s="313">
        <v>825000000</v>
      </c>
      <c r="AB63" s="313">
        <v>825000000</v>
      </c>
      <c r="AC63" s="313">
        <v>0</v>
      </c>
      <c r="AD63" s="313">
        <v>0</v>
      </c>
      <c r="AE63" s="313">
        <v>0</v>
      </c>
      <c r="AF63" s="313">
        <v>0</v>
      </c>
      <c r="AG63" s="313">
        <v>0</v>
      </c>
      <c r="AH63" s="313">
        <v>0</v>
      </c>
      <c r="AI63" s="313">
        <v>0</v>
      </c>
      <c r="AJ63" s="313">
        <v>0</v>
      </c>
      <c r="AK63" s="313">
        <v>0</v>
      </c>
      <c r="AL63" s="313">
        <v>0</v>
      </c>
      <c r="AM63" s="313">
        <v>0</v>
      </c>
      <c r="AN63" s="313">
        <v>0</v>
      </c>
      <c r="AO63" s="313">
        <v>0</v>
      </c>
      <c r="AP63" s="313">
        <v>0</v>
      </c>
      <c r="AQ63" s="313">
        <v>0</v>
      </c>
      <c r="AR63" s="313">
        <v>0</v>
      </c>
      <c r="AS63" s="313" t="s">
        <v>1798</v>
      </c>
      <c r="AT63" s="333">
        <f t="shared" si="7"/>
        <v>0</v>
      </c>
      <c r="AU63" s="333">
        <v>0</v>
      </c>
      <c r="AV63" s="387">
        <f t="shared" si="46"/>
        <v>0</v>
      </c>
      <c r="AW63" s="677">
        <v>0</v>
      </c>
      <c r="AX63" s="474">
        <f t="shared" si="47"/>
        <v>0</v>
      </c>
      <c r="AY63" s="474">
        <f t="shared" si="48"/>
        <v>0</v>
      </c>
      <c r="AZ63" s="474">
        <f t="shared" si="11"/>
        <v>0</v>
      </c>
      <c r="BA63" s="356">
        <f t="shared" si="12"/>
        <v>0</v>
      </c>
      <c r="BB63" s="356">
        <f t="shared" si="13"/>
        <v>0</v>
      </c>
      <c r="BC63" s="313">
        <v>220000000</v>
      </c>
      <c r="BD63" s="313">
        <v>0</v>
      </c>
      <c r="BE63" s="313">
        <v>220000000</v>
      </c>
      <c r="BF63" s="313">
        <v>0</v>
      </c>
      <c r="BG63" s="313">
        <v>0</v>
      </c>
      <c r="BH63" s="313">
        <v>0</v>
      </c>
      <c r="BI63" s="313">
        <v>0</v>
      </c>
      <c r="BJ63" s="313">
        <v>0</v>
      </c>
      <c r="BK63" s="473">
        <v>9539956048</v>
      </c>
      <c r="BL63" s="472">
        <v>175680000</v>
      </c>
      <c r="BM63" s="472">
        <v>0</v>
      </c>
      <c r="BN63" s="472">
        <v>0</v>
      </c>
      <c r="BO63" s="472">
        <v>0</v>
      </c>
      <c r="BP63" s="472">
        <v>9364276048</v>
      </c>
      <c r="BQ63" s="472">
        <v>0</v>
      </c>
      <c r="BR63" s="472">
        <v>0</v>
      </c>
      <c r="BS63" s="472">
        <v>0</v>
      </c>
      <c r="BT63" s="472">
        <v>0</v>
      </c>
      <c r="BU63" s="472">
        <v>0</v>
      </c>
      <c r="BV63" s="342">
        <f t="shared" si="14"/>
        <v>0.13500000000000001</v>
      </c>
      <c r="BW63" s="350">
        <v>189</v>
      </c>
      <c r="BX63" s="385">
        <f t="shared" si="49"/>
        <v>0.54</v>
      </c>
      <c r="BY63" s="369">
        <v>189</v>
      </c>
      <c r="BZ63" s="391">
        <v>189</v>
      </c>
      <c r="CA63" s="689">
        <v>793</v>
      </c>
      <c r="CB63" s="471">
        <f t="shared" si="50"/>
        <v>793</v>
      </c>
      <c r="CC63" s="471">
        <f t="shared" si="51"/>
        <v>419.5767195767196</v>
      </c>
      <c r="CD63" s="470">
        <f t="shared" si="18"/>
        <v>100</v>
      </c>
      <c r="CE63" s="380">
        <f t="shared" si="19"/>
        <v>0.13500000000000001</v>
      </c>
      <c r="CF63" s="469">
        <f t="shared" si="20"/>
        <v>100</v>
      </c>
      <c r="CG63" s="380">
        <f t="shared" si="21"/>
        <v>0.5664285714285715</v>
      </c>
      <c r="CH63" s="468">
        <f t="shared" si="22"/>
        <v>0.115</v>
      </c>
      <c r="CI63" s="319">
        <v>161</v>
      </c>
      <c r="CJ63" s="318">
        <f t="shared" si="52"/>
        <v>0.46</v>
      </c>
      <c r="CK63" s="1259">
        <v>0</v>
      </c>
      <c r="CL63" s="301">
        <f t="shared" si="53"/>
        <v>161</v>
      </c>
      <c r="CM63" s="381">
        <f t="shared" si="54"/>
        <v>0</v>
      </c>
      <c r="CN63" s="381">
        <f t="shared" si="55"/>
        <v>0</v>
      </c>
      <c r="CO63" s="316">
        <f t="shared" si="27"/>
        <v>0</v>
      </c>
      <c r="CP63" s="381">
        <f t="shared" si="28"/>
        <v>0</v>
      </c>
      <c r="CQ63" s="381">
        <f t="shared" si="29"/>
        <v>0</v>
      </c>
      <c r="CR63" s="313">
        <v>293000000</v>
      </c>
      <c r="CS63" s="313">
        <v>293000000</v>
      </c>
      <c r="CT63" s="313">
        <v>0</v>
      </c>
      <c r="CU63" s="313">
        <v>0</v>
      </c>
      <c r="CV63" s="313">
        <v>0</v>
      </c>
      <c r="CW63" s="313">
        <v>0</v>
      </c>
      <c r="CX63" s="313">
        <v>0</v>
      </c>
      <c r="CY63" s="313">
        <v>0</v>
      </c>
      <c r="CZ63" s="380">
        <v>0</v>
      </c>
      <c r="DA63" s="380">
        <v>0</v>
      </c>
      <c r="DB63" s="380">
        <v>0</v>
      </c>
      <c r="DC63" s="380">
        <v>0</v>
      </c>
      <c r="DD63" s="380">
        <v>0</v>
      </c>
      <c r="DE63" s="380">
        <v>0</v>
      </c>
      <c r="DF63" s="380">
        <v>0</v>
      </c>
      <c r="DG63" s="380">
        <v>0</v>
      </c>
      <c r="DH63" s="380">
        <v>0</v>
      </c>
      <c r="DI63" s="380">
        <v>0</v>
      </c>
      <c r="DJ63" s="380">
        <v>0</v>
      </c>
      <c r="DK63" s="702">
        <f t="shared" si="56"/>
        <v>793</v>
      </c>
      <c r="DL63" s="311">
        <f t="shared" si="31"/>
        <v>0.25</v>
      </c>
      <c r="DM63" s="310">
        <f t="shared" si="32"/>
        <v>226.57142857142858</v>
      </c>
      <c r="DN63" s="356">
        <f t="shared" si="33"/>
        <v>100</v>
      </c>
      <c r="DO63" s="308">
        <f t="shared" si="34"/>
        <v>0.25</v>
      </c>
      <c r="DP63" s="359">
        <f t="shared" si="60"/>
        <v>0.25</v>
      </c>
      <c r="DQ63" s="306">
        <f t="shared" si="35"/>
        <v>0.25</v>
      </c>
      <c r="DR63" s="379">
        <f t="shared" si="36"/>
        <v>1</v>
      </c>
      <c r="DS63" s="378">
        <f t="shared" si="37"/>
        <v>0</v>
      </c>
      <c r="DT63" s="173">
        <v>77</v>
      </c>
      <c r="DU63" s="174" t="s">
        <v>130</v>
      </c>
      <c r="DV63" s="173"/>
      <c r="DW63" s="174" t="s">
        <v>84</v>
      </c>
      <c r="DX63" s="173"/>
      <c r="DY63" s="173"/>
      <c r="DZ63" s="173"/>
      <c r="EA63" s="665"/>
      <c r="EB63" s="1254" t="s">
        <v>2495</v>
      </c>
      <c r="EC63" s="537">
        <v>200000000</v>
      </c>
      <c r="EE63" s="734">
        <v>1</v>
      </c>
      <c r="EF63" s="706"/>
    </row>
    <row r="64" spans="4:136" s="302" customFormat="1" ht="178.5" hidden="1">
      <c r="D64" s="520">
        <v>61</v>
      </c>
      <c r="E64" s="534">
        <v>88</v>
      </c>
      <c r="F64" s="336" t="s">
        <v>43</v>
      </c>
      <c r="G64" s="336" t="s">
        <v>8</v>
      </c>
      <c r="H64" s="336" t="s">
        <v>2653</v>
      </c>
      <c r="I64" s="336" t="s">
        <v>187</v>
      </c>
      <c r="J64" s="335" t="s">
        <v>1256</v>
      </c>
      <c r="K64" s="335" t="s">
        <v>298</v>
      </c>
      <c r="L64" s="454" t="s">
        <v>1793</v>
      </c>
      <c r="M64" s="333" t="s">
        <v>1771</v>
      </c>
      <c r="N64" s="333">
        <v>0</v>
      </c>
      <c r="O64" s="333">
        <f t="shared" si="59"/>
        <v>80</v>
      </c>
      <c r="P64" s="332">
        <v>80</v>
      </c>
      <c r="Q64" s="478">
        <v>0.25</v>
      </c>
      <c r="R64" s="342">
        <f t="shared" si="0"/>
        <v>0</v>
      </c>
      <c r="S64" s="459">
        <v>0</v>
      </c>
      <c r="T64" s="387">
        <f t="shared" si="43"/>
        <v>0</v>
      </c>
      <c r="U64" s="670">
        <v>0</v>
      </c>
      <c r="V64" s="388">
        <f t="shared" si="44"/>
        <v>0</v>
      </c>
      <c r="W64" s="356">
        <f t="shared" si="45"/>
        <v>0</v>
      </c>
      <c r="X64" s="356">
        <f t="shared" si="4"/>
        <v>0</v>
      </c>
      <c r="Y64" s="356">
        <f t="shared" si="40"/>
        <v>0</v>
      </c>
      <c r="Z64" s="356">
        <f t="shared" si="6"/>
        <v>0</v>
      </c>
      <c r="AA64" s="313">
        <v>108000000</v>
      </c>
      <c r="AB64" s="313">
        <v>108000000</v>
      </c>
      <c r="AC64" s="313">
        <v>0</v>
      </c>
      <c r="AD64" s="313">
        <v>0</v>
      </c>
      <c r="AE64" s="313">
        <v>0</v>
      </c>
      <c r="AF64" s="313">
        <v>0</v>
      </c>
      <c r="AG64" s="313">
        <v>0</v>
      </c>
      <c r="AH64" s="313">
        <v>0</v>
      </c>
      <c r="AI64" s="313">
        <v>0</v>
      </c>
      <c r="AJ64" s="313">
        <v>0</v>
      </c>
      <c r="AK64" s="313">
        <v>0</v>
      </c>
      <c r="AL64" s="313">
        <v>0</v>
      </c>
      <c r="AM64" s="313">
        <v>0</v>
      </c>
      <c r="AN64" s="313">
        <v>0</v>
      </c>
      <c r="AO64" s="313">
        <v>0</v>
      </c>
      <c r="AP64" s="313">
        <v>0</v>
      </c>
      <c r="AQ64" s="313">
        <v>0</v>
      </c>
      <c r="AR64" s="313">
        <v>0</v>
      </c>
      <c r="AS64" s="313" t="s">
        <v>1798</v>
      </c>
      <c r="AT64" s="392">
        <f t="shared" si="7"/>
        <v>0.1</v>
      </c>
      <c r="AU64" s="333">
        <v>32</v>
      </c>
      <c r="AV64" s="387">
        <f t="shared" si="46"/>
        <v>0.4</v>
      </c>
      <c r="AW64" s="677">
        <v>32</v>
      </c>
      <c r="AX64" s="474">
        <f t="shared" si="47"/>
        <v>32</v>
      </c>
      <c r="AY64" s="474">
        <f t="shared" si="48"/>
        <v>100</v>
      </c>
      <c r="AZ64" s="474">
        <f t="shared" si="11"/>
        <v>100</v>
      </c>
      <c r="BA64" s="356">
        <f t="shared" si="12"/>
        <v>0.1</v>
      </c>
      <c r="BB64" s="356">
        <f t="shared" si="13"/>
        <v>100</v>
      </c>
      <c r="BC64" s="313">
        <v>78000000</v>
      </c>
      <c r="BD64" s="313">
        <v>0</v>
      </c>
      <c r="BE64" s="313">
        <v>78000000</v>
      </c>
      <c r="BF64" s="313">
        <v>0</v>
      </c>
      <c r="BG64" s="313">
        <v>0</v>
      </c>
      <c r="BH64" s="313">
        <v>0</v>
      </c>
      <c r="BI64" s="313">
        <v>0</v>
      </c>
      <c r="BJ64" s="313">
        <v>0</v>
      </c>
      <c r="BK64" s="473">
        <v>77999991</v>
      </c>
      <c r="BL64" s="472">
        <v>77999991</v>
      </c>
      <c r="BM64" s="472">
        <v>0</v>
      </c>
      <c r="BN64" s="472">
        <v>0</v>
      </c>
      <c r="BO64" s="472">
        <v>0</v>
      </c>
      <c r="BP64" s="472">
        <v>0</v>
      </c>
      <c r="BQ64" s="472">
        <v>0</v>
      </c>
      <c r="BR64" s="472">
        <v>0</v>
      </c>
      <c r="BS64" s="472">
        <v>0</v>
      </c>
      <c r="BT64" s="472">
        <v>5200000</v>
      </c>
      <c r="BU64" s="472" t="s">
        <v>1600</v>
      </c>
      <c r="BV64" s="342">
        <f t="shared" si="14"/>
        <v>3.7499999999999999E-2</v>
      </c>
      <c r="BW64" s="350">
        <v>12</v>
      </c>
      <c r="BX64" s="385">
        <f t="shared" si="49"/>
        <v>0.15</v>
      </c>
      <c r="BY64" s="369">
        <v>0</v>
      </c>
      <c r="BZ64" s="391">
        <v>12</v>
      </c>
      <c r="CA64" s="689">
        <v>10</v>
      </c>
      <c r="CB64" s="471">
        <f t="shared" si="50"/>
        <v>10</v>
      </c>
      <c r="CC64" s="471">
        <f t="shared" si="51"/>
        <v>83.333333333333329</v>
      </c>
      <c r="CD64" s="470">
        <f t="shared" si="18"/>
        <v>83.333333333333329</v>
      </c>
      <c r="CE64" s="380">
        <f t="shared" si="19"/>
        <v>3.1249999999999997E-2</v>
      </c>
      <c r="CF64" s="469">
        <f t="shared" si="20"/>
        <v>83.333333333333329</v>
      </c>
      <c r="CG64" s="380">
        <f t="shared" si="21"/>
        <v>3.1249999999999997E-2</v>
      </c>
      <c r="CH64" s="468">
        <f t="shared" si="22"/>
        <v>0.1125</v>
      </c>
      <c r="CI64" s="319">
        <v>36</v>
      </c>
      <c r="CJ64" s="318">
        <f t="shared" si="52"/>
        <v>0.45</v>
      </c>
      <c r="CK64" s="1259">
        <v>74</v>
      </c>
      <c r="CL64" s="301">
        <f t="shared" si="53"/>
        <v>-38</v>
      </c>
      <c r="CM64" s="381">
        <f t="shared" si="54"/>
        <v>74</v>
      </c>
      <c r="CN64" s="381">
        <f t="shared" si="55"/>
        <v>205.55555555555554</v>
      </c>
      <c r="CO64" s="316">
        <f t="shared" si="27"/>
        <v>100</v>
      </c>
      <c r="CP64" s="381">
        <f t="shared" si="28"/>
        <v>0.1125</v>
      </c>
      <c r="CQ64" s="381">
        <f t="shared" si="29"/>
        <v>0.23125000000000001</v>
      </c>
      <c r="CR64" s="313">
        <v>180000000</v>
      </c>
      <c r="CS64" s="313">
        <v>180000000</v>
      </c>
      <c r="CT64" s="313">
        <v>0</v>
      </c>
      <c r="CU64" s="313">
        <v>0</v>
      </c>
      <c r="CV64" s="313">
        <v>0</v>
      </c>
      <c r="CW64" s="313">
        <v>0</v>
      </c>
      <c r="CX64" s="313">
        <v>0</v>
      </c>
      <c r="CY64" s="313">
        <v>0</v>
      </c>
      <c r="CZ64" s="380">
        <v>0</v>
      </c>
      <c r="DA64" s="380">
        <v>0</v>
      </c>
      <c r="DB64" s="380">
        <v>0</v>
      </c>
      <c r="DC64" s="380">
        <v>0</v>
      </c>
      <c r="DD64" s="380">
        <v>0</v>
      </c>
      <c r="DE64" s="380">
        <v>0</v>
      </c>
      <c r="DF64" s="380">
        <v>0</v>
      </c>
      <c r="DG64" s="380">
        <v>0</v>
      </c>
      <c r="DH64" s="380">
        <v>0</v>
      </c>
      <c r="DI64" s="380">
        <v>0</v>
      </c>
      <c r="DJ64" s="380">
        <v>0</v>
      </c>
      <c r="DK64" s="702">
        <f t="shared" si="56"/>
        <v>116</v>
      </c>
      <c r="DL64" s="311">
        <f t="shared" si="31"/>
        <v>0.25</v>
      </c>
      <c r="DM64" s="310">
        <f t="shared" si="32"/>
        <v>145</v>
      </c>
      <c r="DN64" s="356">
        <f t="shared" si="33"/>
        <v>100</v>
      </c>
      <c r="DO64" s="308">
        <f t="shared" si="34"/>
        <v>0.25</v>
      </c>
      <c r="DP64" s="359">
        <f t="shared" si="60"/>
        <v>0.25</v>
      </c>
      <c r="DQ64" s="306">
        <f t="shared" si="35"/>
        <v>0.25</v>
      </c>
      <c r="DR64" s="379">
        <f t="shared" si="36"/>
        <v>1</v>
      </c>
      <c r="DS64" s="378">
        <f t="shared" si="37"/>
        <v>0</v>
      </c>
      <c r="DT64" s="173">
        <v>77</v>
      </c>
      <c r="DU64" s="174" t="s">
        <v>130</v>
      </c>
      <c r="DV64" s="173"/>
      <c r="DW64" s="174" t="s">
        <v>84</v>
      </c>
      <c r="DX64" s="173"/>
      <c r="DY64" s="173"/>
      <c r="DZ64" s="173"/>
      <c r="EA64" s="665"/>
      <c r="EB64" s="1254" t="s">
        <v>2496</v>
      </c>
      <c r="EC64" s="537">
        <v>388000000</v>
      </c>
      <c r="EE64" s="734">
        <v>400000</v>
      </c>
      <c r="EF64" s="706"/>
    </row>
    <row r="65" spans="4:136" s="302" customFormat="1" ht="140.25" hidden="1">
      <c r="D65" s="520">
        <v>62</v>
      </c>
      <c r="E65" s="535">
        <v>89</v>
      </c>
      <c r="F65" s="525" t="s">
        <v>43</v>
      </c>
      <c r="G65" s="523" t="s">
        <v>8</v>
      </c>
      <c r="H65" s="524" t="s">
        <v>2653</v>
      </c>
      <c r="I65" s="462" t="s">
        <v>187</v>
      </c>
      <c r="J65" s="335" t="s">
        <v>299</v>
      </c>
      <c r="K65" s="335" t="s">
        <v>300</v>
      </c>
      <c r="L65" s="454" t="s">
        <v>1793</v>
      </c>
      <c r="M65" s="339" t="s">
        <v>1771</v>
      </c>
      <c r="N65" s="333">
        <v>0</v>
      </c>
      <c r="O65" s="333">
        <f t="shared" si="59"/>
        <v>15</v>
      </c>
      <c r="P65" s="332">
        <v>15</v>
      </c>
      <c r="Q65" s="357">
        <v>0.25</v>
      </c>
      <c r="R65" s="331">
        <f t="shared" si="0"/>
        <v>6.6666666666666666E-2</v>
      </c>
      <c r="S65" s="477">
        <v>4</v>
      </c>
      <c r="T65" s="328">
        <f t="shared" si="43"/>
        <v>0.26666666666666666</v>
      </c>
      <c r="U65" s="669">
        <v>4</v>
      </c>
      <c r="V65" s="376">
        <f t="shared" si="44"/>
        <v>4</v>
      </c>
      <c r="W65" s="309">
        <f t="shared" si="45"/>
        <v>100</v>
      </c>
      <c r="X65" s="309">
        <f t="shared" si="4"/>
        <v>100</v>
      </c>
      <c r="Y65" s="309">
        <f t="shared" si="40"/>
        <v>6.6666666666666666E-2</v>
      </c>
      <c r="Z65" s="309">
        <f t="shared" si="6"/>
        <v>100</v>
      </c>
      <c r="AA65" s="361">
        <v>725000000</v>
      </c>
      <c r="AB65" s="361">
        <v>725000000</v>
      </c>
      <c r="AC65" s="361">
        <v>0</v>
      </c>
      <c r="AD65" s="361">
        <v>0</v>
      </c>
      <c r="AE65" s="361">
        <v>0</v>
      </c>
      <c r="AF65" s="361">
        <v>0</v>
      </c>
      <c r="AG65" s="361">
        <v>0</v>
      </c>
      <c r="AH65" s="361">
        <v>0</v>
      </c>
      <c r="AI65" s="361">
        <v>818992000</v>
      </c>
      <c r="AJ65" s="361">
        <v>818992000</v>
      </c>
      <c r="AK65" s="361">
        <v>0</v>
      </c>
      <c r="AL65" s="361">
        <v>0</v>
      </c>
      <c r="AM65" s="361">
        <v>0</v>
      </c>
      <c r="AN65" s="361">
        <v>0</v>
      </c>
      <c r="AO65" s="361">
        <v>0</v>
      </c>
      <c r="AP65" s="361">
        <v>0</v>
      </c>
      <c r="AQ65" s="361">
        <v>0</v>
      </c>
      <c r="AR65" s="361">
        <v>0</v>
      </c>
      <c r="AS65" s="361" t="s">
        <v>1798</v>
      </c>
      <c r="AT65" s="339">
        <f t="shared" si="7"/>
        <v>0.05</v>
      </c>
      <c r="AU65" s="339">
        <v>3</v>
      </c>
      <c r="AV65" s="328">
        <f t="shared" si="46"/>
        <v>0.2</v>
      </c>
      <c r="AW65" s="678">
        <v>5</v>
      </c>
      <c r="AX65" s="1379">
        <f t="shared" si="47"/>
        <v>5</v>
      </c>
      <c r="AY65" s="1379">
        <f t="shared" si="48"/>
        <v>166.66666666666666</v>
      </c>
      <c r="AZ65" s="1379">
        <f t="shared" si="11"/>
        <v>100</v>
      </c>
      <c r="BA65" s="309">
        <f t="shared" si="12"/>
        <v>0.05</v>
      </c>
      <c r="BB65" s="309">
        <f t="shared" si="13"/>
        <v>100</v>
      </c>
      <c r="BC65" s="361">
        <v>524000000</v>
      </c>
      <c r="BD65" s="361">
        <v>0</v>
      </c>
      <c r="BE65" s="361">
        <v>524000000</v>
      </c>
      <c r="BF65" s="361">
        <v>0</v>
      </c>
      <c r="BG65" s="361">
        <v>0</v>
      </c>
      <c r="BH65" s="361">
        <v>0</v>
      </c>
      <c r="BI65" s="361">
        <v>0</v>
      </c>
      <c r="BJ65" s="361">
        <v>0</v>
      </c>
      <c r="BK65" s="1381">
        <v>495100000</v>
      </c>
      <c r="BL65" s="1382">
        <v>495100000</v>
      </c>
      <c r="BM65" s="1382">
        <v>0</v>
      </c>
      <c r="BN65" s="1382">
        <v>0</v>
      </c>
      <c r="BO65" s="1382">
        <v>0</v>
      </c>
      <c r="BP65" s="1382">
        <v>0</v>
      </c>
      <c r="BQ65" s="1382">
        <v>0</v>
      </c>
      <c r="BR65" s="1382">
        <v>0</v>
      </c>
      <c r="BS65" s="1382">
        <v>0</v>
      </c>
      <c r="BT65" s="1382">
        <v>3000000</v>
      </c>
      <c r="BU65" s="1382" t="s">
        <v>1600</v>
      </c>
      <c r="BV65" s="331">
        <f t="shared" si="14"/>
        <v>6.6666666666666666E-2</v>
      </c>
      <c r="BW65" s="326">
        <v>4</v>
      </c>
      <c r="BX65" s="325">
        <f t="shared" si="49"/>
        <v>0.26666666666666666</v>
      </c>
      <c r="BY65" s="769">
        <v>0</v>
      </c>
      <c r="BZ65" s="770">
        <v>0</v>
      </c>
      <c r="CA65" s="689">
        <v>6</v>
      </c>
      <c r="CB65" s="471">
        <f t="shared" si="50"/>
        <v>6</v>
      </c>
      <c r="CC65" s="471">
        <f t="shared" si="51"/>
        <v>150</v>
      </c>
      <c r="CD65" s="1393">
        <f t="shared" si="18"/>
        <v>100</v>
      </c>
      <c r="CE65" s="360">
        <f t="shared" si="19"/>
        <v>6.6666666666666666E-2</v>
      </c>
      <c r="CF65" s="1394">
        <f t="shared" si="20"/>
        <v>100</v>
      </c>
      <c r="CG65" s="360">
        <f t="shared" si="21"/>
        <v>0.1</v>
      </c>
      <c r="CH65" s="1395">
        <f t="shared" si="22"/>
        <v>6.6666666666666666E-2</v>
      </c>
      <c r="CI65" s="364">
        <v>4</v>
      </c>
      <c r="CJ65" s="363">
        <f t="shared" si="52"/>
        <v>0.26666666666666666</v>
      </c>
      <c r="CK65" s="1259">
        <v>0</v>
      </c>
      <c r="CL65" s="301">
        <f t="shared" si="53"/>
        <v>4</v>
      </c>
      <c r="CM65" s="362">
        <f t="shared" si="54"/>
        <v>0</v>
      </c>
      <c r="CN65" s="362">
        <f t="shared" si="55"/>
        <v>0</v>
      </c>
      <c r="CO65" s="316">
        <f t="shared" si="27"/>
        <v>0</v>
      </c>
      <c r="CP65" s="362">
        <f t="shared" si="28"/>
        <v>0</v>
      </c>
      <c r="CQ65" s="362">
        <f t="shared" si="29"/>
        <v>0</v>
      </c>
      <c r="CR65" s="361">
        <v>1209000000</v>
      </c>
      <c r="CS65" s="361">
        <v>1209000000</v>
      </c>
      <c r="CT65" s="361">
        <v>0</v>
      </c>
      <c r="CU65" s="361">
        <v>0</v>
      </c>
      <c r="CV65" s="361">
        <v>0</v>
      </c>
      <c r="CW65" s="361">
        <v>0</v>
      </c>
      <c r="CX65" s="361">
        <v>0</v>
      </c>
      <c r="CY65" s="361">
        <v>0</v>
      </c>
      <c r="CZ65" s="360">
        <v>0</v>
      </c>
      <c r="DA65" s="360">
        <v>0</v>
      </c>
      <c r="DB65" s="360">
        <v>0</v>
      </c>
      <c r="DC65" s="360">
        <v>0</v>
      </c>
      <c r="DD65" s="360">
        <v>0</v>
      </c>
      <c r="DE65" s="360">
        <v>0</v>
      </c>
      <c r="DF65" s="360">
        <v>0</v>
      </c>
      <c r="DG65" s="360">
        <v>0</v>
      </c>
      <c r="DH65" s="360">
        <v>0</v>
      </c>
      <c r="DI65" s="360">
        <v>0</v>
      </c>
      <c r="DJ65" s="360">
        <v>0</v>
      </c>
      <c r="DK65" s="702">
        <f t="shared" si="56"/>
        <v>15</v>
      </c>
      <c r="DL65" s="311">
        <f t="shared" si="31"/>
        <v>0.25</v>
      </c>
      <c r="DM65" s="310">
        <f t="shared" si="32"/>
        <v>100</v>
      </c>
      <c r="DN65" s="309">
        <f t="shared" si="33"/>
        <v>100</v>
      </c>
      <c r="DO65" s="308">
        <f t="shared" si="34"/>
        <v>0.25</v>
      </c>
      <c r="DP65" s="307">
        <f t="shared" si="60"/>
        <v>0.25</v>
      </c>
      <c r="DQ65" s="306">
        <f t="shared" si="35"/>
        <v>0.25</v>
      </c>
      <c r="DR65" s="305">
        <f t="shared" si="36"/>
        <v>1</v>
      </c>
      <c r="DS65" s="304">
        <f t="shared" si="37"/>
        <v>0</v>
      </c>
      <c r="DT65" s="173">
        <v>75</v>
      </c>
      <c r="DU65" s="174" t="s">
        <v>231</v>
      </c>
      <c r="DV65" s="173">
        <v>76</v>
      </c>
      <c r="DW65" s="174" t="s">
        <v>131</v>
      </c>
      <c r="DX65" s="173">
        <v>77</v>
      </c>
      <c r="DY65" s="173">
        <v>78</v>
      </c>
      <c r="DZ65" s="173"/>
      <c r="EA65" s="665"/>
      <c r="EB65" s="1254" t="s">
        <v>2435</v>
      </c>
      <c r="EC65" s="537">
        <v>100000000</v>
      </c>
      <c r="EE65" s="734">
        <v>0</v>
      </c>
      <c r="EF65" s="706"/>
    </row>
    <row r="66" spans="4:136" s="302" customFormat="1" ht="89.25" hidden="1">
      <c r="D66" s="520">
        <v>63</v>
      </c>
      <c r="E66" s="534">
        <v>90</v>
      </c>
      <c r="F66" s="336" t="s">
        <v>43</v>
      </c>
      <c r="G66" s="336" t="s">
        <v>8</v>
      </c>
      <c r="H66" s="336" t="s">
        <v>2653</v>
      </c>
      <c r="I66" s="336" t="s">
        <v>187</v>
      </c>
      <c r="J66" s="335" t="s">
        <v>1257</v>
      </c>
      <c r="K66" s="335" t="s">
        <v>301</v>
      </c>
      <c r="L66" s="454" t="s">
        <v>1793</v>
      </c>
      <c r="M66" s="333" t="s">
        <v>1771</v>
      </c>
      <c r="N66" s="333">
        <v>1</v>
      </c>
      <c r="O66" s="333">
        <f t="shared" si="59"/>
        <v>56</v>
      </c>
      <c r="P66" s="332">
        <v>55</v>
      </c>
      <c r="Q66" s="393">
        <v>0.33</v>
      </c>
      <c r="R66" s="342">
        <f t="shared" si="0"/>
        <v>0.29399999999999998</v>
      </c>
      <c r="S66" s="459">
        <v>49</v>
      </c>
      <c r="T66" s="387">
        <f t="shared" si="43"/>
        <v>0.89090909090909087</v>
      </c>
      <c r="U66" s="670">
        <v>49</v>
      </c>
      <c r="V66" s="388">
        <f t="shared" si="44"/>
        <v>49</v>
      </c>
      <c r="W66" s="356">
        <f t="shared" si="45"/>
        <v>100</v>
      </c>
      <c r="X66" s="356">
        <f t="shared" si="4"/>
        <v>100</v>
      </c>
      <c r="Y66" s="356">
        <f t="shared" si="40"/>
        <v>0.29399999999999998</v>
      </c>
      <c r="Z66" s="356">
        <f t="shared" si="6"/>
        <v>100</v>
      </c>
      <c r="AA66" s="313">
        <v>597000000</v>
      </c>
      <c r="AB66" s="313">
        <v>597000000</v>
      </c>
      <c r="AC66" s="313">
        <v>0</v>
      </c>
      <c r="AD66" s="313">
        <v>0</v>
      </c>
      <c r="AE66" s="313">
        <v>0</v>
      </c>
      <c r="AF66" s="313">
        <v>0</v>
      </c>
      <c r="AG66" s="313">
        <v>0</v>
      </c>
      <c r="AH66" s="313">
        <v>0</v>
      </c>
      <c r="AI66" s="313">
        <v>0</v>
      </c>
      <c r="AJ66" s="313">
        <v>0</v>
      </c>
      <c r="AK66" s="313">
        <v>0</v>
      </c>
      <c r="AL66" s="313">
        <v>0</v>
      </c>
      <c r="AM66" s="313">
        <v>0</v>
      </c>
      <c r="AN66" s="313">
        <v>0</v>
      </c>
      <c r="AO66" s="313">
        <v>0</v>
      </c>
      <c r="AP66" s="313">
        <v>0</v>
      </c>
      <c r="AQ66" s="313">
        <v>0</v>
      </c>
      <c r="AR66" s="313">
        <v>0</v>
      </c>
      <c r="AS66" s="313" t="s">
        <v>1798</v>
      </c>
      <c r="AT66" s="392">
        <f t="shared" si="7"/>
        <v>1.2E-2</v>
      </c>
      <c r="AU66" s="333">
        <v>2</v>
      </c>
      <c r="AV66" s="387">
        <f t="shared" si="46"/>
        <v>3.6363636363636362E-2</v>
      </c>
      <c r="AW66" s="677">
        <v>2</v>
      </c>
      <c r="AX66" s="474">
        <f t="shared" si="47"/>
        <v>2</v>
      </c>
      <c r="AY66" s="474">
        <f t="shared" si="48"/>
        <v>100</v>
      </c>
      <c r="AZ66" s="474">
        <f t="shared" si="11"/>
        <v>100</v>
      </c>
      <c r="BA66" s="356">
        <f t="shared" si="12"/>
        <v>1.2E-2</v>
      </c>
      <c r="BB66" s="356">
        <f t="shared" si="13"/>
        <v>100</v>
      </c>
      <c r="BC66" s="313">
        <v>431000000</v>
      </c>
      <c r="BD66" s="313">
        <v>0</v>
      </c>
      <c r="BE66" s="313">
        <v>431000000</v>
      </c>
      <c r="BF66" s="313">
        <v>0</v>
      </c>
      <c r="BG66" s="313">
        <v>0</v>
      </c>
      <c r="BH66" s="313">
        <v>0</v>
      </c>
      <c r="BI66" s="313">
        <v>0</v>
      </c>
      <c r="BJ66" s="313">
        <v>0</v>
      </c>
      <c r="BK66" s="473">
        <v>1213918980</v>
      </c>
      <c r="BL66" s="472">
        <v>1213918980</v>
      </c>
      <c r="BM66" s="472">
        <v>0</v>
      </c>
      <c r="BN66" s="472">
        <v>0</v>
      </c>
      <c r="BO66" s="472">
        <v>0</v>
      </c>
      <c r="BP66" s="472">
        <v>0</v>
      </c>
      <c r="BQ66" s="472">
        <v>0</v>
      </c>
      <c r="BR66" s="472">
        <v>0</v>
      </c>
      <c r="BS66" s="472">
        <v>0</v>
      </c>
      <c r="BT66" s="472">
        <v>0</v>
      </c>
      <c r="BU66" s="472">
        <v>0</v>
      </c>
      <c r="BV66" s="342">
        <f t="shared" si="14"/>
        <v>1.7999999999999999E-2</v>
      </c>
      <c r="BW66" s="350">
        <v>3</v>
      </c>
      <c r="BX66" s="385">
        <f t="shared" si="49"/>
        <v>5.4545454545454543E-2</v>
      </c>
      <c r="BY66" s="369">
        <v>72</v>
      </c>
      <c r="BZ66" s="391">
        <v>3</v>
      </c>
      <c r="CA66" s="689">
        <v>3</v>
      </c>
      <c r="CB66" s="471">
        <f t="shared" si="50"/>
        <v>3</v>
      </c>
      <c r="CC66" s="471">
        <f t="shared" si="51"/>
        <v>100</v>
      </c>
      <c r="CD66" s="470">
        <f t="shared" si="18"/>
        <v>100</v>
      </c>
      <c r="CE66" s="380">
        <f t="shared" si="19"/>
        <v>1.7999999999999999E-2</v>
      </c>
      <c r="CF66" s="469">
        <f t="shared" si="20"/>
        <v>100</v>
      </c>
      <c r="CG66" s="380">
        <f t="shared" si="21"/>
        <v>1.7999999999999999E-2</v>
      </c>
      <c r="CH66" s="468">
        <f t="shared" si="22"/>
        <v>6.0000000000000001E-3</v>
      </c>
      <c r="CI66" s="319">
        <v>1</v>
      </c>
      <c r="CJ66" s="318">
        <f t="shared" si="52"/>
        <v>1.8181818181818181E-2</v>
      </c>
      <c r="CK66" s="1259">
        <v>3</v>
      </c>
      <c r="CL66" s="301">
        <f t="shared" si="53"/>
        <v>-2</v>
      </c>
      <c r="CM66" s="381">
        <f t="shared" si="54"/>
        <v>3</v>
      </c>
      <c r="CN66" s="381">
        <f t="shared" si="55"/>
        <v>300</v>
      </c>
      <c r="CO66" s="316">
        <f t="shared" si="27"/>
        <v>100</v>
      </c>
      <c r="CP66" s="381">
        <f t="shared" si="28"/>
        <v>6.0000000000000001E-3</v>
      </c>
      <c r="CQ66" s="381">
        <f t="shared" si="29"/>
        <v>1.8000000000000002E-2</v>
      </c>
      <c r="CR66" s="313">
        <v>995000000</v>
      </c>
      <c r="CS66" s="313">
        <v>995000000</v>
      </c>
      <c r="CT66" s="313">
        <v>0</v>
      </c>
      <c r="CU66" s="313">
        <v>0</v>
      </c>
      <c r="CV66" s="313">
        <v>0</v>
      </c>
      <c r="CW66" s="313">
        <v>0</v>
      </c>
      <c r="CX66" s="313">
        <v>0</v>
      </c>
      <c r="CY66" s="313">
        <v>0</v>
      </c>
      <c r="CZ66" s="380">
        <v>0</v>
      </c>
      <c r="DA66" s="380">
        <v>0</v>
      </c>
      <c r="DB66" s="380">
        <v>0</v>
      </c>
      <c r="DC66" s="380">
        <v>0</v>
      </c>
      <c r="DD66" s="380">
        <v>0</v>
      </c>
      <c r="DE66" s="380">
        <v>0</v>
      </c>
      <c r="DF66" s="380">
        <v>0</v>
      </c>
      <c r="DG66" s="380">
        <v>0</v>
      </c>
      <c r="DH66" s="380">
        <v>0</v>
      </c>
      <c r="DI66" s="380">
        <v>0</v>
      </c>
      <c r="DJ66" s="380">
        <v>0</v>
      </c>
      <c r="DK66" s="702">
        <f t="shared" si="56"/>
        <v>57</v>
      </c>
      <c r="DL66" s="311">
        <f t="shared" si="31"/>
        <v>0.33</v>
      </c>
      <c r="DM66" s="310">
        <f t="shared" si="32"/>
        <v>103.63636363636364</v>
      </c>
      <c r="DN66" s="356">
        <f t="shared" si="33"/>
        <v>100</v>
      </c>
      <c r="DO66" s="308">
        <f t="shared" si="34"/>
        <v>0.33</v>
      </c>
      <c r="DP66" s="359">
        <f t="shared" si="60"/>
        <v>0.33</v>
      </c>
      <c r="DQ66" s="306">
        <f t="shared" si="35"/>
        <v>0.33</v>
      </c>
      <c r="DR66" s="379">
        <f t="shared" si="36"/>
        <v>1</v>
      </c>
      <c r="DS66" s="378">
        <f t="shared" si="37"/>
        <v>3.2959746043559335E-17</v>
      </c>
      <c r="DT66" s="173">
        <v>77</v>
      </c>
      <c r="DU66" s="174" t="s">
        <v>130</v>
      </c>
      <c r="DV66" s="173"/>
      <c r="DW66" s="174" t="s">
        <v>84</v>
      </c>
      <c r="DX66" s="173"/>
      <c r="DY66" s="173"/>
      <c r="DZ66" s="173"/>
      <c r="EA66" s="665"/>
      <c r="EB66" s="1254" t="s">
        <v>2608</v>
      </c>
      <c r="EC66" s="537">
        <v>100000000</v>
      </c>
      <c r="EE66" s="734">
        <v>2</v>
      </c>
      <c r="EF66" s="706"/>
    </row>
    <row r="67" spans="4:136" s="302" customFormat="1" ht="140.25" hidden="1">
      <c r="D67" s="520">
        <v>64</v>
      </c>
      <c r="E67" s="534">
        <v>91</v>
      </c>
      <c r="F67" s="523" t="s">
        <v>43</v>
      </c>
      <c r="G67" s="523" t="s">
        <v>8</v>
      </c>
      <c r="H67" s="524" t="s">
        <v>2653</v>
      </c>
      <c r="I67" s="462" t="s">
        <v>187</v>
      </c>
      <c r="J67" s="335" t="s">
        <v>302</v>
      </c>
      <c r="K67" s="335" t="s">
        <v>303</v>
      </c>
      <c r="L67" s="454" t="s">
        <v>1793</v>
      </c>
      <c r="M67" s="333" t="s">
        <v>1771</v>
      </c>
      <c r="N67" s="333">
        <v>33</v>
      </c>
      <c r="O67" s="333">
        <f t="shared" si="59"/>
        <v>105</v>
      </c>
      <c r="P67" s="332">
        <v>72</v>
      </c>
      <c r="Q67" s="390">
        <v>0.16500000000000001</v>
      </c>
      <c r="R67" s="342">
        <f t="shared" si="0"/>
        <v>4.1250000000000002E-2</v>
      </c>
      <c r="S67" s="459">
        <v>18</v>
      </c>
      <c r="T67" s="387">
        <f t="shared" si="43"/>
        <v>0.25</v>
      </c>
      <c r="U67" s="670">
        <v>0</v>
      </c>
      <c r="V67" s="388">
        <f t="shared" si="44"/>
        <v>0</v>
      </c>
      <c r="W67" s="356">
        <f t="shared" si="45"/>
        <v>0</v>
      </c>
      <c r="X67" s="356">
        <f t="shared" si="4"/>
        <v>0</v>
      </c>
      <c r="Y67" s="356">
        <f t="shared" si="40"/>
        <v>0</v>
      </c>
      <c r="Z67" s="356">
        <f t="shared" si="6"/>
        <v>0</v>
      </c>
      <c r="AA67" s="313">
        <v>0</v>
      </c>
      <c r="AB67" s="313">
        <v>0</v>
      </c>
      <c r="AC67" s="313">
        <v>0</v>
      </c>
      <c r="AD67" s="313">
        <v>0</v>
      </c>
      <c r="AE67" s="313">
        <v>0</v>
      </c>
      <c r="AF67" s="313">
        <v>0</v>
      </c>
      <c r="AG67" s="313">
        <v>0</v>
      </c>
      <c r="AH67" s="313">
        <v>0</v>
      </c>
      <c r="AI67" s="313">
        <v>0</v>
      </c>
      <c r="AJ67" s="313">
        <v>0</v>
      </c>
      <c r="AK67" s="313">
        <v>0</v>
      </c>
      <c r="AL67" s="313">
        <v>0</v>
      </c>
      <c r="AM67" s="313">
        <v>0</v>
      </c>
      <c r="AN67" s="313">
        <v>0</v>
      </c>
      <c r="AO67" s="313">
        <v>0</v>
      </c>
      <c r="AP67" s="313">
        <v>0</v>
      </c>
      <c r="AQ67" s="313">
        <v>0</v>
      </c>
      <c r="AR67" s="313">
        <v>0</v>
      </c>
      <c r="AS67" s="313" t="s">
        <v>1798</v>
      </c>
      <c r="AT67" s="333">
        <f t="shared" si="7"/>
        <v>4.1250000000000002E-2</v>
      </c>
      <c r="AU67" s="333">
        <v>18</v>
      </c>
      <c r="AV67" s="387">
        <f t="shared" si="46"/>
        <v>0.25</v>
      </c>
      <c r="AW67" s="677">
        <v>18</v>
      </c>
      <c r="AX67" s="474">
        <f t="shared" si="47"/>
        <v>18</v>
      </c>
      <c r="AY67" s="474">
        <f t="shared" si="48"/>
        <v>100</v>
      </c>
      <c r="AZ67" s="474">
        <f t="shared" si="11"/>
        <v>100</v>
      </c>
      <c r="BA67" s="356">
        <f t="shared" si="12"/>
        <v>4.1250000000000002E-2</v>
      </c>
      <c r="BB67" s="356">
        <f t="shared" si="13"/>
        <v>100</v>
      </c>
      <c r="BC67" s="313">
        <v>108000000</v>
      </c>
      <c r="BD67" s="313">
        <v>0</v>
      </c>
      <c r="BE67" s="313">
        <v>108000000</v>
      </c>
      <c r="BF67" s="313">
        <v>0</v>
      </c>
      <c r="BG67" s="313">
        <v>0</v>
      </c>
      <c r="BH67" s="313">
        <v>0</v>
      </c>
      <c r="BI67" s="313">
        <v>0</v>
      </c>
      <c r="BJ67" s="313">
        <v>0</v>
      </c>
      <c r="BK67" s="473">
        <v>21332960</v>
      </c>
      <c r="BL67" s="472">
        <v>21332960</v>
      </c>
      <c r="BM67" s="472">
        <v>0</v>
      </c>
      <c r="BN67" s="472">
        <v>0</v>
      </c>
      <c r="BO67" s="472">
        <v>0</v>
      </c>
      <c r="BP67" s="472">
        <v>0</v>
      </c>
      <c r="BQ67" s="472">
        <v>0</v>
      </c>
      <c r="BR67" s="472">
        <v>0</v>
      </c>
      <c r="BS67" s="472">
        <v>0</v>
      </c>
      <c r="BT67" s="472">
        <v>0</v>
      </c>
      <c r="BU67" s="472">
        <v>0</v>
      </c>
      <c r="BV67" s="342">
        <f t="shared" si="14"/>
        <v>4.1250000000000002E-2</v>
      </c>
      <c r="BW67" s="350">
        <v>18</v>
      </c>
      <c r="BX67" s="385">
        <f t="shared" si="49"/>
        <v>0.25</v>
      </c>
      <c r="BY67" s="369">
        <v>0</v>
      </c>
      <c r="BZ67" s="391">
        <v>12</v>
      </c>
      <c r="CA67" s="689">
        <v>49</v>
      </c>
      <c r="CB67" s="471">
        <f t="shared" si="50"/>
        <v>49</v>
      </c>
      <c r="CC67" s="471">
        <f t="shared" si="51"/>
        <v>272.22222222222223</v>
      </c>
      <c r="CD67" s="470">
        <f t="shared" si="18"/>
        <v>100</v>
      </c>
      <c r="CE67" s="380">
        <f t="shared" si="19"/>
        <v>4.1250000000000002E-2</v>
      </c>
      <c r="CF67" s="469">
        <f t="shared" si="20"/>
        <v>100</v>
      </c>
      <c r="CG67" s="380">
        <f t="shared" si="21"/>
        <v>0.11229166666666668</v>
      </c>
      <c r="CH67" s="468">
        <f t="shared" si="22"/>
        <v>4.1250000000000002E-2</v>
      </c>
      <c r="CI67" s="319">
        <v>18</v>
      </c>
      <c r="CJ67" s="318">
        <f t="shared" si="52"/>
        <v>0.25</v>
      </c>
      <c r="CK67" s="1259">
        <v>55</v>
      </c>
      <c r="CL67" s="301">
        <f t="shared" si="53"/>
        <v>-37</v>
      </c>
      <c r="CM67" s="381">
        <f t="shared" si="54"/>
        <v>55</v>
      </c>
      <c r="CN67" s="381">
        <f t="shared" si="55"/>
        <v>305.55555555555554</v>
      </c>
      <c r="CO67" s="316">
        <f t="shared" si="27"/>
        <v>100</v>
      </c>
      <c r="CP67" s="381">
        <f t="shared" si="28"/>
        <v>4.1250000000000002E-2</v>
      </c>
      <c r="CQ67" s="381">
        <f t="shared" si="29"/>
        <v>0.12604166666666666</v>
      </c>
      <c r="CR67" s="313">
        <v>249000000</v>
      </c>
      <c r="CS67" s="313">
        <v>249000000</v>
      </c>
      <c r="CT67" s="313">
        <v>0</v>
      </c>
      <c r="CU67" s="313">
        <v>0</v>
      </c>
      <c r="CV67" s="313">
        <v>0</v>
      </c>
      <c r="CW67" s="313">
        <v>0</v>
      </c>
      <c r="CX67" s="313">
        <v>0</v>
      </c>
      <c r="CY67" s="313">
        <v>0</v>
      </c>
      <c r="CZ67" s="380">
        <v>0</v>
      </c>
      <c r="DA67" s="380">
        <v>0</v>
      </c>
      <c r="DB67" s="380">
        <v>0</v>
      </c>
      <c r="DC67" s="380">
        <v>0</v>
      </c>
      <c r="DD67" s="380">
        <v>0</v>
      </c>
      <c r="DE67" s="380">
        <v>0</v>
      </c>
      <c r="DF67" s="380">
        <v>0</v>
      </c>
      <c r="DG67" s="380">
        <v>0</v>
      </c>
      <c r="DH67" s="380">
        <v>0</v>
      </c>
      <c r="DI67" s="380">
        <v>0</v>
      </c>
      <c r="DJ67" s="380">
        <v>0</v>
      </c>
      <c r="DK67" s="702">
        <f t="shared" si="56"/>
        <v>122</v>
      </c>
      <c r="DL67" s="311">
        <f t="shared" si="31"/>
        <v>0.16500000000000001</v>
      </c>
      <c r="DM67" s="310">
        <f t="shared" si="32"/>
        <v>169.44444444444446</v>
      </c>
      <c r="DN67" s="356">
        <f t="shared" si="33"/>
        <v>100</v>
      </c>
      <c r="DO67" s="308">
        <f t="shared" si="34"/>
        <v>0.16500000000000001</v>
      </c>
      <c r="DP67" s="359">
        <f t="shared" si="60"/>
        <v>0.16500000000000001</v>
      </c>
      <c r="DQ67" s="306">
        <f t="shared" si="35"/>
        <v>0.16500000000000001</v>
      </c>
      <c r="DR67" s="379">
        <f t="shared" si="36"/>
        <v>1</v>
      </c>
      <c r="DS67" s="378">
        <f t="shared" si="37"/>
        <v>0</v>
      </c>
      <c r="DT67" s="173">
        <v>37</v>
      </c>
      <c r="DU67" s="174" t="s">
        <v>135</v>
      </c>
      <c r="DV67" s="173">
        <v>75</v>
      </c>
      <c r="DW67" s="174" t="s">
        <v>231</v>
      </c>
      <c r="DX67" s="173">
        <v>76</v>
      </c>
      <c r="DY67" s="173">
        <v>77</v>
      </c>
      <c r="DZ67" s="173"/>
      <c r="EA67" s="665"/>
      <c r="EB67" s="1254" t="s">
        <v>2497</v>
      </c>
      <c r="EC67" s="537">
        <v>702000000</v>
      </c>
      <c r="EE67" s="734">
        <v>1</v>
      </c>
      <c r="EF67" s="706"/>
    </row>
    <row r="68" spans="4:136" s="302" customFormat="1" ht="153" hidden="1">
      <c r="D68" s="520">
        <v>65</v>
      </c>
      <c r="E68" s="534">
        <v>92</v>
      </c>
      <c r="F68" s="336" t="s">
        <v>43</v>
      </c>
      <c r="G68" s="336" t="s">
        <v>8</v>
      </c>
      <c r="H68" s="336" t="s">
        <v>2653</v>
      </c>
      <c r="I68" s="336" t="s">
        <v>187</v>
      </c>
      <c r="J68" s="335" t="s">
        <v>1258</v>
      </c>
      <c r="K68" s="335" t="s">
        <v>304</v>
      </c>
      <c r="L68" s="454" t="s">
        <v>1988</v>
      </c>
      <c r="M68" s="333" t="s">
        <v>1771</v>
      </c>
      <c r="N68" s="333">
        <v>0</v>
      </c>
      <c r="O68" s="333">
        <f t="shared" si="59"/>
        <v>2</v>
      </c>
      <c r="P68" s="332">
        <v>2</v>
      </c>
      <c r="Q68" s="393">
        <v>0.25</v>
      </c>
      <c r="R68" s="342">
        <f t="shared" si="0"/>
        <v>0</v>
      </c>
      <c r="S68" s="459">
        <v>0</v>
      </c>
      <c r="T68" s="387">
        <f t="shared" si="43"/>
        <v>0</v>
      </c>
      <c r="U68" s="670">
        <v>0</v>
      </c>
      <c r="V68" s="388">
        <f t="shared" si="44"/>
        <v>0</v>
      </c>
      <c r="W68" s="356">
        <f t="shared" si="45"/>
        <v>0</v>
      </c>
      <c r="X68" s="356">
        <f t="shared" si="4"/>
        <v>0</v>
      </c>
      <c r="Y68" s="356">
        <f t="shared" si="40"/>
        <v>0</v>
      </c>
      <c r="Z68" s="356">
        <f t="shared" si="6"/>
        <v>0</v>
      </c>
      <c r="AA68" s="313">
        <v>0</v>
      </c>
      <c r="AB68" s="313">
        <v>0</v>
      </c>
      <c r="AC68" s="313">
        <v>0</v>
      </c>
      <c r="AD68" s="313">
        <v>0</v>
      </c>
      <c r="AE68" s="313">
        <v>0</v>
      </c>
      <c r="AF68" s="313">
        <v>0</v>
      </c>
      <c r="AG68" s="313">
        <v>0</v>
      </c>
      <c r="AH68" s="313">
        <v>0</v>
      </c>
      <c r="AI68" s="313">
        <v>0</v>
      </c>
      <c r="AJ68" s="313">
        <v>0</v>
      </c>
      <c r="AK68" s="313">
        <v>0</v>
      </c>
      <c r="AL68" s="313">
        <v>0</v>
      </c>
      <c r="AM68" s="313">
        <v>0</v>
      </c>
      <c r="AN68" s="313">
        <v>0</v>
      </c>
      <c r="AO68" s="313">
        <v>0</v>
      </c>
      <c r="AP68" s="313">
        <v>0</v>
      </c>
      <c r="AQ68" s="313">
        <v>0</v>
      </c>
      <c r="AR68" s="313">
        <v>0</v>
      </c>
      <c r="AS68" s="313" t="s">
        <v>1798</v>
      </c>
      <c r="AT68" s="392">
        <f t="shared" si="7"/>
        <v>0.25</v>
      </c>
      <c r="AU68" s="333">
        <v>2</v>
      </c>
      <c r="AV68" s="387">
        <f t="shared" si="46"/>
        <v>1</v>
      </c>
      <c r="AW68" s="677">
        <v>3</v>
      </c>
      <c r="AX68" s="474">
        <f t="shared" si="47"/>
        <v>3</v>
      </c>
      <c r="AY68" s="474">
        <f t="shared" si="48"/>
        <v>150</v>
      </c>
      <c r="AZ68" s="474">
        <f t="shared" si="11"/>
        <v>100</v>
      </c>
      <c r="BA68" s="356">
        <f t="shared" si="12"/>
        <v>0.25</v>
      </c>
      <c r="BB68" s="356">
        <f t="shared" si="13"/>
        <v>100</v>
      </c>
      <c r="BC68" s="313">
        <v>280000000</v>
      </c>
      <c r="BD68" s="313">
        <v>0</v>
      </c>
      <c r="BE68" s="313">
        <v>280000000</v>
      </c>
      <c r="BF68" s="313">
        <v>0</v>
      </c>
      <c r="BG68" s="313">
        <v>0</v>
      </c>
      <c r="BH68" s="313">
        <v>0</v>
      </c>
      <c r="BI68" s="313">
        <v>0</v>
      </c>
      <c r="BJ68" s="313">
        <v>0</v>
      </c>
      <c r="BK68" s="473">
        <v>280000000</v>
      </c>
      <c r="BL68" s="472">
        <v>280000000</v>
      </c>
      <c r="BM68" s="472">
        <v>0</v>
      </c>
      <c r="BN68" s="472">
        <v>0</v>
      </c>
      <c r="BO68" s="472">
        <v>0</v>
      </c>
      <c r="BP68" s="472">
        <v>0</v>
      </c>
      <c r="BQ68" s="472">
        <v>0</v>
      </c>
      <c r="BR68" s="472">
        <v>0</v>
      </c>
      <c r="BS68" s="472">
        <v>0</v>
      </c>
      <c r="BT68" s="472">
        <v>25454540</v>
      </c>
      <c r="BU68" s="472" t="s">
        <v>2008</v>
      </c>
      <c r="BV68" s="342">
        <f t="shared" si="14"/>
        <v>0</v>
      </c>
      <c r="BW68" s="350">
        <v>0</v>
      </c>
      <c r="BX68" s="385">
        <f t="shared" si="49"/>
        <v>0</v>
      </c>
      <c r="BY68" s="369">
        <v>2</v>
      </c>
      <c r="BZ68" s="391">
        <v>2</v>
      </c>
      <c r="CA68" s="689">
        <v>2</v>
      </c>
      <c r="CB68" s="471">
        <f t="shared" si="50"/>
        <v>2</v>
      </c>
      <c r="CC68" s="471">
        <f t="shared" si="51"/>
        <v>0</v>
      </c>
      <c r="CD68" s="470">
        <f t="shared" si="18"/>
        <v>0</v>
      </c>
      <c r="CE68" s="380">
        <f t="shared" si="19"/>
        <v>0</v>
      </c>
      <c r="CF68" s="469">
        <f t="shared" si="20"/>
        <v>100</v>
      </c>
      <c r="CG68" s="380">
        <f t="shared" si="21"/>
        <v>0</v>
      </c>
      <c r="CH68" s="468">
        <f t="shared" si="22"/>
        <v>0</v>
      </c>
      <c r="CI68" s="319">
        <v>0</v>
      </c>
      <c r="CJ68" s="318">
        <f t="shared" si="52"/>
        <v>0</v>
      </c>
      <c r="CK68" s="1260">
        <v>1</v>
      </c>
      <c r="CL68" s="301">
        <f t="shared" si="53"/>
        <v>-1</v>
      </c>
      <c r="CM68" s="381">
        <f t="shared" si="54"/>
        <v>1</v>
      </c>
      <c r="CN68" s="381">
        <f t="shared" si="55"/>
        <v>0</v>
      </c>
      <c r="CO68" s="316">
        <f t="shared" si="27"/>
        <v>0</v>
      </c>
      <c r="CP68" s="381">
        <f t="shared" si="28"/>
        <v>0</v>
      </c>
      <c r="CQ68" s="381">
        <f t="shared" si="29"/>
        <v>0</v>
      </c>
      <c r="CR68" s="313">
        <v>0</v>
      </c>
      <c r="CS68" s="313">
        <v>0</v>
      </c>
      <c r="CT68" s="313">
        <v>0</v>
      </c>
      <c r="CU68" s="313">
        <v>0</v>
      </c>
      <c r="CV68" s="313">
        <v>0</v>
      </c>
      <c r="CW68" s="313">
        <v>0</v>
      </c>
      <c r="CX68" s="313">
        <v>0</v>
      </c>
      <c r="CY68" s="313">
        <v>0</v>
      </c>
      <c r="CZ68" s="380">
        <v>0</v>
      </c>
      <c r="DA68" s="380">
        <v>0</v>
      </c>
      <c r="DB68" s="380">
        <v>0</v>
      </c>
      <c r="DC68" s="380">
        <v>0</v>
      </c>
      <c r="DD68" s="380">
        <v>0</v>
      </c>
      <c r="DE68" s="380">
        <v>0</v>
      </c>
      <c r="DF68" s="380">
        <v>0</v>
      </c>
      <c r="DG68" s="380">
        <v>0</v>
      </c>
      <c r="DH68" s="380">
        <v>0</v>
      </c>
      <c r="DI68" s="380">
        <v>0</v>
      </c>
      <c r="DJ68" s="380">
        <v>0</v>
      </c>
      <c r="DK68" s="702">
        <f t="shared" si="56"/>
        <v>6</v>
      </c>
      <c r="DL68" s="311">
        <f t="shared" si="31"/>
        <v>0.25</v>
      </c>
      <c r="DM68" s="310">
        <f t="shared" si="32"/>
        <v>300</v>
      </c>
      <c r="DN68" s="356">
        <f t="shared" si="33"/>
        <v>100</v>
      </c>
      <c r="DO68" s="308">
        <f t="shared" si="34"/>
        <v>0.25</v>
      </c>
      <c r="DP68" s="359">
        <f t="shared" si="60"/>
        <v>0.25</v>
      </c>
      <c r="DQ68" s="306">
        <f t="shared" si="35"/>
        <v>0.25</v>
      </c>
      <c r="DR68" s="379">
        <f t="shared" si="36"/>
        <v>1</v>
      </c>
      <c r="DS68" s="378">
        <f t="shared" si="37"/>
        <v>0</v>
      </c>
      <c r="DT68" s="173">
        <v>77</v>
      </c>
      <c r="DU68" s="174" t="s">
        <v>130</v>
      </c>
      <c r="DV68" s="173"/>
      <c r="DW68" s="174" t="s">
        <v>84</v>
      </c>
      <c r="DX68" s="173"/>
      <c r="DY68" s="173"/>
      <c r="DZ68" s="173"/>
      <c r="EA68" s="665"/>
      <c r="EB68" s="1254" t="s">
        <v>2609</v>
      </c>
      <c r="EC68" s="537">
        <v>790000000</v>
      </c>
      <c r="EE68" s="734">
        <v>10</v>
      </c>
      <c r="EF68" s="706"/>
    </row>
    <row r="69" spans="4:136" s="302" customFormat="1" ht="84" hidden="1">
      <c r="D69" s="520">
        <v>66</v>
      </c>
      <c r="E69" s="534">
        <v>93</v>
      </c>
      <c r="F69" s="523" t="s">
        <v>43</v>
      </c>
      <c r="G69" s="523" t="s">
        <v>8</v>
      </c>
      <c r="H69" s="524" t="s">
        <v>2653</v>
      </c>
      <c r="I69" s="462" t="s">
        <v>187</v>
      </c>
      <c r="J69" s="335" t="s">
        <v>305</v>
      </c>
      <c r="K69" s="335" t="s">
        <v>306</v>
      </c>
      <c r="L69" s="453" t="s">
        <v>1947</v>
      </c>
      <c r="M69" s="333" t="s">
        <v>1785</v>
      </c>
      <c r="N69" s="333">
        <v>0</v>
      </c>
      <c r="O69" s="333">
        <f>+P69</f>
        <v>100</v>
      </c>
      <c r="P69" s="332">
        <v>100</v>
      </c>
      <c r="Q69" s="390">
        <v>0.25</v>
      </c>
      <c r="R69" s="342">
        <f t="shared" ref="R69:R132" si="61">+Q69*T69</f>
        <v>6.25E-2</v>
      </c>
      <c r="S69" s="459">
        <v>100</v>
      </c>
      <c r="T69" s="387">
        <f t="shared" ref="T69:T100" si="62">IF($M69="M",0.25,(IF($P69&gt;0,S69/$P69," ")))</f>
        <v>0.25</v>
      </c>
      <c r="U69" s="670">
        <v>100</v>
      </c>
      <c r="V69" s="388">
        <f t="shared" ref="V69:V100" si="63">+IF(M69="I",(+U69),IF(M69="M",(+U69)/4,))</f>
        <v>25</v>
      </c>
      <c r="W69" s="356">
        <f t="shared" ref="W69:W100" si="64">IF(S69=0,0,+U69*100/S69)</f>
        <v>100</v>
      </c>
      <c r="X69" s="356">
        <f t="shared" ref="X69:X132" si="65">+IF(W69&lt;100,W69,100)</f>
        <v>100</v>
      </c>
      <c r="Y69" s="356">
        <f t="shared" si="40"/>
        <v>6.25E-2</v>
      </c>
      <c r="Z69" s="356">
        <f t="shared" ref="Z69:Z132" si="66">+IF(U69&gt;S69,100,X69)</f>
        <v>100</v>
      </c>
      <c r="AA69" s="313">
        <v>0</v>
      </c>
      <c r="AB69" s="313">
        <v>0</v>
      </c>
      <c r="AC69" s="313">
        <v>0</v>
      </c>
      <c r="AD69" s="313">
        <v>0</v>
      </c>
      <c r="AE69" s="313">
        <v>0</v>
      </c>
      <c r="AF69" s="313">
        <v>0</v>
      </c>
      <c r="AG69" s="313">
        <v>0</v>
      </c>
      <c r="AH69" s="313">
        <v>0</v>
      </c>
      <c r="AI69" s="313">
        <v>0</v>
      </c>
      <c r="AJ69" s="313">
        <v>0</v>
      </c>
      <c r="AK69" s="313">
        <v>0</v>
      </c>
      <c r="AL69" s="313">
        <v>0</v>
      </c>
      <c r="AM69" s="313">
        <v>0</v>
      </c>
      <c r="AN69" s="313">
        <v>0</v>
      </c>
      <c r="AO69" s="313">
        <v>0</v>
      </c>
      <c r="AP69" s="313">
        <v>0</v>
      </c>
      <c r="AQ69" s="313">
        <v>0</v>
      </c>
      <c r="AR69" s="313">
        <v>0</v>
      </c>
      <c r="AS69" s="313" t="s">
        <v>1798</v>
      </c>
      <c r="AT69" s="333">
        <f t="shared" ref="AT69:AT132" si="67">+Q69*AV69</f>
        <v>6.25E-2</v>
      </c>
      <c r="AU69" s="333">
        <v>100</v>
      </c>
      <c r="AV69" s="387">
        <f t="shared" ref="AV69:AV100" si="68">IF($M69="M",0.25,(IF($P69&gt;0,AU69/$P69," ")))</f>
        <v>0.25</v>
      </c>
      <c r="AW69" s="677">
        <v>100</v>
      </c>
      <c r="AX69" s="474">
        <f t="shared" ref="AX69:AX100" si="69">+IF(M69="I",(+AW69),IF(M69="M",(+AW69)/4,))</f>
        <v>25</v>
      </c>
      <c r="AY69" s="474">
        <f t="shared" ref="AY69:AY100" si="70">IF(AU69=0,0,+AW69*100/AU69)</f>
        <v>100</v>
      </c>
      <c r="AZ69" s="474">
        <f t="shared" ref="AZ69:AZ132" si="71">+IF(AY69&lt;100,AY69,100)</f>
        <v>100</v>
      </c>
      <c r="BA69" s="356">
        <f t="shared" ref="BA69:BA132" si="72">+(AZ69*AT69)/100</f>
        <v>6.25E-2</v>
      </c>
      <c r="BB69" s="356">
        <f t="shared" ref="BB69:BB132" si="73">+IF(AW69&gt;AU69,100,AZ69)</f>
        <v>100</v>
      </c>
      <c r="BC69" s="313">
        <v>160000000</v>
      </c>
      <c r="BD69" s="313">
        <v>0</v>
      </c>
      <c r="BE69" s="313">
        <v>160000000</v>
      </c>
      <c r="BF69" s="313">
        <v>0</v>
      </c>
      <c r="BG69" s="313">
        <v>0</v>
      </c>
      <c r="BH69" s="313">
        <v>0</v>
      </c>
      <c r="BI69" s="313">
        <v>0</v>
      </c>
      <c r="BJ69" s="313">
        <v>0</v>
      </c>
      <c r="BK69" s="473">
        <v>160000000</v>
      </c>
      <c r="BL69" s="472">
        <v>160000000</v>
      </c>
      <c r="BM69" s="472">
        <v>0</v>
      </c>
      <c r="BN69" s="472">
        <v>0</v>
      </c>
      <c r="BO69" s="472">
        <v>0</v>
      </c>
      <c r="BP69" s="472">
        <v>0</v>
      </c>
      <c r="BQ69" s="472">
        <v>0</v>
      </c>
      <c r="BR69" s="472">
        <v>0</v>
      </c>
      <c r="BS69" s="472">
        <v>0</v>
      </c>
      <c r="BT69" s="472">
        <v>0</v>
      </c>
      <c r="BU69" s="472">
        <v>0</v>
      </c>
      <c r="BV69" s="342">
        <f t="shared" ref="BV69:BV132" si="74">+Q69*BX69</f>
        <v>6.25E-2</v>
      </c>
      <c r="BW69" s="350">
        <v>100</v>
      </c>
      <c r="BX69" s="385">
        <f t="shared" ref="BX69:BX100" si="75">IF($M69="M",0.25,(IF($P69&gt;0,BW69/$P69," ")))</f>
        <v>0.25</v>
      </c>
      <c r="BY69" s="369">
        <v>100</v>
      </c>
      <c r="BZ69" s="391">
        <v>100</v>
      </c>
      <c r="CA69" s="689">
        <v>100</v>
      </c>
      <c r="CB69" s="471">
        <f t="shared" ref="CB69:CB100" si="76">+IF(M69="I",(+CA69),IF(M69="M",(+CA69)/4,))</f>
        <v>25</v>
      </c>
      <c r="CC69" s="471">
        <f t="shared" ref="CC69:CC100" si="77">IF(BW69=0,0,+CA69*100/BW69)</f>
        <v>100</v>
      </c>
      <c r="CD69" s="470">
        <f t="shared" ref="CD69:CD132" si="78">+IF(CC69&lt;100,CC69,100)</f>
        <v>100</v>
      </c>
      <c r="CE69" s="380">
        <f t="shared" ref="CE69:CE132" si="79">+(CD69*BV69)/100</f>
        <v>6.25E-2</v>
      </c>
      <c r="CF69" s="469">
        <f t="shared" ref="CF69:CF132" si="80">+IF(BZ69&gt;BW69,100,CD69)</f>
        <v>100</v>
      </c>
      <c r="CG69" s="380">
        <f t="shared" ref="CG69:CG132" si="81">(CC69*BV69)/100</f>
        <v>6.25E-2</v>
      </c>
      <c r="CH69" s="468">
        <f t="shared" ref="CH69:CH132" si="82">+Q69*CJ69</f>
        <v>6.25E-2</v>
      </c>
      <c r="CI69" s="319">
        <v>100</v>
      </c>
      <c r="CJ69" s="318">
        <f t="shared" ref="CJ69:CJ100" si="83">IF($M69="M",0.25,(IF($P69&gt;0,CI69/$P69," ")))</f>
        <v>0.25</v>
      </c>
      <c r="CK69" s="1259">
        <v>100</v>
      </c>
      <c r="CL69" s="301">
        <f t="shared" ref="CL69:CL100" si="84">+CI69-CK69</f>
        <v>0</v>
      </c>
      <c r="CM69" s="381">
        <f t="shared" ref="CM69:CM100" si="85">+IF(M69="I",(+CK69),IF(M69="M",(+CK69)/4,))</f>
        <v>25</v>
      </c>
      <c r="CN69" s="381">
        <f t="shared" ref="CN69:CN100" si="86">IF(CI69=0,0,+CK69*100/CI69)</f>
        <v>100</v>
      </c>
      <c r="CO69" s="381">
        <f t="shared" ref="CO69:CO132" si="87">+IF(CN69&lt;100,CN69,100)</f>
        <v>100</v>
      </c>
      <c r="CP69" s="381">
        <f t="shared" ref="CP69:CP132" si="88">+(CO69*CH69)/100</f>
        <v>6.25E-2</v>
      </c>
      <c r="CQ69" s="381">
        <f t="shared" ref="CQ69:CQ132" si="89">+(CN69*CH69)/100</f>
        <v>6.25E-2</v>
      </c>
      <c r="CR69" s="313">
        <v>368000000</v>
      </c>
      <c r="CS69" s="313">
        <v>368000000</v>
      </c>
      <c r="CT69" s="313">
        <v>0</v>
      </c>
      <c r="CU69" s="313">
        <v>0</v>
      </c>
      <c r="CV69" s="313">
        <v>0</v>
      </c>
      <c r="CW69" s="313">
        <v>0</v>
      </c>
      <c r="CX69" s="313">
        <v>0</v>
      </c>
      <c r="CY69" s="313">
        <v>0</v>
      </c>
      <c r="CZ69" s="380">
        <v>0</v>
      </c>
      <c r="DA69" s="380">
        <v>0</v>
      </c>
      <c r="DB69" s="380">
        <v>0</v>
      </c>
      <c r="DC69" s="380">
        <v>0</v>
      </c>
      <c r="DD69" s="380">
        <v>0</v>
      </c>
      <c r="DE69" s="380">
        <v>0</v>
      </c>
      <c r="DF69" s="380">
        <v>0</v>
      </c>
      <c r="DG69" s="380">
        <v>0</v>
      </c>
      <c r="DH69" s="380">
        <v>0</v>
      </c>
      <c r="DI69" s="380">
        <v>0</v>
      </c>
      <c r="DJ69" s="380">
        <v>0</v>
      </c>
      <c r="DK69" s="702">
        <f t="shared" ref="DK69:DK100" si="90">+IF(M69="I",(+U69+AW69+CA69+CK69),IF(M69="M",(+U69+AW69+CA69+CK69)/4,))</f>
        <v>100</v>
      </c>
      <c r="DL69" s="311">
        <f t="shared" ref="DL69:DL132" si="91">+R69+AT69+BV69+CH69</f>
        <v>0.25</v>
      </c>
      <c r="DM69" s="310">
        <f t="shared" ref="DM69:DM132" si="92">+DK69*100/P69</f>
        <v>100</v>
      </c>
      <c r="DN69" s="356">
        <f t="shared" ref="DN69:DN132" si="93">+IF(DM69&lt;100,DM69,100)</f>
        <v>100</v>
      </c>
      <c r="DO69" s="308">
        <f t="shared" ref="DO69:DO132" si="94">+(DN69*Q69)/100</f>
        <v>0.25</v>
      </c>
      <c r="DP69" s="359">
        <f>+IF(M69="M",DO69,0)</f>
        <v>0.25</v>
      </c>
      <c r="DQ69" s="306">
        <f t="shared" ref="DQ69:DQ132" si="95">+IF(DL69&lt;DP69,DL69,DP69)</f>
        <v>0.25</v>
      </c>
      <c r="DR69" s="379">
        <f t="shared" ref="DR69:DR132" si="96">+T69+AV69+BX69+CJ69</f>
        <v>1</v>
      </c>
      <c r="DS69" s="378">
        <f t="shared" ref="DS69:DS132" si="97">+Q69-R69-AT69-BV69-CH69</f>
        <v>0</v>
      </c>
      <c r="DT69" s="173">
        <v>75</v>
      </c>
      <c r="DU69" s="174" t="s">
        <v>231</v>
      </c>
      <c r="DV69" s="173">
        <v>76</v>
      </c>
      <c r="DW69" s="174" t="s">
        <v>131</v>
      </c>
      <c r="DX69" s="173"/>
      <c r="DY69" s="173"/>
      <c r="DZ69" s="173"/>
      <c r="EA69" s="665"/>
      <c r="EB69" s="1254" t="s">
        <v>2610</v>
      </c>
      <c r="EC69" s="537">
        <v>1325000000</v>
      </c>
      <c r="EE69" s="734">
        <v>5</v>
      </c>
      <c r="EF69" s="706"/>
    </row>
    <row r="70" spans="4:136" s="302" customFormat="1" ht="120" hidden="1">
      <c r="D70" s="520">
        <v>67</v>
      </c>
      <c r="E70" s="534">
        <v>94</v>
      </c>
      <c r="F70" s="523" t="s">
        <v>43</v>
      </c>
      <c r="G70" s="523" t="s">
        <v>8</v>
      </c>
      <c r="H70" s="524" t="s">
        <v>2653</v>
      </c>
      <c r="I70" s="462" t="s">
        <v>187</v>
      </c>
      <c r="J70" s="335" t="s">
        <v>307</v>
      </c>
      <c r="K70" s="335" t="s">
        <v>308</v>
      </c>
      <c r="L70" s="454" t="s">
        <v>1501</v>
      </c>
      <c r="M70" s="333" t="s">
        <v>1771</v>
      </c>
      <c r="N70" s="333">
        <v>32757</v>
      </c>
      <c r="O70" s="333">
        <f>+N70+P70</f>
        <v>89757</v>
      </c>
      <c r="P70" s="332">
        <v>57000</v>
      </c>
      <c r="Q70" s="390">
        <v>0.16500000000000001</v>
      </c>
      <c r="R70" s="342">
        <f t="shared" si="61"/>
        <v>1.5921052631578947E-2</v>
      </c>
      <c r="S70" s="459">
        <v>5500</v>
      </c>
      <c r="T70" s="387">
        <f t="shared" si="62"/>
        <v>9.6491228070175433E-2</v>
      </c>
      <c r="U70" s="670">
        <v>0</v>
      </c>
      <c r="V70" s="388">
        <f t="shared" si="63"/>
        <v>0</v>
      </c>
      <c r="W70" s="356">
        <f t="shared" si="64"/>
        <v>0</v>
      </c>
      <c r="X70" s="356">
        <f t="shared" si="65"/>
        <v>0</v>
      </c>
      <c r="Y70" s="356">
        <f t="shared" si="40"/>
        <v>0</v>
      </c>
      <c r="Z70" s="356">
        <f t="shared" si="66"/>
        <v>0</v>
      </c>
      <c r="AA70" s="313">
        <v>94000000</v>
      </c>
      <c r="AB70" s="313">
        <v>0</v>
      </c>
      <c r="AC70" s="313">
        <v>0</v>
      </c>
      <c r="AD70" s="313">
        <v>94000000</v>
      </c>
      <c r="AE70" s="313">
        <v>0</v>
      </c>
      <c r="AF70" s="313">
        <v>0</v>
      </c>
      <c r="AG70" s="313">
        <v>0</v>
      </c>
      <c r="AH70" s="313">
        <v>0</v>
      </c>
      <c r="AI70" s="313">
        <v>0</v>
      </c>
      <c r="AJ70" s="313">
        <v>0</v>
      </c>
      <c r="AK70" s="313">
        <v>0</v>
      </c>
      <c r="AL70" s="313">
        <v>0</v>
      </c>
      <c r="AM70" s="313">
        <v>0</v>
      </c>
      <c r="AN70" s="313">
        <v>0</v>
      </c>
      <c r="AO70" s="313">
        <v>0</v>
      </c>
      <c r="AP70" s="313">
        <v>0</v>
      </c>
      <c r="AQ70" s="313">
        <v>0</v>
      </c>
      <c r="AR70" s="313">
        <v>0</v>
      </c>
      <c r="AS70" s="313" t="s">
        <v>1798</v>
      </c>
      <c r="AT70" s="333">
        <f t="shared" si="67"/>
        <v>4.3461578947368421E-2</v>
      </c>
      <c r="AU70" s="333">
        <v>15014</v>
      </c>
      <c r="AV70" s="387">
        <f t="shared" si="68"/>
        <v>0.26340350877192981</v>
      </c>
      <c r="AW70" s="677">
        <v>15014</v>
      </c>
      <c r="AX70" s="474">
        <f t="shared" si="69"/>
        <v>15014</v>
      </c>
      <c r="AY70" s="474">
        <f t="shared" si="70"/>
        <v>100</v>
      </c>
      <c r="AZ70" s="474">
        <f t="shared" si="71"/>
        <v>100</v>
      </c>
      <c r="BA70" s="356">
        <f t="shared" si="72"/>
        <v>4.3461578947368421E-2</v>
      </c>
      <c r="BB70" s="356">
        <f t="shared" si="73"/>
        <v>100</v>
      </c>
      <c r="BC70" s="313">
        <v>636000000</v>
      </c>
      <c r="BD70" s="313">
        <v>0</v>
      </c>
      <c r="BE70" s="313">
        <v>636000000</v>
      </c>
      <c r="BF70" s="313">
        <v>0</v>
      </c>
      <c r="BG70" s="313">
        <v>0</v>
      </c>
      <c r="BH70" s="313">
        <v>0</v>
      </c>
      <c r="BI70" s="313">
        <v>0</v>
      </c>
      <c r="BJ70" s="313">
        <v>0</v>
      </c>
      <c r="BK70" s="473">
        <v>1756669204</v>
      </c>
      <c r="BL70" s="472">
        <v>1079779430</v>
      </c>
      <c r="BM70" s="472">
        <v>676889774</v>
      </c>
      <c r="BN70" s="472">
        <v>0</v>
      </c>
      <c r="BO70" s="472">
        <v>0</v>
      </c>
      <c r="BP70" s="472">
        <v>0</v>
      </c>
      <c r="BQ70" s="472">
        <v>0</v>
      </c>
      <c r="BR70" s="472">
        <v>0</v>
      </c>
      <c r="BS70" s="472">
        <v>0</v>
      </c>
      <c r="BT70" s="472">
        <v>0</v>
      </c>
      <c r="BU70" s="472">
        <v>0</v>
      </c>
      <c r="BV70" s="342">
        <f t="shared" si="74"/>
        <v>7.9367894736842109E-2</v>
      </c>
      <c r="BW70" s="350">
        <v>27418</v>
      </c>
      <c r="BX70" s="385">
        <f t="shared" si="75"/>
        <v>0.48101754385964912</v>
      </c>
      <c r="BY70" s="369">
        <v>18379</v>
      </c>
      <c r="BZ70" s="391">
        <v>18379</v>
      </c>
      <c r="CA70" s="689">
        <v>33986</v>
      </c>
      <c r="CB70" s="471">
        <f t="shared" si="76"/>
        <v>33986</v>
      </c>
      <c r="CC70" s="471">
        <f t="shared" si="77"/>
        <v>123.95506601502663</v>
      </c>
      <c r="CD70" s="470">
        <f t="shared" si="78"/>
        <v>100</v>
      </c>
      <c r="CE70" s="380">
        <f t="shared" si="79"/>
        <v>7.9367894736842109E-2</v>
      </c>
      <c r="CF70" s="469">
        <f t="shared" si="80"/>
        <v>100</v>
      </c>
      <c r="CG70" s="380">
        <f t="shared" si="81"/>
        <v>9.8380526315789488E-2</v>
      </c>
      <c r="CH70" s="468">
        <f t="shared" si="82"/>
        <v>2.6249473684210527E-2</v>
      </c>
      <c r="CI70" s="319">
        <v>9068</v>
      </c>
      <c r="CJ70" s="318">
        <f t="shared" si="83"/>
        <v>0.15908771929824561</v>
      </c>
      <c r="CK70" s="1259">
        <v>23324</v>
      </c>
      <c r="CL70" s="301">
        <f t="shared" si="84"/>
        <v>-14256</v>
      </c>
      <c r="CM70" s="381">
        <f t="shared" si="85"/>
        <v>23324</v>
      </c>
      <c r="CN70" s="381">
        <f t="shared" si="86"/>
        <v>257.2121746801941</v>
      </c>
      <c r="CO70" s="316">
        <f t="shared" si="87"/>
        <v>100</v>
      </c>
      <c r="CP70" s="381">
        <f t="shared" si="88"/>
        <v>2.6249473684210531E-2</v>
      </c>
      <c r="CQ70" s="381">
        <f t="shared" si="89"/>
        <v>6.7516842105263167E-2</v>
      </c>
      <c r="CR70" s="313">
        <v>1468000000</v>
      </c>
      <c r="CS70" s="313">
        <v>1468000000</v>
      </c>
      <c r="CT70" s="313">
        <v>0</v>
      </c>
      <c r="CU70" s="313">
        <v>0</v>
      </c>
      <c r="CV70" s="313">
        <v>0</v>
      </c>
      <c r="CW70" s="313">
        <v>0</v>
      </c>
      <c r="CX70" s="313">
        <v>0</v>
      </c>
      <c r="CY70" s="313">
        <v>0</v>
      </c>
      <c r="CZ70" s="380">
        <v>0</v>
      </c>
      <c r="DA70" s="380">
        <v>0</v>
      </c>
      <c r="DB70" s="380">
        <v>0</v>
      </c>
      <c r="DC70" s="380">
        <v>0</v>
      </c>
      <c r="DD70" s="380">
        <v>0</v>
      </c>
      <c r="DE70" s="380">
        <v>0</v>
      </c>
      <c r="DF70" s="380">
        <v>0</v>
      </c>
      <c r="DG70" s="380">
        <v>0</v>
      </c>
      <c r="DH70" s="380">
        <v>0</v>
      </c>
      <c r="DI70" s="380">
        <v>0</v>
      </c>
      <c r="DJ70" s="380">
        <v>0</v>
      </c>
      <c r="DK70" s="702">
        <f t="shared" si="90"/>
        <v>72324</v>
      </c>
      <c r="DL70" s="311">
        <f t="shared" si="91"/>
        <v>0.16500000000000001</v>
      </c>
      <c r="DM70" s="310">
        <f t="shared" si="92"/>
        <v>126.88421052631578</v>
      </c>
      <c r="DN70" s="356">
        <f t="shared" si="93"/>
        <v>100</v>
      </c>
      <c r="DO70" s="308">
        <f t="shared" si="94"/>
        <v>0.16500000000000001</v>
      </c>
      <c r="DP70" s="359">
        <f>+IF(((DN70*Q70)/100)&lt;Q70, ((DN70*Q70)/100),Q70)</f>
        <v>0.16500000000000001</v>
      </c>
      <c r="DQ70" s="306">
        <f t="shared" si="95"/>
        <v>0.16500000000000001</v>
      </c>
      <c r="DR70" s="379">
        <f t="shared" si="96"/>
        <v>1</v>
      </c>
      <c r="DS70" s="378">
        <f t="shared" si="97"/>
        <v>0</v>
      </c>
      <c r="DT70" s="173">
        <v>37</v>
      </c>
      <c r="DU70" s="174" t="s">
        <v>135</v>
      </c>
      <c r="DV70" s="173">
        <v>78</v>
      </c>
      <c r="DW70" s="174" t="s">
        <v>129</v>
      </c>
      <c r="DX70" s="173"/>
      <c r="DY70" s="173"/>
      <c r="DZ70" s="173"/>
      <c r="EA70" s="665"/>
      <c r="EB70" s="1254" t="s">
        <v>2436</v>
      </c>
      <c r="EC70" s="537">
        <v>550000000</v>
      </c>
      <c r="EE70" s="734">
        <v>0</v>
      </c>
      <c r="EF70" s="706"/>
    </row>
    <row r="71" spans="4:136" s="302" customFormat="1" ht="120" hidden="1">
      <c r="D71" s="520">
        <v>68</v>
      </c>
      <c r="E71" s="534">
        <v>95</v>
      </c>
      <c r="F71" s="523" t="s">
        <v>43</v>
      </c>
      <c r="G71" s="523" t="s">
        <v>8</v>
      </c>
      <c r="H71" s="524" t="s">
        <v>2653</v>
      </c>
      <c r="I71" s="462" t="s">
        <v>187</v>
      </c>
      <c r="J71" s="335" t="s">
        <v>309</v>
      </c>
      <c r="K71" s="335" t="s">
        <v>310</v>
      </c>
      <c r="L71" s="454" t="s">
        <v>1501</v>
      </c>
      <c r="M71" s="333" t="s">
        <v>1771</v>
      </c>
      <c r="N71" s="333">
        <v>178167</v>
      </c>
      <c r="O71" s="333">
        <f>+N71+P71</f>
        <v>399984</v>
      </c>
      <c r="P71" s="332">
        <v>221817</v>
      </c>
      <c r="Q71" s="390">
        <v>0.25</v>
      </c>
      <c r="R71" s="342">
        <f t="shared" si="61"/>
        <v>6.5475143924947146E-2</v>
      </c>
      <c r="S71" s="459">
        <v>58094</v>
      </c>
      <c r="T71" s="387">
        <f t="shared" si="62"/>
        <v>0.26190057569978858</v>
      </c>
      <c r="U71" s="670">
        <v>58094</v>
      </c>
      <c r="V71" s="388">
        <f t="shared" si="63"/>
        <v>58094</v>
      </c>
      <c r="W71" s="356">
        <f t="shared" si="64"/>
        <v>100</v>
      </c>
      <c r="X71" s="356">
        <f t="shared" si="65"/>
        <v>100</v>
      </c>
      <c r="Y71" s="356">
        <f t="shared" si="40"/>
        <v>6.5475143924947146E-2</v>
      </c>
      <c r="Z71" s="356">
        <f t="shared" si="66"/>
        <v>100</v>
      </c>
      <c r="AA71" s="313">
        <v>12267000000</v>
      </c>
      <c r="AB71" s="313">
        <v>8210000000</v>
      </c>
      <c r="AC71" s="313">
        <v>0</v>
      </c>
      <c r="AD71" s="313">
        <v>4057000000</v>
      </c>
      <c r="AE71" s="313">
        <v>0</v>
      </c>
      <c r="AF71" s="313">
        <v>0</v>
      </c>
      <c r="AG71" s="313">
        <v>0</v>
      </c>
      <c r="AH71" s="313">
        <v>0</v>
      </c>
      <c r="AI71" s="313">
        <v>11114000000</v>
      </c>
      <c r="AJ71" s="313">
        <v>9500000000</v>
      </c>
      <c r="AK71" s="313">
        <v>0</v>
      </c>
      <c r="AL71" s="313">
        <v>0</v>
      </c>
      <c r="AM71" s="313">
        <v>0</v>
      </c>
      <c r="AN71" s="313">
        <v>0</v>
      </c>
      <c r="AO71" s="313">
        <v>0</v>
      </c>
      <c r="AP71" s="313">
        <v>1614000000</v>
      </c>
      <c r="AQ71" s="313">
        <v>0</v>
      </c>
      <c r="AR71" s="313">
        <v>0</v>
      </c>
      <c r="AS71" s="313" t="s">
        <v>1798</v>
      </c>
      <c r="AT71" s="333">
        <f t="shared" si="67"/>
        <v>6.2438857256206695E-2</v>
      </c>
      <c r="AU71" s="333">
        <v>55400</v>
      </c>
      <c r="AV71" s="387">
        <f t="shared" si="68"/>
        <v>0.24975542902482678</v>
      </c>
      <c r="AW71" s="677">
        <v>60184</v>
      </c>
      <c r="AX71" s="474">
        <f t="shared" si="69"/>
        <v>60184</v>
      </c>
      <c r="AY71" s="474">
        <f t="shared" si="70"/>
        <v>108.63537906137184</v>
      </c>
      <c r="AZ71" s="474">
        <f t="shared" si="71"/>
        <v>100</v>
      </c>
      <c r="BA71" s="356">
        <f t="shared" si="72"/>
        <v>6.2438857256206702E-2</v>
      </c>
      <c r="BB71" s="356">
        <f t="shared" si="73"/>
        <v>100</v>
      </c>
      <c r="BC71" s="313">
        <v>22969000000</v>
      </c>
      <c r="BD71" s="313">
        <v>0</v>
      </c>
      <c r="BE71" s="313">
        <v>7350000000</v>
      </c>
      <c r="BF71" s="313">
        <v>0</v>
      </c>
      <c r="BG71" s="313">
        <v>0</v>
      </c>
      <c r="BH71" s="313">
        <v>0</v>
      </c>
      <c r="BI71" s="313">
        <v>0</v>
      </c>
      <c r="BJ71" s="313">
        <v>15619000</v>
      </c>
      <c r="BK71" s="473">
        <v>11553137325</v>
      </c>
      <c r="BL71" s="472">
        <v>6432327010</v>
      </c>
      <c r="BM71" s="472">
        <v>0</v>
      </c>
      <c r="BN71" s="472">
        <v>0</v>
      </c>
      <c r="BO71" s="472">
        <v>0</v>
      </c>
      <c r="BP71" s="472">
        <v>5120810315</v>
      </c>
      <c r="BQ71" s="472">
        <v>0</v>
      </c>
      <c r="BR71" s="472">
        <v>0</v>
      </c>
      <c r="BS71" s="472">
        <v>0</v>
      </c>
      <c r="BT71" s="472">
        <v>1404733080</v>
      </c>
      <c r="BU71" s="472" t="s">
        <v>2007</v>
      </c>
      <c r="BV71" s="342">
        <f t="shared" si="74"/>
        <v>6.2562833326571005E-2</v>
      </c>
      <c r="BW71" s="350">
        <v>55510</v>
      </c>
      <c r="BX71" s="385">
        <f t="shared" si="75"/>
        <v>0.25025133330628402</v>
      </c>
      <c r="BY71" s="369">
        <v>45626</v>
      </c>
      <c r="BZ71" s="391">
        <v>45626</v>
      </c>
      <c r="CA71" s="689">
        <v>45626</v>
      </c>
      <c r="CB71" s="471">
        <f t="shared" si="76"/>
        <v>45626</v>
      </c>
      <c r="CC71" s="471">
        <f t="shared" si="77"/>
        <v>82.194199243379572</v>
      </c>
      <c r="CD71" s="470">
        <f t="shared" si="78"/>
        <v>82.194199243379572</v>
      </c>
      <c r="CE71" s="380">
        <f t="shared" si="79"/>
        <v>5.1423019876745253E-2</v>
      </c>
      <c r="CF71" s="469">
        <f t="shared" si="80"/>
        <v>82.194199243379572</v>
      </c>
      <c r="CG71" s="380">
        <f t="shared" si="81"/>
        <v>5.1423019876745253E-2</v>
      </c>
      <c r="CH71" s="468">
        <f t="shared" si="82"/>
        <v>5.9523165492275161E-2</v>
      </c>
      <c r="CI71" s="319">
        <v>52813</v>
      </c>
      <c r="CJ71" s="318">
        <f t="shared" si="83"/>
        <v>0.23809266196910064</v>
      </c>
      <c r="CK71" s="1259">
        <v>59909</v>
      </c>
      <c r="CL71" s="301">
        <f t="shared" si="84"/>
        <v>-7096</v>
      </c>
      <c r="CM71" s="381">
        <f t="shared" si="85"/>
        <v>59909</v>
      </c>
      <c r="CN71" s="381">
        <f t="shared" si="86"/>
        <v>113.43608581220533</v>
      </c>
      <c r="CO71" s="316">
        <f t="shared" si="87"/>
        <v>100</v>
      </c>
      <c r="CP71" s="381">
        <f t="shared" si="88"/>
        <v>5.9523165492275168E-2</v>
      </c>
      <c r="CQ71" s="381">
        <f t="shared" si="89"/>
        <v>6.7520749085958245E-2</v>
      </c>
      <c r="CR71" s="313">
        <v>32578000000</v>
      </c>
      <c r="CS71" s="313">
        <v>16961000</v>
      </c>
      <c r="CT71" s="313">
        <v>0</v>
      </c>
      <c r="CU71" s="313">
        <v>0</v>
      </c>
      <c r="CV71" s="313">
        <v>0</v>
      </c>
      <c r="CW71" s="313">
        <v>0</v>
      </c>
      <c r="CX71" s="313">
        <v>0</v>
      </c>
      <c r="CY71" s="313">
        <v>15617000</v>
      </c>
      <c r="CZ71" s="380">
        <v>0</v>
      </c>
      <c r="DA71" s="380">
        <v>0</v>
      </c>
      <c r="DB71" s="380">
        <v>0</v>
      </c>
      <c r="DC71" s="380">
        <v>0</v>
      </c>
      <c r="DD71" s="380">
        <v>0</v>
      </c>
      <c r="DE71" s="380">
        <v>0</v>
      </c>
      <c r="DF71" s="380">
        <v>0</v>
      </c>
      <c r="DG71" s="380">
        <v>0</v>
      </c>
      <c r="DH71" s="380">
        <v>0</v>
      </c>
      <c r="DI71" s="380">
        <v>0</v>
      </c>
      <c r="DJ71" s="380">
        <v>0</v>
      </c>
      <c r="DK71" s="702">
        <f t="shared" si="90"/>
        <v>223813</v>
      </c>
      <c r="DL71" s="311">
        <f t="shared" si="91"/>
        <v>0.25</v>
      </c>
      <c r="DM71" s="310">
        <f t="shared" si="92"/>
        <v>100.89984085980785</v>
      </c>
      <c r="DN71" s="356">
        <f t="shared" si="93"/>
        <v>100</v>
      </c>
      <c r="DO71" s="308">
        <f t="shared" si="94"/>
        <v>0.25</v>
      </c>
      <c r="DP71" s="359">
        <f>+IF(((DN71*Q71)/100)&lt;Q71, ((DN71*Q71)/100),Q71)</f>
        <v>0.25</v>
      </c>
      <c r="DQ71" s="306">
        <f t="shared" si="95"/>
        <v>0.25</v>
      </c>
      <c r="DR71" s="379">
        <f t="shared" si="96"/>
        <v>1</v>
      </c>
      <c r="DS71" s="378">
        <f t="shared" si="97"/>
        <v>0</v>
      </c>
      <c r="DT71" s="173">
        <v>37</v>
      </c>
      <c r="DU71" s="174" t="s">
        <v>135</v>
      </c>
      <c r="DV71" s="173">
        <v>78</v>
      </c>
      <c r="DW71" s="174" t="s">
        <v>129</v>
      </c>
      <c r="DX71" s="173"/>
      <c r="DY71" s="173"/>
      <c r="DZ71" s="173"/>
      <c r="EA71" s="665"/>
      <c r="EB71" s="1254" t="s">
        <v>2437</v>
      </c>
      <c r="EC71" s="537">
        <v>615000000</v>
      </c>
      <c r="EE71" s="735">
        <v>0</v>
      </c>
      <c r="EF71" s="706"/>
    </row>
    <row r="72" spans="4:136" s="302" customFormat="1" ht="76.5" hidden="1">
      <c r="D72" s="520">
        <v>69</v>
      </c>
      <c r="E72" s="534">
        <v>96</v>
      </c>
      <c r="F72" s="523" t="s">
        <v>43</v>
      </c>
      <c r="G72" s="523" t="s">
        <v>11</v>
      </c>
      <c r="H72" s="524" t="s">
        <v>2653</v>
      </c>
      <c r="I72" s="462" t="s">
        <v>187</v>
      </c>
      <c r="J72" s="335" t="s">
        <v>311</v>
      </c>
      <c r="K72" s="335" t="s">
        <v>312</v>
      </c>
      <c r="L72" s="454" t="s">
        <v>1501</v>
      </c>
      <c r="M72" s="333" t="s">
        <v>1785</v>
      </c>
      <c r="N72" s="333">
        <v>481</v>
      </c>
      <c r="O72" s="333">
        <f>+P72</f>
        <v>500</v>
      </c>
      <c r="P72" s="332">
        <v>500</v>
      </c>
      <c r="Q72" s="390">
        <v>0.16500000000000001</v>
      </c>
      <c r="R72" s="342">
        <f t="shared" si="61"/>
        <v>4.1250000000000002E-2</v>
      </c>
      <c r="S72" s="459">
        <v>500</v>
      </c>
      <c r="T72" s="387">
        <f t="shared" si="62"/>
        <v>0.25</v>
      </c>
      <c r="U72" s="670">
        <v>525</v>
      </c>
      <c r="V72" s="388">
        <f t="shared" si="63"/>
        <v>131.25</v>
      </c>
      <c r="W72" s="356">
        <f t="shared" si="64"/>
        <v>105</v>
      </c>
      <c r="X72" s="356">
        <f t="shared" si="65"/>
        <v>100</v>
      </c>
      <c r="Y72" s="356">
        <f t="shared" si="40"/>
        <v>4.1250000000000002E-2</v>
      </c>
      <c r="Z72" s="356">
        <f t="shared" si="66"/>
        <v>100</v>
      </c>
      <c r="AA72" s="313">
        <v>2300000000</v>
      </c>
      <c r="AB72" s="313">
        <v>2300000000</v>
      </c>
      <c r="AC72" s="313">
        <v>0</v>
      </c>
      <c r="AD72" s="313">
        <v>0</v>
      </c>
      <c r="AE72" s="313">
        <v>0</v>
      </c>
      <c r="AF72" s="313">
        <v>0</v>
      </c>
      <c r="AG72" s="313">
        <v>0</v>
      </c>
      <c r="AH72" s="313">
        <v>0</v>
      </c>
      <c r="AI72" s="313">
        <v>3963593000</v>
      </c>
      <c r="AJ72" s="313">
        <v>3963593000</v>
      </c>
      <c r="AK72" s="313">
        <v>0</v>
      </c>
      <c r="AL72" s="313">
        <v>0</v>
      </c>
      <c r="AM72" s="313">
        <v>0</v>
      </c>
      <c r="AN72" s="313">
        <v>0</v>
      </c>
      <c r="AO72" s="313">
        <v>0</v>
      </c>
      <c r="AP72" s="313">
        <v>0</v>
      </c>
      <c r="AQ72" s="313">
        <v>0</v>
      </c>
      <c r="AR72" s="313">
        <v>0</v>
      </c>
      <c r="AS72" s="313" t="s">
        <v>1798</v>
      </c>
      <c r="AT72" s="333">
        <f t="shared" si="67"/>
        <v>4.1250000000000002E-2</v>
      </c>
      <c r="AU72" s="333">
        <v>500</v>
      </c>
      <c r="AV72" s="387">
        <f t="shared" si="68"/>
        <v>0.25</v>
      </c>
      <c r="AW72" s="677">
        <v>496</v>
      </c>
      <c r="AX72" s="474">
        <f t="shared" si="69"/>
        <v>124</v>
      </c>
      <c r="AY72" s="474">
        <f t="shared" si="70"/>
        <v>99.2</v>
      </c>
      <c r="AZ72" s="474">
        <f t="shared" si="71"/>
        <v>99.2</v>
      </c>
      <c r="BA72" s="356">
        <f t="shared" si="72"/>
        <v>4.0920000000000005E-2</v>
      </c>
      <c r="BB72" s="356">
        <f t="shared" si="73"/>
        <v>99.2</v>
      </c>
      <c r="BC72" s="313">
        <v>4008000000</v>
      </c>
      <c r="BD72" s="313">
        <v>0</v>
      </c>
      <c r="BE72" s="313">
        <v>4008000000</v>
      </c>
      <c r="BF72" s="313">
        <v>0</v>
      </c>
      <c r="BG72" s="313">
        <v>0</v>
      </c>
      <c r="BH72" s="313">
        <v>0</v>
      </c>
      <c r="BI72" s="313">
        <v>0</v>
      </c>
      <c r="BJ72" s="313">
        <v>0</v>
      </c>
      <c r="BK72" s="473">
        <v>2950401020</v>
      </c>
      <c r="BL72" s="472">
        <v>2950401020</v>
      </c>
      <c r="BM72" s="472">
        <v>0</v>
      </c>
      <c r="BN72" s="472">
        <v>0</v>
      </c>
      <c r="BO72" s="472">
        <v>0</v>
      </c>
      <c r="BP72" s="472">
        <v>0</v>
      </c>
      <c r="BQ72" s="472">
        <v>0</v>
      </c>
      <c r="BR72" s="472">
        <v>0</v>
      </c>
      <c r="BS72" s="472">
        <v>0</v>
      </c>
      <c r="BT72" s="472">
        <v>0</v>
      </c>
      <c r="BU72" s="472">
        <v>0</v>
      </c>
      <c r="BV72" s="342">
        <f t="shared" si="74"/>
        <v>4.1250000000000002E-2</v>
      </c>
      <c r="BW72" s="350">
        <v>500</v>
      </c>
      <c r="BX72" s="385">
        <f t="shared" si="75"/>
        <v>0.25</v>
      </c>
      <c r="BY72" s="369">
        <v>416</v>
      </c>
      <c r="BZ72" s="391">
        <v>416</v>
      </c>
      <c r="CA72" s="689">
        <v>427</v>
      </c>
      <c r="CB72" s="471">
        <f t="shared" si="76"/>
        <v>106.75</v>
      </c>
      <c r="CC72" s="471">
        <f t="shared" si="77"/>
        <v>85.4</v>
      </c>
      <c r="CD72" s="470">
        <f t="shared" si="78"/>
        <v>85.4</v>
      </c>
      <c r="CE72" s="380">
        <f t="shared" si="79"/>
        <v>3.5227500000000002E-2</v>
      </c>
      <c r="CF72" s="469">
        <f t="shared" si="80"/>
        <v>85.4</v>
      </c>
      <c r="CG72" s="380">
        <f t="shared" si="81"/>
        <v>3.5227500000000002E-2</v>
      </c>
      <c r="CH72" s="468">
        <f t="shared" si="82"/>
        <v>4.1250000000000002E-2</v>
      </c>
      <c r="CI72" s="319">
        <v>500</v>
      </c>
      <c r="CJ72" s="318">
        <f t="shared" si="83"/>
        <v>0.25</v>
      </c>
      <c r="CK72" s="1259">
        <v>828</v>
      </c>
      <c r="CL72" s="301">
        <f t="shared" si="84"/>
        <v>-328</v>
      </c>
      <c r="CM72" s="381">
        <f t="shared" si="85"/>
        <v>207</v>
      </c>
      <c r="CN72" s="381">
        <f t="shared" si="86"/>
        <v>165.6</v>
      </c>
      <c r="CO72" s="381">
        <f t="shared" si="87"/>
        <v>100</v>
      </c>
      <c r="CP72" s="381">
        <f t="shared" si="88"/>
        <v>4.1250000000000002E-2</v>
      </c>
      <c r="CQ72" s="381">
        <f t="shared" si="89"/>
        <v>6.831000000000001E-2</v>
      </c>
      <c r="CR72" s="313">
        <v>4008000000</v>
      </c>
      <c r="CS72" s="313">
        <v>4008000000</v>
      </c>
      <c r="CT72" s="313">
        <v>0</v>
      </c>
      <c r="CU72" s="313">
        <v>0</v>
      </c>
      <c r="CV72" s="313">
        <v>0</v>
      </c>
      <c r="CW72" s="313">
        <v>0</v>
      </c>
      <c r="CX72" s="313">
        <v>0</v>
      </c>
      <c r="CY72" s="313">
        <v>0</v>
      </c>
      <c r="CZ72" s="380">
        <v>0</v>
      </c>
      <c r="DA72" s="380">
        <v>0</v>
      </c>
      <c r="DB72" s="380">
        <v>0</v>
      </c>
      <c r="DC72" s="380">
        <v>0</v>
      </c>
      <c r="DD72" s="380">
        <v>0</v>
      </c>
      <c r="DE72" s="380">
        <v>0</v>
      </c>
      <c r="DF72" s="380">
        <v>0</v>
      </c>
      <c r="DG72" s="380">
        <v>0</v>
      </c>
      <c r="DH72" s="380">
        <v>0</v>
      </c>
      <c r="DI72" s="380">
        <v>0</v>
      </c>
      <c r="DJ72" s="380">
        <v>0</v>
      </c>
      <c r="DK72" s="702">
        <f t="shared" si="90"/>
        <v>569</v>
      </c>
      <c r="DL72" s="311">
        <f t="shared" si="91"/>
        <v>0.16500000000000001</v>
      </c>
      <c r="DM72" s="310">
        <f t="shared" si="92"/>
        <v>113.8</v>
      </c>
      <c r="DN72" s="356">
        <f t="shared" si="93"/>
        <v>100</v>
      </c>
      <c r="DO72" s="308">
        <f t="shared" si="94"/>
        <v>0.16500000000000001</v>
      </c>
      <c r="DP72" s="359">
        <f>+IF(M72="M",DO72,0)</f>
        <v>0.16500000000000001</v>
      </c>
      <c r="DQ72" s="306">
        <f t="shared" si="95"/>
        <v>0.16500000000000001</v>
      </c>
      <c r="DR72" s="379">
        <f t="shared" si="96"/>
        <v>1</v>
      </c>
      <c r="DS72" s="378">
        <f t="shared" si="97"/>
        <v>0</v>
      </c>
      <c r="DT72" s="173">
        <v>74</v>
      </c>
      <c r="DU72" s="174" t="s">
        <v>283</v>
      </c>
      <c r="DV72" s="173"/>
      <c r="DW72" s="174" t="s">
        <v>84</v>
      </c>
      <c r="DX72" s="173"/>
      <c r="DY72" s="173"/>
      <c r="DZ72" s="173"/>
      <c r="EA72" s="665"/>
      <c r="EB72" s="1254" t="s">
        <v>2090</v>
      </c>
      <c r="EC72" s="537">
        <v>1827000000</v>
      </c>
      <c r="EE72" s="739">
        <v>14</v>
      </c>
      <c r="EF72" s="706"/>
    </row>
    <row r="73" spans="4:136" s="302" customFormat="1" ht="63.75" hidden="1">
      <c r="D73" s="520">
        <v>70</v>
      </c>
      <c r="E73" s="534">
        <v>97</v>
      </c>
      <c r="F73" s="523" t="s">
        <v>43</v>
      </c>
      <c r="G73" s="523" t="s">
        <v>7</v>
      </c>
      <c r="H73" s="524" t="s">
        <v>2653</v>
      </c>
      <c r="I73" s="462" t="s">
        <v>187</v>
      </c>
      <c r="J73" s="335" t="s">
        <v>313</v>
      </c>
      <c r="K73" s="335" t="s">
        <v>314</v>
      </c>
      <c r="L73" s="454" t="s">
        <v>1984</v>
      </c>
      <c r="M73" s="333" t="s">
        <v>1771</v>
      </c>
      <c r="N73" s="333">
        <v>132</v>
      </c>
      <c r="O73" s="333">
        <f>+N73+P73</f>
        <v>292</v>
      </c>
      <c r="P73" s="332">
        <v>160</v>
      </c>
      <c r="Q73" s="390">
        <v>0.16500000000000001</v>
      </c>
      <c r="R73" s="342">
        <f t="shared" si="61"/>
        <v>7.2187499999999995E-3</v>
      </c>
      <c r="S73" s="459">
        <v>7</v>
      </c>
      <c r="T73" s="387">
        <f t="shared" si="62"/>
        <v>4.3749999999999997E-2</v>
      </c>
      <c r="U73" s="670">
        <v>0</v>
      </c>
      <c r="V73" s="388">
        <f t="shared" si="63"/>
        <v>0</v>
      </c>
      <c r="W73" s="356">
        <f t="shared" si="64"/>
        <v>0</v>
      </c>
      <c r="X73" s="356">
        <f t="shared" si="65"/>
        <v>0</v>
      </c>
      <c r="Y73" s="356">
        <f t="shared" si="40"/>
        <v>0</v>
      </c>
      <c r="Z73" s="356">
        <f t="shared" si="66"/>
        <v>0</v>
      </c>
      <c r="AA73" s="313">
        <v>200000000</v>
      </c>
      <c r="AB73" s="313">
        <v>100000000</v>
      </c>
      <c r="AC73" s="313">
        <v>0</v>
      </c>
      <c r="AD73" s="313">
        <v>0</v>
      </c>
      <c r="AE73" s="313">
        <v>0</v>
      </c>
      <c r="AF73" s="313">
        <v>0</v>
      </c>
      <c r="AG73" s="313">
        <v>0</v>
      </c>
      <c r="AH73" s="313">
        <v>100000000</v>
      </c>
      <c r="AI73" s="313">
        <v>8000000</v>
      </c>
      <c r="AJ73" s="313">
        <v>8000000</v>
      </c>
      <c r="AK73" s="313">
        <v>0</v>
      </c>
      <c r="AL73" s="313">
        <v>0</v>
      </c>
      <c r="AM73" s="313">
        <v>0</v>
      </c>
      <c r="AN73" s="313">
        <v>0</v>
      </c>
      <c r="AO73" s="313">
        <v>0</v>
      </c>
      <c r="AP73" s="313">
        <v>0</v>
      </c>
      <c r="AQ73" s="313">
        <v>0</v>
      </c>
      <c r="AR73" s="313">
        <v>0</v>
      </c>
      <c r="AS73" s="313" t="s">
        <v>1798</v>
      </c>
      <c r="AT73" s="333">
        <f t="shared" si="67"/>
        <v>5.2593750000000002E-2</v>
      </c>
      <c r="AU73" s="333">
        <v>51</v>
      </c>
      <c r="AV73" s="387">
        <f t="shared" si="68"/>
        <v>0.31874999999999998</v>
      </c>
      <c r="AW73" s="677">
        <v>70</v>
      </c>
      <c r="AX73" s="474">
        <f t="shared" si="69"/>
        <v>70</v>
      </c>
      <c r="AY73" s="474">
        <f t="shared" si="70"/>
        <v>137.25490196078431</v>
      </c>
      <c r="AZ73" s="474">
        <f t="shared" si="71"/>
        <v>100</v>
      </c>
      <c r="BA73" s="356">
        <f t="shared" si="72"/>
        <v>5.2593750000000002E-2</v>
      </c>
      <c r="BB73" s="356">
        <f t="shared" si="73"/>
        <v>100</v>
      </c>
      <c r="BC73" s="313">
        <v>304000000</v>
      </c>
      <c r="BD73" s="313">
        <v>0</v>
      </c>
      <c r="BE73" s="313">
        <v>47000000</v>
      </c>
      <c r="BF73" s="313">
        <v>0</v>
      </c>
      <c r="BG73" s="313">
        <v>0</v>
      </c>
      <c r="BH73" s="313">
        <v>0</v>
      </c>
      <c r="BI73" s="313">
        <v>0</v>
      </c>
      <c r="BJ73" s="313">
        <v>257000000</v>
      </c>
      <c r="BK73" s="473">
        <v>50000000</v>
      </c>
      <c r="BL73" s="472">
        <v>50000000</v>
      </c>
      <c r="BM73" s="472">
        <v>0</v>
      </c>
      <c r="BN73" s="472">
        <v>0</v>
      </c>
      <c r="BO73" s="472">
        <v>0</v>
      </c>
      <c r="BP73" s="472">
        <v>0</v>
      </c>
      <c r="BQ73" s="472">
        <v>0</v>
      </c>
      <c r="BR73" s="472">
        <v>0</v>
      </c>
      <c r="BS73" s="472">
        <v>0</v>
      </c>
      <c r="BT73" s="472">
        <v>0</v>
      </c>
      <c r="BU73" s="472">
        <v>0</v>
      </c>
      <c r="BV73" s="342">
        <f t="shared" si="74"/>
        <v>5.2593750000000002E-2</v>
      </c>
      <c r="BW73" s="350">
        <v>51</v>
      </c>
      <c r="BX73" s="385">
        <f t="shared" si="75"/>
        <v>0.31874999999999998</v>
      </c>
      <c r="BY73" s="399">
        <v>0</v>
      </c>
      <c r="BZ73" s="398">
        <v>0</v>
      </c>
      <c r="CA73" s="690">
        <v>0</v>
      </c>
      <c r="CB73" s="471">
        <f t="shared" si="76"/>
        <v>0</v>
      </c>
      <c r="CC73" s="471">
        <f t="shared" si="77"/>
        <v>0</v>
      </c>
      <c r="CD73" s="470">
        <f t="shared" si="78"/>
        <v>0</v>
      </c>
      <c r="CE73" s="380">
        <f t="shared" si="79"/>
        <v>0</v>
      </c>
      <c r="CF73" s="469">
        <f t="shared" si="80"/>
        <v>0</v>
      </c>
      <c r="CG73" s="380">
        <f t="shared" si="81"/>
        <v>0</v>
      </c>
      <c r="CH73" s="468">
        <f t="shared" si="82"/>
        <v>5.2593750000000002E-2</v>
      </c>
      <c r="CI73" s="319">
        <v>51</v>
      </c>
      <c r="CJ73" s="318">
        <f t="shared" si="83"/>
        <v>0.31874999999999998</v>
      </c>
      <c r="CK73" s="1260">
        <v>0</v>
      </c>
      <c r="CL73" s="301">
        <f t="shared" si="84"/>
        <v>51</v>
      </c>
      <c r="CM73" s="381">
        <f t="shared" si="85"/>
        <v>0</v>
      </c>
      <c r="CN73" s="381">
        <f t="shared" si="86"/>
        <v>0</v>
      </c>
      <c r="CO73" s="316">
        <f t="shared" si="87"/>
        <v>0</v>
      </c>
      <c r="CP73" s="381">
        <f t="shared" si="88"/>
        <v>0</v>
      </c>
      <c r="CQ73" s="381">
        <f t="shared" si="89"/>
        <v>0</v>
      </c>
      <c r="CR73" s="313">
        <v>367000000</v>
      </c>
      <c r="CS73" s="313">
        <v>108000000</v>
      </c>
      <c r="CT73" s="313">
        <v>0</v>
      </c>
      <c r="CU73" s="313">
        <v>0</v>
      </c>
      <c r="CV73" s="313">
        <v>0</v>
      </c>
      <c r="CW73" s="313">
        <v>0</v>
      </c>
      <c r="CX73" s="313">
        <v>0</v>
      </c>
      <c r="CY73" s="313">
        <v>259000000</v>
      </c>
      <c r="CZ73" s="380">
        <v>0</v>
      </c>
      <c r="DA73" s="380">
        <v>0</v>
      </c>
      <c r="DB73" s="380">
        <v>0</v>
      </c>
      <c r="DC73" s="380">
        <v>0</v>
      </c>
      <c r="DD73" s="380">
        <v>0</v>
      </c>
      <c r="DE73" s="380">
        <v>0</v>
      </c>
      <c r="DF73" s="380">
        <v>0</v>
      </c>
      <c r="DG73" s="380">
        <v>0</v>
      </c>
      <c r="DH73" s="380">
        <v>0</v>
      </c>
      <c r="DI73" s="380">
        <v>0</v>
      </c>
      <c r="DJ73" s="380">
        <v>0</v>
      </c>
      <c r="DK73" s="702">
        <f t="shared" si="90"/>
        <v>70</v>
      </c>
      <c r="DL73" s="311">
        <f t="shared" si="91"/>
        <v>0.16500000000000001</v>
      </c>
      <c r="DM73" s="310">
        <f t="shared" si="92"/>
        <v>43.75</v>
      </c>
      <c r="DN73" s="356">
        <f t="shared" si="93"/>
        <v>43.75</v>
      </c>
      <c r="DO73" s="308">
        <f t="shared" si="94"/>
        <v>7.2187500000000002E-2</v>
      </c>
      <c r="DP73" s="359">
        <f>+IF(((DN73*Q73)/100)&lt;Q73, ((DN73*Q73)/100),Q73)</f>
        <v>7.2187500000000002E-2</v>
      </c>
      <c r="DQ73" s="306">
        <f t="shared" si="95"/>
        <v>7.2187500000000002E-2</v>
      </c>
      <c r="DR73" s="379">
        <f t="shared" si="96"/>
        <v>0.99999999999999989</v>
      </c>
      <c r="DS73" s="378">
        <f t="shared" si="97"/>
        <v>0</v>
      </c>
      <c r="DT73" s="173">
        <v>74</v>
      </c>
      <c r="DU73" s="174" t="s">
        <v>283</v>
      </c>
      <c r="DV73" s="173"/>
      <c r="DW73" s="174" t="s">
        <v>84</v>
      </c>
      <c r="DX73" s="173"/>
      <c r="DY73" s="173"/>
      <c r="DZ73" s="173"/>
      <c r="EA73" s="665"/>
      <c r="EB73" s="1254" t="s">
        <v>2498</v>
      </c>
      <c r="EC73" s="537">
        <v>4000000</v>
      </c>
      <c r="EE73" s="734">
        <v>0</v>
      </c>
      <c r="EF73" s="706"/>
    </row>
    <row r="74" spans="4:136" s="302" customFormat="1" ht="102" hidden="1">
      <c r="D74" s="520">
        <v>71</v>
      </c>
      <c r="E74" s="534">
        <v>98</v>
      </c>
      <c r="F74" s="523" t="s">
        <v>43</v>
      </c>
      <c r="G74" s="523" t="s">
        <v>3</v>
      </c>
      <c r="H74" s="524" t="s">
        <v>2653</v>
      </c>
      <c r="I74" s="462" t="s">
        <v>187</v>
      </c>
      <c r="J74" s="335" t="s">
        <v>315</v>
      </c>
      <c r="K74" s="335" t="s">
        <v>316</v>
      </c>
      <c r="L74" s="454" t="s">
        <v>1501</v>
      </c>
      <c r="M74" s="333" t="s">
        <v>1785</v>
      </c>
      <c r="N74" s="333">
        <v>44233</v>
      </c>
      <c r="O74" s="333">
        <f>+P74</f>
        <v>49844</v>
      </c>
      <c r="P74" s="332">
        <v>49844</v>
      </c>
      <c r="Q74" s="390">
        <v>0.16500000000000001</v>
      </c>
      <c r="R74" s="342">
        <f t="shared" si="61"/>
        <v>4.1250000000000002E-2</v>
      </c>
      <c r="S74" s="459">
        <v>49844</v>
      </c>
      <c r="T74" s="387">
        <f t="shared" si="62"/>
        <v>0.25</v>
      </c>
      <c r="U74" s="670">
        <v>49850</v>
      </c>
      <c r="V74" s="388">
        <f t="shared" si="63"/>
        <v>12462.5</v>
      </c>
      <c r="W74" s="356">
        <f t="shared" si="64"/>
        <v>100.0120375571784</v>
      </c>
      <c r="X74" s="356">
        <f t="shared" si="65"/>
        <v>100</v>
      </c>
      <c r="Y74" s="356">
        <f t="shared" si="40"/>
        <v>4.1250000000000002E-2</v>
      </c>
      <c r="Z74" s="356">
        <f t="shared" si="66"/>
        <v>100</v>
      </c>
      <c r="AA74" s="313">
        <v>438000000</v>
      </c>
      <c r="AB74" s="313">
        <v>438000000</v>
      </c>
      <c r="AC74" s="313">
        <v>0</v>
      </c>
      <c r="AD74" s="313">
        <v>0</v>
      </c>
      <c r="AE74" s="313">
        <v>0</v>
      </c>
      <c r="AF74" s="313">
        <v>0</v>
      </c>
      <c r="AG74" s="313">
        <v>0</v>
      </c>
      <c r="AH74" s="313">
        <v>0</v>
      </c>
      <c r="AI74" s="313">
        <v>505680000</v>
      </c>
      <c r="AJ74" s="313">
        <v>505680000</v>
      </c>
      <c r="AK74" s="313">
        <v>0</v>
      </c>
      <c r="AL74" s="313">
        <v>0</v>
      </c>
      <c r="AM74" s="313">
        <v>0</v>
      </c>
      <c r="AN74" s="313">
        <v>0</v>
      </c>
      <c r="AO74" s="313">
        <v>0</v>
      </c>
      <c r="AP74" s="313">
        <v>0</v>
      </c>
      <c r="AQ74" s="313">
        <v>0</v>
      </c>
      <c r="AR74" s="313">
        <v>0</v>
      </c>
      <c r="AS74" s="313" t="s">
        <v>1798</v>
      </c>
      <c r="AT74" s="333">
        <f t="shared" si="67"/>
        <v>4.1250000000000002E-2</v>
      </c>
      <c r="AU74" s="333">
        <v>49844</v>
      </c>
      <c r="AV74" s="387">
        <f t="shared" si="68"/>
        <v>0.25</v>
      </c>
      <c r="AW74" s="677">
        <v>49956</v>
      </c>
      <c r="AX74" s="474">
        <f t="shared" si="69"/>
        <v>12489</v>
      </c>
      <c r="AY74" s="474">
        <f t="shared" si="70"/>
        <v>100.22470106733007</v>
      </c>
      <c r="AZ74" s="474">
        <f t="shared" si="71"/>
        <v>100</v>
      </c>
      <c r="BA74" s="356">
        <f t="shared" si="72"/>
        <v>4.1250000000000002E-2</v>
      </c>
      <c r="BB74" s="356">
        <f t="shared" si="73"/>
        <v>100</v>
      </c>
      <c r="BC74" s="313">
        <v>783000000</v>
      </c>
      <c r="BD74" s="313">
        <v>0</v>
      </c>
      <c r="BE74" s="313">
        <v>783000000</v>
      </c>
      <c r="BF74" s="313">
        <v>0</v>
      </c>
      <c r="BG74" s="313">
        <v>0</v>
      </c>
      <c r="BH74" s="313">
        <v>0</v>
      </c>
      <c r="BI74" s="313">
        <v>0</v>
      </c>
      <c r="BJ74" s="313">
        <v>0</v>
      </c>
      <c r="BK74" s="473">
        <v>857527846</v>
      </c>
      <c r="BL74" s="472">
        <v>857527846</v>
      </c>
      <c r="BM74" s="472">
        <v>0</v>
      </c>
      <c r="BN74" s="472">
        <v>0</v>
      </c>
      <c r="BO74" s="472">
        <v>0</v>
      </c>
      <c r="BP74" s="472">
        <v>0</v>
      </c>
      <c r="BQ74" s="472">
        <v>0</v>
      </c>
      <c r="BR74" s="472">
        <v>0</v>
      </c>
      <c r="BS74" s="472">
        <v>0</v>
      </c>
      <c r="BT74" s="472">
        <v>0</v>
      </c>
      <c r="BU74" s="472">
        <v>0</v>
      </c>
      <c r="BV74" s="342">
        <f t="shared" si="74"/>
        <v>4.1250000000000002E-2</v>
      </c>
      <c r="BW74" s="350">
        <v>49844</v>
      </c>
      <c r="BX74" s="385">
        <f t="shared" si="75"/>
        <v>0.25</v>
      </c>
      <c r="BY74" s="369">
        <v>19963</v>
      </c>
      <c r="BZ74" s="391">
        <v>31768</v>
      </c>
      <c r="CA74" s="689">
        <v>53956</v>
      </c>
      <c r="CB74" s="471">
        <f t="shared" si="76"/>
        <v>13489</v>
      </c>
      <c r="CC74" s="471">
        <f t="shared" si="77"/>
        <v>108.24973918626114</v>
      </c>
      <c r="CD74" s="470">
        <f t="shared" si="78"/>
        <v>100</v>
      </c>
      <c r="CE74" s="380">
        <f t="shared" si="79"/>
        <v>4.1250000000000002E-2</v>
      </c>
      <c r="CF74" s="469">
        <f t="shared" si="80"/>
        <v>100</v>
      </c>
      <c r="CG74" s="380">
        <f t="shared" si="81"/>
        <v>4.4653017414332724E-2</v>
      </c>
      <c r="CH74" s="468">
        <f t="shared" si="82"/>
        <v>4.1250000000000002E-2</v>
      </c>
      <c r="CI74" s="319">
        <v>49844</v>
      </c>
      <c r="CJ74" s="318">
        <f t="shared" si="83"/>
        <v>0.25</v>
      </c>
      <c r="CK74" s="1259">
        <v>39344</v>
      </c>
      <c r="CL74" s="301">
        <f t="shared" si="84"/>
        <v>10500</v>
      </c>
      <c r="CM74" s="381">
        <f t="shared" si="85"/>
        <v>9836</v>
      </c>
      <c r="CN74" s="381">
        <f t="shared" si="86"/>
        <v>78.934274937805952</v>
      </c>
      <c r="CO74" s="381">
        <f t="shared" si="87"/>
        <v>78.934274937805952</v>
      </c>
      <c r="CP74" s="381">
        <f t="shared" si="88"/>
        <v>3.2560388411844957E-2</v>
      </c>
      <c r="CQ74" s="381">
        <f t="shared" si="89"/>
        <v>3.2560388411844957E-2</v>
      </c>
      <c r="CR74" s="313">
        <v>783000000</v>
      </c>
      <c r="CS74" s="313">
        <v>783000000</v>
      </c>
      <c r="CT74" s="313">
        <v>0</v>
      </c>
      <c r="CU74" s="313">
        <v>0</v>
      </c>
      <c r="CV74" s="313">
        <v>0</v>
      </c>
      <c r="CW74" s="313">
        <v>0</v>
      </c>
      <c r="CX74" s="313">
        <v>0</v>
      </c>
      <c r="CY74" s="313">
        <v>0</v>
      </c>
      <c r="CZ74" s="380">
        <v>0</v>
      </c>
      <c r="DA74" s="380">
        <v>0</v>
      </c>
      <c r="DB74" s="380">
        <v>0</v>
      </c>
      <c r="DC74" s="380">
        <v>0</v>
      </c>
      <c r="DD74" s="380">
        <v>0</v>
      </c>
      <c r="DE74" s="380">
        <v>0</v>
      </c>
      <c r="DF74" s="380">
        <v>0</v>
      </c>
      <c r="DG74" s="380">
        <v>0</v>
      </c>
      <c r="DH74" s="380">
        <v>0</v>
      </c>
      <c r="DI74" s="380">
        <v>0</v>
      </c>
      <c r="DJ74" s="380">
        <v>0</v>
      </c>
      <c r="DK74" s="702">
        <f t="shared" si="90"/>
        <v>48276.5</v>
      </c>
      <c r="DL74" s="311">
        <f t="shared" si="91"/>
        <v>0.16500000000000001</v>
      </c>
      <c r="DM74" s="310">
        <f t="shared" si="92"/>
        <v>96.855188187143895</v>
      </c>
      <c r="DN74" s="356">
        <f t="shared" si="93"/>
        <v>96.855188187143895</v>
      </c>
      <c r="DO74" s="308">
        <f t="shared" si="94"/>
        <v>0.15981106050878743</v>
      </c>
      <c r="DP74" s="359">
        <f>+IF(M74="M",DO74,0)</f>
        <v>0.15981106050878743</v>
      </c>
      <c r="DQ74" s="306">
        <f t="shared" si="95"/>
        <v>0.15981106050878743</v>
      </c>
      <c r="DR74" s="379">
        <f t="shared" si="96"/>
        <v>1</v>
      </c>
      <c r="DS74" s="378">
        <f t="shared" si="97"/>
        <v>0</v>
      </c>
      <c r="DT74" s="173">
        <v>74</v>
      </c>
      <c r="DU74" s="174" t="s">
        <v>283</v>
      </c>
      <c r="DV74" s="173"/>
      <c r="DW74" s="174" t="s">
        <v>84</v>
      </c>
      <c r="DX74" s="173"/>
      <c r="DY74" s="173"/>
      <c r="DZ74" s="173"/>
      <c r="EA74" s="665"/>
      <c r="EB74" s="1254" t="s">
        <v>2219</v>
      </c>
      <c r="EC74" s="537">
        <v>24000000</v>
      </c>
      <c r="EE74" s="734">
        <v>2</v>
      </c>
      <c r="EF74" s="706"/>
    </row>
    <row r="75" spans="4:136" s="302" customFormat="1" ht="132" hidden="1">
      <c r="D75" s="520">
        <v>72</v>
      </c>
      <c r="E75" s="534">
        <v>99</v>
      </c>
      <c r="F75" s="523" t="s">
        <v>43</v>
      </c>
      <c r="G75" s="523" t="s">
        <v>3</v>
      </c>
      <c r="H75" s="524" t="s">
        <v>2653</v>
      </c>
      <c r="I75" s="462" t="s">
        <v>187</v>
      </c>
      <c r="J75" s="335" t="s">
        <v>317</v>
      </c>
      <c r="K75" s="335" t="s">
        <v>318</v>
      </c>
      <c r="L75" s="453" t="s">
        <v>2006</v>
      </c>
      <c r="M75" s="333" t="s">
        <v>1771</v>
      </c>
      <c r="N75" s="333">
        <v>0</v>
      </c>
      <c r="O75" s="333">
        <f>+N75+P75</f>
        <v>3</v>
      </c>
      <c r="P75" s="332">
        <v>3</v>
      </c>
      <c r="Q75" s="390">
        <v>0.16500000000000001</v>
      </c>
      <c r="R75" s="342">
        <f t="shared" si="61"/>
        <v>0</v>
      </c>
      <c r="S75" s="459">
        <v>0</v>
      </c>
      <c r="T75" s="387">
        <f t="shared" si="62"/>
        <v>0</v>
      </c>
      <c r="U75" s="670">
        <v>0</v>
      </c>
      <c r="V75" s="388">
        <f t="shared" si="63"/>
        <v>0</v>
      </c>
      <c r="W75" s="356">
        <f t="shared" si="64"/>
        <v>0</v>
      </c>
      <c r="X75" s="356">
        <f t="shared" si="65"/>
        <v>0</v>
      </c>
      <c r="Y75" s="356">
        <f t="shared" si="40"/>
        <v>0</v>
      </c>
      <c r="Z75" s="356">
        <f t="shared" si="66"/>
        <v>0</v>
      </c>
      <c r="AA75" s="313">
        <v>0</v>
      </c>
      <c r="AB75" s="313">
        <v>0</v>
      </c>
      <c r="AC75" s="313">
        <v>0</v>
      </c>
      <c r="AD75" s="313">
        <v>0</v>
      </c>
      <c r="AE75" s="313">
        <v>0</v>
      </c>
      <c r="AF75" s="313">
        <v>0</v>
      </c>
      <c r="AG75" s="313">
        <v>0</v>
      </c>
      <c r="AH75" s="313">
        <v>0</v>
      </c>
      <c r="AI75" s="313">
        <v>0</v>
      </c>
      <c r="AJ75" s="313">
        <v>0</v>
      </c>
      <c r="AK75" s="313">
        <v>0</v>
      </c>
      <c r="AL75" s="313">
        <v>0</v>
      </c>
      <c r="AM75" s="313">
        <v>0</v>
      </c>
      <c r="AN75" s="313">
        <v>0</v>
      </c>
      <c r="AO75" s="313">
        <v>0</v>
      </c>
      <c r="AP75" s="313">
        <v>0</v>
      </c>
      <c r="AQ75" s="313">
        <v>0</v>
      </c>
      <c r="AR75" s="313">
        <v>0</v>
      </c>
      <c r="AS75" s="313" t="s">
        <v>1798</v>
      </c>
      <c r="AT75" s="333">
        <f t="shared" si="67"/>
        <v>5.5E-2</v>
      </c>
      <c r="AU75" s="333">
        <v>1</v>
      </c>
      <c r="AV75" s="387">
        <f t="shared" si="68"/>
        <v>0.33333333333333331</v>
      </c>
      <c r="AW75" s="677">
        <v>1</v>
      </c>
      <c r="AX75" s="474">
        <f t="shared" si="69"/>
        <v>1</v>
      </c>
      <c r="AY75" s="474">
        <f t="shared" si="70"/>
        <v>100</v>
      </c>
      <c r="AZ75" s="474">
        <f t="shared" si="71"/>
        <v>100</v>
      </c>
      <c r="BA75" s="356">
        <f t="shared" si="72"/>
        <v>5.5E-2</v>
      </c>
      <c r="BB75" s="356">
        <f t="shared" si="73"/>
        <v>100</v>
      </c>
      <c r="BC75" s="313">
        <v>651000000</v>
      </c>
      <c r="BD75" s="313">
        <v>0</v>
      </c>
      <c r="BE75" s="313">
        <v>651000000</v>
      </c>
      <c r="BF75" s="313">
        <v>0</v>
      </c>
      <c r="BG75" s="313">
        <v>0</v>
      </c>
      <c r="BH75" s="313">
        <v>0</v>
      </c>
      <c r="BI75" s="313">
        <v>0</v>
      </c>
      <c r="BJ75" s="313">
        <v>0</v>
      </c>
      <c r="BK75" s="473">
        <v>751307249</v>
      </c>
      <c r="BL75" s="472">
        <v>751307249</v>
      </c>
      <c r="BM75" s="472">
        <v>0</v>
      </c>
      <c r="BN75" s="472">
        <v>0</v>
      </c>
      <c r="BO75" s="472">
        <v>0</v>
      </c>
      <c r="BP75" s="472">
        <v>0</v>
      </c>
      <c r="BQ75" s="472">
        <v>0</v>
      </c>
      <c r="BR75" s="472">
        <v>0</v>
      </c>
      <c r="BS75" s="472">
        <v>0</v>
      </c>
      <c r="BT75" s="472">
        <v>0</v>
      </c>
      <c r="BU75" s="472">
        <v>0</v>
      </c>
      <c r="BV75" s="342">
        <f t="shared" si="74"/>
        <v>5.5E-2</v>
      </c>
      <c r="BW75" s="350">
        <v>1</v>
      </c>
      <c r="BX75" s="385">
        <f t="shared" si="75"/>
        <v>0.33333333333333331</v>
      </c>
      <c r="BY75" s="369">
        <v>1</v>
      </c>
      <c r="BZ75" s="391">
        <v>1</v>
      </c>
      <c r="CA75" s="689">
        <v>1</v>
      </c>
      <c r="CB75" s="471">
        <f t="shared" si="76"/>
        <v>1</v>
      </c>
      <c r="CC75" s="471">
        <f t="shared" si="77"/>
        <v>100</v>
      </c>
      <c r="CD75" s="470">
        <f t="shared" si="78"/>
        <v>100</v>
      </c>
      <c r="CE75" s="380">
        <f t="shared" si="79"/>
        <v>5.5E-2</v>
      </c>
      <c r="CF75" s="469">
        <f t="shared" si="80"/>
        <v>100</v>
      </c>
      <c r="CG75" s="380">
        <f t="shared" si="81"/>
        <v>5.5E-2</v>
      </c>
      <c r="CH75" s="468">
        <f t="shared" si="82"/>
        <v>5.5E-2</v>
      </c>
      <c r="CI75" s="319">
        <v>1</v>
      </c>
      <c r="CJ75" s="318">
        <f t="shared" si="83"/>
        <v>0.33333333333333331</v>
      </c>
      <c r="CK75" s="1259">
        <v>1</v>
      </c>
      <c r="CL75" s="301">
        <f t="shared" si="84"/>
        <v>0</v>
      </c>
      <c r="CM75" s="381">
        <f t="shared" si="85"/>
        <v>1</v>
      </c>
      <c r="CN75" s="381">
        <f t="shared" si="86"/>
        <v>100</v>
      </c>
      <c r="CO75" s="316">
        <f t="shared" si="87"/>
        <v>100</v>
      </c>
      <c r="CP75" s="381">
        <f t="shared" si="88"/>
        <v>5.5E-2</v>
      </c>
      <c r="CQ75" s="381">
        <f t="shared" si="89"/>
        <v>5.5E-2</v>
      </c>
      <c r="CR75" s="313">
        <v>651000000</v>
      </c>
      <c r="CS75" s="313">
        <v>651000000</v>
      </c>
      <c r="CT75" s="313">
        <v>0</v>
      </c>
      <c r="CU75" s="313">
        <v>0</v>
      </c>
      <c r="CV75" s="313">
        <v>0</v>
      </c>
      <c r="CW75" s="313">
        <v>0</v>
      </c>
      <c r="CX75" s="313">
        <v>0</v>
      </c>
      <c r="CY75" s="313">
        <v>0</v>
      </c>
      <c r="CZ75" s="380">
        <v>0</v>
      </c>
      <c r="DA75" s="380">
        <v>0</v>
      </c>
      <c r="DB75" s="380">
        <v>0</v>
      </c>
      <c r="DC75" s="380">
        <v>0</v>
      </c>
      <c r="DD75" s="380">
        <v>0</v>
      </c>
      <c r="DE75" s="380">
        <v>0</v>
      </c>
      <c r="DF75" s="380">
        <v>0</v>
      </c>
      <c r="DG75" s="380">
        <v>0</v>
      </c>
      <c r="DH75" s="380">
        <v>0</v>
      </c>
      <c r="DI75" s="380">
        <v>0</v>
      </c>
      <c r="DJ75" s="380">
        <v>0</v>
      </c>
      <c r="DK75" s="702">
        <f t="shared" si="90"/>
        <v>3</v>
      </c>
      <c r="DL75" s="311">
        <f t="shared" si="91"/>
        <v>0.16500000000000001</v>
      </c>
      <c r="DM75" s="310">
        <f t="shared" si="92"/>
        <v>100</v>
      </c>
      <c r="DN75" s="356">
        <f t="shared" si="93"/>
        <v>100</v>
      </c>
      <c r="DO75" s="308">
        <f t="shared" si="94"/>
        <v>0.16500000000000001</v>
      </c>
      <c r="DP75" s="359">
        <f>+IF(((DN75*Q75)/100)&lt;Q75, ((DN75*Q75)/100),Q75)</f>
        <v>0.16500000000000001</v>
      </c>
      <c r="DQ75" s="306">
        <f t="shared" si="95"/>
        <v>0.16500000000000001</v>
      </c>
      <c r="DR75" s="379">
        <f t="shared" si="96"/>
        <v>1</v>
      </c>
      <c r="DS75" s="378">
        <f t="shared" si="97"/>
        <v>0</v>
      </c>
      <c r="DT75" s="173">
        <v>74</v>
      </c>
      <c r="DU75" s="174" t="s">
        <v>283</v>
      </c>
      <c r="DV75" s="173">
        <v>118</v>
      </c>
      <c r="DW75" s="174" t="s">
        <v>319</v>
      </c>
      <c r="DX75" s="173"/>
      <c r="DY75" s="173"/>
      <c r="DZ75" s="173"/>
      <c r="EA75" s="665"/>
      <c r="EB75" s="1254" t="s">
        <v>2220</v>
      </c>
      <c r="EC75" s="537">
        <v>1048000000</v>
      </c>
      <c r="EE75" s="734">
        <v>1300</v>
      </c>
      <c r="EF75" s="706"/>
    </row>
    <row r="76" spans="4:136" s="302" customFormat="1" ht="165.75" hidden="1">
      <c r="D76" s="520">
        <v>73</v>
      </c>
      <c r="E76" s="534">
        <v>100</v>
      </c>
      <c r="F76" s="523" t="s">
        <v>43</v>
      </c>
      <c r="G76" s="523" t="s">
        <v>3</v>
      </c>
      <c r="H76" s="524" t="s">
        <v>2653</v>
      </c>
      <c r="I76" s="462" t="s">
        <v>187</v>
      </c>
      <c r="J76" s="335" t="s">
        <v>320</v>
      </c>
      <c r="K76" s="335" t="s">
        <v>321</v>
      </c>
      <c r="L76" s="454" t="s">
        <v>1501</v>
      </c>
      <c r="M76" s="333" t="s">
        <v>1785</v>
      </c>
      <c r="N76" s="333">
        <v>56000</v>
      </c>
      <c r="O76" s="333">
        <f>+P76</f>
        <v>80000</v>
      </c>
      <c r="P76" s="332">
        <v>80000</v>
      </c>
      <c r="Q76" s="390">
        <v>0.16500000000000001</v>
      </c>
      <c r="R76" s="342">
        <f t="shared" si="61"/>
        <v>4.1250000000000002E-2</v>
      </c>
      <c r="S76" s="459">
        <v>80000</v>
      </c>
      <c r="T76" s="387">
        <f t="shared" si="62"/>
        <v>0.25</v>
      </c>
      <c r="U76" s="670">
        <v>102622</v>
      </c>
      <c r="V76" s="388">
        <f t="shared" si="63"/>
        <v>25655.5</v>
      </c>
      <c r="W76" s="356">
        <f t="shared" si="64"/>
        <v>128.2775</v>
      </c>
      <c r="X76" s="356">
        <f t="shared" si="65"/>
        <v>100</v>
      </c>
      <c r="Y76" s="356">
        <f t="shared" si="40"/>
        <v>4.1250000000000002E-2</v>
      </c>
      <c r="Z76" s="356">
        <f t="shared" si="66"/>
        <v>100</v>
      </c>
      <c r="AA76" s="313">
        <v>856000000</v>
      </c>
      <c r="AB76" s="313">
        <v>856000000</v>
      </c>
      <c r="AC76" s="313">
        <v>0</v>
      </c>
      <c r="AD76" s="313">
        <v>0</v>
      </c>
      <c r="AE76" s="313">
        <v>0</v>
      </c>
      <c r="AF76" s="313">
        <v>0</v>
      </c>
      <c r="AG76" s="313">
        <v>0</v>
      </c>
      <c r="AH76" s="313">
        <v>0</v>
      </c>
      <c r="AI76" s="313">
        <v>1365337000</v>
      </c>
      <c r="AJ76" s="313">
        <v>1365337000</v>
      </c>
      <c r="AK76" s="313">
        <v>0</v>
      </c>
      <c r="AL76" s="313">
        <v>0</v>
      </c>
      <c r="AM76" s="313">
        <v>0</v>
      </c>
      <c r="AN76" s="313">
        <v>0</v>
      </c>
      <c r="AO76" s="313">
        <v>0</v>
      </c>
      <c r="AP76" s="313">
        <v>0</v>
      </c>
      <c r="AQ76" s="313">
        <v>0</v>
      </c>
      <c r="AR76" s="313">
        <v>0</v>
      </c>
      <c r="AS76" s="313" t="s">
        <v>1798</v>
      </c>
      <c r="AT76" s="333">
        <f t="shared" si="67"/>
        <v>4.1250000000000002E-2</v>
      </c>
      <c r="AU76" s="333">
        <v>80000</v>
      </c>
      <c r="AV76" s="387">
        <f t="shared" si="68"/>
        <v>0.25</v>
      </c>
      <c r="AW76" s="677">
        <v>91296</v>
      </c>
      <c r="AX76" s="474">
        <f t="shared" si="69"/>
        <v>22824</v>
      </c>
      <c r="AY76" s="474">
        <f t="shared" si="70"/>
        <v>114.12</v>
      </c>
      <c r="AZ76" s="474">
        <f t="shared" si="71"/>
        <v>100</v>
      </c>
      <c r="BA76" s="356">
        <f t="shared" si="72"/>
        <v>4.1250000000000002E-2</v>
      </c>
      <c r="BB76" s="356">
        <f t="shared" si="73"/>
        <v>100</v>
      </c>
      <c r="BC76" s="313">
        <v>1600000000</v>
      </c>
      <c r="BD76" s="313">
        <v>0</v>
      </c>
      <c r="BE76" s="313">
        <v>1600000000</v>
      </c>
      <c r="BF76" s="313">
        <v>0</v>
      </c>
      <c r="BG76" s="313">
        <v>0</v>
      </c>
      <c r="BH76" s="313">
        <v>0</v>
      </c>
      <c r="BI76" s="313">
        <v>0</v>
      </c>
      <c r="BJ76" s="313">
        <v>0</v>
      </c>
      <c r="BK76" s="473">
        <v>1338932609</v>
      </c>
      <c r="BL76" s="472">
        <v>952616670</v>
      </c>
      <c r="BM76" s="472">
        <v>0</v>
      </c>
      <c r="BN76" s="472">
        <v>386315939</v>
      </c>
      <c r="BO76" s="472">
        <v>0</v>
      </c>
      <c r="BP76" s="472">
        <v>0</v>
      </c>
      <c r="BQ76" s="472">
        <v>0</v>
      </c>
      <c r="BR76" s="472">
        <v>0</v>
      </c>
      <c r="BS76" s="472">
        <v>0</v>
      </c>
      <c r="BT76" s="472">
        <v>0</v>
      </c>
      <c r="BU76" s="472">
        <v>0</v>
      </c>
      <c r="BV76" s="342">
        <f t="shared" si="74"/>
        <v>4.1250000000000002E-2</v>
      </c>
      <c r="BW76" s="350">
        <v>80000</v>
      </c>
      <c r="BX76" s="385">
        <f t="shared" si="75"/>
        <v>0.25</v>
      </c>
      <c r="BY76" s="369">
        <v>92752</v>
      </c>
      <c r="BZ76" s="391">
        <v>92752</v>
      </c>
      <c r="CA76" s="689">
        <v>92752</v>
      </c>
      <c r="CB76" s="471">
        <f t="shared" si="76"/>
        <v>23188</v>
      </c>
      <c r="CC76" s="471">
        <f t="shared" si="77"/>
        <v>115.94</v>
      </c>
      <c r="CD76" s="470">
        <f t="shared" si="78"/>
        <v>100</v>
      </c>
      <c r="CE76" s="380">
        <f t="shared" si="79"/>
        <v>4.1250000000000002E-2</v>
      </c>
      <c r="CF76" s="469">
        <f t="shared" si="80"/>
        <v>100</v>
      </c>
      <c r="CG76" s="380">
        <f t="shared" si="81"/>
        <v>4.782525E-2</v>
      </c>
      <c r="CH76" s="468">
        <f t="shared" si="82"/>
        <v>4.1250000000000002E-2</v>
      </c>
      <c r="CI76" s="319">
        <v>80000</v>
      </c>
      <c r="CJ76" s="318">
        <f t="shared" si="83"/>
        <v>0.25</v>
      </c>
      <c r="CK76" s="1259">
        <v>90000</v>
      </c>
      <c r="CL76" s="301">
        <f t="shared" si="84"/>
        <v>-10000</v>
      </c>
      <c r="CM76" s="381">
        <f t="shared" si="85"/>
        <v>22500</v>
      </c>
      <c r="CN76" s="381">
        <f t="shared" si="86"/>
        <v>112.5</v>
      </c>
      <c r="CO76" s="381">
        <f t="shared" si="87"/>
        <v>100</v>
      </c>
      <c r="CP76" s="381">
        <f t="shared" si="88"/>
        <v>4.1250000000000002E-2</v>
      </c>
      <c r="CQ76" s="381">
        <f t="shared" si="89"/>
        <v>4.6406250000000003E-2</v>
      </c>
      <c r="CR76" s="313">
        <v>1600000000</v>
      </c>
      <c r="CS76" s="313">
        <v>1600000000</v>
      </c>
      <c r="CT76" s="313">
        <v>0</v>
      </c>
      <c r="CU76" s="313">
        <v>0</v>
      </c>
      <c r="CV76" s="313">
        <v>0</v>
      </c>
      <c r="CW76" s="313">
        <v>0</v>
      </c>
      <c r="CX76" s="313">
        <v>0</v>
      </c>
      <c r="CY76" s="313">
        <v>0</v>
      </c>
      <c r="CZ76" s="380">
        <v>0</v>
      </c>
      <c r="DA76" s="380">
        <v>0</v>
      </c>
      <c r="DB76" s="380">
        <v>0</v>
      </c>
      <c r="DC76" s="380">
        <v>0</v>
      </c>
      <c r="DD76" s="380">
        <v>0</v>
      </c>
      <c r="DE76" s="380">
        <v>0</v>
      </c>
      <c r="DF76" s="380">
        <v>0</v>
      </c>
      <c r="DG76" s="380">
        <v>0</v>
      </c>
      <c r="DH76" s="380">
        <v>0</v>
      </c>
      <c r="DI76" s="380">
        <v>0</v>
      </c>
      <c r="DJ76" s="380">
        <v>0</v>
      </c>
      <c r="DK76" s="702">
        <f t="shared" si="90"/>
        <v>94167.5</v>
      </c>
      <c r="DL76" s="311">
        <f t="shared" si="91"/>
        <v>0.16500000000000001</v>
      </c>
      <c r="DM76" s="310">
        <f t="shared" si="92"/>
        <v>117.70937499999999</v>
      </c>
      <c r="DN76" s="356">
        <f t="shared" si="93"/>
        <v>100</v>
      </c>
      <c r="DO76" s="308">
        <f t="shared" si="94"/>
        <v>0.16500000000000001</v>
      </c>
      <c r="DP76" s="359">
        <f>+IF(M76="M",DO76,0)</f>
        <v>0.16500000000000001</v>
      </c>
      <c r="DQ76" s="306">
        <f t="shared" si="95"/>
        <v>0.16500000000000001</v>
      </c>
      <c r="DR76" s="379">
        <f t="shared" si="96"/>
        <v>1</v>
      </c>
      <c r="DS76" s="378">
        <f t="shared" si="97"/>
        <v>0</v>
      </c>
      <c r="DT76" s="173">
        <v>74</v>
      </c>
      <c r="DU76" s="174" t="s">
        <v>283</v>
      </c>
      <c r="DV76" s="173"/>
      <c r="DW76" s="174" t="s">
        <v>84</v>
      </c>
      <c r="DX76" s="173"/>
      <c r="DY76" s="173"/>
      <c r="DZ76" s="173"/>
      <c r="EA76" s="665"/>
      <c r="EB76" s="1254" t="s">
        <v>2499</v>
      </c>
      <c r="EC76" s="537">
        <v>113000000</v>
      </c>
      <c r="EE76" s="734">
        <v>0</v>
      </c>
      <c r="EF76" s="706"/>
    </row>
    <row r="77" spans="4:136" s="302" customFormat="1" ht="48" hidden="1">
      <c r="D77" s="520">
        <v>74</v>
      </c>
      <c r="E77" s="534">
        <v>101</v>
      </c>
      <c r="F77" s="523" t="s">
        <v>43</v>
      </c>
      <c r="G77" s="523" t="s">
        <v>3</v>
      </c>
      <c r="H77" s="524" t="s">
        <v>2653</v>
      </c>
      <c r="I77" s="462" t="s">
        <v>187</v>
      </c>
      <c r="J77" s="335" t="s">
        <v>322</v>
      </c>
      <c r="K77" s="335" t="s">
        <v>323</v>
      </c>
      <c r="L77" s="454" t="s">
        <v>1501</v>
      </c>
      <c r="M77" s="333" t="s">
        <v>1771</v>
      </c>
      <c r="N77" s="333">
        <v>0</v>
      </c>
      <c r="O77" s="333">
        <f>+N77+P77</f>
        <v>17400</v>
      </c>
      <c r="P77" s="332">
        <v>17400</v>
      </c>
      <c r="Q77" s="390">
        <v>0.16500000000000001</v>
      </c>
      <c r="R77" s="342">
        <f t="shared" si="61"/>
        <v>4.1250000000000002E-2</v>
      </c>
      <c r="S77" s="459">
        <v>4350</v>
      </c>
      <c r="T77" s="387">
        <f t="shared" si="62"/>
        <v>0.25</v>
      </c>
      <c r="U77" s="670">
        <v>12071</v>
      </c>
      <c r="V77" s="388">
        <f t="shared" si="63"/>
        <v>12071</v>
      </c>
      <c r="W77" s="356">
        <f t="shared" si="64"/>
        <v>277.4942528735632</v>
      </c>
      <c r="X77" s="356">
        <f t="shared" si="65"/>
        <v>100</v>
      </c>
      <c r="Y77" s="356">
        <f t="shared" si="40"/>
        <v>4.1250000000000002E-2</v>
      </c>
      <c r="Z77" s="356">
        <f t="shared" si="66"/>
        <v>100</v>
      </c>
      <c r="AA77" s="313">
        <v>464000000</v>
      </c>
      <c r="AB77" s="313">
        <v>6000000</v>
      </c>
      <c r="AC77" s="313">
        <v>0</v>
      </c>
      <c r="AD77" s="313">
        <v>0</v>
      </c>
      <c r="AE77" s="313">
        <v>0</v>
      </c>
      <c r="AF77" s="313">
        <v>0</v>
      </c>
      <c r="AG77" s="313">
        <v>0</v>
      </c>
      <c r="AH77" s="313">
        <v>458000000</v>
      </c>
      <c r="AI77" s="313">
        <v>464000000</v>
      </c>
      <c r="AJ77" s="313">
        <v>6000000</v>
      </c>
      <c r="AK77" s="313">
        <v>0</v>
      </c>
      <c r="AL77" s="313">
        <v>458000000</v>
      </c>
      <c r="AM77" s="313">
        <v>0</v>
      </c>
      <c r="AN77" s="313">
        <v>0</v>
      </c>
      <c r="AO77" s="313">
        <v>0</v>
      </c>
      <c r="AP77" s="313">
        <v>0</v>
      </c>
      <c r="AQ77" s="313">
        <v>0</v>
      </c>
      <c r="AR77" s="313">
        <v>0</v>
      </c>
      <c r="AS77" s="313" t="s">
        <v>1798</v>
      </c>
      <c r="AT77" s="333">
        <f t="shared" si="67"/>
        <v>4.1250000000000002E-2</v>
      </c>
      <c r="AU77" s="333">
        <v>4350</v>
      </c>
      <c r="AV77" s="387">
        <f t="shared" si="68"/>
        <v>0.25</v>
      </c>
      <c r="AW77" s="677">
        <v>4500</v>
      </c>
      <c r="AX77" s="474">
        <f t="shared" si="69"/>
        <v>4500</v>
      </c>
      <c r="AY77" s="474">
        <f t="shared" si="70"/>
        <v>103.44827586206897</v>
      </c>
      <c r="AZ77" s="474">
        <f t="shared" si="71"/>
        <v>100</v>
      </c>
      <c r="BA77" s="356">
        <f t="shared" si="72"/>
        <v>4.1250000000000002E-2</v>
      </c>
      <c r="BB77" s="356">
        <f t="shared" si="73"/>
        <v>100</v>
      </c>
      <c r="BC77" s="313">
        <v>868000000</v>
      </c>
      <c r="BD77" s="313">
        <v>0</v>
      </c>
      <c r="BE77" s="313">
        <v>0</v>
      </c>
      <c r="BF77" s="313">
        <v>0</v>
      </c>
      <c r="BG77" s="313">
        <v>0</v>
      </c>
      <c r="BH77" s="313">
        <v>0</v>
      </c>
      <c r="BI77" s="313">
        <v>0</v>
      </c>
      <c r="BJ77" s="313">
        <v>868000000</v>
      </c>
      <c r="BK77" s="473">
        <v>819762232</v>
      </c>
      <c r="BL77" s="472">
        <v>561227272</v>
      </c>
      <c r="BM77" s="472">
        <v>0</v>
      </c>
      <c r="BN77" s="472">
        <v>258534960</v>
      </c>
      <c r="BO77" s="472">
        <v>0</v>
      </c>
      <c r="BP77" s="472">
        <v>0</v>
      </c>
      <c r="BQ77" s="472">
        <v>0</v>
      </c>
      <c r="BR77" s="472">
        <v>0</v>
      </c>
      <c r="BS77" s="472">
        <v>0</v>
      </c>
      <c r="BT77" s="472">
        <v>0</v>
      </c>
      <c r="BU77" s="472">
        <v>0</v>
      </c>
      <c r="BV77" s="342">
        <f t="shared" si="74"/>
        <v>5.3710344827586208E-2</v>
      </c>
      <c r="BW77" s="350">
        <v>5664</v>
      </c>
      <c r="BX77" s="385">
        <f t="shared" si="75"/>
        <v>0.32551724137931032</v>
      </c>
      <c r="BY77" s="369">
        <v>5069</v>
      </c>
      <c r="BZ77" s="391">
        <v>5069</v>
      </c>
      <c r="CA77" s="689">
        <v>5069</v>
      </c>
      <c r="CB77" s="471">
        <f t="shared" si="76"/>
        <v>5069</v>
      </c>
      <c r="CC77" s="471">
        <f t="shared" si="77"/>
        <v>89.495056497175142</v>
      </c>
      <c r="CD77" s="470">
        <f t="shared" si="78"/>
        <v>89.495056497175142</v>
      </c>
      <c r="CE77" s="380">
        <f t="shared" si="79"/>
        <v>4.8068103448275862E-2</v>
      </c>
      <c r="CF77" s="469">
        <f t="shared" si="80"/>
        <v>89.495056497175142</v>
      </c>
      <c r="CG77" s="380">
        <f t="shared" si="81"/>
        <v>4.8068103448275862E-2</v>
      </c>
      <c r="CH77" s="468">
        <f t="shared" si="82"/>
        <v>2.8789655172413796E-2</v>
      </c>
      <c r="CI77" s="319">
        <v>3036</v>
      </c>
      <c r="CJ77" s="318">
        <f t="shared" si="83"/>
        <v>0.17448275862068965</v>
      </c>
      <c r="CK77" s="1258">
        <v>41</v>
      </c>
      <c r="CL77" s="301">
        <f t="shared" si="84"/>
        <v>2995</v>
      </c>
      <c r="CM77" s="381">
        <f t="shared" si="85"/>
        <v>41</v>
      </c>
      <c r="CN77" s="381">
        <f t="shared" si="86"/>
        <v>1.3504611330698286</v>
      </c>
      <c r="CO77" s="316">
        <f t="shared" si="87"/>
        <v>1.3504611330698286</v>
      </c>
      <c r="CP77" s="381">
        <f t="shared" si="88"/>
        <v>3.8879310344827589E-4</v>
      </c>
      <c r="CQ77" s="381">
        <f t="shared" si="89"/>
        <v>3.8879310344827589E-4</v>
      </c>
      <c r="CR77" s="313">
        <v>957000000</v>
      </c>
      <c r="CS77" s="313">
        <v>0</v>
      </c>
      <c r="CT77" s="313">
        <v>0</v>
      </c>
      <c r="CU77" s="313">
        <v>0</v>
      </c>
      <c r="CV77" s="313">
        <v>0</v>
      </c>
      <c r="CW77" s="313">
        <v>0</v>
      </c>
      <c r="CX77" s="313">
        <v>0</v>
      </c>
      <c r="CY77" s="313">
        <v>957000000</v>
      </c>
      <c r="CZ77" s="380">
        <v>0</v>
      </c>
      <c r="DA77" s="380">
        <v>0</v>
      </c>
      <c r="DB77" s="380">
        <v>0</v>
      </c>
      <c r="DC77" s="380">
        <v>0</v>
      </c>
      <c r="DD77" s="380">
        <v>0</v>
      </c>
      <c r="DE77" s="380">
        <v>0</v>
      </c>
      <c r="DF77" s="380">
        <v>0</v>
      </c>
      <c r="DG77" s="380">
        <v>0</v>
      </c>
      <c r="DH77" s="380">
        <v>0</v>
      </c>
      <c r="DI77" s="380">
        <v>0</v>
      </c>
      <c r="DJ77" s="380">
        <v>0</v>
      </c>
      <c r="DK77" s="702">
        <f t="shared" si="90"/>
        <v>21681</v>
      </c>
      <c r="DL77" s="311">
        <f t="shared" si="91"/>
        <v>0.16500000000000001</v>
      </c>
      <c r="DM77" s="310">
        <f t="shared" si="92"/>
        <v>124.60344827586206</v>
      </c>
      <c r="DN77" s="356">
        <f t="shared" si="93"/>
        <v>100</v>
      </c>
      <c r="DO77" s="308">
        <f t="shared" si="94"/>
        <v>0.16500000000000001</v>
      </c>
      <c r="DP77" s="359">
        <f>+IF(((DN77*Q77)/100)&lt;Q77, ((DN77*Q77)/100),Q77)</f>
        <v>0.16500000000000001</v>
      </c>
      <c r="DQ77" s="306">
        <f t="shared" si="95"/>
        <v>0.16500000000000001</v>
      </c>
      <c r="DR77" s="379">
        <f t="shared" si="96"/>
        <v>1</v>
      </c>
      <c r="DS77" s="378">
        <f t="shared" si="97"/>
        <v>0</v>
      </c>
      <c r="DT77" s="173">
        <v>74</v>
      </c>
      <c r="DU77" s="174" t="s">
        <v>283</v>
      </c>
      <c r="DV77" s="173"/>
      <c r="DW77" s="174" t="s">
        <v>84</v>
      </c>
      <c r="DX77" s="173"/>
      <c r="DY77" s="173"/>
      <c r="DZ77" s="173"/>
      <c r="EA77" s="665"/>
      <c r="EB77" s="1254" t="s">
        <v>2218</v>
      </c>
      <c r="EC77" s="537">
        <v>52000000</v>
      </c>
      <c r="EE77" s="734">
        <v>1</v>
      </c>
      <c r="EF77" s="706"/>
    </row>
    <row r="78" spans="4:136" s="302" customFormat="1" ht="89.25" hidden="1">
      <c r="D78" s="520">
        <v>75</v>
      </c>
      <c r="E78" s="534">
        <v>102</v>
      </c>
      <c r="F78" s="523" t="s">
        <v>43</v>
      </c>
      <c r="G78" s="523" t="s">
        <v>81</v>
      </c>
      <c r="H78" s="524" t="s">
        <v>2653</v>
      </c>
      <c r="I78" s="462" t="s">
        <v>187</v>
      </c>
      <c r="J78" s="335" t="s">
        <v>324</v>
      </c>
      <c r="K78" s="335" t="s">
        <v>325</v>
      </c>
      <c r="L78" s="454" t="s">
        <v>1415</v>
      </c>
      <c r="M78" s="333" t="s">
        <v>1785</v>
      </c>
      <c r="N78" s="333">
        <v>40</v>
      </c>
      <c r="O78" s="333">
        <f>+P78</f>
        <v>40</v>
      </c>
      <c r="P78" s="332">
        <v>40</v>
      </c>
      <c r="Q78" s="390">
        <v>0.25</v>
      </c>
      <c r="R78" s="342">
        <f t="shared" si="61"/>
        <v>6.25E-2</v>
      </c>
      <c r="S78" s="459">
        <v>40</v>
      </c>
      <c r="T78" s="387">
        <f t="shared" si="62"/>
        <v>0.25</v>
      </c>
      <c r="U78" s="670">
        <v>78</v>
      </c>
      <c r="V78" s="388">
        <f t="shared" si="63"/>
        <v>19.5</v>
      </c>
      <c r="W78" s="356">
        <f t="shared" si="64"/>
        <v>195</v>
      </c>
      <c r="X78" s="356">
        <f t="shared" si="65"/>
        <v>100</v>
      </c>
      <c r="Y78" s="356">
        <f t="shared" si="40"/>
        <v>6.25E-2</v>
      </c>
      <c r="Z78" s="356">
        <f t="shared" si="66"/>
        <v>100</v>
      </c>
      <c r="AA78" s="313">
        <v>308000000</v>
      </c>
      <c r="AB78" s="313">
        <v>308000000</v>
      </c>
      <c r="AC78" s="313">
        <v>0</v>
      </c>
      <c r="AD78" s="313">
        <v>0</v>
      </c>
      <c r="AE78" s="313">
        <v>0</v>
      </c>
      <c r="AF78" s="313">
        <v>0</v>
      </c>
      <c r="AG78" s="313">
        <v>0</v>
      </c>
      <c r="AH78" s="313">
        <v>0</v>
      </c>
      <c r="AI78" s="313">
        <v>274832000</v>
      </c>
      <c r="AJ78" s="313">
        <v>274832000</v>
      </c>
      <c r="AK78" s="313">
        <v>0</v>
      </c>
      <c r="AL78" s="313">
        <v>0</v>
      </c>
      <c r="AM78" s="313">
        <v>0</v>
      </c>
      <c r="AN78" s="313">
        <v>0</v>
      </c>
      <c r="AO78" s="313">
        <v>0</v>
      </c>
      <c r="AP78" s="313">
        <v>0</v>
      </c>
      <c r="AQ78" s="313">
        <v>0</v>
      </c>
      <c r="AR78" s="313">
        <v>91335000</v>
      </c>
      <c r="AS78" s="313" t="s">
        <v>1415</v>
      </c>
      <c r="AT78" s="333">
        <f t="shared" si="67"/>
        <v>6.25E-2</v>
      </c>
      <c r="AU78" s="333">
        <v>40</v>
      </c>
      <c r="AV78" s="387">
        <f t="shared" si="68"/>
        <v>0.25</v>
      </c>
      <c r="AW78" s="677">
        <v>97</v>
      </c>
      <c r="AX78" s="474">
        <f t="shared" si="69"/>
        <v>24.25</v>
      </c>
      <c r="AY78" s="474">
        <f t="shared" si="70"/>
        <v>242.5</v>
      </c>
      <c r="AZ78" s="474">
        <f t="shared" si="71"/>
        <v>100</v>
      </c>
      <c r="BA78" s="356">
        <f t="shared" si="72"/>
        <v>6.25E-2</v>
      </c>
      <c r="BB78" s="356">
        <f t="shared" si="73"/>
        <v>100</v>
      </c>
      <c r="BC78" s="313">
        <v>755000000</v>
      </c>
      <c r="BD78" s="313">
        <v>0</v>
      </c>
      <c r="BE78" s="313">
        <v>380000000</v>
      </c>
      <c r="BF78" s="313">
        <v>0</v>
      </c>
      <c r="BG78" s="313">
        <v>0</v>
      </c>
      <c r="BH78" s="313">
        <v>0</v>
      </c>
      <c r="BI78" s="313">
        <v>0</v>
      </c>
      <c r="BJ78" s="313">
        <v>375000000</v>
      </c>
      <c r="BK78" s="473">
        <v>580688166</v>
      </c>
      <c r="BL78" s="472">
        <v>580688166</v>
      </c>
      <c r="BM78" s="472">
        <v>0</v>
      </c>
      <c r="BN78" s="472">
        <v>0</v>
      </c>
      <c r="BO78" s="472">
        <v>0</v>
      </c>
      <c r="BP78" s="472">
        <v>0</v>
      </c>
      <c r="BQ78" s="472">
        <v>0</v>
      </c>
      <c r="BR78" s="472">
        <v>0</v>
      </c>
      <c r="BS78" s="472">
        <v>0</v>
      </c>
      <c r="BT78" s="472">
        <v>0</v>
      </c>
      <c r="BU78" s="472">
        <v>0</v>
      </c>
      <c r="BV78" s="342">
        <f t="shared" si="74"/>
        <v>6.25E-2</v>
      </c>
      <c r="BW78" s="350">
        <v>40</v>
      </c>
      <c r="BX78" s="385">
        <f t="shared" si="75"/>
        <v>0.25</v>
      </c>
      <c r="BY78" s="369">
        <v>50</v>
      </c>
      <c r="BZ78" s="391">
        <v>50</v>
      </c>
      <c r="CA78" s="689">
        <v>57</v>
      </c>
      <c r="CB78" s="471">
        <f t="shared" si="76"/>
        <v>14.25</v>
      </c>
      <c r="CC78" s="471">
        <f t="shared" si="77"/>
        <v>142.5</v>
      </c>
      <c r="CD78" s="470">
        <f t="shared" si="78"/>
        <v>100</v>
      </c>
      <c r="CE78" s="380">
        <f t="shared" si="79"/>
        <v>6.25E-2</v>
      </c>
      <c r="CF78" s="469">
        <f t="shared" si="80"/>
        <v>100</v>
      </c>
      <c r="CG78" s="380">
        <f t="shared" si="81"/>
        <v>8.9062500000000003E-2</v>
      </c>
      <c r="CH78" s="468">
        <f t="shared" si="82"/>
        <v>6.25E-2</v>
      </c>
      <c r="CI78" s="319">
        <v>40</v>
      </c>
      <c r="CJ78" s="318">
        <f t="shared" si="83"/>
        <v>0.25</v>
      </c>
      <c r="CK78" s="1259">
        <v>143</v>
      </c>
      <c r="CL78" s="301">
        <f t="shared" si="84"/>
        <v>-103</v>
      </c>
      <c r="CM78" s="381">
        <f t="shared" si="85"/>
        <v>35.75</v>
      </c>
      <c r="CN78" s="381">
        <f t="shared" si="86"/>
        <v>357.5</v>
      </c>
      <c r="CO78" s="381">
        <f t="shared" si="87"/>
        <v>100</v>
      </c>
      <c r="CP78" s="381">
        <f t="shared" si="88"/>
        <v>6.25E-2</v>
      </c>
      <c r="CQ78" s="381">
        <f t="shared" si="89"/>
        <v>0.22343750000000001</v>
      </c>
      <c r="CR78" s="313">
        <v>775000000</v>
      </c>
      <c r="CS78" s="313">
        <v>400000000</v>
      </c>
      <c r="CT78" s="313">
        <v>0</v>
      </c>
      <c r="CU78" s="313">
        <v>0</v>
      </c>
      <c r="CV78" s="313">
        <v>0</v>
      </c>
      <c r="CW78" s="313">
        <v>0</v>
      </c>
      <c r="CX78" s="313">
        <v>0</v>
      </c>
      <c r="CY78" s="313">
        <v>375000000</v>
      </c>
      <c r="CZ78" s="380">
        <v>0</v>
      </c>
      <c r="DA78" s="380">
        <v>0</v>
      </c>
      <c r="DB78" s="380">
        <v>0</v>
      </c>
      <c r="DC78" s="380">
        <v>0</v>
      </c>
      <c r="DD78" s="380">
        <v>0</v>
      </c>
      <c r="DE78" s="380">
        <v>0</v>
      </c>
      <c r="DF78" s="380">
        <v>0</v>
      </c>
      <c r="DG78" s="380">
        <v>0</v>
      </c>
      <c r="DH78" s="380">
        <v>0</v>
      </c>
      <c r="DI78" s="380">
        <v>0</v>
      </c>
      <c r="DJ78" s="380">
        <v>0</v>
      </c>
      <c r="DK78" s="702">
        <f t="shared" si="90"/>
        <v>93.75</v>
      </c>
      <c r="DL78" s="311">
        <f t="shared" si="91"/>
        <v>0.25</v>
      </c>
      <c r="DM78" s="310">
        <f t="shared" si="92"/>
        <v>234.375</v>
      </c>
      <c r="DN78" s="356">
        <f t="shared" si="93"/>
        <v>100</v>
      </c>
      <c r="DO78" s="308">
        <f t="shared" si="94"/>
        <v>0.25</v>
      </c>
      <c r="DP78" s="359">
        <f>+IF(M78="M",DO78,0)</f>
        <v>0.25</v>
      </c>
      <c r="DQ78" s="306">
        <f t="shared" si="95"/>
        <v>0.25</v>
      </c>
      <c r="DR78" s="379">
        <f t="shared" si="96"/>
        <v>1</v>
      </c>
      <c r="DS78" s="378">
        <f t="shared" si="97"/>
        <v>0</v>
      </c>
      <c r="DT78" s="173">
        <v>74</v>
      </c>
      <c r="DU78" s="174" t="s">
        <v>283</v>
      </c>
      <c r="DV78" s="173"/>
      <c r="DW78" s="174" t="s">
        <v>84</v>
      </c>
      <c r="DX78" s="173"/>
      <c r="DY78" s="173"/>
      <c r="DZ78" s="173"/>
      <c r="EA78" s="665"/>
      <c r="EB78" s="1254" t="s">
        <v>2500</v>
      </c>
      <c r="EC78" s="537">
        <v>12000000</v>
      </c>
      <c r="EE78" s="734">
        <v>1</v>
      </c>
      <c r="EF78" s="706"/>
    </row>
    <row r="79" spans="4:136" s="302" customFormat="1" ht="114.75" hidden="1">
      <c r="D79" s="520">
        <v>76</v>
      </c>
      <c r="E79" s="534">
        <v>103</v>
      </c>
      <c r="F79" s="523" t="s">
        <v>43</v>
      </c>
      <c r="G79" s="523" t="s">
        <v>81</v>
      </c>
      <c r="H79" s="524" t="s">
        <v>2653</v>
      </c>
      <c r="I79" s="462" t="s">
        <v>187</v>
      </c>
      <c r="J79" s="335" t="s">
        <v>326</v>
      </c>
      <c r="K79" s="335" t="s">
        <v>327</v>
      </c>
      <c r="L79" s="454" t="s">
        <v>1983</v>
      </c>
      <c r="M79" s="333" t="s">
        <v>1771</v>
      </c>
      <c r="N79" s="333">
        <v>92</v>
      </c>
      <c r="O79" s="333">
        <v>116</v>
      </c>
      <c r="P79" s="332">
        <v>116</v>
      </c>
      <c r="Q79" s="390">
        <v>0.16500000000000001</v>
      </c>
      <c r="R79" s="342">
        <f t="shared" si="61"/>
        <v>4.1250000000000002E-2</v>
      </c>
      <c r="S79" s="459">
        <v>29</v>
      </c>
      <c r="T79" s="387">
        <f t="shared" si="62"/>
        <v>0.25</v>
      </c>
      <c r="U79" s="670">
        <v>47</v>
      </c>
      <c r="V79" s="388">
        <f t="shared" si="63"/>
        <v>47</v>
      </c>
      <c r="W79" s="356">
        <f t="shared" si="64"/>
        <v>162.06896551724137</v>
      </c>
      <c r="X79" s="356">
        <f t="shared" si="65"/>
        <v>100</v>
      </c>
      <c r="Y79" s="356">
        <f t="shared" si="40"/>
        <v>4.1250000000000002E-2</v>
      </c>
      <c r="Z79" s="356">
        <f t="shared" si="66"/>
        <v>100</v>
      </c>
      <c r="AA79" s="313">
        <v>72000000</v>
      </c>
      <c r="AB79" s="313">
        <v>54000000</v>
      </c>
      <c r="AC79" s="313">
        <v>0</v>
      </c>
      <c r="AD79" s="313">
        <v>18000000</v>
      </c>
      <c r="AE79" s="313">
        <v>0</v>
      </c>
      <c r="AF79" s="313">
        <v>0</v>
      </c>
      <c r="AG79" s="313">
        <v>0</v>
      </c>
      <c r="AH79" s="313">
        <v>0</v>
      </c>
      <c r="AI79" s="313">
        <v>0</v>
      </c>
      <c r="AJ79" s="313">
        <v>0</v>
      </c>
      <c r="AK79" s="313">
        <v>0</v>
      </c>
      <c r="AL79" s="313">
        <v>0</v>
      </c>
      <c r="AM79" s="313">
        <v>0</v>
      </c>
      <c r="AN79" s="313">
        <v>0</v>
      </c>
      <c r="AO79" s="313">
        <v>0</v>
      </c>
      <c r="AP79" s="313">
        <v>0</v>
      </c>
      <c r="AQ79" s="313">
        <v>0</v>
      </c>
      <c r="AR79" s="313">
        <v>18182000</v>
      </c>
      <c r="AS79" s="313" t="s">
        <v>1982</v>
      </c>
      <c r="AT79" s="333">
        <f t="shared" si="67"/>
        <v>4.1250000000000002E-2</v>
      </c>
      <c r="AU79" s="333">
        <v>29</v>
      </c>
      <c r="AV79" s="387">
        <f t="shared" si="68"/>
        <v>0.25</v>
      </c>
      <c r="AW79" s="677">
        <v>84</v>
      </c>
      <c r="AX79" s="474">
        <f t="shared" si="69"/>
        <v>84</v>
      </c>
      <c r="AY79" s="474">
        <f t="shared" si="70"/>
        <v>289.65517241379308</v>
      </c>
      <c r="AZ79" s="474">
        <f t="shared" si="71"/>
        <v>100</v>
      </c>
      <c r="BA79" s="356">
        <f t="shared" si="72"/>
        <v>4.1250000000000002E-2</v>
      </c>
      <c r="BB79" s="356">
        <f t="shared" si="73"/>
        <v>100</v>
      </c>
      <c r="BC79" s="313">
        <v>276000000</v>
      </c>
      <c r="BD79" s="313">
        <v>0</v>
      </c>
      <c r="BE79" s="313">
        <v>116000000</v>
      </c>
      <c r="BF79" s="313">
        <v>0</v>
      </c>
      <c r="BG79" s="313">
        <v>0</v>
      </c>
      <c r="BH79" s="313">
        <v>0</v>
      </c>
      <c r="BI79" s="313">
        <v>0</v>
      </c>
      <c r="BJ79" s="313">
        <v>160000000</v>
      </c>
      <c r="BK79" s="473">
        <v>95000000</v>
      </c>
      <c r="BL79" s="472">
        <v>95000000</v>
      </c>
      <c r="BM79" s="472">
        <v>0</v>
      </c>
      <c r="BN79" s="472">
        <v>0</v>
      </c>
      <c r="BO79" s="472">
        <v>0</v>
      </c>
      <c r="BP79" s="472">
        <v>0</v>
      </c>
      <c r="BQ79" s="472">
        <v>0</v>
      </c>
      <c r="BR79" s="472">
        <v>0</v>
      </c>
      <c r="BS79" s="472">
        <v>0</v>
      </c>
      <c r="BT79" s="472">
        <v>0</v>
      </c>
      <c r="BU79" s="472">
        <v>0</v>
      </c>
      <c r="BV79" s="342">
        <f t="shared" si="74"/>
        <v>4.1250000000000002E-2</v>
      </c>
      <c r="BW79" s="350">
        <v>29</v>
      </c>
      <c r="BX79" s="385">
        <f t="shared" si="75"/>
        <v>0.25</v>
      </c>
      <c r="BY79" s="399">
        <v>100</v>
      </c>
      <c r="BZ79" s="398">
        <v>100</v>
      </c>
      <c r="CA79" s="690">
        <v>120</v>
      </c>
      <c r="CB79" s="471">
        <f t="shared" si="76"/>
        <v>120</v>
      </c>
      <c r="CC79" s="471">
        <f t="shared" si="77"/>
        <v>413.79310344827587</v>
      </c>
      <c r="CD79" s="470">
        <f t="shared" si="78"/>
        <v>100</v>
      </c>
      <c r="CE79" s="380">
        <f t="shared" si="79"/>
        <v>4.1250000000000002E-2</v>
      </c>
      <c r="CF79" s="469">
        <f t="shared" si="80"/>
        <v>100</v>
      </c>
      <c r="CG79" s="380">
        <f t="shared" si="81"/>
        <v>0.1706896551724138</v>
      </c>
      <c r="CH79" s="468">
        <f t="shared" si="82"/>
        <v>4.1250000000000002E-2</v>
      </c>
      <c r="CI79" s="319">
        <v>29</v>
      </c>
      <c r="CJ79" s="318">
        <f t="shared" si="83"/>
        <v>0.25</v>
      </c>
      <c r="CK79" s="1259">
        <v>143</v>
      </c>
      <c r="CL79" s="301">
        <f t="shared" si="84"/>
        <v>-114</v>
      </c>
      <c r="CM79" s="381">
        <f t="shared" si="85"/>
        <v>143</v>
      </c>
      <c r="CN79" s="381">
        <f t="shared" si="86"/>
        <v>493.10344827586209</v>
      </c>
      <c r="CO79" s="316">
        <f t="shared" si="87"/>
        <v>100</v>
      </c>
      <c r="CP79" s="381">
        <f t="shared" si="88"/>
        <v>4.1250000000000002E-2</v>
      </c>
      <c r="CQ79" s="381">
        <f t="shared" si="89"/>
        <v>0.20340517241379313</v>
      </c>
      <c r="CR79" s="313">
        <v>276000000</v>
      </c>
      <c r="CS79" s="313">
        <v>116000000</v>
      </c>
      <c r="CT79" s="313">
        <v>0</v>
      </c>
      <c r="CU79" s="313">
        <v>0</v>
      </c>
      <c r="CV79" s="313">
        <v>0</v>
      </c>
      <c r="CW79" s="313">
        <v>0</v>
      </c>
      <c r="CX79" s="313">
        <v>0</v>
      </c>
      <c r="CY79" s="313">
        <v>160000000</v>
      </c>
      <c r="CZ79" s="380">
        <v>0</v>
      </c>
      <c r="DA79" s="380">
        <v>0</v>
      </c>
      <c r="DB79" s="380">
        <v>0</v>
      </c>
      <c r="DC79" s="380">
        <v>0</v>
      </c>
      <c r="DD79" s="380">
        <v>0</v>
      </c>
      <c r="DE79" s="380">
        <v>0</v>
      </c>
      <c r="DF79" s="380">
        <v>0</v>
      </c>
      <c r="DG79" s="380">
        <v>0</v>
      </c>
      <c r="DH79" s="380">
        <v>0</v>
      </c>
      <c r="DI79" s="380">
        <v>0</v>
      </c>
      <c r="DJ79" s="380">
        <v>0</v>
      </c>
      <c r="DK79" s="702">
        <f t="shared" si="90"/>
        <v>394</v>
      </c>
      <c r="DL79" s="311">
        <f t="shared" si="91"/>
        <v>0.16500000000000001</v>
      </c>
      <c r="DM79" s="310">
        <f t="shared" si="92"/>
        <v>339.65517241379308</v>
      </c>
      <c r="DN79" s="356">
        <f t="shared" si="93"/>
        <v>100</v>
      </c>
      <c r="DO79" s="308">
        <f t="shared" si="94"/>
        <v>0.16500000000000001</v>
      </c>
      <c r="DP79" s="359">
        <f>+IF(((DN79*Q79)/100)&lt;Q79, ((DN79*Q79)/100),Q79)</f>
        <v>0.16500000000000001</v>
      </c>
      <c r="DQ79" s="306">
        <f t="shared" si="95"/>
        <v>0.16500000000000001</v>
      </c>
      <c r="DR79" s="379">
        <f t="shared" si="96"/>
        <v>1</v>
      </c>
      <c r="DS79" s="378">
        <f t="shared" si="97"/>
        <v>0</v>
      </c>
      <c r="DT79" s="173">
        <v>74</v>
      </c>
      <c r="DU79" s="174" t="s">
        <v>283</v>
      </c>
      <c r="DV79" s="173"/>
      <c r="DW79" s="174" t="s">
        <v>84</v>
      </c>
      <c r="DX79" s="173"/>
      <c r="DY79" s="173"/>
      <c r="DZ79" s="173"/>
      <c r="EA79" s="665"/>
      <c r="EB79" s="1254" t="s">
        <v>2501</v>
      </c>
      <c r="EC79" s="537">
        <v>0</v>
      </c>
      <c r="EE79" s="734">
        <v>100</v>
      </c>
      <c r="EF79" s="706"/>
    </row>
    <row r="80" spans="4:136" s="302" customFormat="1" ht="76.5" hidden="1">
      <c r="D80" s="520">
        <v>77</v>
      </c>
      <c r="E80" s="534">
        <v>104</v>
      </c>
      <c r="F80" s="523" t="s">
        <v>43</v>
      </c>
      <c r="G80" s="523" t="s">
        <v>8</v>
      </c>
      <c r="H80" s="524" t="s">
        <v>2653</v>
      </c>
      <c r="I80" s="462" t="s">
        <v>187</v>
      </c>
      <c r="J80" s="335" t="s">
        <v>328</v>
      </c>
      <c r="K80" s="335" t="s">
        <v>329</v>
      </c>
      <c r="L80" s="454" t="s">
        <v>1952</v>
      </c>
      <c r="M80" s="333" t="s">
        <v>1771</v>
      </c>
      <c r="N80" s="333">
        <v>0</v>
      </c>
      <c r="O80" s="333">
        <f>+N80+P80</f>
        <v>5</v>
      </c>
      <c r="P80" s="332">
        <v>5</v>
      </c>
      <c r="Q80" s="390">
        <v>0.25</v>
      </c>
      <c r="R80" s="342">
        <f t="shared" si="61"/>
        <v>0</v>
      </c>
      <c r="S80" s="459">
        <v>0</v>
      </c>
      <c r="T80" s="387">
        <f t="shared" si="62"/>
        <v>0</v>
      </c>
      <c r="U80" s="670">
        <v>0</v>
      </c>
      <c r="V80" s="388">
        <f t="shared" si="63"/>
        <v>0</v>
      </c>
      <c r="W80" s="356">
        <f t="shared" si="64"/>
        <v>0</v>
      </c>
      <c r="X80" s="356">
        <f t="shared" si="65"/>
        <v>0</v>
      </c>
      <c r="Y80" s="356">
        <f t="shared" si="40"/>
        <v>0</v>
      </c>
      <c r="Z80" s="356">
        <f t="shared" si="66"/>
        <v>0</v>
      </c>
      <c r="AA80" s="313">
        <v>0</v>
      </c>
      <c r="AB80" s="313">
        <v>0</v>
      </c>
      <c r="AC80" s="313">
        <v>0</v>
      </c>
      <c r="AD80" s="313">
        <v>0</v>
      </c>
      <c r="AE80" s="313">
        <v>0</v>
      </c>
      <c r="AF80" s="313">
        <v>0</v>
      </c>
      <c r="AG80" s="313">
        <v>0</v>
      </c>
      <c r="AH80" s="313">
        <v>0</v>
      </c>
      <c r="AI80" s="313">
        <v>100000000</v>
      </c>
      <c r="AJ80" s="313">
        <v>100000000</v>
      </c>
      <c r="AK80" s="313">
        <v>0</v>
      </c>
      <c r="AL80" s="313">
        <v>0</v>
      </c>
      <c r="AM80" s="313">
        <v>0</v>
      </c>
      <c r="AN80" s="313">
        <v>0</v>
      </c>
      <c r="AO80" s="313">
        <v>0</v>
      </c>
      <c r="AP80" s="313">
        <v>0</v>
      </c>
      <c r="AQ80" s="313">
        <v>0</v>
      </c>
      <c r="AR80" s="313">
        <v>0</v>
      </c>
      <c r="AS80" s="313" t="s">
        <v>1798</v>
      </c>
      <c r="AT80" s="333">
        <f t="shared" si="67"/>
        <v>0.1</v>
      </c>
      <c r="AU80" s="333">
        <v>2</v>
      </c>
      <c r="AV80" s="387">
        <f t="shared" si="68"/>
        <v>0.4</v>
      </c>
      <c r="AW80" s="677">
        <v>0</v>
      </c>
      <c r="AX80" s="474">
        <f t="shared" si="69"/>
        <v>0</v>
      </c>
      <c r="AY80" s="474">
        <f t="shared" si="70"/>
        <v>0</v>
      </c>
      <c r="AZ80" s="474">
        <f t="shared" si="71"/>
        <v>0</v>
      </c>
      <c r="BA80" s="356">
        <f t="shared" si="72"/>
        <v>0</v>
      </c>
      <c r="BB80" s="356">
        <f t="shared" si="73"/>
        <v>0</v>
      </c>
      <c r="BC80" s="313">
        <v>0</v>
      </c>
      <c r="BD80" s="313">
        <v>0</v>
      </c>
      <c r="BE80" s="313">
        <v>0</v>
      </c>
      <c r="BF80" s="313">
        <v>0</v>
      </c>
      <c r="BG80" s="313">
        <v>0</v>
      </c>
      <c r="BH80" s="313">
        <v>0</v>
      </c>
      <c r="BI80" s="313">
        <v>0</v>
      </c>
      <c r="BJ80" s="313">
        <v>0</v>
      </c>
      <c r="BK80" s="473">
        <v>0</v>
      </c>
      <c r="BL80" s="472">
        <v>0</v>
      </c>
      <c r="BM80" s="472">
        <v>0</v>
      </c>
      <c r="BN80" s="472">
        <v>0</v>
      </c>
      <c r="BO80" s="472">
        <v>0</v>
      </c>
      <c r="BP80" s="472">
        <v>0</v>
      </c>
      <c r="BQ80" s="472">
        <v>0</v>
      </c>
      <c r="BR80" s="472">
        <v>0</v>
      </c>
      <c r="BS80" s="472">
        <v>0</v>
      </c>
      <c r="BT80" s="472">
        <v>0</v>
      </c>
      <c r="BU80" s="472">
        <v>0</v>
      </c>
      <c r="BV80" s="342">
        <f t="shared" si="74"/>
        <v>0.1</v>
      </c>
      <c r="BW80" s="350">
        <v>2</v>
      </c>
      <c r="BX80" s="385">
        <f t="shared" si="75"/>
        <v>0.4</v>
      </c>
      <c r="BY80" s="369">
        <v>0</v>
      </c>
      <c r="BZ80" s="391">
        <v>0</v>
      </c>
      <c r="CA80" s="689">
        <v>0</v>
      </c>
      <c r="CB80" s="471">
        <f t="shared" si="76"/>
        <v>0</v>
      </c>
      <c r="CC80" s="471">
        <f t="shared" si="77"/>
        <v>0</v>
      </c>
      <c r="CD80" s="470">
        <f t="shared" si="78"/>
        <v>0</v>
      </c>
      <c r="CE80" s="380">
        <f t="shared" si="79"/>
        <v>0</v>
      </c>
      <c r="CF80" s="469">
        <f t="shared" si="80"/>
        <v>0</v>
      </c>
      <c r="CG80" s="380">
        <f t="shared" si="81"/>
        <v>0</v>
      </c>
      <c r="CH80" s="468">
        <f t="shared" si="82"/>
        <v>0.05</v>
      </c>
      <c r="CI80" s="319">
        <v>1</v>
      </c>
      <c r="CJ80" s="318">
        <f t="shared" si="83"/>
        <v>0.2</v>
      </c>
      <c r="CK80" s="1259">
        <v>5</v>
      </c>
      <c r="CL80" s="301">
        <f t="shared" si="84"/>
        <v>-4</v>
      </c>
      <c r="CM80" s="381">
        <f t="shared" si="85"/>
        <v>5</v>
      </c>
      <c r="CN80" s="381">
        <f t="shared" si="86"/>
        <v>500</v>
      </c>
      <c r="CO80" s="316">
        <f t="shared" si="87"/>
        <v>100</v>
      </c>
      <c r="CP80" s="381">
        <f t="shared" si="88"/>
        <v>0.05</v>
      </c>
      <c r="CQ80" s="381">
        <f t="shared" si="89"/>
        <v>0.25</v>
      </c>
      <c r="CR80" s="313">
        <v>0</v>
      </c>
      <c r="CS80" s="313">
        <v>0</v>
      </c>
      <c r="CT80" s="313">
        <v>0</v>
      </c>
      <c r="CU80" s="313">
        <v>0</v>
      </c>
      <c r="CV80" s="313">
        <v>0</v>
      </c>
      <c r="CW80" s="313">
        <v>0</v>
      </c>
      <c r="CX80" s="313">
        <v>0</v>
      </c>
      <c r="CY80" s="313">
        <v>0</v>
      </c>
      <c r="CZ80" s="380">
        <v>0</v>
      </c>
      <c r="DA80" s="380">
        <v>0</v>
      </c>
      <c r="DB80" s="380">
        <v>0</v>
      </c>
      <c r="DC80" s="380">
        <v>0</v>
      </c>
      <c r="DD80" s="380">
        <v>0</v>
      </c>
      <c r="DE80" s="380">
        <v>0</v>
      </c>
      <c r="DF80" s="380">
        <v>0</v>
      </c>
      <c r="DG80" s="380">
        <v>0</v>
      </c>
      <c r="DH80" s="380">
        <v>0</v>
      </c>
      <c r="DI80" s="380">
        <v>0</v>
      </c>
      <c r="DJ80" s="380">
        <v>0</v>
      </c>
      <c r="DK80" s="702">
        <f t="shared" si="90"/>
        <v>5</v>
      </c>
      <c r="DL80" s="311">
        <f t="shared" si="91"/>
        <v>0.25</v>
      </c>
      <c r="DM80" s="310">
        <f t="shared" si="92"/>
        <v>100</v>
      </c>
      <c r="DN80" s="356">
        <f t="shared" si="93"/>
        <v>100</v>
      </c>
      <c r="DO80" s="308">
        <f t="shared" si="94"/>
        <v>0.25</v>
      </c>
      <c r="DP80" s="359">
        <f>+IF(((DN80*Q80)/100)&lt;Q80, ((DN80*Q80)/100),Q80)</f>
        <v>0.25</v>
      </c>
      <c r="DQ80" s="306">
        <f t="shared" si="95"/>
        <v>0.25</v>
      </c>
      <c r="DR80" s="379">
        <f t="shared" si="96"/>
        <v>1</v>
      </c>
      <c r="DS80" s="378">
        <f t="shared" si="97"/>
        <v>0</v>
      </c>
      <c r="DT80" s="173">
        <v>77</v>
      </c>
      <c r="DU80" s="174" t="s">
        <v>130</v>
      </c>
      <c r="DV80" s="173"/>
      <c r="DW80" s="174" t="s">
        <v>84</v>
      </c>
      <c r="DX80" s="173"/>
      <c r="DY80" s="173"/>
      <c r="DZ80" s="173"/>
      <c r="EA80" s="665"/>
      <c r="EB80" s="1254" t="s">
        <v>2502</v>
      </c>
      <c r="EC80" s="537">
        <v>525000000</v>
      </c>
      <c r="EE80" s="734">
        <v>100</v>
      </c>
      <c r="EF80" s="706"/>
    </row>
    <row r="81" spans="4:136" s="302" customFormat="1" ht="60" hidden="1">
      <c r="D81" s="520">
        <v>78</v>
      </c>
      <c r="E81" s="534">
        <v>105</v>
      </c>
      <c r="F81" s="523" t="s">
        <v>43</v>
      </c>
      <c r="G81" s="523" t="s">
        <v>8</v>
      </c>
      <c r="H81" s="524" t="s">
        <v>2653</v>
      </c>
      <c r="I81" s="462" t="s">
        <v>187</v>
      </c>
      <c r="J81" s="335" t="s">
        <v>330</v>
      </c>
      <c r="K81" s="335" t="s">
        <v>331</v>
      </c>
      <c r="L81" s="454" t="s">
        <v>1954</v>
      </c>
      <c r="M81" s="333" t="s">
        <v>1771</v>
      </c>
      <c r="N81" s="333">
        <v>0</v>
      </c>
      <c r="O81" s="333">
        <f>+P81</f>
        <v>1</v>
      </c>
      <c r="P81" s="332">
        <v>1</v>
      </c>
      <c r="Q81" s="390">
        <v>0.25</v>
      </c>
      <c r="R81" s="342">
        <f t="shared" si="61"/>
        <v>0</v>
      </c>
      <c r="S81" s="459">
        <v>0</v>
      </c>
      <c r="T81" s="387">
        <f t="shared" si="62"/>
        <v>0</v>
      </c>
      <c r="U81" s="670">
        <v>0</v>
      </c>
      <c r="V81" s="388">
        <f t="shared" si="63"/>
        <v>0</v>
      </c>
      <c r="W81" s="356">
        <f t="shared" si="64"/>
        <v>0</v>
      </c>
      <c r="X81" s="356">
        <f t="shared" si="65"/>
        <v>0</v>
      </c>
      <c r="Y81" s="356">
        <f t="shared" si="40"/>
        <v>0</v>
      </c>
      <c r="Z81" s="356">
        <f t="shared" si="66"/>
        <v>0</v>
      </c>
      <c r="AA81" s="313">
        <v>0</v>
      </c>
      <c r="AB81" s="313">
        <v>0</v>
      </c>
      <c r="AC81" s="313">
        <v>0</v>
      </c>
      <c r="AD81" s="313">
        <v>0</v>
      </c>
      <c r="AE81" s="313">
        <v>0</v>
      </c>
      <c r="AF81" s="313">
        <v>0</v>
      </c>
      <c r="AG81" s="313">
        <v>0</v>
      </c>
      <c r="AH81" s="313">
        <v>0</v>
      </c>
      <c r="AI81" s="313">
        <v>0</v>
      </c>
      <c r="AJ81" s="313">
        <v>0</v>
      </c>
      <c r="AK81" s="313">
        <v>0</v>
      </c>
      <c r="AL81" s="313">
        <v>0</v>
      </c>
      <c r="AM81" s="313">
        <v>0</v>
      </c>
      <c r="AN81" s="313">
        <v>0</v>
      </c>
      <c r="AO81" s="313">
        <v>0</v>
      </c>
      <c r="AP81" s="313">
        <v>0</v>
      </c>
      <c r="AQ81" s="313">
        <v>0</v>
      </c>
      <c r="AR81" s="313">
        <v>0</v>
      </c>
      <c r="AS81" s="313" t="s">
        <v>1798</v>
      </c>
      <c r="AT81" s="333">
        <f t="shared" si="67"/>
        <v>0.125</v>
      </c>
      <c r="AU81" s="333">
        <v>0.5</v>
      </c>
      <c r="AV81" s="387">
        <f t="shared" si="68"/>
        <v>0.5</v>
      </c>
      <c r="AW81" s="683">
        <v>0.5</v>
      </c>
      <c r="AX81" s="474">
        <f t="shared" si="69"/>
        <v>0.5</v>
      </c>
      <c r="AY81" s="474">
        <f t="shared" si="70"/>
        <v>100</v>
      </c>
      <c r="AZ81" s="474">
        <f t="shared" si="71"/>
        <v>100</v>
      </c>
      <c r="BA81" s="356">
        <f t="shared" si="72"/>
        <v>0.125</v>
      </c>
      <c r="BB81" s="356">
        <f t="shared" si="73"/>
        <v>100</v>
      </c>
      <c r="BC81" s="313">
        <v>60000000</v>
      </c>
      <c r="BD81" s="313">
        <v>0</v>
      </c>
      <c r="BE81" s="313">
        <v>60000000</v>
      </c>
      <c r="BF81" s="313">
        <v>0</v>
      </c>
      <c r="BG81" s="313">
        <v>0</v>
      </c>
      <c r="BH81" s="313">
        <v>0</v>
      </c>
      <c r="BI81" s="313">
        <v>0</v>
      </c>
      <c r="BJ81" s="313">
        <v>0</v>
      </c>
      <c r="BK81" s="473">
        <v>50000000</v>
      </c>
      <c r="BL81" s="472">
        <v>50000000</v>
      </c>
      <c r="BM81" s="472">
        <v>0</v>
      </c>
      <c r="BN81" s="472">
        <v>0</v>
      </c>
      <c r="BO81" s="472">
        <v>0</v>
      </c>
      <c r="BP81" s="472">
        <v>0</v>
      </c>
      <c r="BQ81" s="472">
        <v>0</v>
      </c>
      <c r="BR81" s="472">
        <v>0</v>
      </c>
      <c r="BS81" s="472">
        <v>0</v>
      </c>
      <c r="BT81" s="472">
        <v>0</v>
      </c>
      <c r="BU81" s="472">
        <v>0</v>
      </c>
      <c r="BV81" s="342">
        <f t="shared" si="74"/>
        <v>6.25E-2</v>
      </c>
      <c r="BW81" s="350">
        <v>0.25</v>
      </c>
      <c r="BX81" s="385">
        <f t="shared" si="75"/>
        <v>0.25</v>
      </c>
      <c r="BY81" s="369">
        <v>0.5</v>
      </c>
      <c r="BZ81" s="391">
        <v>0.5</v>
      </c>
      <c r="CA81" s="689">
        <v>0.25</v>
      </c>
      <c r="CB81" s="476">
        <f t="shared" si="76"/>
        <v>0.25</v>
      </c>
      <c r="CC81" s="471">
        <f t="shared" si="77"/>
        <v>100</v>
      </c>
      <c r="CD81" s="470">
        <f t="shared" si="78"/>
        <v>100</v>
      </c>
      <c r="CE81" s="380">
        <f t="shared" si="79"/>
        <v>6.25E-2</v>
      </c>
      <c r="CF81" s="469">
        <f t="shared" si="80"/>
        <v>100</v>
      </c>
      <c r="CG81" s="380">
        <f t="shared" si="81"/>
        <v>6.25E-2</v>
      </c>
      <c r="CH81" s="1396">
        <f t="shared" si="82"/>
        <v>6.25E-2</v>
      </c>
      <c r="CI81" s="1397">
        <v>0.25</v>
      </c>
      <c r="CJ81" s="318">
        <f t="shared" si="83"/>
        <v>0.25</v>
      </c>
      <c r="CK81" s="1259">
        <v>0.25</v>
      </c>
      <c r="CL81" s="301">
        <f t="shared" si="84"/>
        <v>0</v>
      </c>
      <c r="CM81" s="381">
        <f t="shared" si="85"/>
        <v>0.25</v>
      </c>
      <c r="CN81" s="381">
        <f t="shared" si="86"/>
        <v>100</v>
      </c>
      <c r="CO81" s="316">
        <f t="shared" si="87"/>
        <v>100</v>
      </c>
      <c r="CP81" s="381">
        <f t="shared" si="88"/>
        <v>6.25E-2</v>
      </c>
      <c r="CQ81" s="381">
        <f t="shared" si="89"/>
        <v>6.25E-2</v>
      </c>
      <c r="CR81" s="313">
        <v>80000000</v>
      </c>
      <c r="CS81" s="313">
        <v>80000000</v>
      </c>
      <c r="CT81" s="313">
        <v>0</v>
      </c>
      <c r="CU81" s="313">
        <v>0</v>
      </c>
      <c r="CV81" s="313">
        <v>0</v>
      </c>
      <c r="CW81" s="313">
        <v>0</v>
      </c>
      <c r="CX81" s="313">
        <v>0</v>
      </c>
      <c r="CY81" s="313">
        <v>0</v>
      </c>
      <c r="CZ81" s="380">
        <v>0</v>
      </c>
      <c r="DA81" s="380">
        <v>0</v>
      </c>
      <c r="DB81" s="380">
        <v>0</v>
      </c>
      <c r="DC81" s="380">
        <v>0</v>
      </c>
      <c r="DD81" s="380">
        <v>0</v>
      </c>
      <c r="DE81" s="380">
        <v>0</v>
      </c>
      <c r="DF81" s="380">
        <v>0</v>
      </c>
      <c r="DG81" s="380">
        <v>0</v>
      </c>
      <c r="DH81" s="380">
        <v>0</v>
      </c>
      <c r="DI81" s="380">
        <v>0</v>
      </c>
      <c r="DJ81" s="380">
        <v>0</v>
      </c>
      <c r="DK81" s="702">
        <f t="shared" si="90"/>
        <v>1</v>
      </c>
      <c r="DL81" s="311">
        <f t="shared" si="91"/>
        <v>0.25</v>
      </c>
      <c r="DM81" s="310">
        <f t="shared" si="92"/>
        <v>100</v>
      </c>
      <c r="DN81" s="356">
        <f t="shared" si="93"/>
        <v>100</v>
      </c>
      <c r="DO81" s="308">
        <f t="shared" si="94"/>
        <v>0.25</v>
      </c>
      <c r="DP81" s="359">
        <f>+IF(((DN81*Q81)/100)&lt;Q81, ((DN81*Q81)/100),Q81)</f>
        <v>0.25</v>
      </c>
      <c r="DQ81" s="306">
        <f t="shared" si="95"/>
        <v>0.25</v>
      </c>
      <c r="DR81" s="379">
        <f t="shared" si="96"/>
        <v>1</v>
      </c>
      <c r="DS81" s="378">
        <f t="shared" si="97"/>
        <v>0</v>
      </c>
      <c r="DT81" s="173">
        <v>78</v>
      </c>
      <c r="DU81" s="174" t="s">
        <v>129</v>
      </c>
      <c r="DV81" s="173"/>
      <c r="DW81" s="174" t="s">
        <v>84</v>
      </c>
      <c r="DX81" s="173"/>
      <c r="DY81" s="173"/>
      <c r="DZ81" s="173"/>
      <c r="EA81" s="665"/>
      <c r="EB81" s="1254" t="s">
        <v>2503</v>
      </c>
      <c r="EC81" s="537">
        <v>31000000</v>
      </c>
      <c r="EE81" s="740">
        <v>12</v>
      </c>
      <c r="EF81" s="706"/>
    </row>
    <row r="82" spans="4:136" s="302" customFormat="1" ht="72" hidden="1">
      <c r="D82" s="520">
        <v>79</v>
      </c>
      <c r="E82" s="534">
        <v>106</v>
      </c>
      <c r="F82" s="523" t="s">
        <v>43</v>
      </c>
      <c r="G82" s="523" t="s">
        <v>8</v>
      </c>
      <c r="H82" s="524" t="s">
        <v>2653</v>
      </c>
      <c r="I82" s="462" t="s">
        <v>207</v>
      </c>
      <c r="J82" s="335" t="s">
        <v>332</v>
      </c>
      <c r="K82" s="335" t="s">
        <v>333</v>
      </c>
      <c r="L82" s="453" t="s">
        <v>2005</v>
      </c>
      <c r="M82" s="333" t="s">
        <v>1785</v>
      </c>
      <c r="N82" s="333">
        <v>0</v>
      </c>
      <c r="O82" s="333">
        <f>+P82</f>
        <v>100</v>
      </c>
      <c r="P82" s="332">
        <v>100</v>
      </c>
      <c r="Q82" s="390">
        <v>0.16500000000000001</v>
      </c>
      <c r="R82" s="342">
        <f t="shared" si="61"/>
        <v>4.1250000000000002E-2</v>
      </c>
      <c r="S82" s="459">
        <v>100</v>
      </c>
      <c r="T82" s="387">
        <f t="shared" si="62"/>
        <v>0.25</v>
      </c>
      <c r="U82" s="670">
        <v>100</v>
      </c>
      <c r="V82" s="388">
        <f t="shared" si="63"/>
        <v>25</v>
      </c>
      <c r="W82" s="356">
        <f t="shared" si="64"/>
        <v>100</v>
      </c>
      <c r="X82" s="356">
        <f t="shared" si="65"/>
        <v>100</v>
      </c>
      <c r="Y82" s="356">
        <f t="shared" ref="Y82:Y145" si="98">+(X82*R82)/100</f>
        <v>4.1250000000000002E-2</v>
      </c>
      <c r="Z82" s="356">
        <f t="shared" si="66"/>
        <v>100</v>
      </c>
      <c r="AA82" s="313">
        <v>0</v>
      </c>
      <c r="AB82" s="313">
        <v>0</v>
      </c>
      <c r="AC82" s="313">
        <v>0</v>
      </c>
      <c r="AD82" s="313">
        <v>0</v>
      </c>
      <c r="AE82" s="313">
        <v>0</v>
      </c>
      <c r="AF82" s="313">
        <v>0</v>
      </c>
      <c r="AG82" s="313">
        <v>0</v>
      </c>
      <c r="AH82" s="313">
        <v>0</v>
      </c>
      <c r="AI82" s="313">
        <v>0</v>
      </c>
      <c r="AJ82" s="313">
        <v>0</v>
      </c>
      <c r="AK82" s="313">
        <v>0</v>
      </c>
      <c r="AL82" s="313">
        <v>0</v>
      </c>
      <c r="AM82" s="313">
        <v>0</v>
      </c>
      <c r="AN82" s="313">
        <v>0</v>
      </c>
      <c r="AO82" s="313">
        <v>0</v>
      </c>
      <c r="AP82" s="313">
        <v>0</v>
      </c>
      <c r="AQ82" s="313">
        <v>0</v>
      </c>
      <c r="AR82" s="313">
        <v>0</v>
      </c>
      <c r="AS82" s="313" t="s">
        <v>1798</v>
      </c>
      <c r="AT82" s="333">
        <f t="shared" si="67"/>
        <v>4.1250000000000002E-2</v>
      </c>
      <c r="AU82" s="333">
        <v>100</v>
      </c>
      <c r="AV82" s="387">
        <f t="shared" si="68"/>
        <v>0.25</v>
      </c>
      <c r="AW82" s="677">
        <v>100</v>
      </c>
      <c r="AX82" s="474">
        <f t="shared" si="69"/>
        <v>25</v>
      </c>
      <c r="AY82" s="474">
        <f t="shared" si="70"/>
        <v>100</v>
      </c>
      <c r="AZ82" s="474">
        <f t="shared" si="71"/>
        <v>100</v>
      </c>
      <c r="BA82" s="356">
        <f t="shared" si="72"/>
        <v>4.1250000000000002E-2</v>
      </c>
      <c r="BB82" s="356">
        <f t="shared" si="73"/>
        <v>100</v>
      </c>
      <c r="BC82" s="313">
        <v>0</v>
      </c>
      <c r="BD82" s="313">
        <v>0</v>
      </c>
      <c r="BE82" s="313">
        <v>0</v>
      </c>
      <c r="BF82" s="313">
        <v>0</v>
      </c>
      <c r="BG82" s="313">
        <v>0</v>
      </c>
      <c r="BH82" s="313">
        <v>0</v>
      </c>
      <c r="BI82" s="313">
        <v>0</v>
      </c>
      <c r="BJ82" s="313">
        <v>0</v>
      </c>
      <c r="BK82" s="473">
        <v>0</v>
      </c>
      <c r="BL82" s="472">
        <v>0</v>
      </c>
      <c r="BM82" s="472">
        <v>0</v>
      </c>
      <c r="BN82" s="472">
        <v>0</v>
      </c>
      <c r="BO82" s="472">
        <v>0</v>
      </c>
      <c r="BP82" s="472">
        <v>0</v>
      </c>
      <c r="BQ82" s="472">
        <v>0</v>
      </c>
      <c r="BR82" s="472">
        <v>0</v>
      </c>
      <c r="BS82" s="472">
        <v>0</v>
      </c>
      <c r="BT82" s="472">
        <v>0</v>
      </c>
      <c r="BU82" s="472">
        <v>0</v>
      </c>
      <c r="BV82" s="342">
        <f t="shared" si="74"/>
        <v>4.1250000000000002E-2</v>
      </c>
      <c r="BW82" s="350">
        <v>100</v>
      </c>
      <c r="BX82" s="385">
        <f t="shared" si="75"/>
        <v>0.25</v>
      </c>
      <c r="BY82" s="369">
        <v>100</v>
      </c>
      <c r="BZ82" s="391">
        <v>100</v>
      </c>
      <c r="CA82" s="689">
        <v>100</v>
      </c>
      <c r="CB82" s="471">
        <f t="shared" si="76"/>
        <v>25</v>
      </c>
      <c r="CC82" s="471">
        <f t="shared" si="77"/>
        <v>100</v>
      </c>
      <c r="CD82" s="470">
        <f t="shared" si="78"/>
        <v>100</v>
      </c>
      <c r="CE82" s="380">
        <f t="shared" si="79"/>
        <v>4.1250000000000002E-2</v>
      </c>
      <c r="CF82" s="469">
        <f t="shared" si="80"/>
        <v>100</v>
      </c>
      <c r="CG82" s="380">
        <f t="shared" si="81"/>
        <v>4.1250000000000002E-2</v>
      </c>
      <c r="CH82" s="468">
        <f t="shared" si="82"/>
        <v>4.1250000000000002E-2</v>
      </c>
      <c r="CI82" s="319">
        <v>0</v>
      </c>
      <c r="CJ82" s="318">
        <f t="shared" si="83"/>
        <v>0.25</v>
      </c>
      <c r="CK82" s="1259">
        <v>100</v>
      </c>
      <c r="CL82" s="301">
        <f t="shared" si="84"/>
        <v>-100</v>
      </c>
      <c r="CM82" s="381">
        <f t="shared" si="85"/>
        <v>25</v>
      </c>
      <c r="CN82" s="381">
        <f t="shared" si="86"/>
        <v>0</v>
      </c>
      <c r="CO82" s="381">
        <f t="shared" si="87"/>
        <v>0</v>
      </c>
      <c r="CP82" s="381">
        <f t="shared" si="88"/>
        <v>0</v>
      </c>
      <c r="CQ82" s="381">
        <f t="shared" si="89"/>
        <v>0</v>
      </c>
      <c r="CR82" s="313">
        <v>0</v>
      </c>
      <c r="CS82" s="313">
        <v>0</v>
      </c>
      <c r="CT82" s="313">
        <v>0</v>
      </c>
      <c r="CU82" s="313">
        <v>0</v>
      </c>
      <c r="CV82" s="313">
        <v>0</v>
      </c>
      <c r="CW82" s="313">
        <v>0</v>
      </c>
      <c r="CX82" s="313">
        <v>0</v>
      </c>
      <c r="CY82" s="313">
        <v>0</v>
      </c>
      <c r="CZ82" s="380">
        <v>0</v>
      </c>
      <c r="DA82" s="380">
        <v>0</v>
      </c>
      <c r="DB82" s="380">
        <v>0</v>
      </c>
      <c r="DC82" s="380">
        <v>0</v>
      </c>
      <c r="DD82" s="380">
        <v>0</v>
      </c>
      <c r="DE82" s="380">
        <v>0</v>
      </c>
      <c r="DF82" s="380">
        <v>0</v>
      </c>
      <c r="DG82" s="380">
        <v>0</v>
      </c>
      <c r="DH82" s="380">
        <v>0</v>
      </c>
      <c r="DI82" s="380">
        <v>0</v>
      </c>
      <c r="DJ82" s="380">
        <v>0</v>
      </c>
      <c r="DK82" s="702">
        <f t="shared" si="90"/>
        <v>100</v>
      </c>
      <c r="DL82" s="311">
        <f t="shared" si="91"/>
        <v>0.16500000000000001</v>
      </c>
      <c r="DM82" s="310">
        <f t="shared" si="92"/>
        <v>100</v>
      </c>
      <c r="DN82" s="356">
        <f t="shared" si="93"/>
        <v>100</v>
      </c>
      <c r="DO82" s="308">
        <f t="shared" si="94"/>
        <v>0.16500000000000001</v>
      </c>
      <c r="DP82" s="359">
        <f>+IF(M82="M",DO82,0)</f>
        <v>0.16500000000000001</v>
      </c>
      <c r="DQ82" s="306">
        <f t="shared" si="95"/>
        <v>0.16500000000000001</v>
      </c>
      <c r="DR82" s="379">
        <f t="shared" si="96"/>
        <v>1</v>
      </c>
      <c r="DS82" s="378">
        <f t="shared" si="97"/>
        <v>0</v>
      </c>
      <c r="DT82" s="173">
        <v>77</v>
      </c>
      <c r="DU82" s="174" t="s">
        <v>130</v>
      </c>
      <c r="DV82" s="173"/>
      <c r="DW82" s="174" t="s">
        <v>84</v>
      </c>
      <c r="DX82" s="173"/>
      <c r="DY82" s="173"/>
      <c r="DZ82" s="173"/>
      <c r="EA82" s="665"/>
      <c r="EB82" s="1254" t="s">
        <v>2438</v>
      </c>
      <c r="EC82" s="537">
        <v>665000000</v>
      </c>
      <c r="EE82" s="740">
        <v>100</v>
      </c>
      <c r="EF82" s="706"/>
    </row>
    <row r="83" spans="4:136" s="302" customFormat="1" ht="165.75" hidden="1">
      <c r="D83" s="520">
        <v>80</v>
      </c>
      <c r="E83" s="534">
        <v>108</v>
      </c>
      <c r="F83" s="523" t="s">
        <v>43</v>
      </c>
      <c r="G83" s="523" t="s">
        <v>12</v>
      </c>
      <c r="H83" s="524" t="s">
        <v>2653</v>
      </c>
      <c r="I83" s="462" t="s">
        <v>207</v>
      </c>
      <c r="J83" s="335" t="s">
        <v>334</v>
      </c>
      <c r="K83" s="335" t="s">
        <v>335</v>
      </c>
      <c r="L83" s="453" t="s">
        <v>1964</v>
      </c>
      <c r="M83" s="333" t="s">
        <v>1771</v>
      </c>
      <c r="N83" s="333">
        <v>0</v>
      </c>
      <c r="O83" s="333">
        <f>+N83+P83</f>
        <v>100</v>
      </c>
      <c r="P83" s="332">
        <v>100</v>
      </c>
      <c r="Q83" s="390">
        <v>0.16500000000000001</v>
      </c>
      <c r="R83" s="342">
        <f t="shared" si="61"/>
        <v>8.2500000000000004E-3</v>
      </c>
      <c r="S83" s="459">
        <v>5</v>
      </c>
      <c r="T83" s="387">
        <f t="shared" si="62"/>
        <v>0.05</v>
      </c>
      <c r="U83" s="670">
        <v>6.5</v>
      </c>
      <c r="V83" s="388">
        <f t="shared" si="63"/>
        <v>6.5</v>
      </c>
      <c r="W83" s="356">
        <f t="shared" si="64"/>
        <v>130</v>
      </c>
      <c r="X83" s="356">
        <f t="shared" si="65"/>
        <v>100</v>
      </c>
      <c r="Y83" s="356">
        <f t="shared" si="98"/>
        <v>8.2500000000000004E-3</v>
      </c>
      <c r="Z83" s="356">
        <f t="shared" si="66"/>
        <v>100</v>
      </c>
      <c r="AA83" s="313">
        <v>20000000</v>
      </c>
      <c r="AB83" s="313">
        <v>20000000</v>
      </c>
      <c r="AC83" s="313">
        <v>0</v>
      </c>
      <c r="AD83" s="313">
        <v>0</v>
      </c>
      <c r="AE83" s="313">
        <v>0</v>
      </c>
      <c r="AF83" s="313">
        <v>0</v>
      </c>
      <c r="AG83" s="313">
        <v>0</v>
      </c>
      <c r="AH83" s="313">
        <v>0</v>
      </c>
      <c r="AI83" s="313">
        <v>17500000</v>
      </c>
      <c r="AJ83" s="313">
        <v>17500000</v>
      </c>
      <c r="AK83" s="313">
        <v>0</v>
      </c>
      <c r="AL83" s="313">
        <v>0</v>
      </c>
      <c r="AM83" s="313">
        <v>0</v>
      </c>
      <c r="AN83" s="313">
        <v>0</v>
      </c>
      <c r="AO83" s="313">
        <v>0</v>
      </c>
      <c r="AP83" s="313">
        <v>0</v>
      </c>
      <c r="AQ83" s="313">
        <v>0</v>
      </c>
      <c r="AR83" s="313">
        <v>0</v>
      </c>
      <c r="AS83" s="313" t="s">
        <v>1798</v>
      </c>
      <c r="AT83" s="333">
        <f t="shared" si="67"/>
        <v>4.9500000000000002E-2</v>
      </c>
      <c r="AU83" s="333">
        <v>30</v>
      </c>
      <c r="AV83" s="387">
        <f t="shared" si="68"/>
        <v>0.3</v>
      </c>
      <c r="AW83" s="677">
        <v>8</v>
      </c>
      <c r="AX83" s="474">
        <f t="shared" si="69"/>
        <v>8</v>
      </c>
      <c r="AY83" s="474">
        <f t="shared" si="70"/>
        <v>26.666666666666668</v>
      </c>
      <c r="AZ83" s="474">
        <f t="shared" si="71"/>
        <v>26.666666666666668</v>
      </c>
      <c r="BA83" s="356">
        <f t="shared" si="72"/>
        <v>1.32E-2</v>
      </c>
      <c r="BB83" s="356">
        <f t="shared" si="73"/>
        <v>26.666666666666668</v>
      </c>
      <c r="BC83" s="313">
        <v>20000000</v>
      </c>
      <c r="BD83" s="313">
        <v>0</v>
      </c>
      <c r="BE83" s="313">
        <v>20000000</v>
      </c>
      <c r="BF83" s="313">
        <v>0</v>
      </c>
      <c r="BG83" s="313">
        <v>0</v>
      </c>
      <c r="BH83" s="313">
        <v>0</v>
      </c>
      <c r="BI83" s="313">
        <v>0</v>
      </c>
      <c r="BJ83" s="313">
        <v>0</v>
      </c>
      <c r="BK83" s="473">
        <v>0</v>
      </c>
      <c r="BL83" s="472">
        <v>0</v>
      </c>
      <c r="BM83" s="472">
        <v>0</v>
      </c>
      <c r="BN83" s="472">
        <v>0</v>
      </c>
      <c r="BO83" s="472">
        <v>0</v>
      </c>
      <c r="BP83" s="472">
        <v>0</v>
      </c>
      <c r="BQ83" s="472">
        <v>0</v>
      </c>
      <c r="BR83" s="472">
        <v>0</v>
      </c>
      <c r="BS83" s="472">
        <v>0</v>
      </c>
      <c r="BT83" s="472">
        <v>0</v>
      </c>
      <c r="BU83" s="472">
        <v>0</v>
      </c>
      <c r="BV83" s="342">
        <f t="shared" si="74"/>
        <v>4.9500000000000002E-2</v>
      </c>
      <c r="BW83" s="350">
        <v>30</v>
      </c>
      <c r="BX83" s="385">
        <f t="shared" si="75"/>
        <v>0.3</v>
      </c>
      <c r="BY83" s="369">
        <v>27.120000839233398</v>
      </c>
      <c r="BZ83" s="391">
        <v>31.02</v>
      </c>
      <c r="CA83" s="689">
        <v>77</v>
      </c>
      <c r="CB83" s="471">
        <f t="shared" si="76"/>
        <v>77</v>
      </c>
      <c r="CC83" s="471">
        <f t="shared" si="77"/>
        <v>256.66666666666669</v>
      </c>
      <c r="CD83" s="470">
        <f t="shared" si="78"/>
        <v>100</v>
      </c>
      <c r="CE83" s="380">
        <f t="shared" si="79"/>
        <v>4.9500000000000002E-2</v>
      </c>
      <c r="CF83" s="469">
        <f t="shared" si="80"/>
        <v>100</v>
      </c>
      <c r="CG83" s="380">
        <f t="shared" si="81"/>
        <v>0.12705000000000002</v>
      </c>
      <c r="CH83" s="468">
        <f t="shared" si="82"/>
        <v>5.7749999999999996E-2</v>
      </c>
      <c r="CI83" s="319">
        <v>35</v>
      </c>
      <c r="CJ83" s="318">
        <f t="shared" si="83"/>
        <v>0.35</v>
      </c>
      <c r="CK83" s="1259">
        <v>45</v>
      </c>
      <c r="CL83" s="301">
        <f t="shared" si="84"/>
        <v>-10</v>
      </c>
      <c r="CM83" s="381">
        <f t="shared" si="85"/>
        <v>45</v>
      </c>
      <c r="CN83" s="381">
        <f t="shared" si="86"/>
        <v>128.57142857142858</v>
      </c>
      <c r="CO83" s="316">
        <f t="shared" si="87"/>
        <v>100</v>
      </c>
      <c r="CP83" s="381">
        <f t="shared" si="88"/>
        <v>5.7749999999999996E-2</v>
      </c>
      <c r="CQ83" s="381">
        <f t="shared" si="89"/>
        <v>7.4249999999999997E-2</v>
      </c>
      <c r="CR83" s="313">
        <v>0</v>
      </c>
      <c r="CS83" s="313">
        <v>0</v>
      </c>
      <c r="CT83" s="313">
        <v>0</v>
      </c>
      <c r="CU83" s="313">
        <v>0</v>
      </c>
      <c r="CV83" s="313">
        <v>0</v>
      </c>
      <c r="CW83" s="313">
        <v>0</v>
      </c>
      <c r="CX83" s="313">
        <v>0</v>
      </c>
      <c r="CY83" s="313">
        <v>0</v>
      </c>
      <c r="CZ83" s="380">
        <v>0</v>
      </c>
      <c r="DA83" s="380">
        <v>0</v>
      </c>
      <c r="DB83" s="380">
        <v>0</v>
      </c>
      <c r="DC83" s="380">
        <v>0</v>
      </c>
      <c r="DD83" s="380">
        <v>0</v>
      </c>
      <c r="DE83" s="380">
        <v>0</v>
      </c>
      <c r="DF83" s="380">
        <v>0</v>
      </c>
      <c r="DG83" s="380">
        <v>0</v>
      </c>
      <c r="DH83" s="380">
        <v>0</v>
      </c>
      <c r="DI83" s="380">
        <v>0</v>
      </c>
      <c r="DJ83" s="380">
        <v>0</v>
      </c>
      <c r="DK83" s="702">
        <f t="shared" si="90"/>
        <v>136.5</v>
      </c>
      <c r="DL83" s="311">
        <f t="shared" si="91"/>
        <v>0.16500000000000001</v>
      </c>
      <c r="DM83" s="310">
        <f t="shared" si="92"/>
        <v>136.5</v>
      </c>
      <c r="DN83" s="356">
        <f t="shared" si="93"/>
        <v>100</v>
      </c>
      <c r="DO83" s="308">
        <f t="shared" si="94"/>
        <v>0.16500000000000001</v>
      </c>
      <c r="DP83" s="359">
        <f>+IF(((DN83*Q83)/100)&lt;Q83, ((DN83*Q83)/100),Q83)</f>
        <v>0.16500000000000001</v>
      </c>
      <c r="DQ83" s="306">
        <f t="shared" si="95"/>
        <v>0.16500000000000001</v>
      </c>
      <c r="DR83" s="379">
        <f t="shared" si="96"/>
        <v>0.99999999999999989</v>
      </c>
      <c r="DS83" s="378">
        <f t="shared" si="97"/>
        <v>0</v>
      </c>
      <c r="DT83" s="173">
        <v>619</v>
      </c>
      <c r="DU83" s="174" t="s">
        <v>272</v>
      </c>
      <c r="DV83" s="173"/>
      <c r="DW83" s="174" t="s">
        <v>84</v>
      </c>
      <c r="DX83" s="173"/>
      <c r="DY83" s="173"/>
      <c r="DZ83" s="173"/>
      <c r="EA83" s="665"/>
      <c r="EB83" s="1254" t="s">
        <v>2504</v>
      </c>
      <c r="EC83" s="537">
        <v>540000000</v>
      </c>
      <c r="EE83" s="740">
        <v>29</v>
      </c>
      <c r="EF83" s="706"/>
    </row>
    <row r="84" spans="4:136" s="302" customFormat="1" ht="120" hidden="1">
      <c r="D84" s="520">
        <v>81</v>
      </c>
      <c r="E84" s="534">
        <v>109</v>
      </c>
      <c r="F84" s="523" t="s">
        <v>43</v>
      </c>
      <c r="G84" s="523" t="s">
        <v>7</v>
      </c>
      <c r="H84" s="524" t="s">
        <v>2653</v>
      </c>
      <c r="I84" s="462" t="s">
        <v>207</v>
      </c>
      <c r="J84" s="335" t="s">
        <v>336</v>
      </c>
      <c r="K84" s="335" t="s">
        <v>337</v>
      </c>
      <c r="L84" s="453" t="s">
        <v>1573</v>
      </c>
      <c r="M84" s="333" t="s">
        <v>1785</v>
      </c>
      <c r="N84" s="333">
        <v>25</v>
      </c>
      <c r="O84" s="333">
        <f>+P84</f>
        <v>50</v>
      </c>
      <c r="P84" s="332">
        <v>50</v>
      </c>
      <c r="Q84" s="390">
        <v>0.25</v>
      </c>
      <c r="R84" s="342">
        <f t="shared" si="61"/>
        <v>6.25E-2</v>
      </c>
      <c r="S84" s="459">
        <v>50</v>
      </c>
      <c r="T84" s="387">
        <f t="shared" si="62"/>
        <v>0.25</v>
      </c>
      <c r="U84" s="670">
        <v>33</v>
      </c>
      <c r="V84" s="388">
        <f t="shared" si="63"/>
        <v>8.25</v>
      </c>
      <c r="W84" s="356">
        <f t="shared" si="64"/>
        <v>66</v>
      </c>
      <c r="X84" s="356">
        <f t="shared" si="65"/>
        <v>66</v>
      </c>
      <c r="Y84" s="356">
        <f t="shared" si="98"/>
        <v>4.1250000000000002E-2</v>
      </c>
      <c r="Z84" s="356">
        <f t="shared" si="66"/>
        <v>66</v>
      </c>
      <c r="AA84" s="313">
        <v>0</v>
      </c>
      <c r="AB84" s="313">
        <v>0</v>
      </c>
      <c r="AC84" s="313">
        <v>0</v>
      </c>
      <c r="AD84" s="313">
        <v>0</v>
      </c>
      <c r="AE84" s="313">
        <v>0</v>
      </c>
      <c r="AF84" s="313">
        <v>0</v>
      </c>
      <c r="AG84" s="313">
        <v>0</v>
      </c>
      <c r="AH84" s="313">
        <v>0</v>
      </c>
      <c r="AI84" s="313">
        <v>0</v>
      </c>
      <c r="AJ84" s="313">
        <v>0</v>
      </c>
      <c r="AK84" s="313">
        <v>0</v>
      </c>
      <c r="AL84" s="313">
        <v>0</v>
      </c>
      <c r="AM84" s="313">
        <v>0</v>
      </c>
      <c r="AN84" s="313">
        <v>0</v>
      </c>
      <c r="AO84" s="313">
        <v>0</v>
      </c>
      <c r="AP84" s="313">
        <v>0</v>
      </c>
      <c r="AQ84" s="313">
        <v>0</v>
      </c>
      <c r="AR84" s="313">
        <v>0</v>
      </c>
      <c r="AS84" s="313" t="s">
        <v>1798</v>
      </c>
      <c r="AT84" s="333">
        <f t="shared" si="67"/>
        <v>6.25E-2</v>
      </c>
      <c r="AU84" s="333">
        <v>50</v>
      </c>
      <c r="AV84" s="387">
        <f t="shared" si="68"/>
        <v>0.25</v>
      </c>
      <c r="AW84" s="682">
        <v>50</v>
      </c>
      <c r="AX84" s="474">
        <f t="shared" si="69"/>
        <v>12.5</v>
      </c>
      <c r="AY84" s="474">
        <f t="shared" si="70"/>
        <v>100</v>
      </c>
      <c r="AZ84" s="474">
        <f t="shared" si="71"/>
        <v>100</v>
      </c>
      <c r="BA84" s="356">
        <f t="shared" si="72"/>
        <v>6.25E-2</v>
      </c>
      <c r="BB84" s="356">
        <f t="shared" si="73"/>
        <v>100</v>
      </c>
      <c r="BC84" s="313">
        <v>0</v>
      </c>
      <c r="BD84" s="313">
        <v>0</v>
      </c>
      <c r="BE84" s="313">
        <v>0</v>
      </c>
      <c r="BF84" s="313">
        <v>0</v>
      </c>
      <c r="BG84" s="313">
        <v>0</v>
      </c>
      <c r="BH84" s="313">
        <v>0</v>
      </c>
      <c r="BI84" s="313">
        <v>0</v>
      </c>
      <c r="BJ84" s="313">
        <v>0</v>
      </c>
      <c r="BK84" s="473">
        <v>0</v>
      </c>
      <c r="BL84" s="472">
        <v>0</v>
      </c>
      <c r="BM84" s="472">
        <v>0</v>
      </c>
      <c r="BN84" s="472">
        <v>0</v>
      </c>
      <c r="BO84" s="472">
        <v>0</v>
      </c>
      <c r="BP84" s="472">
        <v>0</v>
      </c>
      <c r="BQ84" s="472">
        <v>0</v>
      </c>
      <c r="BR84" s="472">
        <v>0</v>
      </c>
      <c r="BS84" s="472">
        <v>0</v>
      </c>
      <c r="BT84" s="472">
        <v>0</v>
      </c>
      <c r="BU84" s="472">
        <v>0</v>
      </c>
      <c r="BV84" s="342">
        <f t="shared" si="74"/>
        <v>6.25E-2</v>
      </c>
      <c r="BW84" s="350">
        <v>50</v>
      </c>
      <c r="BX84" s="385">
        <f t="shared" si="75"/>
        <v>0.25</v>
      </c>
      <c r="BY84" s="399">
        <v>0</v>
      </c>
      <c r="BZ84" s="398">
        <v>0</v>
      </c>
      <c r="CA84" s="690">
        <v>50</v>
      </c>
      <c r="CB84" s="471">
        <f t="shared" si="76"/>
        <v>12.5</v>
      </c>
      <c r="CC84" s="471">
        <f t="shared" si="77"/>
        <v>100</v>
      </c>
      <c r="CD84" s="470">
        <f t="shared" si="78"/>
        <v>100</v>
      </c>
      <c r="CE84" s="380">
        <f t="shared" si="79"/>
        <v>6.25E-2</v>
      </c>
      <c r="CF84" s="469">
        <f t="shared" si="80"/>
        <v>100</v>
      </c>
      <c r="CG84" s="380">
        <f t="shared" si="81"/>
        <v>6.25E-2</v>
      </c>
      <c r="CH84" s="468">
        <f t="shared" si="82"/>
        <v>6.25E-2</v>
      </c>
      <c r="CI84" s="319">
        <v>50</v>
      </c>
      <c r="CJ84" s="318">
        <f t="shared" si="83"/>
        <v>0.25</v>
      </c>
      <c r="CK84" s="1259">
        <v>50</v>
      </c>
      <c r="CL84" s="301">
        <f t="shared" si="84"/>
        <v>0</v>
      </c>
      <c r="CM84" s="381">
        <f t="shared" si="85"/>
        <v>12.5</v>
      </c>
      <c r="CN84" s="381">
        <f t="shared" si="86"/>
        <v>100</v>
      </c>
      <c r="CO84" s="381">
        <f t="shared" si="87"/>
        <v>100</v>
      </c>
      <c r="CP84" s="381">
        <f t="shared" si="88"/>
        <v>6.25E-2</v>
      </c>
      <c r="CQ84" s="381">
        <f t="shared" si="89"/>
        <v>6.25E-2</v>
      </c>
      <c r="CR84" s="313">
        <v>0</v>
      </c>
      <c r="CS84" s="313">
        <v>0</v>
      </c>
      <c r="CT84" s="313">
        <v>0</v>
      </c>
      <c r="CU84" s="313">
        <v>0</v>
      </c>
      <c r="CV84" s="313">
        <v>0</v>
      </c>
      <c r="CW84" s="313">
        <v>0</v>
      </c>
      <c r="CX84" s="313">
        <v>0</v>
      </c>
      <c r="CY84" s="313">
        <v>0</v>
      </c>
      <c r="CZ84" s="380">
        <v>0</v>
      </c>
      <c r="DA84" s="380">
        <v>0</v>
      </c>
      <c r="DB84" s="380">
        <v>0</v>
      </c>
      <c r="DC84" s="380">
        <v>0</v>
      </c>
      <c r="DD84" s="380">
        <v>0</v>
      </c>
      <c r="DE84" s="380">
        <v>0</v>
      </c>
      <c r="DF84" s="380">
        <v>0</v>
      </c>
      <c r="DG84" s="380">
        <v>0</v>
      </c>
      <c r="DH84" s="380">
        <v>0</v>
      </c>
      <c r="DI84" s="380">
        <v>0</v>
      </c>
      <c r="DJ84" s="380">
        <v>0</v>
      </c>
      <c r="DK84" s="702">
        <f t="shared" si="90"/>
        <v>45.75</v>
      </c>
      <c r="DL84" s="311">
        <f t="shared" si="91"/>
        <v>0.25</v>
      </c>
      <c r="DM84" s="310">
        <f t="shared" si="92"/>
        <v>91.5</v>
      </c>
      <c r="DN84" s="356">
        <f t="shared" si="93"/>
        <v>91.5</v>
      </c>
      <c r="DO84" s="308">
        <f t="shared" si="94"/>
        <v>0.22875000000000001</v>
      </c>
      <c r="DP84" s="359">
        <f>+IF(M84="M",DO84,0)</f>
        <v>0.22875000000000001</v>
      </c>
      <c r="DQ84" s="306">
        <f t="shared" si="95"/>
        <v>0.22875000000000001</v>
      </c>
      <c r="DR84" s="379">
        <f t="shared" si="96"/>
        <v>1</v>
      </c>
      <c r="DS84" s="378">
        <f t="shared" si="97"/>
        <v>0</v>
      </c>
      <c r="DT84" s="173">
        <v>74</v>
      </c>
      <c r="DU84" s="174" t="s">
        <v>283</v>
      </c>
      <c r="DV84" s="173">
        <v>78</v>
      </c>
      <c r="DW84" s="174" t="s">
        <v>129</v>
      </c>
      <c r="DX84" s="173">
        <v>79</v>
      </c>
      <c r="DY84" s="173">
        <v>619</v>
      </c>
      <c r="DZ84" s="173"/>
      <c r="EA84" s="665"/>
      <c r="EB84" s="1254" t="s">
        <v>2439</v>
      </c>
      <c r="EC84" s="537">
        <v>20000000</v>
      </c>
      <c r="EE84" s="734">
        <v>0</v>
      </c>
      <c r="EF84" s="706"/>
    </row>
    <row r="85" spans="4:136" s="302" customFormat="1" ht="120" hidden="1">
      <c r="D85" s="520">
        <v>82</v>
      </c>
      <c r="E85" s="534">
        <v>110</v>
      </c>
      <c r="F85" s="523" t="s">
        <v>43</v>
      </c>
      <c r="G85" s="523" t="s">
        <v>7</v>
      </c>
      <c r="H85" s="524" t="s">
        <v>2653</v>
      </c>
      <c r="I85" s="462" t="s">
        <v>210</v>
      </c>
      <c r="J85" s="335" t="s">
        <v>338</v>
      </c>
      <c r="K85" s="335" t="s">
        <v>339</v>
      </c>
      <c r="L85" s="454" t="s">
        <v>1501</v>
      </c>
      <c r="M85" s="333" t="s">
        <v>1771</v>
      </c>
      <c r="N85" s="333">
        <v>0</v>
      </c>
      <c r="O85" s="333">
        <f>+N85+P85</f>
        <v>2000</v>
      </c>
      <c r="P85" s="332">
        <v>2000</v>
      </c>
      <c r="Q85" s="390">
        <v>0.16500000000000001</v>
      </c>
      <c r="R85" s="342">
        <f t="shared" si="61"/>
        <v>8.2500000000000004E-3</v>
      </c>
      <c r="S85" s="459">
        <v>100</v>
      </c>
      <c r="T85" s="387">
        <f t="shared" si="62"/>
        <v>0.05</v>
      </c>
      <c r="U85" s="670">
        <v>89</v>
      </c>
      <c r="V85" s="388">
        <f t="shared" si="63"/>
        <v>89</v>
      </c>
      <c r="W85" s="356">
        <f t="shared" si="64"/>
        <v>89</v>
      </c>
      <c r="X85" s="356">
        <f t="shared" si="65"/>
        <v>89</v>
      </c>
      <c r="Y85" s="356">
        <f t="shared" si="98"/>
        <v>7.3425000000000009E-3</v>
      </c>
      <c r="Z85" s="356">
        <f t="shared" si="66"/>
        <v>89</v>
      </c>
      <c r="AA85" s="313">
        <v>0</v>
      </c>
      <c r="AB85" s="313">
        <v>0</v>
      </c>
      <c r="AC85" s="313">
        <v>0</v>
      </c>
      <c r="AD85" s="313">
        <v>0</v>
      </c>
      <c r="AE85" s="313">
        <v>0</v>
      </c>
      <c r="AF85" s="313">
        <v>0</v>
      </c>
      <c r="AG85" s="313">
        <v>0</v>
      </c>
      <c r="AH85" s="313">
        <v>0</v>
      </c>
      <c r="AI85" s="313">
        <v>0</v>
      </c>
      <c r="AJ85" s="313">
        <v>0</v>
      </c>
      <c r="AK85" s="313">
        <v>0</v>
      </c>
      <c r="AL85" s="313">
        <v>0</v>
      </c>
      <c r="AM85" s="313">
        <v>0</v>
      </c>
      <c r="AN85" s="313">
        <v>0</v>
      </c>
      <c r="AO85" s="313">
        <v>0</v>
      </c>
      <c r="AP85" s="313">
        <v>0</v>
      </c>
      <c r="AQ85" s="313">
        <v>0</v>
      </c>
      <c r="AR85" s="313">
        <v>0</v>
      </c>
      <c r="AS85" s="313" t="s">
        <v>1798</v>
      </c>
      <c r="AT85" s="333">
        <f t="shared" si="67"/>
        <v>0.12375</v>
      </c>
      <c r="AU85" s="333">
        <v>1500</v>
      </c>
      <c r="AV85" s="387">
        <f t="shared" si="68"/>
        <v>0.75</v>
      </c>
      <c r="AW85" s="677">
        <v>2261</v>
      </c>
      <c r="AX85" s="474">
        <f t="shared" si="69"/>
        <v>2261</v>
      </c>
      <c r="AY85" s="474">
        <f t="shared" si="70"/>
        <v>150.73333333333332</v>
      </c>
      <c r="AZ85" s="474">
        <f t="shared" si="71"/>
        <v>100</v>
      </c>
      <c r="BA85" s="356">
        <f t="shared" si="72"/>
        <v>0.12375</v>
      </c>
      <c r="BB85" s="356">
        <f t="shared" si="73"/>
        <v>100</v>
      </c>
      <c r="BC85" s="313">
        <v>7000000</v>
      </c>
      <c r="BD85" s="313">
        <v>0</v>
      </c>
      <c r="BE85" s="313">
        <v>7000000</v>
      </c>
      <c r="BF85" s="313">
        <v>0</v>
      </c>
      <c r="BG85" s="313">
        <v>0</v>
      </c>
      <c r="BH85" s="313">
        <v>0</v>
      </c>
      <c r="BI85" s="313">
        <v>0</v>
      </c>
      <c r="BJ85" s="313">
        <v>0</v>
      </c>
      <c r="BK85" s="473">
        <v>0</v>
      </c>
      <c r="BL85" s="472">
        <v>0</v>
      </c>
      <c r="BM85" s="472">
        <v>0</v>
      </c>
      <c r="BN85" s="472">
        <v>0</v>
      </c>
      <c r="BO85" s="472">
        <v>0</v>
      </c>
      <c r="BP85" s="472">
        <v>0</v>
      </c>
      <c r="BQ85" s="472">
        <v>0</v>
      </c>
      <c r="BR85" s="472">
        <v>0</v>
      </c>
      <c r="BS85" s="472">
        <v>0</v>
      </c>
      <c r="BT85" s="472">
        <v>0</v>
      </c>
      <c r="BU85" s="472">
        <v>0</v>
      </c>
      <c r="BV85" s="342">
        <f t="shared" si="74"/>
        <v>2.4750000000000001E-2</v>
      </c>
      <c r="BW85" s="350">
        <v>300</v>
      </c>
      <c r="BX85" s="385">
        <f t="shared" si="75"/>
        <v>0.15</v>
      </c>
      <c r="BY85" s="399">
        <v>700</v>
      </c>
      <c r="BZ85" s="398">
        <v>700</v>
      </c>
      <c r="CA85" s="690">
        <v>17228</v>
      </c>
      <c r="CB85" s="471">
        <f t="shared" si="76"/>
        <v>17228</v>
      </c>
      <c r="CC85" s="471">
        <f t="shared" si="77"/>
        <v>5742.666666666667</v>
      </c>
      <c r="CD85" s="470">
        <f t="shared" si="78"/>
        <v>100</v>
      </c>
      <c r="CE85" s="380">
        <f t="shared" si="79"/>
        <v>2.4750000000000001E-2</v>
      </c>
      <c r="CF85" s="469">
        <f t="shared" si="80"/>
        <v>100</v>
      </c>
      <c r="CG85" s="380">
        <f t="shared" si="81"/>
        <v>1.4213100000000001</v>
      </c>
      <c r="CH85" s="468">
        <f t="shared" si="82"/>
        <v>8.2500000000000004E-3</v>
      </c>
      <c r="CI85" s="319">
        <v>100</v>
      </c>
      <c r="CJ85" s="318">
        <f t="shared" si="83"/>
        <v>0.05</v>
      </c>
      <c r="CK85" s="1259">
        <v>2900</v>
      </c>
      <c r="CL85" s="301">
        <f t="shared" si="84"/>
        <v>-2800</v>
      </c>
      <c r="CM85" s="381">
        <f t="shared" si="85"/>
        <v>2900</v>
      </c>
      <c r="CN85" s="381">
        <f t="shared" si="86"/>
        <v>2900</v>
      </c>
      <c r="CO85" s="316">
        <f t="shared" si="87"/>
        <v>100</v>
      </c>
      <c r="CP85" s="381">
        <f t="shared" si="88"/>
        <v>8.2500000000000004E-3</v>
      </c>
      <c r="CQ85" s="381">
        <f t="shared" si="89"/>
        <v>0.23925000000000002</v>
      </c>
      <c r="CR85" s="313">
        <v>15000000</v>
      </c>
      <c r="CS85" s="313">
        <v>15000000</v>
      </c>
      <c r="CT85" s="313">
        <v>0</v>
      </c>
      <c r="CU85" s="313">
        <v>0</v>
      </c>
      <c r="CV85" s="313">
        <v>0</v>
      </c>
      <c r="CW85" s="313">
        <v>0</v>
      </c>
      <c r="CX85" s="313">
        <v>0</v>
      </c>
      <c r="CY85" s="313">
        <v>0</v>
      </c>
      <c r="CZ85" s="380">
        <v>0</v>
      </c>
      <c r="DA85" s="380">
        <v>0</v>
      </c>
      <c r="DB85" s="380">
        <v>0</v>
      </c>
      <c r="DC85" s="380">
        <v>0</v>
      </c>
      <c r="DD85" s="380">
        <v>0</v>
      </c>
      <c r="DE85" s="380">
        <v>0</v>
      </c>
      <c r="DF85" s="380">
        <v>0</v>
      </c>
      <c r="DG85" s="380">
        <v>0</v>
      </c>
      <c r="DH85" s="380">
        <v>0</v>
      </c>
      <c r="DI85" s="380">
        <v>0</v>
      </c>
      <c r="DJ85" s="380">
        <v>0</v>
      </c>
      <c r="DK85" s="702">
        <f t="shared" si="90"/>
        <v>22478</v>
      </c>
      <c r="DL85" s="311">
        <f t="shared" si="91"/>
        <v>0.16500000000000001</v>
      </c>
      <c r="DM85" s="310">
        <f t="shared" si="92"/>
        <v>1123.9000000000001</v>
      </c>
      <c r="DN85" s="356">
        <f t="shared" si="93"/>
        <v>100</v>
      </c>
      <c r="DO85" s="308">
        <f t="shared" si="94"/>
        <v>0.16500000000000001</v>
      </c>
      <c r="DP85" s="359">
        <f>+IF(((DN85*Q85)/100)&lt;Q85, ((DN85*Q85)/100),Q85)</f>
        <v>0.16500000000000001</v>
      </c>
      <c r="DQ85" s="306">
        <f t="shared" si="95"/>
        <v>0.16500000000000001</v>
      </c>
      <c r="DR85" s="379">
        <f t="shared" si="96"/>
        <v>1</v>
      </c>
      <c r="DS85" s="378">
        <f t="shared" si="97"/>
        <v>0</v>
      </c>
      <c r="DT85" s="173">
        <v>72</v>
      </c>
      <c r="DU85" s="174" t="s">
        <v>133</v>
      </c>
      <c r="DV85" s="173">
        <v>74</v>
      </c>
      <c r="DW85" s="174" t="s">
        <v>283</v>
      </c>
      <c r="DX85" s="173"/>
      <c r="DY85" s="173"/>
      <c r="DZ85" s="173"/>
      <c r="EA85" s="665"/>
      <c r="EB85" s="1254" t="s">
        <v>2440</v>
      </c>
      <c r="EC85" s="537">
        <v>20000000</v>
      </c>
      <c r="EE85" s="734">
        <v>375</v>
      </c>
      <c r="EF85" s="706"/>
    </row>
    <row r="86" spans="4:136" s="302" customFormat="1" ht="120" hidden="1">
      <c r="D86" s="520">
        <v>83</v>
      </c>
      <c r="E86" s="534">
        <v>111</v>
      </c>
      <c r="F86" s="523" t="s">
        <v>43</v>
      </c>
      <c r="G86" s="523" t="s">
        <v>7</v>
      </c>
      <c r="H86" s="524" t="s">
        <v>2653</v>
      </c>
      <c r="I86" s="462" t="s">
        <v>210</v>
      </c>
      <c r="J86" s="335" t="s">
        <v>340</v>
      </c>
      <c r="K86" s="335" t="s">
        <v>278</v>
      </c>
      <c r="L86" s="454" t="s">
        <v>1796</v>
      </c>
      <c r="M86" s="333" t="s">
        <v>1771</v>
      </c>
      <c r="N86" s="333">
        <v>0</v>
      </c>
      <c r="O86" s="333">
        <f>+N86+P86</f>
        <v>1</v>
      </c>
      <c r="P86" s="332">
        <v>1</v>
      </c>
      <c r="Q86" s="390">
        <v>0.25</v>
      </c>
      <c r="R86" s="342">
        <f t="shared" si="61"/>
        <v>7.4999999999999997E-2</v>
      </c>
      <c r="S86" s="459">
        <v>0.3</v>
      </c>
      <c r="T86" s="387">
        <f t="shared" si="62"/>
        <v>0.3</v>
      </c>
      <c r="U86" s="670">
        <v>0.3</v>
      </c>
      <c r="V86" s="388">
        <f t="shared" si="63"/>
        <v>0.3</v>
      </c>
      <c r="W86" s="356">
        <f t="shared" si="64"/>
        <v>100</v>
      </c>
      <c r="X86" s="356">
        <f t="shared" si="65"/>
        <v>100</v>
      </c>
      <c r="Y86" s="356">
        <f t="shared" si="98"/>
        <v>7.4999999999999997E-2</v>
      </c>
      <c r="Z86" s="356">
        <f t="shared" si="66"/>
        <v>100</v>
      </c>
      <c r="AA86" s="313">
        <v>50000000</v>
      </c>
      <c r="AB86" s="313">
        <v>25000000</v>
      </c>
      <c r="AC86" s="313">
        <v>0</v>
      </c>
      <c r="AD86" s="313">
        <v>0</v>
      </c>
      <c r="AE86" s="313">
        <v>0</v>
      </c>
      <c r="AF86" s="313">
        <v>0</v>
      </c>
      <c r="AG86" s="313">
        <v>0</v>
      </c>
      <c r="AH86" s="313">
        <v>25000000</v>
      </c>
      <c r="AI86" s="313">
        <v>25000000</v>
      </c>
      <c r="AJ86" s="313">
        <v>25000000</v>
      </c>
      <c r="AK86" s="313">
        <v>0</v>
      </c>
      <c r="AL86" s="313">
        <v>0</v>
      </c>
      <c r="AM86" s="313">
        <v>0</v>
      </c>
      <c r="AN86" s="313">
        <v>0</v>
      </c>
      <c r="AO86" s="313">
        <v>0</v>
      </c>
      <c r="AP86" s="313">
        <v>0</v>
      </c>
      <c r="AQ86" s="313">
        <v>0</v>
      </c>
      <c r="AR86" s="313">
        <v>50000000</v>
      </c>
      <c r="AS86" s="313" t="s">
        <v>2004</v>
      </c>
      <c r="AT86" s="333">
        <f t="shared" si="67"/>
        <v>7.4999999999999997E-2</v>
      </c>
      <c r="AU86" s="333">
        <v>0.3</v>
      </c>
      <c r="AV86" s="387">
        <f t="shared" si="68"/>
        <v>0.3</v>
      </c>
      <c r="AW86" s="682">
        <v>0.3</v>
      </c>
      <c r="AX86" s="474">
        <f t="shared" si="69"/>
        <v>0.3</v>
      </c>
      <c r="AY86" s="474">
        <f t="shared" si="70"/>
        <v>100</v>
      </c>
      <c r="AZ86" s="474">
        <f t="shared" si="71"/>
        <v>100</v>
      </c>
      <c r="BA86" s="356">
        <f t="shared" si="72"/>
        <v>7.4999999999999997E-2</v>
      </c>
      <c r="BB86" s="356">
        <f t="shared" si="73"/>
        <v>100</v>
      </c>
      <c r="BC86" s="313">
        <v>5000000</v>
      </c>
      <c r="BD86" s="313">
        <v>0</v>
      </c>
      <c r="BE86" s="313">
        <v>5000000</v>
      </c>
      <c r="BF86" s="313">
        <v>0</v>
      </c>
      <c r="BG86" s="313">
        <v>0</v>
      </c>
      <c r="BH86" s="313">
        <v>0</v>
      </c>
      <c r="BI86" s="313">
        <v>0</v>
      </c>
      <c r="BJ86" s="313">
        <v>0</v>
      </c>
      <c r="BK86" s="473">
        <v>75000000</v>
      </c>
      <c r="BL86" s="472">
        <v>75000000</v>
      </c>
      <c r="BM86" s="472">
        <v>0</v>
      </c>
      <c r="BN86" s="472">
        <v>0</v>
      </c>
      <c r="BO86" s="472">
        <v>0</v>
      </c>
      <c r="BP86" s="472">
        <v>0</v>
      </c>
      <c r="BQ86" s="472">
        <v>0</v>
      </c>
      <c r="BR86" s="472">
        <v>0</v>
      </c>
      <c r="BS86" s="472">
        <v>0</v>
      </c>
      <c r="BT86" s="472">
        <v>135500000</v>
      </c>
      <c r="BU86" s="472" t="s">
        <v>2003</v>
      </c>
      <c r="BV86" s="342">
        <f t="shared" si="74"/>
        <v>0.05</v>
      </c>
      <c r="BW86" s="350">
        <v>0.2</v>
      </c>
      <c r="BX86" s="385">
        <f t="shared" si="75"/>
        <v>0.2</v>
      </c>
      <c r="BY86" s="475">
        <v>0.23999999463558197</v>
      </c>
      <c r="BZ86" s="438">
        <v>0.1</v>
      </c>
      <c r="CA86" s="692">
        <v>0.2</v>
      </c>
      <c r="CB86" s="471">
        <f t="shared" si="76"/>
        <v>0.2</v>
      </c>
      <c r="CC86" s="471">
        <f t="shared" si="77"/>
        <v>100</v>
      </c>
      <c r="CD86" s="470">
        <f t="shared" si="78"/>
        <v>100</v>
      </c>
      <c r="CE86" s="380">
        <f t="shared" si="79"/>
        <v>0.05</v>
      </c>
      <c r="CF86" s="469">
        <f t="shared" si="80"/>
        <v>100</v>
      </c>
      <c r="CG86" s="380">
        <f t="shared" si="81"/>
        <v>0.05</v>
      </c>
      <c r="CH86" s="468">
        <f t="shared" si="82"/>
        <v>0.05</v>
      </c>
      <c r="CI86" s="319">
        <v>0.2</v>
      </c>
      <c r="CJ86" s="318">
        <f t="shared" si="83"/>
        <v>0.2</v>
      </c>
      <c r="CK86" s="1259">
        <v>0.2</v>
      </c>
      <c r="CL86" s="301">
        <f t="shared" si="84"/>
        <v>0</v>
      </c>
      <c r="CM86" s="381">
        <f t="shared" si="85"/>
        <v>0.2</v>
      </c>
      <c r="CN86" s="381">
        <f t="shared" si="86"/>
        <v>100</v>
      </c>
      <c r="CO86" s="316">
        <f t="shared" si="87"/>
        <v>100</v>
      </c>
      <c r="CP86" s="381">
        <f t="shared" si="88"/>
        <v>0.05</v>
      </c>
      <c r="CQ86" s="381">
        <f t="shared" si="89"/>
        <v>0.05</v>
      </c>
      <c r="CR86" s="313">
        <v>12000000</v>
      </c>
      <c r="CS86" s="313">
        <v>12000000</v>
      </c>
      <c r="CT86" s="313">
        <v>0</v>
      </c>
      <c r="CU86" s="313">
        <v>0</v>
      </c>
      <c r="CV86" s="313">
        <v>0</v>
      </c>
      <c r="CW86" s="313">
        <v>0</v>
      </c>
      <c r="CX86" s="313">
        <v>0</v>
      </c>
      <c r="CY86" s="313">
        <v>0</v>
      </c>
      <c r="CZ86" s="380">
        <v>0</v>
      </c>
      <c r="DA86" s="380">
        <v>0</v>
      </c>
      <c r="DB86" s="380">
        <v>0</v>
      </c>
      <c r="DC86" s="380">
        <v>0</v>
      </c>
      <c r="DD86" s="380">
        <v>0</v>
      </c>
      <c r="DE86" s="380">
        <v>0</v>
      </c>
      <c r="DF86" s="380">
        <v>0</v>
      </c>
      <c r="DG86" s="380">
        <v>0</v>
      </c>
      <c r="DH86" s="380">
        <v>0</v>
      </c>
      <c r="DI86" s="380">
        <v>0</v>
      </c>
      <c r="DJ86" s="380">
        <v>0</v>
      </c>
      <c r="DK86" s="703">
        <f t="shared" si="90"/>
        <v>1</v>
      </c>
      <c r="DL86" s="311">
        <f t="shared" si="91"/>
        <v>0.25</v>
      </c>
      <c r="DM86" s="310">
        <f t="shared" si="92"/>
        <v>100</v>
      </c>
      <c r="DN86" s="356">
        <f t="shared" si="93"/>
        <v>100</v>
      </c>
      <c r="DO86" s="308">
        <f t="shared" si="94"/>
        <v>0.25</v>
      </c>
      <c r="DP86" s="359">
        <f>+IF(((DN86*Q86)/100)&lt;Q86, ((DN86*Q86)/100),Q86)</f>
        <v>0.25</v>
      </c>
      <c r="DQ86" s="306">
        <f t="shared" si="95"/>
        <v>0.25</v>
      </c>
      <c r="DR86" s="379">
        <f t="shared" si="96"/>
        <v>1</v>
      </c>
      <c r="DS86" s="378">
        <f t="shared" si="97"/>
        <v>0</v>
      </c>
      <c r="DT86" s="173">
        <v>74</v>
      </c>
      <c r="DU86" s="174" t="s">
        <v>283</v>
      </c>
      <c r="DV86" s="173">
        <v>78</v>
      </c>
      <c r="DW86" s="174" t="s">
        <v>129</v>
      </c>
      <c r="DX86" s="173"/>
      <c r="DY86" s="173"/>
      <c r="DZ86" s="173"/>
      <c r="EA86" s="665"/>
      <c r="EB86" s="1254" t="s">
        <v>2505</v>
      </c>
      <c r="EC86" s="537">
        <v>3000000</v>
      </c>
      <c r="EE86" s="734">
        <v>0</v>
      </c>
      <c r="EF86" s="706"/>
    </row>
    <row r="87" spans="4:136" s="302" customFormat="1" ht="120" hidden="1">
      <c r="D87" s="520">
        <v>84</v>
      </c>
      <c r="E87" s="534">
        <v>112</v>
      </c>
      <c r="F87" s="523" t="s">
        <v>43</v>
      </c>
      <c r="G87" s="523" t="s">
        <v>7</v>
      </c>
      <c r="H87" s="524" t="s">
        <v>2653</v>
      </c>
      <c r="I87" s="462" t="s">
        <v>210</v>
      </c>
      <c r="J87" s="335" t="s">
        <v>341</v>
      </c>
      <c r="K87" s="335" t="s">
        <v>342</v>
      </c>
      <c r="L87" s="454" t="s">
        <v>1825</v>
      </c>
      <c r="M87" s="333" t="s">
        <v>1771</v>
      </c>
      <c r="N87" s="333">
        <v>0</v>
      </c>
      <c r="O87" s="333">
        <f>+N87+P87</f>
        <v>1</v>
      </c>
      <c r="P87" s="332">
        <v>1</v>
      </c>
      <c r="Q87" s="390">
        <v>0.25</v>
      </c>
      <c r="R87" s="342">
        <f t="shared" si="61"/>
        <v>2.5000000000000001E-2</v>
      </c>
      <c r="S87" s="459">
        <v>0.1</v>
      </c>
      <c r="T87" s="387">
        <f t="shared" si="62"/>
        <v>0.1</v>
      </c>
      <c r="U87" s="670">
        <v>0.1</v>
      </c>
      <c r="V87" s="388">
        <f t="shared" si="63"/>
        <v>0.1</v>
      </c>
      <c r="W87" s="356">
        <f t="shared" si="64"/>
        <v>100</v>
      </c>
      <c r="X87" s="356">
        <f t="shared" si="65"/>
        <v>100</v>
      </c>
      <c r="Y87" s="356">
        <f t="shared" si="98"/>
        <v>2.5000000000000001E-2</v>
      </c>
      <c r="Z87" s="356">
        <f t="shared" si="66"/>
        <v>100</v>
      </c>
      <c r="AA87" s="313">
        <v>0</v>
      </c>
      <c r="AB87" s="313">
        <v>0</v>
      </c>
      <c r="AC87" s="313">
        <v>0</v>
      </c>
      <c r="AD87" s="313">
        <v>0</v>
      </c>
      <c r="AE87" s="313">
        <v>0</v>
      </c>
      <c r="AF87" s="313">
        <v>0</v>
      </c>
      <c r="AG87" s="313">
        <v>0</v>
      </c>
      <c r="AH87" s="313">
        <v>0</v>
      </c>
      <c r="AI87" s="313">
        <v>0</v>
      </c>
      <c r="AJ87" s="313">
        <v>0</v>
      </c>
      <c r="AK87" s="313">
        <v>0</v>
      </c>
      <c r="AL87" s="313">
        <v>0</v>
      </c>
      <c r="AM87" s="313">
        <v>0</v>
      </c>
      <c r="AN87" s="313">
        <v>0</v>
      </c>
      <c r="AO87" s="313">
        <v>0</v>
      </c>
      <c r="AP87" s="313">
        <v>0</v>
      </c>
      <c r="AQ87" s="313">
        <v>0</v>
      </c>
      <c r="AR87" s="313">
        <v>0</v>
      </c>
      <c r="AS87" s="313" t="s">
        <v>1798</v>
      </c>
      <c r="AT87" s="333">
        <f t="shared" si="67"/>
        <v>0.125</v>
      </c>
      <c r="AU87" s="333">
        <v>0.5</v>
      </c>
      <c r="AV87" s="387">
        <f t="shared" si="68"/>
        <v>0.5</v>
      </c>
      <c r="AW87" s="682">
        <v>0.5</v>
      </c>
      <c r="AX87" s="474">
        <f t="shared" si="69"/>
        <v>0.5</v>
      </c>
      <c r="AY87" s="474">
        <f t="shared" si="70"/>
        <v>100</v>
      </c>
      <c r="AZ87" s="474">
        <f t="shared" si="71"/>
        <v>100</v>
      </c>
      <c r="BA87" s="356">
        <f t="shared" si="72"/>
        <v>0.125</v>
      </c>
      <c r="BB87" s="356">
        <f t="shared" si="73"/>
        <v>100</v>
      </c>
      <c r="BC87" s="313">
        <v>5000000</v>
      </c>
      <c r="BD87" s="313">
        <v>0</v>
      </c>
      <c r="BE87" s="313">
        <v>5000000</v>
      </c>
      <c r="BF87" s="313">
        <v>0</v>
      </c>
      <c r="BG87" s="313">
        <v>0</v>
      </c>
      <c r="BH87" s="313">
        <v>0</v>
      </c>
      <c r="BI87" s="313">
        <v>0</v>
      </c>
      <c r="BJ87" s="313">
        <v>0</v>
      </c>
      <c r="BK87" s="473">
        <v>0</v>
      </c>
      <c r="BL87" s="472">
        <v>0</v>
      </c>
      <c r="BM87" s="472">
        <v>0</v>
      </c>
      <c r="BN87" s="472">
        <v>0</v>
      </c>
      <c r="BO87" s="472">
        <v>0</v>
      </c>
      <c r="BP87" s="472">
        <v>0</v>
      </c>
      <c r="BQ87" s="472">
        <v>0</v>
      </c>
      <c r="BR87" s="472">
        <v>0</v>
      </c>
      <c r="BS87" s="472">
        <v>0</v>
      </c>
      <c r="BT87" s="472">
        <v>0</v>
      </c>
      <c r="BU87" s="472">
        <v>0</v>
      </c>
      <c r="BV87" s="342">
        <f t="shared" si="74"/>
        <v>0.05</v>
      </c>
      <c r="BW87" s="350">
        <v>0.2</v>
      </c>
      <c r="BX87" s="385">
        <f t="shared" si="75"/>
        <v>0.2</v>
      </c>
      <c r="BY87" s="475">
        <v>0.25999999046325684</v>
      </c>
      <c r="BZ87" s="438">
        <v>0.1</v>
      </c>
      <c r="CA87" s="692">
        <v>0.20000000298023224</v>
      </c>
      <c r="CB87" s="471">
        <f t="shared" si="76"/>
        <v>0.20000000298023224</v>
      </c>
      <c r="CC87" s="471">
        <f t="shared" si="77"/>
        <v>100.00000149011612</v>
      </c>
      <c r="CD87" s="470">
        <f t="shared" si="78"/>
        <v>100</v>
      </c>
      <c r="CE87" s="380">
        <f t="shared" si="79"/>
        <v>0.05</v>
      </c>
      <c r="CF87" s="469">
        <f t="shared" si="80"/>
        <v>100</v>
      </c>
      <c r="CG87" s="380">
        <f t="shared" si="81"/>
        <v>5.000000074505806E-2</v>
      </c>
      <c r="CH87" s="468">
        <f t="shared" si="82"/>
        <v>0.05</v>
      </c>
      <c r="CI87" s="319">
        <v>0.2</v>
      </c>
      <c r="CJ87" s="318">
        <f t="shared" si="83"/>
        <v>0.2</v>
      </c>
      <c r="CK87" s="1259">
        <v>0.2</v>
      </c>
      <c r="CL87" s="301">
        <f t="shared" si="84"/>
        <v>0</v>
      </c>
      <c r="CM87" s="381">
        <f t="shared" si="85"/>
        <v>0.2</v>
      </c>
      <c r="CN87" s="381">
        <f t="shared" si="86"/>
        <v>100</v>
      </c>
      <c r="CO87" s="316">
        <f t="shared" si="87"/>
        <v>100</v>
      </c>
      <c r="CP87" s="381">
        <f t="shared" si="88"/>
        <v>0.05</v>
      </c>
      <c r="CQ87" s="381">
        <f t="shared" si="89"/>
        <v>0.05</v>
      </c>
      <c r="CR87" s="313">
        <v>12000000</v>
      </c>
      <c r="CS87" s="313">
        <v>12000000</v>
      </c>
      <c r="CT87" s="313">
        <v>0</v>
      </c>
      <c r="CU87" s="313">
        <v>0</v>
      </c>
      <c r="CV87" s="313">
        <v>0</v>
      </c>
      <c r="CW87" s="313">
        <v>0</v>
      </c>
      <c r="CX87" s="313">
        <v>0</v>
      </c>
      <c r="CY87" s="313">
        <v>0</v>
      </c>
      <c r="CZ87" s="380">
        <v>0</v>
      </c>
      <c r="DA87" s="380">
        <v>0</v>
      </c>
      <c r="DB87" s="380">
        <v>0</v>
      </c>
      <c r="DC87" s="380">
        <v>0</v>
      </c>
      <c r="DD87" s="380">
        <v>0</v>
      </c>
      <c r="DE87" s="380">
        <v>0</v>
      </c>
      <c r="DF87" s="380">
        <v>0</v>
      </c>
      <c r="DG87" s="380">
        <v>0</v>
      </c>
      <c r="DH87" s="380">
        <v>0</v>
      </c>
      <c r="DI87" s="380">
        <v>0</v>
      </c>
      <c r="DJ87" s="380">
        <v>0</v>
      </c>
      <c r="DK87" s="702">
        <f t="shared" si="90"/>
        <v>1.0000000029802323</v>
      </c>
      <c r="DL87" s="311">
        <f t="shared" si="91"/>
        <v>0.25</v>
      </c>
      <c r="DM87" s="310">
        <f t="shared" si="92"/>
        <v>100.00000029802322</v>
      </c>
      <c r="DN87" s="356">
        <f t="shared" si="93"/>
        <v>100</v>
      </c>
      <c r="DO87" s="308">
        <f t="shared" si="94"/>
        <v>0.25</v>
      </c>
      <c r="DP87" s="359">
        <f>+IF(((DN87*Q87)/100)&lt;Q87, ((DN87*Q87)/100),Q87)</f>
        <v>0.25</v>
      </c>
      <c r="DQ87" s="306">
        <f t="shared" si="95"/>
        <v>0.25</v>
      </c>
      <c r="DR87" s="379">
        <f t="shared" si="96"/>
        <v>1</v>
      </c>
      <c r="DS87" s="378">
        <f t="shared" si="97"/>
        <v>0</v>
      </c>
      <c r="DT87" s="173">
        <v>74</v>
      </c>
      <c r="DU87" s="174" t="s">
        <v>283</v>
      </c>
      <c r="DV87" s="173">
        <v>78</v>
      </c>
      <c r="DW87" s="174" t="s">
        <v>129</v>
      </c>
      <c r="DX87" s="173"/>
      <c r="DY87" s="173"/>
      <c r="DZ87" s="173"/>
      <c r="EA87" s="665"/>
      <c r="EB87" s="1254" t="s">
        <v>2441</v>
      </c>
      <c r="EC87" s="537">
        <v>19000000</v>
      </c>
      <c r="EE87" s="734">
        <v>450</v>
      </c>
      <c r="EF87" s="706"/>
    </row>
    <row r="88" spans="4:136" s="302" customFormat="1" ht="89.25" hidden="1">
      <c r="D88" s="520">
        <v>85</v>
      </c>
      <c r="E88" s="534">
        <v>113</v>
      </c>
      <c r="F88" s="523" t="s">
        <v>43</v>
      </c>
      <c r="G88" s="523" t="s">
        <v>9</v>
      </c>
      <c r="H88" s="524" t="s">
        <v>2653</v>
      </c>
      <c r="I88" s="462" t="s">
        <v>210</v>
      </c>
      <c r="J88" s="335" t="s">
        <v>343</v>
      </c>
      <c r="K88" s="335" t="s">
        <v>344</v>
      </c>
      <c r="L88" s="453" t="s">
        <v>1947</v>
      </c>
      <c r="M88" s="333" t="s">
        <v>1785</v>
      </c>
      <c r="N88" s="333">
        <v>100</v>
      </c>
      <c r="O88" s="333">
        <f>+P88</f>
        <v>100</v>
      </c>
      <c r="P88" s="332">
        <v>100</v>
      </c>
      <c r="Q88" s="390">
        <v>0.16500000000000001</v>
      </c>
      <c r="R88" s="342">
        <f t="shared" si="61"/>
        <v>4.1250000000000002E-2</v>
      </c>
      <c r="S88" s="459">
        <v>100</v>
      </c>
      <c r="T88" s="387">
        <f t="shared" si="62"/>
        <v>0.25</v>
      </c>
      <c r="U88" s="670">
        <v>100</v>
      </c>
      <c r="V88" s="388">
        <f t="shared" si="63"/>
        <v>25</v>
      </c>
      <c r="W88" s="356">
        <f t="shared" si="64"/>
        <v>100</v>
      </c>
      <c r="X88" s="356">
        <f t="shared" si="65"/>
        <v>100</v>
      </c>
      <c r="Y88" s="356">
        <f t="shared" si="98"/>
        <v>4.1250000000000002E-2</v>
      </c>
      <c r="Z88" s="356">
        <f t="shared" si="66"/>
        <v>100</v>
      </c>
      <c r="AA88" s="313">
        <v>0</v>
      </c>
      <c r="AB88" s="313">
        <v>0</v>
      </c>
      <c r="AC88" s="313">
        <v>0</v>
      </c>
      <c r="AD88" s="313">
        <v>0</v>
      </c>
      <c r="AE88" s="313">
        <v>0</v>
      </c>
      <c r="AF88" s="313">
        <v>0</v>
      </c>
      <c r="AG88" s="313">
        <v>0</v>
      </c>
      <c r="AH88" s="313">
        <v>0</v>
      </c>
      <c r="AI88" s="313">
        <v>0</v>
      </c>
      <c r="AJ88" s="313">
        <v>0</v>
      </c>
      <c r="AK88" s="313">
        <v>0</v>
      </c>
      <c r="AL88" s="313">
        <v>0</v>
      </c>
      <c r="AM88" s="313">
        <v>0</v>
      </c>
      <c r="AN88" s="313">
        <v>0</v>
      </c>
      <c r="AO88" s="313">
        <v>0</v>
      </c>
      <c r="AP88" s="313">
        <v>0</v>
      </c>
      <c r="AQ88" s="313">
        <v>0</v>
      </c>
      <c r="AR88" s="313">
        <v>0</v>
      </c>
      <c r="AS88" s="313" t="s">
        <v>1798</v>
      </c>
      <c r="AT88" s="333">
        <f t="shared" si="67"/>
        <v>4.1250000000000002E-2</v>
      </c>
      <c r="AU88" s="333">
        <v>100</v>
      </c>
      <c r="AV88" s="387">
        <f t="shared" si="68"/>
        <v>0.25</v>
      </c>
      <c r="AW88" s="677">
        <v>50</v>
      </c>
      <c r="AX88" s="474">
        <f t="shared" si="69"/>
        <v>12.5</v>
      </c>
      <c r="AY88" s="474">
        <f t="shared" si="70"/>
        <v>50</v>
      </c>
      <c r="AZ88" s="474">
        <f t="shared" si="71"/>
        <v>50</v>
      </c>
      <c r="BA88" s="356">
        <f t="shared" si="72"/>
        <v>2.0625000000000001E-2</v>
      </c>
      <c r="BB88" s="356">
        <f t="shared" si="73"/>
        <v>50</v>
      </c>
      <c r="BC88" s="313">
        <v>20000000</v>
      </c>
      <c r="BD88" s="313">
        <v>0</v>
      </c>
      <c r="BE88" s="313">
        <v>20000000</v>
      </c>
      <c r="BF88" s="313">
        <v>0</v>
      </c>
      <c r="BG88" s="313">
        <v>0</v>
      </c>
      <c r="BH88" s="313">
        <v>0</v>
      </c>
      <c r="BI88" s="313">
        <v>0</v>
      </c>
      <c r="BJ88" s="313">
        <v>0</v>
      </c>
      <c r="BK88" s="473">
        <v>5000000</v>
      </c>
      <c r="BL88" s="472">
        <v>5000000</v>
      </c>
      <c r="BM88" s="472">
        <v>0</v>
      </c>
      <c r="BN88" s="472">
        <v>0</v>
      </c>
      <c r="BO88" s="472">
        <v>0</v>
      </c>
      <c r="BP88" s="472">
        <v>0</v>
      </c>
      <c r="BQ88" s="472">
        <v>0</v>
      </c>
      <c r="BR88" s="472">
        <v>0</v>
      </c>
      <c r="BS88" s="472">
        <v>0</v>
      </c>
      <c r="BT88" s="472">
        <v>0</v>
      </c>
      <c r="BU88" s="472">
        <v>0</v>
      </c>
      <c r="BV88" s="342">
        <f t="shared" si="74"/>
        <v>4.1250000000000002E-2</v>
      </c>
      <c r="BW88" s="350">
        <v>100</v>
      </c>
      <c r="BX88" s="385">
        <f t="shared" si="75"/>
        <v>0.25</v>
      </c>
      <c r="BY88" s="369">
        <v>100</v>
      </c>
      <c r="BZ88" s="391">
        <v>100</v>
      </c>
      <c r="CA88" s="689">
        <v>100</v>
      </c>
      <c r="CB88" s="471">
        <f t="shared" si="76"/>
        <v>25</v>
      </c>
      <c r="CC88" s="471">
        <f t="shared" si="77"/>
        <v>100</v>
      </c>
      <c r="CD88" s="470">
        <f t="shared" si="78"/>
        <v>100</v>
      </c>
      <c r="CE88" s="380">
        <f t="shared" si="79"/>
        <v>4.1250000000000002E-2</v>
      </c>
      <c r="CF88" s="469">
        <f t="shared" si="80"/>
        <v>100</v>
      </c>
      <c r="CG88" s="380">
        <f t="shared" si="81"/>
        <v>4.1250000000000002E-2</v>
      </c>
      <c r="CH88" s="468">
        <f t="shared" si="82"/>
        <v>4.1250000000000002E-2</v>
      </c>
      <c r="CI88" s="319">
        <v>100</v>
      </c>
      <c r="CJ88" s="318">
        <f t="shared" si="83"/>
        <v>0.25</v>
      </c>
      <c r="CK88" s="1259">
        <v>100</v>
      </c>
      <c r="CL88" s="301">
        <f t="shared" si="84"/>
        <v>0</v>
      </c>
      <c r="CM88" s="381">
        <f t="shared" si="85"/>
        <v>25</v>
      </c>
      <c r="CN88" s="381">
        <f t="shared" si="86"/>
        <v>100</v>
      </c>
      <c r="CO88" s="381">
        <f t="shared" si="87"/>
        <v>100</v>
      </c>
      <c r="CP88" s="381">
        <f t="shared" si="88"/>
        <v>4.1250000000000002E-2</v>
      </c>
      <c r="CQ88" s="381">
        <f t="shared" si="89"/>
        <v>4.1250000000000002E-2</v>
      </c>
      <c r="CR88" s="313">
        <v>0</v>
      </c>
      <c r="CS88" s="313">
        <v>0</v>
      </c>
      <c r="CT88" s="313">
        <v>0</v>
      </c>
      <c r="CU88" s="313">
        <v>0</v>
      </c>
      <c r="CV88" s="313">
        <v>0</v>
      </c>
      <c r="CW88" s="313">
        <v>0</v>
      </c>
      <c r="CX88" s="313">
        <v>0</v>
      </c>
      <c r="CY88" s="313">
        <v>0</v>
      </c>
      <c r="CZ88" s="380">
        <v>0</v>
      </c>
      <c r="DA88" s="380">
        <v>0</v>
      </c>
      <c r="DB88" s="380">
        <v>0</v>
      </c>
      <c r="DC88" s="380">
        <v>0</v>
      </c>
      <c r="DD88" s="380">
        <v>0</v>
      </c>
      <c r="DE88" s="380">
        <v>0</v>
      </c>
      <c r="DF88" s="380">
        <v>0</v>
      </c>
      <c r="DG88" s="380">
        <v>0</v>
      </c>
      <c r="DH88" s="380">
        <v>0</v>
      </c>
      <c r="DI88" s="380">
        <v>0</v>
      </c>
      <c r="DJ88" s="380">
        <v>0</v>
      </c>
      <c r="DK88" s="702">
        <f t="shared" si="90"/>
        <v>87.5</v>
      </c>
      <c r="DL88" s="311">
        <f t="shared" si="91"/>
        <v>0.16500000000000001</v>
      </c>
      <c r="DM88" s="310">
        <f t="shared" si="92"/>
        <v>87.5</v>
      </c>
      <c r="DN88" s="356">
        <f t="shared" si="93"/>
        <v>87.5</v>
      </c>
      <c r="DO88" s="308">
        <f t="shared" si="94"/>
        <v>0.144375</v>
      </c>
      <c r="DP88" s="359">
        <f>+IF(M88="M",DO88,0)</f>
        <v>0.144375</v>
      </c>
      <c r="DQ88" s="306">
        <f t="shared" si="95"/>
        <v>0.144375</v>
      </c>
      <c r="DR88" s="379">
        <f t="shared" si="96"/>
        <v>1</v>
      </c>
      <c r="DS88" s="378">
        <f t="shared" si="97"/>
        <v>0</v>
      </c>
      <c r="DT88" s="173">
        <v>72</v>
      </c>
      <c r="DU88" s="174" t="s">
        <v>133</v>
      </c>
      <c r="DV88" s="173"/>
      <c r="DW88" s="174" t="s">
        <v>84</v>
      </c>
      <c r="DX88" s="173"/>
      <c r="DY88" s="173"/>
      <c r="DZ88" s="173"/>
      <c r="EA88" s="665"/>
      <c r="EB88" s="1254" t="s">
        <v>2091</v>
      </c>
      <c r="EC88" s="537">
        <v>1000000000</v>
      </c>
      <c r="EE88" s="734">
        <v>1</v>
      </c>
      <c r="EF88" s="706"/>
    </row>
    <row r="89" spans="4:136" s="302" customFormat="1" ht="72" hidden="1">
      <c r="D89" s="520">
        <v>86</v>
      </c>
      <c r="E89" s="534">
        <v>114</v>
      </c>
      <c r="F89" s="523" t="s">
        <v>43</v>
      </c>
      <c r="G89" s="523" t="s">
        <v>9</v>
      </c>
      <c r="H89" s="524" t="s">
        <v>2653</v>
      </c>
      <c r="I89" s="462" t="s">
        <v>210</v>
      </c>
      <c r="J89" s="335" t="s">
        <v>345</v>
      </c>
      <c r="K89" s="335" t="s">
        <v>346</v>
      </c>
      <c r="L89" s="454" t="s">
        <v>1791</v>
      </c>
      <c r="M89" s="333" t="s">
        <v>1771</v>
      </c>
      <c r="N89" s="333">
        <v>0</v>
      </c>
      <c r="O89" s="333">
        <f t="shared" ref="O89:O100" si="99">+N89+P89</f>
        <v>15</v>
      </c>
      <c r="P89" s="332">
        <v>15</v>
      </c>
      <c r="Q89" s="390">
        <v>0.16500000000000001</v>
      </c>
      <c r="R89" s="342">
        <f t="shared" si="61"/>
        <v>3.3000000000000002E-2</v>
      </c>
      <c r="S89" s="459">
        <v>3</v>
      </c>
      <c r="T89" s="387">
        <f t="shared" si="62"/>
        <v>0.2</v>
      </c>
      <c r="U89" s="670">
        <v>2</v>
      </c>
      <c r="V89" s="388">
        <f t="shared" si="63"/>
        <v>2</v>
      </c>
      <c r="W89" s="356">
        <f t="shared" si="64"/>
        <v>66.666666666666671</v>
      </c>
      <c r="X89" s="356">
        <f t="shared" si="65"/>
        <v>66.666666666666671</v>
      </c>
      <c r="Y89" s="356">
        <f t="shared" si="98"/>
        <v>2.2000000000000002E-2</v>
      </c>
      <c r="Z89" s="356">
        <f t="shared" si="66"/>
        <v>66.666666666666671</v>
      </c>
      <c r="AA89" s="313">
        <v>0</v>
      </c>
      <c r="AB89" s="313">
        <v>0</v>
      </c>
      <c r="AC89" s="313">
        <v>0</v>
      </c>
      <c r="AD89" s="313">
        <v>0</v>
      </c>
      <c r="AE89" s="313">
        <v>0</v>
      </c>
      <c r="AF89" s="313">
        <v>0</v>
      </c>
      <c r="AG89" s="313">
        <v>0</v>
      </c>
      <c r="AH89" s="313">
        <v>0</v>
      </c>
      <c r="AI89" s="313">
        <v>0</v>
      </c>
      <c r="AJ89" s="313">
        <v>0</v>
      </c>
      <c r="AK89" s="313">
        <v>0</v>
      </c>
      <c r="AL89" s="313">
        <v>0</v>
      </c>
      <c r="AM89" s="313">
        <v>0</v>
      </c>
      <c r="AN89" s="313">
        <v>0</v>
      </c>
      <c r="AO89" s="313">
        <v>0</v>
      </c>
      <c r="AP89" s="313">
        <v>0</v>
      </c>
      <c r="AQ89" s="313">
        <v>0</v>
      </c>
      <c r="AR89" s="313">
        <v>0</v>
      </c>
      <c r="AS89" s="313" t="s">
        <v>1798</v>
      </c>
      <c r="AT89" s="333">
        <f t="shared" si="67"/>
        <v>4.4000000000000004E-2</v>
      </c>
      <c r="AU89" s="333">
        <v>4</v>
      </c>
      <c r="AV89" s="387">
        <f t="shared" si="68"/>
        <v>0.26666666666666666</v>
      </c>
      <c r="AW89" s="677">
        <v>2</v>
      </c>
      <c r="AX89" s="474">
        <f t="shared" si="69"/>
        <v>2</v>
      </c>
      <c r="AY89" s="474">
        <f t="shared" si="70"/>
        <v>50</v>
      </c>
      <c r="AZ89" s="474">
        <f t="shared" si="71"/>
        <v>50</v>
      </c>
      <c r="BA89" s="356">
        <f t="shared" si="72"/>
        <v>2.2000000000000002E-2</v>
      </c>
      <c r="BB89" s="356">
        <f t="shared" si="73"/>
        <v>50</v>
      </c>
      <c r="BC89" s="313">
        <v>0</v>
      </c>
      <c r="BD89" s="313">
        <v>0</v>
      </c>
      <c r="BE89" s="313">
        <v>0</v>
      </c>
      <c r="BF89" s="313">
        <v>0</v>
      </c>
      <c r="BG89" s="313">
        <v>0</v>
      </c>
      <c r="BH89" s="313">
        <v>0</v>
      </c>
      <c r="BI89" s="313">
        <v>0</v>
      </c>
      <c r="BJ89" s="313">
        <v>0</v>
      </c>
      <c r="BK89" s="473">
        <v>0</v>
      </c>
      <c r="BL89" s="472">
        <v>0</v>
      </c>
      <c r="BM89" s="472">
        <v>0</v>
      </c>
      <c r="BN89" s="472">
        <v>0</v>
      </c>
      <c r="BO89" s="472">
        <v>0</v>
      </c>
      <c r="BP89" s="472">
        <v>0</v>
      </c>
      <c r="BQ89" s="472">
        <v>0</v>
      </c>
      <c r="BR89" s="472">
        <v>0</v>
      </c>
      <c r="BS89" s="472">
        <v>0</v>
      </c>
      <c r="BT89" s="472">
        <v>0</v>
      </c>
      <c r="BU89" s="472">
        <v>0</v>
      </c>
      <c r="BV89" s="342">
        <f t="shared" si="74"/>
        <v>4.4000000000000004E-2</v>
      </c>
      <c r="BW89" s="350">
        <v>4</v>
      </c>
      <c r="BX89" s="385">
        <f t="shared" si="75"/>
        <v>0.26666666666666666</v>
      </c>
      <c r="BY89" s="369">
        <v>15</v>
      </c>
      <c r="BZ89" s="391">
        <v>15</v>
      </c>
      <c r="CA89" s="689">
        <v>23</v>
      </c>
      <c r="CB89" s="471">
        <f t="shared" si="76"/>
        <v>23</v>
      </c>
      <c r="CC89" s="471">
        <f t="shared" si="77"/>
        <v>575</v>
      </c>
      <c r="CD89" s="470">
        <f t="shared" si="78"/>
        <v>100</v>
      </c>
      <c r="CE89" s="380">
        <f t="shared" si="79"/>
        <v>4.4000000000000004E-2</v>
      </c>
      <c r="CF89" s="469">
        <f t="shared" si="80"/>
        <v>100</v>
      </c>
      <c r="CG89" s="380">
        <f t="shared" si="81"/>
        <v>0.25300000000000006</v>
      </c>
      <c r="CH89" s="468">
        <f t="shared" si="82"/>
        <v>4.4000000000000004E-2</v>
      </c>
      <c r="CI89" s="319">
        <v>4</v>
      </c>
      <c r="CJ89" s="318">
        <f t="shared" si="83"/>
        <v>0.26666666666666666</v>
      </c>
      <c r="CK89" s="1258">
        <v>4</v>
      </c>
      <c r="CL89" s="301">
        <f t="shared" si="84"/>
        <v>0</v>
      </c>
      <c r="CM89" s="381">
        <f t="shared" si="85"/>
        <v>4</v>
      </c>
      <c r="CN89" s="381">
        <f t="shared" si="86"/>
        <v>100</v>
      </c>
      <c r="CO89" s="316">
        <f t="shared" si="87"/>
        <v>100</v>
      </c>
      <c r="CP89" s="381">
        <f t="shared" si="88"/>
        <v>4.4000000000000004E-2</v>
      </c>
      <c r="CQ89" s="381">
        <f t="shared" si="89"/>
        <v>4.4000000000000004E-2</v>
      </c>
      <c r="CR89" s="313">
        <v>0</v>
      </c>
      <c r="CS89" s="313">
        <v>0</v>
      </c>
      <c r="CT89" s="313">
        <v>0</v>
      </c>
      <c r="CU89" s="313">
        <v>0</v>
      </c>
      <c r="CV89" s="313">
        <v>0</v>
      </c>
      <c r="CW89" s="313">
        <v>0</v>
      </c>
      <c r="CX89" s="313">
        <v>0</v>
      </c>
      <c r="CY89" s="313">
        <v>0</v>
      </c>
      <c r="CZ89" s="380">
        <v>0</v>
      </c>
      <c r="DA89" s="380">
        <v>0</v>
      </c>
      <c r="DB89" s="380">
        <v>0</v>
      </c>
      <c r="DC89" s="380">
        <v>0</v>
      </c>
      <c r="DD89" s="380">
        <v>0</v>
      </c>
      <c r="DE89" s="380">
        <v>0</v>
      </c>
      <c r="DF89" s="380">
        <v>0</v>
      </c>
      <c r="DG89" s="380">
        <v>0</v>
      </c>
      <c r="DH89" s="380">
        <v>0</v>
      </c>
      <c r="DI89" s="380">
        <v>0</v>
      </c>
      <c r="DJ89" s="380">
        <v>0</v>
      </c>
      <c r="DK89" s="702">
        <f t="shared" si="90"/>
        <v>31</v>
      </c>
      <c r="DL89" s="311">
        <f t="shared" si="91"/>
        <v>0.16500000000000004</v>
      </c>
      <c r="DM89" s="310">
        <f t="shared" si="92"/>
        <v>206.66666666666666</v>
      </c>
      <c r="DN89" s="356">
        <f t="shared" si="93"/>
        <v>100</v>
      </c>
      <c r="DO89" s="308">
        <f t="shared" si="94"/>
        <v>0.16500000000000001</v>
      </c>
      <c r="DP89" s="359">
        <f t="shared" ref="DP89:DP100" si="100">+IF(((DN89*Q89)/100)&lt;Q89, ((DN89*Q89)/100),Q89)</f>
        <v>0.16500000000000001</v>
      </c>
      <c r="DQ89" s="306">
        <f t="shared" si="95"/>
        <v>0.16500000000000001</v>
      </c>
      <c r="DR89" s="379">
        <f t="shared" si="96"/>
        <v>1</v>
      </c>
      <c r="DS89" s="378">
        <f t="shared" si="97"/>
        <v>0</v>
      </c>
      <c r="DT89" s="173">
        <v>77</v>
      </c>
      <c r="DU89" s="174" t="s">
        <v>130</v>
      </c>
      <c r="DV89" s="173"/>
      <c r="DW89" s="174" t="s">
        <v>84</v>
      </c>
      <c r="DX89" s="173"/>
      <c r="DY89" s="173"/>
      <c r="DZ89" s="173"/>
      <c r="EA89" s="665"/>
      <c r="EB89" s="1254" t="s">
        <v>2092</v>
      </c>
      <c r="EC89" s="537">
        <v>300000000</v>
      </c>
      <c r="EE89" s="734">
        <v>200</v>
      </c>
      <c r="EF89" s="706"/>
    </row>
    <row r="90" spans="4:136" s="302" customFormat="1" ht="63.75" hidden="1">
      <c r="D90" s="520">
        <v>87</v>
      </c>
      <c r="E90" s="534">
        <v>120</v>
      </c>
      <c r="F90" s="523" t="s">
        <v>43</v>
      </c>
      <c r="G90" s="523" t="s">
        <v>10</v>
      </c>
      <c r="H90" s="524" t="s">
        <v>2654</v>
      </c>
      <c r="I90" s="462" t="s">
        <v>171</v>
      </c>
      <c r="J90" s="335" t="s">
        <v>347</v>
      </c>
      <c r="K90" s="335" t="s">
        <v>348</v>
      </c>
      <c r="L90" s="453" t="s">
        <v>1523</v>
      </c>
      <c r="M90" s="333" t="s">
        <v>1771</v>
      </c>
      <c r="N90" s="333">
        <v>0</v>
      </c>
      <c r="O90" s="333">
        <f t="shared" si="99"/>
        <v>100</v>
      </c>
      <c r="P90" s="332">
        <v>100</v>
      </c>
      <c r="Q90" s="390">
        <v>0.25</v>
      </c>
      <c r="R90" s="342">
        <f t="shared" si="61"/>
        <v>2.5000000000000001E-2</v>
      </c>
      <c r="S90" s="459">
        <v>10</v>
      </c>
      <c r="T90" s="387">
        <f t="shared" si="62"/>
        <v>0.1</v>
      </c>
      <c r="U90" s="670">
        <v>10</v>
      </c>
      <c r="V90" s="388">
        <f t="shared" si="63"/>
        <v>10</v>
      </c>
      <c r="W90" s="356">
        <f t="shared" si="64"/>
        <v>100</v>
      </c>
      <c r="X90" s="356">
        <f t="shared" si="65"/>
        <v>100</v>
      </c>
      <c r="Y90" s="356">
        <f t="shared" si="98"/>
        <v>2.5000000000000001E-2</v>
      </c>
      <c r="Z90" s="356">
        <f t="shared" si="66"/>
        <v>100</v>
      </c>
      <c r="AA90" s="313">
        <v>300000000</v>
      </c>
      <c r="AB90" s="313">
        <v>0</v>
      </c>
      <c r="AC90" s="313">
        <v>300000000</v>
      </c>
      <c r="AD90" s="313">
        <v>0</v>
      </c>
      <c r="AE90" s="313">
        <v>0</v>
      </c>
      <c r="AF90" s="313">
        <v>0</v>
      </c>
      <c r="AG90" s="313">
        <v>0</v>
      </c>
      <c r="AH90" s="313">
        <v>0</v>
      </c>
      <c r="AI90" s="313">
        <v>0</v>
      </c>
      <c r="AJ90" s="313">
        <v>0</v>
      </c>
      <c r="AK90" s="313">
        <v>0</v>
      </c>
      <c r="AL90" s="313">
        <v>0</v>
      </c>
      <c r="AM90" s="313">
        <v>0</v>
      </c>
      <c r="AN90" s="313">
        <v>0</v>
      </c>
      <c r="AO90" s="313">
        <v>0</v>
      </c>
      <c r="AP90" s="313">
        <v>0</v>
      </c>
      <c r="AQ90" s="313">
        <v>0</v>
      </c>
      <c r="AR90" s="313">
        <v>0</v>
      </c>
      <c r="AS90" s="313" t="s">
        <v>1798</v>
      </c>
      <c r="AT90" s="333">
        <f t="shared" si="67"/>
        <v>0.05</v>
      </c>
      <c r="AU90" s="333">
        <v>20</v>
      </c>
      <c r="AV90" s="387">
        <f t="shared" si="68"/>
        <v>0.2</v>
      </c>
      <c r="AW90" s="677">
        <v>20</v>
      </c>
      <c r="AX90" s="474">
        <f t="shared" si="69"/>
        <v>20</v>
      </c>
      <c r="AY90" s="474">
        <f t="shared" si="70"/>
        <v>100</v>
      </c>
      <c r="AZ90" s="474">
        <f t="shared" si="71"/>
        <v>100</v>
      </c>
      <c r="BA90" s="356">
        <f t="shared" si="72"/>
        <v>0.05</v>
      </c>
      <c r="BB90" s="356">
        <f t="shared" si="73"/>
        <v>100</v>
      </c>
      <c r="BC90" s="313">
        <v>665000000</v>
      </c>
      <c r="BD90" s="313">
        <v>600000000</v>
      </c>
      <c r="BE90" s="313">
        <v>65000000</v>
      </c>
      <c r="BF90" s="313">
        <v>0</v>
      </c>
      <c r="BG90" s="313">
        <v>0</v>
      </c>
      <c r="BH90" s="313">
        <v>0</v>
      </c>
      <c r="BI90" s="313">
        <v>0</v>
      </c>
      <c r="BJ90" s="313">
        <v>0</v>
      </c>
      <c r="BK90" s="473">
        <v>379767933</v>
      </c>
      <c r="BL90" s="472">
        <v>0</v>
      </c>
      <c r="BM90" s="472">
        <v>379767933</v>
      </c>
      <c r="BN90" s="472">
        <v>0</v>
      </c>
      <c r="BO90" s="472">
        <v>0</v>
      </c>
      <c r="BP90" s="472">
        <v>0</v>
      </c>
      <c r="BQ90" s="472">
        <v>0</v>
      </c>
      <c r="BR90" s="472">
        <v>0</v>
      </c>
      <c r="BS90" s="472">
        <v>0</v>
      </c>
      <c r="BT90" s="472">
        <v>0</v>
      </c>
      <c r="BU90" s="472">
        <v>0</v>
      </c>
      <c r="BV90" s="342">
        <f t="shared" si="74"/>
        <v>8.7499999999999994E-2</v>
      </c>
      <c r="BW90" s="350">
        <v>35</v>
      </c>
      <c r="BX90" s="385">
        <f t="shared" si="75"/>
        <v>0.35</v>
      </c>
      <c r="BY90" s="369">
        <v>24.299999237060547</v>
      </c>
      <c r="BZ90" s="391">
        <v>41</v>
      </c>
      <c r="CA90" s="689">
        <v>41</v>
      </c>
      <c r="CB90" s="471">
        <f t="shared" si="76"/>
        <v>41</v>
      </c>
      <c r="CC90" s="471">
        <f t="shared" si="77"/>
        <v>117.14285714285714</v>
      </c>
      <c r="CD90" s="470">
        <f t="shared" si="78"/>
        <v>100</v>
      </c>
      <c r="CE90" s="380">
        <f t="shared" si="79"/>
        <v>8.7499999999999994E-2</v>
      </c>
      <c r="CF90" s="469">
        <f t="shared" si="80"/>
        <v>100</v>
      </c>
      <c r="CG90" s="380">
        <f t="shared" si="81"/>
        <v>0.10249999999999998</v>
      </c>
      <c r="CH90" s="468">
        <f t="shared" si="82"/>
        <v>8.7499999999999994E-2</v>
      </c>
      <c r="CI90" s="319">
        <v>35</v>
      </c>
      <c r="CJ90" s="318">
        <f t="shared" si="83"/>
        <v>0.35</v>
      </c>
      <c r="CK90" s="1258">
        <v>35</v>
      </c>
      <c r="CL90" s="301">
        <f t="shared" si="84"/>
        <v>0</v>
      </c>
      <c r="CM90" s="381">
        <f t="shared" si="85"/>
        <v>35</v>
      </c>
      <c r="CN90" s="381">
        <f t="shared" si="86"/>
        <v>100</v>
      </c>
      <c r="CO90" s="316">
        <f t="shared" si="87"/>
        <v>100</v>
      </c>
      <c r="CP90" s="381">
        <f t="shared" si="88"/>
        <v>8.7499999999999994E-2</v>
      </c>
      <c r="CQ90" s="381">
        <f t="shared" si="89"/>
        <v>8.7499999999999994E-2</v>
      </c>
      <c r="CR90" s="313">
        <v>751000000</v>
      </c>
      <c r="CS90" s="313">
        <v>151000000</v>
      </c>
      <c r="CT90" s="313">
        <v>600000000</v>
      </c>
      <c r="CU90" s="313">
        <v>0</v>
      </c>
      <c r="CV90" s="313">
        <v>0</v>
      </c>
      <c r="CW90" s="313">
        <v>0</v>
      </c>
      <c r="CX90" s="313">
        <v>0</v>
      </c>
      <c r="CY90" s="313">
        <v>0</v>
      </c>
      <c r="CZ90" s="380">
        <v>0</v>
      </c>
      <c r="DA90" s="380">
        <v>0</v>
      </c>
      <c r="DB90" s="380">
        <v>0</v>
      </c>
      <c r="DC90" s="380">
        <v>0</v>
      </c>
      <c r="DD90" s="380">
        <v>0</v>
      </c>
      <c r="DE90" s="380">
        <v>0</v>
      </c>
      <c r="DF90" s="380">
        <v>0</v>
      </c>
      <c r="DG90" s="380">
        <v>0</v>
      </c>
      <c r="DH90" s="380">
        <v>0</v>
      </c>
      <c r="DI90" s="380">
        <v>0</v>
      </c>
      <c r="DJ90" s="380">
        <v>0</v>
      </c>
      <c r="DK90" s="702">
        <f t="shared" si="90"/>
        <v>106</v>
      </c>
      <c r="DL90" s="311">
        <f t="shared" si="91"/>
        <v>0.25</v>
      </c>
      <c r="DM90" s="310">
        <f t="shared" si="92"/>
        <v>106</v>
      </c>
      <c r="DN90" s="356">
        <f t="shared" si="93"/>
        <v>100</v>
      </c>
      <c r="DO90" s="308">
        <f t="shared" si="94"/>
        <v>0.25</v>
      </c>
      <c r="DP90" s="359">
        <f t="shared" si="100"/>
        <v>0.25</v>
      </c>
      <c r="DQ90" s="306">
        <f t="shared" si="95"/>
        <v>0.25</v>
      </c>
      <c r="DR90" s="379">
        <f t="shared" si="96"/>
        <v>1</v>
      </c>
      <c r="DS90" s="378">
        <f t="shared" si="97"/>
        <v>0</v>
      </c>
      <c r="DT90" s="173">
        <v>115</v>
      </c>
      <c r="DU90" s="174" t="s">
        <v>127</v>
      </c>
      <c r="DV90" s="173"/>
      <c r="DW90" s="174" t="s">
        <v>84</v>
      </c>
      <c r="DX90" s="173"/>
      <c r="DY90" s="173"/>
      <c r="DZ90" s="173"/>
      <c r="EA90" s="665"/>
      <c r="EB90" s="1254" t="s">
        <v>2252</v>
      </c>
      <c r="EC90" s="537">
        <v>227000000</v>
      </c>
      <c r="EE90" s="734">
        <v>0.15</v>
      </c>
      <c r="EF90" s="706"/>
    </row>
    <row r="91" spans="4:136" s="302" customFormat="1" ht="331.5" hidden="1">
      <c r="D91" s="520">
        <v>88</v>
      </c>
      <c r="E91" s="534">
        <v>121</v>
      </c>
      <c r="F91" s="336" t="s">
        <v>43</v>
      </c>
      <c r="G91" s="336" t="s">
        <v>8</v>
      </c>
      <c r="H91" s="524" t="s">
        <v>2654</v>
      </c>
      <c r="I91" s="336" t="s">
        <v>187</v>
      </c>
      <c r="J91" s="335" t="s">
        <v>1259</v>
      </c>
      <c r="K91" s="335" t="s">
        <v>349</v>
      </c>
      <c r="L91" s="454" t="s">
        <v>2002</v>
      </c>
      <c r="M91" s="333" t="s">
        <v>1771</v>
      </c>
      <c r="N91" s="333">
        <v>0</v>
      </c>
      <c r="O91" s="333">
        <f t="shared" si="99"/>
        <v>3000</v>
      </c>
      <c r="P91" s="332">
        <v>3000</v>
      </c>
      <c r="Q91" s="393">
        <v>0.33</v>
      </c>
      <c r="R91" s="342">
        <f t="shared" si="61"/>
        <v>6.4900000000000001E-3</v>
      </c>
      <c r="S91" s="459">
        <v>59</v>
      </c>
      <c r="T91" s="387">
        <f t="shared" si="62"/>
        <v>1.9666666666666666E-2</v>
      </c>
      <c r="U91" s="670">
        <v>59</v>
      </c>
      <c r="V91" s="388">
        <f t="shared" si="63"/>
        <v>59</v>
      </c>
      <c r="W91" s="356">
        <f t="shared" si="64"/>
        <v>100</v>
      </c>
      <c r="X91" s="356">
        <f t="shared" si="65"/>
        <v>100</v>
      </c>
      <c r="Y91" s="356">
        <f t="shared" si="98"/>
        <v>6.4900000000000001E-3</v>
      </c>
      <c r="Z91" s="356">
        <f t="shared" si="66"/>
        <v>100</v>
      </c>
      <c r="AA91" s="313">
        <v>0</v>
      </c>
      <c r="AB91" s="313">
        <v>0</v>
      </c>
      <c r="AC91" s="313">
        <v>0</v>
      </c>
      <c r="AD91" s="313">
        <v>0</v>
      </c>
      <c r="AE91" s="313">
        <v>0</v>
      </c>
      <c r="AF91" s="313">
        <v>0</v>
      </c>
      <c r="AG91" s="313">
        <v>0</v>
      </c>
      <c r="AH91" s="313">
        <v>0</v>
      </c>
      <c r="AI91" s="313">
        <v>0</v>
      </c>
      <c r="AJ91" s="313">
        <v>0</v>
      </c>
      <c r="AK91" s="313">
        <v>0</v>
      </c>
      <c r="AL91" s="313">
        <v>0</v>
      </c>
      <c r="AM91" s="313">
        <v>0</v>
      </c>
      <c r="AN91" s="313">
        <v>0</v>
      </c>
      <c r="AO91" s="313">
        <v>0</v>
      </c>
      <c r="AP91" s="313">
        <v>0</v>
      </c>
      <c r="AQ91" s="313">
        <v>0</v>
      </c>
      <c r="AR91" s="313">
        <v>0</v>
      </c>
      <c r="AS91" s="313">
        <v>0</v>
      </c>
      <c r="AT91" s="392">
        <f t="shared" si="67"/>
        <v>6.7540000000000003E-2</v>
      </c>
      <c r="AU91" s="333">
        <v>614</v>
      </c>
      <c r="AV91" s="333">
        <f t="shared" si="68"/>
        <v>0.20466666666666666</v>
      </c>
      <c r="AW91" s="677">
        <v>555</v>
      </c>
      <c r="AX91" s="474">
        <f t="shared" si="69"/>
        <v>555</v>
      </c>
      <c r="AY91" s="474">
        <f t="shared" si="70"/>
        <v>90.390879478827358</v>
      </c>
      <c r="AZ91" s="474">
        <f t="shared" si="71"/>
        <v>90.390879478827358</v>
      </c>
      <c r="BA91" s="356">
        <f t="shared" si="72"/>
        <v>6.1050000000000007E-2</v>
      </c>
      <c r="BB91" s="356">
        <f t="shared" si="73"/>
        <v>90.390879478827358</v>
      </c>
      <c r="BC91" s="313">
        <v>5685000000</v>
      </c>
      <c r="BD91" s="313">
        <v>0</v>
      </c>
      <c r="BE91" s="313">
        <v>585000000</v>
      </c>
      <c r="BF91" s="313">
        <v>0</v>
      </c>
      <c r="BG91" s="313">
        <v>0</v>
      </c>
      <c r="BH91" s="313">
        <v>0</v>
      </c>
      <c r="BI91" s="313">
        <v>0</v>
      </c>
      <c r="BJ91" s="313">
        <v>5100000000</v>
      </c>
      <c r="BK91" s="473">
        <v>437838128</v>
      </c>
      <c r="BL91" s="472">
        <v>437838128</v>
      </c>
      <c r="BM91" s="472">
        <v>0</v>
      </c>
      <c r="BN91" s="472">
        <v>0</v>
      </c>
      <c r="BO91" s="472">
        <v>0</v>
      </c>
      <c r="BP91" s="472">
        <v>0</v>
      </c>
      <c r="BQ91" s="472">
        <v>0</v>
      </c>
      <c r="BR91" s="472">
        <v>0</v>
      </c>
      <c r="BS91" s="472">
        <v>0</v>
      </c>
      <c r="BT91" s="472">
        <v>4537412340</v>
      </c>
      <c r="BU91" s="472" t="s">
        <v>2333</v>
      </c>
      <c r="BV91" s="342">
        <f t="shared" si="74"/>
        <v>0.15103</v>
      </c>
      <c r="BW91" s="350">
        <v>1373</v>
      </c>
      <c r="BX91" s="385">
        <f t="shared" si="75"/>
        <v>0.45766666666666667</v>
      </c>
      <c r="BY91" s="369">
        <v>893</v>
      </c>
      <c r="BZ91" s="391">
        <v>1373</v>
      </c>
      <c r="CA91" s="689">
        <v>1373</v>
      </c>
      <c r="CB91" s="471">
        <f t="shared" si="76"/>
        <v>1373</v>
      </c>
      <c r="CC91" s="471">
        <f t="shared" si="77"/>
        <v>100</v>
      </c>
      <c r="CD91" s="470">
        <f t="shared" si="78"/>
        <v>100</v>
      </c>
      <c r="CE91" s="380">
        <f t="shared" si="79"/>
        <v>0.15103</v>
      </c>
      <c r="CF91" s="469">
        <f t="shared" si="80"/>
        <v>100</v>
      </c>
      <c r="CG91" s="380">
        <f t="shared" si="81"/>
        <v>0.15103</v>
      </c>
      <c r="CH91" s="468">
        <f t="shared" si="82"/>
        <v>0.10494000000000001</v>
      </c>
      <c r="CI91" s="319">
        <v>954</v>
      </c>
      <c r="CJ91" s="318">
        <f t="shared" si="83"/>
        <v>0.318</v>
      </c>
      <c r="CK91" s="1259">
        <v>1550</v>
      </c>
      <c r="CL91" s="301">
        <f t="shared" si="84"/>
        <v>-596</v>
      </c>
      <c r="CM91" s="381">
        <f t="shared" si="85"/>
        <v>1550</v>
      </c>
      <c r="CN91" s="381">
        <f t="shared" si="86"/>
        <v>162.47379454926624</v>
      </c>
      <c r="CO91" s="316">
        <f t="shared" si="87"/>
        <v>100</v>
      </c>
      <c r="CP91" s="381">
        <f t="shared" si="88"/>
        <v>0.10493999999999999</v>
      </c>
      <c r="CQ91" s="381">
        <f t="shared" si="89"/>
        <v>0.17050000000000001</v>
      </c>
      <c r="CR91" s="313">
        <v>4750000000</v>
      </c>
      <c r="CS91" s="313">
        <v>1350000000</v>
      </c>
      <c r="CT91" s="313">
        <v>0</v>
      </c>
      <c r="CU91" s="313">
        <v>0</v>
      </c>
      <c r="CV91" s="313">
        <v>0</v>
      </c>
      <c r="CW91" s="313">
        <v>0</v>
      </c>
      <c r="CX91" s="313">
        <v>0</v>
      </c>
      <c r="CY91" s="313">
        <v>3400000000</v>
      </c>
      <c r="CZ91" s="380">
        <v>0</v>
      </c>
      <c r="DA91" s="380">
        <v>0</v>
      </c>
      <c r="DB91" s="380">
        <v>0</v>
      </c>
      <c r="DC91" s="380">
        <v>0</v>
      </c>
      <c r="DD91" s="380">
        <v>0</v>
      </c>
      <c r="DE91" s="380">
        <v>0</v>
      </c>
      <c r="DF91" s="380">
        <v>0</v>
      </c>
      <c r="DG91" s="380">
        <v>0</v>
      </c>
      <c r="DH91" s="380">
        <v>0</v>
      </c>
      <c r="DI91" s="380">
        <v>0</v>
      </c>
      <c r="DJ91" s="380">
        <v>0</v>
      </c>
      <c r="DK91" s="702">
        <f t="shared" si="90"/>
        <v>3537</v>
      </c>
      <c r="DL91" s="311">
        <f t="shared" si="91"/>
        <v>0.32999999999999996</v>
      </c>
      <c r="DM91" s="310">
        <f t="shared" si="92"/>
        <v>117.9</v>
      </c>
      <c r="DN91" s="356">
        <f t="shared" si="93"/>
        <v>100</v>
      </c>
      <c r="DO91" s="308">
        <f t="shared" si="94"/>
        <v>0.33</v>
      </c>
      <c r="DP91" s="359">
        <f t="shared" si="100"/>
        <v>0.33</v>
      </c>
      <c r="DQ91" s="306">
        <f t="shared" si="95"/>
        <v>0.33</v>
      </c>
      <c r="DR91" s="379">
        <f t="shared" si="96"/>
        <v>1</v>
      </c>
      <c r="DS91" s="378">
        <f t="shared" si="97"/>
        <v>0</v>
      </c>
      <c r="DT91" s="173">
        <v>37</v>
      </c>
      <c r="DU91" s="174" t="s">
        <v>135</v>
      </c>
      <c r="DV91" s="173">
        <v>78</v>
      </c>
      <c r="DW91" s="174" t="s">
        <v>129</v>
      </c>
      <c r="DX91" s="173"/>
      <c r="DY91" s="173"/>
      <c r="DZ91" s="173"/>
      <c r="EA91" s="665"/>
      <c r="EB91" s="1254" t="s">
        <v>2506</v>
      </c>
      <c r="EC91" s="537">
        <v>350000000</v>
      </c>
      <c r="EE91" s="740">
        <v>10</v>
      </c>
      <c r="EF91" s="706"/>
    </row>
    <row r="92" spans="4:136" s="302" customFormat="1" ht="63.75" hidden="1">
      <c r="D92" s="520">
        <v>89</v>
      </c>
      <c r="E92" s="534">
        <v>122</v>
      </c>
      <c r="F92" s="523" t="s">
        <v>43</v>
      </c>
      <c r="G92" s="523" t="s">
        <v>8</v>
      </c>
      <c r="H92" s="524" t="s">
        <v>2654</v>
      </c>
      <c r="I92" s="462" t="s">
        <v>187</v>
      </c>
      <c r="J92" s="335" t="s">
        <v>350</v>
      </c>
      <c r="K92" s="335" t="s">
        <v>351</v>
      </c>
      <c r="L92" s="454" t="s">
        <v>1766</v>
      </c>
      <c r="M92" s="333" t="s">
        <v>1771</v>
      </c>
      <c r="N92" s="333">
        <v>0</v>
      </c>
      <c r="O92" s="333">
        <f t="shared" si="99"/>
        <v>4</v>
      </c>
      <c r="P92" s="332">
        <v>4</v>
      </c>
      <c r="Q92" s="390">
        <v>0.25</v>
      </c>
      <c r="R92" s="342">
        <f t="shared" si="61"/>
        <v>0</v>
      </c>
      <c r="S92" s="459">
        <v>0</v>
      </c>
      <c r="T92" s="387">
        <f t="shared" si="62"/>
        <v>0</v>
      </c>
      <c r="U92" s="670">
        <v>0</v>
      </c>
      <c r="V92" s="388">
        <f t="shared" si="63"/>
        <v>0</v>
      </c>
      <c r="W92" s="356">
        <f t="shared" si="64"/>
        <v>0</v>
      </c>
      <c r="X92" s="356">
        <f t="shared" si="65"/>
        <v>0</v>
      </c>
      <c r="Y92" s="356">
        <f t="shared" si="98"/>
        <v>0</v>
      </c>
      <c r="Z92" s="356">
        <f t="shared" si="66"/>
        <v>0</v>
      </c>
      <c r="AA92" s="313">
        <v>0</v>
      </c>
      <c r="AB92" s="313">
        <v>0</v>
      </c>
      <c r="AC92" s="313">
        <v>0</v>
      </c>
      <c r="AD92" s="313">
        <v>0</v>
      </c>
      <c r="AE92" s="313">
        <v>0</v>
      </c>
      <c r="AF92" s="313">
        <v>0</v>
      </c>
      <c r="AG92" s="313">
        <v>0</v>
      </c>
      <c r="AH92" s="313">
        <v>0</v>
      </c>
      <c r="AI92" s="313">
        <v>0</v>
      </c>
      <c r="AJ92" s="313">
        <v>0</v>
      </c>
      <c r="AK92" s="313">
        <v>0</v>
      </c>
      <c r="AL92" s="313">
        <v>0</v>
      </c>
      <c r="AM92" s="313">
        <v>0</v>
      </c>
      <c r="AN92" s="313">
        <v>0</v>
      </c>
      <c r="AO92" s="313">
        <v>0</v>
      </c>
      <c r="AP92" s="313">
        <v>0</v>
      </c>
      <c r="AQ92" s="313">
        <v>0</v>
      </c>
      <c r="AR92" s="313">
        <v>0</v>
      </c>
      <c r="AS92" s="313">
        <v>0</v>
      </c>
      <c r="AT92" s="333">
        <f t="shared" si="67"/>
        <v>6.25E-2</v>
      </c>
      <c r="AU92" s="333">
        <v>1</v>
      </c>
      <c r="AV92" s="333">
        <f t="shared" si="68"/>
        <v>0.25</v>
      </c>
      <c r="AW92" s="677">
        <v>2</v>
      </c>
      <c r="AX92" s="474">
        <f t="shared" si="69"/>
        <v>2</v>
      </c>
      <c r="AY92" s="474">
        <f t="shared" si="70"/>
        <v>200</v>
      </c>
      <c r="AZ92" s="474">
        <f t="shared" si="71"/>
        <v>100</v>
      </c>
      <c r="BA92" s="356">
        <f t="shared" si="72"/>
        <v>6.25E-2</v>
      </c>
      <c r="BB92" s="356">
        <f t="shared" si="73"/>
        <v>100</v>
      </c>
      <c r="BC92" s="313">
        <v>78000000</v>
      </c>
      <c r="BD92" s="313">
        <v>0</v>
      </c>
      <c r="BE92" s="313">
        <v>78000000</v>
      </c>
      <c r="BF92" s="313">
        <v>0</v>
      </c>
      <c r="BG92" s="313">
        <v>0</v>
      </c>
      <c r="BH92" s="313">
        <v>0</v>
      </c>
      <c r="BI92" s="313">
        <v>0</v>
      </c>
      <c r="BJ92" s="313">
        <v>0</v>
      </c>
      <c r="BK92" s="473">
        <v>55010385</v>
      </c>
      <c r="BL92" s="472">
        <v>55010385</v>
      </c>
      <c r="BM92" s="472">
        <v>0</v>
      </c>
      <c r="BN92" s="472">
        <v>0</v>
      </c>
      <c r="BO92" s="472">
        <v>0</v>
      </c>
      <c r="BP92" s="472">
        <v>0</v>
      </c>
      <c r="BQ92" s="472">
        <v>0</v>
      </c>
      <c r="BR92" s="472">
        <v>0</v>
      </c>
      <c r="BS92" s="472">
        <v>0</v>
      </c>
      <c r="BT92" s="472">
        <v>0</v>
      </c>
      <c r="BU92" s="472">
        <v>0</v>
      </c>
      <c r="BV92" s="342">
        <f t="shared" si="74"/>
        <v>0.125</v>
      </c>
      <c r="BW92" s="350">
        <v>2</v>
      </c>
      <c r="BX92" s="385">
        <f t="shared" si="75"/>
        <v>0.5</v>
      </c>
      <c r="BY92" s="369">
        <v>4</v>
      </c>
      <c r="BZ92" s="391">
        <v>2</v>
      </c>
      <c r="CA92" s="689">
        <v>4</v>
      </c>
      <c r="CB92" s="471">
        <f t="shared" si="76"/>
        <v>4</v>
      </c>
      <c r="CC92" s="471">
        <f t="shared" si="77"/>
        <v>200</v>
      </c>
      <c r="CD92" s="470">
        <f t="shared" si="78"/>
        <v>100</v>
      </c>
      <c r="CE92" s="380">
        <f t="shared" si="79"/>
        <v>0.125</v>
      </c>
      <c r="CF92" s="469">
        <f t="shared" si="80"/>
        <v>100</v>
      </c>
      <c r="CG92" s="380">
        <f t="shared" si="81"/>
        <v>0.25</v>
      </c>
      <c r="CH92" s="468">
        <f t="shared" si="82"/>
        <v>6.25E-2</v>
      </c>
      <c r="CI92" s="319">
        <v>1</v>
      </c>
      <c r="CJ92" s="318">
        <f t="shared" si="83"/>
        <v>0.25</v>
      </c>
      <c r="CK92" s="1259">
        <v>0</v>
      </c>
      <c r="CL92" s="301">
        <f t="shared" si="84"/>
        <v>1</v>
      </c>
      <c r="CM92" s="381">
        <f t="shared" si="85"/>
        <v>0</v>
      </c>
      <c r="CN92" s="381">
        <f t="shared" si="86"/>
        <v>0</v>
      </c>
      <c r="CO92" s="316">
        <f t="shared" si="87"/>
        <v>0</v>
      </c>
      <c r="CP92" s="381">
        <f t="shared" si="88"/>
        <v>0</v>
      </c>
      <c r="CQ92" s="381">
        <f t="shared" si="89"/>
        <v>0</v>
      </c>
      <c r="CR92" s="313">
        <v>180000000</v>
      </c>
      <c r="CS92" s="313">
        <v>180000000</v>
      </c>
      <c r="CT92" s="313">
        <v>0</v>
      </c>
      <c r="CU92" s="313">
        <v>0</v>
      </c>
      <c r="CV92" s="313">
        <v>0</v>
      </c>
      <c r="CW92" s="313">
        <v>0</v>
      </c>
      <c r="CX92" s="313">
        <v>0</v>
      </c>
      <c r="CY92" s="313">
        <v>0</v>
      </c>
      <c r="CZ92" s="380">
        <v>0</v>
      </c>
      <c r="DA92" s="380">
        <v>0</v>
      </c>
      <c r="DB92" s="380">
        <v>0</v>
      </c>
      <c r="DC92" s="380">
        <v>0</v>
      </c>
      <c r="DD92" s="380">
        <v>0</v>
      </c>
      <c r="DE92" s="380">
        <v>0</v>
      </c>
      <c r="DF92" s="380">
        <v>0</v>
      </c>
      <c r="DG92" s="380">
        <v>0</v>
      </c>
      <c r="DH92" s="380">
        <v>0</v>
      </c>
      <c r="DI92" s="380">
        <v>0</v>
      </c>
      <c r="DJ92" s="380">
        <v>0</v>
      </c>
      <c r="DK92" s="702">
        <f t="shared" si="90"/>
        <v>6</v>
      </c>
      <c r="DL92" s="311">
        <f t="shared" si="91"/>
        <v>0.25</v>
      </c>
      <c r="DM92" s="310">
        <f t="shared" si="92"/>
        <v>150</v>
      </c>
      <c r="DN92" s="356">
        <f t="shared" si="93"/>
        <v>100</v>
      </c>
      <c r="DO92" s="308">
        <f t="shared" si="94"/>
        <v>0.25</v>
      </c>
      <c r="DP92" s="359">
        <f t="shared" si="100"/>
        <v>0.25</v>
      </c>
      <c r="DQ92" s="306">
        <f t="shared" si="95"/>
        <v>0.25</v>
      </c>
      <c r="DR92" s="379">
        <f t="shared" si="96"/>
        <v>1</v>
      </c>
      <c r="DS92" s="378">
        <f t="shared" si="97"/>
        <v>0</v>
      </c>
      <c r="DT92" s="173">
        <v>118</v>
      </c>
      <c r="DU92" s="174" t="s">
        <v>319</v>
      </c>
      <c r="DV92" s="173"/>
      <c r="DW92" s="174" t="s">
        <v>84</v>
      </c>
      <c r="DX92" s="173"/>
      <c r="DY92" s="173"/>
      <c r="DZ92" s="173"/>
      <c r="EA92" s="665"/>
      <c r="EB92" s="1254" t="s">
        <v>2442</v>
      </c>
      <c r="EC92" s="537">
        <v>0</v>
      </c>
      <c r="EE92" s="734">
        <v>5</v>
      </c>
      <c r="EF92" s="706"/>
    </row>
    <row r="93" spans="4:136" s="302" customFormat="1" ht="165.75" hidden="1">
      <c r="D93" s="520">
        <v>90</v>
      </c>
      <c r="E93" s="534">
        <v>123</v>
      </c>
      <c r="F93" s="523" t="s">
        <v>43</v>
      </c>
      <c r="G93" s="523" t="s">
        <v>8</v>
      </c>
      <c r="H93" s="524" t="s">
        <v>2654</v>
      </c>
      <c r="I93" s="462" t="s">
        <v>187</v>
      </c>
      <c r="J93" s="335" t="s">
        <v>352</v>
      </c>
      <c r="K93" s="335" t="s">
        <v>353</v>
      </c>
      <c r="L93" s="454" t="s">
        <v>1766</v>
      </c>
      <c r="M93" s="415" t="s">
        <v>1771</v>
      </c>
      <c r="N93" s="333">
        <v>15</v>
      </c>
      <c r="O93" s="333">
        <f t="shared" si="99"/>
        <v>19</v>
      </c>
      <c r="P93" s="332">
        <v>4</v>
      </c>
      <c r="Q93" s="390">
        <v>0.25</v>
      </c>
      <c r="R93" s="342">
        <f t="shared" si="61"/>
        <v>0</v>
      </c>
      <c r="S93" s="459">
        <v>0</v>
      </c>
      <c r="T93" s="387">
        <f t="shared" si="62"/>
        <v>0</v>
      </c>
      <c r="U93" s="670">
        <v>1</v>
      </c>
      <c r="V93" s="388">
        <f t="shared" si="63"/>
        <v>1</v>
      </c>
      <c r="W93" s="356">
        <f t="shared" si="64"/>
        <v>0</v>
      </c>
      <c r="X93" s="356">
        <f t="shared" si="65"/>
        <v>0</v>
      </c>
      <c r="Y93" s="356">
        <f t="shared" si="98"/>
        <v>0</v>
      </c>
      <c r="Z93" s="356">
        <f t="shared" si="66"/>
        <v>100</v>
      </c>
      <c r="AA93" s="313">
        <v>0</v>
      </c>
      <c r="AB93" s="313">
        <v>0</v>
      </c>
      <c r="AC93" s="313">
        <v>0</v>
      </c>
      <c r="AD93" s="313">
        <v>0</v>
      </c>
      <c r="AE93" s="313">
        <v>0</v>
      </c>
      <c r="AF93" s="313">
        <v>0</v>
      </c>
      <c r="AG93" s="313">
        <v>0</v>
      </c>
      <c r="AH93" s="313">
        <v>0</v>
      </c>
      <c r="AI93" s="313">
        <v>0</v>
      </c>
      <c r="AJ93" s="313">
        <v>0</v>
      </c>
      <c r="AK93" s="313">
        <v>0</v>
      </c>
      <c r="AL93" s="313">
        <v>0</v>
      </c>
      <c r="AM93" s="313">
        <v>0</v>
      </c>
      <c r="AN93" s="313">
        <v>0</v>
      </c>
      <c r="AO93" s="313">
        <v>0</v>
      </c>
      <c r="AP93" s="313">
        <v>0</v>
      </c>
      <c r="AQ93" s="313">
        <v>0</v>
      </c>
      <c r="AR93" s="313">
        <v>0</v>
      </c>
      <c r="AS93" s="313">
        <v>0</v>
      </c>
      <c r="AT93" s="333">
        <f t="shared" si="67"/>
        <v>0.125</v>
      </c>
      <c r="AU93" s="333">
        <v>2</v>
      </c>
      <c r="AV93" s="387">
        <f t="shared" si="68"/>
        <v>0.5</v>
      </c>
      <c r="AW93" s="677">
        <v>4</v>
      </c>
      <c r="AX93" s="474">
        <f t="shared" si="69"/>
        <v>4</v>
      </c>
      <c r="AY93" s="474">
        <f t="shared" si="70"/>
        <v>200</v>
      </c>
      <c r="AZ93" s="474">
        <f t="shared" si="71"/>
        <v>100</v>
      </c>
      <c r="BA93" s="356">
        <f t="shared" si="72"/>
        <v>0.125</v>
      </c>
      <c r="BB93" s="356">
        <f t="shared" si="73"/>
        <v>100</v>
      </c>
      <c r="BC93" s="313">
        <v>286000000</v>
      </c>
      <c r="BD93" s="313">
        <v>0</v>
      </c>
      <c r="BE93" s="313">
        <v>286000000</v>
      </c>
      <c r="BF93" s="313">
        <v>0</v>
      </c>
      <c r="BG93" s="313">
        <v>0</v>
      </c>
      <c r="BH93" s="313">
        <v>0</v>
      </c>
      <c r="BI93" s="313">
        <v>0</v>
      </c>
      <c r="BJ93" s="313">
        <v>0</v>
      </c>
      <c r="BK93" s="473">
        <v>423650572</v>
      </c>
      <c r="BL93" s="472">
        <v>423650572</v>
      </c>
      <c r="BM93" s="472">
        <v>0</v>
      </c>
      <c r="BN93" s="472">
        <v>0</v>
      </c>
      <c r="BO93" s="472">
        <v>0</v>
      </c>
      <c r="BP93" s="472">
        <v>0</v>
      </c>
      <c r="BQ93" s="472">
        <v>0</v>
      </c>
      <c r="BR93" s="472">
        <v>0</v>
      </c>
      <c r="BS93" s="472">
        <v>0</v>
      </c>
      <c r="BT93" s="472">
        <v>1583033262</v>
      </c>
      <c r="BU93" s="472" t="s">
        <v>2001</v>
      </c>
      <c r="BV93" s="342">
        <f t="shared" si="74"/>
        <v>6.25E-2</v>
      </c>
      <c r="BW93" s="350">
        <v>1</v>
      </c>
      <c r="BX93" s="385">
        <f t="shared" si="75"/>
        <v>0.25</v>
      </c>
      <c r="BY93" s="369">
        <v>4</v>
      </c>
      <c r="BZ93" s="391">
        <v>4</v>
      </c>
      <c r="CA93" s="689">
        <v>0</v>
      </c>
      <c r="CB93" s="471">
        <f t="shared" si="76"/>
        <v>0</v>
      </c>
      <c r="CC93" s="471">
        <f t="shared" si="77"/>
        <v>0</v>
      </c>
      <c r="CD93" s="470">
        <f t="shared" si="78"/>
        <v>0</v>
      </c>
      <c r="CE93" s="380">
        <f t="shared" si="79"/>
        <v>0</v>
      </c>
      <c r="CF93" s="469">
        <f t="shared" si="80"/>
        <v>100</v>
      </c>
      <c r="CG93" s="380">
        <f t="shared" si="81"/>
        <v>0</v>
      </c>
      <c r="CH93" s="468">
        <f t="shared" si="82"/>
        <v>6.25E-2</v>
      </c>
      <c r="CI93" s="319">
        <v>1</v>
      </c>
      <c r="CJ93" s="318">
        <f t="shared" si="83"/>
        <v>0.25</v>
      </c>
      <c r="CK93" s="1259">
        <v>5</v>
      </c>
      <c r="CL93" s="301">
        <f t="shared" si="84"/>
        <v>-4</v>
      </c>
      <c r="CM93" s="381">
        <f t="shared" si="85"/>
        <v>5</v>
      </c>
      <c r="CN93" s="381">
        <f t="shared" si="86"/>
        <v>500</v>
      </c>
      <c r="CO93" s="316">
        <f t="shared" si="87"/>
        <v>100</v>
      </c>
      <c r="CP93" s="381">
        <f t="shared" si="88"/>
        <v>6.25E-2</v>
      </c>
      <c r="CQ93" s="381">
        <f t="shared" si="89"/>
        <v>0.3125</v>
      </c>
      <c r="CR93" s="313">
        <v>660000000</v>
      </c>
      <c r="CS93" s="313">
        <v>660000000</v>
      </c>
      <c r="CT93" s="313">
        <v>0</v>
      </c>
      <c r="CU93" s="313">
        <v>0</v>
      </c>
      <c r="CV93" s="313">
        <v>0</v>
      </c>
      <c r="CW93" s="313">
        <v>0</v>
      </c>
      <c r="CX93" s="313">
        <v>0</v>
      </c>
      <c r="CY93" s="313">
        <v>0</v>
      </c>
      <c r="CZ93" s="380">
        <v>0</v>
      </c>
      <c r="DA93" s="380">
        <v>0</v>
      </c>
      <c r="DB93" s="380">
        <v>0</v>
      </c>
      <c r="DC93" s="380">
        <v>0</v>
      </c>
      <c r="DD93" s="380">
        <v>0</v>
      </c>
      <c r="DE93" s="380">
        <v>0</v>
      </c>
      <c r="DF93" s="380">
        <v>0</v>
      </c>
      <c r="DG93" s="380">
        <v>0</v>
      </c>
      <c r="DH93" s="380">
        <v>0</v>
      </c>
      <c r="DI93" s="380">
        <v>0</v>
      </c>
      <c r="DJ93" s="380">
        <v>0</v>
      </c>
      <c r="DK93" s="702">
        <f t="shared" si="90"/>
        <v>10</v>
      </c>
      <c r="DL93" s="311">
        <f t="shared" si="91"/>
        <v>0.25</v>
      </c>
      <c r="DM93" s="310">
        <f t="shared" si="92"/>
        <v>250</v>
      </c>
      <c r="DN93" s="356">
        <f t="shared" si="93"/>
        <v>100</v>
      </c>
      <c r="DO93" s="308">
        <f t="shared" si="94"/>
        <v>0.25</v>
      </c>
      <c r="DP93" s="359">
        <f t="shared" si="100"/>
        <v>0.25</v>
      </c>
      <c r="DQ93" s="306">
        <f t="shared" si="95"/>
        <v>0.25</v>
      </c>
      <c r="DR93" s="379">
        <f t="shared" si="96"/>
        <v>1</v>
      </c>
      <c r="DS93" s="378">
        <f t="shared" si="97"/>
        <v>0</v>
      </c>
      <c r="DT93" s="173">
        <v>118</v>
      </c>
      <c r="DU93" s="174" t="s">
        <v>319</v>
      </c>
      <c r="DV93" s="173"/>
      <c r="DW93" s="174" t="s">
        <v>84</v>
      </c>
      <c r="DX93" s="173"/>
      <c r="DY93" s="173"/>
      <c r="DZ93" s="173"/>
      <c r="EA93" s="665"/>
      <c r="EB93" s="1254" t="s">
        <v>2507</v>
      </c>
      <c r="EC93" s="537">
        <v>490000000</v>
      </c>
      <c r="EE93" s="734">
        <v>2</v>
      </c>
      <c r="EF93" s="706"/>
    </row>
    <row r="94" spans="4:136" s="302" customFormat="1" ht="120" hidden="1">
      <c r="D94" s="520">
        <v>91</v>
      </c>
      <c r="E94" s="534">
        <v>124</v>
      </c>
      <c r="F94" s="523" t="s">
        <v>43</v>
      </c>
      <c r="G94" s="523" t="s">
        <v>8</v>
      </c>
      <c r="H94" s="524" t="s">
        <v>2654</v>
      </c>
      <c r="I94" s="462" t="s">
        <v>187</v>
      </c>
      <c r="J94" s="335" t="s">
        <v>354</v>
      </c>
      <c r="K94" s="335" t="s">
        <v>355</v>
      </c>
      <c r="L94" s="454" t="s">
        <v>1986</v>
      </c>
      <c r="M94" s="333" t="s">
        <v>1771</v>
      </c>
      <c r="N94" s="333">
        <v>1264</v>
      </c>
      <c r="O94" s="333">
        <f t="shared" si="99"/>
        <v>4987</v>
      </c>
      <c r="P94" s="332">
        <v>3723</v>
      </c>
      <c r="Q94" s="390">
        <v>0.16500000000000001</v>
      </c>
      <c r="R94" s="342">
        <f t="shared" si="61"/>
        <v>1.4758259468170829E-2</v>
      </c>
      <c r="S94" s="459">
        <v>333</v>
      </c>
      <c r="T94" s="387">
        <f t="shared" si="62"/>
        <v>8.9443996776792906E-2</v>
      </c>
      <c r="U94" s="670">
        <v>333</v>
      </c>
      <c r="V94" s="388">
        <f t="shared" si="63"/>
        <v>333</v>
      </c>
      <c r="W94" s="356">
        <f t="shared" si="64"/>
        <v>100</v>
      </c>
      <c r="X94" s="356">
        <f t="shared" si="65"/>
        <v>100</v>
      </c>
      <c r="Y94" s="356">
        <f t="shared" si="98"/>
        <v>1.4758259468170829E-2</v>
      </c>
      <c r="Z94" s="356">
        <f t="shared" si="66"/>
        <v>100</v>
      </c>
      <c r="AA94" s="313">
        <v>200000000</v>
      </c>
      <c r="AB94" s="313">
        <v>200000000</v>
      </c>
      <c r="AC94" s="313">
        <v>0</v>
      </c>
      <c r="AD94" s="313">
        <v>0</v>
      </c>
      <c r="AE94" s="313">
        <v>0</v>
      </c>
      <c r="AF94" s="313">
        <v>0</v>
      </c>
      <c r="AG94" s="313">
        <v>0</v>
      </c>
      <c r="AH94" s="313">
        <v>0</v>
      </c>
      <c r="AI94" s="313">
        <v>135000000</v>
      </c>
      <c r="AJ94" s="313">
        <v>135000000</v>
      </c>
      <c r="AK94" s="313">
        <v>0</v>
      </c>
      <c r="AL94" s="313">
        <v>0</v>
      </c>
      <c r="AM94" s="313">
        <v>0</v>
      </c>
      <c r="AN94" s="313">
        <v>0</v>
      </c>
      <c r="AO94" s="313">
        <v>0</v>
      </c>
      <c r="AP94" s="313">
        <v>0</v>
      </c>
      <c r="AQ94" s="313">
        <v>0</v>
      </c>
      <c r="AR94" s="313">
        <v>0</v>
      </c>
      <c r="AS94" s="313">
        <v>0</v>
      </c>
      <c r="AT94" s="333">
        <f t="shared" si="67"/>
        <v>7.0999194198227242E-2</v>
      </c>
      <c r="AU94" s="333">
        <v>1602</v>
      </c>
      <c r="AV94" s="387">
        <f t="shared" si="68"/>
        <v>0.43029814665592264</v>
      </c>
      <c r="AW94" s="677">
        <v>1602</v>
      </c>
      <c r="AX94" s="474">
        <f t="shared" si="69"/>
        <v>1602</v>
      </c>
      <c r="AY94" s="474">
        <f t="shared" si="70"/>
        <v>100</v>
      </c>
      <c r="AZ94" s="474">
        <f t="shared" si="71"/>
        <v>100</v>
      </c>
      <c r="BA94" s="356">
        <f t="shared" si="72"/>
        <v>7.0999194198227242E-2</v>
      </c>
      <c r="BB94" s="356">
        <f t="shared" si="73"/>
        <v>100</v>
      </c>
      <c r="BC94" s="313">
        <v>57000000</v>
      </c>
      <c r="BD94" s="313">
        <v>0</v>
      </c>
      <c r="BE94" s="313">
        <v>57000000</v>
      </c>
      <c r="BF94" s="313">
        <v>0</v>
      </c>
      <c r="BG94" s="313">
        <v>0</v>
      </c>
      <c r="BH94" s="313">
        <v>0</v>
      </c>
      <c r="BI94" s="313">
        <v>0</v>
      </c>
      <c r="BJ94" s="313">
        <v>0</v>
      </c>
      <c r="BK94" s="473">
        <v>57193000</v>
      </c>
      <c r="BL94" s="472">
        <v>57193000</v>
      </c>
      <c r="BM94" s="472">
        <v>0</v>
      </c>
      <c r="BN94" s="472">
        <v>0</v>
      </c>
      <c r="BO94" s="472">
        <v>0</v>
      </c>
      <c r="BP94" s="472">
        <v>0</v>
      </c>
      <c r="BQ94" s="472">
        <v>0</v>
      </c>
      <c r="BR94" s="472">
        <v>0</v>
      </c>
      <c r="BS94" s="472">
        <v>0</v>
      </c>
      <c r="BT94" s="472">
        <v>0</v>
      </c>
      <c r="BU94" s="472">
        <v>0</v>
      </c>
      <c r="BV94" s="342">
        <f t="shared" si="74"/>
        <v>3.2884770346494764E-2</v>
      </c>
      <c r="BW94" s="350">
        <v>742</v>
      </c>
      <c r="BX94" s="385">
        <f t="shared" si="75"/>
        <v>0.19930163846360463</v>
      </c>
      <c r="BY94" s="369">
        <v>0</v>
      </c>
      <c r="BZ94" s="391">
        <v>0</v>
      </c>
      <c r="CA94" s="689">
        <v>467</v>
      </c>
      <c r="CB94" s="471">
        <f t="shared" si="76"/>
        <v>467</v>
      </c>
      <c r="CC94" s="471">
        <f t="shared" si="77"/>
        <v>62.938005390835578</v>
      </c>
      <c r="CD94" s="470">
        <f t="shared" si="78"/>
        <v>62.938005390835578</v>
      </c>
      <c r="CE94" s="380">
        <f t="shared" si="79"/>
        <v>2.0697018533440775E-2</v>
      </c>
      <c r="CF94" s="469">
        <f t="shared" si="80"/>
        <v>62.938005390835578</v>
      </c>
      <c r="CG94" s="380">
        <f t="shared" si="81"/>
        <v>2.0697018533440775E-2</v>
      </c>
      <c r="CH94" s="468">
        <f t="shared" si="82"/>
        <v>4.6357775987107171E-2</v>
      </c>
      <c r="CI94" s="319">
        <v>1046</v>
      </c>
      <c r="CJ94" s="318">
        <f t="shared" si="83"/>
        <v>0.28095621810367982</v>
      </c>
      <c r="CK94" s="1260">
        <v>1368</v>
      </c>
      <c r="CL94" s="301">
        <f t="shared" si="84"/>
        <v>-322</v>
      </c>
      <c r="CM94" s="381">
        <f t="shared" si="85"/>
        <v>1368</v>
      </c>
      <c r="CN94" s="381">
        <f t="shared" si="86"/>
        <v>130.78393881453155</v>
      </c>
      <c r="CO94" s="316">
        <f t="shared" si="87"/>
        <v>100</v>
      </c>
      <c r="CP94" s="381">
        <f t="shared" si="88"/>
        <v>4.6357775987107178E-2</v>
      </c>
      <c r="CQ94" s="381">
        <f t="shared" si="89"/>
        <v>6.0628525382755843E-2</v>
      </c>
      <c r="CR94" s="313">
        <v>132000000</v>
      </c>
      <c r="CS94" s="313">
        <v>132000000</v>
      </c>
      <c r="CT94" s="313">
        <v>0</v>
      </c>
      <c r="CU94" s="313">
        <v>0</v>
      </c>
      <c r="CV94" s="313">
        <v>0</v>
      </c>
      <c r="CW94" s="313">
        <v>0</v>
      </c>
      <c r="CX94" s="313">
        <v>0</v>
      </c>
      <c r="CY94" s="313">
        <v>0</v>
      </c>
      <c r="CZ94" s="380">
        <v>0</v>
      </c>
      <c r="DA94" s="380">
        <v>0</v>
      </c>
      <c r="DB94" s="380">
        <v>0</v>
      </c>
      <c r="DC94" s="380">
        <v>0</v>
      </c>
      <c r="DD94" s="380">
        <v>0</v>
      </c>
      <c r="DE94" s="380">
        <v>0</v>
      </c>
      <c r="DF94" s="380">
        <v>0</v>
      </c>
      <c r="DG94" s="380">
        <v>0</v>
      </c>
      <c r="DH94" s="380">
        <v>0</v>
      </c>
      <c r="DI94" s="380">
        <v>0</v>
      </c>
      <c r="DJ94" s="380">
        <v>0</v>
      </c>
      <c r="DK94" s="702">
        <f t="shared" si="90"/>
        <v>3770</v>
      </c>
      <c r="DL94" s="311">
        <f t="shared" si="91"/>
        <v>0.16500000000000001</v>
      </c>
      <c r="DM94" s="310">
        <f t="shared" si="92"/>
        <v>101.26242277733012</v>
      </c>
      <c r="DN94" s="356">
        <f t="shared" si="93"/>
        <v>100</v>
      </c>
      <c r="DO94" s="308">
        <f t="shared" si="94"/>
        <v>0.16500000000000001</v>
      </c>
      <c r="DP94" s="359">
        <f t="shared" si="100"/>
        <v>0.16500000000000001</v>
      </c>
      <c r="DQ94" s="306">
        <f t="shared" si="95"/>
        <v>0.16500000000000001</v>
      </c>
      <c r="DR94" s="379">
        <f t="shared" si="96"/>
        <v>1</v>
      </c>
      <c r="DS94" s="378">
        <f t="shared" si="97"/>
        <v>0</v>
      </c>
      <c r="DT94" s="173">
        <v>36</v>
      </c>
      <c r="DU94" s="174" t="s">
        <v>136</v>
      </c>
      <c r="DV94" s="173">
        <v>78</v>
      </c>
      <c r="DW94" s="174" t="s">
        <v>129</v>
      </c>
      <c r="DX94" s="173"/>
      <c r="DY94" s="173"/>
      <c r="DZ94" s="173"/>
      <c r="EA94" s="665"/>
      <c r="EB94" s="1254" t="s">
        <v>2443</v>
      </c>
      <c r="EC94" s="537">
        <v>148000000</v>
      </c>
      <c r="EE94" s="734">
        <v>1</v>
      </c>
      <c r="EF94" s="706"/>
    </row>
    <row r="95" spans="4:136" s="302" customFormat="1" ht="132" hidden="1">
      <c r="D95" s="520">
        <v>92</v>
      </c>
      <c r="E95" s="534">
        <v>125</v>
      </c>
      <c r="F95" s="336" t="s">
        <v>43</v>
      </c>
      <c r="G95" s="336" t="s">
        <v>7</v>
      </c>
      <c r="H95" s="336" t="s">
        <v>2654</v>
      </c>
      <c r="I95" s="336" t="s">
        <v>187</v>
      </c>
      <c r="J95" s="335" t="s">
        <v>1260</v>
      </c>
      <c r="K95" s="335" t="s">
        <v>356</v>
      </c>
      <c r="L95" s="454" t="s">
        <v>1501</v>
      </c>
      <c r="M95" s="333" t="s">
        <v>1771</v>
      </c>
      <c r="N95" s="333">
        <v>35</v>
      </c>
      <c r="O95" s="333">
        <f t="shared" si="99"/>
        <v>8035</v>
      </c>
      <c r="P95" s="332">
        <v>8000</v>
      </c>
      <c r="Q95" s="393">
        <v>0.25</v>
      </c>
      <c r="R95" s="342">
        <f t="shared" si="61"/>
        <v>1.5625000000000001E-3</v>
      </c>
      <c r="S95" s="459">
        <v>50</v>
      </c>
      <c r="T95" s="387">
        <f t="shared" si="62"/>
        <v>6.2500000000000003E-3</v>
      </c>
      <c r="U95" s="670">
        <v>50</v>
      </c>
      <c r="V95" s="388">
        <f t="shared" si="63"/>
        <v>50</v>
      </c>
      <c r="W95" s="356">
        <f t="shared" si="64"/>
        <v>100</v>
      </c>
      <c r="X95" s="356">
        <f t="shared" si="65"/>
        <v>100</v>
      </c>
      <c r="Y95" s="356">
        <f t="shared" si="98"/>
        <v>1.5625000000000001E-3</v>
      </c>
      <c r="Z95" s="356">
        <f t="shared" si="66"/>
        <v>100</v>
      </c>
      <c r="AA95" s="313">
        <v>50000000</v>
      </c>
      <c r="AB95" s="313">
        <v>50000000</v>
      </c>
      <c r="AC95" s="313">
        <v>0</v>
      </c>
      <c r="AD95" s="313">
        <v>0</v>
      </c>
      <c r="AE95" s="313">
        <v>0</v>
      </c>
      <c r="AF95" s="313">
        <v>0</v>
      </c>
      <c r="AG95" s="313">
        <v>0</v>
      </c>
      <c r="AH95" s="313">
        <v>0</v>
      </c>
      <c r="AI95" s="313">
        <v>35000000</v>
      </c>
      <c r="AJ95" s="313">
        <v>35000000</v>
      </c>
      <c r="AK95" s="313">
        <v>0</v>
      </c>
      <c r="AL95" s="313">
        <v>0</v>
      </c>
      <c r="AM95" s="313">
        <v>0</v>
      </c>
      <c r="AN95" s="313">
        <v>0</v>
      </c>
      <c r="AO95" s="313">
        <v>0</v>
      </c>
      <c r="AP95" s="313">
        <v>0</v>
      </c>
      <c r="AQ95" s="313">
        <v>0</v>
      </c>
      <c r="AR95" s="313">
        <v>4000000</v>
      </c>
      <c r="AS95" s="313" t="s">
        <v>2000</v>
      </c>
      <c r="AT95" s="392">
        <f t="shared" si="67"/>
        <v>1.2375000000000001E-2</v>
      </c>
      <c r="AU95" s="333">
        <v>396</v>
      </c>
      <c r="AV95" s="387">
        <f t="shared" si="68"/>
        <v>4.9500000000000002E-2</v>
      </c>
      <c r="AW95" s="677">
        <v>396</v>
      </c>
      <c r="AX95" s="474">
        <f t="shared" si="69"/>
        <v>396</v>
      </c>
      <c r="AY95" s="474">
        <f t="shared" si="70"/>
        <v>100</v>
      </c>
      <c r="AZ95" s="474">
        <f t="shared" si="71"/>
        <v>100</v>
      </c>
      <c r="BA95" s="356">
        <f t="shared" si="72"/>
        <v>1.2375000000000001E-2</v>
      </c>
      <c r="BB95" s="356">
        <f t="shared" si="73"/>
        <v>100</v>
      </c>
      <c r="BC95" s="313">
        <v>13000000</v>
      </c>
      <c r="BD95" s="313">
        <v>0</v>
      </c>
      <c r="BE95" s="313">
        <v>13000000</v>
      </c>
      <c r="BF95" s="313">
        <v>0</v>
      </c>
      <c r="BG95" s="313">
        <v>0</v>
      </c>
      <c r="BH95" s="313">
        <v>0</v>
      </c>
      <c r="BI95" s="313">
        <v>0</v>
      </c>
      <c r="BJ95" s="313">
        <v>0</v>
      </c>
      <c r="BK95" s="473">
        <v>25000000</v>
      </c>
      <c r="BL95" s="472">
        <v>25000000</v>
      </c>
      <c r="BM95" s="472">
        <v>0</v>
      </c>
      <c r="BN95" s="472">
        <v>0</v>
      </c>
      <c r="BO95" s="472">
        <v>0</v>
      </c>
      <c r="BP95" s="472">
        <v>0</v>
      </c>
      <c r="BQ95" s="472">
        <v>0</v>
      </c>
      <c r="BR95" s="472">
        <v>0</v>
      </c>
      <c r="BS95" s="472">
        <v>0</v>
      </c>
      <c r="BT95" s="472">
        <v>0</v>
      </c>
      <c r="BU95" s="472">
        <v>0</v>
      </c>
      <c r="BV95" s="342">
        <f t="shared" si="74"/>
        <v>0.203125</v>
      </c>
      <c r="BW95" s="350">
        <v>6500</v>
      </c>
      <c r="BX95" s="385">
        <f t="shared" si="75"/>
        <v>0.8125</v>
      </c>
      <c r="BY95" s="399">
        <v>800</v>
      </c>
      <c r="BZ95" s="398">
        <v>6186</v>
      </c>
      <c r="CA95" s="690">
        <v>6500</v>
      </c>
      <c r="CB95" s="471">
        <f t="shared" si="76"/>
        <v>6500</v>
      </c>
      <c r="CC95" s="471">
        <f t="shared" si="77"/>
        <v>100</v>
      </c>
      <c r="CD95" s="470">
        <f t="shared" si="78"/>
        <v>100</v>
      </c>
      <c r="CE95" s="380">
        <f t="shared" si="79"/>
        <v>0.203125</v>
      </c>
      <c r="CF95" s="469">
        <f t="shared" si="80"/>
        <v>100</v>
      </c>
      <c r="CG95" s="380">
        <f t="shared" si="81"/>
        <v>0.203125</v>
      </c>
      <c r="CH95" s="468">
        <f t="shared" si="82"/>
        <v>3.2937500000000001E-2</v>
      </c>
      <c r="CI95" s="319">
        <v>1054</v>
      </c>
      <c r="CJ95" s="318">
        <f t="shared" si="83"/>
        <v>0.13175000000000001</v>
      </c>
      <c r="CK95" s="1259">
        <v>1100</v>
      </c>
      <c r="CL95" s="301">
        <f t="shared" si="84"/>
        <v>-46</v>
      </c>
      <c r="CM95" s="381">
        <f t="shared" si="85"/>
        <v>1100</v>
      </c>
      <c r="CN95" s="381">
        <f t="shared" si="86"/>
        <v>104.36432637571157</v>
      </c>
      <c r="CO95" s="316">
        <f t="shared" si="87"/>
        <v>100</v>
      </c>
      <c r="CP95" s="381">
        <f t="shared" si="88"/>
        <v>3.2937500000000001E-2</v>
      </c>
      <c r="CQ95" s="381">
        <f t="shared" si="89"/>
        <v>3.4375000000000003E-2</v>
      </c>
      <c r="CR95" s="313">
        <v>30000000</v>
      </c>
      <c r="CS95" s="313">
        <v>30000000</v>
      </c>
      <c r="CT95" s="313">
        <v>0</v>
      </c>
      <c r="CU95" s="313">
        <v>0</v>
      </c>
      <c r="CV95" s="313">
        <v>0</v>
      </c>
      <c r="CW95" s="313">
        <v>0</v>
      </c>
      <c r="CX95" s="313">
        <v>0</v>
      </c>
      <c r="CY95" s="313">
        <v>0</v>
      </c>
      <c r="CZ95" s="380">
        <v>0</v>
      </c>
      <c r="DA95" s="380">
        <v>0</v>
      </c>
      <c r="DB95" s="380">
        <v>0</v>
      </c>
      <c r="DC95" s="380">
        <v>0</v>
      </c>
      <c r="DD95" s="380">
        <v>0</v>
      </c>
      <c r="DE95" s="380">
        <v>0</v>
      </c>
      <c r="DF95" s="380">
        <v>0</v>
      </c>
      <c r="DG95" s="380">
        <v>0</v>
      </c>
      <c r="DH95" s="380">
        <v>0</v>
      </c>
      <c r="DI95" s="380">
        <v>0</v>
      </c>
      <c r="DJ95" s="380">
        <v>0</v>
      </c>
      <c r="DK95" s="702">
        <f t="shared" si="90"/>
        <v>8046</v>
      </c>
      <c r="DL95" s="311">
        <f t="shared" si="91"/>
        <v>0.25</v>
      </c>
      <c r="DM95" s="310">
        <f t="shared" si="92"/>
        <v>100.575</v>
      </c>
      <c r="DN95" s="356">
        <f t="shared" si="93"/>
        <v>100</v>
      </c>
      <c r="DO95" s="308">
        <f t="shared" si="94"/>
        <v>0.25</v>
      </c>
      <c r="DP95" s="359">
        <f t="shared" si="100"/>
        <v>0.25</v>
      </c>
      <c r="DQ95" s="306">
        <f t="shared" si="95"/>
        <v>0.25</v>
      </c>
      <c r="DR95" s="379">
        <f t="shared" si="96"/>
        <v>1</v>
      </c>
      <c r="DS95" s="378">
        <f t="shared" si="97"/>
        <v>0</v>
      </c>
      <c r="DT95" s="173">
        <v>117</v>
      </c>
      <c r="DU95" s="174" t="s">
        <v>126</v>
      </c>
      <c r="DV95" s="173">
        <v>118</v>
      </c>
      <c r="DW95" s="174" t="s">
        <v>319</v>
      </c>
      <c r="DX95" s="173"/>
      <c r="DY95" s="173"/>
      <c r="DZ95" s="173"/>
      <c r="EA95" s="665"/>
      <c r="EB95" s="1254" t="s">
        <v>3223</v>
      </c>
      <c r="EC95" s="537">
        <v>5000000</v>
      </c>
      <c r="EE95" s="734">
        <v>2000</v>
      </c>
      <c r="EF95" s="706"/>
    </row>
    <row r="96" spans="4:136" s="302" customFormat="1" ht="60" hidden="1">
      <c r="D96" s="520">
        <v>93</v>
      </c>
      <c r="E96" s="534">
        <v>126</v>
      </c>
      <c r="F96" s="523" t="s">
        <v>43</v>
      </c>
      <c r="G96" s="523" t="s">
        <v>7</v>
      </c>
      <c r="H96" s="524" t="s">
        <v>2654</v>
      </c>
      <c r="I96" s="462" t="s">
        <v>187</v>
      </c>
      <c r="J96" s="335" t="s">
        <v>357</v>
      </c>
      <c r="K96" s="335" t="s">
        <v>358</v>
      </c>
      <c r="L96" s="454" t="s">
        <v>1984</v>
      </c>
      <c r="M96" s="333" t="s">
        <v>1771</v>
      </c>
      <c r="N96" s="333">
        <v>0</v>
      </c>
      <c r="O96" s="333">
        <f t="shared" si="99"/>
        <v>160</v>
      </c>
      <c r="P96" s="332">
        <v>160</v>
      </c>
      <c r="Q96" s="390">
        <v>0.16500000000000001</v>
      </c>
      <c r="R96" s="342">
        <f t="shared" si="61"/>
        <v>7.2187499999999995E-3</v>
      </c>
      <c r="S96" s="459">
        <v>7</v>
      </c>
      <c r="T96" s="387">
        <f t="shared" si="62"/>
        <v>4.3749999999999997E-2</v>
      </c>
      <c r="U96" s="670">
        <v>0</v>
      </c>
      <c r="V96" s="388">
        <f t="shared" si="63"/>
        <v>0</v>
      </c>
      <c r="W96" s="356">
        <f t="shared" si="64"/>
        <v>0</v>
      </c>
      <c r="X96" s="356">
        <f t="shared" si="65"/>
        <v>0</v>
      </c>
      <c r="Y96" s="356">
        <f t="shared" si="98"/>
        <v>0</v>
      </c>
      <c r="Z96" s="356">
        <f t="shared" si="66"/>
        <v>0</v>
      </c>
      <c r="AA96" s="313">
        <v>100000000</v>
      </c>
      <c r="AB96" s="313">
        <v>0</v>
      </c>
      <c r="AC96" s="313">
        <v>0</v>
      </c>
      <c r="AD96" s="313">
        <v>0</v>
      </c>
      <c r="AE96" s="313">
        <v>0</v>
      </c>
      <c r="AF96" s="313">
        <v>0</v>
      </c>
      <c r="AG96" s="313">
        <v>0</v>
      </c>
      <c r="AH96" s="313">
        <v>100000000</v>
      </c>
      <c r="AI96" s="313">
        <v>0</v>
      </c>
      <c r="AJ96" s="313">
        <v>0</v>
      </c>
      <c r="AK96" s="313">
        <v>0</v>
      </c>
      <c r="AL96" s="313">
        <v>0</v>
      </c>
      <c r="AM96" s="313">
        <v>0</v>
      </c>
      <c r="AN96" s="313">
        <v>0</v>
      </c>
      <c r="AO96" s="313">
        <v>0</v>
      </c>
      <c r="AP96" s="313">
        <v>0</v>
      </c>
      <c r="AQ96" s="313">
        <v>0</v>
      </c>
      <c r="AR96" s="313">
        <v>0</v>
      </c>
      <c r="AS96" s="313">
        <v>0</v>
      </c>
      <c r="AT96" s="333">
        <f t="shared" si="67"/>
        <v>5.2593750000000002E-2</v>
      </c>
      <c r="AU96" s="333">
        <v>51</v>
      </c>
      <c r="AV96" s="387">
        <f t="shared" si="68"/>
        <v>0.31874999999999998</v>
      </c>
      <c r="AW96" s="677">
        <v>70</v>
      </c>
      <c r="AX96" s="474">
        <f t="shared" si="69"/>
        <v>70</v>
      </c>
      <c r="AY96" s="474">
        <f t="shared" si="70"/>
        <v>137.25490196078431</v>
      </c>
      <c r="AZ96" s="474">
        <f t="shared" si="71"/>
        <v>100</v>
      </c>
      <c r="BA96" s="356">
        <f t="shared" si="72"/>
        <v>5.2593750000000002E-2</v>
      </c>
      <c r="BB96" s="356">
        <f t="shared" si="73"/>
        <v>100</v>
      </c>
      <c r="BC96" s="313">
        <v>152000000</v>
      </c>
      <c r="BD96" s="313">
        <v>0</v>
      </c>
      <c r="BE96" s="313">
        <v>23000000</v>
      </c>
      <c r="BF96" s="313">
        <v>0</v>
      </c>
      <c r="BG96" s="313">
        <v>0</v>
      </c>
      <c r="BH96" s="313">
        <v>0</v>
      </c>
      <c r="BI96" s="313">
        <v>0</v>
      </c>
      <c r="BJ96" s="313">
        <v>129000000</v>
      </c>
      <c r="BK96" s="473">
        <v>15000000</v>
      </c>
      <c r="BL96" s="472">
        <v>15000000</v>
      </c>
      <c r="BM96" s="472">
        <v>0</v>
      </c>
      <c r="BN96" s="472">
        <v>0</v>
      </c>
      <c r="BO96" s="472">
        <v>0</v>
      </c>
      <c r="BP96" s="472">
        <v>0</v>
      </c>
      <c r="BQ96" s="472">
        <v>0</v>
      </c>
      <c r="BR96" s="472">
        <v>0</v>
      </c>
      <c r="BS96" s="472">
        <v>0</v>
      </c>
      <c r="BT96" s="472">
        <v>0</v>
      </c>
      <c r="BU96" s="472">
        <v>0</v>
      </c>
      <c r="BV96" s="342">
        <f t="shared" si="74"/>
        <v>5.2593750000000002E-2</v>
      </c>
      <c r="BW96" s="350">
        <v>51</v>
      </c>
      <c r="BX96" s="385">
        <f t="shared" si="75"/>
        <v>0.31874999999999998</v>
      </c>
      <c r="BY96" s="399">
        <v>0</v>
      </c>
      <c r="BZ96" s="398">
        <v>0</v>
      </c>
      <c r="CA96" s="690">
        <v>0</v>
      </c>
      <c r="CB96" s="471">
        <f t="shared" si="76"/>
        <v>0</v>
      </c>
      <c r="CC96" s="471">
        <f t="shared" si="77"/>
        <v>0</v>
      </c>
      <c r="CD96" s="470">
        <f t="shared" si="78"/>
        <v>0</v>
      </c>
      <c r="CE96" s="380">
        <f t="shared" si="79"/>
        <v>0</v>
      </c>
      <c r="CF96" s="469">
        <f t="shared" si="80"/>
        <v>0</v>
      </c>
      <c r="CG96" s="380">
        <f t="shared" si="81"/>
        <v>0</v>
      </c>
      <c r="CH96" s="468">
        <f t="shared" si="82"/>
        <v>5.2593750000000002E-2</v>
      </c>
      <c r="CI96" s="319">
        <v>51</v>
      </c>
      <c r="CJ96" s="318">
        <f t="shared" si="83"/>
        <v>0.31874999999999998</v>
      </c>
      <c r="CK96" s="1259">
        <v>0</v>
      </c>
      <c r="CL96" s="301">
        <f t="shared" si="84"/>
        <v>51</v>
      </c>
      <c r="CM96" s="381">
        <f t="shared" si="85"/>
        <v>0</v>
      </c>
      <c r="CN96" s="381">
        <f t="shared" si="86"/>
        <v>0</v>
      </c>
      <c r="CO96" s="316">
        <f t="shared" si="87"/>
        <v>0</v>
      </c>
      <c r="CP96" s="381">
        <f t="shared" si="88"/>
        <v>0</v>
      </c>
      <c r="CQ96" s="381">
        <f t="shared" si="89"/>
        <v>0</v>
      </c>
      <c r="CR96" s="313">
        <v>183000000</v>
      </c>
      <c r="CS96" s="313">
        <v>54000000</v>
      </c>
      <c r="CT96" s="313">
        <v>0</v>
      </c>
      <c r="CU96" s="313">
        <v>0</v>
      </c>
      <c r="CV96" s="313">
        <v>0</v>
      </c>
      <c r="CW96" s="313">
        <v>0</v>
      </c>
      <c r="CX96" s="313">
        <v>0</v>
      </c>
      <c r="CY96" s="313">
        <v>129000000</v>
      </c>
      <c r="CZ96" s="380">
        <v>0</v>
      </c>
      <c r="DA96" s="380">
        <v>0</v>
      </c>
      <c r="DB96" s="380">
        <v>0</v>
      </c>
      <c r="DC96" s="380">
        <v>0</v>
      </c>
      <c r="DD96" s="380">
        <v>0</v>
      </c>
      <c r="DE96" s="380">
        <v>0</v>
      </c>
      <c r="DF96" s="380">
        <v>0</v>
      </c>
      <c r="DG96" s="380">
        <v>0</v>
      </c>
      <c r="DH96" s="380">
        <v>0</v>
      </c>
      <c r="DI96" s="380">
        <v>0</v>
      </c>
      <c r="DJ96" s="380">
        <v>0</v>
      </c>
      <c r="DK96" s="702">
        <f t="shared" si="90"/>
        <v>70</v>
      </c>
      <c r="DL96" s="311">
        <f t="shared" si="91"/>
        <v>0.16500000000000001</v>
      </c>
      <c r="DM96" s="310">
        <f t="shared" si="92"/>
        <v>43.75</v>
      </c>
      <c r="DN96" s="356">
        <f t="shared" si="93"/>
        <v>43.75</v>
      </c>
      <c r="DO96" s="308">
        <f t="shared" si="94"/>
        <v>7.2187500000000002E-2</v>
      </c>
      <c r="DP96" s="359">
        <f t="shared" si="100"/>
        <v>7.2187500000000002E-2</v>
      </c>
      <c r="DQ96" s="306">
        <f t="shared" si="95"/>
        <v>7.2187500000000002E-2</v>
      </c>
      <c r="DR96" s="379">
        <f t="shared" si="96"/>
        <v>0.99999999999999989</v>
      </c>
      <c r="DS96" s="378">
        <f t="shared" si="97"/>
        <v>0</v>
      </c>
      <c r="DT96" s="173">
        <v>118</v>
      </c>
      <c r="DU96" s="174" t="s">
        <v>319</v>
      </c>
      <c r="DV96" s="173"/>
      <c r="DW96" s="174" t="s">
        <v>84</v>
      </c>
      <c r="DX96" s="173"/>
      <c r="DY96" s="173"/>
      <c r="DZ96" s="173"/>
      <c r="EA96" s="665"/>
      <c r="EB96" s="1254" t="s">
        <v>2444</v>
      </c>
      <c r="EC96" s="537">
        <v>0</v>
      </c>
      <c r="EE96" s="734">
        <v>400</v>
      </c>
      <c r="EF96" s="706"/>
    </row>
    <row r="97" spans="4:136" s="302" customFormat="1" ht="132" hidden="1">
      <c r="D97" s="520">
        <v>94</v>
      </c>
      <c r="E97" s="534">
        <v>127</v>
      </c>
      <c r="F97" s="523" t="s">
        <v>43</v>
      </c>
      <c r="G97" s="523" t="s">
        <v>7</v>
      </c>
      <c r="H97" s="524" t="s">
        <v>2654</v>
      </c>
      <c r="I97" s="462" t="s">
        <v>187</v>
      </c>
      <c r="J97" s="335" t="s">
        <v>359</v>
      </c>
      <c r="K97" s="335" t="s">
        <v>360</v>
      </c>
      <c r="L97" s="454" t="s">
        <v>1951</v>
      </c>
      <c r="M97" s="333" t="s">
        <v>1771</v>
      </c>
      <c r="N97" s="333">
        <v>0</v>
      </c>
      <c r="O97" s="333">
        <f t="shared" si="99"/>
        <v>8</v>
      </c>
      <c r="P97" s="332">
        <v>8</v>
      </c>
      <c r="Q97" s="390">
        <v>8.8999999999999996E-2</v>
      </c>
      <c r="R97" s="342">
        <f t="shared" si="61"/>
        <v>0</v>
      </c>
      <c r="S97" s="459">
        <v>0</v>
      </c>
      <c r="T97" s="387">
        <f t="shared" si="62"/>
        <v>0</v>
      </c>
      <c r="U97" s="670">
        <v>0</v>
      </c>
      <c r="V97" s="388">
        <f t="shared" si="63"/>
        <v>0</v>
      </c>
      <c r="W97" s="356">
        <f t="shared" si="64"/>
        <v>0</v>
      </c>
      <c r="X97" s="356">
        <f t="shared" si="65"/>
        <v>0</v>
      </c>
      <c r="Y97" s="356">
        <f t="shared" si="98"/>
        <v>0</v>
      </c>
      <c r="Z97" s="356">
        <f t="shared" si="66"/>
        <v>0</v>
      </c>
      <c r="AA97" s="313">
        <v>10000000</v>
      </c>
      <c r="AB97" s="313">
        <v>10000000</v>
      </c>
      <c r="AC97" s="313">
        <v>0</v>
      </c>
      <c r="AD97" s="313">
        <v>0</v>
      </c>
      <c r="AE97" s="313">
        <v>0</v>
      </c>
      <c r="AF97" s="313">
        <v>0</v>
      </c>
      <c r="AG97" s="313">
        <v>0</v>
      </c>
      <c r="AH97" s="313">
        <v>0</v>
      </c>
      <c r="AI97" s="313">
        <v>7500000</v>
      </c>
      <c r="AJ97" s="313">
        <v>7500000</v>
      </c>
      <c r="AK97" s="313">
        <v>0</v>
      </c>
      <c r="AL97" s="313">
        <v>0</v>
      </c>
      <c r="AM97" s="313">
        <v>0</v>
      </c>
      <c r="AN97" s="313">
        <v>0</v>
      </c>
      <c r="AO97" s="313">
        <v>0</v>
      </c>
      <c r="AP97" s="313">
        <v>0</v>
      </c>
      <c r="AQ97" s="313">
        <v>0</v>
      </c>
      <c r="AR97" s="313">
        <v>0</v>
      </c>
      <c r="AS97" s="313">
        <v>0</v>
      </c>
      <c r="AT97" s="333">
        <f t="shared" si="67"/>
        <v>2.2249999999999999E-2</v>
      </c>
      <c r="AU97" s="333">
        <v>2</v>
      </c>
      <c r="AV97" s="387">
        <f t="shared" si="68"/>
        <v>0.25</v>
      </c>
      <c r="AW97" s="677">
        <v>2</v>
      </c>
      <c r="AX97" s="474">
        <f t="shared" si="69"/>
        <v>2</v>
      </c>
      <c r="AY97" s="474">
        <f t="shared" si="70"/>
        <v>100</v>
      </c>
      <c r="AZ97" s="474">
        <f t="shared" si="71"/>
        <v>100</v>
      </c>
      <c r="BA97" s="356">
        <f t="shared" si="72"/>
        <v>2.2250000000000002E-2</v>
      </c>
      <c r="BB97" s="356">
        <f t="shared" si="73"/>
        <v>100</v>
      </c>
      <c r="BC97" s="313">
        <v>10000000</v>
      </c>
      <c r="BD97" s="313">
        <v>0</v>
      </c>
      <c r="BE97" s="313">
        <v>10000000</v>
      </c>
      <c r="BF97" s="313">
        <v>0</v>
      </c>
      <c r="BG97" s="313">
        <v>0</v>
      </c>
      <c r="BH97" s="313">
        <v>0</v>
      </c>
      <c r="BI97" s="313">
        <v>0</v>
      </c>
      <c r="BJ97" s="313">
        <v>0</v>
      </c>
      <c r="BK97" s="473">
        <v>7500000</v>
      </c>
      <c r="BL97" s="472">
        <v>7500000</v>
      </c>
      <c r="BM97" s="472">
        <v>0</v>
      </c>
      <c r="BN97" s="472">
        <v>0</v>
      </c>
      <c r="BO97" s="472">
        <v>0</v>
      </c>
      <c r="BP97" s="472">
        <v>0</v>
      </c>
      <c r="BQ97" s="472">
        <v>0</v>
      </c>
      <c r="BR97" s="472">
        <v>0</v>
      </c>
      <c r="BS97" s="472">
        <v>0</v>
      </c>
      <c r="BT97" s="472">
        <v>0</v>
      </c>
      <c r="BU97" s="472">
        <v>0</v>
      </c>
      <c r="BV97" s="342">
        <f t="shared" si="74"/>
        <v>3.3375000000000002E-2</v>
      </c>
      <c r="BW97" s="350">
        <v>3</v>
      </c>
      <c r="BX97" s="385">
        <f t="shared" si="75"/>
        <v>0.375</v>
      </c>
      <c r="BY97" s="399">
        <v>2</v>
      </c>
      <c r="BZ97" s="398">
        <v>4</v>
      </c>
      <c r="CA97" s="690">
        <v>3</v>
      </c>
      <c r="CB97" s="471">
        <f t="shared" si="76"/>
        <v>3</v>
      </c>
      <c r="CC97" s="471">
        <f t="shared" si="77"/>
        <v>100</v>
      </c>
      <c r="CD97" s="470">
        <f t="shared" si="78"/>
        <v>100</v>
      </c>
      <c r="CE97" s="380">
        <f t="shared" si="79"/>
        <v>3.3375000000000002E-2</v>
      </c>
      <c r="CF97" s="469">
        <f t="shared" si="80"/>
        <v>100</v>
      </c>
      <c r="CG97" s="380">
        <f t="shared" si="81"/>
        <v>3.3375000000000002E-2</v>
      </c>
      <c r="CH97" s="468">
        <f t="shared" si="82"/>
        <v>3.3375000000000002E-2</v>
      </c>
      <c r="CI97" s="319">
        <v>3</v>
      </c>
      <c r="CJ97" s="318">
        <f t="shared" si="83"/>
        <v>0.375</v>
      </c>
      <c r="CK97" s="1259">
        <v>2</v>
      </c>
      <c r="CL97" s="301">
        <f t="shared" si="84"/>
        <v>1</v>
      </c>
      <c r="CM97" s="381">
        <f t="shared" si="85"/>
        <v>2</v>
      </c>
      <c r="CN97" s="381">
        <f t="shared" si="86"/>
        <v>66.666666666666671</v>
      </c>
      <c r="CO97" s="316">
        <f t="shared" si="87"/>
        <v>66.666666666666671</v>
      </c>
      <c r="CP97" s="381">
        <f t="shared" si="88"/>
        <v>2.2250000000000002E-2</v>
      </c>
      <c r="CQ97" s="381">
        <f t="shared" si="89"/>
        <v>2.2250000000000002E-2</v>
      </c>
      <c r="CR97" s="313">
        <v>24000000</v>
      </c>
      <c r="CS97" s="313">
        <v>24000000</v>
      </c>
      <c r="CT97" s="313">
        <v>0</v>
      </c>
      <c r="CU97" s="313">
        <v>0</v>
      </c>
      <c r="CV97" s="313">
        <v>0</v>
      </c>
      <c r="CW97" s="313">
        <v>0</v>
      </c>
      <c r="CX97" s="313">
        <v>0</v>
      </c>
      <c r="CY97" s="313">
        <v>0</v>
      </c>
      <c r="CZ97" s="380">
        <v>0</v>
      </c>
      <c r="DA97" s="380">
        <v>0</v>
      </c>
      <c r="DB97" s="380">
        <v>0</v>
      </c>
      <c r="DC97" s="380">
        <v>0</v>
      </c>
      <c r="DD97" s="380">
        <v>0</v>
      </c>
      <c r="DE97" s="380">
        <v>0</v>
      </c>
      <c r="DF97" s="380">
        <v>0</v>
      </c>
      <c r="DG97" s="380">
        <v>0</v>
      </c>
      <c r="DH97" s="380">
        <v>0</v>
      </c>
      <c r="DI97" s="380">
        <v>0</v>
      </c>
      <c r="DJ97" s="380">
        <v>0</v>
      </c>
      <c r="DK97" s="702">
        <f t="shared" si="90"/>
        <v>7</v>
      </c>
      <c r="DL97" s="311">
        <f t="shared" si="91"/>
        <v>8.8999999999999996E-2</v>
      </c>
      <c r="DM97" s="310">
        <f t="shared" si="92"/>
        <v>87.5</v>
      </c>
      <c r="DN97" s="356">
        <f t="shared" si="93"/>
        <v>87.5</v>
      </c>
      <c r="DO97" s="308">
        <f t="shared" si="94"/>
        <v>7.7875E-2</v>
      </c>
      <c r="DP97" s="359">
        <f t="shared" si="100"/>
        <v>7.7875E-2</v>
      </c>
      <c r="DQ97" s="306">
        <f t="shared" si="95"/>
        <v>7.7875E-2</v>
      </c>
      <c r="DR97" s="379">
        <f t="shared" si="96"/>
        <v>1</v>
      </c>
      <c r="DS97" s="378">
        <f t="shared" si="97"/>
        <v>0</v>
      </c>
      <c r="DT97" s="173">
        <v>117</v>
      </c>
      <c r="DU97" s="174" t="s">
        <v>126</v>
      </c>
      <c r="DV97" s="173">
        <v>118</v>
      </c>
      <c r="DW97" s="174" t="s">
        <v>319</v>
      </c>
      <c r="DX97" s="173"/>
      <c r="DY97" s="173"/>
      <c r="DZ97" s="173"/>
      <c r="EA97" s="665"/>
      <c r="EB97" s="1254" t="s">
        <v>3224</v>
      </c>
      <c r="EC97" s="537">
        <v>20000000</v>
      </c>
      <c r="EE97" s="734">
        <v>500</v>
      </c>
      <c r="EF97" s="706"/>
    </row>
    <row r="98" spans="4:136" s="302" customFormat="1" ht="127.5" hidden="1">
      <c r="D98" s="520">
        <v>95</v>
      </c>
      <c r="E98" s="534">
        <v>128</v>
      </c>
      <c r="F98" s="523" t="s">
        <v>43</v>
      </c>
      <c r="G98" s="523" t="s">
        <v>3</v>
      </c>
      <c r="H98" s="524" t="s">
        <v>2654</v>
      </c>
      <c r="I98" s="462" t="s">
        <v>187</v>
      </c>
      <c r="J98" s="335" t="s">
        <v>361</v>
      </c>
      <c r="K98" s="335" t="s">
        <v>362</v>
      </c>
      <c r="L98" s="454" t="s">
        <v>1501</v>
      </c>
      <c r="M98" s="333" t="s">
        <v>1771</v>
      </c>
      <c r="N98" s="333">
        <v>7200</v>
      </c>
      <c r="O98" s="333">
        <f t="shared" si="99"/>
        <v>16800</v>
      </c>
      <c r="P98" s="332">
        <v>9600</v>
      </c>
      <c r="Q98" s="390">
        <v>8.8999999999999996E-2</v>
      </c>
      <c r="R98" s="342">
        <f t="shared" si="61"/>
        <v>2.2249999999999999E-2</v>
      </c>
      <c r="S98" s="459">
        <v>2400</v>
      </c>
      <c r="T98" s="387">
        <f t="shared" si="62"/>
        <v>0.25</v>
      </c>
      <c r="U98" s="670">
        <v>2437</v>
      </c>
      <c r="V98" s="388">
        <f t="shared" si="63"/>
        <v>2437</v>
      </c>
      <c r="W98" s="356">
        <f t="shared" si="64"/>
        <v>101.54166666666667</v>
      </c>
      <c r="X98" s="356">
        <f t="shared" si="65"/>
        <v>100</v>
      </c>
      <c r="Y98" s="356">
        <f t="shared" si="98"/>
        <v>2.2250000000000002E-2</v>
      </c>
      <c r="Z98" s="356">
        <f t="shared" si="66"/>
        <v>100</v>
      </c>
      <c r="AA98" s="313">
        <v>73000000</v>
      </c>
      <c r="AB98" s="313">
        <v>73000000</v>
      </c>
      <c r="AC98" s="313">
        <v>0</v>
      </c>
      <c r="AD98" s="313">
        <v>0</v>
      </c>
      <c r="AE98" s="313">
        <v>0</v>
      </c>
      <c r="AF98" s="313">
        <v>0</v>
      </c>
      <c r="AG98" s="313">
        <v>0</v>
      </c>
      <c r="AH98" s="313">
        <v>0</v>
      </c>
      <c r="AI98" s="313">
        <v>74000000</v>
      </c>
      <c r="AJ98" s="313">
        <v>74000000</v>
      </c>
      <c r="AK98" s="313">
        <v>0</v>
      </c>
      <c r="AL98" s="313">
        <v>0</v>
      </c>
      <c r="AM98" s="313">
        <v>0</v>
      </c>
      <c r="AN98" s="313">
        <v>0</v>
      </c>
      <c r="AO98" s="313">
        <v>0</v>
      </c>
      <c r="AP98" s="313">
        <v>0</v>
      </c>
      <c r="AQ98" s="313">
        <v>0</v>
      </c>
      <c r="AR98" s="313">
        <v>0</v>
      </c>
      <c r="AS98" s="313">
        <v>0</v>
      </c>
      <c r="AT98" s="333">
        <f t="shared" si="67"/>
        <v>2.2249999999999999E-2</v>
      </c>
      <c r="AU98" s="333">
        <v>2400</v>
      </c>
      <c r="AV98" s="387">
        <f t="shared" si="68"/>
        <v>0.25</v>
      </c>
      <c r="AW98" s="677">
        <v>2069</v>
      </c>
      <c r="AX98" s="474">
        <f t="shared" si="69"/>
        <v>2069</v>
      </c>
      <c r="AY98" s="474">
        <f t="shared" si="70"/>
        <v>86.208333333333329</v>
      </c>
      <c r="AZ98" s="474">
        <f t="shared" si="71"/>
        <v>86.208333333333329</v>
      </c>
      <c r="BA98" s="356">
        <f t="shared" si="72"/>
        <v>1.9181354166666664E-2</v>
      </c>
      <c r="BB98" s="356">
        <f t="shared" si="73"/>
        <v>86.208333333333329</v>
      </c>
      <c r="BC98" s="313">
        <v>1048000000</v>
      </c>
      <c r="BD98" s="313">
        <v>0</v>
      </c>
      <c r="BE98" s="313">
        <v>1048000000</v>
      </c>
      <c r="BF98" s="313">
        <v>0</v>
      </c>
      <c r="BG98" s="313">
        <v>0</v>
      </c>
      <c r="BH98" s="313">
        <v>0</v>
      </c>
      <c r="BI98" s="313">
        <v>0</v>
      </c>
      <c r="BJ98" s="313">
        <v>0</v>
      </c>
      <c r="BK98" s="473">
        <v>68175200</v>
      </c>
      <c r="BL98" s="472">
        <v>68175200</v>
      </c>
      <c r="BM98" s="472">
        <v>0</v>
      </c>
      <c r="BN98" s="472">
        <v>0</v>
      </c>
      <c r="BO98" s="472">
        <v>0</v>
      </c>
      <c r="BP98" s="472">
        <v>0</v>
      </c>
      <c r="BQ98" s="472">
        <v>0</v>
      </c>
      <c r="BR98" s="472">
        <v>0</v>
      </c>
      <c r="BS98" s="472">
        <v>0</v>
      </c>
      <c r="BT98" s="472">
        <v>0</v>
      </c>
      <c r="BU98" s="472">
        <v>0</v>
      </c>
      <c r="BV98" s="342">
        <f t="shared" si="74"/>
        <v>2.2249999999999999E-2</v>
      </c>
      <c r="BW98" s="350">
        <v>2400</v>
      </c>
      <c r="BX98" s="385">
        <f t="shared" si="75"/>
        <v>0.25</v>
      </c>
      <c r="BY98" s="369">
        <v>112</v>
      </c>
      <c r="BZ98" s="391">
        <v>112</v>
      </c>
      <c r="CA98" s="689">
        <v>3029</v>
      </c>
      <c r="CB98" s="471">
        <f t="shared" si="76"/>
        <v>3029</v>
      </c>
      <c r="CC98" s="471">
        <f t="shared" si="77"/>
        <v>126.20833333333333</v>
      </c>
      <c r="CD98" s="470">
        <f t="shared" si="78"/>
        <v>100</v>
      </c>
      <c r="CE98" s="380">
        <f t="shared" si="79"/>
        <v>2.2250000000000002E-2</v>
      </c>
      <c r="CF98" s="469">
        <f t="shared" si="80"/>
        <v>100</v>
      </c>
      <c r="CG98" s="380">
        <f t="shared" si="81"/>
        <v>2.8081354166666666E-2</v>
      </c>
      <c r="CH98" s="468">
        <f t="shared" si="82"/>
        <v>2.2249999999999999E-2</v>
      </c>
      <c r="CI98" s="319">
        <v>2400</v>
      </c>
      <c r="CJ98" s="318">
        <f t="shared" si="83"/>
        <v>0.25</v>
      </c>
      <c r="CK98" s="1259">
        <v>1335</v>
      </c>
      <c r="CL98" s="301">
        <f t="shared" si="84"/>
        <v>1065</v>
      </c>
      <c r="CM98" s="381">
        <f t="shared" si="85"/>
        <v>1335</v>
      </c>
      <c r="CN98" s="381">
        <f t="shared" si="86"/>
        <v>55.625</v>
      </c>
      <c r="CO98" s="316">
        <f t="shared" si="87"/>
        <v>55.625</v>
      </c>
      <c r="CP98" s="381">
        <f t="shared" si="88"/>
        <v>1.2376562499999999E-2</v>
      </c>
      <c r="CQ98" s="381">
        <f t="shared" si="89"/>
        <v>1.2376562499999999E-2</v>
      </c>
      <c r="CR98" s="313">
        <v>1048000000</v>
      </c>
      <c r="CS98" s="313">
        <v>1048000000</v>
      </c>
      <c r="CT98" s="313">
        <v>0</v>
      </c>
      <c r="CU98" s="313">
        <v>0</v>
      </c>
      <c r="CV98" s="313">
        <v>0</v>
      </c>
      <c r="CW98" s="313">
        <v>0</v>
      </c>
      <c r="CX98" s="313">
        <v>0</v>
      </c>
      <c r="CY98" s="313">
        <v>0</v>
      </c>
      <c r="CZ98" s="380">
        <v>0</v>
      </c>
      <c r="DA98" s="380">
        <v>0</v>
      </c>
      <c r="DB98" s="380">
        <v>0</v>
      </c>
      <c r="DC98" s="380">
        <v>0</v>
      </c>
      <c r="DD98" s="380">
        <v>0</v>
      </c>
      <c r="DE98" s="380">
        <v>0</v>
      </c>
      <c r="DF98" s="380">
        <v>0</v>
      </c>
      <c r="DG98" s="380">
        <v>0</v>
      </c>
      <c r="DH98" s="380">
        <v>0</v>
      </c>
      <c r="DI98" s="380">
        <v>0</v>
      </c>
      <c r="DJ98" s="380">
        <v>0</v>
      </c>
      <c r="DK98" s="702">
        <f t="shared" si="90"/>
        <v>8870</v>
      </c>
      <c r="DL98" s="311">
        <f t="shared" si="91"/>
        <v>8.8999999999999996E-2</v>
      </c>
      <c r="DM98" s="310">
        <f t="shared" si="92"/>
        <v>92.395833333333329</v>
      </c>
      <c r="DN98" s="356">
        <f t="shared" si="93"/>
        <v>92.395833333333329</v>
      </c>
      <c r="DO98" s="308">
        <f t="shared" si="94"/>
        <v>8.2232291666666665E-2</v>
      </c>
      <c r="DP98" s="359">
        <f t="shared" si="100"/>
        <v>8.2232291666666665E-2</v>
      </c>
      <c r="DQ98" s="306">
        <f t="shared" si="95"/>
        <v>8.2232291666666665E-2</v>
      </c>
      <c r="DR98" s="379">
        <f t="shared" si="96"/>
        <v>1</v>
      </c>
      <c r="DS98" s="378">
        <f t="shared" si="97"/>
        <v>0</v>
      </c>
      <c r="DT98" s="173">
        <v>118</v>
      </c>
      <c r="DU98" s="174" t="s">
        <v>319</v>
      </c>
      <c r="DV98" s="173"/>
      <c r="DW98" s="174" t="s">
        <v>84</v>
      </c>
      <c r="DX98" s="173"/>
      <c r="DY98" s="173"/>
      <c r="DZ98" s="173"/>
      <c r="EA98" s="665"/>
      <c r="EB98" s="1254" t="s">
        <v>2221</v>
      </c>
      <c r="EC98" s="537">
        <v>0</v>
      </c>
      <c r="EE98" s="734">
        <v>1</v>
      </c>
      <c r="EF98" s="706"/>
    </row>
    <row r="99" spans="4:136" s="302" customFormat="1" ht="409.5" hidden="1">
      <c r="D99" s="520">
        <v>96</v>
      </c>
      <c r="E99" s="534">
        <v>129</v>
      </c>
      <c r="F99" s="523" t="s">
        <v>43</v>
      </c>
      <c r="G99" s="523" t="s">
        <v>3</v>
      </c>
      <c r="H99" s="524" t="s">
        <v>2654</v>
      </c>
      <c r="I99" s="462" t="s">
        <v>187</v>
      </c>
      <c r="J99" s="335" t="s">
        <v>363</v>
      </c>
      <c r="K99" s="335" t="s">
        <v>364</v>
      </c>
      <c r="L99" s="454" t="s">
        <v>1501</v>
      </c>
      <c r="M99" s="333" t="s">
        <v>1771</v>
      </c>
      <c r="N99" s="333">
        <v>0</v>
      </c>
      <c r="O99" s="333">
        <f t="shared" si="99"/>
        <v>15000</v>
      </c>
      <c r="P99" s="332">
        <v>15000</v>
      </c>
      <c r="Q99" s="390">
        <v>0.16500000000000001</v>
      </c>
      <c r="R99" s="342">
        <f t="shared" si="61"/>
        <v>4.1250000000000002E-2</v>
      </c>
      <c r="S99" s="459">
        <v>3750</v>
      </c>
      <c r="T99" s="387">
        <f t="shared" si="62"/>
        <v>0.25</v>
      </c>
      <c r="U99" s="670">
        <v>5625</v>
      </c>
      <c r="V99" s="388">
        <f t="shared" si="63"/>
        <v>5625</v>
      </c>
      <c r="W99" s="356">
        <f t="shared" si="64"/>
        <v>150</v>
      </c>
      <c r="X99" s="356">
        <f t="shared" si="65"/>
        <v>100</v>
      </c>
      <c r="Y99" s="356">
        <f t="shared" si="98"/>
        <v>4.1250000000000002E-2</v>
      </c>
      <c r="Z99" s="356">
        <f t="shared" si="66"/>
        <v>100</v>
      </c>
      <c r="AA99" s="313">
        <v>126000000</v>
      </c>
      <c r="AB99" s="313">
        <v>126000000</v>
      </c>
      <c r="AC99" s="313">
        <v>0</v>
      </c>
      <c r="AD99" s="313">
        <v>0</v>
      </c>
      <c r="AE99" s="313">
        <v>0</v>
      </c>
      <c r="AF99" s="313">
        <v>0</v>
      </c>
      <c r="AG99" s="313">
        <v>0</v>
      </c>
      <c r="AH99" s="313">
        <v>0</v>
      </c>
      <c r="AI99" s="313">
        <v>259297000</v>
      </c>
      <c r="AJ99" s="313">
        <v>259297000</v>
      </c>
      <c r="AK99" s="313">
        <v>0</v>
      </c>
      <c r="AL99" s="313">
        <v>0</v>
      </c>
      <c r="AM99" s="313">
        <v>0</v>
      </c>
      <c r="AN99" s="313">
        <v>0</v>
      </c>
      <c r="AO99" s="313">
        <v>0</v>
      </c>
      <c r="AP99" s="313">
        <v>0</v>
      </c>
      <c r="AQ99" s="313">
        <v>0</v>
      </c>
      <c r="AR99" s="313">
        <v>0</v>
      </c>
      <c r="AS99" s="313">
        <v>0</v>
      </c>
      <c r="AT99" s="333">
        <f t="shared" si="67"/>
        <v>4.1250000000000002E-2</v>
      </c>
      <c r="AU99" s="333">
        <v>3750</v>
      </c>
      <c r="AV99" s="387">
        <f t="shared" si="68"/>
        <v>0.25</v>
      </c>
      <c r="AW99" s="677">
        <v>4005</v>
      </c>
      <c r="AX99" s="474">
        <f t="shared" si="69"/>
        <v>4005</v>
      </c>
      <c r="AY99" s="474">
        <f t="shared" si="70"/>
        <v>106.8</v>
      </c>
      <c r="AZ99" s="474">
        <f t="shared" si="71"/>
        <v>100</v>
      </c>
      <c r="BA99" s="356">
        <f t="shared" si="72"/>
        <v>4.1250000000000002E-2</v>
      </c>
      <c r="BB99" s="356">
        <f t="shared" si="73"/>
        <v>100</v>
      </c>
      <c r="BC99" s="313">
        <v>113000000</v>
      </c>
      <c r="BD99" s="313">
        <v>0</v>
      </c>
      <c r="BE99" s="313">
        <v>113000000</v>
      </c>
      <c r="BF99" s="313">
        <v>0</v>
      </c>
      <c r="BG99" s="313">
        <v>0</v>
      </c>
      <c r="BH99" s="313">
        <v>0</v>
      </c>
      <c r="BI99" s="313">
        <v>0</v>
      </c>
      <c r="BJ99" s="313">
        <v>0</v>
      </c>
      <c r="BK99" s="473">
        <v>146326800</v>
      </c>
      <c r="BL99" s="472">
        <v>146326800</v>
      </c>
      <c r="BM99" s="472">
        <v>0</v>
      </c>
      <c r="BN99" s="472">
        <v>0</v>
      </c>
      <c r="BO99" s="472">
        <v>0</v>
      </c>
      <c r="BP99" s="472">
        <v>0</v>
      </c>
      <c r="BQ99" s="472">
        <v>0</v>
      </c>
      <c r="BR99" s="472">
        <v>0</v>
      </c>
      <c r="BS99" s="472">
        <v>0</v>
      </c>
      <c r="BT99" s="472">
        <v>0</v>
      </c>
      <c r="BU99" s="472">
        <v>0</v>
      </c>
      <c r="BV99" s="342">
        <f t="shared" si="74"/>
        <v>4.1250000000000002E-2</v>
      </c>
      <c r="BW99" s="350">
        <v>3750</v>
      </c>
      <c r="BX99" s="385">
        <f t="shared" si="75"/>
        <v>0.25</v>
      </c>
      <c r="BY99" s="369">
        <v>4150</v>
      </c>
      <c r="BZ99" s="391">
        <v>4150</v>
      </c>
      <c r="CA99" s="689">
        <v>4150</v>
      </c>
      <c r="CB99" s="471">
        <f t="shared" si="76"/>
        <v>4150</v>
      </c>
      <c r="CC99" s="471">
        <f t="shared" si="77"/>
        <v>110.66666666666667</v>
      </c>
      <c r="CD99" s="470">
        <f t="shared" si="78"/>
        <v>100</v>
      </c>
      <c r="CE99" s="380">
        <f t="shared" si="79"/>
        <v>4.1250000000000002E-2</v>
      </c>
      <c r="CF99" s="469">
        <f t="shared" si="80"/>
        <v>100</v>
      </c>
      <c r="CG99" s="380">
        <f t="shared" si="81"/>
        <v>4.5650000000000003E-2</v>
      </c>
      <c r="CH99" s="468">
        <f t="shared" si="82"/>
        <v>4.1250000000000002E-2</v>
      </c>
      <c r="CI99" s="319">
        <v>3750</v>
      </c>
      <c r="CJ99" s="318">
        <f t="shared" si="83"/>
        <v>0.25</v>
      </c>
      <c r="CK99" s="1259">
        <v>0</v>
      </c>
      <c r="CL99" s="301">
        <f t="shared" si="84"/>
        <v>3750</v>
      </c>
      <c r="CM99" s="381">
        <f t="shared" si="85"/>
        <v>0</v>
      </c>
      <c r="CN99" s="381">
        <f t="shared" si="86"/>
        <v>0</v>
      </c>
      <c r="CO99" s="316">
        <f t="shared" si="87"/>
        <v>0</v>
      </c>
      <c r="CP99" s="381">
        <f t="shared" si="88"/>
        <v>0</v>
      </c>
      <c r="CQ99" s="381">
        <f t="shared" si="89"/>
        <v>0</v>
      </c>
      <c r="CR99" s="313">
        <v>113000000</v>
      </c>
      <c r="CS99" s="313">
        <v>113000000</v>
      </c>
      <c r="CT99" s="313">
        <v>0</v>
      </c>
      <c r="CU99" s="313">
        <v>0</v>
      </c>
      <c r="CV99" s="313">
        <v>0</v>
      </c>
      <c r="CW99" s="313">
        <v>0</v>
      </c>
      <c r="CX99" s="313">
        <v>0</v>
      </c>
      <c r="CY99" s="313">
        <v>0</v>
      </c>
      <c r="CZ99" s="380">
        <v>0</v>
      </c>
      <c r="DA99" s="380">
        <v>0</v>
      </c>
      <c r="DB99" s="380">
        <v>0</v>
      </c>
      <c r="DC99" s="380">
        <v>0</v>
      </c>
      <c r="DD99" s="380">
        <v>0</v>
      </c>
      <c r="DE99" s="380">
        <v>0</v>
      </c>
      <c r="DF99" s="380">
        <v>0</v>
      </c>
      <c r="DG99" s="380">
        <v>0</v>
      </c>
      <c r="DH99" s="380">
        <v>0</v>
      </c>
      <c r="DI99" s="380">
        <v>0</v>
      </c>
      <c r="DJ99" s="380">
        <v>0</v>
      </c>
      <c r="DK99" s="702">
        <f t="shared" si="90"/>
        <v>13780</v>
      </c>
      <c r="DL99" s="311">
        <f t="shared" si="91"/>
        <v>0.16500000000000001</v>
      </c>
      <c r="DM99" s="310">
        <f t="shared" si="92"/>
        <v>91.86666666666666</v>
      </c>
      <c r="DN99" s="356">
        <f t="shared" si="93"/>
        <v>91.86666666666666</v>
      </c>
      <c r="DO99" s="308">
        <f t="shared" si="94"/>
        <v>0.15157999999999999</v>
      </c>
      <c r="DP99" s="359">
        <f t="shared" si="100"/>
        <v>0.15157999999999999</v>
      </c>
      <c r="DQ99" s="306">
        <f t="shared" si="95"/>
        <v>0.15157999999999999</v>
      </c>
      <c r="DR99" s="379">
        <f t="shared" si="96"/>
        <v>1</v>
      </c>
      <c r="DS99" s="378">
        <f t="shared" si="97"/>
        <v>0</v>
      </c>
      <c r="DT99" s="173">
        <v>118</v>
      </c>
      <c r="DU99" s="174" t="s">
        <v>319</v>
      </c>
      <c r="DV99" s="173"/>
      <c r="DW99" s="174" t="s">
        <v>84</v>
      </c>
      <c r="DX99" s="173"/>
      <c r="DY99" s="173"/>
      <c r="DZ99" s="173"/>
      <c r="EA99" s="665"/>
      <c r="EB99" s="1254" t="s">
        <v>2508</v>
      </c>
      <c r="EC99" s="537">
        <v>0</v>
      </c>
      <c r="EE99" s="735">
        <v>0</v>
      </c>
      <c r="EF99" s="706"/>
    </row>
    <row r="100" spans="4:136" s="302" customFormat="1" ht="60" hidden="1">
      <c r="D100" s="520">
        <v>97</v>
      </c>
      <c r="E100" s="534">
        <v>130</v>
      </c>
      <c r="F100" s="523" t="s">
        <v>43</v>
      </c>
      <c r="G100" s="523" t="s">
        <v>3</v>
      </c>
      <c r="H100" s="524" t="s">
        <v>2654</v>
      </c>
      <c r="I100" s="462" t="s">
        <v>187</v>
      </c>
      <c r="J100" s="335" t="s">
        <v>365</v>
      </c>
      <c r="K100" s="335" t="s">
        <v>366</v>
      </c>
      <c r="L100" s="454" t="s">
        <v>1999</v>
      </c>
      <c r="M100" s="333" t="s">
        <v>1771</v>
      </c>
      <c r="N100" s="333">
        <v>0</v>
      </c>
      <c r="O100" s="333">
        <f t="shared" si="99"/>
        <v>3</v>
      </c>
      <c r="P100" s="332">
        <v>3</v>
      </c>
      <c r="Q100" s="390">
        <v>8.8999999999999996E-2</v>
      </c>
      <c r="R100" s="342">
        <f t="shared" si="61"/>
        <v>0</v>
      </c>
      <c r="S100" s="459">
        <v>0</v>
      </c>
      <c r="T100" s="387">
        <f t="shared" si="62"/>
        <v>0</v>
      </c>
      <c r="U100" s="670">
        <v>0</v>
      </c>
      <c r="V100" s="388">
        <f t="shared" si="63"/>
        <v>0</v>
      </c>
      <c r="W100" s="356">
        <f t="shared" si="64"/>
        <v>0</v>
      </c>
      <c r="X100" s="356">
        <f t="shared" si="65"/>
        <v>0</v>
      </c>
      <c r="Y100" s="356">
        <f t="shared" si="98"/>
        <v>0</v>
      </c>
      <c r="Z100" s="356">
        <f t="shared" si="66"/>
        <v>0</v>
      </c>
      <c r="AA100" s="313">
        <v>0</v>
      </c>
      <c r="AB100" s="313">
        <v>0</v>
      </c>
      <c r="AC100" s="313">
        <v>0</v>
      </c>
      <c r="AD100" s="313">
        <v>0</v>
      </c>
      <c r="AE100" s="313">
        <v>0</v>
      </c>
      <c r="AF100" s="313">
        <v>0</v>
      </c>
      <c r="AG100" s="313">
        <v>0</v>
      </c>
      <c r="AH100" s="313">
        <v>0</v>
      </c>
      <c r="AI100" s="313">
        <v>0</v>
      </c>
      <c r="AJ100" s="313">
        <v>0</v>
      </c>
      <c r="AK100" s="313">
        <v>0</v>
      </c>
      <c r="AL100" s="313">
        <v>0</v>
      </c>
      <c r="AM100" s="313">
        <v>0</v>
      </c>
      <c r="AN100" s="313">
        <v>0</v>
      </c>
      <c r="AO100" s="313">
        <v>0</v>
      </c>
      <c r="AP100" s="313">
        <v>0</v>
      </c>
      <c r="AQ100" s="313">
        <v>0</v>
      </c>
      <c r="AR100" s="313">
        <v>0</v>
      </c>
      <c r="AS100" s="313">
        <v>0</v>
      </c>
      <c r="AT100" s="333">
        <f t="shared" si="67"/>
        <v>2.9666666666666664E-2</v>
      </c>
      <c r="AU100" s="333">
        <v>1</v>
      </c>
      <c r="AV100" s="387">
        <f t="shared" si="68"/>
        <v>0.33333333333333331</v>
      </c>
      <c r="AW100" s="677">
        <v>0</v>
      </c>
      <c r="AX100" s="474">
        <f t="shared" si="69"/>
        <v>0</v>
      </c>
      <c r="AY100" s="474">
        <f t="shared" si="70"/>
        <v>0</v>
      </c>
      <c r="AZ100" s="474">
        <f t="shared" si="71"/>
        <v>0</v>
      </c>
      <c r="BA100" s="356">
        <f t="shared" si="72"/>
        <v>0</v>
      </c>
      <c r="BB100" s="356">
        <f t="shared" si="73"/>
        <v>0</v>
      </c>
      <c r="BC100" s="313">
        <v>52000000</v>
      </c>
      <c r="BD100" s="313">
        <v>0</v>
      </c>
      <c r="BE100" s="313">
        <v>52000000</v>
      </c>
      <c r="BF100" s="313">
        <v>0</v>
      </c>
      <c r="BG100" s="313">
        <v>0</v>
      </c>
      <c r="BH100" s="313">
        <v>0</v>
      </c>
      <c r="BI100" s="313">
        <v>0</v>
      </c>
      <c r="BJ100" s="313">
        <v>0</v>
      </c>
      <c r="BK100" s="473">
        <v>24609914</v>
      </c>
      <c r="BL100" s="472">
        <v>24609914</v>
      </c>
      <c r="BM100" s="472">
        <v>0</v>
      </c>
      <c r="BN100" s="472">
        <v>0</v>
      </c>
      <c r="BO100" s="472">
        <v>0</v>
      </c>
      <c r="BP100" s="472">
        <v>0</v>
      </c>
      <c r="BQ100" s="472">
        <v>0</v>
      </c>
      <c r="BR100" s="472">
        <v>0</v>
      </c>
      <c r="BS100" s="472">
        <v>0</v>
      </c>
      <c r="BT100" s="472">
        <v>0</v>
      </c>
      <c r="BU100" s="472">
        <v>0</v>
      </c>
      <c r="BV100" s="342">
        <f t="shared" si="74"/>
        <v>2.9666666666666664E-2</v>
      </c>
      <c r="BW100" s="350">
        <v>1</v>
      </c>
      <c r="BX100" s="385">
        <f t="shared" si="75"/>
        <v>0.33333333333333331</v>
      </c>
      <c r="BY100" s="369">
        <v>0</v>
      </c>
      <c r="BZ100" s="391">
        <v>0</v>
      </c>
      <c r="CA100" s="689">
        <v>3</v>
      </c>
      <c r="CB100" s="471">
        <f t="shared" si="76"/>
        <v>3</v>
      </c>
      <c r="CC100" s="471">
        <f t="shared" si="77"/>
        <v>300</v>
      </c>
      <c r="CD100" s="470">
        <f t="shared" si="78"/>
        <v>100</v>
      </c>
      <c r="CE100" s="380">
        <f t="shared" si="79"/>
        <v>2.9666666666666664E-2</v>
      </c>
      <c r="CF100" s="469">
        <f t="shared" si="80"/>
        <v>100</v>
      </c>
      <c r="CG100" s="380">
        <f t="shared" si="81"/>
        <v>8.8999999999999982E-2</v>
      </c>
      <c r="CH100" s="468">
        <f t="shared" si="82"/>
        <v>2.9666666666666664E-2</v>
      </c>
      <c r="CI100" s="319">
        <v>1</v>
      </c>
      <c r="CJ100" s="318">
        <f t="shared" si="83"/>
        <v>0.33333333333333331</v>
      </c>
      <c r="CK100" s="1259">
        <v>0</v>
      </c>
      <c r="CL100" s="301">
        <f t="shared" si="84"/>
        <v>1</v>
      </c>
      <c r="CM100" s="381">
        <f t="shared" si="85"/>
        <v>0</v>
      </c>
      <c r="CN100" s="381">
        <f t="shared" si="86"/>
        <v>0</v>
      </c>
      <c r="CO100" s="316">
        <f t="shared" si="87"/>
        <v>0</v>
      </c>
      <c r="CP100" s="381">
        <f t="shared" si="88"/>
        <v>0</v>
      </c>
      <c r="CQ100" s="381">
        <f t="shared" si="89"/>
        <v>0</v>
      </c>
      <c r="CR100" s="313">
        <v>52000000</v>
      </c>
      <c r="CS100" s="313">
        <v>52000000</v>
      </c>
      <c r="CT100" s="313">
        <v>0</v>
      </c>
      <c r="CU100" s="313">
        <v>0</v>
      </c>
      <c r="CV100" s="313">
        <v>0</v>
      </c>
      <c r="CW100" s="313">
        <v>0</v>
      </c>
      <c r="CX100" s="313">
        <v>0</v>
      </c>
      <c r="CY100" s="313">
        <v>0</v>
      </c>
      <c r="CZ100" s="380">
        <v>0</v>
      </c>
      <c r="DA100" s="380">
        <v>0</v>
      </c>
      <c r="DB100" s="380">
        <v>0</v>
      </c>
      <c r="DC100" s="380">
        <v>0</v>
      </c>
      <c r="DD100" s="380">
        <v>0</v>
      </c>
      <c r="DE100" s="380">
        <v>0</v>
      </c>
      <c r="DF100" s="380">
        <v>0</v>
      </c>
      <c r="DG100" s="380">
        <v>0</v>
      </c>
      <c r="DH100" s="380">
        <v>0</v>
      </c>
      <c r="DI100" s="380">
        <v>0</v>
      </c>
      <c r="DJ100" s="380">
        <v>0</v>
      </c>
      <c r="DK100" s="702">
        <f t="shared" si="90"/>
        <v>3</v>
      </c>
      <c r="DL100" s="311">
        <f t="shared" si="91"/>
        <v>8.8999999999999996E-2</v>
      </c>
      <c r="DM100" s="310">
        <f t="shared" si="92"/>
        <v>100</v>
      </c>
      <c r="DN100" s="356">
        <f t="shared" si="93"/>
        <v>100</v>
      </c>
      <c r="DO100" s="308">
        <f t="shared" si="94"/>
        <v>8.900000000000001E-2</v>
      </c>
      <c r="DP100" s="359">
        <f t="shared" si="100"/>
        <v>8.8999999999999996E-2</v>
      </c>
      <c r="DQ100" s="306">
        <f t="shared" si="95"/>
        <v>8.8999999999999996E-2</v>
      </c>
      <c r="DR100" s="379">
        <f t="shared" si="96"/>
        <v>1</v>
      </c>
      <c r="DS100" s="378">
        <f t="shared" si="97"/>
        <v>0</v>
      </c>
      <c r="DT100" s="173">
        <v>118</v>
      </c>
      <c r="DU100" s="174" t="s">
        <v>319</v>
      </c>
      <c r="DV100" s="173"/>
      <c r="DW100" s="174" t="s">
        <v>84</v>
      </c>
      <c r="DX100" s="173"/>
      <c r="DY100" s="173"/>
      <c r="DZ100" s="173"/>
      <c r="EA100" s="665"/>
      <c r="EB100" s="1254" t="s">
        <v>2222</v>
      </c>
      <c r="EC100" s="537">
        <v>720000000</v>
      </c>
      <c r="EE100" s="734">
        <v>100</v>
      </c>
      <c r="EF100" s="706"/>
    </row>
    <row r="101" spans="4:136" s="302" customFormat="1" ht="89.25" hidden="1">
      <c r="D101" s="520">
        <v>98</v>
      </c>
      <c r="E101" s="534">
        <v>131</v>
      </c>
      <c r="F101" s="523" t="s">
        <v>43</v>
      </c>
      <c r="G101" s="523" t="s">
        <v>3</v>
      </c>
      <c r="H101" s="524" t="s">
        <v>2654</v>
      </c>
      <c r="I101" s="462" t="s">
        <v>187</v>
      </c>
      <c r="J101" s="335" t="s">
        <v>367</v>
      </c>
      <c r="K101" s="335" t="s">
        <v>368</v>
      </c>
      <c r="L101" s="453" t="s">
        <v>1947</v>
      </c>
      <c r="M101" s="333" t="s">
        <v>1785</v>
      </c>
      <c r="N101" s="333">
        <v>0</v>
      </c>
      <c r="O101" s="333">
        <f>+P101</f>
        <v>100</v>
      </c>
      <c r="P101" s="332">
        <v>100</v>
      </c>
      <c r="Q101" s="390">
        <v>0.16500000000000001</v>
      </c>
      <c r="R101" s="342">
        <f t="shared" si="61"/>
        <v>4.1250000000000002E-2</v>
      </c>
      <c r="S101" s="459">
        <v>100</v>
      </c>
      <c r="T101" s="387">
        <f t="shared" ref="T101:T132" si="101">IF($M101="M",0.25,(IF($P101&gt;0,S101/$P101," ")))</f>
        <v>0.25</v>
      </c>
      <c r="U101" s="670">
        <v>100</v>
      </c>
      <c r="V101" s="388">
        <f t="shared" ref="V101:V132" si="102">+IF(M101="I",(+U101),IF(M101="M",(+U101)/4,))</f>
        <v>25</v>
      </c>
      <c r="W101" s="356">
        <f t="shared" ref="W101:W132" si="103">IF(S101=0,0,+U101*100/S101)</f>
        <v>100</v>
      </c>
      <c r="X101" s="356">
        <f t="shared" si="65"/>
        <v>100</v>
      </c>
      <c r="Y101" s="356">
        <f t="shared" si="98"/>
        <v>4.1250000000000002E-2</v>
      </c>
      <c r="Z101" s="356">
        <f t="shared" si="66"/>
        <v>100</v>
      </c>
      <c r="AA101" s="313">
        <v>2576000000</v>
      </c>
      <c r="AB101" s="313">
        <v>2576000000</v>
      </c>
      <c r="AC101" s="313">
        <v>0</v>
      </c>
      <c r="AD101" s="313">
        <v>0</v>
      </c>
      <c r="AE101" s="313">
        <v>0</v>
      </c>
      <c r="AF101" s="313">
        <v>0</v>
      </c>
      <c r="AG101" s="313">
        <v>0</v>
      </c>
      <c r="AH101" s="313">
        <v>0</v>
      </c>
      <c r="AI101" s="313">
        <v>3550954000</v>
      </c>
      <c r="AJ101" s="313">
        <v>3550954000</v>
      </c>
      <c r="AK101" s="313">
        <v>0</v>
      </c>
      <c r="AL101" s="313">
        <v>0</v>
      </c>
      <c r="AM101" s="313">
        <v>0</v>
      </c>
      <c r="AN101" s="313">
        <v>0</v>
      </c>
      <c r="AO101" s="313">
        <v>0</v>
      </c>
      <c r="AP101" s="313">
        <v>0</v>
      </c>
      <c r="AQ101" s="313">
        <v>0</v>
      </c>
      <c r="AR101" s="313">
        <v>0</v>
      </c>
      <c r="AS101" s="313">
        <v>0</v>
      </c>
      <c r="AT101" s="333">
        <f t="shared" si="67"/>
        <v>4.1250000000000002E-2</v>
      </c>
      <c r="AU101" s="333">
        <v>100</v>
      </c>
      <c r="AV101" s="387">
        <f t="shared" ref="AV101:AV132" si="104">IF($M101="M",0.25,(IF($P101&gt;0,AU101/$P101," ")))</f>
        <v>0.25</v>
      </c>
      <c r="AW101" s="677">
        <v>100</v>
      </c>
      <c r="AX101" s="474">
        <f t="shared" ref="AX101:AX132" si="105">+IF(M101="I",(+AW101),IF(M101="M",(+AW101)/4,))</f>
        <v>25</v>
      </c>
      <c r="AY101" s="474">
        <f t="shared" ref="AY101:AY132" si="106">IF(AU101=0,0,+AW101*100/AU101)</f>
        <v>100</v>
      </c>
      <c r="AZ101" s="474">
        <f t="shared" si="71"/>
        <v>100</v>
      </c>
      <c r="BA101" s="356">
        <f t="shared" si="72"/>
        <v>4.1250000000000002E-2</v>
      </c>
      <c r="BB101" s="356">
        <f t="shared" si="73"/>
        <v>100</v>
      </c>
      <c r="BC101" s="313">
        <v>0</v>
      </c>
      <c r="BD101" s="313">
        <v>0</v>
      </c>
      <c r="BE101" s="313">
        <v>0</v>
      </c>
      <c r="BF101" s="313">
        <v>0</v>
      </c>
      <c r="BG101" s="313">
        <v>0</v>
      </c>
      <c r="BH101" s="313">
        <v>0</v>
      </c>
      <c r="BI101" s="313">
        <v>0</v>
      </c>
      <c r="BJ101" s="313">
        <v>0</v>
      </c>
      <c r="BK101" s="473">
        <v>1491651397</v>
      </c>
      <c r="BL101" s="472">
        <v>1491651397</v>
      </c>
      <c r="BM101" s="472">
        <v>0</v>
      </c>
      <c r="BN101" s="472">
        <v>0</v>
      </c>
      <c r="BO101" s="472">
        <v>0</v>
      </c>
      <c r="BP101" s="472">
        <v>0</v>
      </c>
      <c r="BQ101" s="472">
        <v>0</v>
      </c>
      <c r="BR101" s="472">
        <v>0</v>
      </c>
      <c r="BS101" s="472">
        <v>0</v>
      </c>
      <c r="BT101" s="472">
        <v>0</v>
      </c>
      <c r="BU101" s="472">
        <v>0</v>
      </c>
      <c r="BV101" s="342">
        <f t="shared" si="74"/>
        <v>4.1250000000000002E-2</v>
      </c>
      <c r="BW101" s="350">
        <v>100</v>
      </c>
      <c r="BX101" s="385">
        <f t="shared" ref="BX101:BX132" si="107">IF($M101="M",0.25,(IF($P101&gt;0,BW101/$P101," ")))</f>
        <v>0.25</v>
      </c>
      <c r="BY101" s="369">
        <v>75</v>
      </c>
      <c r="BZ101" s="391">
        <v>80</v>
      </c>
      <c r="CA101" s="689">
        <v>100</v>
      </c>
      <c r="CB101" s="471">
        <f t="shared" ref="CB101:CB132" si="108">+IF(M101="I",(+CA101),IF(M101="M",(+CA101)/4,))</f>
        <v>25</v>
      </c>
      <c r="CC101" s="471">
        <f t="shared" ref="CC101:CC132" si="109">IF(BW101=0,0,+CA101*100/BW101)</f>
        <v>100</v>
      </c>
      <c r="CD101" s="470">
        <f t="shared" si="78"/>
        <v>100</v>
      </c>
      <c r="CE101" s="380">
        <f t="shared" si="79"/>
        <v>4.1250000000000002E-2</v>
      </c>
      <c r="CF101" s="469">
        <f t="shared" si="80"/>
        <v>100</v>
      </c>
      <c r="CG101" s="380">
        <f t="shared" si="81"/>
        <v>4.1250000000000002E-2</v>
      </c>
      <c r="CH101" s="468">
        <f t="shared" si="82"/>
        <v>4.1250000000000002E-2</v>
      </c>
      <c r="CI101" s="319">
        <v>100</v>
      </c>
      <c r="CJ101" s="318">
        <f t="shared" ref="CJ101:CJ132" si="110">IF($M101="M",0.25,(IF($P101&gt;0,CI101/$P101," ")))</f>
        <v>0.25</v>
      </c>
      <c r="CK101" s="1259">
        <v>100</v>
      </c>
      <c r="CL101" s="301">
        <f t="shared" ref="CL101:CL132" si="111">+CI101-CK101</f>
        <v>0</v>
      </c>
      <c r="CM101" s="381">
        <f t="shared" ref="CM101:CM132" si="112">+IF(M101="I",(+CK101),IF(M101="M",(+CK101)/4,))</f>
        <v>25</v>
      </c>
      <c r="CN101" s="381">
        <f t="shared" ref="CN101:CN132" si="113">IF(CI101=0,0,+CK101*100/CI101)</f>
        <v>100</v>
      </c>
      <c r="CO101" s="381">
        <f t="shared" si="87"/>
        <v>100</v>
      </c>
      <c r="CP101" s="381">
        <f t="shared" si="88"/>
        <v>4.1250000000000002E-2</v>
      </c>
      <c r="CQ101" s="381">
        <f t="shared" si="89"/>
        <v>4.1250000000000002E-2</v>
      </c>
      <c r="CR101" s="313">
        <v>3134000000</v>
      </c>
      <c r="CS101" s="313">
        <v>3134000000</v>
      </c>
      <c r="CT101" s="313">
        <v>0</v>
      </c>
      <c r="CU101" s="313">
        <v>0</v>
      </c>
      <c r="CV101" s="313">
        <v>0</v>
      </c>
      <c r="CW101" s="313">
        <v>0</v>
      </c>
      <c r="CX101" s="313">
        <v>0</v>
      </c>
      <c r="CY101" s="313">
        <v>0</v>
      </c>
      <c r="CZ101" s="380">
        <v>0</v>
      </c>
      <c r="DA101" s="380">
        <v>0</v>
      </c>
      <c r="DB101" s="380">
        <v>0</v>
      </c>
      <c r="DC101" s="380">
        <v>0</v>
      </c>
      <c r="DD101" s="380">
        <v>0</v>
      </c>
      <c r="DE101" s="380">
        <v>0</v>
      </c>
      <c r="DF101" s="380">
        <v>0</v>
      </c>
      <c r="DG101" s="380">
        <v>0</v>
      </c>
      <c r="DH101" s="380">
        <v>0</v>
      </c>
      <c r="DI101" s="380">
        <v>0</v>
      </c>
      <c r="DJ101" s="380">
        <v>0</v>
      </c>
      <c r="DK101" s="702">
        <f t="shared" ref="DK101:DK132" si="114">+IF(M101="I",(+U101+AW101+CA101+CK101),IF(M101="M",(+U101+AW101+CA101+CK101)/4,))</f>
        <v>100</v>
      </c>
      <c r="DL101" s="311">
        <f t="shared" si="91"/>
        <v>0.16500000000000001</v>
      </c>
      <c r="DM101" s="310">
        <f t="shared" si="92"/>
        <v>100</v>
      </c>
      <c r="DN101" s="356">
        <f t="shared" si="93"/>
        <v>100</v>
      </c>
      <c r="DO101" s="308">
        <f t="shared" si="94"/>
        <v>0.16500000000000001</v>
      </c>
      <c r="DP101" s="359">
        <f>+IF(M101="M",DO101,0)</f>
        <v>0.16500000000000001</v>
      </c>
      <c r="DQ101" s="306">
        <f t="shared" si="95"/>
        <v>0.16500000000000001</v>
      </c>
      <c r="DR101" s="379">
        <f t="shared" si="96"/>
        <v>1</v>
      </c>
      <c r="DS101" s="378">
        <f t="shared" si="97"/>
        <v>0</v>
      </c>
      <c r="DT101" s="173">
        <v>118</v>
      </c>
      <c r="DU101" s="174" t="s">
        <v>319</v>
      </c>
      <c r="DV101" s="173"/>
      <c r="DW101" s="174" t="s">
        <v>84</v>
      </c>
      <c r="DX101" s="173"/>
      <c r="DY101" s="173"/>
      <c r="DZ101" s="173"/>
      <c r="EA101" s="665"/>
      <c r="EB101" s="1254" t="s">
        <v>2223</v>
      </c>
      <c r="EC101" s="537">
        <v>273000000</v>
      </c>
      <c r="EE101" s="734">
        <v>0</v>
      </c>
      <c r="EF101" s="706"/>
    </row>
    <row r="102" spans="4:136" s="302" customFormat="1" ht="306" hidden="1">
      <c r="D102" s="520">
        <v>99</v>
      </c>
      <c r="E102" s="534">
        <v>132</v>
      </c>
      <c r="F102" s="523" t="s">
        <v>43</v>
      </c>
      <c r="G102" s="523" t="s">
        <v>3</v>
      </c>
      <c r="H102" s="524" t="s">
        <v>2654</v>
      </c>
      <c r="I102" s="462" t="s">
        <v>187</v>
      </c>
      <c r="J102" s="335" t="s">
        <v>369</v>
      </c>
      <c r="K102" s="335" t="s">
        <v>370</v>
      </c>
      <c r="L102" s="454" t="s">
        <v>1998</v>
      </c>
      <c r="M102" s="333" t="s">
        <v>1771</v>
      </c>
      <c r="N102" s="333">
        <v>0</v>
      </c>
      <c r="O102" s="333">
        <f>+N102+P102</f>
        <v>2</v>
      </c>
      <c r="P102" s="332">
        <v>2</v>
      </c>
      <c r="Q102" s="390">
        <v>0.16500000000000001</v>
      </c>
      <c r="R102" s="342">
        <f t="shared" si="61"/>
        <v>8.2500000000000004E-2</v>
      </c>
      <c r="S102" s="459">
        <v>1</v>
      </c>
      <c r="T102" s="387">
        <f t="shared" si="101"/>
        <v>0.5</v>
      </c>
      <c r="U102" s="670">
        <v>1</v>
      </c>
      <c r="V102" s="388">
        <f t="shared" si="102"/>
        <v>1</v>
      </c>
      <c r="W102" s="356">
        <f t="shared" si="103"/>
        <v>100</v>
      </c>
      <c r="X102" s="356">
        <f t="shared" si="65"/>
        <v>100</v>
      </c>
      <c r="Y102" s="356">
        <f t="shared" si="98"/>
        <v>8.2500000000000004E-2</v>
      </c>
      <c r="Z102" s="356">
        <f t="shared" si="66"/>
        <v>100</v>
      </c>
      <c r="AA102" s="313">
        <v>1578000000</v>
      </c>
      <c r="AB102" s="313">
        <v>1578000000</v>
      </c>
      <c r="AC102" s="313">
        <v>0</v>
      </c>
      <c r="AD102" s="313">
        <v>0</v>
      </c>
      <c r="AE102" s="313">
        <v>0</v>
      </c>
      <c r="AF102" s="313">
        <v>0</v>
      </c>
      <c r="AG102" s="313">
        <v>0</v>
      </c>
      <c r="AH102" s="313">
        <v>0</v>
      </c>
      <c r="AI102" s="313">
        <v>2334475000</v>
      </c>
      <c r="AJ102" s="313">
        <v>2334475000</v>
      </c>
      <c r="AK102" s="313">
        <v>0</v>
      </c>
      <c r="AL102" s="313">
        <v>0</v>
      </c>
      <c r="AM102" s="313">
        <v>0</v>
      </c>
      <c r="AN102" s="313">
        <v>0</v>
      </c>
      <c r="AO102" s="313">
        <v>0</v>
      </c>
      <c r="AP102" s="313">
        <v>0</v>
      </c>
      <c r="AQ102" s="313">
        <v>0</v>
      </c>
      <c r="AR102" s="313">
        <v>0</v>
      </c>
      <c r="AS102" s="313">
        <v>0</v>
      </c>
      <c r="AT102" s="333">
        <f t="shared" si="67"/>
        <v>0</v>
      </c>
      <c r="AU102" s="333">
        <v>0</v>
      </c>
      <c r="AV102" s="387">
        <f t="shared" si="104"/>
        <v>0</v>
      </c>
      <c r="AW102" s="677">
        <v>0</v>
      </c>
      <c r="AX102" s="474">
        <f t="shared" si="105"/>
        <v>0</v>
      </c>
      <c r="AY102" s="474">
        <f t="shared" si="106"/>
        <v>0</v>
      </c>
      <c r="AZ102" s="474">
        <f t="shared" si="71"/>
        <v>0</v>
      </c>
      <c r="BA102" s="356">
        <f t="shared" si="72"/>
        <v>0</v>
      </c>
      <c r="BB102" s="356">
        <f t="shared" si="73"/>
        <v>0</v>
      </c>
      <c r="BC102" s="313">
        <v>0</v>
      </c>
      <c r="BD102" s="313">
        <v>0</v>
      </c>
      <c r="BE102" s="313">
        <v>0</v>
      </c>
      <c r="BF102" s="313">
        <v>0</v>
      </c>
      <c r="BG102" s="313">
        <v>0</v>
      </c>
      <c r="BH102" s="313">
        <v>0</v>
      </c>
      <c r="BI102" s="313">
        <v>0</v>
      </c>
      <c r="BJ102" s="313">
        <v>0</v>
      </c>
      <c r="BK102" s="473">
        <v>0</v>
      </c>
      <c r="BL102" s="472">
        <v>0</v>
      </c>
      <c r="BM102" s="472">
        <v>0</v>
      </c>
      <c r="BN102" s="472">
        <v>0</v>
      </c>
      <c r="BO102" s="472">
        <v>0</v>
      </c>
      <c r="BP102" s="472">
        <v>0</v>
      </c>
      <c r="BQ102" s="472">
        <v>0</v>
      </c>
      <c r="BR102" s="472">
        <v>0</v>
      </c>
      <c r="BS102" s="472">
        <v>0</v>
      </c>
      <c r="BT102" s="472">
        <v>0</v>
      </c>
      <c r="BU102" s="472">
        <v>0</v>
      </c>
      <c r="BV102" s="342">
        <f t="shared" si="74"/>
        <v>0</v>
      </c>
      <c r="BW102" s="350">
        <v>0</v>
      </c>
      <c r="BX102" s="385">
        <f t="shared" si="107"/>
        <v>0</v>
      </c>
      <c r="BY102" s="467">
        <v>0</v>
      </c>
      <c r="BZ102" s="466">
        <v>0</v>
      </c>
      <c r="CA102" s="691">
        <v>0</v>
      </c>
      <c r="CB102" s="471">
        <f t="shared" si="108"/>
        <v>0</v>
      </c>
      <c r="CC102" s="471">
        <f t="shared" si="109"/>
        <v>0</v>
      </c>
      <c r="CD102" s="470">
        <f t="shared" si="78"/>
        <v>0</v>
      </c>
      <c r="CE102" s="380">
        <f t="shared" si="79"/>
        <v>0</v>
      </c>
      <c r="CF102" s="469">
        <f t="shared" si="80"/>
        <v>0</v>
      </c>
      <c r="CG102" s="380">
        <f t="shared" si="81"/>
        <v>0</v>
      </c>
      <c r="CH102" s="468">
        <f t="shared" si="82"/>
        <v>8.2500000000000004E-2</v>
      </c>
      <c r="CI102" s="319">
        <v>1</v>
      </c>
      <c r="CJ102" s="318">
        <f t="shared" si="110"/>
        <v>0.5</v>
      </c>
      <c r="CK102" s="1260">
        <v>1</v>
      </c>
      <c r="CL102" s="301">
        <f t="shared" si="111"/>
        <v>0</v>
      </c>
      <c r="CM102" s="381">
        <f t="shared" si="112"/>
        <v>1</v>
      </c>
      <c r="CN102" s="381">
        <f t="shared" si="113"/>
        <v>100</v>
      </c>
      <c r="CO102" s="316">
        <f t="shared" si="87"/>
        <v>100</v>
      </c>
      <c r="CP102" s="381">
        <f t="shared" si="88"/>
        <v>8.2500000000000004E-2</v>
      </c>
      <c r="CQ102" s="381">
        <f t="shared" si="89"/>
        <v>8.2500000000000004E-2</v>
      </c>
      <c r="CR102" s="313">
        <v>1625000000</v>
      </c>
      <c r="CS102" s="313">
        <v>1625000000</v>
      </c>
      <c r="CT102" s="313">
        <v>0</v>
      </c>
      <c r="CU102" s="313">
        <v>0</v>
      </c>
      <c r="CV102" s="313">
        <v>0</v>
      </c>
      <c r="CW102" s="313">
        <v>0</v>
      </c>
      <c r="CX102" s="313">
        <v>0</v>
      </c>
      <c r="CY102" s="313">
        <v>0</v>
      </c>
      <c r="CZ102" s="380">
        <v>0</v>
      </c>
      <c r="DA102" s="380">
        <v>0</v>
      </c>
      <c r="DB102" s="380">
        <v>0</v>
      </c>
      <c r="DC102" s="380">
        <v>0</v>
      </c>
      <c r="DD102" s="380">
        <v>0</v>
      </c>
      <c r="DE102" s="380">
        <v>0</v>
      </c>
      <c r="DF102" s="380">
        <v>0</v>
      </c>
      <c r="DG102" s="380">
        <v>0</v>
      </c>
      <c r="DH102" s="380">
        <v>0</v>
      </c>
      <c r="DI102" s="380">
        <v>0</v>
      </c>
      <c r="DJ102" s="380">
        <v>0</v>
      </c>
      <c r="DK102" s="702">
        <f t="shared" si="114"/>
        <v>2</v>
      </c>
      <c r="DL102" s="311">
        <f t="shared" si="91"/>
        <v>0.16500000000000001</v>
      </c>
      <c r="DM102" s="310">
        <f t="shared" si="92"/>
        <v>100</v>
      </c>
      <c r="DN102" s="356">
        <f t="shared" si="93"/>
        <v>100</v>
      </c>
      <c r="DO102" s="308">
        <f t="shared" si="94"/>
        <v>0.16500000000000001</v>
      </c>
      <c r="DP102" s="359">
        <f>+IF(((DN102*Q102)/100)&lt;Q102, ((DN102*Q102)/100),Q102)</f>
        <v>0.16500000000000001</v>
      </c>
      <c r="DQ102" s="306">
        <f t="shared" si="95"/>
        <v>0.16500000000000001</v>
      </c>
      <c r="DR102" s="379">
        <f t="shared" si="96"/>
        <v>1</v>
      </c>
      <c r="DS102" s="378">
        <f t="shared" si="97"/>
        <v>0</v>
      </c>
      <c r="DT102" s="173">
        <v>118</v>
      </c>
      <c r="DU102" s="174" t="s">
        <v>319</v>
      </c>
      <c r="DV102" s="173"/>
      <c r="DW102" s="174" t="s">
        <v>84</v>
      </c>
      <c r="DX102" s="173"/>
      <c r="DY102" s="173"/>
      <c r="DZ102" s="173"/>
      <c r="EA102" s="665"/>
      <c r="EB102" s="1254" t="s">
        <v>2224</v>
      </c>
      <c r="EC102" s="537">
        <v>550000000</v>
      </c>
      <c r="EE102" s="734">
        <v>30</v>
      </c>
      <c r="EF102" s="706"/>
    </row>
    <row r="103" spans="4:136" s="302" customFormat="1" ht="76.5" hidden="1">
      <c r="D103" s="520">
        <v>100</v>
      </c>
      <c r="E103" s="534">
        <v>133</v>
      </c>
      <c r="F103" s="523" t="s">
        <v>43</v>
      </c>
      <c r="G103" s="523" t="s">
        <v>3</v>
      </c>
      <c r="H103" s="524" t="s">
        <v>2654</v>
      </c>
      <c r="I103" s="462" t="s">
        <v>187</v>
      </c>
      <c r="J103" s="335" t="s">
        <v>371</v>
      </c>
      <c r="K103" s="335" t="s">
        <v>372</v>
      </c>
      <c r="L103" s="454" t="s">
        <v>1501</v>
      </c>
      <c r="M103" s="333" t="s">
        <v>1785</v>
      </c>
      <c r="N103" s="333">
        <v>80</v>
      </c>
      <c r="O103" s="333">
        <f>+P103</f>
        <v>100</v>
      </c>
      <c r="P103" s="332">
        <v>100</v>
      </c>
      <c r="Q103" s="390">
        <v>0.16500000000000001</v>
      </c>
      <c r="R103" s="342">
        <f t="shared" si="61"/>
        <v>4.1250000000000002E-2</v>
      </c>
      <c r="S103" s="459">
        <v>100</v>
      </c>
      <c r="T103" s="387">
        <f t="shared" si="101"/>
        <v>0.25</v>
      </c>
      <c r="U103" s="670">
        <v>108</v>
      </c>
      <c r="V103" s="388">
        <f t="shared" si="102"/>
        <v>27</v>
      </c>
      <c r="W103" s="356">
        <f t="shared" si="103"/>
        <v>108</v>
      </c>
      <c r="X103" s="356">
        <f t="shared" si="65"/>
        <v>100</v>
      </c>
      <c r="Y103" s="356">
        <f t="shared" si="98"/>
        <v>4.1250000000000002E-2</v>
      </c>
      <c r="Z103" s="356">
        <f t="shared" si="66"/>
        <v>100</v>
      </c>
      <c r="AA103" s="313">
        <v>676000000</v>
      </c>
      <c r="AB103" s="313">
        <v>676000000</v>
      </c>
      <c r="AC103" s="313">
        <v>0</v>
      </c>
      <c r="AD103" s="313">
        <v>0</v>
      </c>
      <c r="AE103" s="313">
        <v>0</v>
      </c>
      <c r="AF103" s="313">
        <v>0</v>
      </c>
      <c r="AG103" s="313">
        <v>0</v>
      </c>
      <c r="AH103" s="313">
        <v>0</v>
      </c>
      <c r="AI103" s="313">
        <v>704435000</v>
      </c>
      <c r="AJ103" s="313">
        <v>704435000</v>
      </c>
      <c r="AK103" s="313">
        <v>0</v>
      </c>
      <c r="AL103" s="313">
        <v>0</v>
      </c>
      <c r="AM103" s="313">
        <v>0</v>
      </c>
      <c r="AN103" s="313">
        <v>0</v>
      </c>
      <c r="AO103" s="313">
        <v>0</v>
      </c>
      <c r="AP103" s="313">
        <v>0</v>
      </c>
      <c r="AQ103" s="313">
        <v>0</v>
      </c>
      <c r="AR103" s="313">
        <v>0</v>
      </c>
      <c r="AS103" s="313">
        <v>0</v>
      </c>
      <c r="AT103" s="333">
        <f t="shared" si="67"/>
        <v>4.1250000000000002E-2</v>
      </c>
      <c r="AU103" s="333">
        <v>100</v>
      </c>
      <c r="AV103" s="387">
        <f t="shared" si="104"/>
        <v>0.25</v>
      </c>
      <c r="AW103" s="677">
        <v>168</v>
      </c>
      <c r="AX103" s="474">
        <f t="shared" si="105"/>
        <v>42</v>
      </c>
      <c r="AY103" s="474">
        <f t="shared" si="106"/>
        <v>168</v>
      </c>
      <c r="AZ103" s="474">
        <f t="shared" si="71"/>
        <v>100</v>
      </c>
      <c r="BA103" s="356">
        <f t="shared" si="72"/>
        <v>4.1250000000000002E-2</v>
      </c>
      <c r="BB103" s="356">
        <f t="shared" si="73"/>
        <v>100</v>
      </c>
      <c r="BC103" s="313">
        <v>720000000</v>
      </c>
      <c r="BD103" s="313">
        <v>0</v>
      </c>
      <c r="BE103" s="313">
        <v>720000000</v>
      </c>
      <c r="BF103" s="313">
        <v>0</v>
      </c>
      <c r="BG103" s="313">
        <v>0</v>
      </c>
      <c r="BH103" s="313">
        <v>0</v>
      </c>
      <c r="BI103" s="313">
        <v>0</v>
      </c>
      <c r="BJ103" s="313">
        <v>0</v>
      </c>
      <c r="BK103" s="473">
        <v>764697950</v>
      </c>
      <c r="BL103" s="472">
        <v>764697950</v>
      </c>
      <c r="BM103" s="472">
        <v>0</v>
      </c>
      <c r="BN103" s="472">
        <v>0</v>
      </c>
      <c r="BO103" s="472">
        <v>0</v>
      </c>
      <c r="BP103" s="472">
        <v>0</v>
      </c>
      <c r="BQ103" s="472">
        <v>0</v>
      </c>
      <c r="BR103" s="472">
        <v>0</v>
      </c>
      <c r="BS103" s="472">
        <v>0</v>
      </c>
      <c r="BT103" s="472">
        <v>0</v>
      </c>
      <c r="BU103" s="472">
        <v>0</v>
      </c>
      <c r="BV103" s="342">
        <f t="shared" si="74"/>
        <v>4.1250000000000002E-2</v>
      </c>
      <c r="BW103" s="350">
        <v>100</v>
      </c>
      <c r="BX103" s="385">
        <f t="shared" si="107"/>
        <v>0.25</v>
      </c>
      <c r="BY103" s="369">
        <v>166</v>
      </c>
      <c r="BZ103" s="391">
        <v>166</v>
      </c>
      <c r="CA103" s="689">
        <v>166</v>
      </c>
      <c r="CB103" s="471">
        <f t="shared" si="108"/>
        <v>41.5</v>
      </c>
      <c r="CC103" s="471">
        <f t="shared" si="109"/>
        <v>166</v>
      </c>
      <c r="CD103" s="470">
        <f t="shared" si="78"/>
        <v>100</v>
      </c>
      <c r="CE103" s="380">
        <f t="shared" si="79"/>
        <v>4.1250000000000002E-2</v>
      </c>
      <c r="CF103" s="469">
        <f t="shared" si="80"/>
        <v>100</v>
      </c>
      <c r="CG103" s="380">
        <f t="shared" si="81"/>
        <v>6.8475000000000008E-2</v>
      </c>
      <c r="CH103" s="468">
        <f t="shared" si="82"/>
        <v>4.1250000000000002E-2</v>
      </c>
      <c r="CI103" s="319">
        <v>100</v>
      </c>
      <c r="CJ103" s="318">
        <f t="shared" si="110"/>
        <v>0.25</v>
      </c>
      <c r="CK103" s="1259">
        <v>139</v>
      </c>
      <c r="CL103" s="301">
        <f t="shared" si="111"/>
        <v>-39</v>
      </c>
      <c r="CM103" s="381">
        <f t="shared" si="112"/>
        <v>34.75</v>
      </c>
      <c r="CN103" s="381">
        <f t="shared" si="113"/>
        <v>139</v>
      </c>
      <c r="CO103" s="381">
        <f t="shared" si="87"/>
        <v>100</v>
      </c>
      <c r="CP103" s="381">
        <f t="shared" si="88"/>
        <v>4.1250000000000002E-2</v>
      </c>
      <c r="CQ103" s="381">
        <f t="shared" si="89"/>
        <v>5.7337500000000007E-2</v>
      </c>
      <c r="CR103" s="313">
        <v>720000000</v>
      </c>
      <c r="CS103" s="313">
        <v>720000000</v>
      </c>
      <c r="CT103" s="313">
        <v>0</v>
      </c>
      <c r="CU103" s="313">
        <v>0</v>
      </c>
      <c r="CV103" s="313">
        <v>0</v>
      </c>
      <c r="CW103" s="313">
        <v>0</v>
      </c>
      <c r="CX103" s="313">
        <v>0</v>
      </c>
      <c r="CY103" s="313">
        <v>0</v>
      </c>
      <c r="CZ103" s="380">
        <v>0</v>
      </c>
      <c r="DA103" s="380">
        <v>0</v>
      </c>
      <c r="DB103" s="380">
        <v>0</v>
      </c>
      <c r="DC103" s="380">
        <v>0</v>
      </c>
      <c r="DD103" s="380">
        <v>0</v>
      </c>
      <c r="DE103" s="380">
        <v>0</v>
      </c>
      <c r="DF103" s="380">
        <v>0</v>
      </c>
      <c r="DG103" s="380">
        <v>0</v>
      </c>
      <c r="DH103" s="380">
        <v>0</v>
      </c>
      <c r="DI103" s="380">
        <v>0</v>
      </c>
      <c r="DJ103" s="380">
        <v>0</v>
      </c>
      <c r="DK103" s="702">
        <f t="shared" si="114"/>
        <v>145.25</v>
      </c>
      <c r="DL103" s="311">
        <f t="shared" si="91"/>
        <v>0.16500000000000001</v>
      </c>
      <c r="DM103" s="310">
        <f t="shared" si="92"/>
        <v>145.25</v>
      </c>
      <c r="DN103" s="356">
        <f t="shared" si="93"/>
        <v>100</v>
      </c>
      <c r="DO103" s="308">
        <f t="shared" si="94"/>
        <v>0.16500000000000001</v>
      </c>
      <c r="DP103" s="359">
        <f>+IF(M103="M",DO103,0)</f>
        <v>0.16500000000000001</v>
      </c>
      <c r="DQ103" s="306">
        <f t="shared" si="95"/>
        <v>0.16500000000000001</v>
      </c>
      <c r="DR103" s="379">
        <f t="shared" si="96"/>
        <v>1</v>
      </c>
      <c r="DS103" s="378">
        <f t="shared" si="97"/>
        <v>0</v>
      </c>
      <c r="DT103" s="173">
        <v>118</v>
      </c>
      <c r="DU103" s="174" t="s">
        <v>319</v>
      </c>
      <c r="DV103" s="173"/>
      <c r="DW103" s="174" t="s">
        <v>84</v>
      </c>
      <c r="DX103" s="173"/>
      <c r="DY103" s="173"/>
      <c r="DZ103" s="173"/>
      <c r="EA103" s="665"/>
      <c r="EB103" s="1254" t="s">
        <v>2225</v>
      </c>
      <c r="EC103" s="537">
        <v>80000000</v>
      </c>
      <c r="EE103" s="734">
        <v>10</v>
      </c>
      <c r="EF103" s="706"/>
    </row>
    <row r="104" spans="4:136" s="302" customFormat="1" ht="60" hidden="1">
      <c r="D104" s="520">
        <v>101</v>
      </c>
      <c r="E104" s="534">
        <v>134</v>
      </c>
      <c r="F104" s="523" t="s">
        <v>43</v>
      </c>
      <c r="G104" s="523" t="s">
        <v>3</v>
      </c>
      <c r="H104" s="524" t="s">
        <v>2654</v>
      </c>
      <c r="I104" s="462" t="s">
        <v>187</v>
      </c>
      <c r="J104" s="335" t="s">
        <v>373</v>
      </c>
      <c r="K104" s="335" t="s">
        <v>374</v>
      </c>
      <c r="L104" s="454" t="s">
        <v>1501</v>
      </c>
      <c r="M104" s="333" t="s">
        <v>1771</v>
      </c>
      <c r="N104" s="333">
        <v>0</v>
      </c>
      <c r="O104" s="333">
        <f>+N104+P104</f>
        <v>5220</v>
      </c>
      <c r="P104" s="332">
        <v>5220</v>
      </c>
      <c r="Q104" s="390">
        <v>0.16500000000000001</v>
      </c>
      <c r="R104" s="342">
        <f t="shared" si="61"/>
        <v>4.1250000000000002E-2</v>
      </c>
      <c r="S104" s="459">
        <v>1305</v>
      </c>
      <c r="T104" s="387">
        <f t="shared" si="101"/>
        <v>0.25</v>
      </c>
      <c r="U104" s="670">
        <v>2174</v>
      </c>
      <c r="V104" s="388">
        <f t="shared" si="102"/>
        <v>2174</v>
      </c>
      <c r="W104" s="356">
        <f t="shared" si="103"/>
        <v>166.59003831417624</v>
      </c>
      <c r="X104" s="356">
        <f t="shared" si="65"/>
        <v>100</v>
      </c>
      <c r="Y104" s="356">
        <f t="shared" si="98"/>
        <v>4.1250000000000002E-2</v>
      </c>
      <c r="Z104" s="356">
        <f t="shared" si="66"/>
        <v>100</v>
      </c>
      <c r="AA104" s="313">
        <v>139000000</v>
      </c>
      <c r="AB104" s="313">
        <v>2000000</v>
      </c>
      <c r="AC104" s="313">
        <v>0</v>
      </c>
      <c r="AD104" s="313">
        <v>0</v>
      </c>
      <c r="AE104" s="313">
        <v>0</v>
      </c>
      <c r="AF104" s="313">
        <v>0</v>
      </c>
      <c r="AG104" s="313">
        <v>0</v>
      </c>
      <c r="AH104" s="313">
        <v>137000000</v>
      </c>
      <c r="AI104" s="313">
        <v>139000000</v>
      </c>
      <c r="AJ104" s="313">
        <v>2000000</v>
      </c>
      <c r="AK104" s="313">
        <v>0</v>
      </c>
      <c r="AL104" s="313">
        <v>137000000</v>
      </c>
      <c r="AM104" s="313">
        <v>0</v>
      </c>
      <c r="AN104" s="313">
        <v>0</v>
      </c>
      <c r="AO104" s="313">
        <v>0</v>
      </c>
      <c r="AP104" s="313">
        <v>0</v>
      </c>
      <c r="AQ104" s="313">
        <v>0</v>
      </c>
      <c r="AR104" s="313">
        <v>0</v>
      </c>
      <c r="AS104" s="313">
        <v>0</v>
      </c>
      <c r="AT104" s="333">
        <f t="shared" si="67"/>
        <v>4.1250000000000002E-2</v>
      </c>
      <c r="AU104" s="333">
        <v>1305</v>
      </c>
      <c r="AV104" s="387">
        <f t="shared" si="104"/>
        <v>0.25</v>
      </c>
      <c r="AW104" s="677">
        <v>1453</v>
      </c>
      <c r="AX104" s="474">
        <f t="shared" si="105"/>
        <v>1453</v>
      </c>
      <c r="AY104" s="474">
        <f t="shared" si="106"/>
        <v>111.34099616858238</v>
      </c>
      <c r="AZ104" s="474">
        <f t="shared" si="71"/>
        <v>100</v>
      </c>
      <c r="BA104" s="356">
        <f t="shared" si="72"/>
        <v>4.1250000000000002E-2</v>
      </c>
      <c r="BB104" s="356">
        <f t="shared" si="73"/>
        <v>100</v>
      </c>
      <c r="BC104" s="313">
        <v>260000000</v>
      </c>
      <c r="BD104" s="313">
        <v>0</v>
      </c>
      <c r="BE104" s="313">
        <v>0</v>
      </c>
      <c r="BF104" s="313">
        <v>0</v>
      </c>
      <c r="BG104" s="313">
        <v>0</v>
      </c>
      <c r="BH104" s="313">
        <v>0</v>
      </c>
      <c r="BI104" s="313">
        <v>0</v>
      </c>
      <c r="BJ104" s="313">
        <v>260000000</v>
      </c>
      <c r="BK104" s="473">
        <v>198008110</v>
      </c>
      <c r="BL104" s="472">
        <v>0</v>
      </c>
      <c r="BM104" s="472">
        <v>0</v>
      </c>
      <c r="BN104" s="472">
        <v>198008110</v>
      </c>
      <c r="BO104" s="472">
        <v>0</v>
      </c>
      <c r="BP104" s="472">
        <v>0</v>
      </c>
      <c r="BQ104" s="472">
        <v>0</v>
      </c>
      <c r="BR104" s="472">
        <v>0</v>
      </c>
      <c r="BS104" s="472">
        <v>0</v>
      </c>
      <c r="BT104" s="472">
        <v>0</v>
      </c>
      <c r="BU104" s="472">
        <v>0</v>
      </c>
      <c r="BV104" s="342">
        <f t="shared" si="74"/>
        <v>4.362068965517242E-2</v>
      </c>
      <c r="BW104" s="350">
        <v>1380</v>
      </c>
      <c r="BX104" s="385">
        <f t="shared" si="107"/>
        <v>0.26436781609195403</v>
      </c>
      <c r="BY104" s="369">
        <v>1612</v>
      </c>
      <c r="BZ104" s="391">
        <v>1612</v>
      </c>
      <c r="CA104" s="689">
        <v>1612</v>
      </c>
      <c r="CB104" s="471">
        <f t="shared" si="108"/>
        <v>1612</v>
      </c>
      <c r="CC104" s="471">
        <f t="shared" si="109"/>
        <v>116.81159420289855</v>
      </c>
      <c r="CD104" s="470">
        <f t="shared" si="78"/>
        <v>100</v>
      </c>
      <c r="CE104" s="380">
        <f t="shared" si="79"/>
        <v>4.362068965517242E-2</v>
      </c>
      <c r="CF104" s="469">
        <f t="shared" si="80"/>
        <v>100</v>
      </c>
      <c r="CG104" s="380">
        <f t="shared" si="81"/>
        <v>5.0954022988505751E-2</v>
      </c>
      <c r="CH104" s="468">
        <f t="shared" si="82"/>
        <v>3.8879310344827583E-2</v>
      </c>
      <c r="CI104" s="319">
        <v>1230</v>
      </c>
      <c r="CJ104" s="318">
        <f t="shared" si="110"/>
        <v>0.23563218390804597</v>
      </c>
      <c r="CK104" s="1259">
        <v>0</v>
      </c>
      <c r="CL104" s="301">
        <f t="shared" si="111"/>
        <v>1230</v>
      </c>
      <c r="CM104" s="381">
        <f t="shared" si="112"/>
        <v>0</v>
      </c>
      <c r="CN104" s="381">
        <f t="shared" si="113"/>
        <v>0</v>
      </c>
      <c r="CO104" s="316">
        <f t="shared" si="87"/>
        <v>0</v>
      </c>
      <c r="CP104" s="381">
        <f t="shared" si="88"/>
        <v>0</v>
      </c>
      <c r="CQ104" s="381">
        <f t="shared" si="89"/>
        <v>0</v>
      </c>
      <c r="CR104" s="313">
        <v>287000000</v>
      </c>
      <c r="CS104" s="313">
        <v>0</v>
      </c>
      <c r="CT104" s="313">
        <v>0</v>
      </c>
      <c r="CU104" s="313">
        <v>0</v>
      </c>
      <c r="CV104" s="313">
        <v>0</v>
      </c>
      <c r="CW104" s="313">
        <v>0</v>
      </c>
      <c r="CX104" s="313">
        <v>0</v>
      </c>
      <c r="CY104" s="313">
        <v>287000000</v>
      </c>
      <c r="CZ104" s="380">
        <v>0</v>
      </c>
      <c r="DA104" s="380">
        <v>0</v>
      </c>
      <c r="DB104" s="380">
        <v>0</v>
      </c>
      <c r="DC104" s="380">
        <v>0</v>
      </c>
      <c r="DD104" s="380">
        <v>0</v>
      </c>
      <c r="DE104" s="380">
        <v>0</v>
      </c>
      <c r="DF104" s="380">
        <v>0</v>
      </c>
      <c r="DG104" s="380">
        <v>0</v>
      </c>
      <c r="DH104" s="380">
        <v>0</v>
      </c>
      <c r="DI104" s="380">
        <v>0</v>
      </c>
      <c r="DJ104" s="380">
        <v>0</v>
      </c>
      <c r="DK104" s="702">
        <f t="shared" si="114"/>
        <v>5239</v>
      </c>
      <c r="DL104" s="311">
        <f t="shared" si="91"/>
        <v>0.16500000000000001</v>
      </c>
      <c r="DM104" s="310">
        <f t="shared" si="92"/>
        <v>100.3639846743295</v>
      </c>
      <c r="DN104" s="356">
        <f t="shared" si="93"/>
        <v>100</v>
      </c>
      <c r="DO104" s="308">
        <f t="shared" si="94"/>
        <v>0.16500000000000001</v>
      </c>
      <c r="DP104" s="359">
        <f>+IF(((DN104*Q104)/100)&lt;Q104, ((DN104*Q104)/100),Q104)</f>
        <v>0.16500000000000001</v>
      </c>
      <c r="DQ104" s="306">
        <f t="shared" si="95"/>
        <v>0.16500000000000001</v>
      </c>
      <c r="DR104" s="379">
        <f t="shared" si="96"/>
        <v>1</v>
      </c>
      <c r="DS104" s="378">
        <f t="shared" si="97"/>
        <v>0</v>
      </c>
      <c r="DT104" s="173">
        <v>118</v>
      </c>
      <c r="DU104" s="174" t="s">
        <v>319</v>
      </c>
      <c r="DV104" s="173"/>
      <c r="DW104" s="174" t="s">
        <v>84</v>
      </c>
      <c r="DX104" s="173"/>
      <c r="DY104" s="173"/>
      <c r="DZ104" s="173"/>
      <c r="EA104" s="665"/>
      <c r="EB104" s="1254" t="s">
        <v>2218</v>
      </c>
      <c r="EC104" s="537">
        <v>125000000</v>
      </c>
      <c r="EE104" s="734">
        <v>100</v>
      </c>
      <c r="EF104" s="706"/>
    </row>
    <row r="105" spans="4:136" s="302" customFormat="1" ht="102" hidden="1">
      <c r="D105" s="520">
        <v>102</v>
      </c>
      <c r="E105" s="534">
        <v>135</v>
      </c>
      <c r="F105" s="336" t="s">
        <v>43</v>
      </c>
      <c r="G105" s="336" t="s">
        <v>81</v>
      </c>
      <c r="H105" s="336" t="s">
        <v>2654</v>
      </c>
      <c r="I105" s="336" t="s">
        <v>187</v>
      </c>
      <c r="J105" s="335" t="s">
        <v>1261</v>
      </c>
      <c r="K105" s="335" t="s">
        <v>375</v>
      </c>
      <c r="L105" s="454" t="s">
        <v>1989</v>
      </c>
      <c r="M105" s="333" t="s">
        <v>1771</v>
      </c>
      <c r="N105" s="333">
        <v>188</v>
      </c>
      <c r="O105" s="333">
        <f>+N105+P105</f>
        <v>348</v>
      </c>
      <c r="P105" s="332">
        <v>160</v>
      </c>
      <c r="Q105" s="393">
        <v>2.92E-2</v>
      </c>
      <c r="R105" s="342">
        <f t="shared" si="61"/>
        <v>3.65E-3</v>
      </c>
      <c r="S105" s="459">
        <v>20</v>
      </c>
      <c r="T105" s="387">
        <f t="shared" si="101"/>
        <v>0.125</v>
      </c>
      <c r="U105" s="670">
        <v>20</v>
      </c>
      <c r="V105" s="388">
        <f t="shared" si="102"/>
        <v>20</v>
      </c>
      <c r="W105" s="356">
        <f t="shared" si="103"/>
        <v>100</v>
      </c>
      <c r="X105" s="356">
        <f t="shared" si="65"/>
        <v>100</v>
      </c>
      <c r="Y105" s="356">
        <f t="shared" si="98"/>
        <v>3.65E-3</v>
      </c>
      <c r="Z105" s="356">
        <f t="shared" si="66"/>
        <v>100</v>
      </c>
      <c r="AA105" s="313">
        <v>439000000</v>
      </c>
      <c r="AB105" s="313">
        <v>439000000</v>
      </c>
      <c r="AC105" s="313">
        <v>0</v>
      </c>
      <c r="AD105" s="313">
        <v>0</v>
      </c>
      <c r="AE105" s="313">
        <v>0</v>
      </c>
      <c r="AF105" s="313">
        <v>0</v>
      </c>
      <c r="AG105" s="313">
        <v>0</v>
      </c>
      <c r="AH105" s="313">
        <v>0</v>
      </c>
      <c r="AI105" s="313">
        <v>283170000</v>
      </c>
      <c r="AJ105" s="313">
        <v>283170000</v>
      </c>
      <c r="AK105" s="313">
        <v>0</v>
      </c>
      <c r="AL105" s="313">
        <v>0</v>
      </c>
      <c r="AM105" s="313">
        <v>0</v>
      </c>
      <c r="AN105" s="313">
        <v>0</v>
      </c>
      <c r="AO105" s="313">
        <v>0</v>
      </c>
      <c r="AP105" s="313">
        <v>0</v>
      </c>
      <c r="AQ105" s="313">
        <v>0</v>
      </c>
      <c r="AR105" s="313">
        <v>0</v>
      </c>
      <c r="AS105" s="313">
        <v>0</v>
      </c>
      <c r="AT105" s="392">
        <f t="shared" si="67"/>
        <v>6.7525000000000007E-3</v>
      </c>
      <c r="AU105" s="333">
        <v>37</v>
      </c>
      <c r="AV105" s="387">
        <f t="shared" si="104"/>
        <v>0.23125000000000001</v>
      </c>
      <c r="AW105" s="677">
        <v>37</v>
      </c>
      <c r="AX105" s="474">
        <f t="shared" si="105"/>
        <v>37</v>
      </c>
      <c r="AY105" s="474">
        <f t="shared" si="106"/>
        <v>100</v>
      </c>
      <c r="AZ105" s="474">
        <f t="shared" si="71"/>
        <v>100</v>
      </c>
      <c r="BA105" s="356">
        <f t="shared" si="72"/>
        <v>6.7524999999999998E-3</v>
      </c>
      <c r="BB105" s="356">
        <f t="shared" si="73"/>
        <v>100</v>
      </c>
      <c r="BC105" s="313">
        <v>550000000</v>
      </c>
      <c r="BD105" s="313">
        <v>0</v>
      </c>
      <c r="BE105" s="313">
        <v>550000000</v>
      </c>
      <c r="BF105" s="313">
        <v>0</v>
      </c>
      <c r="BG105" s="313">
        <v>0</v>
      </c>
      <c r="BH105" s="313">
        <v>0</v>
      </c>
      <c r="BI105" s="313">
        <v>0</v>
      </c>
      <c r="BJ105" s="313">
        <v>0</v>
      </c>
      <c r="BK105" s="473">
        <v>148755166</v>
      </c>
      <c r="BL105" s="472">
        <v>148755166</v>
      </c>
      <c r="BM105" s="472">
        <v>0</v>
      </c>
      <c r="BN105" s="472">
        <v>0</v>
      </c>
      <c r="BO105" s="472">
        <v>0</v>
      </c>
      <c r="BP105" s="472">
        <v>0</v>
      </c>
      <c r="BQ105" s="472">
        <v>0</v>
      </c>
      <c r="BR105" s="472">
        <v>0</v>
      </c>
      <c r="BS105" s="472">
        <v>0</v>
      </c>
      <c r="BT105" s="472">
        <v>0</v>
      </c>
      <c r="BU105" s="472">
        <v>0</v>
      </c>
      <c r="BV105" s="342">
        <f t="shared" si="74"/>
        <v>1.18625E-2</v>
      </c>
      <c r="BW105" s="350">
        <v>65</v>
      </c>
      <c r="BX105" s="385">
        <f t="shared" si="107"/>
        <v>0.40625</v>
      </c>
      <c r="BY105" s="369">
        <v>50</v>
      </c>
      <c r="BZ105" s="391">
        <v>52</v>
      </c>
      <c r="CA105" s="689">
        <v>72</v>
      </c>
      <c r="CB105" s="471">
        <f t="shared" si="108"/>
        <v>72</v>
      </c>
      <c r="CC105" s="471">
        <f t="shared" si="109"/>
        <v>110.76923076923077</v>
      </c>
      <c r="CD105" s="470">
        <f t="shared" si="78"/>
        <v>100</v>
      </c>
      <c r="CE105" s="380">
        <f t="shared" si="79"/>
        <v>1.18625E-2</v>
      </c>
      <c r="CF105" s="469">
        <f t="shared" si="80"/>
        <v>100</v>
      </c>
      <c r="CG105" s="380">
        <f t="shared" si="81"/>
        <v>1.3140000000000001E-2</v>
      </c>
      <c r="CH105" s="468">
        <f t="shared" si="82"/>
        <v>6.9349999999999993E-3</v>
      </c>
      <c r="CI105" s="319">
        <v>38</v>
      </c>
      <c r="CJ105" s="318">
        <f t="shared" si="110"/>
        <v>0.23749999999999999</v>
      </c>
      <c r="CK105" s="1259">
        <v>61</v>
      </c>
      <c r="CL105" s="301">
        <f t="shared" si="111"/>
        <v>-23</v>
      </c>
      <c r="CM105" s="381">
        <f t="shared" si="112"/>
        <v>61</v>
      </c>
      <c r="CN105" s="381">
        <f t="shared" si="113"/>
        <v>160.52631578947367</v>
      </c>
      <c r="CO105" s="316">
        <f t="shared" si="87"/>
        <v>100</v>
      </c>
      <c r="CP105" s="381">
        <f t="shared" si="88"/>
        <v>6.9349999999999993E-3</v>
      </c>
      <c r="CQ105" s="381">
        <f t="shared" si="89"/>
        <v>1.1132499999999998E-2</v>
      </c>
      <c r="CR105" s="313">
        <v>550000000</v>
      </c>
      <c r="CS105" s="313">
        <v>550000000</v>
      </c>
      <c r="CT105" s="313">
        <v>0</v>
      </c>
      <c r="CU105" s="313">
        <v>0</v>
      </c>
      <c r="CV105" s="313">
        <v>0</v>
      </c>
      <c r="CW105" s="313">
        <v>0</v>
      </c>
      <c r="CX105" s="313">
        <v>0</v>
      </c>
      <c r="CY105" s="313">
        <v>0</v>
      </c>
      <c r="CZ105" s="380">
        <v>0</v>
      </c>
      <c r="DA105" s="380">
        <v>0</v>
      </c>
      <c r="DB105" s="380">
        <v>0</v>
      </c>
      <c r="DC105" s="380">
        <v>0</v>
      </c>
      <c r="DD105" s="380">
        <v>0</v>
      </c>
      <c r="DE105" s="380">
        <v>0</v>
      </c>
      <c r="DF105" s="380">
        <v>0</v>
      </c>
      <c r="DG105" s="380">
        <v>0</v>
      </c>
      <c r="DH105" s="380">
        <v>0</v>
      </c>
      <c r="DI105" s="380">
        <v>0</v>
      </c>
      <c r="DJ105" s="380">
        <v>0</v>
      </c>
      <c r="DK105" s="702">
        <f t="shared" si="114"/>
        <v>190</v>
      </c>
      <c r="DL105" s="311">
        <f t="shared" si="91"/>
        <v>2.92E-2</v>
      </c>
      <c r="DM105" s="310">
        <f t="shared" si="92"/>
        <v>118.75</v>
      </c>
      <c r="DN105" s="356">
        <f t="shared" si="93"/>
        <v>100</v>
      </c>
      <c r="DO105" s="308">
        <f t="shared" si="94"/>
        <v>2.92E-2</v>
      </c>
      <c r="DP105" s="359">
        <f>+IF(((DN105*Q105)/100)&lt;Q105, ((DN105*Q105)/100),Q105)</f>
        <v>2.92E-2</v>
      </c>
      <c r="DQ105" s="306">
        <f t="shared" si="95"/>
        <v>2.92E-2</v>
      </c>
      <c r="DR105" s="379">
        <f t="shared" si="96"/>
        <v>1</v>
      </c>
      <c r="DS105" s="378">
        <f t="shared" si="97"/>
        <v>0</v>
      </c>
      <c r="DT105" s="173">
        <v>118</v>
      </c>
      <c r="DU105" s="174" t="s">
        <v>319</v>
      </c>
      <c r="DV105" s="173"/>
      <c r="DW105" s="174" t="s">
        <v>84</v>
      </c>
      <c r="DX105" s="173"/>
      <c r="DY105" s="173"/>
      <c r="DZ105" s="173"/>
      <c r="EA105" s="665"/>
      <c r="EB105" s="1254" t="s">
        <v>2509</v>
      </c>
      <c r="EC105" s="537">
        <v>724000000</v>
      </c>
      <c r="EE105" s="739">
        <v>19</v>
      </c>
      <c r="EF105" s="706"/>
    </row>
    <row r="106" spans="4:136" s="302" customFormat="1" ht="76.5" hidden="1">
      <c r="D106" s="520">
        <v>103</v>
      </c>
      <c r="E106" s="534">
        <v>136</v>
      </c>
      <c r="F106" s="523" t="s">
        <v>43</v>
      </c>
      <c r="G106" s="523" t="s">
        <v>81</v>
      </c>
      <c r="H106" s="524" t="s">
        <v>2654</v>
      </c>
      <c r="I106" s="462" t="s">
        <v>187</v>
      </c>
      <c r="J106" s="335" t="s">
        <v>376</v>
      </c>
      <c r="K106" s="335" t="s">
        <v>377</v>
      </c>
      <c r="L106" s="454" t="s">
        <v>1951</v>
      </c>
      <c r="M106" s="333" t="s">
        <v>1785</v>
      </c>
      <c r="N106" s="333">
        <v>10</v>
      </c>
      <c r="O106" s="333">
        <f>+P106</f>
        <v>10</v>
      </c>
      <c r="P106" s="332">
        <v>10</v>
      </c>
      <c r="Q106" s="390">
        <v>0.16500000000000001</v>
      </c>
      <c r="R106" s="342">
        <f t="shared" si="61"/>
        <v>4.1250000000000002E-2</v>
      </c>
      <c r="S106" s="459">
        <v>10</v>
      </c>
      <c r="T106" s="387">
        <f t="shared" si="101"/>
        <v>0.25</v>
      </c>
      <c r="U106" s="670">
        <v>10</v>
      </c>
      <c r="V106" s="388">
        <f t="shared" si="102"/>
        <v>2.5</v>
      </c>
      <c r="W106" s="356">
        <f t="shared" si="103"/>
        <v>100</v>
      </c>
      <c r="X106" s="356">
        <f t="shared" si="65"/>
        <v>100</v>
      </c>
      <c r="Y106" s="356">
        <f t="shared" si="98"/>
        <v>4.1250000000000002E-2</v>
      </c>
      <c r="Z106" s="356">
        <f t="shared" si="66"/>
        <v>100</v>
      </c>
      <c r="AA106" s="313">
        <v>0</v>
      </c>
      <c r="AB106" s="313">
        <v>0</v>
      </c>
      <c r="AC106" s="313">
        <v>0</v>
      </c>
      <c r="AD106" s="313">
        <v>0</v>
      </c>
      <c r="AE106" s="313">
        <v>0</v>
      </c>
      <c r="AF106" s="313">
        <v>0</v>
      </c>
      <c r="AG106" s="313">
        <v>0</v>
      </c>
      <c r="AH106" s="313">
        <v>0</v>
      </c>
      <c r="AI106" s="313">
        <v>96053000</v>
      </c>
      <c r="AJ106" s="313">
        <v>96053000</v>
      </c>
      <c r="AK106" s="313">
        <v>0</v>
      </c>
      <c r="AL106" s="313">
        <v>0</v>
      </c>
      <c r="AM106" s="313">
        <v>0</v>
      </c>
      <c r="AN106" s="313">
        <v>0</v>
      </c>
      <c r="AO106" s="313">
        <v>0</v>
      </c>
      <c r="AP106" s="313">
        <v>0</v>
      </c>
      <c r="AQ106" s="313">
        <v>0</v>
      </c>
      <c r="AR106" s="313">
        <v>228046000</v>
      </c>
      <c r="AS106" s="313" t="s">
        <v>1415</v>
      </c>
      <c r="AT106" s="333">
        <f t="shared" si="67"/>
        <v>4.1250000000000002E-2</v>
      </c>
      <c r="AU106" s="333">
        <v>10</v>
      </c>
      <c r="AV106" s="387">
        <f t="shared" si="104"/>
        <v>0.25</v>
      </c>
      <c r="AW106" s="677">
        <v>13</v>
      </c>
      <c r="AX106" s="474">
        <f t="shared" si="105"/>
        <v>3.25</v>
      </c>
      <c r="AY106" s="474">
        <f t="shared" si="106"/>
        <v>130</v>
      </c>
      <c r="AZ106" s="474">
        <f t="shared" si="71"/>
        <v>100</v>
      </c>
      <c r="BA106" s="356">
        <f t="shared" si="72"/>
        <v>4.1250000000000002E-2</v>
      </c>
      <c r="BB106" s="356">
        <f t="shared" si="73"/>
        <v>100</v>
      </c>
      <c r="BC106" s="313">
        <v>80000000</v>
      </c>
      <c r="BD106" s="313">
        <v>0</v>
      </c>
      <c r="BE106" s="313">
        <v>80000000</v>
      </c>
      <c r="BF106" s="313">
        <v>0</v>
      </c>
      <c r="BG106" s="313">
        <v>0</v>
      </c>
      <c r="BH106" s="313">
        <v>0</v>
      </c>
      <c r="BI106" s="313">
        <v>0</v>
      </c>
      <c r="BJ106" s="313">
        <v>0</v>
      </c>
      <c r="BK106" s="473">
        <v>721872425</v>
      </c>
      <c r="BL106" s="472">
        <v>721872425</v>
      </c>
      <c r="BM106" s="472">
        <v>0</v>
      </c>
      <c r="BN106" s="472">
        <v>0</v>
      </c>
      <c r="BO106" s="472">
        <v>0</v>
      </c>
      <c r="BP106" s="472">
        <v>0</v>
      </c>
      <c r="BQ106" s="472">
        <v>0</v>
      </c>
      <c r="BR106" s="472">
        <v>0</v>
      </c>
      <c r="BS106" s="472">
        <v>0</v>
      </c>
      <c r="BT106" s="472">
        <v>0</v>
      </c>
      <c r="BU106" s="472">
        <v>0</v>
      </c>
      <c r="BV106" s="342">
        <f t="shared" si="74"/>
        <v>4.1250000000000002E-2</v>
      </c>
      <c r="BW106" s="350">
        <v>10</v>
      </c>
      <c r="BX106" s="385">
        <f t="shared" si="107"/>
        <v>0.25</v>
      </c>
      <c r="BY106" s="369">
        <v>5</v>
      </c>
      <c r="BZ106" s="391">
        <v>5</v>
      </c>
      <c r="CA106" s="689">
        <v>19</v>
      </c>
      <c r="CB106" s="471">
        <f t="shared" si="108"/>
        <v>4.75</v>
      </c>
      <c r="CC106" s="471">
        <f t="shared" si="109"/>
        <v>190</v>
      </c>
      <c r="CD106" s="470">
        <f t="shared" si="78"/>
        <v>100</v>
      </c>
      <c r="CE106" s="380">
        <f t="shared" si="79"/>
        <v>4.1250000000000002E-2</v>
      </c>
      <c r="CF106" s="469">
        <f t="shared" si="80"/>
        <v>100</v>
      </c>
      <c r="CG106" s="380">
        <f t="shared" si="81"/>
        <v>7.8375E-2</v>
      </c>
      <c r="CH106" s="468">
        <f t="shared" si="82"/>
        <v>4.1250000000000002E-2</v>
      </c>
      <c r="CI106" s="319">
        <v>10</v>
      </c>
      <c r="CJ106" s="318">
        <f t="shared" si="110"/>
        <v>0.25</v>
      </c>
      <c r="CK106" s="1259">
        <v>18</v>
      </c>
      <c r="CL106" s="301">
        <f t="shared" si="111"/>
        <v>-8</v>
      </c>
      <c r="CM106" s="381">
        <f t="shared" si="112"/>
        <v>4.5</v>
      </c>
      <c r="CN106" s="381">
        <f t="shared" si="113"/>
        <v>180</v>
      </c>
      <c r="CO106" s="381">
        <f t="shared" si="87"/>
        <v>100</v>
      </c>
      <c r="CP106" s="381">
        <f t="shared" si="88"/>
        <v>4.1250000000000002E-2</v>
      </c>
      <c r="CQ106" s="381">
        <f t="shared" si="89"/>
        <v>7.425000000000001E-2</v>
      </c>
      <c r="CR106" s="313">
        <v>80000000</v>
      </c>
      <c r="CS106" s="313">
        <v>80000000</v>
      </c>
      <c r="CT106" s="313">
        <v>0</v>
      </c>
      <c r="CU106" s="313">
        <v>0</v>
      </c>
      <c r="CV106" s="313">
        <v>0</v>
      </c>
      <c r="CW106" s="313">
        <v>0</v>
      </c>
      <c r="CX106" s="313">
        <v>0</v>
      </c>
      <c r="CY106" s="313">
        <v>0</v>
      </c>
      <c r="CZ106" s="380">
        <v>0</v>
      </c>
      <c r="DA106" s="380">
        <v>0</v>
      </c>
      <c r="DB106" s="380">
        <v>0</v>
      </c>
      <c r="DC106" s="380">
        <v>0</v>
      </c>
      <c r="DD106" s="380">
        <v>0</v>
      </c>
      <c r="DE106" s="380">
        <v>0</v>
      </c>
      <c r="DF106" s="380">
        <v>0</v>
      </c>
      <c r="DG106" s="380">
        <v>0</v>
      </c>
      <c r="DH106" s="380">
        <v>0</v>
      </c>
      <c r="DI106" s="380">
        <v>0</v>
      </c>
      <c r="DJ106" s="380">
        <v>0</v>
      </c>
      <c r="DK106" s="702">
        <f t="shared" si="114"/>
        <v>15</v>
      </c>
      <c r="DL106" s="311">
        <f t="shared" si="91"/>
        <v>0.16500000000000001</v>
      </c>
      <c r="DM106" s="310">
        <f t="shared" si="92"/>
        <v>150</v>
      </c>
      <c r="DN106" s="356">
        <f t="shared" si="93"/>
        <v>100</v>
      </c>
      <c r="DO106" s="308">
        <f t="shared" si="94"/>
        <v>0.16500000000000001</v>
      </c>
      <c r="DP106" s="359">
        <f>+IF(M106="M",DO106,0)</f>
        <v>0.16500000000000001</v>
      </c>
      <c r="DQ106" s="306">
        <f t="shared" si="95"/>
        <v>0.16500000000000001</v>
      </c>
      <c r="DR106" s="379">
        <f t="shared" si="96"/>
        <v>1</v>
      </c>
      <c r="DS106" s="378">
        <f t="shared" si="97"/>
        <v>0</v>
      </c>
      <c r="DT106" s="173">
        <v>118</v>
      </c>
      <c r="DU106" s="174" t="s">
        <v>319</v>
      </c>
      <c r="DV106" s="173"/>
      <c r="DW106" s="174" t="s">
        <v>84</v>
      </c>
      <c r="DX106" s="173"/>
      <c r="DY106" s="173"/>
      <c r="DZ106" s="173"/>
      <c r="EA106" s="665"/>
      <c r="EB106" s="1254" t="s">
        <v>2510</v>
      </c>
      <c r="EC106" s="537">
        <v>1128000000</v>
      </c>
      <c r="EE106" s="740">
        <v>36</v>
      </c>
      <c r="EF106" s="706"/>
    </row>
    <row r="107" spans="4:136" s="302" customFormat="1" ht="127.5" hidden="1">
      <c r="D107" s="520">
        <v>104</v>
      </c>
      <c r="E107" s="534">
        <v>137</v>
      </c>
      <c r="F107" s="523" t="s">
        <v>43</v>
      </c>
      <c r="G107" s="523" t="s">
        <v>81</v>
      </c>
      <c r="H107" s="524" t="s">
        <v>2654</v>
      </c>
      <c r="I107" s="462" t="s">
        <v>187</v>
      </c>
      <c r="J107" s="335" t="s">
        <v>378</v>
      </c>
      <c r="K107" s="335" t="s">
        <v>379</v>
      </c>
      <c r="L107" s="454" t="s">
        <v>1983</v>
      </c>
      <c r="M107" s="333" t="s">
        <v>1771</v>
      </c>
      <c r="N107" s="333">
        <v>92</v>
      </c>
      <c r="O107" s="333">
        <f>+N107+P107</f>
        <v>192</v>
      </c>
      <c r="P107" s="332">
        <v>100</v>
      </c>
      <c r="Q107" s="390">
        <v>0.16500000000000001</v>
      </c>
      <c r="R107" s="342">
        <f t="shared" si="61"/>
        <v>4.1250000000000002E-2</v>
      </c>
      <c r="S107" s="459">
        <v>25</v>
      </c>
      <c r="T107" s="387">
        <f t="shared" si="101"/>
        <v>0.25</v>
      </c>
      <c r="U107" s="670">
        <v>47</v>
      </c>
      <c r="V107" s="388">
        <f t="shared" si="102"/>
        <v>47</v>
      </c>
      <c r="W107" s="356">
        <f t="shared" si="103"/>
        <v>188</v>
      </c>
      <c r="X107" s="356">
        <f t="shared" si="65"/>
        <v>100</v>
      </c>
      <c r="Y107" s="356">
        <f t="shared" si="98"/>
        <v>4.1250000000000002E-2</v>
      </c>
      <c r="Z107" s="356">
        <f t="shared" si="66"/>
        <v>100</v>
      </c>
      <c r="AA107" s="313">
        <v>72000000</v>
      </c>
      <c r="AB107" s="313">
        <v>54000000</v>
      </c>
      <c r="AC107" s="313">
        <v>0</v>
      </c>
      <c r="AD107" s="313">
        <v>18000000</v>
      </c>
      <c r="AE107" s="313">
        <v>0</v>
      </c>
      <c r="AF107" s="313">
        <v>0</v>
      </c>
      <c r="AG107" s="313">
        <v>0</v>
      </c>
      <c r="AH107" s="313">
        <v>0</v>
      </c>
      <c r="AI107" s="313">
        <v>0</v>
      </c>
      <c r="AJ107" s="313">
        <v>0</v>
      </c>
      <c r="AK107" s="313">
        <v>0</v>
      </c>
      <c r="AL107" s="313">
        <v>0</v>
      </c>
      <c r="AM107" s="313">
        <v>0</v>
      </c>
      <c r="AN107" s="313">
        <v>0</v>
      </c>
      <c r="AO107" s="313">
        <v>0</v>
      </c>
      <c r="AP107" s="313">
        <v>0</v>
      </c>
      <c r="AQ107" s="313">
        <v>0</v>
      </c>
      <c r="AR107" s="313">
        <v>18182000</v>
      </c>
      <c r="AS107" s="313" t="s">
        <v>1982</v>
      </c>
      <c r="AT107" s="333">
        <f t="shared" si="67"/>
        <v>4.1250000000000002E-2</v>
      </c>
      <c r="AU107" s="333">
        <v>25</v>
      </c>
      <c r="AV107" s="387">
        <f t="shared" si="104"/>
        <v>0.25</v>
      </c>
      <c r="AW107" s="677">
        <v>84</v>
      </c>
      <c r="AX107" s="474">
        <f t="shared" si="105"/>
        <v>84</v>
      </c>
      <c r="AY107" s="474">
        <f t="shared" si="106"/>
        <v>336</v>
      </c>
      <c r="AZ107" s="474">
        <f t="shared" si="71"/>
        <v>100</v>
      </c>
      <c r="BA107" s="356">
        <f t="shared" si="72"/>
        <v>4.1250000000000002E-2</v>
      </c>
      <c r="BB107" s="356">
        <f t="shared" si="73"/>
        <v>100</v>
      </c>
      <c r="BC107" s="313">
        <v>125000000</v>
      </c>
      <c r="BD107" s="313">
        <v>0</v>
      </c>
      <c r="BE107" s="313">
        <v>125000000</v>
      </c>
      <c r="BF107" s="313">
        <v>0</v>
      </c>
      <c r="BG107" s="313">
        <v>0</v>
      </c>
      <c r="BH107" s="313">
        <v>0</v>
      </c>
      <c r="BI107" s="313">
        <v>0</v>
      </c>
      <c r="BJ107" s="313">
        <v>0</v>
      </c>
      <c r="BK107" s="473">
        <v>152785000</v>
      </c>
      <c r="BL107" s="472">
        <v>152785000</v>
      </c>
      <c r="BM107" s="472">
        <v>0</v>
      </c>
      <c r="BN107" s="472">
        <v>0</v>
      </c>
      <c r="BO107" s="472">
        <v>0</v>
      </c>
      <c r="BP107" s="472">
        <v>0</v>
      </c>
      <c r="BQ107" s="472">
        <v>0</v>
      </c>
      <c r="BR107" s="472">
        <v>0</v>
      </c>
      <c r="BS107" s="472">
        <v>0</v>
      </c>
      <c r="BT107" s="472">
        <v>0</v>
      </c>
      <c r="BU107" s="472">
        <v>0</v>
      </c>
      <c r="BV107" s="342">
        <f t="shared" si="74"/>
        <v>4.1250000000000002E-2</v>
      </c>
      <c r="BW107" s="350">
        <v>25</v>
      </c>
      <c r="BX107" s="385">
        <f t="shared" si="107"/>
        <v>0.25</v>
      </c>
      <c r="BY107" s="369">
        <v>100</v>
      </c>
      <c r="BZ107" s="391">
        <v>215</v>
      </c>
      <c r="CA107" s="689">
        <v>120</v>
      </c>
      <c r="CB107" s="471">
        <f t="shared" si="108"/>
        <v>120</v>
      </c>
      <c r="CC107" s="471">
        <f t="shared" si="109"/>
        <v>480</v>
      </c>
      <c r="CD107" s="470">
        <f t="shared" si="78"/>
        <v>100</v>
      </c>
      <c r="CE107" s="380">
        <f t="shared" si="79"/>
        <v>4.1250000000000002E-2</v>
      </c>
      <c r="CF107" s="469">
        <f t="shared" si="80"/>
        <v>100</v>
      </c>
      <c r="CG107" s="380">
        <f t="shared" si="81"/>
        <v>0.19800000000000001</v>
      </c>
      <c r="CH107" s="468">
        <f t="shared" si="82"/>
        <v>4.1250000000000002E-2</v>
      </c>
      <c r="CI107" s="319">
        <v>25</v>
      </c>
      <c r="CJ107" s="318">
        <f t="shared" si="110"/>
        <v>0.25</v>
      </c>
      <c r="CK107" s="1259">
        <v>143</v>
      </c>
      <c r="CL107" s="301">
        <f t="shared" si="111"/>
        <v>-118</v>
      </c>
      <c r="CM107" s="381">
        <f t="shared" si="112"/>
        <v>143</v>
      </c>
      <c r="CN107" s="381">
        <f t="shared" si="113"/>
        <v>572</v>
      </c>
      <c r="CO107" s="316">
        <f t="shared" si="87"/>
        <v>100</v>
      </c>
      <c r="CP107" s="381">
        <f t="shared" si="88"/>
        <v>4.1250000000000002E-2</v>
      </c>
      <c r="CQ107" s="381">
        <f t="shared" si="89"/>
        <v>0.23595000000000002</v>
      </c>
      <c r="CR107" s="313">
        <v>125000000</v>
      </c>
      <c r="CS107" s="313">
        <v>125000000</v>
      </c>
      <c r="CT107" s="313">
        <v>0</v>
      </c>
      <c r="CU107" s="313">
        <v>0</v>
      </c>
      <c r="CV107" s="313">
        <v>0</v>
      </c>
      <c r="CW107" s="313">
        <v>0</v>
      </c>
      <c r="CX107" s="313">
        <v>0</v>
      </c>
      <c r="CY107" s="313">
        <v>0</v>
      </c>
      <c r="CZ107" s="380">
        <v>0</v>
      </c>
      <c r="DA107" s="380">
        <v>0</v>
      </c>
      <c r="DB107" s="380">
        <v>0</v>
      </c>
      <c r="DC107" s="380">
        <v>0</v>
      </c>
      <c r="DD107" s="380">
        <v>0</v>
      </c>
      <c r="DE107" s="380">
        <v>0</v>
      </c>
      <c r="DF107" s="380">
        <v>0</v>
      </c>
      <c r="DG107" s="380">
        <v>0</v>
      </c>
      <c r="DH107" s="380">
        <v>0</v>
      </c>
      <c r="DI107" s="380">
        <v>0</v>
      </c>
      <c r="DJ107" s="380">
        <v>0</v>
      </c>
      <c r="DK107" s="702">
        <f t="shared" si="114"/>
        <v>394</v>
      </c>
      <c r="DL107" s="311">
        <f t="shared" si="91"/>
        <v>0.16500000000000001</v>
      </c>
      <c r="DM107" s="310">
        <f t="shared" si="92"/>
        <v>394</v>
      </c>
      <c r="DN107" s="356">
        <f t="shared" si="93"/>
        <v>100</v>
      </c>
      <c r="DO107" s="308">
        <f t="shared" si="94"/>
        <v>0.16500000000000001</v>
      </c>
      <c r="DP107" s="359">
        <f>+IF(((DN107*Q107)/100)&lt;Q107, ((DN107*Q107)/100),Q107)</f>
        <v>0.16500000000000001</v>
      </c>
      <c r="DQ107" s="306">
        <f t="shared" si="95"/>
        <v>0.16500000000000001</v>
      </c>
      <c r="DR107" s="379">
        <f t="shared" si="96"/>
        <v>1</v>
      </c>
      <c r="DS107" s="378">
        <f t="shared" si="97"/>
        <v>0</v>
      </c>
      <c r="DT107" s="173">
        <v>118</v>
      </c>
      <c r="DU107" s="174" t="s">
        <v>319</v>
      </c>
      <c r="DV107" s="173"/>
      <c r="DW107" s="174" t="s">
        <v>84</v>
      </c>
      <c r="DX107" s="173"/>
      <c r="DY107" s="173"/>
      <c r="DZ107" s="173"/>
      <c r="EA107" s="665"/>
      <c r="EB107" s="1254" t="s">
        <v>2511</v>
      </c>
      <c r="EC107" s="537">
        <v>18000000</v>
      </c>
      <c r="EE107" s="734">
        <v>1</v>
      </c>
      <c r="EF107" s="706"/>
    </row>
    <row r="108" spans="4:136" s="302" customFormat="1" ht="76.5" hidden="1">
      <c r="D108" s="520">
        <v>105</v>
      </c>
      <c r="E108" s="534">
        <v>138</v>
      </c>
      <c r="F108" s="523" t="s">
        <v>43</v>
      </c>
      <c r="G108" s="523" t="s">
        <v>81</v>
      </c>
      <c r="H108" s="524" t="s">
        <v>2654</v>
      </c>
      <c r="I108" s="462" t="s">
        <v>187</v>
      </c>
      <c r="J108" s="335" t="s">
        <v>380</v>
      </c>
      <c r="K108" s="335" t="s">
        <v>381</v>
      </c>
      <c r="L108" s="454" t="s">
        <v>1415</v>
      </c>
      <c r="M108" s="333" t="s">
        <v>1785</v>
      </c>
      <c r="N108" s="333">
        <v>13</v>
      </c>
      <c r="O108" s="333">
        <f>+P108</f>
        <v>15</v>
      </c>
      <c r="P108" s="332">
        <v>15</v>
      </c>
      <c r="Q108" s="390">
        <v>0.25</v>
      </c>
      <c r="R108" s="342">
        <f t="shared" si="61"/>
        <v>6.25E-2</v>
      </c>
      <c r="S108" s="459">
        <v>15</v>
      </c>
      <c r="T108" s="387">
        <f t="shared" si="101"/>
        <v>0.25</v>
      </c>
      <c r="U108" s="670">
        <v>15</v>
      </c>
      <c r="V108" s="388">
        <f t="shared" si="102"/>
        <v>3.75</v>
      </c>
      <c r="W108" s="356">
        <f t="shared" si="103"/>
        <v>100</v>
      </c>
      <c r="X108" s="356">
        <f t="shared" si="65"/>
        <v>100</v>
      </c>
      <c r="Y108" s="356">
        <f t="shared" si="98"/>
        <v>6.25E-2</v>
      </c>
      <c r="Z108" s="356">
        <f t="shared" si="66"/>
        <v>100</v>
      </c>
      <c r="AA108" s="313">
        <v>0</v>
      </c>
      <c r="AB108" s="313">
        <v>0</v>
      </c>
      <c r="AC108" s="313">
        <v>0</v>
      </c>
      <c r="AD108" s="313">
        <v>0</v>
      </c>
      <c r="AE108" s="313">
        <v>0</v>
      </c>
      <c r="AF108" s="313">
        <v>0</v>
      </c>
      <c r="AG108" s="313">
        <v>0</v>
      </c>
      <c r="AH108" s="313">
        <v>0</v>
      </c>
      <c r="AI108" s="313">
        <v>7200000</v>
      </c>
      <c r="AJ108" s="313">
        <v>7200000</v>
      </c>
      <c r="AK108" s="313">
        <v>0</v>
      </c>
      <c r="AL108" s="313">
        <v>0</v>
      </c>
      <c r="AM108" s="313">
        <v>0</v>
      </c>
      <c r="AN108" s="313">
        <v>0</v>
      </c>
      <c r="AO108" s="313">
        <v>0</v>
      </c>
      <c r="AP108" s="313">
        <v>0</v>
      </c>
      <c r="AQ108" s="313">
        <v>0</v>
      </c>
      <c r="AR108" s="313">
        <v>50000000</v>
      </c>
      <c r="AS108" s="313" t="s">
        <v>1997</v>
      </c>
      <c r="AT108" s="333">
        <f t="shared" si="67"/>
        <v>6.25E-2</v>
      </c>
      <c r="AU108" s="333">
        <v>15</v>
      </c>
      <c r="AV108" s="387">
        <f t="shared" si="104"/>
        <v>0.25</v>
      </c>
      <c r="AW108" s="677">
        <v>10</v>
      </c>
      <c r="AX108" s="474">
        <f t="shared" si="105"/>
        <v>2.5</v>
      </c>
      <c r="AY108" s="474">
        <f t="shared" si="106"/>
        <v>66.666666666666671</v>
      </c>
      <c r="AZ108" s="474">
        <f t="shared" si="71"/>
        <v>66.666666666666671</v>
      </c>
      <c r="BA108" s="356">
        <f t="shared" si="72"/>
        <v>4.1666666666666671E-2</v>
      </c>
      <c r="BB108" s="356">
        <f t="shared" si="73"/>
        <v>66.666666666666671</v>
      </c>
      <c r="BC108" s="313">
        <v>150000000</v>
      </c>
      <c r="BD108" s="313">
        <v>0</v>
      </c>
      <c r="BE108" s="313">
        <v>150000000</v>
      </c>
      <c r="BF108" s="313">
        <v>0</v>
      </c>
      <c r="BG108" s="313">
        <v>0</v>
      </c>
      <c r="BH108" s="313">
        <v>0</v>
      </c>
      <c r="BI108" s="313">
        <v>0</v>
      </c>
      <c r="BJ108" s="313">
        <v>0</v>
      </c>
      <c r="BK108" s="473">
        <v>40460000</v>
      </c>
      <c r="BL108" s="472">
        <v>40460000</v>
      </c>
      <c r="BM108" s="472">
        <v>0</v>
      </c>
      <c r="BN108" s="472">
        <v>0</v>
      </c>
      <c r="BO108" s="472">
        <v>0</v>
      </c>
      <c r="BP108" s="472">
        <v>0</v>
      </c>
      <c r="BQ108" s="472">
        <v>0</v>
      </c>
      <c r="BR108" s="472">
        <v>0</v>
      </c>
      <c r="BS108" s="472">
        <v>0</v>
      </c>
      <c r="BT108" s="472">
        <v>0</v>
      </c>
      <c r="BU108" s="472">
        <v>0</v>
      </c>
      <c r="BV108" s="342">
        <f t="shared" si="74"/>
        <v>6.25E-2</v>
      </c>
      <c r="BW108" s="350">
        <v>15</v>
      </c>
      <c r="BX108" s="385">
        <f t="shared" si="107"/>
        <v>0.25</v>
      </c>
      <c r="BY108" s="369">
        <v>75</v>
      </c>
      <c r="BZ108" s="391">
        <v>18</v>
      </c>
      <c r="CA108" s="689">
        <v>18</v>
      </c>
      <c r="CB108" s="471">
        <f t="shared" si="108"/>
        <v>4.5</v>
      </c>
      <c r="CC108" s="471">
        <f t="shared" si="109"/>
        <v>120</v>
      </c>
      <c r="CD108" s="470">
        <f t="shared" si="78"/>
        <v>100</v>
      </c>
      <c r="CE108" s="380">
        <f t="shared" si="79"/>
        <v>6.25E-2</v>
      </c>
      <c r="CF108" s="469">
        <f t="shared" si="80"/>
        <v>100</v>
      </c>
      <c r="CG108" s="380">
        <f t="shared" si="81"/>
        <v>7.4999999999999997E-2</v>
      </c>
      <c r="CH108" s="468">
        <f t="shared" si="82"/>
        <v>6.25E-2</v>
      </c>
      <c r="CI108" s="319">
        <v>15</v>
      </c>
      <c r="CJ108" s="318">
        <f t="shared" si="110"/>
        <v>0.25</v>
      </c>
      <c r="CK108" s="1259">
        <v>48</v>
      </c>
      <c r="CL108" s="301">
        <f t="shared" si="111"/>
        <v>-33</v>
      </c>
      <c r="CM108" s="381">
        <f t="shared" si="112"/>
        <v>12</v>
      </c>
      <c r="CN108" s="381">
        <f t="shared" si="113"/>
        <v>320</v>
      </c>
      <c r="CO108" s="381">
        <f t="shared" si="87"/>
        <v>100</v>
      </c>
      <c r="CP108" s="381">
        <f t="shared" si="88"/>
        <v>6.25E-2</v>
      </c>
      <c r="CQ108" s="381">
        <f t="shared" si="89"/>
        <v>0.2</v>
      </c>
      <c r="CR108" s="313">
        <v>150000000</v>
      </c>
      <c r="CS108" s="313">
        <v>150000000</v>
      </c>
      <c r="CT108" s="313">
        <v>0</v>
      </c>
      <c r="CU108" s="313">
        <v>0</v>
      </c>
      <c r="CV108" s="313">
        <v>0</v>
      </c>
      <c r="CW108" s="313">
        <v>0</v>
      </c>
      <c r="CX108" s="313">
        <v>0</v>
      </c>
      <c r="CY108" s="313">
        <v>0</v>
      </c>
      <c r="CZ108" s="380">
        <v>0</v>
      </c>
      <c r="DA108" s="380">
        <v>0</v>
      </c>
      <c r="DB108" s="380">
        <v>0</v>
      </c>
      <c r="DC108" s="380">
        <v>0</v>
      </c>
      <c r="DD108" s="380">
        <v>0</v>
      </c>
      <c r="DE108" s="380">
        <v>0</v>
      </c>
      <c r="DF108" s="380">
        <v>0</v>
      </c>
      <c r="DG108" s="380">
        <v>0</v>
      </c>
      <c r="DH108" s="380">
        <v>0</v>
      </c>
      <c r="DI108" s="380">
        <v>0</v>
      </c>
      <c r="DJ108" s="380">
        <v>0</v>
      </c>
      <c r="DK108" s="702">
        <f t="shared" si="114"/>
        <v>22.75</v>
      </c>
      <c r="DL108" s="311">
        <f t="shared" si="91"/>
        <v>0.25</v>
      </c>
      <c r="DM108" s="310">
        <f t="shared" si="92"/>
        <v>151.66666666666666</v>
      </c>
      <c r="DN108" s="356">
        <f t="shared" si="93"/>
        <v>100</v>
      </c>
      <c r="DO108" s="308">
        <f t="shared" si="94"/>
        <v>0.25</v>
      </c>
      <c r="DP108" s="359">
        <f>+IF(M108="M",DO108,0)</f>
        <v>0.25</v>
      </c>
      <c r="DQ108" s="306">
        <f t="shared" si="95"/>
        <v>0.25</v>
      </c>
      <c r="DR108" s="379">
        <f t="shared" si="96"/>
        <v>1</v>
      </c>
      <c r="DS108" s="378">
        <f t="shared" si="97"/>
        <v>0</v>
      </c>
      <c r="DT108" s="173">
        <v>118</v>
      </c>
      <c r="DU108" s="174" t="s">
        <v>319</v>
      </c>
      <c r="DV108" s="173"/>
      <c r="DW108" s="174" t="s">
        <v>84</v>
      </c>
      <c r="DX108" s="173"/>
      <c r="DY108" s="173"/>
      <c r="DZ108" s="173"/>
      <c r="EA108" s="665"/>
      <c r="EB108" s="1254" t="s">
        <v>2512</v>
      </c>
      <c r="EC108" s="537">
        <v>0</v>
      </c>
      <c r="EE108" s="733">
        <v>116</v>
      </c>
      <c r="EF108" s="706"/>
    </row>
    <row r="109" spans="4:136" s="302" customFormat="1" ht="132" hidden="1">
      <c r="D109" s="520">
        <v>106</v>
      </c>
      <c r="E109" s="534">
        <v>139</v>
      </c>
      <c r="F109" s="523" t="s">
        <v>43</v>
      </c>
      <c r="G109" s="523" t="s">
        <v>7</v>
      </c>
      <c r="H109" s="524" t="s">
        <v>2654</v>
      </c>
      <c r="I109" s="462" t="s">
        <v>187</v>
      </c>
      <c r="J109" s="335" t="s">
        <v>382</v>
      </c>
      <c r="K109" s="335" t="s">
        <v>383</v>
      </c>
      <c r="L109" s="453" t="s">
        <v>1773</v>
      </c>
      <c r="M109" s="333" t="s">
        <v>1771</v>
      </c>
      <c r="N109" s="333">
        <v>0</v>
      </c>
      <c r="O109" s="333">
        <f>+N109+P109</f>
        <v>20</v>
      </c>
      <c r="P109" s="332">
        <v>20</v>
      </c>
      <c r="Q109" s="390">
        <v>0.25</v>
      </c>
      <c r="R109" s="342">
        <f t="shared" si="61"/>
        <v>0</v>
      </c>
      <c r="S109" s="459">
        <v>0</v>
      </c>
      <c r="T109" s="387">
        <f t="shared" si="101"/>
        <v>0</v>
      </c>
      <c r="U109" s="670">
        <v>0</v>
      </c>
      <c r="V109" s="388">
        <f t="shared" si="102"/>
        <v>0</v>
      </c>
      <c r="W109" s="356">
        <f t="shared" si="103"/>
        <v>0</v>
      </c>
      <c r="X109" s="356">
        <f t="shared" si="65"/>
        <v>0</v>
      </c>
      <c r="Y109" s="356">
        <f t="shared" si="98"/>
        <v>0</v>
      </c>
      <c r="Z109" s="356">
        <f t="shared" si="66"/>
        <v>0</v>
      </c>
      <c r="AA109" s="313">
        <v>200000000</v>
      </c>
      <c r="AB109" s="313">
        <v>200000000</v>
      </c>
      <c r="AC109" s="313">
        <v>0</v>
      </c>
      <c r="AD109" s="313">
        <v>0</v>
      </c>
      <c r="AE109" s="313">
        <v>0</v>
      </c>
      <c r="AF109" s="313">
        <v>0</v>
      </c>
      <c r="AG109" s="313">
        <v>0</v>
      </c>
      <c r="AH109" s="313">
        <v>0</v>
      </c>
      <c r="AI109" s="313">
        <v>0</v>
      </c>
      <c r="AJ109" s="313">
        <v>0</v>
      </c>
      <c r="AK109" s="313">
        <v>0</v>
      </c>
      <c r="AL109" s="313">
        <v>0</v>
      </c>
      <c r="AM109" s="313">
        <v>0</v>
      </c>
      <c r="AN109" s="313">
        <v>0</v>
      </c>
      <c r="AO109" s="313">
        <v>0</v>
      </c>
      <c r="AP109" s="313">
        <v>0</v>
      </c>
      <c r="AQ109" s="313">
        <v>0</v>
      </c>
      <c r="AR109" s="313">
        <v>0</v>
      </c>
      <c r="AS109" s="313">
        <v>0</v>
      </c>
      <c r="AT109" s="333">
        <f t="shared" si="67"/>
        <v>0.125</v>
      </c>
      <c r="AU109" s="333">
        <v>10</v>
      </c>
      <c r="AV109" s="387">
        <f t="shared" si="104"/>
        <v>0.5</v>
      </c>
      <c r="AW109" s="677">
        <v>11</v>
      </c>
      <c r="AX109" s="474">
        <f t="shared" si="105"/>
        <v>11</v>
      </c>
      <c r="AY109" s="474">
        <f t="shared" si="106"/>
        <v>110</v>
      </c>
      <c r="AZ109" s="474">
        <f t="shared" si="71"/>
        <v>100</v>
      </c>
      <c r="BA109" s="356">
        <f t="shared" si="72"/>
        <v>0.125</v>
      </c>
      <c r="BB109" s="356">
        <f t="shared" si="73"/>
        <v>100</v>
      </c>
      <c r="BC109" s="313">
        <v>0</v>
      </c>
      <c r="BD109" s="313">
        <v>0</v>
      </c>
      <c r="BE109" s="313">
        <v>0</v>
      </c>
      <c r="BF109" s="313">
        <v>0</v>
      </c>
      <c r="BG109" s="313">
        <v>0</v>
      </c>
      <c r="BH109" s="313">
        <v>0</v>
      </c>
      <c r="BI109" s="313">
        <v>0</v>
      </c>
      <c r="BJ109" s="313">
        <v>0</v>
      </c>
      <c r="BK109" s="473">
        <v>0</v>
      </c>
      <c r="BL109" s="472">
        <v>0</v>
      </c>
      <c r="BM109" s="472">
        <v>0</v>
      </c>
      <c r="BN109" s="472">
        <v>0</v>
      </c>
      <c r="BO109" s="472">
        <v>0</v>
      </c>
      <c r="BP109" s="472">
        <v>0</v>
      </c>
      <c r="BQ109" s="472">
        <v>0</v>
      </c>
      <c r="BR109" s="472">
        <v>0</v>
      </c>
      <c r="BS109" s="472">
        <v>0</v>
      </c>
      <c r="BT109" s="472">
        <v>0</v>
      </c>
      <c r="BU109" s="472">
        <v>0</v>
      </c>
      <c r="BV109" s="342">
        <f t="shared" si="74"/>
        <v>6.25E-2</v>
      </c>
      <c r="BW109" s="350">
        <v>5</v>
      </c>
      <c r="BX109" s="385">
        <f t="shared" si="107"/>
        <v>0.25</v>
      </c>
      <c r="BY109" s="399">
        <v>5</v>
      </c>
      <c r="BZ109" s="398">
        <v>5</v>
      </c>
      <c r="CA109" s="690">
        <v>5</v>
      </c>
      <c r="CB109" s="471">
        <f t="shared" si="108"/>
        <v>5</v>
      </c>
      <c r="CC109" s="471">
        <f t="shared" si="109"/>
        <v>100</v>
      </c>
      <c r="CD109" s="470">
        <f t="shared" si="78"/>
        <v>100</v>
      </c>
      <c r="CE109" s="380">
        <f t="shared" si="79"/>
        <v>6.25E-2</v>
      </c>
      <c r="CF109" s="469">
        <f t="shared" si="80"/>
        <v>100</v>
      </c>
      <c r="CG109" s="380">
        <f t="shared" si="81"/>
        <v>6.25E-2</v>
      </c>
      <c r="CH109" s="468">
        <f t="shared" si="82"/>
        <v>6.25E-2</v>
      </c>
      <c r="CI109" s="319">
        <v>5</v>
      </c>
      <c r="CJ109" s="318">
        <f t="shared" si="110"/>
        <v>0.25</v>
      </c>
      <c r="CK109" s="1259">
        <v>11</v>
      </c>
      <c r="CL109" s="301">
        <f t="shared" si="111"/>
        <v>-6</v>
      </c>
      <c r="CM109" s="381">
        <f t="shared" si="112"/>
        <v>11</v>
      </c>
      <c r="CN109" s="381">
        <f t="shared" si="113"/>
        <v>220</v>
      </c>
      <c r="CO109" s="316">
        <f t="shared" si="87"/>
        <v>100</v>
      </c>
      <c r="CP109" s="381">
        <f t="shared" si="88"/>
        <v>6.25E-2</v>
      </c>
      <c r="CQ109" s="381">
        <f t="shared" si="89"/>
        <v>0.13750000000000001</v>
      </c>
      <c r="CR109" s="313">
        <v>0</v>
      </c>
      <c r="CS109" s="313">
        <v>0</v>
      </c>
      <c r="CT109" s="313">
        <v>0</v>
      </c>
      <c r="CU109" s="313">
        <v>0</v>
      </c>
      <c r="CV109" s="313">
        <v>0</v>
      </c>
      <c r="CW109" s="313">
        <v>0</v>
      </c>
      <c r="CX109" s="313">
        <v>0</v>
      </c>
      <c r="CY109" s="313">
        <v>0</v>
      </c>
      <c r="CZ109" s="380">
        <v>0</v>
      </c>
      <c r="DA109" s="380">
        <v>0</v>
      </c>
      <c r="DB109" s="380">
        <v>0</v>
      </c>
      <c r="DC109" s="380">
        <v>0</v>
      </c>
      <c r="DD109" s="380">
        <v>0</v>
      </c>
      <c r="DE109" s="380">
        <v>0</v>
      </c>
      <c r="DF109" s="380">
        <v>0</v>
      </c>
      <c r="DG109" s="380">
        <v>0</v>
      </c>
      <c r="DH109" s="380">
        <v>0</v>
      </c>
      <c r="DI109" s="380">
        <v>0</v>
      </c>
      <c r="DJ109" s="380">
        <v>0</v>
      </c>
      <c r="DK109" s="702">
        <f t="shared" si="114"/>
        <v>27</v>
      </c>
      <c r="DL109" s="311">
        <f t="shared" si="91"/>
        <v>0.25</v>
      </c>
      <c r="DM109" s="310">
        <f t="shared" si="92"/>
        <v>135</v>
      </c>
      <c r="DN109" s="356">
        <f t="shared" si="93"/>
        <v>100</v>
      </c>
      <c r="DO109" s="308">
        <f t="shared" si="94"/>
        <v>0.25</v>
      </c>
      <c r="DP109" s="359">
        <f>+IF(((DN109*Q109)/100)&lt;Q109, ((DN109*Q109)/100),Q109)</f>
        <v>0.25</v>
      </c>
      <c r="DQ109" s="306">
        <f t="shared" si="95"/>
        <v>0.25</v>
      </c>
      <c r="DR109" s="379">
        <f t="shared" si="96"/>
        <v>1</v>
      </c>
      <c r="DS109" s="378">
        <f t="shared" si="97"/>
        <v>0</v>
      </c>
      <c r="DT109" s="173">
        <v>117</v>
      </c>
      <c r="DU109" s="174" t="s">
        <v>126</v>
      </c>
      <c r="DV109" s="173">
        <v>118</v>
      </c>
      <c r="DW109" s="174" t="s">
        <v>319</v>
      </c>
      <c r="DX109" s="173">
        <v>119</v>
      </c>
      <c r="DY109" s="173"/>
      <c r="DZ109" s="173"/>
      <c r="EA109" s="665"/>
      <c r="EB109" s="1254" t="s">
        <v>3225</v>
      </c>
      <c r="EC109" s="537">
        <v>4000000</v>
      </c>
      <c r="EE109" s="734">
        <v>500</v>
      </c>
      <c r="EF109" s="706"/>
    </row>
    <row r="110" spans="4:136" s="302" customFormat="1" ht="132" hidden="1">
      <c r="D110" s="520">
        <v>107</v>
      </c>
      <c r="E110" s="534">
        <v>140</v>
      </c>
      <c r="F110" s="523" t="s">
        <v>43</v>
      </c>
      <c r="G110" s="523" t="s">
        <v>7</v>
      </c>
      <c r="H110" s="524" t="s">
        <v>2654</v>
      </c>
      <c r="I110" s="462" t="s">
        <v>207</v>
      </c>
      <c r="J110" s="335" t="s">
        <v>384</v>
      </c>
      <c r="K110" s="335" t="s">
        <v>385</v>
      </c>
      <c r="L110" s="453" t="s">
        <v>1996</v>
      </c>
      <c r="M110" s="333" t="s">
        <v>1785</v>
      </c>
      <c r="N110" s="333">
        <v>0</v>
      </c>
      <c r="O110" s="333">
        <f>+P110</f>
        <v>1</v>
      </c>
      <c r="P110" s="332">
        <v>1</v>
      </c>
      <c r="Q110" s="390">
        <v>0.16500000000000001</v>
      </c>
      <c r="R110" s="342">
        <f t="shared" si="61"/>
        <v>4.1250000000000002E-2</v>
      </c>
      <c r="S110" s="459">
        <v>1</v>
      </c>
      <c r="T110" s="387">
        <f t="shared" si="101"/>
        <v>0.25</v>
      </c>
      <c r="U110" s="670">
        <v>0.7</v>
      </c>
      <c r="V110" s="388">
        <f t="shared" si="102"/>
        <v>0.17499999999999999</v>
      </c>
      <c r="W110" s="356">
        <f t="shared" si="103"/>
        <v>70</v>
      </c>
      <c r="X110" s="356">
        <f t="shared" si="65"/>
        <v>70</v>
      </c>
      <c r="Y110" s="356">
        <f t="shared" si="98"/>
        <v>2.8875000000000001E-2</v>
      </c>
      <c r="Z110" s="356">
        <f t="shared" si="66"/>
        <v>70</v>
      </c>
      <c r="AA110" s="313">
        <v>30000000</v>
      </c>
      <c r="AB110" s="313">
        <v>30000000</v>
      </c>
      <c r="AC110" s="313">
        <v>0</v>
      </c>
      <c r="AD110" s="313">
        <v>0</v>
      </c>
      <c r="AE110" s="313">
        <v>0</v>
      </c>
      <c r="AF110" s="313">
        <v>0</v>
      </c>
      <c r="AG110" s="313">
        <v>0</v>
      </c>
      <c r="AH110" s="313">
        <v>0</v>
      </c>
      <c r="AI110" s="313">
        <v>15000000</v>
      </c>
      <c r="AJ110" s="313">
        <v>15000000</v>
      </c>
      <c r="AK110" s="313">
        <v>0</v>
      </c>
      <c r="AL110" s="313">
        <v>0</v>
      </c>
      <c r="AM110" s="313">
        <v>0</v>
      </c>
      <c r="AN110" s="313">
        <v>0</v>
      </c>
      <c r="AO110" s="313">
        <v>0</v>
      </c>
      <c r="AP110" s="313">
        <v>0</v>
      </c>
      <c r="AQ110" s="313">
        <v>0</v>
      </c>
      <c r="AR110" s="313">
        <v>4500000</v>
      </c>
      <c r="AS110" s="313" t="s">
        <v>1995</v>
      </c>
      <c r="AT110" s="333">
        <f t="shared" si="67"/>
        <v>4.1250000000000002E-2</v>
      </c>
      <c r="AU110" s="333">
        <v>1</v>
      </c>
      <c r="AV110" s="387">
        <f t="shared" si="104"/>
        <v>0.25</v>
      </c>
      <c r="AW110" s="677">
        <v>1</v>
      </c>
      <c r="AX110" s="474">
        <f t="shared" si="105"/>
        <v>0.25</v>
      </c>
      <c r="AY110" s="474">
        <f t="shared" si="106"/>
        <v>100</v>
      </c>
      <c r="AZ110" s="474">
        <f t="shared" si="71"/>
        <v>100</v>
      </c>
      <c r="BA110" s="356">
        <f t="shared" si="72"/>
        <v>4.1250000000000002E-2</v>
      </c>
      <c r="BB110" s="356">
        <f t="shared" si="73"/>
        <v>100</v>
      </c>
      <c r="BC110" s="313">
        <v>5000000</v>
      </c>
      <c r="BD110" s="313">
        <v>0</v>
      </c>
      <c r="BE110" s="313">
        <v>5000000</v>
      </c>
      <c r="BF110" s="313">
        <v>0</v>
      </c>
      <c r="BG110" s="313">
        <v>0</v>
      </c>
      <c r="BH110" s="313">
        <v>0</v>
      </c>
      <c r="BI110" s="313">
        <v>0</v>
      </c>
      <c r="BJ110" s="313">
        <v>0</v>
      </c>
      <c r="BK110" s="473">
        <v>8000000</v>
      </c>
      <c r="BL110" s="472">
        <v>8000000</v>
      </c>
      <c r="BM110" s="472">
        <v>0</v>
      </c>
      <c r="BN110" s="472">
        <v>0</v>
      </c>
      <c r="BO110" s="472">
        <v>0</v>
      </c>
      <c r="BP110" s="472">
        <v>0</v>
      </c>
      <c r="BQ110" s="472">
        <v>0</v>
      </c>
      <c r="BR110" s="472">
        <v>0</v>
      </c>
      <c r="BS110" s="472">
        <v>0</v>
      </c>
      <c r="BT110" s="472">
        <v>0</v>
      </c>
      <c r="BU110" s="472">
        <v>0</v>
      </c>
      <c r="BV110" s="342">
        <f t="shared" si="74"/>
        <v>4.1250000000000002E-2</v>
      </c>
      <c r="BW110" s="350">
        <v>1</v>
      </c>
      <c r="BX110" s="385">
        <f t="shared" si="107"/>
        <v>0.25</v>
      </c>
      <c r="BY110" s="399">
        <v>1</v>
      </c>
      <c r="BZ110" s="398">
        <v>1</v>
      </c>
      <c r="CA110" s="690">
        <v>1</v>
      </c>
      <c r="CB110" s="471">
        <f t="shared" si="108"/>
        <v>0.25</v>
      </c>
      <c r="CC110" s="471">
        <f t="shared" si="109"/>
        <v>100</v>
      </c>
      <c r="CD110" s="470">
        <f t="shared" si="78"/>
        <v>100</v>
      </c>
      <c r="CE110" s="380">
        <f t="shared" si="79"/>
        <v>4.1250000000000002E-2</v>
      </c>
      <c r="CF110" s="469">
        <f t="shared" si="80"/>
        <v>100</v>
      </c>
      <c r="CG110" s="380">
        <f t="shared" si="81"/>
        <v>4.1250000000000002E-2</v>
      </c>
      <c r="CH110" s="468">
        <f t="shared" si="82"/>
        <v>4.1250000000000002E-2</v>
      </c>
      <c r="CI110" s="396">
        <v>1</v>
      </c>
      <c r="CJ110" s="318">
        <f t="shared" si="110"/>
        <v>0.25</v>
      </c>
      <c r="CK110" s="1259">
        <v>1</v>
      </c>
      <c r="CL110" s="301">
        <f t="shared" si="111"/>
        <v>0</v>
      </c>
      <c r="CM110" s="381">
        <f t="shared" si="112"/>
        <v>0.25</v>
      </c>
      <c r="CN110" s="381">
        <f t="shared" si="113"/>
        <v>100</v>
      </c>
      <c r="CO110" s="381">
        <f t="shared" si="87"/>
        <v>100</v>
      </c>
      <c r="CP110" s="381">
        <f t="shared" si="88"/>
        <v>4.1250000000000002E-2</v>
      </c>
      <c r="CQ110" s="381">
        <f t="shared" si="89"/>
        <v>4.1250000000000002E-2</v>
      </c>
      <c r="CR110" s="313">
        <v>12000000</v>
      </c>
      <c r="CS110" s="313">
        <v>12000000</v>
      </c>
      <c r="CT110" s="313">
        <v>0</v>
      </c>
      <c r="CU110" s="313">
        <v>0</v>
      </c>
      <c r="CV110" s="313">
        <v>0</v>
      </c>
      <c r="CW110" s="313">
        <v>0</v>
      </c>
      <c r="CX110" s="313">
        <v>0</v>
      </c>
      <c r="CY110" s="313">
        <v>0</v>
      </c>
      <c r="CZ110" s="380">
        <v>0</v>
      </c>
      <c r="DA110" s="380">
        <v>0</v>
      </c>
      <c r="DB110" s="380">
        <v>0</v>
      </c>
      <c r="DC110" s="380">
        <v>0</v>
      </c>
      <c r="DD110" s="380">
        <v>0</v>
      </c>
      <c r="DE110" s="380">
        <v>0</v>
      </c>
      <c r="DF110" s="380">
        <v>0</v>
      </c>
      <c r="DG110" s="380">
        <v>0</v>
      </c>
      <c r="DH110" s="380">
        <v>0</v>
      </c>
      <c r="DI110" s="380">
        <v>0</v>
      </c>
      <c r="DJ110" s="380">
        <v>0</v>
      </c>
      <c r="DK110" s="702">
        <f t="shared" si="114"/>
        <v>0.92500000000000004</v>
      </c>
      <c r="DL110" s="311">
        <f t="shared" si="91"/>
        <v>0.16500000000000001</v>
      </c>
      <c r="DM110" s="310">
        <f t="shared" si="92"/>
        <v>92.5</v>
      </c>
      <c r="DN110" s="356">
        <f t="shared" si="93"/>
        <v>92.5</v>
      </c>
      <c r="DO110" s="308">
        <f t="shared" si="94"/>
        <v>0.15262500000000001</v>
      </c>
      <c r="DP110" s="359">
        <f>+IF(M110="M",DO110,0)</f>
        <v>0.15262500000000001</v>
      </c>
      <c r="DQ110" s="306">
        <f t="shared" si="95"/>
        <v>0.15262500000000001</v>
      </c>
      <c r="DR110" s="379">
        <f t="shared" si="96"/>
        <v>1</v>
      </c>
      <c r="DS110" s="378">
        <f t="shared" si="97"/>
        <v>0</v>
      </c>
      <c r="DT110" s="173">
        <v>117</v>
      </c>
      <c r="DU110" s="174" t="s">
        <v>126</v>
      </c>
      <c r="DV110" s="173">
        <v>118</v>
      </c>
      <c r="DW110" s="174" t="s">
        <v>319</v>
      </c>
      <c r="DX110" s="173"/>
      <c r="DY110" s="173"/>
      <c r="DZ110" s="173"/>
      <c r="EA110" s="665"/>
      <c r="EB110" s="1254" t="s">
        <v>2445</v>
      </c>
      <c r="EC110" s="537">
        <v>0</v>
      </c>
      <c r="EE110" s="734">
        <v>0</v>
      </c>
      <c r="EF110" s="706"/>
    </row>
    <row r="111" spans="4:136" s="302" customFormat="1" ht="132" hidden="1">
      <c r="D111" s="520">
        <v>108</v>
      </c>
      <c r="E111" s="534">
        <v>141</v>
      </c>
      <c r="F111" s="336" t="s">
        <v>43</v>
      </c>
      <c r="G111" s="336" t="s">
        <v>7</v>
      </c>
      <c r="H111" s="336" t="s">
        <v>2654</v>
      </c>
      <c r="I111" s="336" t="s">
        <v>207</v>
      </c>
      <c r="J111" s="335" t="s">
        <v>1262</v>
      </c>
      <c r="K111" s="335" t="s">
        <v>386</v>
      </c>
      <c r="L111" s="454" t="s">
        <v>1509</v>
      </c>
      <c r="M111" s="333" t="s">
        <v>1771</v>
      </c>
      <c r="N111" s="333">
        <v>0</v>
      </c>
      <c r="O111" s="333">
        <f t="shared" ref="O111:O117" si="115">+N111+P111</f>
        <v>150</v>
      </c>
      <c r="P111" s="332">
        <v>150</v>
      </c>
      <c r="Q111" s="393">
        <v>0.16500000000000001</v>
      </c>
      <c r="R111" s="342">
        <f t="shared" si="61"/>
        <v>2.2000000000000001E-3</v>
      </c>
      <c r="S111" s="459">
        <v>2</v>
      </c>
      <c r="T111" s="387">
        <f t="shared" si="101"/>
        <v>1.3333333333333334E-2</v>
      </c>
      <c r="U111" s="670">
        <v>2</v>
      </c>
      <c r="V111" s="388">
        <f t="shared" si="102"/>
        <v>2</v>
      </c>
      <c r="W111" s="356">
        <f t="shared" si="103"/>
        <v>100</v>
      </c>
      <c r="X111" s="356">
        <f t="shared" si="65"/>
        <v>100</v>
      </c>
      <c r="Y111" s="356">
        <f t="shared" si="98"/>
        <v>2.2000000000000001E-3</v>
      </c>
      <c r="Z111" s="356">
        <f t="shared" si="66"/>
        <v>100</v>
      </c>
      <c r="AA111" s="313">
        <v>25000000</v>
      </c>
      <c r="AB111" s="313">
        <v>25000000</v>
      </c>
      <c r="AC111" s="313">
        <v>0</v>
      </c>
      <c r="AD111" s="313">
        <v>0</v>
      </c>
      <c r="AE111" s="313">
        <v>0</v>
      </c>
      <c r="AF111" s="313">
        <v>0</v>
      </c>
      <c r="AG111" s="313">
        <v>0</v>
      </c>
      <c r="AH111" s="313">
        <v>0</v>
      </c>
      <c r="AI111" s="313">
        <v>7500000</v>
      </c>
      <c r="AJ111" s="313">
        <v>7500000</v>
      </c>
      <c r="AK111" s="313">
        <v>0</v>
      </c>
      <c r="AL111" s="313">
        <v>0</v>
      </c>
      <c r="AM111" s="313">
        <v>0</v>
      </c>
      <c r="AN111" s="313">
        <v>0</v>
      </c>
      <c r="AO111" s="313">
        <v>0</v>
      </c>
      <c r="AP111" s="313">
        <v>0</v>
      </c>
      <c r="AQ111" s="313">
        <v>0</v>
      </c>
      <c r="AR111" s="313">
        <v>0</v>
      </c>
      <c r="AS111" s="313">
        <v>0</v>
      </c>
      <c r="AT111" s="392">
        <f t="shared" si="67"/>
        <v>1.3200000000000002E-2</v>
      </c>
      <c r="AU111" s="333">
        <v>12</v>
      </c>
      <c r="AV111" s="387">
        <f t="shared" si="104"/>
        <v>0.08</v>
      </c>
      <c r="AW111" s="677">
        <v>12</v>
      </c>
      <c r="AX111" s="474">
        <f t="shared" si="105"/>
        <v>12</v>
      </c>
      <c r="AY111" s="474">
        <f t="shared" si="106"/>
        <v>100</v>
      </c>
      <c r="AZ111" s="474">
        <f t="shared" si="71"/>
        <v>100</v>
      </c>
      <c r="BA111" s="356">
        <f t="shared" si="72"/>
        <v>1.32E-2</v>
      </c>
      <c r="BB111" s="356">
        <f t="shared" si="73"/>
        <v>100</v>
      </c>
      <c r="BC111" s="313">
        <v>13000000</v>
      </c>
      <c r="BD111" s="313">
        <v>0</v>
      </c>
      <c r="BE111" s="313">
        <v>13000000</v>
      </c>
      <c r="BF111" s="313">
        <v>0</v>
      </c>
      <c r="BG111" s="313">
        <v>0</v>
      </c>
      <c r="BH111" s="313">
        <v>0</v>
      </c>
      <c r="BI111" s="313">
        <v>0</v>
      </c>
      <c r="BJ111" s="313">
        <v>0</v>
      </c>
      <c r="BK111" s="473">
        <v>32000000</v>
      </c>
      <c r="BL111" s="472">
        <v>32000000</v>
      </c>
      <c r="BM111" s="472">
        <v>0</v>
      </c>
      <c r="BN111" s="472">
        <v>0</v>
      </c>
      <c r="BO111" s="472">
        <v>0</v>
      </c>
      <c r="BP111" s="472">
        <v>0</v>
      </c>
      <c r="BQ111" s="472">
        <v>0</v>
      </c>
      <c r="BR111" s="472">
        <v>0</v>
      </c>
      <c r="BS111" s="472">
        <v>0</v>
      </c>
      <c r="BT111" s="472">
        <v>0</v>
      </c>
      <c r="BU111" s="472">
        <v>0</v>
      </c>
      <c r="BV111" s="342">
        <f t="shared" si="74"/>
        <v>4.9500000000000002E-2</v>
      </c>
      <c r="BW111" s="350">
        <v>45</v>
      </c>
      <c r="BX111" s="385">
        <f t="shared" si="107"/>
        <v>0.3</v>
      </c>
      <c r="BY111" s="399">
        <v>0</v>
      </c>
      <c r="BZ111" s="398">
        <v>34</v>
      </c>
      <c r="CA111" s="690">
        <v>55</v>
      </c>
      <c r="CB111" s="471">
        <f t="shared" si="108"/>
        <v>55</v>
      </c>
      <c r="CC111" s="471">
        <f t="shared" si="109"/>
        <v>122.22222222222223</v>
      </c>
      <c r="CD111" s="470">
        <f t="shared" si="78"/>
        <v>100</v>
      </c>
      <c r="CE111" s="380">
        <f t="shared" si="79"/>
        <v>4.9500000000000002E-2</v>
      </c>
      <c r="CF111" s="469">
        <f t="shared" si="80"/>
        <v>100</v>
      </c>
      <c r="CG111" s="380">
        <f t="shared" si="81"/>
        <v>6.0500000000000005E-2</v>
      </c>
      <c r="CH111" s="468">
        <f t="shared" si="82"/>
        <v>0.10010000000000001</v>
      </c>
      <c r="CI111" s="319">
        <v>91</v>
      </c>
      <c r="CJ111" s="318">
        <f t="shared" si="110"/>
        <v>0.60666666666666669</v>
      </c>
      <c r="CK111" s="1259">
        <v>87</v>
      </c>
      <c r="CL111" s="301">
        <f t="shared" si="111"/>
        <v>4</v>
      </c>
      <c r="CM111" s="381">
        <f t="shared" si="112"/>
        <v>87</v>
      </c>
      <c r="CN111" s="381">
        <f t="shared" si="113"/>
        <v>95.604395604395606</v>
      </c>
      <c r="CO111" s="316">
        <f t="shared" si="87"/>
        <v>95.604395604395606</v>
      </c>
      <c r="CP111" s="381">
        <f t="shared" si="88"/>
        <v>9.5700000000000007E-2</v>
      </c>
      <c r="CQ111" s="381">
        <f t="shared" si="89"/>
        <v>9.5700000000000007E-2</v>
      </c>
      <c r="CR111" s="313">
        <v>30000000</v>
      </c>
      <c r="CS111" s="313">
        <v>30000000</v>
      </c>
      <c r="CT111" s="313">
        <v>0</v>
      </c>
      <c r="CU111" s="313">
        <v>0</v>
      </c>
      <c r="CV111" s="313">
        <v>0</v>
      </c>
      <c r="CW111" s="313">
        <v>0</v>
      </c>
      <c r="CX111" s="313">
        <v>0</v>
      </c>
      <c r="CY111" s="313">
        <v>0</v>
      </c>
      <c r="CZ111" s="380">
        <v>0</v>
      </c>
      <c r="DA111" s="380">
        <v>0</v>
      </c>
      <c r="DB111" s="380">
        <v>0</v>
      </c>
      <c r="DC111" s="380">
        <v>0</v>
      </c>
      <c r="DD111" s="380">
        <v>0</v>
      </c>
      <c r="DE111" s="380">
        <v>0</v>
      </c>
      <c r="DF111" s="380">
        <v>0</v>
      </c>
      <c r="DG111" s="380">
        <v>0</v>
      </c>
      <c r="DH111" s="380">
        <v>0</v>
      </c>
      <c r="DI111" s="380">
        <v>0</v>
      </c>
      <c r="DJ111" s="380">
        <v>0</v>
      </c>
      <c r="DK111" s="702">
        <f t="shared" si="114"/>
        <v>156</v>
      </c>
      <c r="DL111" s="311">
        <f t="shared" si="91"/>
        <v>0.16500000000000001</v>
      </c>
      <c r="DM111" s="310">
        <f t="shared" si="92"/>
        <v>104</v>
      </c>
      <c r="DN111" s="356">
        <f t="shared" si="93"/>
        <v>100</v>
      </c>
      <c r="DO111" s="308">
        <f t="shared" si="94"/>
        <v>0.16500000000000001</v>
      </c>
      <c r="DP111" s="359">
        <f t="shared" ref="DP111:DP117" si="116">+IF(((DN111*Q111)/100)&lt;Q111, ((DN111*Q111)/100),Q111)</f>
        <v>0.16500000000000001</v>
      </c>
      <c r="DQ111" s="306">
        <f t="shared" si="95"/>
        <v>0.16500000000000001</v>
      </c>
      <c r="DR111" s="379">
        <f t="shared" si="96"/>
        <v>1</v>
      </c>
      <c r="DS111" s="378">
        <f t="shared" si="97"/>
        <v>0</v>
      </c>
      <c r="DT111" s="173">
        <v>117</v>
      </c>
      <c r="DU111" s="174" t="s">
        <v>126</v>
      </c>
      <c r="DV111" s="173">
        <v>118</v>
      </c>
      <c r="DW111" s="174" t="s">
        <v>319</v>
      </c>
      <c r="DX111" s="173">
        <v>119</v>
      </c>
      <c r="DY111" s="173"/>
      <c r="DZ111" s="173"/>
      <c r="EA111" s="665"/>
      <c r="EB111" s="1254" t="s">
        <v>3226</v>
      </c>
      <c r="EC111" s="537">
        <v>0</v>
      </c>
      <c r="EE111" s="734">
        <v>1</v>
      </c>
      <c r="EF111" s="706"/>
    </row>
    <row r="112" spans="4:136" s="302" customFormat="1" ht="60" hidden="1">
      <c r="D112" s="520">
        <v>109</v>
      </c>
      <c r="E112" s="534">
        <v>142</v>
      </c>
      <c r="F112" s="523" t="s">
        <v>43</v>
      </c>
      <c r="G112" s="523" t="s">
        <v>7</v>
      </c>
      <c r="H112" s="524" t="s">
        <v>2654</v>
      </c>
      <c r="I112" s="462" t="s">
        <v>207</v>
      </c>
      <c r="J112" s="335" t="s">
        <v>387</v>
      </c>
      <c r="K112" s="335" t="s">
        <v>388</v>
      </c>
      <c r="L112" s="454" t="s">
        <v>1994</v>
      </c>
      <c r="M112" s="333" t="s">
        <v>1771</v>
      </c>
      <c r="N112" s="333">
        <v>0</v>
      </c>
      <c r="O112" s="333">
        <f t="shared" si="115"/>
        <v>40</v>
      </c>
      <c r="P112" s="332">
        <v>40</v>
      </c>
      <c r="Q112" s="390">
        <v>0.16500000000000001</v>
      </c>
      <c r="R112" s="342">
        <f t="shared" si="61"/>
        <v>2.0625000000000001E-2</v>
      </c>
      <c r="S112" s="459">
        <v>5</v>
      </c>
      <c r="T112" s="387">
        <f t="shared" si="101"/>
        <v>0.125</v>
      </c>
      <c r="U112" s="670">
        <v>5</v>
      </c>
      <c r="V112" s="388">
        <f t="shared" si="102"/>
        <v>5</v>
      </c>
      <c r="W112" s="356">
        <f t="shared" si="103"/>
        <v>100</v>
      </c>
      <c r="X112" s="356">
        <f t="shared" si="65"/>
        <v>100</v>
      </c>
      <c r="Y112" s="356">
        <f t="shared" si="98"/>
        <v>2.0625000000000001E-2</v>
      </c>
      <c r="Z112" s="356">
        <f t="shared" si="66"/>
        <v>100</v>
      </c>
      <c r="AA112" s="313">
        <v>144000000</v>
      </c>
      <c r="AB112" s="313">
        <v>144000000</v>
      </c>
      <c r="AC112" s="313">
        <v>0</v>
      </c>
      <c r="AD112" s="313">
        <v>0</v>
      </c>
      <c r="AE112" s="313">
        <v>0</v>
      </c>
      <c r="AF112" s="313">
        <v>0</v>
      </c>
      <c r="AG112" s="313">
        <v>0</v>
      </c>
      <c r="AH112" s="313">
        <v>0</v>
      </c>
      <c r="AI112" s="313">
        <v>56000000</v>
      </c>
      <c r="AJ112" s="313">
        <v>56000000</v>
      </c>
      <c r="AK112" s="313">
        <v>0</v>
      </c>
      <c r="AL112" s="313">
        <v>0</v>
      </c>
      <c r="AM112" s="313">
        <v>0</v>
      </c>
      <c r="AN112" s="313">
        <v>0</v>
      </c>
      <c r="AO112" s="313">
        <v>0</v>
      </c>
      <c r="AP112" s="313">
        <v>0</v>
      </c>
      <c r="AQ112" s="313">
        <v>0</v>
      </c>
      <c r="AR112" s="313">
        <v>26975000</v>
      </c>
      <c r="AS112" s="313" t="s">
        <v>1993</v>
      </c>
      <c r="AT112" s="333">
        <f t="shared" si="67"/>
        <v>4.1250000000000002E-2</v>
      </c>
      <c r="AU112" s="333">
        <v>10</v>
      </c>
      <c r="AV112" s="387">
        <f t="shared" si="104"/>
        <v>0.25</v>
      </c>
      <c r="AW112" s="677">
        <v>10</v>
      </c>
      <c r="AX112" s="474">
        <f t="shared" si="105"/>
        <v>10</v>
      </c>
      <c r="AY112" s="474">
        <f t="shared" si="106"/>
        <v>100</v>
      </c>
      <c r="AZ112" s="474">
        <f t="shared" si="71"/>
        <v>100</v>
      </c>
      <c r="BA112" s="356">
        <f t="shared" si="72"/>
        <v>4.1250000000000002E-2</v>
      </c>
      <c r="BB112" s="356">
        <f t="shared" si="73"/>
        <v>100</v>
      </c>
      <c r="BC112" s="313">
        <v>5000000</v>
      </c>
      <c r="BD112" s="313">
        <v>0</v>
      </c>
      <c r="BE112" s="313">
        <v>5000000</v>
      </c>
      <c r="BF112" s="313">
        <v>0</v>
      </c>
      <c r="BG112" s="313">
        <v>0</v>
      </c>
      <c r="BH112" s="313">
        <v>0</v>
      </c>
      <c r="BI112" s="313">
        <v>0</v>
      </c>
      <c r="BJ112" s="313">
        <v>0</v>
      </c>
      <c r="BK112" s="473">
        <v>56000000</v>
      </c>
      <c r="BL112" s="472">
        <v>56000000</v>
      </c>
      <c r="BM112" s="472">
        <v>0</v>
      </c>
      <c r="BN112" s="472">
        <v>0</v>
      </c>
      <c r="BO112" s="472">
        <v>0</v>
      </c>
      <c r="BP112" s="472">
        <v>0</v>
      </c>
      <c r="BQ112" s="472">
        <v>0</v>
      </c>
      <c r="BR112" s="472">
        <v>0</v>
      </c>
      <c r="BS112" s="472">
        <v>0</v>
      </c>
      <c r="BT112" s="472">
        <v>0</v>
      </c>
      <c r="BU112" s="472">
        <v>0</v>
      </c>
      <c r="BV112" s="342">
        <f t="shared" si="74"/>
        <v>6.1874999999999999E-2</v>
      </c>
      <c r="BW112" s="350">
        <v>15</v>
      </c>
      <c r="BX112" s="385">
        <f t="shared" si="107"/>
        <v>0.375</v>
      </c>
      <c r="BY112" s="399">
        <v>0</v>
      </c>
      <c r="BZ112" s="398">
        <v>11</v>
      </c>
      <c r="CA112" s="690">
        <v>15</v>
      </c>
      <c r="CB112" s="471">
        <f t="shared" si="108"/>
        <v>15</v>
      </c>
      <c r="CC112" s="471">
        <f t="shared" si="109"/>
        <v>100</v>
      </c>
      <c r="CD112" s="470">
        <f t="shared" si="78"/>
        <v>100</v>
      </c>
      <c r="CE112" s="380">
        <f t="shared" si="79"/>
        <v>6.1874999999999999E-2</v>
      </c>
      <c r="CF112" s="469">
        <f t="shared" si="80"/>
        <v>100</v>
      </c>
      <c r="CG112" s="380">
        <f t="shared" si="81"/>
        <v>6.1874999999999999E-2</v>
      </c>
      <c r="CH112" s="468">
        <f t="shared" si="82"/>
        <v>4.1250000000000002E-2</v>
      </c>
      <c r="CI112" s="319">
        <v>10</v>
      </c>
      <c r="CJ112" s="318">
        <f t="shared" si="110"/>
        <v>0.25</v>
      </c>
      <c r="CK112" s="1259">
        <v>9</v>
      </c>
      <c r="CL112" s="301">
        <f t="shared" si="111"/>
        <v>1</v>
      </c>
      <c r="CM112" s="381">
        <f t="shared" si="112"/>
        <v>9</v>
      </c>
      <c r="CN112" s="381">
        <f t="shared" si="113"/>
        <v>90</v>
      </c>
      <c r="CO112" s="316">
        <f t="shared" si="87"/>
        <v>90</v>
      </c>
      <c r="CP112" s="381">
        <f t="shared" si="88"/>
        <v>3.7125000000000005E-2</v>
      </c>
      <c r="CQ112" s="381">
        <f t="shared" si="89"/>
        <v>3.7125000000000005E-2</v>
      </c>
      <c r="CR112" s="313">
        <v>12000000</v>
      </c>
      <c r="CS112" s="313">
        <v>12000000</v>
      </c>
      <c r="CT112" s="313">
        <v>0</v>
      </c>
      <c r="CU112" s="313">
        <v>0</v>
      </c>
      <c r="CV112" s="313">
        <v>0</v>
      </c>
      <c r="CW112" s="313">
        <v>0</v>
      </c>
      <c r="CX112" s="313">
        <v>0</v>
      </c>
      <c r="CY112" s="313">
        <v>0</v>
      </c>
      <c r="CZ112" s="380">
        <v>0</v>
      </c>
      <c r="DA112" s="380">
        <v>0</v>
      </c>
      <c r="DB112" s="380">
        <v>0</v>
      </c>
      <c r="DC112" s="380">
        <v>0</v>
      </c>
      <c r="DD112" s="380">
        <v>0</v>
      </c>
      <c r="DE112" s="380">
        <v>0</v>
      </c>
      <c r="DF112" s="380">
        <v>0</v>
      </c>
      <c r="DG112" s="380">
        <v>0</v>
      </c>
      <c r="DH112" s="380">
        <v>0</v>
      </c>
      <c r="DI112" s="380">
        <v>0</v>
      </c>
      <c r="DJ112" s="380">
        <v>0</v>
      </c>
      <c r="DK112" s="702">
        <f t="shared" si="114"/>
        <v>39</v>
      </c>
      <c r="DL112" s="311">
        <f t="shared" si="91"/>
        <v>0.16500000000000001</v>
      </c>
      <c r="DM112" s="310">
        <f t="shared" si="92"/>
        <v>97.5</v>
      </c>
      <c r="DN112" s="356">
        <f t="shared" si="93"/>
        <v>97.5</v>
      </c>
      <c r="DO112" s="308">
        <f t="shared" si="94"/>
        <v>0.16087500000000002</v>
      </c>
      <c r="DP112" s="359">
        <f t="shared" si="116"/>
        <v>0.16087500000000002</v>
      </c>
      <c r="DQ112" s="306">
        <f t="shared" si="95"/>
        <v>0.16087500000000002</v>
      </c>
      <c r="DR112" s="379">
        <f t="shared" si="96"/>
        <v>1</v>
      </c>
      <c r="DS112" s="378">
        <f t="shared" si="97"/>
        <v>0</v>
      </c>
      <c r="DT112" s="173">
        <v>118</v>
      </c>
      <c r="DU112" s="174" t="s">
        <v>319</v>
      </c>
      <c r="DV112" s="173"/>
      <c r="DW112" s="174" t="s">
        <v>84</v>
      </c>
      <c r="DX112" s="173"/>
      <c r="DY112" s="173"/>
      <c r="DZ112" s="173"/>
      <c r="EA112" s="665"/>
      <c r="EB112" s="1254" t="s">
        <v>2446</v>
      </c>
      <c r="EC112" s="537">
        <v>300000000</v>
      </c>
      <c r="EE112" s="734">
        <v>80</v>
      </c>
      <c r="EF112" s="706"/>
    </row>
    <row r="113" spans="4:136" s="302" customFormat="1" ht="132" hidden="1">
      <c r="D113" s="520">
        <v>110</v>
      </c>
      <c r="E113" s="534">
        <v>143</v>
      </c>
      <c r="F113" s="523" t="s">
        <v>43</v>
      </c>
      <c r="G113" s="523" t="s">
        <v>7</v>
      </c>
      <c r="H113" s="524" t="s">
        <v>2654</v>
      </c>
      <c r="I113" s="462" t="s">
        <v>207</v>
      </c>
      <c r="J113" s="335" t="s">
        <v>389</v>
      </c>
      <c r="K113" s="335" t="s">
        <v>390</v>
      </c>
      <c r="L113" s="454" t="s">
        <v>1415</v>
      </c>
      <c r="M113" s="333" t="s">
        <v>1771</v>
      </c>
      <c r="N113" s="333">
        <v>0</v>
      </c>
      <c r="O113" s="333">
        <f t="shared" si="115"/>
        <v>107</v>
      </c>
      <c r="P113" s="332">
        <v>107</v>
      </c>
      <c r="Q113" s="390">
        <v>0.16500000000000001</v>
      </c>
      <c r="R113" s="342">
        <f t="shared" si="61"/>
        <v>3.8551401869158883E-2</v>
      </c>
      <c r="S113" s="459">
        <v>25</v>
      </c>
      <c r="T113" s="387">
        <f t="shared" si="101"/>
        <v>0.23364485981308411</v>
      </c>
      <c r="U113" s="670">
        <v>0</v>
      </c>
      <c r="V113" s="388">
        <f t="shared" si="102"/>
        <v>0</v>
      </c>
      <c r="W113" s="356">
        <f t="shared" si="103"/>
        <v>0</v>
      </c>
      <c r="X113" s="356">
        <f t="shared" si="65"/>
        <v>0</v>
      </c>
      <c r="Y113" s="356">
        <f t="shared" si="98"/>
        <v>0</v>
      </c>
      <c r="Z113" s="356">
        <f t="shared" si="66"/>
        <v>0</v>
      </c>
      <c r="AA113" s="313">
        <v>30000000</v>
      </c>
      <c r="AB113" s="313">
        <v>30000000</v>
      </c>
      <c r="AC113" s="313">
        <v>0</v>
      </c>
      <c r="AD113" s="313">
        <v>0</v>
      </c>
      <c r="AE113" s="313">
        <v>0</v>
      </c>
      <c r="AF113" s="313">
        <v>0</v>
      </c>
      <c r="AG113" s="313">
        <v>0</v>
      </c>
      <c r="AH113" s="313">
        <v>0</v>
      </c>
      <c r="AI113" s="313">
        <v>12500000</v>
      </c>
      <c r="AJ113" s="313">
        <v>12500000</v>
      </c>
      <c r="AK113" s="313">
        <v>0</v>
      </c>
      <c r="AL113" s="313">
        <v>0</v>
      </c>
      <c r="AM113" s="313">
        <v>0</v>
      </c>
      <c r="AN113" s="313">
        <v>0</v>
      </c>
      <c r="AO113" s="313">
        <v>0</v>
      </c>
      <c r="AP113" s="313">
        <v>0</v>
      </c>
      <c r="AQ113" s="313">
        <v>0</v>
      </c>
      <c r="AR113" s="313">
        <v>0</v>
      </c>
      <c r="AS113" s="313">
        <v>0</v>
      </c>
      <c r="AT113" s="333">
        <f t="shared" si="67"/>
        <v>3.8551401869158883E-2</v>
      </c>
      <c r="AU113" s="333">
        <v>25</v>
      </c>
      <c r="AV113" s="387">
        <f t="shared" si="104"/>
        <v>0.23364485981308411</v>
      </c>
      <c r="AW113" s="677">
        <v>70</v>
      </c>
      <c r="AX113" s="474">
        <f t="shared" si="105"/>
        <v>70</v>
      </c>
      <c r="AY113" s="474">
        <f t="shared" si="106"/>
        <v>280</v>
      </c>
      <c r="AZ113" s="474">
        <f t="shared" si="71"/>
        <v>100</v>
      </c>
      <c r="BA113" s="356">
        <f t="shared" si="72"/>
        <v>3.8551401869158883E-2</v>
      </c>
      <c r="BB113" s="356">
        <f t="shared" si="73"/>
        <v>100</v>
      </c>
      <c r="BC113" s="313">
        <v>7000000</v>
      </c>
      <c r="BD113" s="313">
        <v>0</v>
      </c>
      <c r="BE113" s="313">
        <v>7000000</v>
      </c>
      <c r="BF113" s="313">
        <v>0</v>
      </c>
      <c r="BG113" s="313">
        <v>0</v>
      </c>
      <c r="BH113" s="313">
        <v>0</v>
      </c>
      <c r="BI113" s="313">
        <v>0</v>
      </c>
      <c r="BJ113" s="313">
        <v>0</v>
      </c>
      <c r="BK113" s="473">
        <v>35500000</v>
      </c>
      <c r="BL113" s="472">
        <v>35500000</v>
      </c>
      <c r="BM113" s="472">
        <v>0</v>
      </c>
      <c r="BN113" s="472">
        <v>0</v>
      </c>
      <c r="BO113" s="472">
        <v>0</v>
      </c>
      <c r="BP113" s="472">
        <v>0</v>
      </c>
      <c r="BQ113" s="472">
        <v>0</v>
      </c>
      <c r="BR113" s="472">
        <v>0</v>
      </c>
      <c r="BS113" s="472">
        <v>0</v>
      </c>
      <c r="BT113" s="472">
        <v>0</v>
      </c>
      <c r="BU113" s="472">
        <v>0</v>
      </c>
      <c r="BV113" s="342">
        <f t="shared" si="74"/>
        <v>7.7102803738317766E-2</v>
      </c>
      <c r="BW113" s="350">
        <v>50</v>
      </c>
      <c r="BX113" s="385">
        <f t="shared" si="107"/>
        <v>0.46728971962616822</v>
      </c>
      <c r="BY113" s="399">
        <v>5</v>
      </c>
      <c r="BZ113" s="398">
        <v>30</v>
      </c>
      <c r="CA113" s="690">
        <v>37</v>
      </c>
      <c r="CB113" s="471">
        <f t="shared" si="108"/>
        <v>37</v>
      </c>
      <c r="CC113" s="471">
        <f t="shared" si="109"/>
        <v>74</v>
      </c>
      <c r="CD113" s="470">
        <f t="shared" si="78"/>
        <v>74</v>
      </c>
      <c r="CE113" s="380">
        <f t="shared" si="79"/>
        <v>5.7056074766355144E-2</v>
      </c>
      <c r="CF113" s="469">
        <f t="shared" si="80"/>
        <v>74</v>
      </c>
      <c r="CG113" s="380">
        <f t="shared" si="81"/>
        <v>5.7056074766355144E-2</v>
      </c>
      <c r="CH113" s="468">
        <f t="shared" si="82"/>
        <v>1.0794392523364485E-2</v>
      </c>
      <c r="CI113" s="319">
        <v>7</v>
      </c>
      <c r="CJ113" s="318">
        <f t="shared" si="110"/>
        <v>6.5420560747663545E-2</v>
      </c>
      <c r="CK113" s="1258">
        <v>0</v>
      </c>
      <c r="CL113" s="301">
        <f t="shared" si="111"/>
        <v>7</v>
      </c>
      <c r="CM113" s="381">
        <f t="shared" si="112"/>
        <v>0</v>
      </c>
      <c r="CN113" s="381">
        <f t="shared" si="113"/>
        <v>0</v>
      </c>
      <c r="CO113" s="316">
        <f t="shared" si="87"/>
        <v>0</v>
      </c>
      <c r="CP113" s="381">
        <f t="shared" si="88"/>
        <v>0</v>
      </c>
      <c r="CQ113" s="381">
        <f t="shared" si="89"/>
        <v>0</v>
      </c>
      <c r="CR113" s="313">
        <v>15000000</v>
      </c>
      <c r="CS113" s="313">
        <v>15000000</v>
      </c>
      <c r="CT113" s="313">
        <v>0</v>
      </c>
      <c r="CU113" s="313">
        <v>0</v>
      </c>
      <c r="CV113" s="313">
        <v>0</v>
      </c>
      <c r="CW113" s="313">
        <v>0</v>
      </c>
      <c r="CX113" s="313">
        <v>0</v>
      </c>
      <c r="CY113" s="313">
        <v>0</v>
      </c>
      <c r="CZ113" s="380">
        <v>0</v>
      </c>
      <c r="DA113" s="380">
        <v>0</v>
      </c>
      <c r="DB113" s="380">
        <v>0</v>
      </c>
      <c r="DC113" s="380">
        <v>0</v>
      </c>
      <c r="DD113" s="380">
        <v>0</v>
      </c>
      <c r="DE113" s="380">
        <v>0</v>
      </c>
      <c r="DF113" s="380">
        <v>0</v>
      </c>
      <c r="DG113" s="380">
        <v>0</v>
      </c>
      <c r="DH113" s="380">
        <v>0</v>
      </c>
      <c r="DI113" s="380">
        <v>0</v>
      </c>
      <c r="DJ113" s="380">
        <v>0</v>
      </c>
      <c r="DK113" s="702">
        <f t="shared" si="114"/>
        <v>107</v>
      </c>
      <c r="DL113" s="311">
        <f t="shared" si="91"/>
        <v>0.16500000000000001</v>
      </c>
      <c r="DM113" s="310">
        <f t="shared" si="92"/>
        <v>100</v>
      </c>
      <c r="DN113" s="356">
        <f t="shared" si="93"/>
        <v>100</v>
      </c>
      <c r="DO113" s="308">
        <f t="shared" si="94"/>
        <v>0.16500000000000001</v>
      </c>
      <c r="DP113" s="359">
        <f t="shared" si="116"/>
        <v>0.16500000000000001</v>
      </c>
      <c r="DQ113" s="306">
        <f t="shared" si="95"/>
        <v>0.16500000000000001</v>
      </c>
      <c r="DR113" s="379">
        <f t="shared" si="96"/>
        <v>1</v>
      </c>
      <c r="DS113" s="378">
        <f t="shared" si="97"/>
        <v>0</v>
      </c>
      <c r="DT113" s="173">
        <v>117</v>
      </c>
      <c r="DU113" s="174" t="s">
        <v>126</v>
      </c>
      <c r="DV113" s="173">
        <v>118</v>
      </c>
      <c r="DW113" s="174" t="s">
        <v>319</v>
      </c>
      <c r="DX113" s="173">
        <v>119</v>
      </c>
      <c r="DY113" s="173"/>
      <c r="DZ113" s="173"/>
      <c r="EA113" s="665"/>
      <c r="EB113" s="1254" t="s">
        <v>2447</v>
      </c>
      <c r="EC113" s="537">
        <v>105000000</v>
      </c>
      <c r="EE113" s="733">
        <v>30</v>
      </c>
      <c r="EF113" s="706"/>
    </row>
    <row r="114" spans="4:136" s="302" customFormat="1" ht="25.5" hidden="1">
      <c r="D114" s="520">
        <v>111</v>
      </c>
      <c r="E114" s="534">
        <v>144</v>
      </c>
      <c r="F114" s="336" t="s">
        <v>43</v>
      </c>
      <c r="G114" s="336" t="s">
        <v>7</v>
      </c>
      <c r="H114" s="336" t="s">
        <v>2654</v>
      </c>
      <c r="I114" s="336" t="s">
        <v>207</v>
      </c>
      <c r="J114" s="335" t="s">
        <v>1263</v>
      </c>
      <c r="K114" s="335" t="s">
        <v>1318</v>
      </c>
      <c r="L114" s="454" t="s">
        <v>1992</v>
      </c>
      <c r="M114" s="333" t="s">
        <v>1771</v>
      </c>
      <c r="N114" s="333">
        <v>0</v>
      </c>
      <c r="O114" s="333">
        <f t="shared" si="115"/>
        <v>58</v>
      </c>
      <c r="P114" s="332">
        <v>58</v>
      </c>
      <c r="Q114" s="393">
        <v>0.16500000000000001</v>
      </c>
      <c r="R114" s="342">
        <f t="shared" si="61"/>
        <v>0</v>
      </c>
      <c r="S114" s="459">
        <v>0</v>
      </c>
      <c r="T114" s="387">
        <f t="shared" si="101"/>
        <v>0</v>
      </c>
      <c r="U114" s="670">
        <v>0</v>
      </c>
      <c r="V114" s="388">
        <f t="shared" si="102"/>
        <v>0</v>
      </c>
      <c r="W114" s="356">
        <f t="shared" si="103"/>
        <v>0</v>
      </c>
      <c r="X114" s="356">
        <f t="shared" si="65"/>
        <v>0</v>
      </c>
      <c r="Y114" s="356">
        <f t="shared" si="98"/>
        <v>0</v>
      </c>
      <c r="Z114" s="356">
        <f t="shared" si="66"/>
        <v>0</v>
      </c>
      <c r="AA114" s="313">
        <v>0</v>
      </c>
      <c r="AB114" s="313">
        <v>0</v>
      </c>
      <c r="AC114" s="313">
        <v>0</v>
      </c>
      <c r="AD114" s="313">
        <v>0</v>
      </c>
      <c r="AE114" s="313">
        <v>0</v>
      </c>
      <c r="AF114" s="313">
        <v>0</v>
      </c>
      <c r="AG114" s="313">
        <v>0</v>
      </c>
      <c r="AH114" s="313">
        <v>0</v>
      </c>
      <c r="AI114" s="313">
        <v>0</v>
      </c>
      <c r="AJ114" s="313">
        <v>0</v>
      </c>
      <c r="AK114" s="313">
        <v>0</v>
      </c>
      <c r="AL114" s="313">
        <v>0</v>
      </c>
      <c r="AM114" s="313">
        <v>0</v>
      </c>
      <c r="AN114" s="313">
        <v>0</v>
      </c>
      <c r="AO114" s="313">
        <v>0</v>
      </c>
      <c r="AP114" s="313">
        <v>0</v>
      </c>
      <c r="AQ114" s="313">
        <v>0</v>
      </c>
      <c r="AR114" s="313">
        <v>0</v>
      </c>
      <c r="AS114" s="313">
        <v>0</v>
      </c>
      <c r="AT114" s="392">
        <f t="shared" si="67"/>
        <v>0</v>
      </c>
      <c r="AU114" s="333">
        <v>0</v>
      </c>
      <c r="AV114" s="387">
        <f t="shared" si="104"/>
        <v>0</v>
      </c>
      <c r="AW114" s="677">
        <v>0</v>
      </c>
      <c r="AX114" s="474">
        <f t="shared" si="105"/>
        <v>0</v>
      </c>
      <c r="AY114" s="474">
        <f t="shared" si="106"/>
        <v>0</v>
      </c>
      <c r="AZ114" s="474">
        <f t="shared" si="71"/>
        <v>0</v>
      </c>
      <c r="BA114" s="356">
        <f t="shared" si="72"/>
        <v>0</v>
      </c>
      <c r="BB114" s="356">
        <f t="shared" si="73"/>
        <v>0</v>
      </c>
      <c r="BC114" s="313">
        <v>0</v>
      </c>
      <c r="BD114" s="313">
        <v>0</v>
      </c>
      <c r="BE114" s="313">
        <v>0</v>
      </c>
      <c r="BF114" s="313">
        <v>0</v>
      </c>
      <c r="BG114" s="313">
        <v>0</v>
      </c>
      <c r="BH114" s="313">
        <v>0</v>
      </c>
      <c r="BI114" s="313">
        <v>0</v>
      </c>
      <c r="BJ114" s="313">
        <v>0</v>
      </c>
      <c r="BK114" s="473">
        <v>0</v>
      </c>
      <c r="BL114" s="472">
        <v>0</v>
      </c>
      <c r="BM114" s="472">
        <v>0</v>
      </c>
      <c r="BN114" s="472">
        <v>0</v>
      </c>
      <c r="BO114" s="472">
        <v>0</v>
      </c>
      <c r="BP114" s="472">
        <v>0</v>
      </c>
      <c r="BQ114" s="472">
        <v>0</v>
      </c>
      <c r="BR114" s="472">
        <v>0</v>
      </c>
      <c r="BS114" s="472">
        <v>0</v>
      </c>
      <c r="BT114" s="472">
        <v>0</v>
      </c>
      <c r="BU114" s="472">
        <v>0</v>
      </c>
      <c r="BV114" s="342">
        <f t="shared" si="74"/>
        <v>2.844827586206897E-2</v>
      </c>
      <c r="BW114" s="350">
        <v>10</v>
      </c>
      <c r="BX114" s="385">
        <f t="shared" si="107"/>
        <v>0.17241379310344829</v>
      </c>
      <c r="BY114" s="399">
        <v>0</v>
      </c>
      <c r="BZ114" s="398">
        <v>0</v>
      </c>
      <c r="CA114" s="690">
        <v>0</v>
      </c>
      <c r="CB114" s="471">
        <f t="shared" si="108"/>
        <v>0</v>
      </c>
      <c r="CC114" s="471">
        <f t="shared" si="109"/>
        <v>0</v>
      </c>
      <c r="CD114" s="470">
        <f t="shared" si="78"/>
        <v>0</v>
      </c>
      <c r="CE114" s="380">
        <f t="shared" si="79"/>
        <v>0</v>
      </c>
      <c r="CF114" s="469">
        <f t="shared" si="80"/>
        <v>0</v>
      </c>
      <c r="CG114" s="380">
        <f t="shared" si="81"/>
        <v>0</v>
      </c>
      <c r="CH114" s="468">
        <f t="shared" si="82"/>
        <v>0.13655172413793104</v>
      </c>
      <c r="CI114" s="319">
        <v>48</v>
      </c>
      <c r="CJ114" s="318">
        <f t="shared" si="110"/>
        <v>0.82758620689655171</v>
      </c>
      <c r="CK114" s="1259">
        <v>30</v>
      </c>
      <c r="CL114" s="301">
        <f t="shared" si="111"/>
        <v>18</v>
      </c>
      <c r="CM114" s="381">
        <f t="shared" si="112"/>
        <v>30</v>
      </c>
      <c r="CN114" s="381">
        <f t="shared" si="113"/>
        <v>62.5</v>
      </c>
      <c r="CO114" s="316">
        <f t="shared" si="87"/>
        <v>62.5</v>
      </c>
      <c r="CP114" s="381">
        <f t="shared" si="88"/>
        <v>8.5344827586206901E-2</v>
      </c>
      <c r="CQ114" s="381">
        <f t="shared" si="89"/>
        <v>8.5344827586206901E-2</v>
      </c>
      <c r="CR114" s="313">
        <v>0</v>
      </c>
      <c r="CS114" s="313">
        <v>0</v>
      </c>
      <c r="CT114" s="313">
        <v>0</v>
      </c>
      <c r="CU114" s="313">
        <v>0</v>
      </c>
      <c r="CV114" s="313">
        <v>0</v>
      </c>
      <c r="CW114" s="313">
        <v>0</v>
      </c>
      <c r="CX114" s="313">
        <v>0</v>
      </c>
      <c r="CY114" s="313">
        <v>0</v>
      </c>
      <c r="CZ114" s="380">
        <v>0</v>
      </c>
      <c r="DA114" s="380">
        <v>0</v>
      </c>
      <c r="DB114" s="380">
        <v>0</v>
      </c>
      <c r="DC114" s="380">
        <v>0</v>
      </c>
      <c r="DD114" s="380">
        <v>0</v>
      </c>
      <c r="DE114" s="380">
        <v>0</v>
      </c>
      <c r="DF114" s="380">
        <v>0</v>
      </c>
      <c r="DG114" s="380">
        <v>0</v>
      </c>
      <c r="DH114" s="380">
        <v>0</v>
      </c>
      <c r="DI114" s="380">
        <v>0</v>
      </c>
      <c r="DJ114" s="380">
        <v>0</v>
      </c>
      <c r="DK114" s="702">
        <f t="shared" si="114"/>
        <v>30</v>
      </c>
      <c r="DL114" s="311">
        <f t="shared" si="91"/>
        <v>0.16500000000000001</v>
      </c>
      <c r="DM114" s="310">
        <f t="shared" si="92"/>
        <v>51.724137931034484</v>
      </c>
      <c r="DN114" s="356">
        <f t="shared" si="93"/>
        <v>51.724137931034484</v>
      </c>
      <c r="DO114" s="308">
        <f t="shared" si="94"/>
        <v>8.5344827586206901E-2</v>
      </c>
      <c r="DP114" s="359">
        <f t="shared" si="116"/>
        <v>8.5344827586206901E-2</v>
      </c>
      <c r="DQ114" s="306">
        <f t="shared" si="95"/>
        <v>8.5344827586206901E-2</v>
      </c>
      <c r="DR114" s="379">
        <f t="shared" si="96"/>
        <v>1</v>
      </c>
      <c r="DS114" s="378">
        <f t="shared" si="97"/>
        <v>0</v>
      </c>
      <c r="DT114" s="173">
        <v>119</v>
      </c>
      <c r="DU114" s="174" t="s">
        <v>125</v>
      </c>
      <c r="DV114" s="173"/>
      <c r="DW114" s="174" t="s">
        <v>84</v>
      </c>
      <c r="DX114" s="173"/>
      <c r="DY114" s="173"/>
      <c r="DZ114" s="173"/>
      <c r="EA114" s="665"/>
      <c r="EB114" s="1254" t="s">
        <v>3227</v>
      </c>
      <c r="EC114" s="537">
        <v>45000000</v>
      </c>
      <c r="EE114" s="734">
        <v>0</v>
      </c>
      <c r="EF114" s="706"/>
    </row>
    <row r="115" spans="4:136" s="302" customFormat="1" ht="132" hidden="1">
      <c r="D115" s="520">
        <v>112</v>
      </c>
      <c r="E115" s="534">
        <v>145</v>
      </c>
      <c r="F115" s="523" t="s">
        <v>43</v>
      </c>
      <c r="G115" s="523" t="s">
        <v>7</v>
      </c>
      <c r="H115" s="524" t="s">
        <v>2654</v>
      </c>
      <c r="I115" s="462" t="s">
        <v>207</v>
      </c>
      <c r="J115" s="335" t="s">
        <v>391</v>
      </c>
      <c r="K115" s="335" t="s">
        <v>392</v>
      </c>
      <c r="L115" s="454" t="s">
        <v>1991</v>
      </c>
      <c r="M115" s="333" t="s">
        <v>1771</v>
      </c>
      <c r="N115" s="333">
        <v>0</v>
      </c>
      <c r="O115" s="333">
        <f t="shared" si="115"/>
        <v>5</v>
      </c>
      <c r="P115" s="332">
        <v>5</v>
      </c>
      <c r="Q115" s="390">
        <v>0.16500000000000001</v>
      </c>
      <c r="R115" s="342">
        <f t="shared" si="61"/>
        <v>3.3000000000000002E-2</v>
      </c>
      <c r="S115" s="459">
        <v>1</v>
      </c>
      <c r="T115" s="387">
        <f t="shared" si="101"/>
        <v>0.2</v>
      </c>
      <c r="U115" s="670">
        <v>1</v>
      </c>
      <c r="V115" s="388">
        <f t="shared" si="102"/>
        <v>1</v>
      </c>
      <c r="W115" s="356">
        <f t="shared" si="103"/>
        <v>100</v>
      </c>
      <c r="X115" s="356">
        <f t="shared" si="65"/>
        <v>100</v>
      </c>
      <c r="Y115" s="356">
        <f t="shared" si="98"/>
        <v>3.3000000000000002E-2</v>
      </c>
      <c r="Z115" s="356">
        <f t="shared" si="66"/>
        <v>100</v>
      </c>
      <c r="AA115" s="313">
        <v>3000000</v>
      </c>
      <c r="AB115" s="313">
        <v>3000000</v>
      </c>
      <c r="AC115" s="313">
        <v>0</v>
      </c>
      <c r="AD115" s="313">
        <v>0</v>
      </c>
      <c r="AE115" s="313">
        <v>0</v>
      </c>
      <c r="AF115" s="313">
        <v>0</v>
      </c>
      <c r="AG115" s="313">
        <v>0</v>
      </c>
      <c r="AH115" s="313">
        <v>0</v>
      </c>
      <c r="AI115" s="313">
        <v>1500000</v>
      </c>
      <c r="AJ115" s="313">
        <v>1500000</v>
      </c>
      <c r="AK115" s="313">
        <v>0</v>
      </c>
      <c r="AL115" s="313">
        <v>0</v>
      </c>
      <c r="AM115" s="313">
        <v>0</v>
      </c>
      <c r="AN115" s="313">
        <v>0</v>
      </c>
      <c r="AO115" s="313">
        <v>0</v>
      </c>
      <c r="AP115" s="313">
        <v>0</v>
      </c>
      <c r="AQ115" s="313">
        <v>0</v>
      </c>
      <c r="AR115" s="313">
        <v>0</v>
      </c>
      <c r="AS115" s="313">
        <v>0</v>
      </c>
      <c r="AT115" s="333">
        <f t="shared" si="67"/>
        <v>3.3000000000000002E-2</v>
      </c>
      <c r="AU115" s="333">
        <v>1</v>
      </c>
      <c r="AV115" s="387">
        <f t="shared" si="104"/>
        <v>0.2</v>
      </c>
      <c r="AW115" s="677">
        <v>0</v>
      </c>
      <c r="AX115" s="474">
        <f t="shared" si="105"/>
        <v>0</v>
      </c>
      <c r="AY115" s="474">
        <f t="shared" si="106"/>
        <v>0</v>
      </c>
      <c r="AZ115" s="474">
        <f t="shared" si="71"/>
        <v>0</v>
      </c>
      <c r="BA115" s="356">
        <f t="shared" si="72"/>
        <v>0</v>
      </c>
      <c r="BB115" s="356">
        <f t="shared" si="73"/>
        <v>0</v>
      </c>
      <c r="BC115" s="313">
        <v>3000000</v>
      </c>
      <c r="BD115" s="313">
        <v>0</v>
      </c>
      <c r="BE115" s="313">
        <v>3000000</v>
      </c>
      <c r="BF115" s="313">
        <v>0</v>
      </c>
      <c r="BG115" s="313">
        <v>0</v>
      </c>
      <c r="BH115" s="313">
        <v>0</v>
      </c>
      <c r="BI115" s="313">
        <v>0</v>
      </c>
      <c r="BJ115" s="313">
        <v>0</v>
      </c>
      <c r="BK115" s="473">
        <v>1500000</v>
      </c>
      <c r="BL115" s="472">
        <v>1500000</v>
      </c>
      <c r="BM115" s="472">
        <v>0</v>
      </c>
      <c r="BN115" s="472">
        <v>0</v>
      </c>
      <c r="BO115" s="472">
        <v>0</v>
      </c>
      <c r="BP115" s="472">
        <v>0</v>
      </c>
      <c r="BQ115" s="472">
        <v>0</v>
      </c>
      <c r="BR115" s="472">
        <v>0</v>
      </c>
      <c r="BS115" s="472">
        <v>0</v>
      </c>
      <c r="BT115" s="472">
        <v>0</v>
      </c>
      <c r="BU115" s="472">
        <v>0</v>
      </c>
      <c r="BV115" s="342">
        <f t="shared" si="74"/>
        <v>6.6000000000000003E-2</v>
      </c>
      <c r="BW115" s="350">
        <v>2</v>
      </c>
      <c r="BX115" s="385">
        <f t="shared" si="107"/>
        <v>0.4</v>
      </c>
      <c r="BY115" s="399">
        <v>0</v>
      </c>
      <c r="BZ115" s="398">
        <v>0</v>
      </c>
      <c r="CA115" s="690">
        <v>2</v>
      </c>
      <c r="CB115" s="471">
        <f t="shared" si="108"/>
        <v>2</v>
      </c>
      <c r="CC115" s="471">
        <f t="shared" si="109"/>
        <v>100</v>
      </c>
      <c r="CD115" s="470">
        <f t="shared" si="78"/>
        <v>100</v>
      </c>
      <c r="CE115" s="380">
        <f t="shared" si="79"/>
        <v>6.6000000000000003E-2</v>
      </c>
      <c r="CF115" s="469">
        <f t="shared" si="80"/>
        <v>100</v>
      </c>
      <c r="CG115" s="380">
        <f t="shared" si="81"/>
        <v>6.6000000000000003E-2</v>
      </c>
      <c r="CH115" s="468">
        <f t="shared" si="82"/>
        <v>3.3000000000000002E-2</v>
      </c>
      <c r="CI115" s="319">
        <v>1</v>
      </c>
      <c r="CJ115" s="318">
        <f t="shared" si="110"/>
        <v>0.2</v>
      </c>
      <c r="CK115" s="1259">
        <v>2</v>
      </c>
      <c r="CL115" s="301">
        <f t="shared" si="111"/>
        <v>-1</v>
      </c>
      <c r="CM115" s="381">
        <f t="shared" si="112"/>
        <v>2</v>
      </c>
      <c r="CN115" s="381">
        <f t="shared" si="113"/>
        <v>200</v>
      </c>
      <c r="CO115" s="316">
        <f t="shared" si="87"/>
        <v>100</v>
      </c>
      <c r="CP115" s="381">
        <f t="shared" si="88"/>
        <v>3.3000000000000002E-2</v>
      </c>
      <c r="CQ115" s="381">
        <f t="shared" si="89"/>
        <v>6.6000000000000003E-2</v>
      </c>
      <c r="CR115" s="313">
        <v>8000000</v>
      </c>
      <c r="CS115" s="313">
        <v>8000000</v>
      </c>
      <c r="CT115" s="313">
        <v>0</v>
      </c>
      <c r="CU115" s="313">
        <v>0</v>
      </c>
      <c r="CV115" s="313">
        <v>0</v>
      </c>
      <c r="CW115" s="313">
        <v>0</v>
      </c>
      <c r="CX115" s="313">
        <v>0</v>
      </c>
      <c r="CY115" s="313">
        <v>0</v>
      </c>
      <c r="CZ115" s="380">
        <v>0</v>
      </c>
      <c r="DA115" s="380">
        <v>0</v>
      </c>
      <c r="DB115" s="380">
        <v>0</v>
      </c>
      <c r="DC115" s="380">
        <v>0</v>
      </c>
      <c r="DD115" s="380">
        <v>0</v>
      </c>
      <c r="DE115" s="380">
        <v>0</v>
      </c>
      <c r="DF115" s="380">
        <v>0</v>
      </c>
      <c r="DG115" s="380">
        <v>0</v>
      </c>
      <c r="DH115" s="380">
        <v>0</v>
      </c>
      <c r="DI115" s="380">
        <v>0</v>
      </c>
      <c r="DJ115" s="380">
        <v>0</v>
      </c>
      <c r="DK115" s="702">
        <f t="shared" si="114"/>
        <v>5</v>
      </c>
      <c r="DL115" s="311">
        <f t="shared" si="91"/>
        <v>0.16500000000000001</v>
      </c>
      <c r="DM115" s="310">
        <f t="shared" si="92"/>
        <v>100</v>
      </c>
      <c r="DN115" s="356">
        <f t="shared" si="93"/>
        <v>100</v>
      </c>
      <c r="DO115" s="308">
        <f t="shared" si="94"/>
        <v>0.16500000000000001</v>
      </c>
      <c r="DP115" s="359">
        <f t="shared" si="116"/>
        <v>0.16500000000000001</v>
      </c>
      <c r="DQ115" s="306">
        <f t="shared" si="95"/>
        <v>0.16500000000000001</v>
      </c>
      <c r="DR115" s="379">
        <f t="shared" si="96"/>
        <v>1</v>
      </c>
      <c r="DS115" s="378">
        <f t="shared" si="97"/>
        <v>0</v>
      </c>
      <c r="DT115" s="173">
        <v>117</v>
      </c>
      <c r="DU115" s="174" t="s">
        <v>126</v>
      </c>
      <c r="DV115" s="173">
        <v>118</v>
      </c>
      <c r="DW115" s="174" t="s">
        <v>319</v>
      </c>
      <c r="DX115" s="173">
        <v>119</v>
      </c>
      <c r="DY115" s="173"/>
      <c r="DZ115" s="173"/>
      <c r="EA115" s="665"/>
      <c r="EB115" s="1254" t="s">
        <v>3228</v>
      </c>
      <c r="EC115" s="537">
        <v>19500000</v>
      </c>
      <c r="EE115" s="735">
        <v>2</v>
      </c>
      <c r="EF115" s="706"/>
    </row>
    <row r="116" spans="4:136" s="302" customFormat="1" ht="38.25" hidden="1">
      <c r="D116" s="520">
        <v>113</v>
      </c>
      <c r="E116" s="534">
        <v>146</v>
      </c>
      <c r="F116" s="336" t="s">
        <v>43</v>
      </c>
      <c r="G116" s="336" t="s">
        <v>7</v>
      </c>
      <c r="H116" s="336" t="s">
        <v>2654</v>
      </c>
      <c r="I116" s="336" t="s">
        <v>207</v>
      </c>
      <c r="J116" s="335" t="s">
        <v>1264</v>
      </c>
      <c r="K116" s="335" t="s">
        <v>1319</v>
      </c>
      <c r="L116" s="454" t="s">
        <v>1990</v>
      </c>
      <c r="M116" s="333" t="s">
        <v>1771</v>
      </c>
      <c r="N116" s="333">
        <v>0</v>
      </c>
      <c r="O116" s="333">
        <f t="shared" si="115"/>
        <v>1</v>
      </c>
      <c r="P116" s="332">
        <v>1</v>
      </c>
      <c r="Q116" s="393">
        <v>2.92E-2</v>
      </c>
      <c r="R116" s="342">
        <f t="shared" si="61"/>
        <v>0</v>
      </c>
      <c r="S116" s="459">
        <v>0</v>
      </c>
      <c r="T116" s="387">
        <f t="shared" si="101"/>
        <v>0</v>
      </c>
      <c r="U116" s="670">
        <v>0</v>
      </c>
      <c r="V116" s="388">
        <f t="shared" si="102"/>
        <v>0</v>
      </c>
      <c r="W116" s="356">
        <f t="shared" si="103"/>
        <v>0</v>
      </c>
      <c r="X116" s="356">
        <f t="shared" si="65"/>
        <v>0</v>
      </c>
      <c r="Y116" s="356">
        <f t="shared" si="98"/>
        <v>0</v>
      </c>
      <c r="Z116" s="356">
        <f t="shared" si="66"/>
        <v>0</v>
      </c>
      <c r="AA116" s="313">
        <v>0</v>
      </c>
      <c r="AB116" s="313">
        <v>0</v>
      </c>
      <c r="AC116" s="313">
        <v>0</v>
      </c>
      <c r="AD116" s="313">
        <v>0</v>
      </c>
      <c r="AE116" s="313">
        <v>0</v>
      </c>
      <c r="AF116" s="313">
        <v>0</v>
      </c>
      <c r="AG116" s="313">
        <v>0</v>
      </c>
      <c r="AH116" s="313">
        <v>0</v>
      </c>
      <c r="AI116" s="313">
        <v>0</v>
      </c>
      <c r="AJ116" s="313">
        <v>0</v>
      </c>
      <c r="AK116" s="313">
        <v>0</v>
      </c>
      <c r="AL116" s="313">
        <v>0</v>
      </c>
      <c r="AM116" s="313">
        <v>0</v>
      </c>
      <c r="AN116" s="313">
        <v>0</v>
      </c>
      <c r="AO116" s="313">
        <v>0</v>
      </c>
      <c r="AP116" s="313">
        <v>0</v>
      </c>
      <c r="AQ116" s="313">
        <v>0</v>
      </c>
      <c r="AR116" s="313">
        <v>0</v>
      </c>
      <c r="AS116" s="313">
        <v>0</v>
      </c>
      <c r="AT116" s="392">
        <f t="shared" si="67"/>
        <v>0</v>
      </c>
      <c r="AU116" s="333">
        <v>0</v>
      </c>
      <c r="AV116" s="387">
        <f t="shared" si="104"/>
        <v>0</v>
      </c>
      <c r="AW116" s="677">
        <v>0</v>
      </c>
      <c r="AX116" s="366">
        <f t="shared" si="105"/>
        <v>0</v>
      </c>
      <c r="AY116" s="366">
        <f t="shared" si="106"/>
        <v>0</v>
      </c>
      <c r="AZ116" s="366">
        <f t="shared" si="71"/>
        <v>0</v>
      </c>
      <c r="BA116" s="354">
        <f t="shared" si="72"/>
        <v>0</v>
      </c>
      <c r="BB116" s="354">
        <f t="shared" si="73"/>
        <v>0</v>
      </c>
      <c r="BC116" s="353">
        <v>50000000</v>
      </c>
      <c r="BD116" s="353">
        <v>0</v>
      </c>
      <c r="BE116" s="353">
        <v>50000000</v>
      </c>
      <c r="BF116" s="353">
        <v>0</v>
      </c>
      <c r="BG116" s="353">
        <v>0</v>
      </c>
      <c r="BH116" s="353">
        <v>0</v>
      </c>
      <c r="BI116" s="353">
        <v>0</v>
      </c>
      <c r="BJ116" s="353">
        <v>0</v>
      </c>
      <c r="BK116" s="452">
        <v>0</v>
      </c>
      <c r="BL116" s="351">
        <v>0</v>
      </c>
      <c r="BM116" s="351">
        <v>0</v>
      </c>
      <c r="BN116" s="351">
        <v>0</v>
      </c>
      <c r="BO116" s="351">
        <v>0</v>
      </c>
      <c r="BP116" s="351">
        <v>0</v>
      </c>
      <c r="BQ116" s="351">
        <v>0</v>
      </c>
      <c r="BR116" s="351">
        <v>0</v>
      </c>
      <c r="BS116" s="351">
        <v>0</v>
      </c>
      <c r="BT116" s="351">
        <v>0</v>
      </c>
      <c r="BU116" s="351">
        <v>0</v>
      </c>
      <c r="BV116" s="350">
        <f t="shared" si="74"/>
        <v>0</v>
      </c>
      <c r="BW116" s="350">
        <v>0</v>
      </c>
      <c r="BX116" s="385">
        <f t="shared" si="107"/>
        <v>0</v>
      </c>
      <c r="BY116" s="399">
        <v>0</v>
      </c>
      <c r="BZ116" s="398">
        <v>0</v>
      </c>
      <c r="CA116" s="690">
        <v>0</v>
      </c>
      <c r="CB116" s="324">
        <f t="shared" si="108"/>
        <v>0</v>
      </c>
      <c r="CC116" s="324">
        <f t="shared" si="109"/>
        <v>0</v>
      </c>
      <c r="CD116" s="384">
        <f t="shared" si="78"/>
        <v>0</v>
      </c>
      <c r="CE116" s="383">
        <f t="shared" si="79"/>
        <v>0</v>
      </c>
      <c r="CF116" s="367">
        <f t="shared" si="80"/>
        <v>0</v>
      </c>
      <c r="CG116" s="383">
        <f t="shared" si="81"/>
        <v>0</v>
      </c>
      <c r="CH116" s="320">
        <f t="shared" si="82"/>
        <v>2.92E-2</v>
      </c>
      <c r="CI116" s="319">
        <v>1</v>
      </c>
      <c r="CJ116" s="318">
        <f t="shared" si="110"/>
        <v>1</v>
      </c>
      <c r="CK116" s="1259">
        <v>1</v>
      </c>
      <c r="CL116" s="301">
        <f t="shared" si="111"/>
        <v>0</v>
      </c>
      <c r="CM116" s="381">
        <f t="shared" si="112"/>
        <v>1</v>
      </c>
      <c r="CN116" s="381">
        <f t="shared" si="113"/>
        <v>100</v>
      </c>
      <c r="CO116" s="316">
        <f t="shared" si="87"/>
        <v>100</v>
      </c>
      <c r="CP116" s="381">
        <f t="shared" si="88"/>
        <v>2.92E-2</v>
      </c>
      <c r="CQ116" s="381">
        <f t="shared" si="89"/>
        <v>2.92E-2</v>
      </c>
      <c r="CR116" s="313">
        <v>0</v>
      </c>
      <c r="CS116" s="313">
        <v>0</v>
      </c>
      <c r="CT116" s="313">
        <v>0</v>
      </c>
      <c r="CU116" s="313">
        <v>0</v>
      </c>
      <c r="CV116" s="313">
        <v>0</v>
      </c>
      <c r="CW116" s="313">
        <v>0</v>
      </c>
      <c r="CX116" s="313">
        <v>0</v>
      </c>
      <c r="CY116" s="313">
        <v>0</v>
      </c>
      <c r="CZ116" s="380">
        <v>0</v>
      </c>
      <c r="DA116" s="380">
        <v>0</v>
      </c>
      <c r="DB116" s="380">
        <v>0</v>
      </c>
      <c r="DC116" s="380">
        <v>0</v>
      </c>
      <c r="DD116" s="380">
        <v>0</v>
      </c>
      <c r="DE116" s="380">
        <v>0</v>
      </c>
      <c r="DF116" s="380">
        <v>0</v>
      </c>
      <c r="DG116" s="380">
        <v>0</v>
      </c>
      <c r="DH116" s="380">
        <v>0</v>
      </c>
      <c r="DI116" s="380">
        <v>0</v>
      </c>
      <c r="DJ116" s="380">
        <v>0</v>
      </c>
      <c r="DK116" s="702">
        <f t="shared" si="114"/>
        <v>1</v>
      </c>
      <c r="DL116" s="311">
        <f t="shared" si="91"/>
        <v>2.92E-2</v>
      </c>
      <c r="DM116" s="310">
        <f t="shared" si="92"/>
        <v>100</v>
      </c>
      <c r="DN116" s="356">
        <f t="shared" si="93"/>
        <v>100</v>
      </c>
      <c r="DO116" s="308">
        <f t="shared" si="94"/>
        <v>2.92E-2</v>
      </c>
      <c r="DP116" s="359">
        <f t="shared" si="116"/>
        <v>2.92E-2</v>
      </c>
      <c r="DQ116" s="306">
        <f t="shared" si="95"/>
        <v>2.92E-2</v>
      </c>
      <c r="DR116" s="379">
        <f t="shared" si="96"/>
        <v>1</v>
      </c>
      <c r="DS116" s="378">
        <f t="shared" si="97"/>
        <v>0</v>
      </c>
      <c r="DT116" s="173">
        <v>115</v>
      </c>
      <c r="DU116" s="174" t="s">
        <v>127</v>
      </c>
      <c r="DV116" s="173"/>
      <c r="DW116" s="174" t="s">
        <v>84</v>
      </c>
      <c r="DX116" s="173"/>
      <c r="DY116" s="173"/>
      <c r="DZ116" s="173"/>
      <c r="EA116" s="665"/>
      <c r="EB116" s="1254" t="s">
        <v>3229</v>
      </c>
      <c r="EC116" s="537">
        <v>25000000</v>
      </c>
      <c r="EE116" s="734">
        <v>0</v>
      </c>
      <c r="EF116" s="706"/>
    </row>
    <row r="117" spans="4:136" s="302" customFormat="1" ht="63.75" hidden="1">
      <c r="D117" s="520">
        <v>114</v>
      </c>
      <c r="E117" s="534">
        <v>147</v>
      </c>
      <c r="F117" s="523" t="s">
        <v>43</v>
      </c>
      <c r="G117" s="523" t="s">
        <v>7</v>
      </c>
      <c r="H117" s="524" t="s">
        <v>2654</v>
      </c>
      <c r="I117" s="462" t="s">
        <v>207</v>
      </c>
      <c r="J117" s="335" t="s">
        <v>393</v>
      </c>
      <c r="K117" s="335" t="s">
        <v>394</v>
      </c>
      <c r="L117" s="454" t="s">
        <v>1879</v>
      </c>
      <c r="M117" s="333" t="s">
        <v>1771</v>
      </c>
      <c r="N117" s="333">
        <v>0</v>
      </c>
      <c r="O117" s="333">
        <f t="shared" si="115"/>
        <v>20</v>
      </c>
      <c r="P117" s="332">
        <v>20</v>
      </c>
      <c r="Q117" s="390">
        <v>0.25</v>
      </c>
      <c r="R117" s="342">
        <f t="shared" si="61"/>
        <v>0</v>
      </c>
      <c r="S117" s="459">
        <v>0</v>
      </c>
      <c r="T117" s="387">
        <f t="shared" si="101"/>
        <v>0</v>
      </c>
      <c r="U117" s="670">
        <v>0</v>
      </c>
      <c r="V117" s="388">
        <f t="shared" si="102"/>
        <v>0</v>
      </c>
      <c r="W117" s="356">
        <f t="shared" si="103"/>
        <v>0</v>
      </c>
      <c r="X117" s="356">
        <f t="shared" si="65"/>
        <v>0</v>
      </c>
      <c r="Y117" s="356">
        <f t="shared" si="98"/>
        <v>0</v>
      </c>
      <c r="Z117" s="356">
        <f t="shared" si="66"/>
        <v>0</v>
      </c>
      <c r="AA117" s="313">
        <v>0</v>
      </c>
      <c r="AB117" s="313">
        <v>0</v>
      </c>
      <c r="AC117" s="313">
        <v>0</v>
      </c>
      <c r="AD117" s="313">
        <v>0</v>
      </c>
      <c r="AE117" s="313">
        <v>0</v>
      </c>
      <c r="AF117" s="313">
        <v>0</v>
      </c>
      <c r="AG117" s="313">
        <v>0</v>
      </c>
      <c r="AH117" s="313">
        <v>0</v>
      </c>
      <c r="AI117" s="313">
        <v>0</v>
      </c>
      <c r="AJ117" s="313">
        <v>0</v>
      </c>
      <c r="AK117" s="313">
        <v>0</v>
      </c>
      <c r="AL117" s="313">
        <v>0</v>
      </c>
      <c r="AM117" s="313">
        <v>0</v>
      </c>
      <c r="AN117" s="313">
        <v>0</v>
      </c>
      <c r="AO117" s="313">
        <v>0</v>
      </c>
      <c r="AP117" s="313">
        <v>0</v>
      </c>
      <c r="AQ117" s="313">
        <v>0</v>
      </c>
      <c r="AR117" s="313">
        <v>0</v>
      </c>
      <c r="AS117" s="313">
        <v>0</v>
      </c>
      <c r="AT117" s="333">
        <f t="shared" si="67"/>
        <v>0</v>
      </c>
      <c r="AU117" s="333">
        <v>0</v>
      </c>
      <c r="AV117" s="387">
        <f t="shared" si="104"/>
        <v>0</v>
      </c>
      <c r="AW117" s="677">
        <v>0</v>
      </c>
      <c r="AX117" s="366">
        <f t="shared" si="105"/>
        <v>0</v>
      </c>
      <c r="AY117" s="366">
        <f t="shared" si="106"/>
        <v>0</v>
      </c>
      <c r="AZ117" s="366">
        <f t="shared" si="71"/>
        <v>0</v>
      </c>
      <c r="BA117" s="354">
        <f t="shared" si="72"/>
        <v>0</v>
      </c>
      <c r="BB117" s="354">
        <f t="shared" si="73"/>
        <v>0</v>
      </c>
      <c r="BC117" s="353">
        <v>0</v>
      </c>
      <c r="BD117" s="353">
        <v>0</v>
      </c>
      <c r="BE117" s="353">
        <v>0</v>
      </c>
      <c r="BF117" s="353">
        <v>0</v>
      </c>
      <c r="BG117" s="353">
        <v>0</v>
      </c>
      <c r="BH117" s="353">
        <v>0</v>
      </c>
      <c r="BI117" s="353">
        <v>0</v>
      </c>
      <c r="BJ117" s="353">
        <v>0</v>
      </c>
      <c r="BK117" s="452">
        <v>0</v>
      </c>
      <c r="BL117" s="351">
        <v>0</v>
      </c>
      <c r="BM117" s="351">
        <v>0</v>
      </c>
      <c r="BN117" s="351">
        <v>0</v>
      </c>
      <c r="BO117" s="351">
        <v>0</v>
      </c>
      <c r="BP117" s="351">
        <v>0</v>
      </c>
      <c r="BQ117" s="351">
        <v>0</v>
      </c>
      <c r="BR117" s="351">
        <v>0</v>
      </c>
      <c r="BS117" s="351">
        <v>0</v>
      </c>
      <c r="BT117" s="351">
        <v>0</v>
      </c>
      <c r="BU117" s="351">
        <v>0</v>
      </c>
      <c r="BV117" s="350">
        <f t="shared" si="74"/>
        <v>0.125</v>
      </c>
      <c r="BW117" s="350">
        <v>10</v>
      </c>
      <c r="BX117" s="385">
        <f t="shared" si="107"/>
        <v>0.5</v>
      </c>
      <c r="BY117" s="399">
        <v>0</v>
      </c>
      <c r="BZ117" s="398">
        <v>6</v>
      </c>
      <c r="CA117" s="690">
        <v>6</v>
      </c>
      <c r="CB117" s="324">
        <f t="shared" si="108"/>
        <v>6</v>
      </c>
      <c r="CC117" s="324">
        <f t="shared" si="109"/>
        <v>60</v>
      </c>
      <c r="CD117" s="384">
        <f t="shared" si="78"/>
        <v>60</v>
      </c>
      <c r="CE117" s="383">
        <f t="shared" si="79"/>
        <v>7.4999999999999997E-2</v>
      </c>
      <c r="CF117" s="367">
        <f t="shared" si="80"/>
        <v>60</v>
      </c>
      <c r="CG117" s="383">
        <f t="shared" si="81"/>
        <v>7.4999999999999997E-2</v>
      </c>
      <c r="CH117" s="320">
        <f t="shared" si="82"/>
        <v>0.125</v>
      </c>
      <c r="CI117" s="319">
        <v>10</v>
      </c>
      <c r="CJ117" s="318">
        <f t="shared" si="110"/>
        <v>0.5</v>
      </c>
      <c r="CK117" s="1259">
        <v>13</v>
      </c>
      <c r="CL117" s="301">
        <f t="shared" si="111"/>
        <v>-3</v>
      </c>
      <c r="CM117" s="381">
        <f t="shared" si="112"/>
        <v>13</v>
      </c>
      <c r="CN117" s="381">
        <f t="shared" si="113"/>
        <v>130</v>
      </c>
      <c r="CO117" s="316">
        <f t="shared" si="87"/>
        <v>100</v>
      </c>
      <c r="CP117" s="381">
        <f t="shared" si="88"/>
        <v>0.125</v>
      </c>
      <c r="CQ117" s="381">
        <f t="shared" si="89"/>
        <v>0.16250000000000001</v>
      </c>
      <c r="CR117" s="313">
        <v>20000000</v>
      </c>
      <c r="CS117" s="313">
        <v>20000000</v>
      </c>
      <c r="CT117" s="313">
        <v>0</v>
      </c>
      <c r="CU117" s="313">
        <v>0</v>
      </c>
      <c r="CV117" s="313">
        <v>0</v>
      </c>
      <c r="CW117" s="313">
        <v>0</v>
      </c>
      <c r="CX117" s="313">
        <v>0</v>
      </c>
      <c r="CY117" s="313">
        <v>0</v>
      </c>
      <c r="CZ117" s="380">
        <v>0</v>
      </c>
      <c r="DA117" s="380">
        <v>0</v>
      </c>
      <c r="DB117" s="380">
        <v>0</v>
      </c>
      <c r="DC117" s="380">
        <v>0</v>
      </c>
      <c r="DD117" s="380">
        <v>0</v>
      </c>
      <c r="DE117" s="380">
        <v>0</v>
      </c>
      <c r="DF117" s="380">
        <v>0</v>
      </c>
      <c r="DG117" s="380">
        <v>0</v>
      </c>
      <c r="DH117" s="380">
        <v>0</v>
      </c>
      <c r="DI117" s="380">
        <v>0</v>
      </c>
      <c r="DJ117" s="380">
        <v>0</v>
      </c>
      <c r="DK117" s="702">
        <f t="shared" si="114"/>
        <v>19</v>
      </c>
      <c r="DL117" s="311">
        <f t="shared" si="91"/>
        <v>0.25</v>
      </c>
      <c r="DM117" s="310">
        <f t="shared" si="92"/>
        <v>95</v>
      </c>
      <c r="DN117" s="356">
        <f t="shared" si="93"/>
        <v>95</v>
      </c>
      <c r="DO117" s="308">
        <f t="shared" si="94"/>
        <v>0.23749999999999999</v>
      </c>
      <c r="DP117" s="359">
        <f t="shared" si="116"/>
        <v>0.23749999999999999</v>
      </c>
      <c r="DQ117" s="306">
        <f t="shared" si="95"/>
        <v>0.23749999999999999</v>
      </c>
      <c r="DR117" s="379">
        <f t="shared" si="96"/>
        <v>1</v>
      </c>
      <c r="DS117" s="378">
        <f t="shared" si="97"/>
        <v>0</v>
      </c>
      <c r="DT117" s="173">
        <v>118</v>
      </c>
      <c r="DU117" s="174" t="s">
        <v>319</v>
      </c>
      <c r="DV117" s="173"/>
      <c r="DW117" s="174" t="s">
        <v>84</v>
      </c>
      <c r="DX117" s="173"/>
      <c r="DY117" s="173"/>
      <c r="DZ117" s="173"/>
      <c r="EA117" s="665"/>
      <c r="EB117" s="1254" t="s">
        <v>3230</v>
      </c>
      <c r="EC117" s="537">
        <v>25000000</v>
      </c>
      <c r="EE117" s="734">
        <v>2</v>
      </c>
      <c r="EF117" s="706"/>
    </row>
    <row r="118" spans="4:136" s="302" customFormat="1" ht="132" hidden="1">
      <c r="D118" s="520">
        <v>115</v>
      </c>
      <c r="E118" s="534">
        <v>148</v>
      </c>
      <c r="F118" s="336" t="s">
        <v>43</v>
      </c>
      <c r="G118" s="336" t="s">
        <v>7</v>
      </c>
      <c r="H118" s="336" t="s">
        <v>2654</v>
      </c>
      <c r="I118" s="336" t="s">
        <v>207</v>
      </c>
      <c r="J118" s="335" t="s">
        <v>1265</v>
      </c>
      <c r="K118" s="335" t="s">
        <v>395</v>
      </c>
      <c r="L118" s="453" t="s">
        <v>1947</v>
      </c>
      <c r="M118" s="333" t="s">
        <v>1785</v>
      </c>
      <c r="N118" s="333">
        <v>0</v>
      </c>
      <c r="O118" s="333">
        <f>+P118</f>
        <v>100</v>
      </c>
      <c r="P118" s="332">
        <v>100</v>
      </c>
      <c r="Q118" s="393">
        <v>0.16500000000000001</v>
      </c>
      <c r="R118" s="342">
        <f t="shared" si="61"/>
        <v>4.1250000000000002E-2</v>
      </c>
      <c r="S118" s="459">
        <v>100</v>
      </c>
      <c r="T118" s="387">
        <f t="shared" si="101"/>
        <v>0.25</v>
      </c>
      <c r="U118" s="670">
        <v>100</v>
      </c>
      <c r="V118" s="388">
        <f t="shared" si="102"/>
        <v>25</v>
      </c>
      <c r="W118" s="356">
        <f t="shared" si="103"/>
        <v>100</v>
      </c>
      <c r="X118" s="356">
        <f t="shared" si="65"/>
        <v>100</v>
      </c>
      <c r="Y118" s="356">
        <f t="shared" si="98"/>
        <v>4.1250000000000002E-2</v>
      </c>
      <c r="Z118" s="356">
        <f t="shared" si="66"/>
        <v>100</v>
      </c>
      <c r="AA118" s="313">
        <v>0</v>
      </c>
      <c r="AB118" s="313">
        <v>0</v>
      </c>
      <c r="AC118" s="313">
        <v>0</v>
      </c>
      <c r="AD118" s="313">
        <v>0</v>
      </c>
      <c r="AE118" s="313">
        <v>0</v>
      </c>
      <c r="AF118" s="313">
        <v>0</v>
      </c>
      <c r="AG118" s="313">
        <v>0</v>
      </c>
      <c r="AH118" s="313">
        <v>0</v>
      </c>
      <c r="AI118" s="313">
        <v>0</v>
      </c>
      <c r="AJ118" s="313">
        <v>0</v>
      </c>
      <c r="AK118" s="313">
        <v>0</v>
      </c>
      <c r="AL118" s="313">
        <v>0</v>
      </c>
      <c r="AM118" s="313">
        <v>0</v>
      </c>
      <c r="AN118" s="313">
        <v>0</v>
      </c>
      <c r="AO118" s="313">
        <v>0</v>
      </c>
      <c r="AP118" s="313">
        <v>0</v>
      </c>
      <c r="AQ118" s="313">
        <v>0</v>
      </c>
      <c r="AR118" s="313">
        <v>0</v>
      </c>
      <c r="AS118" s="313">
        <v>0</v>
      </c>
      <c r="AT118" s="392">
        <f t="shared" si="67"/>
        <v>4.1250000000000002E-2</v>
      </c>
      <c r="AU118" s="333">
        <v>100</v>
      </c>
      <c r="AV118" s="387">
        <f t="shared" si="104"/>
        <v>0.25</v>
      </c>
      <c r="AW118" s="677">
        <v>100</v>
      </c>
      <c r="AX118" s="366">
        <f t="shared" si="105"/>
        <v>25</v>
      </c>
      <c r="AY118" s="366">
        <f t="shared" si="106"/>
        <v>100</v>
      </c>
      <c r="AZ118" s="366">
        <f t="shared" si="71"/>
        <v>100</v>
      </c>
      <c r="BA118" s="354">
        <f t="shared" si="72"/>
        <v>4.1250000000000002E-2</v>
      </c>
      <c r="BB118" s="354">
        <f t="shared" si="73"/>
        <v>100</v>
      </c>
      <c r="BC118" s="353">
        <v>3000000</v>
      </c>
      <c r="BD118" s="353">
        <v>0</v>
      </c>
      <c r="BE118" s="353">
        <v>3000000</v>
      </c>
      <c r="BF118" s="353">
        <v>0</v>
      </c>
      <c r="BG118" s="353">
        <v>0</v>
      </c>
      <c r="BH118" s="353">
        <v>0</v>
      </c>
      <c r="BI118" s="353">
        <v>0</v>
      </c>
      <c r="BJ118" s="353">
        <v>0</v>
      </c>
      <c r="BK118" s="452">
        <v>0</v>
      </c>
      <c r="BL118" s="351">
        <v>0</v>
      </c>
      <c r="BM118" s="351">
        <v>0</v>
      </c>
      <c r="BN118" s="351">
        <v>0</v>
      </c>
      <c r="BO118" s="351">
        <v>0</v>
      </c>
      <c r="BP118" s="351">
        <v>0</v>
      </c>
      <c r="BQ118" s="351">
        <v>0</v>
      </c>
      <c r="BR118" s="351">
        <v>0</v>
      </c>
      <c r="BS118" s="351">
        <v>0</v>
      </c>
      <c r="BT118" s="351">
        <v>0</v>
      </c>
      <c r="BU118" s="351">
        <v>0</v>
      </c>
      <c r="BV118" s="350">
        <f t="shared" si="74"/>
        <v>4.1250000000000002E-2</v>
      </c>
      <c r="BW118" s="350">
        <v>100</v>
      </c>
      <c r="BX118" s="385">
        <f t="shared" si="107"/>
        <v>0.25</v>
      </c>
      <c r="BY118" s="399">
        <v>0</v>
      </c>
      <c r="BZ118" s="398">
        <v>0</v>
      </c>
      <c r="CA118" s="690">
        <v>100</v>
      </c>
      <c r="CB118" s="324">
        <f t="shared" si="108"/>
        <v>25</v>
      </c>
      <c r="CC118" s="324">
        <f t="shared" si="109"/>
        <v>100</v>
      </c>
      <c r="CD118" s="384">
        <f t="shared" si="78"/>
        <v>100</v>
      </c>
      <c r="CE118" s="383">
        <f t="shared" si="79"/>
        <v>4.1250000000000002E-2</v>
      </c>
      <c r="CF118" s="367">
        <f t="shared" si="80"/>
        <v>100</v>
      </c>
      <c r="CG118" s="383">
        <f t="shared" si="81"/>
        <v>4.1250000000000002E-2</v>
      </c>
      <c r="CH118" s="320">
        <f t="shared" si="82"/>
        <v>4.1250000000000002E-2</v>
      </c>
      <c r="CI118" s="319">
        <v>100</v>
      </c>
      <c r="CJ118" s="318">
        <f t="shared" si="110"/>
        <v>0.25</v>
      </c>
      <c r="CK118" s="1259">
        <v>0</v>
      </c>
      <c r="CL118" s="301">
        <f t="shared" si="111"/>
        <v>100</v>
      </c>
      <c r="CM118" s="381">
        <f t="shared" si="112"/>
        <v>0</v>
      </c>
      <c r="CN118" s="381">
        <f t="shared" si="113"/>
        <v>0</v>
      </c>
      <c r="CO118" s="381">
        <f t="shared" si="87"/>
        <v>0</v>
      </c>
      <c r="CP118" s="381">
        <f t="shared" si="88"/>
        <v>0</v>
      </c>
      <c r="CQ118" s="381">
        <f t="shared" si="89"/>
        <v>0</v>
      </c>
      <c r="CR118" s="313">
        <v>6000000</v>
      </c>
      <c r="CS118" s="313">
        <v>6000000</v>
      </c>
      <c r="CT118" s="313">
        <v>0</v>
      </c>
      <c r="CU118" s="313">
        <v>0</v>
      </c>
      <c r="CV118" s="313">
        <v>0</v>
      </c>
      <c r="CW118" s="313">
        <v>0</v>
      </c>
      <c r="CX118" s="313">
        <v>0</v>
      </c>
      <c r="CY118" s="313">
        <v>0</v>
      </c>
      <c r="CZ118" s="380">
        <v>0</v>
      </c>
      <c r="DA118" s="380">
        <v>0</v>
      </c>
      <c r="DB118" s="380">
        <v>0</v>
      </c>
      <c r="DC118" s="380">
        <v>0</v>
      </c>
      <c r="DD118" s="380">
        <v>0</v>
      </c>
      <c r="DE118" s="380">
        <v>0</v>
      </c>
      <c r="DF118" s="380">
        <v>0</v>
      </c>
      <c r="DG118" s="380">
        <v>0</v>
      </c>
      <c r="DH118" s="380">
        <v>0</v>
      </c>
      <c r="DI118" s="380">
        <v>0</v>
      </c>
      <c r="DJ118" s="380">
        <v>0</v>
      </c>
      <c r="DK118" s="702">
        <f t="shared" si="114"/>
        <v>75</v>
      </c>
      <c r="DL118" s="311">
        <f t="shared" si="91"/>
        <v>0.16500000000000001</v>
      </c>
      <c r="DM118" s="310">
        <f t="shared" si="92"/>
        <v>75</v>
      </c>
      <c r="DN118" s="356">
        <f t="shared" si="93"/>
        <v>75</v>
      </c>
      <c r="DO118" s="308">
        <f t="shared" si="94"/>
        <v>0.12375</v>
      </c>
      <c r="DP118" s="359">
        <f>+IF(M118="M",DO118,0)</f>
        <v>0.12375</v>
      </c>
      <c r="DQ118" s="306">
        <f t="shared" si="95"/>
        <v>0.12375</v>
      </c>
      <c r="DR118" s="379">
        <f t="shared" si="96"/>
        <v>1</v>
      </c>
      <c r="DS118" s="378">
        <f t="shared" si="97"/>
        <v>0</v>
      </c>
      <c r="DT118" s="173">
        <v>79</v>
      </c>
      <c r="DU118" s="174" t="s">
        <v>128</v>
      </c>
      <c r="DV118" s="173">
        <v>118</v>
      </c>
      <c r="DW118" s="174" t="s">
        <v>319</v>
      </c>
      <c r="DX118" s="173"/>
      <c r="DY118" s="173"/>
      <c r="DZ118" s="173"/>
      <c r="EA118" s="665"/>
      <c r="EB118" s="1254" t="s">
        <v>2432</v>
      </c>
      <c r="EC118" s="537">
        <v>30000000</v>
      </c>
      <c r="EE118" s="734">
        <v>1</v>
      </c>
      <c r="EF118" s="706"/>
    </row>
    <row r="119" spans="4:136" s="302" customFormat="1" ht="38.25" hidden="1">
      <c r="D119" s="520">
        <v>116</v>
      </c>
      <c r="E119" s="534">
        <v>149</v>
      </c>
      <c r="F119" s="336" t="s">
        <v>43</v>
      </c>
      <c r="G119" s="336" t="s">
        <v>7</v>
      </c>
      <c r="H119" s="336" t="s">
        <v>2654</v>
      </c>
      <c r="I119" s="336" t="s">
        <v>207</v>
      </c>
      <c r="J119" s="335" t="s">
        <v>1266</v>
      </c>
      <c r="K119" s="335" t="s">
        <v>396</v>
      </c>
      <c r="L119" s="454" t="s">
        <v>1501</v>
      </c>
      <c r="M119" s="333" t="s">
        <v>1771</v>
      </c>
      <c r="N119" s="333">
        <v>0</v>
      </c>
      <c r="O119" s="333">
        <f>+N119+P119</f>
        <v>2000</v>
      </c>
      <c r="P119" s="332">
        <v>2000</v>
      </c>
      <c r="Q119" s="393">
        <v>0.16500000000000001</v>
      </c>
      <c r="R119" s="342">
        <f t="shared" si="61"/>
        <v>6.6000000000000003E-2</v>
      </c>
      <c r="S119" s="459">
        <v>800</v>
      </c>
      <c r="T119" s="387">
        <f t="shared" si="101"/>
        <v>0.4</v>
      </c>
      <c r="U119" s="670">
        <v>800</v>
      </c>
      <c r="V119" s="388">
        <f t="shared" si="102"/>
        <v>800</v>
      </c>
      <c r="W119" s="356">
        <f t="shared" si="103"/>
        <v>100</v>
      </c>
      <c r="X119" s="356">
        <f t="shared" si="65"/>
        <v>100</v>
      </c>
      <c r="Y119" s="356">
        <f t="shared" si="98"/>
        <v>6.6000000000000003E-2</v>
      </c>
      <c r="Z119" s="356">
        <f t="shared" si="66"/>
        <v>100</v>
      </c>
      <c r="AA119" s="313">
        <v>0</v>
      </c>
      <c r="AB119" s="313">
        <v>0</v>
      </c>
      <c r="AC119" s="313">
        <v>0</v>
      </c>
      <c r="AD119" s="313">
        <v>0</v>
      </c>
      <c r="AE119" s="313">
        <v>0</v>
      </c>
      <c r="AF119" s="313">
        <v>0</v>
      </c>
      <c r="AG119" s="313">
        <v>0</v>
      </c>
      <c r="AH119" s="313">
        <v>0</v>
      </c>
      <c r="AI119" s="313">
        <v>0</v>
      </c>
      <c r="AJ119" s="313">
        <v>0</v>
      </c>
      <c r="AK119" s="313">
        <v>0</v>
      </c>
      <c r="AL119" s="313">
        <v>0</v>
      </c>
      <c r="AM119" s="313">
        <v>0</v>
      </c>
      <c r="AN119" s="313">
        <v>0</v>
      </c>
      <c r="AO119" s="313">
        <v>0</v>
      </c>
      <c r="AP119" s="313">
        <v>0</v>
      </c>
      <c r="AQ119" s="313">
        <v>0</v>
      </c>
      <c r="AR119" s="313">
        <v>0</v>
      </c>
      <c r="AS119" s="313">
        <v>0</v>
      </c>
      <c r="AT119" s="392">
        <f t="shared" si="67"/>
        <v>0</v>
      </c>
      <c r="AU119" s="333">
        <v>0</v>
      </c>
      <c r="AV119" s="387">
        <f t="shared" si="104"/>
        <v>0</v>
      </c>
      <c r="AW119" s="677">
        <v>0</v>
      </c>
      <c r="AX119" s="366">
        <f t="shared" si="105"/>
        <v>0</v>
      </c>
      <c r="AY119" s="366">
        <f t="shared" si="106"/>
        <v>0</v>
      </c>
      <c r="AZ119" s="366">
        <f t="shared" si="71"/>
        <v>0</v>
      </c>
      <c r="BA119" s="354">
        <f t="shared" si="72"/>
        <v>0</v>
      </c>
      <c r="BB119" s="354">
        <f t="shared" si="73"/>
        <v>0</v>
      </c>
      <c r="BC119" s="353">
        <v>3000000</v>
      </c>
      <c r="BD119" s="353">
        <v>0</v>
      </c>
      <c r="BE119" s="353">
        <v>3000000</v>
      </c>
      <c r="BF119" s="353">
        <v>0</v>
      </c>
      <c r="BG119" s="353">
        <v>0</v>
      </c>
      <c r="BH119" s="353">
        <v>0</v>
      </c>
      <c r="BI119" s="353">
        <v>0</v>
      </c>
      <c r="BJ119" s="353">
        <v>0</v>
      </c>
      <c r="BK119" s="452">
        <v>0</v>
      </c>
      <c r="BL119" s="351">
        <v>0</v>
      </c>
      <c r="BM119" s="351">
        <v>0</v>
      </c>
      <c r="BN119" s="351">
        <v>0</v>
      </c>
      <c r="BO119" s="351">
        <v>0</v>
      </c>
      <c r="BP119" s="351">
        <v>0</v>
      </c>
      <c r="BQ119" s="351">
        <v>0</v>
      </c>
      <c r="BR119" s="351">
        <v>0</v>
      </c>
      <c r="BS119" s="351">
        <v>0</v>
      </c>
      <c r="BT119" s="351">
        <v>0</v>
      </c>
      <c r="BU119" s="351">
        <v>0</v>
      </c>
      <c r="BV119" s="350">
        <f t="shared" si="74"/>
        <v>8.2500000000000004E-3</v>
      </c>
      <c r="BW119" s="350">
        <v>100</v>
      </c>
      <c r="BX119" s="385">
        <f t="shared" si="107"/>
        <v>0.05</v>
      </c>
      <c r="BY119" s="399">
        <v>0</v>
      </c>
      <c r="BZ119" s="398">
        <v>0</v>
      </c>
      <c r="CA119" s="690">
        <v>319</v>
      </c>
      <c r="CB119" s="324">
        <f t="shared" si="108"/>
        <v>319</v>
      </c>
      <c r="CC119" s="324">
        <f t="shared" si="109"/>
        <v>319</v>
      </c>
      <c r="CD119" s="384">
        <f t="shared" si="78"/>
        <v>100</v>
      </c>
      <c r="CE119" s="383">
        <f t="shared" si="79"/>
        <v>8.2500000000000004E-3</v>
      </c>
      <c r="CF119" s="367">
        <f t="shared" si="80"/>
        <v>100</v>
      </c>
      <c r="CG119" s="383">
        <f t="shared" si="81"/>
        <v>2.6317500000000004E-2</v>
      </c>
      <c r="CH119" s="320">
        <f t="shared" si="82"/>
        <v>9.0750000000000011E-2</v>
      </c>
      <c r="CI119" s="319">
        <v>1100</v>
      </c>
      <c r="CJ119" s="318">
        <f t="shared" si="110"/>
        <v>0.55000000000000004</v>
      </c>
      <c r="CK119" s="1259">
        <v>100</v>
      </c>
      <c r="CL119" s="301">
        <f t="shared" si="111"/>
        <v>1000</v>
      </c>
      <c r="CM119" s="381">
        <f t="shared" si="112"/>
        <v>100</v>
      </c>
      <c r="CN119" s="381">
        <f t="shared" si="113"/>
        <v>9.0909090909090917</v>
      </c>
      <c r="CO119" s="316">
        <f t="shared" si="87"/>
        <v>9.0909090909090917</v>
      </c>
      <c r="CP119" s="381">
        <f t="shared" si="88"/>
        <v>8.2500000000000021E-3</v>
      </c>
      <c r="CQ119" s="381">
        <f t="shared" si="89"/>
        <v>8.2500000000000021E-3</v>
      </c>
      <c r="CR119" s="313">
        <v>6000000</v>
      </c>
      <c r="CS119" s="313">
        <v>6000000</v>
      </c>
      <c r="CT119" s="313">
        <v>0</v>
      </c>
      <c r="CU119" s="313">
        <v>0</v>
      </c>
      <c r="CV119" s="313">
        <v>0</v>
      </c>
      <c r="CW119" s="313">
        <v>0</v>
      </c>
      <c r="CX119" s="313">
        <v>0</v>
      </c>
      <c r="CY119" s="313">
        <v>0</v>
      </c>
      <c r="CZ119" s="380">
        <v>0</v>
      </c>
      <c r="DA119" s="380">
        <v>0</v>
      </c>
      <c r="DB119" s="380">
        <v>0</v>
      </c>
      <c r="DC119" s="380">
        <v>0</v>
      </c>
      <c r="DD119" s="380">
        <v>0</v>
      </c>
      <c r="DE119" s="380">
        <v>0</v>
      </c>
      <c r="DF119" s="380">
        <v>0</v>
      </c>
      <c r="DG119" s="380">
        <v>0</v>
      </c>
      <c r="DH119" s="380">
        <v>0</v>
      </c>
      <c r="DI119" s="380">
        <v>0</v>
      </c>
      <c r="DJ119" s="380">
        <v>0</v>
      </c>
      <c r="DK119" s="702">
        <f t="shared" si="114"/>
        <v>1219</v>
      </c>
      <c r="DL119" s="311">
        <f t="shared" si="91"/>
        <v>0.16500000000000004</v>
      </c>
      <c r="DM119" s="310">
        <f t="shared" si="92"/>
        <v>60.95</v>
      </c>
      <c r="DN119" s="356">
        <f t="shared" si="93"/>
        <v>60.95</v>
      </c>
      <c r="DO119" s="308">
        <f t="shared" si="94"/>
        <v>0.1005675</v>
      </c>
      <c r="DP119" s="359">
        <f t="shared" ref="DP119:DP125" si="117">+IF(((DN119*Q119)/100)&lt;Q119, ((DN119*Q119)/100),Q119)</f>
        <v>0.1005675</v>
      </c>
      <c r="DQ119" s="306">
        <f t="shared" si="95"/>
        <v>0.1005675</v>
      </c>
      <c r="DR119" s="379">
        <f t="shared" si="96"/>
        <v>1</v>
      </c>
      <c r="DS119" s="378">
        <f t="shared" si="97"/>
        <v>0</v>
      </c>
      <c r="DT119" s="173">
        <v>200</v>
      </c>
      <c r="DU119" s="174" t="s">
        <v>397</v>
      </c>
      <c r="DV119" s="173"/>
      <c r="DW119" s="174" t="s">
        <v>84</v>
      </c>
      <c r="DX119" s="173"/>
      <c r="DY119" s="173"/>
      <c r="DZ119" s="173"/>
      <c r="EA119" s="665"/>
      <c r="EB119" s="1254" t="s">
        <v>2448</v>
      </c>
      <c r="EC119" s="537">
        <v>600000000</v>
      </c>
      <c r="EE119" s="734">
        <v>32</v>
      </c>
      <c r="EF119" s="706"/>
    </row>
    <row r="120" spans="4:136" s="302" customFormat="1" ht="127.5" hidden="1">
      <c r="D120" s="520">
        <v>117</v>
      </c>
      <c r="E120" s="534">
        <v>150</v>
      </c>
      <c r="F120" s="523" t="s">
        <v>43</v>
      </c>
      <c r="G120" s="523" t="s">
        <v>12</v>
      </c>
      <c r="H120" s="524" t="s">
        <v>2654</v>
      </c>
      <c r="I120" s="462" t="s">
        <v>207</v>
      </c>
      <c r="J120" s="335" t="s">
        <v>398</v>
      </c>
      <c r="K120" s="335" t="s">
        <v>399</v>
      </c>
      <c r="L120" s="453" t="s">
        <v>1964</v>
      </c>
      <c r="M120" s="333" t="s">
        <v>1771</v>
      </c>
      <c r="N120" s="333">
        <v>0</v>
      </c>
      <c r="O120" s="333">
        <f>+N120+P120</f>
        <v>100</v>
      </c>
      <c r="P120" s="332">
        <v>100</v>
      </c>
      <c r="Q120" s="390">
        <v>0.16500000000000001</v>
      </c>
      <c r="R120" s="342">
        <f t="shared" si="61"/>
        <v>7.1775000000000005E-2</v>
      </c>
      <c r="S120" s="459">
        <v>43.5</v>
      </c>
      <c r="T120" s="387">
        <f t="shared" si="101"/>
        <v>0.435</v>
      </c>
      <c r="U120" s="670">
        <v>43.5</v>
      </c>
      <c r="V120" s="388">
        <f t="shared" si="102"/>
        <v>43.5</v>
      </c>
      <c r="W120" s="356">
        <f t="shared" si="103"/>
        <v>100</v>
      </c>
      <c r="X120" s="356">
        <f t="shared" si="65"/>
        <v>100</v>
      </c>
      <c r="Y120" s="356">
        <f t="shared" si="98"/>
        <v>7.1775000000000005E-2</v>
      </c>
      <c r="Z120" s="356">
        <f t="shared" si="66"/>
        <v>100</v>
      </c>
      <c r="AA120" s="313">
        <v>30000000</v>
      </c>
      <c r="AB120" s="313">
        <v>30000000</v>
      </c>
      <c r="AC120" s="313">
        <v>0</v>
      </c>
      <c r="AD120" s="313">
        <v>0</v>
      </c>
      <c r="AE120" s="313">
        <v>0</v>
      </c>
      <c r="AF120" s="313">
        <v>0</v>
      </c>
      <c r="AG120" s="313">
        <v>0</v>
      </c>
      <c r="AH120" s="313">
        <v>0</v>
      </c>
      <c r="AI120" s="313">
        <v>8587000</v>
      </c>
      <c r="AJ120" s="313">
        <v>8587000</v>
      </c>
      <c r="AK120" s="313">
        <v>0</v>
      </c>
      <c r="AL120" s="313">
        <v>0</v>
      </c>
      <c r="AM120" s="313">
        <v>0</v>
      </c>
      <c r="AN120" s="313">
        <v>0</v>
      </c>
      <c r="AO120" s="313">
        <v>0</v>
      </c>
      <c r="AP120" s="313">
        <v>0</v>
      </c>
      <c r="AQ120" s="313">
        <v>0</v>
      </c>
      <c r="AR120" s="313">
        <v>0</v>
      </c>
      <c r="AS120" s="313">
        <v>0</v>
      </c>
      <c r="AT120" s="333">
        <f t="shared" si="67"/>
        <v>3.3000000000000002E-2</v>
      </c>
      <c r="AU120" s="333">
        <v>20</v>
      </c>
      <c r="AV120" s="387">
        <f t="shared" si="104"/>
        <v>0.2</v>
      </c>
      <c r="AW120" s="677">
        <v>20</v>
      </c>
      <c r="AX120" s="366">
        <f t="shared" si="105"/>
        <v>20</v>
      </c>
      <c r="AY120" s="366">
        <f t="shared" si="106"/>
        <v>100</v>
      </c>
      <c r="AZ120" s="366">
        <f t="shared" si="71"/>
        <v>100</v>
      </c>
      <c r="BA120" s="354">
        <f t="shared" si="72"/>
        <v>3.3000000000000002E-2</v>
      </c>
      <c r="BB120" s="354">
        <f t="shared" si="73"/>
        <v>100</v>
      </c>
      <c r="BC120" s="353">
        <v>10000000</v>
      </c>
      <c r="BD120" s="353">
        <v>0</v>
      </c>
      <c r="BE120" s="353">
        <v>10000000</v>
      </c>
      <c r="BF120" s="353">
        <v>0</v>
      </c>
      <c r="BG120" s="353">
        <v>0</v>
      </c>
      <c r="BH120" s="353">
        <v>0</v>
      </c>
      <c r="BI120" s="353">
        <v>0</v>
      </c>
      <c r="BJ120" s="353">
        <v>0</v>
      </c>
      <c r="BK120" s="452">
        <v>0</v>
      </c>
      <c r="BL120" s="351">
        <v>0</v>
      </c>
      <c r="BM120" s="351">
        <v>0</v>
      </c>
      <c r="BN120" s="351">
        <v>0</v>
      </c>
      <c r="BO120" s="351">
        <v>0</v>
      </c>
      <c r="BP120" s="351">
        <v>0</v>
      </c>
      <c r="BQ120" s="351">
        <v>0</v>
      </c>
      <c r="BR120" s="351">
        <v>0</v>
      </c>
      <c r="BS120" s="351">
        <v>0</v>
      </c>
      <c r="BT120" s="351">
        <v>0</v>
      </c>
      <c r="BU120" s="351">
        <v>0</v>
      </c>
      <c r="BV120" s="350">
        <f t="shared" si="74"/>
        <v>3.3000000000000002E-2</v>
      </c>
      <c r="BW120" s="350">
        <v>20</v>
      </c>
      <c r="BX120" s="385">
        <f t="shared" si="107"/>
        <v>0.2</v>
      </c>
      <c r="BY120" s="369">
        <v>25.520000457763672</v>
      </c>
      <c r="BZ120" s="391">
        <v>29.42</v>
      </c>
      <c r="CA120" s="689">
        <v>36.5</v>
      </c>
      <c r="CB120" s="324">
        <f t="shared" si="108"/>
        <v>36.5</v>
      </c>
      <c r="CC120" s="324">
        <f t="shared" si="109"/>
        <v>182.5</v>
      </c>
      <c r="CD120" s="384">
        <f t="shared" si="78"/>
        <v>100</v>
      </c>
      <c r="CE120" s="383">
        <f t="shared" si="79"/>
        <v>3.3000000000000002E-2</v>
      </c>
      <c r="CF120" s="367">
        <f t="shared" si="80"/>
        <v>100</v>
      </c>
      <c r="CG120" s="383">
        <f t="shared" si="81"/>
        <v>6.0225000000000001E-2</v>
      </c>
      <c r="CH120" s="320">
        <f t="shared" si="82"/>
        <v>2.7225000000000003E-2</v>
      </c>
      <c r="CI120" s="418">
        <v>16.5</v>
      </c>
      <c r="CJ120" s="318">
        <f t="shared" si="110"/>
        <v>0.16500000000000001</v>
      </c>
      <c r="CK120" s="1259">
        <v>45</v>
      </c>
      <c r="CL120" s="301">
        <f t="shared" si="111"/>
        <v>-28.5</v>
      </c>
      <c r="CM120" s="381">
        <f t="shared" si="112"/>
        <v>45</v>
      </c>
      <c r="CN120" s="381">
        <f t="shared" si="113"/>
        <v>272.72727272727275</v>
      </c>
      <c r="CO120" s="316">
        <f t="shared" si="87"/>
        <v>100</v>
      </c>
      <c r="CP120" s="381">
        <f t="shared" si="88"/>
        <v>2.7225000000000003E-2</v>
      </c>
      <c r="CQ120" s="381">
        <f t="shared" si="89"/>
        <v>7.425000000000001E-2</v>
      </c>
      <c r="CR120" s="313">
        <v>0</v>
      </c>
      <c r="CS120" s="313">
        <v>0</v>
      </c>
      <c r="CT120" s="313">
        <v>0</v>
      </c>
      <c r="CU120" s="313">
        <v>0</v>
      </c>
      <c r="CV120" s="313">
        <v>0</v>
      </c>
      <c r="CW120" s="313">
        <v>0</v>
      </c>
      <c r="CX120" s="313">
        <v>0</v>
      </c>
      <c r="CY120" s="313">
        <v>0</v>
      </c>
      <c r="CZ120" s="380">
        <v>0</v>
      </c>
      <c r="DA120" s="380">
        <v>0</v>
      </c>
      <c r="DB120" s="380">
        <v>0</v>
      </c>
      <c r="DC120" s="380">
        <v>0</v>
      </c>
      <c r="DD120" s="380">
        <v>0</v>
      </c>
      <c r="DE120" s="380">
        <v>0</v>
      </c>
      <c r="DF120" s="380">
        <v>0</v>
      </c>
      <c r="DG120" s="380">
        <v>0</v>
      </c>
      <c r="DH120" s="380">
        <v>0</v>
      </c>
      <c r="DI120" s="380">
        <v>0</v>
      </c>
      <c r="DJ120" s="380">
        <v>0</v>
      </c>
      <c r="DK120" s="702">
        <f t="shared" si="114"/>
        <v>145</v>
      </c>
      <c r="DL120" s="311">
        <f t="shared" si="91"/>
        <v>0.16500000000000001</v>
      </c>
      <c r="DM120" s="310">
        <f t="shared" si="92"/>
        <v>145</v>
      </c>
      <c r="DN120" s="356">
        <f t="shared" si="93"/>
        <v>100</v>
      </c>
      <c r="DO120" s="308">
        <f t="shared" si="94"/>
        <v>0.16500000000000001</v>
      </c>
      <c r="DP120" s="359">
        <f t="shared" si="117"/>
        <v>0.16500000000000001</v>
      </c>
      <c r="DQ120" s="306">
        <f t="shared" si="95"/>
        <v>0.16500000000000001</v>
      </c>
      <c r="DR120" s="379">
        <f t="shared" si="96"/>
        <v>1</v>
      </c>
      <c r="DS120" s="378">
        <f t="shared" si="97"/>
        <v>0</v>
      </c>
      <c r="DT120" s="173">
        <v>619</v>
      </c>
      <c r="DU120" s="174" t="s">
        <v>272</v>
      </c>
      <c r="DV120" s="173"/>
      <c r="DW120" s="174" t="s">
        <v>84</v>
      </c>
      <c r="DX120" s="173"/>
      <c r="DY120" s="173"/>
      <c r="DZ120" s="173"/>
      <c r="EA120" s="665"/>
      <c r="EB120" s="1254" t="s">
        <v>2513</v>
      </c>
      <c r="EC120" s="537">
        <v>652000000</v>
      </c>
      <c r="EE120" s="740">
        <v>29</v>
      </c>
      <c r="EF120" s="706"/>
    </row>
    <row r="121" spans="4:136" s="302" customFormat="1" ht="60" hidden="1">
      <c r="D121" s="520">
        <v>118</v>
      </c>
      <c r="E121" s="534">
        <v>151</v>
      </c>
      <c r="F121" s="523" t="s">
        <v>43</v>
      </c>
      <c r="G121" s="523" t="s">
        <v>81</v>
      </c>
      <c r="H121" s="524" t="s">
        <v>2654</v>
      </c>
      <c r="I121" s="462" t="s">
        <v>207</v>
      </c>
      <c r="J121" s="335" t="s">
        <v>400</v>
      </c>
      <c r="K121" s="335" t="s">
        <v>401</v>
      </c>
      <c r="L121" s="454" t="s">
        <v>1415</v>
      </c>
      <c r="M121" s="333" t="s">
        <v>1771</v>
      </c>
      <c r="N121" s="333">
        <v>0</v>
      </c>
      <c r="O121" s="333">
        <f>+N121+P121</f>
        <v>5</v>
      </c>
      <c r="P121" s="332">
        <v>5</v>
      </c>
      <c r="Q121" s="390">
        <v>0.16500000000000001</v>
      </c>
      <c r="R121" s="342">
        <f t="shared" si="61"/>
        <v>0</v>
      </c>
      <c r="S121" s="459">
        <v>0</v>
      </c>
      <c r="T121" s="387">
        <f t="shared" si="101"/>
        <v>0</v>
      </c>
      <c r="U121" s="670">
        <v>0</v>
      </c>
      <c r="V121" s="388">
        <f t="shared" si="102"/>
        <v>0</v>
      </c>
      <c r="W121" s="356">
        <f t="shared" si="103"/>
        <v>0</v>
      </c>
      <c r="X121" s="356">
        <f t="shared" si="65"/>
        <v>0</v>
      </c>
      <c r="Y121" s="356">
        <f t="shared" si="98"/>
        <v>0</v>
      </c>
      <c r="Z121" s="356">
        <f t="shared" si="66"/>
        <v>0</v>
      </c>
      <c r="AA121" s="313">
        <v>0</v>
      </c>
      <c r="AB121" s="313">
        <v>0</v>
      </c>
      <c r="AC121" s="313">
        <v>0</v>
      </c>
      <c r="AD121" s="313">
        <v>0</v>
      </c>
      <c r="AE121" s="313">
        <v>0</v>
      </c>
      <c r="AF121" s="313">
        <v>0</v>
      </c>
      <c r="AG121" s="313">
        <v>0</v>
      </c>
      <c r="AH121" s="313">
        <v>0</v>
      </c>
      <c r="AI121" s="313">
        <v>0</v>
      </c>
      <c r="AJ121" s="313">
        <v>0</v>
      </c>
      <c r="AK121" s="313">
        <v>0</v>
      </c>
      <c r="AL121" s="313">
        <v>0</v>
      </c>
      <c r="AM121" s="313">
        <v>0</v>
      </c>
      <c r="AN121" s="313">
        <v>0</v>
      </c>
      <c r="AO121" s="313">
        <v>0</v>
      </c>
      <c r="AP121" s="313">
        <v>0</v>
      </c>
      <c r="AQ121" s="313">
        <v>0</v>
      </c>
      <c r="AR121" s="313">
        <v>0</v>
      </c>
      <c r="AS121" s="313">
        <v>0</v>
      </c>
      <c r="AT121" s="333">
        <f t="shared" si="67"/>
        <v>6.6000000000000003E-2</v>
      </c>
      <c r="AU121" s="333">
        <v>2</v>
      </c>
      <c r="AV121" s="387">
        <f t="shared" si="104"/>
        <v>0.4</v>
      </c>
      <c r="AW121" s="677">
        <v>6</v>
      </c>
      <c r="AX121" s="366">
        <f t="shared" si="105"/>
        <v>6</v>
      </c>
      <c r="AY121" s="366">
        <f t="shared" si="106"/>
        <v>300</v>
      </c>
      <c r="AZ121" s="366">
        <f t="shared" si="71"/>
        <v>100</v>
      </c>
      <c r="BA121" s="354">
        <f t="shared" si="72"/>
        <v>6.6000000000000003E-2</v>
      </c>
      <c r="BB121" s="354">
        <f t="shared" si="73"/>
        <v>100</v>
      </c>
      <c r="BC121" s="353">
        <v>100000000</v>
      </c>
      <c r="BD121" s="353">
        <v>0</v>
      </c>
      <c r="BE121" s="353">
        <v>100000000</v>
      </c>
      <c r="BF121" s="353">
        <v>0</v>
      </c>
      <c r="BG121" s="353">
        <v>0</v>
      </c>
      <c r="BH121" s="353">
        <v>0</v>
      </c>
      <c r="BI121" s="353">
        <v>0</v>
      </c>
      <c r="BJ121" s="353">
        <v>0</v>
      </c>
      <c r="BK121" s="452">
        <v>95000000</v>
      </c>
      <c r="BL121" s="351">
        <v>95000000</v>
      </c>
      <c r="BM121" s="351">
        <v>0</v>
      </c>
      <c r="BN121" s="351">
        <v>0</v>
      </c>
      <c r="BO121" s="351">
        <v>0</v>
      </c>
      <c r="BP121" s="351">
        <v>0</v>
      </c>
      <c r="BQ121" s="351">
        <v>0</v>
      </c>
      <c r="BR121" s="351">
        <v>0</v>
      </c>
      <c r="BS121" s="351">
        <v>0</v>
      </c>
      <c r="BT121" s="351">
        <v>0</v>
      </c>
      <c r="BU121" s="351">
        <v>0</v>
      </c>
      <c r="BV121" s="350">
        <f t="shared" si="74"/>
        <v>6.6000000000000003E-2</v>
      </c>
      <c r="BW121" s="350">
        <v>2</v>
      </c>
      <c r="BX121" s="385">
        <f t="shared" si="107"/>
        <v>0.4</v>
      </c>
      <c r="BY121" s="399">
        <v>0</v>
      </c>
      <c r="BZ121" s="398">
        <v>6</v>
      </c>
      <c r="CA121" s="690">
        <v>2</v>
      </c>
      <c r="CB121" s="324">
        <f t="shared" si="108"/>
        <v>2</v>
      </c>
      <c r="CC121" s="324">
        <f t="shared" si="109"/>
        <v>100</v>
      </c>
      <c r="CD121" s="384">
        <f t="shared" si="78"/>
        <v>100</v>
      </c>
      <c r="CE121" s="383">
        <f t="shared" si="79"/>
        <v>6.6000000000000003E-2</v>
      </c>
      <c r="CF121" s="367">
        <f t="shared" si="80"/>
        <v>100</v>
      </c>
      <c r="CG121" s="383">
        <f t="shared" si="81"/>
        <v>6.6000000000000003E-2</v>
      </c>
      <c r="CH121" s="320">
        <f t="shared" si="82"/>
        <v>3.3000000000000002E-2</v>
      </c>
      <c r="CI121" s="319">
        <v>1</v>
      </c>
      <c r="CJ121" s="318">
        <f t="shared" si="110"/>
        <v>0.2</v>
      </c>
      <c r="CK121" s="1259">
        <v>2</v>
      </c>
      <c r="CL121" s="301">
        <f t="shared" si="111"/>
        <v>-1</v>
      </c>
      <c r="CM121" s="381">
        <f t="shared" si="112"/>
        <v>2</v>
      </c>
      <c r="CN121" s="381">
        <f t="shared" si="113"/>
        <v>200</v>
      </c>
      <c r="CO121" s="316">
        <f t="shared" si="87"/>
        <v>100</v>
      </c>
      <c r="CP121" s="381">
        <f t="shared" si="88"/>
        <v>3.3000000000000002E-2</v>
      </c>
      <c r="CQ121" s="381">
        <f t="shared" si="89"/>
        <v>6.6000000000000003E-2</v>
      </c>
      <c r="CR121" s="313">
        <v>50000000</v>
      </c>
      <c r="CS121" s="313">
        <v>50000000</v>
      </c>
      <c r="CT121" s="313">
        <v>0</v>
      </c>
      <c r="CU121" s="313">
        <v>0</v>
      </c>
      <c r="CV121" s="313">
        <v>0</v>
      </c>
      <c r="CW121" s="313">
        <v>0</v>
      </c>
      <c r="CX121" s="313">
        <v>0</v>
      </c>
      <c r="CY121" s="313">
        <v>0</v>
      </c>
      <c r="CZ121" s="380">
        <v>0</v>
      </c>
      <c r="DA121" s="380">
        <v>0</v>
      </c>
      <c r="DB121" s="380">
        <v>0</v>
      </c>
      <c r="DC121" s="380">
        <v>0</v>
      </c>
      <c r="DD121" s="380">
        <v>0</v>
      </c>
      <c r="DE121" s="380">
        <v>0</v>
      </c>
      <c r="DF121" s="380">
        <v>0</v>
      </c>
      <c r="DG121" s="380">
        <v>0</v>
      </c>
      <c r="DH121" s="380">
        <v>0</v>
      </c>
      <c r="DI121" s="380">
        <v>0</v>
      </c>
      <c r="DJ121" s="380">
        <v>0</v>
      </c>
      <c r="DK121" s="702">
        <f t="shared" si="114"/>
        <v>10</v>
      </c>
      <c r="DL121" s="311">
        <f t="shared" si="91"/>
        <v>0.16500000000000001</v>
      </c>
      <c r="DM121" s="310">
        <f t="shared" si="92"/>
        <v>200</v>
      </c>
      <c r="DN121" s="356">
        <f t="shared" si="93"/>
        <v>100</v>
      </c>
      <c r="DO121" s="308">
        <f t="shared" si="94"/>
        <v>0.16500000000000001</v>
      </c>
      <c r="DP121" s="359">
        <f t="shared" si="117"/>
        <v>0.16500000000000001</v>
      </c>
      <c r="DQ121" s="306">
        <f t="shared" si="95"/>
        <v>0.16500000000000001</v>
      </c>
      <c r="DR121" s="379">
        <f t="shared" si="96"/>
        <v>1</v>
      </c>
      <c r="DS121" s="378">
        <f t="shared" si="97"/>
        <v>0</v>
      </c>
      <c r="DT121" s="173">
        <v>118</v>
      </c>
      <c r="DU121" s="174" t="s">
        <v>319</v>
      </c>
      <c r="DV121" s="173"/>
      <c r="DW121" s="174" t="s">
        <v>84</v>
      </c>
      <c r="DX121" s="173"/>
      <c r="DY121" s="173"/>
      <c r="DZ121" s="173"/>
      <c r="EA121" s="665"/>
      <c r="EB121" s="1254" t="s">
        <v>2449</v>
      </c>
      <c r="EC121" s="537">
        <v>368000000</v>
      </c>
      <c r="EE121" s="734">
        <v>1.45</v>
      </c>
      <c r="EF121" s="706"/>
    </row>
    <row r="122" spans="4:136" s="302" customFormat="1" ht="76.5" hidden="1">
      <c r="D122" s="520">
        <v>119</v>
      </c>
      <c r="E122" s="534">
        <v>152</v>
      </c>
      <c r="F122" s="523" t="s">
        <v>43</v>
      </c>
      <c r="G122" s="523" t="s">
        <v>81</v>
      </c>
      <c r="H122" s="524" t="s">
        <v>2654</v>
      </c>
      <c r="I122" s="462" t="s">
        <v>207</v>
      </c>
      <c r="J122" s="335" t="s">
        <v>402</v>
      </c>
      <c r="K122" s="335" t="s">
        <v>403</v>
      </c>
      <c r="L122" s="454" t="s">
        <v>1509</v>
      </c>
      <c r="M122" s="333" t="s">
        <v>1771</v>
      </c>
      <c r="N122" s="333">
        <v>0</v>
      </c>
      <c r="O122" s="333">
        <f>+N122+P122</f>
        <v>5</v>
      </c>
      <c r="P122" s="332">
        <v>5</v>
      </c>
      <c r="Q122" s="390">
        <v>0.25</v>
      </c>
      <c r="R122" s="342">
        <f t="shared" si="61"/>
        <v>0</v>
      </c>
      <c r="S122" s="459">
        <v>0</v>
      </c>
      <c r="T122" s="387">
        <f t="shared" si="101"/>
        <v>0</v>
      </c>
      <c r="U122" s="670">
        <v>0</v>
      </c>
      <c r="V122" s="388">
        <f t="shared" si="102"/>
        <v>0</v>
      </c>
      <c r="W122" s="356">
        <f t="shared" si="103"/>
        <v>0</v>
      </c>
      <c r="X122" s="356">
        <f t="shared" si="65"/>
        <v>0</v>
      </c>
      <c r="Y122" s="356">
        <f t="shared" si="98"/>
        <v>0</v>
      </c>
      <c r="Z122" s="356">
        <f t="shared" si="66"/>
        <v>0</v>
      </c>
      <c r="AA122" s="313">
        <v>0</v>
      </c>
      <c r="AB122" s="313">
        <v>0</v>
      </c>
      <c r="AC122" s="313">
        <v>0</v>
      </c>
      <c r="AD122" s="313">
        <v>0</v>
      </c>
      <c r="AE122" s="313">
        <v>0</v>
      </c>
      <c r="AF122" s="313">
        <v>0</v>
      </c>
      <c r="AG122" s="313">
        <v>0</v>
      </c>
      <c r="AH122" s="313">
        <v>0</v>
      </c>
      <c r="AI122" s="313">
        <v>0</v>
      </c>
      <c r="AJ122" s="313">
        <v>0</v>
      </c>
      <c r="AK122" s="313">
        <v>0</v>
      </c>
      <c r="AL122" s="313">
        <v>0</v>
      </c>
      <c r="AM122" s="313">
        <v>0</v>
      </c>
      <c r="AN122" s="313">
        <v>0</v>
      </c>
      <c r="AO122" s="313">
        <v>0</v>
      </c>
      <c r="AP122" s="313">
        <v>0</v>
      </c>
      <c r="AQ122" s="313">
        <v>0</v>
      </c>
      <c r="AR122" s="313">
        <v>0</v>
      </c>
      <c r="AS122" s="313">
        <v>0</v>
      </c>
      <c r="AT122" s="333">
        <f t="shared" si="67"/>
        <v>0.1</v>
      </c>
      <c r="AU122" s="333">
        <v>2</v>
      </c>
      <c r="AV122" s="387">
        <f t="shared" si="104"/>
        <v>0.4</v>
      </c>
      <c r="AW122" s="677">
        <v>4</v>
      </c>
      <c r="AX122" s="366">
        <f t="shared" si="105"/>
        <v>4</v>
      </c>
      <c r="AY122" s="366">
        <f t="shared" si="106"/>
        <v>200</v>
      </c>
      <c r="AZ122" s="366">
        <f t="shared" si="71"/>
        <v>100</v>
      </c>
      <c r="BA122" s="354">
        <f t="shared" si="72"/>
        <v>0.1</v>
      </c>
      <c r="BB122" s="354">
        <f t="shared" si="73"/>
        <v>100</v>
      </c>
      <c r="BC122" s="353">
        <v>40000000</v>
      </c>
      <c r="BD122" s="353">
        <v>0</v>
      </c>
      <c r="BE122" s="353">
        <v>40000000</v>
      </c>
      <c r="BF122" s="353">
        <v>0</v>
      </c>
      <c r="BG122" s="353">
        <v>0</v>
      </c>
      <c r="BH122" s="353">
        <v>0</v>
      </c>
      <c r="BI122" s="353">
        <v>0</v>
      </c>
      <c r="BJ122" s="353">
        <v>0</v>
      </c>
      <c r="BK122" s="452">
        <v>355798333</v>
      </c>
      <c r="BL122" s="351">
        <v>355798333</v>
      </c>
      <c r="BM122" s="351">
        <v>0</v>
      </c>
      <c r="BN122" s="351">
        <v>0</v>
      </c>
      <c r="BO122" s="351">
        <v>0</v>
      </c>
      <c r="BP122" s="351">
        <v>0</v>
      </c>
      <c r="BQ122" s="351">
        <v>0</v>
      </c>
      <c r="BR122" s="351">
        <v>0</v>
      </c>
      <c r="BS122" s="351">
        <v>0</v>
      </c>
      <c r="BT122" s="351">
        <v>0</v>
      </c>
      <c r="BU122" s="351">
        <v>0</v>
      </c>
      <c r="BV122" s="350">
        <f t="shared" si="74"/>
        <v>0.1</v>
      </c>
      <c r="BW122" s="350">
        <v>2</v>
      </c>
      <c r="BX122" s="385">
        <f t="shared" si="107"/>
        <v>0.4</v>
      </c>
      <c r="BY122" s="369">
        <v>1</v>
      </c>
      <c r="BZ122" s="391">
        <v>5</v>
      </c>
      <c r="CA122" s="689">
        <v>2</v>
      </c>
      <c r="CB122" s="324">
        <f t="shared" si="108"/>
        <v>2</v>
      </c>
      <c r="CC122" s="324">
        <f t="shared" si="109"/>
        <v>100</v>
      </c>
      <c r="CD122" s="384">
        <f t="shared" si="78"/>
        <v>100</v>
      </c>
      <c r="CE122" s="383">
        <f t="shared" si="79"/>
        <v>0.1</v>
      </c>
      <c r="CF122" s="367">
        <f t="shared" si="80"/>
        <v>100</v>
      </c>
      <c r="CG122" s="383">
        <f t="shared" si="81"/>
        <v>0.1</v>
      </c>
      <c r="CH122" s="320">
        <f t="shared" si="82"/>
        <v>0.05</v>
      </c>
      <c r="CI122" s="319">
        <v>1</v>
      </c>
      <c r="CJ122" s="318">
        <f t="shared" si="110"/>
        <v>0.2</v>
      </c>
      <c r="CK122" s="1259">
        <v>4</v>
      </c>
      <c r="CL122" s="301">
        <f t="shared" si="111"/>
        <v>-3</v>
      </c>
      <c r="CM122" s="381">
        <f t="shared" si="112"/>
        <v>4</v>
      </c>
      <c r="CN122" s="381">
        <f t="shared" si="113"/>
        <v>400</v>
      </c>
      <c r="CO122" s="316">
        <f t="shared" si="87"/>
        <v>100</v>
      </c>
      <c r="CP122" s="381">
        <f t="shared" si="88"/>
        <v>0.05</v>
      </c>
      <c r="CQ122" s="381">
        <f t="shared" si="89"/>
        <v>0.2</v>
      </c>
      <c r="CR122" s="313">
        <v>30000000</v>
      </c>
      <c r="CS122" s="313">
        <v>30000000</v>
      </c>
      <c r="CT122" s="313">
        <v>0</v>
      </c>
      <c r="CU122" s="313">
        <v>0</v>
      </c>
      <c r="CV122" s="313">
        <v>0</v>
      </c>
      <c r="CW122" s="313">
        <v>0</v>
      </c>
      <c r="CX122" s="313">
        <v>0</v>
      </c>
      <c r="CY122" s="313">
        <v>0</v>
      </c>
      <c r="CZ122" s="380">
        <v>0</v>
      </c>
      <c r="DA122" s="380">
        <v>0</v>
      </c>
      <c r="DB122" s="380">
        <v>0</v>
      </c>
      <c r="DC122" s="380">
        <v>0</v>
      </c>
      <c r="DD122" s="380">
        <v>0</v>
      </c>
      <c r="DE122" s="380">
        <v>0</v>
      </c>
      <c r="DF122" s="380">
        <v>0</v>
      </c>
      <c r="DG122" s="380">
        <v>0</v>
      </c>
      <c r="DH122" s="380">
        <v>0</v>
      </c>
      <c r="DI122" s="380">
        <v>0</v>
      </c>
      <c r="DJ122" s="380">
        <v>0</v>
      </c>
      <c r="DK122" s="702">
        <f t="shared" si="114"/>
        <v>10</v>
      </c>
      <c r="DL122" s="311">
        <f t="shared" si="91"/>
        <v>0.25</v>
      </c>
      <c r="DM122" s="310">
        <f t="shared" si="92"/>
        <v>200</v>
      </c>
      <c r="DN122" s="356">
        <f t="shared" si="93"/>
        <v>100</v>
      </c>
      <c r="DO122" s="308">
        <f t="shared" si="94"/>
        <v>0.25</v>
      </c>
      <c r="DP122" s="359">
        <f t="shared" si="117"/>
        <v>0.25</v>
      </c>
      <c r="DQ122" s="306">
        <f t="shared" si="95"/>
        <v>0.25</v>
      </c>
      <c r="DR122" s="379">
        <f t="shared" si="96"/>
        <v>1</v>
      </c>
      <c r="DS122" s="378">
        <f t="shared" si="97"/>
        <v>0</v>
      </c>
      <c r="DT122" s="173">
        <v>118</v>
      </c>
      <c r="DU122" s="174" t="s">
        <v>319</v>
      </c>
      <c r="DV122" s="173"/>
      <c r="DW122" s="174" t="s">
        <v>84</v>
      </c>
      <c r="DX122" s="173"/>
      <c r="DY122" s="173"/>
      <c r="DZ122" s="173"/>
      <c r="EA122" s="665"/>
      <c r="EB122" s="1254" t="s">
        <v>2450</v>
      </c>
      <c r="EC122" s="537">
        <v>500000</v>
      </c>
      <c r="EE122" s="734">
        <v>1</v>
      </c>
      <c r="EF122" s="706"/>
    </row>
    <row r="123" spans="4:136" s="302" customFormat="1" ht="76.5" hidden="1">
      <c r="D123" s="520">
        <v>120</v>
      </c>
      <c r="E123" s="534">
        <v>153</v>
      </c>
      <c r="F123" s="523" t="s">
        <v>43</v>
      </c>
      <c r="G123" s="523" t="s">
        <v>13</v>
      </c>
      <c r="H123" s="524" t="s">
        <v>2654</v>
      </c>
      <c r="I123" s="462" t="s">
        <v>207</v>
      </c>
      <c r="J123" s="335" t="s">
        <v>404</v>
      </c>
      <c r="K123" s="335" t="s">
        <v>405</v>
      </c>
      <c r="L123" s="454" t="s">
        <v>1501</v>
      </c>
      <c r="M123" s="333" t="s">
        <v>1771</v>
      </c>
      <c r="N123" s="333">
        <v>0</v>
      </c>
      <c r="O123" s="333">
        <f>+N123+P123</f>
        <v>1000</v>
      </c>
      <c r="P123" s="332">
        <v>1000</v>
      </c>
      <c r="Q123" s="390">
        <v>0.25</v>
      </c>
      <c r="R123" s="342">
        <f t="shared" si="61"/>
        <v>0</v>
      </c>
      <c r="S123" s="459">
        <v>0</v>
      </c>
      <c r="T123" s="387">
        <f t="shared" si="101"/>
        <v>0</v>
      </c>
      <c r="U123" s="670">
        <v>0</v>
      </c>
      <c r="V123" s="388">
        <f t="shared" si="102"/>
        <v>0</v>
      </c>
      <c r="W123" s="356">
        <f t="shared" si="103"/>
        <v>0</v>
      </c>
      <c r="X123" s="356">
        <f t="shared" si="65"/>
        <v>0</v>
      </c>
      <c r="Y123" s="356">
        <f t="shared" si="98"/>
        <v>0</v>
      </c>
      <c r="Z123" s="356">
        <f t="shared" si="66"/>
        <v>0</v>
      </c>
      <c r="AA123" s="313">
        <v>0</v>
      </c>
      <c r="AB123" s="313">
        <v>0</v>
      </c>
      <c r="AC123" s="313">
        <v>0</v>
      </c>
      <c r="AD123" s="313">
        <v>0</v>
      </c>
      <c r="AE123" s="313">
        <v>0</v>
      </c>
      <c r="AF123" s="313">
        <v>0</v>
      </c>
      <c r="AG123" s="313">
        <v>0</v>
      </c>
      <c r="AH123" s="313">
        <v>0</v>
      </c>
      <c r="AI123" s="313">
        <v>0</v>
      </c>
      <c r="AJ123" s="313">
        <v>0</v>
      </c>
      <c r="AK123" s="313">
        <v>0</v>
      </c>
      <c r="AL123" s="313">
        <v>0</v>
      </c>
      <c r="AM123" s="313">
        <v>0</v>
      </c>
      <c r="AN123" s="313">
        <v>0</v>
      </c>
      <c r="AO123" s="313">
        <v>0</v>
      </c>
      <c r="AP123" s="313">
        <v>0</v>
      </c>
      <c r="AQ123" s="313">
        <v>0</v>
      </c>
      <c r="AR123" s="313">
        <v>0</v>
      </c>
      <c r="AS123" s="313">
        <v>0</v>
      </c>
      <c r="AT123" s="333">
        <f t="shared" si="67"/>
        <v>7.4999999999999997E-2</v>
      </c>
      <c r="AU123" s="333">
        <v>300</v>
      </c>
      <c r="AV123" s="387">
        <f t="shared" si="104"/>
        <v>0.3</v>
      </c>
      <c r="AW123" s="684">
        <v>483</v>
      </c>
      <c r="AX123" s="366">
        <f t="shared" si="105"/>
        <v>483</v>
      </c>
      <c r="AY123" s="366">
        <f t="shared" si="106"/>
        <v>161</v>
      </c>
      <c r="AZ123" s="366">
        <f t="shared" si="71"/>
        <v>100</v>
      </c>
      <c r="BA123" s="354">
        <f t="shared" si="72"/>
        <v>7.4999999999999997E-2</v>
      </c>
      <c r="BB123" s="354">
        <f t="shared" si="73"/>
        <v>100</v>
      </c>
      <c r="BC123" s="353">
        <v>0</v>
      </c>
      <c r="BD123" s="353">
        <v>0</v>
      </c>
      <c r="BE123" s="353">
        <v>0</v>
      </c>
      <c r="BF123" s="353">
        <v>0</v>
      </c>
      <c r="BG123" s="353">
        <v>0</v>
      </c>
      <c r="BH123" s="353">
        <v>0</v>
      </c>
      <c r="BI123" s="353">
        <v>0</v>
      </c>
      <c r="BJ123" s="353">
        <v>0</v>
      </c>
      <c r="BK123" s="452">
        <v>0</v>
      </c>
      <c r="BL123" s="351">
        <v>0</v>
      </c>
      <c r="BM123" s="351">
        <v>0</v>
      </c>
      <c r="BN123" s="351">
        <v>0</v>
      </c>
      <c r="BO123" s="351">
        <v>0</v>
      </c>
      <c r="BP123" s="351">
        <v>0</v>
      </c>
      <c r="BQ123" s="351">
        <v>0</v>
      </c>
      <c r="BR123" s="351">
        <v>0</v>
      </c>
      <c r="BS123" s="351">
        <v>0</v>
      </c>
      <c r="BT123" s="351">
        <v>0</v>
      </c>
      <c r="BU123" s="351">
        <v>0</v>
      </c>
      <c r="BV123" s="350">
        <f t="shared" si="74"/>
        <v>7.4999999999999997E-2</v>
      </c>
      <c r="BW123" s="350">
        <v>300</v>
      </c>
      <c r="BX123" s="385">
        <f t="shared" si="107"/>
        <v>0.3</v>
      </c>
      <c r="BY123" s="467">
        <v>1000</v>
      </c>
      <c r="BZ123" s="466">
        <v>1000</v>
      </c>
      <c r="CA123" s="691">
        <v>1000</v>
      </c>
      <c r="CB123" s="324">
        <f t="shared" si="108"/>
        <v>1000</v>
      </c>
      <c r="CC123" s="324">
        <f t="shared" si="109"/>
        <v>333.33333333333331</v>
      </c>
      <c r="CD123" s="384">
        <f t="shared" si="78"/>
        <v>100</v>
      </c>
      <c r="CE123" s="383">
        <f t="shared" si="79"/>
        <v>7.4999999999999997E-2</v>
      </c>
      <c r="CF123" s="367">
        <f t="shared" si="80"/>
        <v>100</v>
      </c>
      <c r="CG123" s="383">
        <f t="shared" si="81"/>
        <v>0.24999999999999997</v>
      </c>
      <c r="CH123" s="320">
        <f t="shared" si="82"/>
        <v>0.1</v>
      </c>
      <c r="CI123" s="319">
        <v>400</v>
      </c>
      <c r="CJ123" s="318">
        <f t="shared" si="110"/>
        <v>0.4</v>
      </c>
      <c r="CK123" s="1258">
        <v>811</v>
      </c>
      <c r="CL123" s="301">
        <f t="shared" si="111"/>
        <v>-411</v>
      </c>
      <c r="CM123" s="381">
        <f t="shared" si="112"/>
        <v>811</v>
      </c>
      <c r="CN123" s="381">
        <f t="shared" si="113"/>
        <v>202.75</v>
      </c>
      <c r="CO123" s="316">
        <f t="shared" si="87"/>
        <v>100</v>
      </c>
      <c r="CP123" s="381">
        <f t="shared" si="88"/>
        <v>0.1</v>
      </c>
      <c r="CQ123" s="381">
        <f t="shared" si="89"/>
        <v>0.20275000000000001</v>
      </c>
      <c r="CR123" s="313">
        <v>0</v>
      </c>
      <c r="CS123" s="313">
        <v>0</v>
      </c>
      <c r="CT123" s="313">
        <v>0</v>
      </c>
      <c r="CU123" s="313">
        <v>0</v>
      </c>
      <c r="CV123" s="313">
        <v>0</v>
      </c>
      <c r="CW123" s="313">
        <v>0</v>
      </c>
      <c r="CX123" s="313">
        <v>0</v>
      </c>
      <c r="CY123" s="313">
        <v>0</v>
      </c>
      <c r="CZ123" s="380">
        <v>0</v>
      </c>
      <c r="DA123" s="380">
        <v>0</v>
      </c>
      <c r="DB123" s="380">
        <v>0</v>
      </c>
      <c r="DC123" s="380">
        <v>0</v>
      </c>
      <c r="DD123" s="380">
        <v>0</v>
      </c>
      <c r="DE123" s="380">
        <v>0</v>
      </c>
      <c r="DF123" s="380">
        <v>0</v>
      </c>
      <c r="DG123" s="380">
        <v>0</v>
      </c>
      <c r="DH123" s="380">
        <v>0</v>
      </c>
      <c r="DI123" s="380">
        <v>0</v>
      </c>
      <c r="DJ123" s="380">
        <v>0</v>
      </c>
      <c r="DK123" s="702">
        <f t="shared" si="114"/>
        <v>2294</v>
      </c>
      <c r="DL123" s="311">
        <f t="shared" si="91"/>
        <v>0.25</v>
      </c>
      <c r="DM123" s="310">
        <f t="shared" si="92"/>
        <v>229.4</v>
      </c>
      <c r="DN123" s="356">
        <f t="shared" si="93"/>
        <v>100</v>
      </c>
      <c r="DO123" s="308">
        <f t="shared" si="94"/>
        <v>0.25</v>
      </c>
      <c r="DP123" s="359">
        <f t="shared" si="117"/>
        <v>0.25</v>
      </c>
      <c r="DQ123" s="306">
        <f t="shared" si="95"/>
        <v>0.25</v>
      </c>
      <c r="DR123" s="379">
        <f t="shared" si="96"/>
        <v>1</v>
      </c>
      <c r="DS123" s="378">
        <f t="shared" si="97"/>
        <v>0</v>
      </c>
      <c r="DT123" s="173">
        <v>118</v>
      </c>
      <c r="DU123" s="174" t="s">
        <v>319</v>
      </c>
      <c r="DV123" s="173"/>
      <c r="DW123" s="174" t="s">
        <v>84</v>
      </c>
      <c r="DX123" s="173"/>
      <c r="DY123" s="173"/>
      <c r="DZ123" s="173"/>
      <c r="EA123" s="665"/>
      <c r="EB123" s="1254" t="s">
        <v>3105</v>
      </c>
      <c r="EC123" s="537">
        <v>192000000</v>
      </c>
      <c r="EE123" s="740">
        <v>0.08</v>
      </c>
      <c r="EF123" s="706"/>
    </row>
    <row r="124" spans="4:136" s="302" customFormat="1" ht="63.75" hidden="1">
      <c r="D124" s="520">
        <v>121</v>
      </c>
      <c r="E124" s="534">
        <v>154</v>
      </c>
      <c r="F124" s="523" t="s">
        <v>43</v>
      </c>
      <c r="G124" s="523" t="s">
        <v>10</v>
      </c>
      <c r="H124" s="524" t="s">
        <v>2654</v>
      </c>
      <c r="I124" s="462" t="s">
        <v>210</v>
      </c>
      <c r="J124" s="335" t="s">
        <v>406</v>
      </c>
      <c r="K124" s="335" t="s">
        <v>407</v>
      </c>
      <c r="L124" s="454" t="s">
        <v>1415</v>
      </c>
      <c r="M124" s="333" t="s">
        <v>1771</v>
      </c>
      <c r="N124" s="333">
        <v>11</v>
      </c>
      <c r="O124" s="333">
        <v>105</v>
      </c>
      <c r="P124" s="332">
        <v>116</v>
      </c>
      <c r="Q124" s="390">
        <v>0.16500000000000001</v>
      </c>
      <c r="R124" s="342">
        <f t="shared" si="61"/>
        <v>2.1336206896551725E-2</v>
      </c>
      <c r="S124" s="459">
        <v>15</v>
      </c>
      <c r="T124" s="387">
        <f t="shared" si="101"/>
        <v>0.12931034482758622</v>
      </c>
      <c r="U124" s="670">
        <v>16</v>
      </c>
      <c r="V124" s="388">
        <f t="shared" si="102"/>
        <v>16</v>
      </c>
      <c r="W124" s="356">
        <f t="shared" si="103"/>
        <v>106.66666666666667</v>
      </c>
      <c r="X124" s="356">
        <f t="shared" si="65"/>
        <v>100</v>
      </c>
      <c r="Y124" s="356">
        <f t="shared" si="98"/>
        <v>2.1336206896551725E-2</v>
      </c>
      <c r="Z124" s="356">
        <f t="shared" si="66"/>
        <v>100</v>
      </c>
      <c r="AA124" s="313">
        <v>354895000</v>
      </c>
      <c r="AB124" s="313">
        <v>0</v>
      </c>
      <c r="AC124" s="313">
        <v>354895000</v>
      </c>
      <c r="AD124" s="313">
        <v>0</v>
      </c>
      <c r="AE124" s="313">
        <v>0</v>
      </c>
      <c r="AF124" s="313">
        <v>0</v>
      </c>
      <c r="AG124" s="313">
        <v>0</v>
      </c>
      <c r="AH124" s="313">
        <v>0</v>
      </c>
      <c r="AI124" s="313">
        <v>0</v>
      </c>
      <c r="AJ124" s="313">
        <v>0</v>
      </c>
      <c r="AK124" s="313">
        <v>0</v>
      </c>
      <c r="AL124" s="313">
        <v>0</v>
      </c>
      <c r="AM124" s="313">
        <v>0</v>
      </c>
      <c r="AN124" s="313">
        <v>0</v>
      </c>
      <c r="AO124" s="313">
        <v>0</v>
      </c>
      <c r="AP124" s="313">
        <v>0</v>
      </c>
      <c r="AQ124" s="313">
        <v>0</v>
      </c>
      <c r="AR124" s="313">
        <v>0</v>
      </c>
      <c r="AS124" s="313">
        <v>0</v>
      </c>
      <c r="AT124" s="333">
        <f t="shared" si="67"/>
        <v>4.9784482758620692E-2</v>
      </c>
      <c r="AU124" s="333">
        <v>35</v>
      </c>
      <c r="AV124" s="387">
        <f t="shared" si="104"/>
        <v>0.30172413793103448</v>
      </c>
      <c r="AW124" s="682">
        <v>35</v>
      </c>
      <c r="AX124" s="366">
        <f t="shared" si="105"/>
        <v>35</v>
      </c>
      <c r="AY124" s="366">
        <f t="shared" si="106"/>
        <v>100</v>
      </c>
      <c r="AZ124" s="366">
        <f t="shared" si="71"/>
        <v>100</v>
      </c>
      <c r="BA124" s="354">
        <f t="shared" si="72"/>
        <v>4.9784482758620692E-2</v>
      </c>
      <c r="BB124" s="354">
        <f t="shared" si="73"/>
        <v>100</v>
      </c>
      <c r="BC124" s="353">
        <v>373000000</v>
      </c>
      <c r="BD124" s="353">
        <v>373000000</v>
      </c>
      <c r="BE124" s="353">
        <v>0</v>
      </c>
      <c r="BF124" s="353">
        <v>0</v>
      </c>
      <c r="BG124" s="353">
        <v>0</v>
      </c>
      <c r="BH124" s="353">
        <v>0</v>
      </c>
      <c r="BI124" s="353">
        <v>0</v>
      </c>
      <c r="BJ124" s="353">
        <v>0</v>
      </c>
      <c r="BK124" s="452">
        <v>252567350</v>
      </c>
      <c r="BL124" s="351">
        <v>0</v>
      </c>
      <c r="BM124" s="351">
        <v>252567350</v>
      </c>
      <c r="BN124" s="351">
        <v>0</v>
      </c>
      <c r="BO124" s="351">
        <v>0</v>
      </c>
      <c r="BP124" s="351">
        <v>0</v>
      </c>
      <c r="BQ124" s="351">
        <v>0</v>
      </c>
      <c r="BR124" s="351">
        <v>0</v>
      </c>
      <c r="BS124" s="351">
        <v>0</v>
      </c>
      <c r="BT124" s="351">
        <v>0</v>
      </c>
      <c r="BU124" s="351">
        <v>0</v>
      </c>
      <c r="BV124" s="350">
        <f t="shared" si="74"/>
        <v>4.9784482758620692E-2</v>
      </c>
      <c r="BW124" s="350">
        <v>35</v>
      </c>
      <c r="BX124" s="385">
        <f t="shared" si="107"/>
        <v>0.30172413793103448</v>
      </c>
      <c r="BY124" s="369">
        <v>17</v>
      </c>
      <c r="BZ124" s="391">
        <v>26</v>
      </c>
      <c r="CA124" s="689">
        <v>35</v>
      </c>
      <c r="CB124" s="324">
        <f t="shared" si="108"/>
        <v>35</v>
      </c>
      <c r="CC124" s="324">
        <f t="shared" si="109"/>
        <v>100</v>
      </c>
      <c r="CD124" s="384">
        <f t="shared" si="78"/>
        <v>100</v>
      </c>
      <c r="CE124" s="383">
        <f t="shared" si="79"/>
        <v>4.9784482758620692E-2</v>
      </c>
      <c r="CF124" s="367">
        <f t="shared" si="80"/>
        <v>100</v>
      </c>
      <c r="CG124" s="383">
        <f t="shared" si="81"/>
        <v>4.9784482758620692E-2</v>
      </c>
      <c r="CH124" s="320">
        <f t="shared" si="82"/>
        <v>4.4094827586206892E-2</v>
      </c>
      <c r="CI124" s="319">
        <v>31</v>
      </c>
      <c r="CJ124" s="318">
        <f t="shared" si="110"/>
        <v>0.26724137931034481</v>
      </c>
      <c r="CK124" s="1259">
        <v>31</v>
      </c>
      <c r="CL124" s="301">
        <f t="shared" si="111"/>
        <v>0</v>
      </c>
      <c r="CM124" s="381">
        <f t="shared" si="112"/>
        <v>31</v>
      </c>
      <c r="CN124" s="381">
        <f t="shared" si="113"/>
        <v>100</v>
      </c>
      <c r="CO124" s="316">
        <f t="shared" si="87"/>
        <v>100</v>
      </c>
      <c r="CP124" s="381">
        <f t="shared" si="88"/>
        <v>4.4094827586206892E-2</v>
      </c>
      <c r="CQ124" s="381">
        <f t="shared" si="89"/>
        <v>4.4094827586206892E-2</v>
      </c>
      <c r="CR124" s="313">
        <v>373000000</v>
      </c>
      <c r="CS124" s="313">
        <v>0</v>
      </c>
      <c r="CT124" s="313">
        <v>373000000</v>
      </c>
      <c r="CU124" s="313">
        <v>0</v>
      </c>
      <c r="CV124" s="313">
        <v>0</v>
      </c>
      <c r="CW124" s="313">
        <v>0</v>
      </c>
      <c r="CX124" s="313">
        <v>0</v>
      </c>
      <c r="CY124" s="313">
        <v>0</v>
      </c>
      <c r="CZ124" s="380">
        <v>0</v>
      </c>
      <c r="DA124" s="380">
        <v>0</v>
      </c>
      <c r="DB124" s="380">
        <v>0</v>
      </c>
      <c r="DC124" s="380">
        <v>0</v>
      </c>
      <c r="DD124" s="380">
        <v>0</v>
      </c>
      <c r="DE124" s="380">
        <v>0</v>
      </c>
      <c r="DF124" s="380">
        <v>0</v>
      </c>
      <c r="DG124" s="380">
        <v>0</v>
      </c>
      <c r="DH124" s="380">
        <v>0</v>
      </c>
      <c r="DI124" s="380">
        <v>0</v>
      </c>
      <c r="DJ124" s="380">
        <v>0</v>
      </c>
      <c r="DK124" s="702">
        <f t="shared" si="114"/>
        <v>117</v>
      </c>
      <c r="DL124" s="311">
        <f t="shared" si="91"/>
        <v>0.16500000000000001</v>
      </c>
      <c r="DM124" s="310">
        <f t="shared" si="92"/>
        <v>100.86206896551724</v>
      </c>
      <c r="DN124" s="356">
        <f t="shared" si="93"/>
        <v>100</v>
      </c>
      <c r="DO124" s="308">
        <f t="shared" si="94"/>
        <v>0.16500000000000001</v>
      </c>
      <c r="DP124" s="359">
        <f t="shared" si="117"/>
        <v>0.16500000000000001</v>
      </c>
      <c r="DQ124" s="306">
        <f t="shared" si="95"/>
        <v>0.16500000000000001</v>
      </c>
      <c r="DR124" s="379">
        <f t="shared" si="96"/>
        <v>1</v>
      </c>
      <c r="DS124" s="378">
        <f t="shared" si="97"/>
        <v>0</v>
      </c>
      <c r="DT124" s="173">
        <v>118</v>
      </c>
      <c r="DU124" s="174" t="s">
        <v>319</v>
      </c>
      <c r="DV124" s="173"/>
      <c r="DW124" s="174" t="s">
        <v>84</v>
      </c>
      <c r="DX124" s="173"/>
      <c r="DY124" s="173"/>
      <c r="DZ124" s="173"/>
      <c r="EA124" s="665"/>
      <c r="EB124" s="1254" t="s">
        <v>2253</v>
      </c>
      <c r="EC124" s="537">
        <v>120000000</v>
      </c>
      <c r="EE124" s="734">
        <v>1</v>
      </c>
      <c r="EF124" s="706"/>
    </row>
    <row r="125" spans="4:136" s="302" customFormat="1" ht="153" hidden="1">
      <c r="D125" s="520">
        <v>122</v>
      </c>
      <c r="E125" s="534">
        <v>155</v>
      </c>
      <c r="F125" s="523" t="s">
        <v>43</v>
      </c>
      <c r="G125" s="523" t="s">
        <v>7</v>
      </c>
      <c r="H125" s="524" t="s">
        <v>2654</v>
      </c>
      <c r="I125" s="462" t="s">
        <v>210</v>
      </c>
      <c r="J125" s="335" t="s">
        <v>408</v>
      </c>
      <c r="K125" s="335" t="s">
        <v>409</v>
      </c>
      <c r="L125" s="454" t="s">
        <v>1415</v>
      </c>
      <c r="M125" s="333" t="s">
        <v>1771</v>
      </c>
      <c r="N125" s="333">
        <v>0</v>
      </c>
      <c r="O125" s="333">
        <f>+N125+P125</f>
        <v>30</v>
      </c>
      <c r="P125" s="332">
        <v>30</v>
      </c>
      <c r="Q125" s="390">
        <v>0.16500000000000001</v>
      </c>
      <c r="R125" s="342">
        <f t="shared" si="61"/>
        <v>5.5E-2</v>
      </c>
      <c r="S125" s="459">
        <v>10</v>
      </c>
      <c r="T125" s="387">
        <f t="shared" si="101"/>
        <v>0.33333333333333331</v>
      </c>
      <c r="U125" s="670">
        <v>10</v>
      </c>
      <c r="V125" s="388">
        <f t="shared" si="102"/>
        <v>10</v>
      </c>
      <c r="W125" s="356">
        <f t="shared" si="103"/>
        <v>100</v>
      </c>
      <c r="X125" s="356">
        <f t="shared" si="65"/>
        <v>100</v>
      </c>
      <c r="Y125" s="356">
        <f t="shared" si="98"/>
        <v>5.5E-2</v>
      </c>
      <c r="Z125" s="356">
        <f t="shared" si="66"/>
        <v>100</v>
      </c>
      <c r="AA125" s="313">
        <v>48000000</v>
      </c>
      <c r="AB125" s="313">
        <v>48000000</v>
      </c>
      <c r="AC125" s="313">
        <v>0</v>
      </c>
      <c r="AD125" s="313">
        <v>0</v>
      </c>
      <c r="AE125" s="313">
        <v>0</v>
      </c>
      <c r="AF125" s="313">
        <v>0</v>
      </c>
      <c r="AG125" s="313">
        <v>0</v>
      </c>
      <c r="AH125" s="313">
        <v>0</v>
      </c>
      <c r="AI125" s="313">
        <v>10500000</v>
      </c>
      <c r="AJ125" s="313">
        <v>10500000</v>
      </c>
      <c r="AK125" s="313">
        <v>0</v>
      </c>
      <c r="AL125" s="313">
        <v>0</v>
      </c>
      <c r="AM125" s="313">
        <v>0</v>
      </c>
      <c r="AN125" s="313">
        <v>0</v>
      </c>
      <c r="AO125" s="313">
        <v>0</v>
      </c>
      <c r="AP125" s="313">
        <v>0</v>
      </c>
      <c r="AQ125" s="313">
        <v>0</v>
      </c>
      <c r="AR125" s="313">
        <v>0</v>
      </c>
      <c r="AS125" s="313">
        <v>0</v>
      </c>
      <c r="AT125" s="333">
        <f t="shared" si="67"/>
        <v>6.6000000000000003E-2</v>
      </c>
      <c r="AU125" s="333">
        <v>12</v>
      </c>
      <c r="AV125" s="387">
        <f t="shared" si="104"/>
        <v>0.4</v>
      </c>
      <c r="AW125" s="677">
        <v>12</v>
      </c>
      <c r="AX125" s="366">
        <f t="shared" si="105"/>
        <v>12</v>
      </c>
      <c r="AY125" s="366">
        <f t="shared" si="106"/>
        <v>100</v>
      </c>
      <c r="AZ125" s="366">
        <f t="shared" si="71"/>
        <v>100</v>
      </c>
      <c r="BA125" s="354">
        <f t="shared" si="72"/>
        <v>6.6000000000000003E-2</v>
      </c>
      <c r="BB125" s="354">
        <f t="shared" si="73"/>
        <v>100</v>
      </c>
      <c r="BC125" s="353">
        <v>15000000</v>
      </c>
      <c r="BD125" s="353">
        <v>0</v>
      </c>
      <c r="BE125" s="353">
        <v>15000000</v>
      </c>
      <c r="BF125" s="353">
        <v>0</v>
      </c>
      <c r="BG125" s="353">
        <v>0</v>
      </c>
      <c r="BH125" s="353">
        <v>0</v>
      </c>
      <c r="BI125" s="353">
        <v>0</v>
      </c>
      <c r="BJ125" s="353">
        <v>0</v>
      </c>
      <c r="BK125" s="452">
        <v>30000000</v>
      </c>
      <c r="BL125" s="351">
        <v>30000000</v>
      </c>
      <c r="BM125" s="351">
        <v>0</v>
      </c>
      <c r="BN125" s="351">
        <v>0</v>
      </c>
      <c r="BO125" s="351">
        <v>0</v>
      </c>
      <c r="BP125" s="351">
        <v>0</v>
      </c>
      <c r="BQ125" s="351">
        <v>0</v>
      </c>
      <c r="BR125" s="351">
        <v>0</v>
      </c>
      <c r="BS125" s="351">
        <v>0</v>
      </c>
      <c r="BT125" s="351">
        <v>0</v>
      </c>
      <c r="BU125" s="351">
        <v>0</v>
      </c>
      <c r="BV125" s="350">
        <f t="shared" si="74"/>
        <v>2.75E-2</v>
      </c>
      <c r="BW125" s="350">
        <v>5</v>
      </c>
      <c r="BX125" s="385">
        <f t="shared" si="107"/>
        <v>0.16666666666666666</v>
      </c>
      <c r="BY125" s="399">
        <v>4</v>
      </c>
      <c r="BZ125" s="398">
        <v>7</v>
      </c>
      <c r="CA125" s="690">
        <v>8</v>
      </c>
      <c r="CB125" s="324">
        <f t="shared" si="108"/>
        <v>8</v>
      </c>
      <c r="CC125" s="324">
        <f t="shared" si="109"/>
        <v>160</v>
      </c>
      <c r="CD125" s="384">
        <f t="shared" si="78"/>
        <v>100</v>
      </c>
      <c r="CE125" s="383">
        <f t="shared" si="79"/>
        <v>2.75E-2</v>
      </c>
      <c r="CF125" s="367">
        <f t="shared" si="80"/>
        <v>100</v>
      </c>
      <c r="CG125" s="383">
        <f t="shared" si="81"/>
        <v>4.4000000000000004E-2</v>
      </c>
      <c r="CH125" s="320">
        <f t="shared" si="82"/>
        <v>1.6500000000000001E-2</v>
      </c>
      <c r="CI125" s="319">
        <v>3</v>
      </c>
      <c r="CJ125" s="318">
        <f t="shared" si="110"/>
        <v>0.1</v>
      </c>
      <c r="CK125" s="1259">
        <v>8</v>
      </c>
      <c r="CL125" s="301">
        <f t="shared" si="111"/>
        <v>-5</v>
      </c>
      <c r="CM125" s="381">
        <f t="shared" si="112"/>
        <v>8</v>
      </c>
      <c r="CN125" s="381">
        <f t="shared" si="113"/>
        <v>266.66666666666669</v>
      </c>
      <c r="CO125" s="316">
        <f t="shared" si="87"/>
        <v>100</v>
      </c>
      <c r="CP125" s="381">
        <f t="shared" si="88"/>
        <v>1.6500000000000001E-2</v>
      </c>
      <c r="CQ125" s="381">
        <f t="shared" si="89"/>
        <v>4.4000000000000004E-2</v>
      </c>
      <c r="CR125" s="313">
        <v>35000000</v>
      </c>
      <c r="CS125" s="313">
        <v>35000000</v>
      </c>
      <c r="CT125" s="313">
        <v>0</v>
      </c>
      <c r="CU125" s="313">
        <v>0</v>
      </c>
      <c r="CV125" s="313">
        <v>0</v>
      </c>
      <c r="CW125" s="313">
        <v>0</v>
      </c>
      <c r="CX125" s="313">
        <v>0</v>
      </c>
      <c r="CY125" s="313">
        <v>0</v>
      </c>
      <c r="CZ125" s="380">
        <v>0</v>
      </c>
      <c r="DA125" s="380">
        <v>0</v>
      </c>
      <c r="DB125" s="380">
        <v>0</v>
      </c>
      <c r="DC125" s="380">
        <v>0</v>
      </c>
      <c r="DD125" s="380">
        <v>0</v>
      </c>
      <c r="DE125" s="380">
        <v>0</v>
      </c>
      <c r="DF125" s="380">
        <v>0</v>
      </c>
      <c r="DG125" s="380">
        <v>0</v>
      </c>
      <c r="DH125" s="380">
        <v>0</v>
      </c>
      <c r="DI125" s="380">
        <v>0</v>
      </c>
      <c r="DJ125" s="380">
        <v>0</v>
      </c>
      <c r="DK125" s="702">
        <f t="shared" si="114"/>
        <v>38</v>
      </c>
      <c r="DL125" s="311">
        <f t="shared" si="91"/>
        <v>0.16499999999999998</v>
      </c>
      <c r="DM125" s="310">
        <f t="shared" si="92"/>
        <v>126.66666666666667</v>
      </c>
      <c r="DN125" s="356">
        <f t="shared" si="93"/>
        <v>100</v>
      </c>
      <c r="DO125" s="308">
        <f t="shared" si="94"/>
        <v>0.16500000000000001</v>
      </c>
      <c r="DP125" s="359">
        <f t="shared" si="117"/>
        <v>0.16500000000000001</v>
      </c>
      <c r="DQ125" s="306">
        <f t="shared" si="95"/>
        <v>0.16500000000000001</v>
      </c>
      <c r="DR125" s="379">
        <f t="shared" si="96"/>
        <v>1</v>
      </c>
      <c r="DS125" s="378">
        <f t="shared" si="97"/>
        <v>0</v>
      </c>
      <c r="DT125" s="173">
        <v>118</v>
      </c>
      <c r="DU125" s="174" t="s">
        <v>319</v>
      </c>
      <c r="DV125" s="173">
        <v>119</v>
      </c>
      <c r="DW125" s="174" t="s">
        <v>125</v>
      </c>
      <c r="DX125" s="173"/>
      <c r="DY125" s="173"/>
      <c r="DZ125" s="173"/>
      <c r="EA125" s="665"/>
      <c r="EB125" s="1254" t="s">
        <v>2514</v>
      </c>
      <c r="EC125" s="537">
        <v>8500000</v>
      </c>
      <c r="EE125" s="735">
        <v>100</v>
      </c>
      <c r="EF125" s="706"/>
    </row>
    <row r="126" spans="4:136" s="302" customFormat="1" ht="89.25" hidden="1">
      <c r="D126" s="520">
        <v>123</v>
      </c>
      <c r="E126" s="534">
        <v>156</v>
      </c>
      <c r="F126" s="523" t="s">
        <v>43</v>
      </c>
      <c r="G126" s="523" t="s">
        <v>9</v>
      </c>
      <c r="H126" s="524" t="s">
        <v>2654</v>
      </c>
      <c r="I126" s="462" t="s">
        <v>210</v>
      </c>
      <c r="J126" s="335" t="s">
        <v>410</v>
      </c>
      <c r="K126" s="335" t="s">
        <v>411</v>
      </c>
      <c r="L126" s="453" t="s">
        <v>1947</v>
      </c>
      <c r="M126" s="333" t="s">
        <v>1785</v>
      </c>
      <c r="N126" s="333">
        <v>0</v>
      </c>
      <c r="O126" s="333">
        <f>+P126</f>
        <v>100</v>
      </c>
      <c r="P126" s="332">
        <v>100</v>
      </c>
      <c r="Q126" s="390">
        <v>0.16500000000000001</v>
      </c>
      <c r="R126" s="342">
        <f t="shared" si="61"/>
        <v>4.1250000000000002E-2</v>
      </c>
      <c r="S126" s="459">
        <v>100</v>
      </c>
      <c r="T126" s="387">
        <f t="shared" si="101"/>
        <v>0.25</v>
      </c>
      <c r="U126" s="670">
        <v>100</v>
      </c>
      <c r="V126" s="388">
        <f t="shared" si="102"/>
        <v>25</v>
      </c>
      <c r="W126" s="356">
        <f t="shared" si="103"/>
        <v>100</v>
      </c>
      <c r="X126" s="356">
        <f t="shared" si="65"/>
        <v>100</v>
      </c>
      <c r="Y126" s="356">
        <f t="shared" si="98"/>
        <v>4.1250000000000002E-2</v>
      </c>
      <c r="Z126" s="356">
        <f t="shared" si="66"/>
        <v>100</v>
      </c>
      <c r="AA126" s="313">
        <v>0</v>
      </c>
      <c r="AB126" s="313">
        <v>0</v>
      </c>
      <c r="AC126" s="313">
        <v>0</v>
      </c>
      <c r="AD126" s="313">
        <v>0</v>
      </c>
      <c r="AE126" s="313">
        <v>0</v>
      </c>
      <c r="AF126" s="313">
        <v>0</v>
      </c>
      <c r="AG126" s="313">
        <v>0</v>
      </c>
      <c r="AH126" s="313">
        <v>0</v>
      </c>
      <c r="AI126" s="313">
        <v>0</v>
      </c>
      <c r="AJ126" s="313">
        <v>0</v>
      </c>
      <c r="AK126" s="313">
        <v>0</v>
      </c>
      <c r="AL126" s="313">
        <v>0</v>
      </c>
      <c r="AM126" s="313">
        <v>0</v>
      </c>
      <c r="AN126" s="313">
        <v>0</v>
      </c>
      <c r="AO126" s="313">
        <v>0</v>
      </c>
      <c r="AP126" s="313">
        <v>0</v>
      </c>
      <c r="AQ126" s="313">
        <v>0</v>
      </c>
      <c r="AR126" s="313">
        <v>0</v>
      </c>
      <c r="AS126" s="313">
        <v>0</v>
      </c>
      <c r="AT126" s="333">
        <f t="shared" si="67"/>
        <v>4.1250000000000002E-2</v>
      </c>
      <c r="AU126" s="333">
        <v>100</v>
      </c>
      <c r="AV126" s="387">
        <f t="shared" si="104"/>
        <v>0.25</v>
      </c>
      <c r="AW126" s="677">
        <v>100</v>
      </c>
      <c r="AX126" s="366">
        <f t="shared" si="105"/>
        <v>25</v>
      </c>
      <c r="AY126" s="366">
        <f t="shared" si="106"/>
        <v>100</v>
      </c>
      <c r="AZ126" s="366">
        <f t="shared" si="71"/>
        <v>100</v>
      </c>
      <c r="BA126" s="354">
        <f t="shared" si="72"/>
        <v>4.1250000000000002E-2</v>
      </c>
      <c r="BB126" s="354">
        <f t="shared" si="73"/>
        <v>100</v>
      </c>
      <c r="BC126" s="353">
        <v>20000000</v>
      </c>
      <c r="BD126" s="353">
        <v>0</v>
      </c>
      <c r="BE126" s="353">
        <v>20000000</v>
      </c>
      <c r="BF126" s="353">
        <v>0</v>
      </c>
      <c r="BG126" s="353">
        <v>0</v>
      </c>
      <c r="BH126" s="353">
        <v>0</v>
      </c>
      <c r="BI126" s="353">
        <v>0</v>
      </c>
      <c r="BJ126" s="353">
        <v>0</v>
      </c>
      <c r="BK126" s="452">
        <v>20000000</v>
      </c>
      <c r="BL126" s="351">
        <v>20000000</v>
      </c>
      <c r="BM126" s="351">
        <v>0</v>
      </c>
      <c r="BN126" s="351">
        <v>0</v>
      </c>
      <c r="BO126" s="351">
        <v>0</v>
      </c>
      <c r="BP126" s="351">
        <v>0</v>
      </c>
      <c r="BQ126" s="351">
        <v>0</v>
      </c>
      <c r="BR126" s="351">
        <v>0</v>
      </c>
      <c r="BS126" s="351">
        <v>0</v>
      </c>
      <c r="BT126" s="351">
        <v>0</v>
      </c>
      <c r="BU126" s="351">
        <v>0</v>
      </c>
      <c r="BV126" s="350">
        <f t="shared" si="74"/>
        <v>4.1250000000000002E-2</v>
      </c>
      <c r="BW126" s="350">
        <v>100</v>
      </c>
      <c r="BX126" s="385">
        <f t="shared" si="107"/>
        <v>0.25</v>
      </c>
      <c r="BY126" s="369">
        <v>116</v>
      </c>
      <c r="BZ126" s="391">
        <v>100</v>
      </c>
      <c r="CA126" s="689">
        <v>100</v>
      </c>
      <c r="CB126" s="324">
        <f t="shared" si="108"/>
        <v>25</v>
      </c>
      <c r="CC126" s="324">
        <f t="shared" si="109"/>
        <v>100</v>
      </c>
      <c r="CD126" s="384">
        <f t="shared" si="78"/>
        <v>100</v>
      </c>
      <c r="CE126" s="383">
        <f t="shared" si="79"/>
        <v>4.1250000000000002E-2</v>
      </c>
      <c r="CF126" s="367">
        <f t="shared" si="80"/>
        <v>100</v>
      </c>
      <c r="CG126" s="383">
        <f t="shared" si="81"/>
        <v>4.1250000000000002E-2</v>
      </c>
      <c r="CH126" s="320">
        <f t="shared" si="82"/>
        <v>4.1250000000000002E-2</v>
      </c>
      <c r="CI126" s="319">
        <v>100</v>
      </c>
      <c r="CJ126" s="318">
        <f t="shared" si="110"/>
        <v>0.25</v>
      </c>
      <c r="CK126" s="1259">
        <v>100</v>
      </c>
      <c r="CL126" s="301">
        <f t="shared" si="111"/>
        <v>0</v>
      </c>
      <c r="CM126" s="381">
        <f t="shared" si="112"/>
        <v>25</v>
      </c>
      <c r="CN126" s="381">
        <f t="shared" si="113"/>
        <v>100</v>
      </c>
      <c r="CO126" s="381">
        <f t="shared" si="87"/>
        <v>100</v>
      </c>
      <c r="CP126" s="381">
        <f t="shared" si="88"/>
        <v>4.1250000000000002E-2</v>
      </c>
      <c r="CQ126" s="381">
        <f t="shared" si="89"/>
        <v>4.1250000000000002E-2</v>
      </c>
      <c r="CR126" s="313">
        <v>0</v>
      </c>
      <c r="CS126" s="313">
        <v>0</v>
      </c>
      <c r="CT126" s="313">
        <v>0</v>
      </c>
      <c r="CU126" s="313">
        <v>0</v>
      </c>
      <c r="CV126" s="313">
        <v>0</v>
      </c>
      <c r="CW126" s="313">
        <v>0</v>
      </c>
      <c r="CX126" s="313">
        <v>0</v>
      </c>
      <c r="CY126" s="313">
        <v>0</v>
      </c>
      <c r="CZ126" s="380">
        <v>0</v>
      </c>
      <c r="DA126" s="380">
        <v>0</v>
      </c>
      <c r="DB126" s="380">
        <v>0</v>
      </c>
      <c r="DC126" s="380">
        <v>0</v>
      </c>
      <c r="DD126" s="380">
        <v>0</v>
      </c>
      <c r="DE126" s="380">
        <v>0</v>
      </c>
      <c r="DF126" s="380">
        <v>0</v>
      </c>
      <c r="DG126" s="380">
        <v>0</v>
      </c>
      <c r="DH126" s="380">
        <v>0</v>
      </c>
      <c r="DI126" s="380">
        <v>0</v>
      </c>
      <c r="DJ126" s="380">
        <v>0</v>
      </c>
      <c r="DK126" s="702">
        <f t="shared" si="114"/>
        <v>100</v>
      </c>
      <c r="DL126" s="311">
        <f t="shared" si="91"/>
        <v>0.16500000000000001</v>
      </c>
      <c r="DM126" s="310">
        <f t="shared" si="92"/>
        <v>100</v>
      </c>
      <c r="DN126" s="356">
        <f t="shared" si="93"/>
        <v>100</v>
      </c>
      <c r="DO126" s="308">
        <f t="shared" si="94"/>
        <v>0.16500000000000001</v>
      </c>
      <c r="DP126" s="359">
        <f>+IF(M126="M",DO126,0)</f>
        <v>0.16500000000000001</v>
      </c>
      <c r="DQ126" s="306">
        <f t="shared" si="95"/>
        <v>0.16500000000000001</v>
      </c>
      <c r="DR126" s="379">
        <f t="shared" si="96"/>
        <v>1</v>
      </c>
      <c r="DS126" s="378">
        <f t="shared" si="97"/>
        <v>0</v>
      </c>
      <c r="DT126" s="173">
        <v>115</v>
      </c>
      <c r="DU126" s="174" t="s">
        <v>127</v>
      </c>
      <c r="DV126" s="173"/>
      <c r="DW126" s="174" t="s">
        <v>84</v>
      </c>
      <c r="DX126" s="173"/>
      <c r="DY126" s="173"/>
      <c r="DZ126" s="173"/>
      <c r="EA126" s="665"/>
      <c r="EB126" s="1254" t="s">
        <v>2093</v>
      </c>
      <c r="EC126" s="537">
        <v>0</v>
      </c>
      <c r="EE126" s="734">
        <v>1</v>
      </c>
      <c r="EF126" s="706"/>
    </row>
    <row r="127" spans="4:136" s="302" customFormat="1" ht="51" hidden="1">
      <c r="D127" s="520">
        <v>124</v>
      </c>
      <c r="E127" s="534">
        <v>157</v>
      </c>
      <c r="F127" s="523" t="s">
        <v>43</v>
      </c>
      <c r="G127" s="523" t="s">
        <v>9</v>
      </c>
      <c r="H127" s="524" t="s">
        <v>2654</v>
      </c>
      <c r="I127" s="462" t="s">
        <v>210</v>
      </c>
      <c r="J127" s="335" t="s">
        <v>412</v>
      </c>
      <c r="K127" s="335" t="s">
        <v>413</v>
      </c>
      <c r="L127" s="454" t="s">
        <v>1415</v>
      </c>
      <c r="M127" s="333" t="s">
        <v>1785</v>
      </c>
      <c r="N127" s="333">
        <v>0</v>
      </c>
      <c r="O127" s="333">
        <f>+P127</f>
        <v>116</v>
      </c>
      <c r="P127" s="332">
        <v>116</v>
      </c>
      <c r="Q127" s="390">
        <v>0.16500000000000001</v>
      </c>
      <c r="R127" s="342">
        <f t="shared" si="61"/>
        <v>4.1250000000000002E-2</v>
      </c>
      <c r="S127" s="459">
        <v>116</v>
      </c>
      <c r="T127" s="387">
        <f t="shared" si="101"/>
        <v>0.25</v>
      </c>
      <c r="U127" s="670">
        <v>0</v>
      </c>
      <c r="V127" s="388">
        <f t="shared" si="102"/>
        <v>0</v>
      </c>
      <c r="W127" s="356">
        <f t="shared" si="103"/>
        <v>0</v>
      </c>
      <c r="X127" s="356">
        <f t="shared" si="65"/>
        <v>0</v>
      </c>
      <c r="Y127" s="356">
        <f t="shared" si="98"/>
        <v>0</v>
      </c>
      <c r="Z127" s="356">
        <f t="shared" si="66"/>
        <v>0</v>
      </c>
      <c r="AA127" s="313">
        <v>0</v>
      </c>
      <c r="AB127" s="313">
        <v>0</v>
      </c>
      <c r="AC127" s="313">
        <v>0</v>
      </c>
      <c r="AD127" s="313">
        <v>0</v>
      </c>
      <c r="AE127" s="313">
        <v>0</v>
      </c>
      <c r="AF127" s="313">
        <v>0</v>
      </c>
      <c r="AG127" s="313">
        <v>0</v>
      </c>
      <c r="AH127" s="313">
        <v>0</v>
      </c>
      <c r="AI127" s="313">
        <v>0</v>
      </c>
      <c r="AJ127" s="313">
        <v>0</v>
      </c>
      <c r="AK127" s="313">
        <v>0</v>
      </c>
      <c r="AL127" s="313">
        <v>0</v>
      </c>
      <c r="AM127" s="313">
        <v>0</v>
      </c>
      <c r="AN127" s="313">
        <v>0</v>
      </c>
      <c r="AO127" s="313">
        <v>0</v>
      </c>
      <c r="AP127" s="313">
        <v>0</v>
      </c>
      <c r="AQ127" s="313">
        <v>0</v>
      </c>
      <c r="AR127" s="313">
        <v>0</v>
      </c>
      <c r="AS127" s="313">
        <v>0</v>
      </c>
      <c r="AT127" s="333">
        <f t="shared" si="67"/>
        <v>4.1250000000000002E-2</v>
      </c>
      <c r="AU127" s="333">
        <v>116</v>
      </c>
      <c r="AV127" s="387">
        <f t="shared" si="104"/>
        <v>0.25</v>
      </c>
      <c r="AW127" s="677">
        <v>116</v>
      </c>
      <c r="AX127" s="366">
        <f t="shared" si="105"/>
        <v>29</v>
      </c>
      <c r="AY127" s="366">
        <f t="shared" si="106"/>
        <v>100</v>
      </c>
      <c r="AZ127" s="366">
        <f t="shared" si="71"/>
        <v>100</v>
      </c>
      <c r="BA127" s="354">
        <f t="shared" si="72"/>
        <v>4.1250000000000002E-2</v>
      </c>
      <c r="BB127" s="354">
        <f t="shared" si="73"/>
        <v>100</v>
      </c>
      <c r="BC127" s="353">
        <v>50000000</v>
      </c>
      <c r="BD127" s="353">
        <v>0</v>
      </c>
      <c r="BE127" s="353">
        <v>50000000</v>
      </c>
      <c r="BF127" s="353">
        <v>0</v>
      </c>
      <c r="BG127" s="353">
        <v>0</v>
      </c>
      <c r="BH127" s="353">
        <v>0</v>
      </c>
      <c r="BI127" s="353">
        <v>0</v>
      </c>
      <c r="BJ127" s="353">
        <v>0</v>
      </c>
      <c r="BK127" s="452">
        <v>0</v>
      </c>
      <c r="BL127" s="351">
        <v>0</v>
      </c>
      <c r="BM127" s="351">
        <v>0</v>
      </c>
      <c r="BN127" s="351">
        <v>0</v>
      </c>
      <c r="BO127" s="351">
        <v>0</v>
      </c>
      <c r="BP127" s="351">
        <v>0</v>
      </c>
      <c r="BQ127" s="351">
        <v>0</v>
      </c>
      <c r="BR127" s="351">
        <v>0</v>
      </c>
      <c r="BS127" s="351">
        <v>0</v>
      </c>
      <c r="BT127" s="351">
        <v>0</v>
      </c>
      <c r="BU127" s="351">
        <v>0</v>
      </c>
      <c r="BV127" s="350">
        <f t="shared" si="74"/>
        <v>4.1250000000000002E-2</v>
      </c>
      <c r="BW127" s="350">
        <v>116</v>
      </c>
      <c r="BX127" s="385">
        <f t="shared" si="107"/>
        <v>0.25</v>
      </c>
      <c r="BY127" s="369">
        <v>116</v>
      </c>
      <c r="BZ127" s="391">
        <v>116</v>
      </c>
      <c r="CA127" s="689">
        <v>116</v>
      </c>
      <c r="CB127" s="324">
        <f t="shared" si="108"/>
        <v>29</v>
      </c>
      <c r="CC127" s="324">
        <f t="shared" si="109"/>
        <v>100</v>
      </c>
      <c r="CD127" s="384">
        <f t="shared" si="78"/>
        <v>100</v>
      </c>
      <c r="CE127" s="383">
        <f t="shared" si="79"/>
        <v>4.1250000000000002E-2</v>
      </c>
      <c r="CF127" s="367">
        <f t="shared" si="80"/>
        <v>100</v>
      </c>
      <c r="CG127" s="383">
        <f t="shared" si="81"/>
        <v>4.1250000000000002E-2</v>
      </c>
      <c r="CH127" s="320">
        <f t="shared" si="82"/>
        <v>4.1250000000000002E-2</v>
      </c>
      <c r="CI127" s="319">
        <v>0</v>
      </c>
      <c r="CJ127" s="318">
        <f t="shared" si="110"/>
        <v>0.25</v>
      </c>
      <c r="CK127" s="1258">
        <v>100</v>
      </c>
      <c r="CL127" s="301">
        <f t="shared" si="111"/>
        <v>-100</v>
      </c>
      <c r="CM127" s="381">
        <f t="shared" si="112"/>
        <v>25</v>
      </c>
      <c r="CN127" s="381">
        <f t="shared" si="113"/>
        <v>0</v>
      </c>
      <c r="CO127" s="381">
        <f t="shared" si="87"/>
        <v>0</v>
      </c>
      <c r="CP127" s="381">
        <f t="shared" si="88"/>
        <v>0</v>
      </c>
      <c r="CQ127" s="381">
        <f t="shared" si="89"/>
        <v>0</v>
      </c>
      <c r="CR127" s="313">
        <v>0</v>
      </c>
      <c r="CS127" s="313">
        <v>0</v>
      </c>
      <c r="CT127" s="313">
        <v>0</v>
      </c>
      <c r="CU127" s="313">
        <v>0</v>
      </c>
      <c r="CV127" s="313">
        <v>0</v>
      </c>
      <c r="CW127" s="313">
        <v>0</v>
      </c>
      <c r="CX127" s="313">
        <v>0</v>
      </c>
      <c r="CY127" s="313">
        <v>0</v>
      </c>
      <c r="CZ127" s="380">
        <v>0</v>
      </c>
      <c r="DA127" s="380">
        <v>0</v>
      </c>
      <c r="DB127" s="380">
        <v>0</v>
      </c>
      <c r="DC127" s="380">
        <v>0</v>
      </c>
      <c r="DD127" s="380">
        <v>0</v>
      </c>
      <c r="DE127" s="380">
        <v>0</v>
      </c>
      <c r="DF127" s="380">
        <v>0</v>
      </c>
      <c r="DG127" s="380">
        <v>0</v>
      </c>
      <c r="DH127" s="380">
        <v>0</v>
      </c>
      <c r="DI127" s="380">
        <v>0</v>
      </c>
      <c r="DJ127" s="380">
        <v>0</v>
      </c>
      <c r="DK127" s="702">
        <f t="shared" si="114"/>
        <v>83</v>
      </c>
      <c r="DL127" s="311">
        <f t="shared" si="91"/>
        <v>0.16500000000000001</v>
      </c>
      <c r="DM127" s="310">
        <f t="shared" si="92"/>
        <v>71.551724137931032</v>
      </c>
      <c r="DN127" s="356">
        <f t="shared" si="93"/>
        <v>71.551724137931032</v>
      </c>
      <c r="DO127" s="308">
        <f t="shared" si="94"/>
        <v>0.11806034482758621</v>
      </c>
      <c r="DP127" s="359">
        <f>+IF(M127="M",DO127,0)</f>
        <v>0.11806034482758621</v>
      </c>
      <c r="DQ127" s="306">
        <f t="shared" si="95"/>
        <v>0.11806034482758621</v>
      </c>
      <c r="DR127" s="379">
        <f t="shared" si="96"/>
        <v>1</v>
      </c>
      <c r="DS127" s="378">
        <f t="shared" si="97"/>
        <v>0</v>
      </c>
      <c r="DT127" s="173">
        <v>115</v>
      </c>
      <c r="DU127" s="174" t="s">
        <v>127</v>
      </c>
      <c r="DV127" s="173"/>
      <c r="DW127" s="174" t="s">
        <v>84</v>
      </c>
      <c r="DX127" s="173"/>
      <c r="DY127" s="173"/>
      <c r="DZ127" s="173"/>
      <c r="EA127" s="665"/>
      <c r="EB127" s="1254" t="s">
        <v>2094</v>
      </c>
      <c r="EC127" s="537">
        <v>80000000</v>
      </c>
      <c r="EE127" s="734">
        <v>1</v>
      </c>
      <c r="EF127" s="706"/>
    </row>
    <row r="128" spans="4:136" s="302" customFormat="1" ht="76.5" hidden="1">
      <c r="D128" s="520">
        <v>125</v>
      </c>
      <c r="E128" s="534">
        <v>161</v>
      </c>
      <c r="F128" s="523" t="s">
        <v>43</v>
      </c>
      <c r="G128" s="523" t="s">
        <v>10</v>
      </c>
      <c r="H128" s="524" t="s">
        <v>2655</v>
      </c>
      <c r="I128" s="462" t="s">
        <v>171</v>
      </c>
      <c r="J128" s="335" t="s">
        <v>414</v>
      </c>
      <c r="K128" s="335" t="s">
        <v>415</v>
      </c>
      <c r="L128" s="454" t="s">
        <v>1415</v>
      </c>
      <c r="M128" s="333" t="s">
        <v>1771</v>
      </c>
      <c r="N128" s="333">
        <v>0</v>
      </c>
      <c r="O128" s="333">
        <f>+N128+P128</f>
        <v>116</v>
      </c>
      <c r="P128" s="332">
        <v>116</v>
      </c>
      <c r="Q128" s="390">
        <v>0.25</v>
      </c>
      <c r="R128" s="342">
        <f t="shared" si="61"/>
        <v>3.6637931034482756E-2</v>
      </c>
      <c r="S128" s="459">
        <v>17</v>
      </c>
      <c r="T128" s="387">
        <f t="shared" si="101"/>
        <v>0.14655172413793102</v>
      </c>
      <c r="U128" s="670">
        <v>12</v>
      </c>
      <c r="V128" s="388">
        <f t="shared" si="102"/>
        <v>12</v>
      </c>
      <c r="W128" s="356">
        <f t="shared" si="103"/>
        <v>70.588235294117652</v>
      </c>
      <c r="X128" s="356">
        <f t="shared" si="65"/>
        <v>70.588235294117652</v>
      </c>
      <c r="Y128" s="356">
        <f t="shared" si="98"/>
        <v>2.5862068965517241E-2</v>
      </c>
      <c r="Z128" s="356">
        <f t="shared" si="66"/>
        <v>70.588235294117652</v>
      </c>
      <c r="AA128" s="313">
        <v>0</v>
      </c>
      <c r="AB128" s="313">
        <v>0</v>
      </c>
      <c r="AC128" s="313">
        <v>0</v>
      </c>
      <c r="AD128" s="313">
        <v>0</v>
      </c>
      <c r="AE128" s="313">
        <v>0</v>
      </c>
      <c r="AF128" s="313">
        <v>0</v>
      </c>
      <c r="AG128" s="313">
        <v>0</v>
      </c>
      <c r="AH128" s="313">
        <v>0</v>
      </c>
      <c r="AI128" s="313">
        <v>306600000</v>
      </c>
      <c r="AJ128" s="313">
        <v>306600000</v>
      </c>
      <c r="AK128" s="313">
        <v>0</v>
      </c>
      <c r="AL128" s="313">
        <v>0</v>
      </c>
      <c r="AM128" s="313">
        <v>0</v>
      </c>
      <c r="AN128" s="313">
        <v>0</v>
      </c>
      <c r="AO128" s="313">
        <v>0</v>
      </c>
      <c r="AP128" s="313">
        <v>0</v>
      </c>
      <c r="AQ128" s="313">
        <v>0</v>
      </c>
      <c r="AR128" s="313">
        <v>0</v>
      </c>
      <c r="AS128" s="313">
        <v>0</v>
      </c>
      <c r="AT128" s="333">
        <f t="shared" si="67"/>
        <v>3.6637931034482756E-2</v>
      </c>
      <c r="AU128" s="333">
        <v>17</v>
      </c>
      <c r="AV128" s="387">
        <f t="shared" si="104"/>
        <v>0.14655172413793102</v>
      </c>
      <c r="AW128" s="677">
        <v>35</v>
      </c>
      <c r="AX128" s="366">
        <f t="shared" si="105"/>
        <v>35</v>
      </c>
      <c r="AY128" s="366">
        <f t="shared" si="106"/>
        <v>205.88235294117646</v>
      </c>
      <c r="AZ128" s="366">
        <f t="shared" si="71"/>
        <v>100</v>
      </c>
      <c r="BA128" s="354">
        <f t="shared" si="72"/>
        <v>3.6637931034482756E-2</v>
      </c>
      <c r="BB128" s="354">
        <f t="shared" si="73"/>
        <v>100</v>
      </c>
      <c r="BC128" s="353">
        <v>234000000</v>
      </c>
      <c r="BD128" s="353">
        <v>0</v>
      </c>
      <c r="BE128" s="353">
        <v>234000000</v>
      </c>
      <c r="BF128" s="353">
        <v>0</v>
      </c>
      <c r="BG128" s="353">
        <v>0</v>
      </c>
      <c r="BH128" s="353">
        <v>0</v>
      </c>
      <c r="BI128" s="353">
        <v>0</v>
      </c>
      <c r="BJ128" s="353">
        <v>0</v>
      </c>
      <c r="BK128" s="452">
        <v>247001666</v>
      </c>
      <c r="BL128" s="351">
        <v>207500000</v>
      </c>
      <c r="BM128" s="351">
        <v>39501666</v>
      </c>
      <c r="BN128" s="351">
        <v>0</v>
      </c>
      <c r="BO128" s="351">
        <v>0</v>
      </c>
      <c r="BP128" s="351">
        <v>0</v>
      </c>
      <c r="BQ128" s="351">
        <v>0</v>
      </c>
      <c r="BR128" s="351">
        <v>0</v>
      </c>
      <c r="BS128" s="351">
        <v>0</v>
      </c>
      <c r="BT128" s="351">
        <v>0</v>
      </c>
      <c r="BU128" s="351">
        <v>0</v>
      </c>
      <c r="BV128" s="350">
        <f t="shared" si="74"/>
        <v>8.8362068965517238E-2</v>
      </c>
      <c r="BW128" s="350">
        <v>41</v>
      </c>
      <c r="BX128" s="385">
        <f t="shared" si="107"/>
        <v>0.35344827586206895</v>
      </c>
      <c r="BY128" s="369">
        <v>18</v>
      </c>
      <c r="BZ128" s="391">
        <v>28</v>
      </c>
      <c r="CA128" s="689">
        <v>41</v>
      </c>
      <c r="CB128" s="324">
        <f t="shared" si="108"/>
        <v>41</v>
      </c>
      <c r="CC128" s="324">
        <f t="shared" si="109"/>
        <v>100</v>
      </c>
      <c r="CD128" s="384">
        <f t="shared" si="78"/>
        <v>100</v>
      </c>
      <c r="CE128" s="383">
        <f t="shared" si="79"/>
        <v>8.8362068965517238E-2</v>
      </c>
      <c r="CF128" s="367">
        <f t="shared" si="80"/>
        <v>100</v>
      </c>
      <c r="CG128" s="383">
        <f t="shared" si="81"/>
        <v>8.8362068965517238E-2</v>
      </c>
      <c r="CH128" s="320">
        <f t="shared" si="82"/>
        <v>8.8362068965517238E-2</v>
      </c>
      <c r="CI128" s="319">
        <v>41</v>
      </c>
      <c r="CJ128" s="318">
        <f t="shared" si="110"/>
        <v>0.35344827586206895</v>
      </c>
      <c r="CK128" s="1259">
        <v>40</v>
      </c>
      <c r="CL128" s="301">
        <f t="shared" si="111"/>
        <v>1</v>
      </c>
      <c r="CM128" s="381">
        <f t="shared" si="112"/>
        <v>40</v>
      </c>
      <c r="CN128" s="381">
        <f t="shared" si="113"/>
        <v>97.560975609756099</v>
      </c>
      <c r="CO128" s="316">
        <f t="shared" si="87"/>
        <v>97.560975609756099</v>
      </c>
      <c r="CP128" s="381">
        <f t="shared" si="88"/>
        <v>8.620689655172413E-2</v>
      </c>
      <c r="CQ128" s="381">
        <f t="shared" si="89"/>
        <v>8.620689655172413E-2</v>
      </c>
      <c r="CR128" s="313">
        <v>540000000</v>
      </c>
      <c r="CS128" s="313">
        <v>540000000</v>
      </c>
      <c r="CT128" s="313">
        <v>0</v>
      </c>
      <c r="CU128" s="313">
        <v>0</v>
      </c>
      <c r="CV128" s="313">
        <v>0</v>
      </c>
      <c r="CW128" s="313">
        <v>0</v>
      </c>
      <c r="CX128" s="313">
        <v>0</v>
      </c>
      <c r="CY128" s="313">
        <v>0</v>
      </c>
      <c r="CZ128" s="380">
        <v>0</v>
      </c>
      <c r="DA128" s="380">
        <v>0</v>
      </c>
      <c r="DB128" s="380">
        <v>0</v>
      </c>
      <c r="DC128" s="380">
        <v>0</v>
      </c>
      <c r="DD128" s="380">
        <v>0</v>
      </c>
      <c r="DE128" s="380">
        <v>0</v>
      </c>
      <c r="DF128" s="380">
        <v>0</v>
      </c>
      <c r="DG128" s="380">
        <v>0</v>
      </c>
      <c r="DH128" s="380">
        <v>0</v>
      </c>
      <c r="DI128" s="380">
        <v>0</v>
      </c>
      <c r="DJ128" s="380">
        <v>0</v>
      </c>
      <c r="DK128" s="702">
        <f t="shared" si="114"/>
        <v>128</v>
      </c>
      <c r="DL128" s="311">
        <f t="shared" si="91"/>
        <v>0.25</v>
      </c>
      <c r="DM128" s="310">
        <f t="shared" si="92"/>
        <v>110.34482758620689</v>
      </c>
      <c r="DN128" s="356">
        <f t="shared" si="93"/>
        <v>100</v>
      </c>
      <c r="DO128" s="308">
        <f t="shared" si="94"/>
        <v>0.25</v>
      </c>
      <c r="DP128" s="359">
        <f>+IF(((DN128*Q128)/100)&lt;Q128, ((DN128*Q128)/100),Q128)</f>
        <v>0.25</v>
      </c>
      <c r="DQ128" s="306">
        <f t="shared" si="95"/>
        <v>0.25</v>
      </c>
      <c r="DR128" s="379">
        <f t="shared" si="96"/>
        <v>1</v>
      </c>
      <c r="DS128" s="378">
        <f t="shared" si="97"/>
        <v>0</v>
      </c>
      <c r="DT128" s="173">
        <v>160</v>
      </c>
      <c r="DU128" s="174" t="s">
        <v>416</v>
      </c>
      <c r="DV128" s="173"/>
      <c r="DW128" s="174" t="s">
        <v>84</v>
      </c>
      <c r="DX128" s="173"/>
      <c r="DY128" s="173"/>
      <c r="DZ128" s="173"/>
      <c r="EA128" s="665"/>
      <c r="EB128" s="1254" t="s">
        <v>2254</v>
      </c>
      <c r="EC128" s="537">
        <v>42000000</v>
      </c>
      <c r="EE128" s="734">
        <v>3</v>
      </c>
      <c r="EF128" s="706"/>
    </row>
    <row r="129" spans="4:136" s="302" customFormat="1" ht="63.75" hidden="1">
      <c r="D129" s="520">
        <v>126</v>
      </c>
      <c r="E129" s="534">
        <v>162</v>
      </c>
      <c r="F129" s="523" t="s">
        <v>43</v>
      </c>
      <c r="G129" s="523" t="s">
        <v>10</v>
      </c>
      <c r="H129" s="524" t="s">
        <v>2655</v>
      </c>
      <c r="I129" s="462" t="s">
        <v>171</v>
      </c>
      <c r="J129" s="335" t="s">
        <v>417</v>
      </c>
      <c r="K129" s="335" t="s">
        <v>418</v>
      </c>
      <c r="L129" s="454" t="s">
        <v>1832</v>
      </c>
      <c r="M129" s="333" t="s">
        <v>1771</v>
      </c>
      <c r="N129" s="333">
        <v>0</v>
      </c>
      <c r="O129" s="333">
        <f>+N129+P129</f>
        <v>100</v>
      </c>
      <c r="P129" s="332">
        <v>100</v>
      </c>
      <c r="Q129" s="390">
        <v>0.25</v>
      </c>
      <c r="R129" s="342">
        <f t="shared" si="61"/>
        <v>3.7499999999999999E-2</v>
      </c>
      <c r="S129" s="459">
        <v>15</v>
      </c>
      <c r="T129" s="387">
        <f t="shared" si="101"/>
        <v>0.15</v>
      </c>
      <c r="U129" s="670">
        <v>13</v>
      </c>
      <c r="V129" s="388">
        <f t="shared" si="102"/>
        <v>13</v>
      </c>
      <c r="W129" s="356">
        <f t="shared" si="103"/>
        <v>86.666666666666671</v>
      </c>
      <c r="X129" s="356">
        <f t="shared" si="65"/>
        <v>86.666666666666671</v>
      </c>
      <c r="Y129" s="356">
        <f t="shared" si="98"/>
        <v>3.2500000000000001E-2</v>
      </c>
      <c r="Z129" s="356">
        <f t="shared" si="66"/>
        <v>86.666666666666671</v>
      </c>
      <c r="AA129" s="313">
        <v>2008202000</v>
      </c>
      <c r="AB129" s="313">
        <v>1700202000</v>
      </c>
      <c r="AC129" s="313">
        <v>308000000</v>
      </c>
      <c r="AD129" s="313">
        <v>0</v>
      </c>
      <c r="AE129" s="313">
        <v>0</v>
      </c>
      <c r="AF129" s="313">
        <v>0</v>
      </c>
      <c r="AG129" s="313">
        <v>0</v>
      </c>
      <c r="AH129" s="313">
        <v>0</v>
      </c>
      <c r="AI129" s="313">
        <v>334371000</v>
      </c>
      <c r="AJ129" s="313">
        <v>334371000</v>
      </c>
      <c r="AK129" s="313">
        <v>0</v>
      </c>
      <c r="AL129" s="313">
        <v>0</v>
      </c>
      <c r="AM129" s="313">
        <v>0</v>
      </c>
      <c r="AN129" s="313">
        <v>0</v>
      </c>
      <c r="AO129" s="313">
        <v>0</v>
      </c>
      <c r="AP129" s="313">
        <v>0</v>
      </c>
      <c r="AQ129" s="313">
        <v>0</v>
      </c>
      <c r="AR129" s="313">
        <v>0</v>
      </c>
      <c r="AS129" s="313">
        <v>0</v>
      </c>
      <c r="AT129" s="333">
        <f t="shared" si="67"/>
        <v>3.7499999999999999E-2</v>
      </c>
      <c r="AU129" s="333">
        <v>15</v>
      </c>
      <c r="AV129" s="387">
        <f t="shared" si="104"/>
        <v>0.15</v>
      </c>
      <c r="AW129" s="682">
        <v>17</v>
      </c>
      <c r="AX129" s="366">
        <f t="shared" si="105"/>
        <v>17</v>
      </c>
      <c r="AY129" s="366">
        <f t="shared" si="106"/>
        <v>113.33333333333333</v>
      </c>
      <c r="AZ129" s="366">
        <f t="shared" si="71"/>
        <v>100</v>
      </c>
      <c r="BA129" s="354">
        <f t="shared" si="72"/>
        <v>3.7499999999999999E-2</v>
      </c>
      <c r="BB129" s="354">
        <f t="shared" si="73"/>
        <v>100</v>
      </c>
      <c r="BC129" s="353">
        <v>283000000</v>
      </c>
      <c r="BD129" s="353">
        <v>0</v>
      </c>
      <c r="BE129" s="353">
        <v>283000000</v>
      </c>
      <c r="BF129" s="353">
        <v>0</v>
      </c>
      <c r="BG129" s="353">
        <v>0</v>
      </c>
      <c r="BH129" s="353">
        <v>0</v>
      </c>
      <c r="BI129" s="353">
        <v>0</v>
      </c>
      <c r="BJ129" s="353">
        <v>0</v>
      </c>
      <c r="BK129" s="452">
        <v>288611666</v>
      </c>
      <c r="BL129" s="351">
        <v>258611666</v>
      </c>
      <c r="BM129" s="351">
        <v>30000000</v>
      </c>
      <c r="BN129" s="351">
        <v>0</v>
      </c>
      <c r="BO129" s="351">
        <v>0</v>
      </c>
      <c r="BP129" s="351">
        <v>0</v>
      </c>
      <c r="BQ129" s="351">
        <v>0</v>
      </c>
      <c r="BR129" s="351">
        <v>0</v>
      </c>
      <c r="BS129" s="351">
        <v>0</v>
      </c>
      <c r="BT129" s="351">
        <v>0</v>
      </c>
      <c r="BU129" s="351">
        <v>0</v>
      </c>
      <c r="BV129" s="350">
        <f t="shared" si="74"/>
        <v>8.7499999999999994E-2</v>
      </c>
      <c r="BW129" s="350">
        <v>35</v>
      </c>
      <c r="BX129" s="385">
        <f t="shared" si="107"/>
        <v>0.35</v>
      </c>
      <c r="BY129" s="369">
        <v>19</v>
      </c>
      <c r="BZ129" s="391">
        <v>25</v>
      </c>
      <c r="CA129" s="689">
        <v>35</v>
      </c>
      <c r="CB129" s="324">
        <f t="shared" si="108"/>
        <v>35</v>
      </c>
      <c r="CC129" s="324">
        <f t="shared" si="109"/>
        <v>100</v>
      </c>
      <c r="CD129" s="384">
        <f t="shared" si="78"/>
        <v>100</v>
      </c>
      <c r="CE129" s="383">
        <f t="shared" si="79"/>
        <v>8.7499999999999994E-2</v>
      </c>
      <c r="CF129" s="367">
        <f t="shared" si="80"/>
        <v>100</v>
      </c>
      <c r="CG129" s="383">
        <f t="shared" si="81"/>
        <v>8.7499999999999994E-2</v>
      </c>
      <c r="CH129" s="320">
        <f t="shared" si="82"/>
        <v>8.7499999999999994E-2</v>
      </c>
      <c r="CI129" s="319">
        <v>35</v>
      </c>
      <c r="CJ129" s="318">
        <f t="shared" si="110"/>
        <v>0.35</v>
      </c>
      <c r="CK129" s="1259">
        <v>35</v>
      </c>
      <c r="CL129" s="301">
        <f t="shared" si="111"/>
        <v>0</v>
      </c>
      <c r="CM129" s="381">
        <f t="shared" si="112"/>
        <v>35</v>
      </c>
      <c r="CN129" s="381">
        <f t="shared" si="113"/>
        <v>100</v>
      </c>
      <c r="CO129" s="316">
        <f t="shared" si="87"/>
        <v>100</v>
      </c>
      <c r="CP129" s="381">
        <f t="shared" si="88"/>
        <v>8.7499999999999994E-2</v>
      </c>
      <c r="CQ129" s="381">
        <f t="shared" si="89"/>
        <v>8.7499999999999994E-2</v>
      </c>
      <c r="CR129" s="313">
        <v>652000000</v>
      </c>
      <c r="CS129" s="313">
        <v>652000000</v>
      </c>
      <c r="CT129" s="313">
        <v>0</v>
      </c>
      <c r="CU129" s="313">
        <v>0</v>
      </c>
      <c r="CV129" s="313">
        <v>0</v>
      </c>
      <c r="CW129" s="313">
        <v>0</v>
      </c>
      <c r="CX129" s="313">
        <v>0</v>
      </c>
      <c r="CY129" s="313">
        <v>0</v>
      </c>
      <c r="CZ129" s="380">
        <v>0</v>
      </c>
      <c r="DA129" s="380">
        <v>0</v>
      </c>
      <c r="DB129" s="380">
        <v>0</v>
      </c>
      <c r="DC129" s="380">
        <v>0</v>
      </c>
      <c r="DD129" s="380">
        <v>0</v>
      </c>
      <c r="DE129" s="380">
        <v>0</v>
      </c>
      <c r="DF129" s="380">
        <v>0</v>
      </c>
      <c r="DG129" s="380">
        <v>0</v>
      </c>
      <c r="DH129" s="380">
        <v>0</v>
      </c>
      <c r="DI129" s="380">
        <v>0</v>
      </c>
      <c r="DJ129" s="380">
        <v>0</v>
      </c>
      <c r="DK129" s="702">
        <f t="shared" si="114"/>
        <v>100</v>
      </c>
      <c r="DL129" s="311">
        <f t="shared" si="91"/>
        <v>0.24999999999999997</v>
      </c>
      <c r="DM129" s="310">
        <f t="shared" si="92"/>
        <v>100</v>
      </c>
      <c r="DN129" s="356">
        <f t="shared" si="93"/>
        <v>100</v>
      </c>
      <c r="DO129" s="308">
        <f t="shared" si="94"/>
        <v>0.25</v>
      </c>
      <c r="DP129" s="359">
        <f>+IF(((DN129*Q129)/100)&lt;Q129, ((DN129*Q129)/100),Q129)</f>
        <v>0.25</v>
      </c>
      <c r="DQ129" s="306">
        <f t="shared" si="95"/>
        <v>0.25</v>
      </c>
      <c r="DR129" s="379">
        <f t="shared" si="96"/>
        <v>0.99999999999999989</v>
      </c>
      <c r="DS129" s="378">
        <f t="shared" si="97"/>
        <v>0</v>
      </c>
      <c r="DT129" s="173">
        <v>160</v>
      </c>
      <c r="DU129" s="174" t="s">
        <v>416</v>
      </c>
      <c r="DV129" s="173"/>
      <c r="DW129" s="174" t="s">
        <v>84</v>
      </c>
      <c r="DX129" s="173"/>
      <c r="DY129" s="173"/>
      <c r="DZ129" s="173"/>
      <c r="EA129" s="665"/>
      <c r="EB129" s="1254" t="s">
        <v>2255</v>
      </c>
      <c r="EC129" s="537">
        <v>22000000</v>
      </c>
      <c r="EE129" s="734">
        <v>25</v>
      </c>
      <c r="EF129" s="706"/>
    </row>
    <row r="130" spans="4:136" s="302" customFormat="1" ht="120" hidden="1">
      <c r="D130" s="520">
        <v>127</v>
      </c>
      <c r="E130" s="534">
        <v>163</v>
      </c>
      <c r="F130" s="523" t="s">
        <v>43</v>
      </c>
      <c r="G130" s="523" t="s">
        <v>8</v>
      </c>
      <c r="H130" s="524" t="s">
        <v>2655</v>
      </c>
      <c r="I130" s="462" t="s">
        <v>187</v>
      </c>
      <c r="J130" s="335" t="s">
        <v>419</v>
      </c>
      <c r="K130" s="335" t="s">
        <v>420</v>
      </c>
      <c r="L130" s="454" t="s">
        <v>1986</v>
      </c>
      <c r="M130" s="333" t="s">
        <v>1771</v>
      </c>
      <c r="N130" s="333">
        <v>2959</v>
      </c>
      <c r="O130" s="333">
        <f>+N130+P130</f>
        <v>9165</v>
      </c>
      <c r="P130" s="332">
        <v>6206</v>
      </c>
      <c r="Q130" s="390">
        <v>0.25</v>
      </c>
      <c r="R130" s="342">
        <f t="shared" si="61"/>
        <v>3.8229133097002897E-2</v>
      </c>
      <c r="S130" s="459">
        <v>949</v>
      </c>
      <c r="T130" s="387">
        <f t="shared" si="101"/>
        <v>0.15291653238801159</v>
      </c>
      <c r="U130" s="670">
        <v>949</v>
      </c>
      <c r="V130" s="388">
        <f t="shared" si="102"/>
        <v>949</v>
      </c>
      <c r="W130" s="356">
        <f t="shared" si="103"/>
        <v>100</v>
      </c>
      <c r="X130" s="356">
        <f t="shared" si="65"/>
        <v>100</v>
      </c>
      <c r="Y130" s="356">
        <f t="shared" si="98"/>
        <v>3.8229133097002897E-2</v>
      </c>
      <c r="Z130" s="356">
        <f t="shared" si="66"/>
        <v>100</v>
      </c>
      <c r="AA130" s="313">
        <v>236000000</v>
      </c>
      <c r="AB130" s="313">
        <v>236000000</v>
      </c>
      <c r="AC130" s="313">
        <v>0</v>
      </c>
      <c r="AD130" s="313">
        <v>0</v>
      </c>
      <c r="AE130" s="313">
        <v>0</v>
      </c>
      <c r="AF130" s="313">
        <v>0</v>
      </c>
      <c r="AG130" s="313">
        <v>0</v>
      </c>
      <c r="AH130" s="313">
        <v>0</v>
      </c>
      <c r="AI130" s="313">
        <v>205000000</v>
      </c>
      <c r="AJ130" s="313">
        <v>205000000</v>
      </c>
      <c r="AK130" s="313">
        <v>0</v>
      </c>
      <c r="AL130" s="313">
        <v>0</v>
      </c>
      <c r="AM130" s="313">
        <v>0</v>
      </c>
      <c r="AN130" s="313">
        <v>0</v>
      </c>
      <c r="AO130" s="313">
        <v>0</v>
      </c>
      <c r="AP130" s="313">
        <v>0</v>
      </c>
      <c r="AQ130" s="313">
        <v>0</v>
      </c>
      <c r="AR130" s="313">
        <v>0</v>
      </c>
      <c r="AS130" s="313">
        <v>0</v>
      </c>
      <c r="AT130" s="333">
        <f t="shared" si="67"/>
        <v>4.5923300032226874E-2</v>
      </c>
      <c r="AU130" s="333">
        <v>1140</v>
      </c>
      <c r="AV130" s="387">
        <f t="shared" si="104"/>
        <v>0.1836932001289075</v>
      </c>
      <c r="AW130" s="677">
        <v>1140</v>
      </c>
      <c r="AX130" s="366">
        <f t="shared" si="105"/>
        <v>1140</v>
      </c>
      <c r="AY130" s="366">
        <f t="shared" si="106"/>
        <v>100</v>
      </c>
      <c r="AZ130" s="366">
        <f t="shared" si="71"/>
        <v>100</v>
      </c>
      <c r="BA130" s="354">
        <f t="shared" si="72"/>
        <v>4.5923300032226874E-2</v>
      </c>
      <c r="BB130" s="354">
        <f t="shared" si="73"/>
        <v>100</v>
      </c>
      <c r="BC130" s="353">
        <v>169000000</v>
      </c>
      <c r="BD130" s="353">
        <v>0</v>
      </c>
      <c r="BE130" s="353">
        <v>169000000</v>
      </c>
      <c r="BF130" s="353">
        <v>0</v>
      </c>
      <c r="BG130" s="353">
        <v>0</v>
      </c>
      <c r="BH130" s="353">
        <v>0</v>
      </c>
      <c r="BI130" s="353">
        <v>0</v>
      </c>
      <c r="BJ130" s="353">
        <v>0</v>
      </c>
      <c r="BK130" s="452">
        <v>169000000</v>
      </c>
      <c r="BL130" s="351">
        <v>169000000</v>
      </c>
      <c r="BM130" s="351">
        <v>0</v>
      </c>
      <c r="BN130" s="351">
        <v>0</v>
      </c>
      <c r="BO130" s="351">
        <v>0</v>
      </c>
      <c r="BP130" s="351">
        <v>0</v>
      </c>
      <c r="BQ130" s="351">
        <v>0</v>
      </c>
      <c r="BR130" s="351">
        <v>0</v>
      </c>
      <c r="BS130" s="351">
        <v>0</v>
      </c>
      <c r="BT130" s="351">
        <v>0</v>
      </c>
      <c r="BU130" s="351">
        <v>0</v>
      </c>
      <c r="BV130" s="350">
        <f t="shared" si="74"/>
        <v>6.5823396712858528E-2</v>
      </c>
      <c r="BW130" s="350">
        <v>1634</v>
      </c>
      <c r="BX130" s="385">
        <f t="shared" si="107"/>
        <v>0.26329358685143411</v>
      </c>
      <c r="BY130" s="369">
        <v>0</v>
      </c>
      <c r="BZ130" s="391">
        <v>0</v>
      </c>
      <c r="CA130" s="689">
        <v>1285</v>
      </c>
      <c r="CB130" s="324">
        <f t="shared" si="108"/>
        <v>1285</v>
      </c>
      <c r="CC130" s="324">
        <f t="shared" si="109"/>
        <v>78.641370869033054</v>
      </c>
      <c r="CD130" s="384">
        <f t="shared" si="78"/>
        <v>78.641370869033054</v>
      </c>
      <c r="CE130" s="383">
        <f t="shared" si="79"/>
        <v>5.1764421527553985E-2</v>
      </c>
      <c r="CF130" s="367">
        <f t="shared" si="80"/>
        <v>78.641370869033054</v>
      </c>
      <c r="CG130" s="383">
        <f t="shared" si="81"/>
        <v>5.1764421527553985E-2</v>
      </c>
      <c r="CH130" s="320">
        <f t="shared" si="82"/>
        <v>0.10002417015791169</v>
      </c>
      <c r="CI130" s="319">
        <v>2483</v>
      </c>
      <c r="CJ130" s="318">
        <f t="shared" si="110"/>
        <v>0.40009668063164677</v>
      </c>
      <c r="CK130" s="1259">
        <v>2792</v>
      </c>
      <c r="CL130" s="301">
        <f t="shared" si="111"/>
        <v>-309</v>
      </c>
      <c r="CM130" s="381">
        <f t="shared" si="112"/>
        <v>2792</v>
      </c>
      <c r="CN130" s="381">
        <f t="shared" si="113"/>
        <v>112.44462343938784</v>
      </c>
      <c r="CO130" s="316">
        <f t="shared" si="87"/>
        <v>100</v>
      </c>
      <c r="CP130" s="381">
        <f t="shared" si="88"/>
        <v>0.10002417015791169</v>
      </c>
      <c r="CQ130" s="381">
        <f t="shared" si="89"/>
        <v>0.11247180148243635</v>
      </c>
      <c r="CR130" s="313">
        <v>390000000</v>
      </c>
      <c r="CS130" s="313">
        <v>390000000</v>
      </c>
      <c r="CT130" s="313">
        <v>0</v>
      </c>
      <c r="CU130" s="313">
        <v>0</v>
      </c>
      <c r="CV130" s="313">
        <v>0</v>
      </c>
      <c r="CW130" s="313">
        <v>0</v>
      </c>
      <c r="CX130" s="313">
        <v>0</v>
      </c>
      <c r="CY130" s="313">
        <v>0</v>
      </c>
      <c r="CZ130" s="380">
        <v>0</v>
      </c>
      <c r="DA130" s="380">
        <v>0</v>
      </c>
      <c r="DB130" s="380">
        <v>0</v>
      </c>
      <c r="DC130" s="380">
        <v>0</v>
      </c>
      <c r="DD130" s="380">
        <v>0</v>
      </c>
      <c r="DE130" s="380">
        <v>0</v>
      </c>
      <c r="DF130" s="380">
        <v>0</v>
      </c>
      <c r="DG130" s="380">
        <v>0</v>
      </c>
      <c r="DH130" s="380">
        <v>0</v>
      </c>
      <c r="DI130" s="380">
        <v>0</v>
      </c>
      <c r="DJ130" s="380">
        <v>0</v>
      </c>
      <c r="DK130" s="702">
        <f t="shared" si="114"/>
        <v>6166</v>
      </c>
      <c r="DL130" s="311">
        <f t="shared" si="91"/>
        <v>0.25</v>
      </c>
      <c r="DM130" s="310">
        <f t="shared" si="92"/>
        <v>99.355462455688041</v>
      </c>
      <c r="DN130" s="356">
        <f t="shared" si="93"/>
        <v>99.355462455688041</v>
      </c>
      <c r="DO130" s="308">
        <f t="shared" si="94"/>
        <v>0.24838865613922009</v>
      </c>
      <c r="DP130" s="359">
        <f>+IF(((DN130*Q130)/100)&lt;Q130, ((DN130*Q130)/100),Q130)</f>
        <v>0.24838865613922009</v>
      </c>
      <c r="DQ130" s="306">
        <f t="shared" si="95"/>
        <v>0.24838865613922009</v>
      </c>
      <c r="DR130" s="379">
        <f t="shared" si="96"/>
        <v>1</v>
      </c>
      <c r="DS130" s="378">
        <f t="shared" si="97"/>
        <v>0</v>
      </c>
      <c r="DT130" s="173">
        <v>36</v>
      </c>
      <c r="DU130" s="174" t="s">
        <v>136</v>
      </c>
      <c r="DV130" s="173">
        <v>78</v>
      </c>
      <c r="DW130" s="174" t="s">
        <v>129</v>
      </c>
      <c r="DX130" s="173"/>
      <c r="DY130" s="173"/>
      <c r="DZ130" s="173"/>
      <c r="EA130" s="665"/>
      <c r="EB130" s="1254" t="s">
        <v>2515</v>
      </c>
      <c r="EC130" s="537">
        <v>2429000000</v>
      </c>
      <c r="EE130" s="734">
        <v>30</v>
      </c>
      <c r="EF130" s="706"/>
    </row>
    <row r="131" spans="4:136" s="302" customFormat="1" ht="51" hidden="1">
      <c r="D131" s="520">
        <v>128</v>
      </c>
      <c r="E131" s="534">
        <v>164</v>
      </c>
      <c r="F131" s="523" t="s">
        <v>43</v>
      </c>
      <c r="G131" s="523" t="s">
        <v>7</v>
      </c>
      <c r="H131" s="524" t="s">
        <v>2655</v>
      </c>
      <c r="I131" s="462" t="s">
        <v>187</v>
      </c>
      <c r="J131" s="335" t="s">
        <v>421</v>
      </c>
      <c r="K131" s="335" t="s">
        <v>422</v>
      </c>
      <c r="L131" s="454" t="s">
        <v>1984</v>
      </c>
      <c r="M131" s="333" t="s">
        <v>1771</v>
      </c>
      <c r="N131" s="333">
        <v>0</v>
      </c>
      <c r="O131" s="333">
        <f>+N131+P131</f>
        <v>160</v>
      </c>
      <c r="P131" s="332">
        <v>160</v>
      </c>
      <c r="Q131" s="390">
        <v>0.16500000000000001</v>
      </c>
      <c r="R131" s="342">
        <f t="shared" si="61"/>
        <v>1.03125E-2</v>
      </c>
      <c r="S131" s="459">
        <v>10</v>
      </c>
      <c r="T131" s="387">
        <f t="shared" si="101"/>
        <v>6.25E-2</v>
      </c>
      <c r="U131" s="670">
        <v>0</v>
      </c>
      <c r="V131" s="388">
        <f t="shared" si="102"/>
        <v>0</v>
      </c>
      <c r="W131" s="356">
        <f t="shared" si="103"/>
        <v>0</v>
      </c>
      <c r="X131" s="356">
        <f t="shared" si="65"/>
        <v>0</v>
      </c>
      <c r="Y131" s="356">
        <f t="shared" si="98"/>
        <v>0</v>
      </c>
      <c r="Z131" s="356">
        <f t="shared" si="66"/>
        <v>0</v>
      </c>
      <c r="AA131" s="313">
        <v>152000000</v>
      </c>
      <c r="AB131" s="313">
        <v>52000000</v>
      </c>
      <c r="AC131" s="313">
        <v>0</v>
      </c>
      <c r="AD131" s="313">
        <v>0</v>
      </c>
      <c r="AE131" s="313">
        <v>0</v>
      </c>
      <c r="AF131" s="313">
        <v>0</v>
      </c>
      <c r="AG131" s="313">
        <v>0</v>
      </c>
      <c r="AH131" s="313">
        <v>100000000</v>
      </c>
      <c r="AI131" s="313">
        <v>0</v>
      </c>
      <c r="AJ131" s="313">
        <v>0</v>
      </c>
      <c r="AK131" s="313">
        <v>0</v>
      </c>
      <c r="AL131" s="313">
        <v>0</v>
      </c>
      <c r="AM131" s="313">
        <v>0</v>
      </c>
      <c r="AN131" s="313">
        <v>0</v>
      </c>
      <c r="AO131" s="313">
        <v>0</v>
      </c>
      <c r="AP131" s="313">
        <v>0</v>
      </c>
      <c r="AQ131" s="313">
        <v>0</v>
      </c>
      <c r="AR131" s="313">
        <v>0</v>
      </c>
      <c r="AS131" s="313">
        <v>0</v>
      </c>
      <c r="AT131" s="342">
        <f t="shared" si="67"/>
        <v>5.1562500000000004E-2</v>
      </c>
      <c r="AU131" s="333">
        <v>50</v>
      </c>
      <c r="AV131" s="387">
        <f t="shared" si="104"/>
        <v>0.3125</v>
      </c>
      <c r="AW131" s="677">
        <v>70</v>
      </c>
      <c r="AX131" s="366">
        <f t="shared" si="105"/>
        <v>70</v>
      </c>
      <c r="AY131" s="366">
        <f t="shared" si="106"/>
        <v>140</v>
      </c>
      <c r="AZ131" s="366">
        <f t="shared" si="71"/>
        <v>100</v>
      </c>
      <c r="BA131" s="354">
        <f t="shared" si="72"/>
        <v>5.1562499999999997E-2</v>
      </c>
      <c r="BB131" s="354">
        <f t="shared" si="73"/>
        <v>100</v>
      </c>
      <c r="BC131" s="353">
        <v>13000000</v>
      </c>
      <c r="BD131" s="353">
        <v>0</v>
      </c>
      <c r="BE131" s="353">
        <v>13000000</v>
      </c>
      <c r="BF131" s="353">
        <v>0</v>
      </c>
      <c r="BG131" s="353">
        <v>0</v>
      </c>
      <c r="BH131" s="353">
        <v>0</v>
      </c>
      <c r="BI131" s="353">
        <v>0</v>
      </c>
      <c r="BJ131" s="353">
        <v>0</v>
      </c>
      <c r="BK131" s="452">
        <v>13000000</v>
      </c>
      <c r="BL131" s="351">
        <v>13000000</v>
      </c>
      <c r="BM131" s="351">
        <v>0</v>
      </c>
      <c r="BN131" s="351">
        <v>0</v>
      </c>
      <c r="BO131" s="351">
        <v>0</v>
      </c>
      <c r="BP131" s="351">
        <v>0</v>
      </c>
      <c r="BQ131" s="351">
        <v>0</v>
      </c>
      <c r="BR131" s="351">
        <v>0</v>
      </c>
      <c r="BS131" s="351">
        <v>0</v>
      </c>
      <c r="BT131" s="351">
        <v>0</v>
      </c>
      <c r="BU131" s="351">
        <v>0</v>
      </c>
      <c r="BV131" s="350">
        <f t="shared" si="74"/>
        <v>5.1562500000000004E-2</v>
      </c>
      <c r="BW131" s="350">
        <v>50</v>
      </c>
      <c r="BX131" s="385">
        <f t="shared" si="107"/>
        <v>0.3125</v>
      </c>
      <c r="BY131" s="399">
        <v>0</v>
      </c>
      <c r="BZ131" s="398">
        <v>0</v>
      </c>
      <c r="CA131" s="690">
        <v>0</v>
      </c>
      <c r="CB131" s="324">
        <f t="shared" si="108"/>
        <v>0</v>
      </c>
      <c r="CC131" s="324">
        <f t="shared" si="109"/>
        <v>0</v>
      </c>
      <c r="CD131" s="384">
        <f t="shared" si="78"/>
        <v>0</v>
      </c>
      <c r="CE131" s="383">
        <f t="shared" si="79"/>
        <v>0</v>
      </c>
      <c r="CF131" s="367">
        <f t="shared" si="80"/>
        <v>0</v>
      </c>
      <c r="CG131" s="383">
        <f t="shared" si="81"/>
        <v>0</v>
      </c>
      <c r="CH131" s="320">
        <f t="shared" si="82"/>
        <v>5.1562500000000004E-2</v>
      </c>
      <c r="CI131" s="319">
        <v>50</v>
      </c>
      <c r="CJ131" s="318">
        <f t="shared" si="110"/>
        <v>0.3125</v>
      </c>
      <c r="CK131" s="1259">
        <v>0</v>
      </c>
      <c r="CL131" s="301">
        <f t="shared" si="111"/>
        <v>50</v>
      </c>
      <c r="CM131" s="381">
        <f t="shared" si="112"/>
        <v>0</v>
      </c>
      <c r="CN131" s="381">
        <f t="shared" si="113"/>
        <v>0</v>
      </c>
      <c r="CO131" s="316">
        <f t="shared" si="87"/>
        <v>0</v>
      </c>
      <c r="CP131" s="381">
        <f t="shared" si="88"/>
        <v>0</v>
      </c>
      <c r="CQ131" s="381">
        <f t="shared" si="89"/>
        <v>0</v>
      </c>
      <c r="CR131" s="313">
        <v>30000000</v>
      </c>
      <c r="CS131" s="313">
        <v>30000000</v>
      </c>
      <c r="CT131" s="313">
        <v>0</v>
      </c>
      <c r="CU131" s="313">
        <v>0</v>
      </c>
      <c r="CV131" s="313">
        <v>0</v>
      </c>
      <c r="CW131" s="313">
        <v>0</v>
      </c>
      <c r="CX131" s="313">
        <v>0</v>
      </c>
      <c r="CY131" s="313">
        <v>0</v>
      </c>
      <c r="CZ131" s="380">
        <v>0</v>
      </c>
      <c r="DA131" s="380">
        <v>0</v>
      </c>
      <c r="DB131" s="380">
        <v>0</v>
      </c>
      <c r="DC131" s="380">
        <v>0</v>
      </c>
      <c r="DD131" s="380">
        <v>0</v>
      </c>
      <c r="DE131" s="380">
        <v>0</v>
      </c>
      <c r="DF131" s="380">
        <v>0</v>
      </c>
      <c r="DG131" s="380">
        <v>0</v>
      </c>
      <c r="DH131" s="380">
        <v>0</v>
      </c>
      <c r="DI131" s="380">
        <v>0</v>
      </c>
      <c r="DJ131" s="380">
        <v>0</v>
      </c>
      <c r="DK131" s="702">
        <f t="shared" si="114"/>
        <v>70</v>
      </c>
      <c r="DL131" s="311">
        <f t="shared" si="91"/>
        <v>0.16500000000000001</v>
      </c>
      <c r="DM131" s="310">
        <f t="shared" si="92"/>
        <v>43.75</v>
      </c>
      <c r="DN131" s="356">
        <f t="shared" si="93"/>
        <v>43.75</v>
      </c>
      <c r="DO131" s="308">
        <f t="shared" si="94"/>
        <v>7.2187500000000002E-2</v>
      </c>
      <c r="DP131" s="359">
        <f>+IF(((DN131*Q131)/100)&lt;Q131, ((DN131*Q131)/100),Q131)</f>
        <v>7.2187500000000002E-2</v>
      </c>
      <c r="DQ131" s="306">
        <f t="shared" si="95"/>
        <v>7.2187500000000002E-2</v>
      </c>
      <c r="DR131" s="379">
        <f t="shared" si="96"/>
        <v>1</v>
      </c>
      <c r="DS131" s="378">
        <f t="shared" si="97"/>
        <v>0</v>
      </c>
      <c r="DT131" s="173">
        <v>160</v>
      </c>
      <c r="DU131" s="174" t="s">
        <v>416</v>
      </c>
      <c r="DV131" s="173"/>
      <c r="DW131" s="174" t="s">
        <v>84</v>
      </c>
      <c r="DX131" s="173"/>
      <c r="DY131" s="173"/>
      <c r="DZ131" s="173"/>
      <c r="EA131" s="665"/>
      <c r="EB131" s="1254" t="s">
        <v>2451</v>
      </c>
      <c r="EC131" s="537">
        <v>0</v>
      </c>
      <c r="EE131" s="734">
        <v>100</v>
      </c>
      <c r="EF131" s="706"/>
    </row>
    <row r="132" spans="4:136" s="302" customFormat="1" ht="114.75" hidden="1">
      <c r="D132" s="520">
        <v>129</v>
      </c>
      <c r="E132" s="534">
        <v>165</v>
      </c>
      <c r="F132" s="523" t="s">
        <v>43</v>
      </c>
      <c r="G132" s="523" t="s">
        <v>3</v>
      </c>
      <c r="H132" s="524" t="s">
        <v>2655</v>
      </c>
      <c r="I132" s="462" t="s">
        <v>187</v>
      </c>
      <c r="J132" s="335" t="s">
        <v>423</v>
      </c>
      <c r="K132" s="335" t="s">
        <v>424</v>
      </c>
      <c r="L132" s="454" t="s">
        <v>1501</v>
      </c>
      <c r="M132" s="333" t="s">
        <v>1785</v>
      </c>
      <c r="N132" s="333">
        <v>0</v>
      </c>
      <c r="O132" s="333">
        <f>+P132</f>
        <v>25000</v>
      </c>
      <c r="P132" s="332">
        <v>25000</v>
      </c>
      <c r="Q132" s="390">
        <v>0.16500000000000001</v>
      </c>
      <c r="R132" s="342">
        <f t="shared" si="61"/>
        <v>4.1250000000000002E-2</v>
      </c>
      <c r="S132" s="459">
        <v>25000</v>
      </c>
      <c r="T132" s="387">
        <f t="shared" si="101"/>
        <v>0.25</v>
      </c>
      <c r="U132" s="670">
        <v>27500</v>
      </c>
      <c r="V132" s="388">
        <f t="shared" si="102"/>
        <v>6875</v>
      </c>
      <c r="W132" s="356">
        <f t="shared" si="103"/>
        <v>110</v>
      </c>
      <c r="X132" s="356">
        <f t="shared" si="65"/>
        <v>100</v>
      </c>
      <c r="Y132" s="356">
        <f t="shared" si="98"/>
        <v>4.1250000000000002E-2</v>
      </c>
      <c r="Z132" s="356">
        <f t="shared" si="66"/>
        <v>100</v>
      </c>
      <c r="AA132" s="313">
        <v>421000000</v>
      </c>
      <c r="AB132" s="313">
        <v>421000000</v>
      </c>
      <c r="AC132" s="313">
        <v>0</v>
      </c>
      <c r="AD132" s="313">
        <v>0</v>
      </c>
      <c r="AE132" s="313">
        <v>0</v>
      </c>
      <c r="AF132" s="313">
        <v>0</v>
      </c>
      <c r="AG132" s="313">
        <v>0</v>
      </c>
      <c r="AH132" s="313">
        <v>0</v>
      </c>
      <c r="AI132" s="313">
        <v>421000000</v>
      </c>
      <c r="AJ132" s="313">
        <v>421000000</v>
      </c>
      <c r="AK132" s="313">
        <v>0</v>
      </c>
      <c r="AL132" s="313">
        <v>0</v>
      </c>
      <c r="AM132" s="313">
        <v>0</v>
      </c>
      <c r="AN132" s="313">
        <v>0</v>
      </c>
      <c r="AO132" s="313">
        <v>0</v>
      </c>
      <c r="AP132" s="313">
        <v>0</v>
      </c>
      <c r="AQ132" s="313">
        <v>0</v>
      </c>
      <c r="AR132" s="313">
        <v>0</v>
      </c>
      <c r="AS132" s="313">
        <v>0</v>
      </c>
      <c r="AT132" s="342">
        <f t="shared" si="67"/>
        <v>4.1250000000000002E-2</v>
      </c>
      <c r="AU132" s="333">
        <v>25000</v>
      </c>
      <c r="AV132" s="387">
        <f t="shared" si="104"/>
        <v>0.25</v>
      </c>
      <c r="AW132" s="677">
        <v>32829</v>
      </c>
      <c r="AX132" s="366">
        <f t="shared" si="105"/>
        <v>8207.25</v>
      </c>
      <c r="AY132" s="366">
        <f t="shared" si="106"/>
        <v>131.316</v>
      </c>
      <c r="AZ132" s="366">
        <f t="shared" si="71"/>
        <v>100</v>
      </c>
      <c r="BA132" s="354">
        <f t="shared" si="72"/>
        <v>4.1250000000000002E-2</v>
      </c>
      <c r="BB132" s="354">
        <f t="shared" si="73"/>
        <v>100</v>
      </c>
      <c r="BC132" s="353">
        <v>125000000</v>
      </c>
      <c r="BD132" s="353">
        <v>0</v>
      </c>
      <c r="BE132" s="353">
        <v>125000000</v>
      </c>
      <c r="BF132" s="353">
        <v>0</v>
      </c>
      <c r="BG132" s="353">
        <v>0</v>
      </c>
      <c r="BH132" s="353">
        <v>0</v>
      </c>
      <c r="BI132" s="353">
        <v>0</v>
      </c>
      <c r="BJ132" s="353">
        <v>0</v>
      </c>
      <c r="BK132" s="452">
        <v>846536950</v>
      </c>
      <c r="BL132" s="351">
        <v>846536950</v>
      </c>
      <c r="BM132" s="351">
        <v>0</v>
      </c>
      <c r="BN132" s="351">
        <v>0</v>
      </c>
      <c r="BO132" s="351">
        <v>0</v>
      </c>
      <c r="BP132" s="351">
        <v>0</v>
      </c>
      <c r="BQ132" s="351">
        <v>0</v>
      </c>
      <c r="BR132" s="351">
        <v>0</v>
      </c>
      <c r="BS132" s="351">
        <v>0</v>
      </c>
      <c r="BT132" s="351">
        <v>0</v>
      </c>
      <c r="BU132" s="351">
        <v>0</v>
      </c>
      <c r="BV132" s="350">
        <f t="shared" si="74"/>
        <v>4.1250000000000002E-2</v>
      </c>
      <c r="BW132" s="350">
        <v>25000</v>
      </c>
      <c r="BX132" s="385">
        <f t="shared" si="107"/>
        <v>0.25</v>
      </c>
      <c r="BY132" s="369">
        <v>17504</v>
      </c>
      <c r="BZ132" s="391">
        <v>17504</v>
      </c>
      <c r="CA132" s="689">
        <v>28347</v>
      </c>
      <c r="CB132" s="324">
        <f t="shared" si="108"/>
        <v>7086.75</v>
      </c>
      <c r="CC132" s="324">
        <f t="shared" si="109"/>
        <v>113.38800000000001</v>
      </c>
      <c r="CD132" s="384">
        <f t="shared" si="78"/>
        <v>100</v>
      </c>
      <c r="CE132" s="383">
        <f t="shared" si="79"/>
        <v>4.1250000000000002E-2</v>
      </c>
      <c r="CF132" s="367">
        <f t="shared" si="80"/>
        <v>100</v>
      </c>
      <c r="CG132" s="383">
        <f t="shared" si="81"/>
        <v>4.6772550000000003E-2</v>
      </c>
      <c r="CH132" s="320">
        <f t="shared" si="82"/>
        <v>4.1250000000000002E-2</v>
      </c>
      <c r="CI132" s="319">
        <v>25000</v>
      </c>
      <c r="CJ132" s="318">
        <f t="shared" si="110"/>
        <v>0.25</v>
      </c>
      <c r="CK132" s="1259">
        <v>0</v>
      </c>
      <c r="CL132" s="301">
        <f t="shared" si="111"/>
        <v>25000</v>
      </c>
      <c r="CM132" s="381">
        <f t="shared" si="112"/>
        <v>0</v>
      </c>
      <c r="CN132" s="381">
        <f t="shared" si="113"/>
        <v>0</v>
      </c>
      <c r="CO132" s="381">
        <f t="shared" si="87"/>
        <v>0</v>
      </c>
      <c r="CP132" s="381">
        <f t="shared" si="88"/>
        <v>0</v>
      </c>
      <c r="CQ132" s="381">
        <f t="shared" si="89"/>
        <v>0</v>
      </c>
      <c r="CR132" s="313">
        <v>125000000</v>
      </c>
      <c r="CS132" s="313">
        <v>125000000</v>
      </c>
      <c r="CT132" s="313">
        <v>0</v>
      </c>
      <c r="CU132" s="313">
        <v>0</v>
      </c>
      <c r="CV132" s="313">
        <v>0</v>
      </c>
      <c r="CW132" s="313">
        <v>0</v>
      </c>
      <c r="CX132" s="313">
        <v>0</v>
      </c>
      <c r="CY132" s="313">
        <v>0</v>
      </c>
      <c r="CZ132" s="380">
        <v>0</v>
      </c>
      <c r="DA132" s="380">
        <v>0</v>
      </c>
      <c r="DB132" s="380">
        <v>0</v>
      </c>
      <c r="DC132" s="380">
        <v>0</v>
      </c>
      <c r="DD132" s="380">
        <v>0</v>
      </c>
      <c r="DE132" s="380">
        <v>0</v>
      </c>
      <c r="DF132" s="380">
        <v>0</v>
      </c>
      <c r="DG132" s="380">
        <v>0</v>
      </c>
      <c r="DH132" s="380">
        <v>0</v>
      </c>
      <c r="DI132" s="380">
        <v>0</v>
      </c>
      <c r="DJ132" s="380">
        <v>0</v>
      </c>
      <c r="DK132" s="702">
        <f t="shared" si="114"/>
        <v>22169</v>
      </c>
      <c r="DL132" s="311">
        <f t="shared" si="91"/>
        <v>0.16500000000000001</v>
      </c>
      <c r="DM132" s="310">
        <f t="shared" si="92"/>
        <v>88.676000000000002</v>
      </c>
      <c r="DN132" s="356">
        <f t="shared" si="93"/>
        <v>88.676000000000002</v>
      </c>
      <c r="DO132" s="308">
        <f t="shared" si="94"/>
        <v>0.14631540000000001</v>
      </c>
      <c r="DP132" s="359">
        <f>+IF(M132="M",DO132,0)</f>
        <v>0.14631540000000001</v>
      </c>
      <c r="DQ132" s="306">
        <f t="shared" si="95"/>
        <v>0.14631540000000001</v>
      </c>
      <c r="DR132" s="379">
        <f t="shared" si="96"/>
        <v>1</v>
      </c>
      <c r="DS132" s="378">
        <f t="shared" si="97"/>
        <v>0</v>
      </c>
      <c r="DT132" s="173">
        <v>160</v>
      </c>
      <c r="DU132" s="174" t="s">
        <v>416</v>
      </c>
      <c r="DV132" s="173"/>
      <c r="DW132" s="174" t="s">
        <v>84</v>
      </c>
      <c r="DX132" s="173"/>
      <c r="DY132" s="173"/>
      <c r="DZ132" s="173"/>
      <c r="EA132" s="665"/>
      <c r="EB132" s="1254" t="s">
        <v>2516</v>
      </c>
      <c r="EC132" s="537">
        <v>150000000</v>
      </c>
      <c r="EE132" s="734">
        <v>15</v>
      </c>
      <c r="EF132" s="706"/>
    </row>
    <row r="133" spans="4:136" s="302" customFormat="1" ht="89.25" hidden="1">
      <c r="D133" s="520">
        <v>130</v>
      </c>
      <c r="E133" s="534">
        <v>166</v>
      </c>
      <c r="F133" s="523" t="s">
        <v>43</v>
      </c>
      <c r="G133" s="523" t="s">
        <v>3</v>
      </c>
      <c r="H133" s="524" t="s">
        <v>2655</v>
      </c>
      <c r="I133" s="462" t="s">
        <v>187</v>
      </c>
      <c r="J133" s="335" t="s">
        <v>425</v>
      </c>
      <c r="K133" s="335" t="s">
        <v>426</v>
      </c>
      <c r="L133" s="454" t="s">
        <v>1501</v>
      </c>
      <c r="M133" s="333" t="s">
        <v>1771</v>
      </c>
      <c r="N133" s="333">
        <v>0</v>
      </c>
      <c r="O133" s="333">
        <f>+N133+P133</f>
        <v>123236</v>
      </c>
      <c r="P133" s="332">
        <v>123236</v>
      </c>
      <c r="Q133" s="390">
        <v>0.16500000000000001</v>
      </c>
      <c r="R133" s="342">
        <f t="shared" ref="R133:R196" si="118">+Q133*T133</f>
        <v>4.1250000000000002E-2</v>
      </c>
      <c r="S133" s="459">
        <v>30809</v>
      </c>
      <c r="T133" s="387">
        <f t="shared" ref="T133:T164" si="119">IF($M133="M",0.25,(IF($P133&gt;0,S133/$P133," ")))</f>
        <v>0.25</v>
      </c>
      <c r="U133" s="670">
        <v>41058</v>
      </c>
      <c r="V133" s="388">
        <f t="shared" ref="V133:V164" si="120">+IF(M133="I",(+U133),IF(M133="M",(+U133)/4,))</f>
        <v>41058</v>
      </c>
      <c r="W133" s="356">
        <f t="shared" ref="W133:W164" si="121">IF(S133=0,0,+U133*100/S133)</f>
        <v>133.26625336752247</v>
      </c>
      <c r="X133" s="356">
        <f t="shared" ref="X133:X196" si="122">+IF(W133&lt;100,W133,100)</f>
        <v>100</v>
      </c>
      <c r="Y133" s="356">
        <f t="shared" si="98"/>
        <v>4.1250000000000002E-2</v>
      </c>
      <c r="Z133" s="356">
        <f t="shared" ref="Z133:Z196" si="123">+IF(U133&gt;S133,100,X133)</f>
        <v>100</v>
      </c>
      <c r="AA133" s="313">
        <v>76000000</v>
      </c>
      <c r="AB133" s="313">
        <v>13000000</v>
      </c>
      <c r="AC133" s="313">
        <v>0</v>
      </c>
      <c r="AD133" s="313">
        <v>0</v>
      </c>
      <c r="AE133" s="313">
        <v>0</v>
      </c>
      <c r="AF133" s="313">
        <v>0</v>
      </c>
      <c r="AG133" s="313">
        <v>0</v>
      </c>
      <c r="AH133" s="313">
        <v>63000000</v>
      </c>
      <c r="AI133" s="313">
        <v>76000000</v>
      </c>
      <c r="AJ133" s="313">
        <v>13000000</v>
      </c>
      <c r="AK133" s="313">
        <v>0</v>
      </c>
      <c r="AL133" s="313">
        <v>63000000</v>
      </c>
      <c r="AM133" s="313">
        <v>0</v>
      </c>
      <c r="AN133" s="313">
        <v>0</v>
      </c>
      <c r="AO133" s="313">
        <v>0</v>
      </c>
      <c r="AP133" s="313">
        <v>0</v>
      </c>
      <c r="AQ133" s="313">
        <v>0</v>
      </c>
      <c r="AR133" s="313">
        <v>0</v>
      </c>
      <c r="AS133" s="313">
        <v>0</v>
      </c>
      <c r="AT133" s="342">
        <f t="shared" ref="AT133:AT196" si="124">+Q133*AV133</f>
        <v>4.1250000000000002E-2</v>
      </c>
      <c r="AU133" s="333">
        <v>30809</v>
      </c>
      <c r="AV133" s="387">
        <f t="shared" ref="AV133:AV164" si="125">IF($M133="M",0.25,(IF($P133&gt;0,AU133/$P133," ")))</f>
        <v>0.25</v>
      </c>
      <c r="AW133" s="677">
        <v>31302</v>
      </c>
      <c r="AX133" s="366">
        <f t="shared" ref="AX133:AX164" si="126">+IF(M133="I",(+AW133),IF(M133="M",(+AW133)/4,))</f>
        <v>31302</v>
      </c>
      <c r="AY133" s="366">
        <f t="shared" ref="AY133:AY164" si="127">IF(AU133=0,0,+AW133*100/AU133)</f>
        <v>101.60018176506865</v>
      </c>
      <c r="AZ133" s="366">
        <f t="shared" ref="AZ133:AZ196" si="128">+IF(AY133&lt;100,AY133,100)</f>
        <v>100</v>
      </c>
      <c r="BA133" s="354">
        <f t="shared" ref="BA133:BA196" si="129">+(AZ133*AT133)/100</f>
        <v>4.1250000000000002E-2</v>
      </c>
      <c r="BB133" s="354">
        <f t="shared" ref="BB133:BB196" si="130">+IF(AW133&gt;AU133,100,AZ133)</f>
        <v>100</v>
      </c>
      <c r="BC133" s="353">
        <v>68000000</v>
      </c>
      <c r="BD133" s="353">
        <v>0</v>
      </c>
      <c r="BE133" s="353">
        <v>0</v>
      </c>
      <c r="BF133" s="353">
        <v>0</v>
      </c>
      <c r="BG133" s="353">
        <v>0</v>
      </c>
      <c r="BH133" s="353">
        <v>0</v>
      </c>
      <c r="BI133" s="353">
        <v>0</v>
      </c>
      <c r="BJ133" s="353">
        <v>68000000</v>
      </c>
      <c r="BK133" s="452">
        <v>81459223</v>
      </c>
      <c r="BL133" s="351">
        <v>32862568</v>
      </c>
      <c r="BM133" s="351">
        <v>0</v>
      </c>
      <c r="BN133" s="351">
        <v>48596655</v>
      </c>
      <c r="BO133" s="351">
        <v>0</v>
      </c>
      <c r="BP133" s="351">
        <v>0</v>
      </c>
      <c r="BQ133" s="351">
        <v>0</v>
      </c>
      <c r="BR133" s="351">
        <v>0</v>
      </c>
      <c r="BS133" s="351">
        <v>0</v>
      </c>
      <c r="BT133" s="351">
        <v>0</v>
      </c>
      <c r="BU133" s="351">
        <v>0</v>
      </c>
      <c r="BV133" s="350">
        <f t="shared" ref="BV133:BV196" si="131">+Q133*BX133</f>
        <v>4.1250000000000002E-2</v>
      </c>
      <c r="BW133" s="350">
        <v>30809</v>
      </c>
      <c r="BX133" s="385">
        <f t="shared" ref="BX133:BX164" si="132">IF($M133="M",0.25,(IF($P133&gt;0,BW133/$P133," ")))</f>
        <v>0.25</v>
      </c>
      <c r="BY133" s="369">
        <v>32925</v>
      </c>
      <c r="BZ133" s="391">
        <v>16720</v>
      </c>
      <c r="CA133" s="689">
        <v>30957</v>
      </c>
      <c r="CB133" s="324">
        <f t="shared" ref="CB133:CB164" si="133">+IF(M133="I",(+CA133),IF(M133="M",(+CA133)/4,))</f>
        <v>30957</v>
      </c>
      <c r="CC133" s="324">
        <f t="shared" ref="CC133:CC164" si="134">IF(BW133=0,0,+CA133*100/BW133)</f>
        <v>100.48037911000033</v>
      </c>
      <c r="CD133" s="384">
        <f t="shared" ref="CD133:CD196" si="135">+IF(CC133&lt;100,CC133,100)</f>
        <v>100</v>
      </c>
      <c r="CE133" s="383">
        <f t="shared" ref="CE133:CE196" si="136">+(CD133*BV133)/100</f>
        <v>4.1250000000000002E-2</v>
      </c>
      <c r="CF133" s="367">
        <f t="shared" ref="CF133:CF196" si="137">+IF(BZ133&gt;BW133,100,CD133)</f>
        <v>100</v>
      </c>
      <c r="CG133" s="383">
        <f t="shared" ref="CG133:CG196" si="138">(CC133*BV133)/100</f>
        <v>4.1448156382875141E-2</v>
      </c>
      <c r="CH133" s="320">
        <f t="shared" ref="CH133:CH196" si="139">+Q133*CJ133</f>
        <v>4.1250000000000002E-2</v>
      </c>
      <c r="CI133" s="319">
        <v>30809</v>
      </c>
      <c r="CJ133" s="318">
        <f t="shared" ref="CJ133:CJ164" si="140">IF($M133="M",0.25,(IF($P133&gt;0,CI133/$P133," ")))</f>
        <v>0.25</v>
      </c>
      <c r="CK133" s="1259">
        <v>27035</v>
      </c>
      <c r="CL133" s="301">
        <f t="shared" ref="CL133:CL164" si="141">+CI133-CK133</f>
        <v>3774</v>
      </c>
      <c r="CM133" s="381">
        <f t="shared" ref="CM133:CM164" si="142">+IF(M133="I",(+CK133),IF(M133="M",(+CK133)/4,))</f>
        <v>27035</v>
      </c>
      <c r="CN133" s="381">
        <f t="shared" ref="CN133:CN164" si="143">IF(CI133=0,0,+CK133*100/CI133)</f>
        <v>87.750332694991727</v>
      </c>
      <c r="CO133" s="316">
        <f t="shared" ref="CO133:CO196" si="144">+IF(CN133&lt;100,CN133,100)</f>
        <v>87.750332694991727</v>
      </c>
      <c r="CP133" s="381">
        <f t="shared" ref="CP133:CP196" si="145">+(CO133*CH133)/100</f>
        <v>3.619701223668409E-2</v>
      </c>
      <c r="CQ133" s="381">
        <f t="shared" ref="CQ133:CQ196" si="146">+(CN133*CH133)/100</f>
        <v>3.619701223668409E-2</v>
      </c>
      <c r="CR133" s="313">
        <v>68000000</v>
      </c>
      <c r="CS133" s="313">
        <v>0</v>
      </c>
      <c r="CT133" s="313">
        <v>0</v>
      </c>
      <c r="CU133" s="313">
        <v>0</v>
      </c>
      <c r="CV133" s="313">
        <v>0</v>
      </c>
      <c r="CW133" s="313">
        <v>0</v>
      </c>
      <c r="CX133" s="313">
        <v>0</v>
      </c>
      <c r="CY133" s="313">
        <v>68000000</v>
      </c>
      <c r="CZ133" s="380">
        <v>0</v>
      </c>
      <c r="DA133" s="380">
        <v>0</v>
      </c>
      <c r="DB133" s="380">
        <v>0</v>
      </c>
      <c r="DC133" s="380">
        <v>0</v>
      </c>
      <c r="DD133" s="380">
        <v>0</v>
      </c>
      <c r="DE133" s="380">
        <v>0</v>
      </c>
      <c r="DF133" s="380">
        <v>0</v>
      </c>
      <c r="DG133" s="380">
        <v>0</v>
      </c>
      <c r="DH133" s="380">
        <v>0</v>
      </c>
      <c r="DI133" s="380">
        <v>0</v>
      </c>
      <c r="DJ133" s="380">
        <v>0</v>
      </c>
      <c r="DK133" s="702">
        <f t="shared" ref="DK133:DK164" si="147">+IF(M133="I",(+U133+AW133+CA133+CK133),IF(M133="M",(+U133+AW133+CA133+CK133)/4,))</f>
        <v>130352</v>
      </c>
      <c r="DL133" s="311">
        <f t="shared" ref="DL133:DL196" si="148">+R133+AT133+BV133+CH133</f>
        <v>0.16500000000000001</v>
      </c>
      <c r="DM133" s="310">
        <f t="shared" ref="DM133:DM196" si="149">+DK133*100/P133</f>
        <v>105.77428673439579</v>
      </c>
      <c r="DN133" s="356">
        <f t="shared" ref="DN133:DN196" si="150">+IF(DM133&lt;100,DM133,100)</f>
        <v>100</v>
      </c>
      <c r="DO133" s="308">
        <f t="shared" ref="DO133:DO196" si="151">+(DN133*Q133)/100</f>
        <v>0.16500000000000001</v>
      </c>
      <c r="DP133" s="359">
        <f>+IF(((DN133*Q133)/100)&lt;Q133, ((DN133*Q133)/100),Q133)</f>
        <v>0.16500000000000001</v>
      </c>
      <c r="DQ133" s="306">
        <f t="shared" ref="DQ133:DQ196" si="152">+IF(DL133&lt;DP133,DL133,DP133)</f>
        <v>0.16500000000000001</v>
      </c>
      <c r="DR133" s="379">
        <f t="shared" ref="DR133:DR196" si="153">+T133+AV133+BX133+CJ133</f>
        <v>1</v>
      </c>
      <c r="DS133" s="378">
        <f t="shared" ref="DS133:DS196" si="154">+Q133-R133-AT133-BV133-CH133</f>
        <v>0</v>
      </c>
      <c r="DT133" s="173">
        <v>160</v>
      </c>
      <c r="DU133" s="174" t="s">
        <v>416</v>
      </c>
      <c r="DV133" s="173"/>
      <c r="DW133" s="174" t="s">
        <v>84</v>
      </c>
      <c r="DX133" s="173"/>
      <c r="DY133" s="173"/>
      <c r="DZ133" s="173"/>
      <c r="EA133" s="665"/>
      <c r="EB133" s="1254" t="s">
        <v>2517</v>
      </c>
      <c r="EC133" s="537">
        <v>0</v>
      </c>
      <c r="EE133" s="734">
        <v>5</v>
      </c>
      <c r="EF133" s="706"/>
    </row>
    <row r="134" spans="4:136" s="302" customFormat="1" ht="165.75" hidden="1">
      <c r="D134" s="520">
        <v>131</v>
      </c>
      <c r="E134" s="534">
        <v>167</v>
      </c>
      <c r="F134" s="523" t="s">
        <v>43</v>
      </c>
      <c r="G134" s="523" t="s">
        <v>81</v>
      </c>
      <c r="H134" s="524" t="s">
        <v>2655</v>
      </c>
      <c r="I134" s="462" t="s">
        <v>187</v>
      </c>
      <c r="J134" s="335" t="s">
        <v>427</v>
      </c>
      <c r="K134" s="335" t="s">
        <v>428</v>
      </c>
      <c r="L134" s="454" t="s">
        <v>1989</v>
      </c>
      <c r="M134" s="333" t="s">
        <v>1771</v>
      </c>
      <c r="N134" s="333">
        <v>80</v>
      </c>
      <c r="O134" s="333">
        <f>+N134+P134</f>
        <v>160</v>
      </c>
      <c r="P134" s="332">
        <v>80</v>
      </c>
      <c r="Q134" s="390">
        <v>8.8999999999999996E-2</v>
      </c>
      <c r="R134" s="342">
        <f t="shared" si="118"/>
        <v>1.1124999999999999E-2</v>
      </c>
      <c r="S134" s="459">
        <v>10</v>
      </c>
      <c r="T134" s="387">
        <f t="shared" si="119"/>
        <v>0.125</v>
      </c>
      <c r="U134" s="670">
        <v>10</v>
      </c>
      <c r="V134" s="388">
        <f t="shared" si="120"/>
        <v>10</v>
      </c>
      <c r="W134" s="356">
        <f t="shared" si="121"/>
        <v>100</v>
      </c>
      <c r="X134" s="356">
        <f t="shared" si="122"/>
        <v>100</v>
      </c>
      <c r="Y134" s="356">
        <f t="shared" si="98"/>
        <v>1.1125000000000001E-2</v>
      </c>
      <c r="Z134" s="356">
        <f t="shared" si="123"/>
        <v>100</v>
      </c>
      <c r="AA134" s="313">
        <v>44000000</v>
      </c>
      <c r="AB134" s="313">
        <v>44000000</v>
      </c>
      <c r="AC134" s="313">
        <v>0</v>
      </c>
      <c r="AD134" s="313">
        <v>0</v>
      </c>
      <c r="AE134" s="313">
        <v>0</v>
      </c>
      <c r="AF134" s="313">
        <v>0</v>
      </c>
      <c r="AG134" s="313">
        <v>0</v>
      </c>
      <c r="AH134" s="313">
        <v>0</v>
      </c>
      <c r="AI134" s="313">
        <v>12800000</v>
      </c>
      <c r="AJ134" s="313">
        <v>12800000</v>
      </c>
      <c r="AK134" s="313">
        <v>0</v>
      </c>
      <c r="AL134" s="313">
        <v>0</v>
      </c>
      <c r="AM134" s="313">
        <v>0</v>
      </c>
      <c r="AN134" s="313">
        <v>0</v>
      </c>
      <c r="AO134" s="313">
        <v>0</v>
      </c>
      <c r="AP134" s="313">
        <v>0</v>
      </c>
      <c r="AQ134" s="313">
        <v>0</v>
      </c>
      <c r="AR134" s="313">
        <v>0</v>
      </c>
      <c r="AS134" s="313">
        <v>0</v>
      </c>
      <c r="AT134" s="342">
        <f t="shared" si="124"/>
        <v>2.7812499999999997E-2</v>
      </c>
      <c r="AU134" s="333">
        <v>25</v>
      </c>
      <c r="AV134" s="387">
        <f t="shared" si="125"/>
        <v>0.3125</v>
      </c>
      <c r="AW134" s="677">
        <v>53</v>
      </c>
      <c r="AX134" s="366">
        <f t="shared" si="126"/>
        <v>53</v>
      </c>
      <c r="AY134" s="366">
        <f t="shared" si="127"/>
        <v>212</v>
      </c>
      <c r="AZ134" s="366">
        <f t="shared" si="128"/>
        <v>100</v>
      </c>
      <c r="BA134" s="354">
        <f t="shared" si="129"/>
        <v>2.7812499999999997E-2</v>
      </c>
      <c r="BB134" s="354">
        <f t="shared" si="130"/>
        <v>100</v>
      </c>
      <c r="BC134" s="353">
        <v>36000000</v>
      </c>
      <c r="BD134" s="353">
        <v>0</v>
      </c>
      <c r="BE134" s="353">
        <v>36000000</v>
      </c>
      <c r="BF134" s="353">
        <v>0</v>
      </c>
      <c r="BG134" s="353">
        <v>0</v>
      </c>
      <c r="BH134" s="353">
        <v>0</v>
      </c>
      <c r="BI134" s="353">
        <v>0</v>
      </c>
      <c r="BJ134" s="353">
        <v>0</v>
      </c>
      <c r="BK134" s="452">
        <v>86138363</v>
      </c>
      <c r="BL134" s="351">
        <v>86138363</v>
      </c>
      <c r="BM134" s="351">
        <v>0</v>
      </c>
      <c r="BN134" s="351">
        <v>0</v>
      </c>
      <c r="BO134" s="351">
        <v>0</v>
      </c>
      <c r="BP134" s="351">
        <v>0</v>
      </c>
      <c r="BQ134" s="351">
        <v>0</v>
      </c>
      <c r="BR134" s="351">
        <v>0</v>
      </c>
      <c r="BS134" s="351">
        <v>0</v>
      </c>
      <c r="BT134" s="351">
        <v>0</v>
      </c>
      <c r="BU134" s="351">
        <v>0</v>
      </c>
      <c r="BV134" s="350">
        <f t="shared" si="131"/>
        <v>2.7812499999999997E-2</v>
      </c>
      <c r="BW134" s="350">
        <v>25</v>
      </c>
      <c r="BX134" s="385">
        <f t="shared" si="132"/>
        <v>0.3125</v>
      </c>
      <c r="BY134" s="369">
        <v>12</v>
      </c>
      <c r="BZ134" s="391">
        <v>65</v>
      </c>
      <c r="CA134" s="689">
        <v>65</v>
      </c>
      <c r="CB134" s="324">
        <f t="shared" si="133"/>
        <v>65</v>
      </c>
      <c r="CC134" s="324">
        <f t="shared" si="134"/>
        <v>260</v>
      </c>
      <c r="CD134" s="384">
        <f t="shared" si="135"/>
        <v>100</v>
      </c>
      <c r="CE134" s="383">
        <f t="shared" si="136"/>
        <v>2.7812499999999997E-2</v>
      </c>
      <c r="CF134" s="367">
        <f t="shared" si="137"/>
        <v>100</v>
      </c>
      <c r="CG134" s="383">
        <f t="shared" si="138"/>
        <v>7.2312499999999988E-2</v>
      </c>
      <c r="CH134" s="320">
        <f t="shared" si="139"/>
        <v>2.2249999999999999E-2</v>
      </c>
      <c r="CI134" s="319">
        <v>20</v>
      </c>
      <c r="CJ134" s="318">
        <f t="shared" si="140"/>
        <v>0.25</v>
      </c>
      <c r="CK134" s="1259">
        <v>19</v>
      </c>
      <c r="CL134" s="301">
        <f t="shared" si="141"/>
        <v>1</v>
      </c>
      <c r="CM134" s="381">
        <f t="shared" si="142"/>
        <v>19</v>
      </c>
      <c r="CN134" s="381">
        <f t="shared" si="143"/>
        <v>95</v>
      </c>
      <c r="CO134" s="316">
        <f t="shared" si="144"/>
        <v>95</v>
      </c>
      <c r="CP134" s="381">
        <f t="shared" si="145"/>
        <v>2.11375E-2</v>
      </c>
      <c r="CQ134" s="381">
        <f t="shared" si="146"/>
        <v>2.11375E-2</v>
      </c>
      <c r="CR134" s="313">
        <v>36000000</v>
      </c>
      <c r="CS134" s="313">
        <v>36000000</v>
      </c>
      <c r="CT134" s="313">
        <v>0</v>
      </c>
      <c r="CU134" s="313">
        <v>0</v>
      </c>
      <c r="CV134" s="313">
        <v>0</v>
      </c>
      <c r="CW134" s="313">
        <v>0</v>
      </c>
      <c r="CX134" s="313">
        <v>0</v>
      </c>
      <c r="CY134" s="313">
        <v>0</v>
      </c>
      <c r="CZ134" s="380">
        <v>0</v>
      </c>
      <c r="DA134" s="380">
        <v>0</v>
      </c>
      <c r="DB134" s="380">
        <v>0</v>
      </c>
      <c r="DC134" s="380">
        <v>0</v>
      </c>
      <c r="DD134" s="380">
        <v>0</v>
      </c>
      <c r="DE134" s="380">
        <v>0</v>
      </c>
      <c r="DF134" s="380">
        <v>0</v>
      </c>
      <c r="DG134" s="380">
        <v>0</v>
      </c>
      <c r="DH134" s="380">
        <v>0</v>
      </c>
      <c r="DI134" s="380">
        <v>0</v>
      </c>
      <c r="DJ134" s="380">
        <v>0</v>
      </c>
      <c r="DK134" s="702">
        <f t="shared" si="147"/>
        <v>147</v>
      </c>
      <c r="DL134" s="311">
        <f t="shared" si="148"/>
        <v>8.8999999999999996E-2</v>
      </c>
      <c r="DM134" s="310">
        <f t="shared" si="149"/>
        <v>183.75</v>
      </c>
      <c r="DN134" s="356">
        <f t="shared" si="150"/>
        <v>100</v>
      </c>
      <c r="DO134" s="308">
        <f t="shared" si="151"/>
        <v>8.900000000000001E-2</v>
      </c>
      <c r="DP134" s="359">
        <f>+IF(((DN134*Q134)/100)&lt;Q134, ((DN134*Q134)/100),Q134)</f>
        <v>8.8999999999999996E-2</v>
      </c>
      <c r="DQ134" s="306">
        <f t="shared" si="152"/>
        <v>8.8999999999999996E-2</v>
      </c>
      <c r="DR134" s="379">
        <f t="shared" si="153"/>
        <v>1</v>
      </c>
      <c r="DS134" s="378">
        <f t="shared" si="154"/>
        <v>0</v>
      </c>
      <c r="DT134" s="173">
        <v>160</v>
      </c>
      <c r="DU134" s="174" t="s">
        <v>416</v>
      </c>
      <c r="DV134" s="173"/>
      <c r="DW134" s="174" t="s">
        <v>84</v>
      </c>
      <c r="DX134" s="173"/>
      <c r="DY134" s="173"/>
      <c r="DZ134" s="173"/>
      <c r="EA134" s="665"/>
      <c r="EB134" s="1254" t="s">
        <v>2518</v>
      </c>
      <c r="EC134" s="537">
        <v>378000000</v>
      </c>
      <c r="EE134" s="734">
        <v>220</v>
      </c>
      <c r="EF134" s="706"/>
    </row>
    <row r="135" spans="4:136" s="302" customFormat="1" ht="51" hidden="1">
      <c r="D135" s="520">
        <v>132</v>
      </c>
      <c r="E135" s="534">
        <v>168</v>
      </c>
      <c r="F135" s="523" t="s">
        <v>43</v>
      </c>
      <c r="G135" s="523" t="s">
        <v>81</v>
      </c>
      <c r="H135" s="524" t="s">
        <v>2655</v>
      </c>
      <c r="I135" s="462" t="s">
        <v>187</v>
      </c>
      <c r="J135" s="335" t="s">
        <v>429</v>
      </c>
      <c r="K135" s="335" t="s">
        <v>430</v>
      </c>
      <c r="L135" s="454" t="s">
        <v>1509</v>
      </c>
      <c r="M135" s="333" t="s">
        <v>1771</v>
      </c>
      <c r="N135" s="333">
        <v>0</v>
      </c>
      <c r="O135" s="333">
        <f>+N135+P135</f>
        <v>3</v>
      </c>
      <c r="P135" s="332">
        <v>3</v>
      </c>
      <c r="Q135" s="390">
        <v>0.16500000000000001</v>
      </c>
      <c r="R135" s="342">
        <f t="shared" si="118"/>
        <v>0</v>
      </c>
      <c r="S135" s="459">
        <v>0</v>
      </c>
      <c r="T135" s="387">
        <f t="shared" si="119"/>
        <v>0</v>
      </c>
      <c r="U135" s="670">
        <v>0</v>
      </c>
      <c r="V135" s="388">
        <f t="shared" si="120"/>
        <v>0</v>
      </c>
      <c r="W135" s="356">
        <f t="shared" si="121"/>
        <v>0</v>
      </c>
      <c r="X135" s="356">
        <f t="shared" si="122"/>
        <v>0</v>
      </c>
      <c r="Y135" s="356">
        <f t="shared" si="98"/>
        <v>0</v>
      </c>
      <c r="Z135" s="356">
        <f t="shared" si="123"/>
        <v>0</v>
      </c>
      <c r="AA135" s="313">
        <v>0</v>
      </c>
      <c r="AB135" s="313">
        <v>0</v>
      </c>
      <c r="AC135" s="313">
        <v>0</v>
      </c>
      <c r="AD135" s="313">
        <v>0</v>
      </c>
      <c r="AE135" s="313">
        <v>0</v>
      </c>
      <c r="AF135" s="313">
        <v>0</v>
      </c>
      <c r="AG135" s="313">
        <v>0</v>
      </c>
      <c r="AH135" s="313">
        <v>0</v>
      </c>
      <c r="AI135" s="313">
        <v>0</v>
      </c>
      <c r="AJ135" s="313">
        <v>0</v>
      </c>
      <c r="AK135" s="313">
        <v>0</v>
      </c>
      <c r="AL135" s="313">
        <v>0</v>
      </c>
      <c r="AM135" s="313">
        <v>0</v>
      </c>
      <c r="AN135" s="313">
        <v>0</v>
      </c>
      <c r="AO135" s="313">
        <v>0</v>
      </c>
      <c r="AP135" s="313">
        <v>0</v>
      </c>
      <c r="AQ135" s="313">
        <v>0</v>
      </c>
      <c r="AR135" s="313">
        <v>0</v>
      </c>
      <c r="AS135" s="313">
        <v>0</v>
      </c>
      <c r="AT135" s="342">
        <f t="shared" si="124"/>
        <v>5.5E-2</v>
      </c>
      <c r="AU135" s="333">
        <v>1</v>
      </c>
      <c r="AV135" s="387">
        <f t="shared" si="125"/>
        <v>0.33333333333333331</v>
      </c>
      <c r="AW135" s="677">
        <v>6</v>
      </c>
      <c r="AX135" s="366">
        <f t="shared" si="126"/>
        <v>6</v>
      </c>
      <c r="AY135" s="366">
        <f t="shared" si="127"/>
        <v>600</v>
      </c>
      <c r="AZ135" s="366">
        <f t="shared" si="128"/>
        <v>100</v>
      </c>
      <c r="BA135" s="354">
        <f t="shared" si="129"/>
        <v>5.5E-2</v>
      </c>
      <c r="BB135" s="354">
        <f t="shared" si="130"/>
        <v>100</v>
      </c>
      <c r="BC135" s="353">
        <v>21000000</v>
      </c>
      <c r="BD135" s="353">
        <v>0</v>
      </c>
      <c r="BE135" s="353">
        <v>21000000</v>
      </c>
      <c r="BF135" s="353">
        <v>0</v>
      </c>
      <c r="BG135" s="353">
        <v>0</v>
      </c>
      <c r="BH135" s="353">
        <v>0</v>
      </c>
      <c r="BI135" s="353">
        <v>0</v>
      </c>
      <c r="BJ135" s="353">
        <v>0</v>
      </c>
      <c r="BK135" s="452">
        <v>92308000</v>
      </c>
      <c r="BL135" s="351">
        <v>92308000</v>
      </c>
      <c r="BM135" s="351">
        <v>0</v>
      </c>
      <c r="BN135" s="351">
        <v>0</v>
      </c>
      <c r="BO135" s="351">
        <v>0</v>
      </c>
      <c r="BP135" s="351">
        <v>0</v>
      </c>
      <c r="BQ135" s="351">
        <v>0</v>
      </c>
      <c r="BR135" s="351">
        <v>0</v>
      </c>
      <c r="BS135" s="351">
        <v>0</v>
      </c>
      <c r="BT135" s="351">
        <v>0</v>
      </c>
      <c r="BU135" s="351">
        <v>0</v>
      </c>
      <c r="BV135" s="350">
        <f t="shared" si="131"/>
        <v>5.5E-2</v>
      </c>
      <c r="BW135" s="350">
        <v>1</v>
      </c>
      <c r="BX135" s="385">
        <f t="shared" si="132"/>
        <v>0.33333333333333331</v>
      </c>
      <c r="BY135" s="369">
        <v>1</v>
      </c>
      <c r="BZ135" s="391">
        <v>7</v>
      </c>
      <c r="CA135" s="689">
        <v>1</v>
      </c>
      <c r="CB135" s="324">
        <f t="shared" si="133"/>
        <v>1</v>
      </c>
      <c r="CC135" s="324">
        <f t="shared" si="134"/>
        <v>100</v>
      </c>
      <c r="CD135" s="384">
        <f t="shared" si="135"/>
        <v>100</v>
      </c>
      <c r="CE135" s="383">
        <f t="shared" si="136"/>
        <v>5.5E-2</v>
      </c>
      <c r="CF135" s="367">
        <f t="shared" si="137"/>
        <v>100</v>
      </c>
      <c r="CG135" s="383">
        <f t="shared" si="138"/>
        <v>5.5E-2</v>
      </c>
      <c r="CH135" s="320">
        <f t="shared" si="139"/>
        <v>5.5E-2</v>
      </c>
      <c r="CI135" s="319">
        <v>1</v>
      </c>
      <c r="CJ135" s="318">
        <f t="shared" si="140"/>
        <v>0.33333333333333331</v>
      </c>
      <c r="CK135" s="1259">
        <v>3</v>
      </c>
      <c r="CL135" s="301">
        <f t="shared" si="141"/>
        <v>-2</v>
      </c>
      <c r="CM135" s="381">
        <f t="shared" si="142"/>
        <v>3</v>
      </c>
      <c r="CN135" s="381">
        <f t="shared" si="143"/>
        <v>300</v>
      </c>
      <c r="CO135" s="316">
        <f t="shared" si="144"/>
        <v>100</v>
      </c>
      <c r="CP135" s="381">
        <f t="shared" si="145"/>
        <v>5.5E-2</v>
      </c>
      <c r="CQ135" s="381">
        <f t="shared" si="146"/>
        <v>0.16500000000000001</v>
      </c>
      <c r="CR135" s="313">
        <v>30000000</v>
      </c>
      <c r="CS135" s="313">
        <v>30000000</v>
      </c>
      <c r="CT135" s="313">
        <v>0</v>
      </c>
      <c r="CU135" s="313">
        <v>0</v>
      </c>
      <c r="CV135" s="313">
        <v>0</v>
      </c>
      <c r="CW135" s="313">
        <v>0</v>
      </c>
      <c r="CX135" s="313">
        <v>0</v>
      </c>
      <c r="CY135" s="313">
        <v>0</v>
      </c>
      <c r="CZ135" s="380">
        <v>0</v>
      </c>
      <c r="DA135" s="380">
        <v>0</v>
      </c>
      <c r="DB135" s="380">
        <v>0</v>
      </c>
      <c r="DC135" s="380">
        <v>0</v>
      </c>
      <c r="DD135" s="380">
        <v>0</v>
      </c>
      <c r="DE135" s="380">
        <v>0</v>
      </c>
      <c r="DF135" s="380">
        <v>0</v>
      </c>
      <c r="DG135" s="380">
        <v>0</v>
      </c>
      <c r="DH135" s="380">
        <v>0</v>
      </c>
      <c r="DI135" s="380">
        <v>0</v>
      </c>
      <c r="DJ135" s="380">
        <v>0</v>
      </c>
      <c r="DK135" s="702">
        <f t="shared" si="147"/>
        <v>10</v>
      </c>
      <c r="DL135" s="311">
        <f t="shared" si="148"/>
        <v>0.16500000000000001</v>
      </c>
      <c r="DM135" s="310">
        <f t="shared" si="149"/>
        <v>333.33333333333331</v>
      </c>
      <c r="DN135" s="356">
        <f t="shared" si="150"/>
        <v>100</v>
      </c>
      <c r="DO135" s="308">
        <f t="shared" si="151"/>
        <v>0.16500000000000001</v>
      </c>
      <c r="DP135" s="359">
        <f>+IF(((DN135*Q135)/100)&lt;Q135, ((DN135*Q135)/100),Q135)</f>
        <v>0.16500000000000001</v>
      </c>
      <c r="DQ135" s="306">
        <f t="shared" si="152"/>
        <v>0.16500000000000001</v>
      </c>
      <c r="DR135" s="379">
        <f t="shared" si="153"/>
        <v>1</v>
      </c>
      <c r="DS135" s="378">
        <f t="shared" si="154"/>
        <v>0</v>
      </c>
      <c r="DT135" s="173">
        <v>160</v>
      </c>
      <c r="DU135" s="174" t="s">
        <v>416</v>
      </c>
      <c r="DV135" s="173"/>
      <c r="DW135" s="174" t="s">
        <v>84</v>
      </c>
      <c r="DX135" s="173"/>
      <c r="DY135" s="173"/>
      <c r="DZ135" s="173"/>
      <c r="EA135" s="665"/>
      <c r="EB135" s="1254" t="s">
        <v>2452</v>
      </c>
      <c r="EC135" s="537">
        <v>220000000</v>
      </c>
      <c r="EE135" s="734">
        <v>1000</v>
      </c>
      <c r="EF135" s="706"/>
    </row>
    <row r="136" spans="4:136" s="302" customFormat="1" ht="76.5" hidden="1">
      <c r="D136" s="520">
        <v>133</v>
      </c>
      <c r="E136" s="534">
        <v>169</v>
      </c>
      <c r="F136" s="523" t="s">
        <v>43</v>
      </c>
      <c r="G136" s="523" t="s">
        <v>81</v>
      </c>
      <c r="H136" s="524" t="s">
        <v>2655</v>
      </c>
      <c r="I136" s="462" t="s">
        <v>187</v>
      </c>
      <c r="J136" s="335" t="s">
        <v>431</v>
      </c>
      <c r="K136" s="335" t="s">
        <v>432</v>
      </c>
      <c r="L136" s="453" t="s">
        <v>1415</v>
      </c>
      <c r="M136" s="333" t="s">
        <v>1785</v>
      </c>
      <c r="N136" s="333">
        <v>3</v>
      </c>
      <c r="O136" s="333">
        <f>+P136</f>
        <v>5</v>
      </c>
      <c r="P136" s="332">
        <v>5</v>
      </c>
      <c r="Q136" s="390">
        <v>0.16500000000000001</v>
      </c>
      <c r="R136" s="342">
        <f t="shared" si="118"/>
        <v>4.1250000000000002E-2</v>
      </c>
      <c r="S136" s="459">
        <v>5</v>
      </c>
      <c r="T136" s="387">
        <f t="shared" si="119"/>
        <v>0.25</v>
      </c>
      <c r="U136" s="670">
        <v>5</v>
      </c>
      <c r="V136" s="388">
        <f t="shared" si="120"/>
        <v>1.25</v>
      </c>
      <c r="W136" s="356">
        <f t="shared" si="121"/>
        <v>100</v>
      </c>
      <c r="X136" s="356">
        <f t="shared" si="122"/>
        <v>100</v>
      </c>
      <c r="Y136" s="356">
        <f t="shared" si="98"/>
        <v>4.1250000000000002E-2</v>
      </c>
      <c r="Z136" s="356">
        <f t="shared" si="123"/>
        <v>100</v>
      </c>
      <c r="AA136" s="313">
        <v>18000000</v>
      </c>
      <c r="AB136" s="313">
        <v>18000000</v>
      </c>
      <c r="AC136" s="313">
        <v>0</v>
      </c>
      <c r="AD136" s="313">
        <v>0</v>
      </c>
      <c r="AE136" s="313">
        <v>0</v>
      </c>
      <c r="AF136" s="313">
        <v>0</v>
      </c>
      <c r="AG136" s="313">
        <v>0</v>
      </c>
      <c r="AH136" s="313">
        <v>0</v>
      </c>
      <c r="AI136" s="313">
        <v>52500000</v>
      </c>
      <c r="AJ136" s="313">
        <v>52500000</v>
      </c>
      <c r="AK136" s="313">
        <v>0</v>
      </c>
      <c r="AL136" s="313">
        <v>0</v>
      </c>
      <c r="AM136" s="313">
        <v>0</v>
      </c>
      <c r="AN136" s="313">
        <v>0</v>
      </c>
      <c r="AO136" s="313">
        <v>0</v>
      </c>
      <c r="AP136" s="313">
        <v>0</v>
      </c>
      <c r="AQ136" s="313">
        <v>0</v>
      </c>
      <c r="AR136" s="313">
        <v>10850000</v>
      </c>
      <c r="AS136" s="313" t="s">
        <v>1415</v>
      </c>
      <c r="AT136" s="342">
        <f t="shared" si="124"/>
        <v>4.1250000000000002E-2</v>
      </c>
      <c r="AU136" s="333">
        <v>5</v>
      </c>
      <c r="AV136" s="387">
        <f t="shared" si="125"/>
        <v>0.25</v>
      </c>
      <c r="AW136" s="677">
        <v>6</v>
      </c>
      <c r="AX136" s="366">
        <f t="shared" si="126"/>
        <v>1.5</v>
      </c>
      <c r="AY136" s="366">
        <f t="shared" si="127"/>
        <v>120</v>
      </c>
      <c r="AZ136" s="366">
        <f t="shared" si="128"/>
        <v>100</v>
      </c>
      <c r="BA136" s="354">
        <f t="shared" si="129"/>
        <v>4.1250000000000002E-2</v>
      </c>
      <c r="BB136" s="354">
        <f t="shared" si="130"/>
        <v>100</v>
      </c>
      <c r="BC136" s="353">
        <v>40000000</v>
      </c>
      <c r="BD136" s="353">
        <v>0</v>
      </c>
      <c r="BE136" s="353">
        <v>40000000</v>
      </c>
      <c r="BF136" s="353">
        <v>0</v>
      </c>
      <c r="BG136" s="353">
        <v>0</v>
      </c>
      <c r="BH136" s="353">
        <v>0</v>
      </c>
      <c r="BI136" s="353">
        <v>0</v>
      </c>
      <c r="BJ136" s="353">
        <v>0</v>
      </c>
      <c r="BK136" s="452">
        <v>62488000</v>
      </c>
      <c r="BL136" s="351">
        <v>62488000</v>
      </c>
      <c r="BM136" s="351">
        <v>0</v>
      </c>
      <c r="BN136" s="351">
        <v>0</v>
      </c>
      <c r="BO136" s="351">
        <v>0</v>
      </c>
      <c r="BP136" s="351">
        <v>0</v>
      </c>
      <c r="BQ136" s="351">
        <v>0</v>
      </c>
      <c r="BR136" s="351">
        <v>0</v>
      </c>
      <c r="BS136" s="351">
        <v>0</v>
      </c>
      <c r="BT136" s="351">
        <v>0</v>
      </c>
      <c r="BU136" s="351">
        <v>0</v>
      </c>
      <c r="BV136" s="350">
        <f t="shared" si="131"/>
        <v>4.1250000000000002E-2</v>
      </c>
      <c r="BW136" s="350">
        <v>5</v>
      </c>
      <c r="BX136" s="385">
        <f t="shared" si="132"/>
        <v>0.25</v>
      </c>
      <c r="BY136" s="369">
        <v>5</v>
      </c>
      <c r="BZ136" s="391">
        <v>5</v>
      </c>
      <c r="CA136" s="689">
        <v>5</v>
      </c>
      <c r="CB136" s="324">
        <f t="shared" si="133"/>
        <v>1.25</v>
      </c>
      <c r="CC136" s="324">
        <f t="shared" si="134"/>
        <v>100</v>
      </c>
      <c r="CD136" s="384">
        <f t="shared" si="135"/>
        <v>100</v>
      </c>
      <c r="CE136" s="383">
        <f t="shared" si="136"/>
        <v>4.1250000000000002E-2</v>
      </c>
      <c r="CF136" s="367">
        <f t="shared" si="137"/>
        <v>100</v>
      </c>
      <c r="CG136" s="383">
        <f t="shared" si="138"/>
        <v>4.1250000000000002E-2</v>
      </c>
      <c r="CH136" s="320">
        <f t="shared" si="139"/>
        <v>4.1250000000000002E-2</v>
      </c>
      <c r="CI136" s="319">
        <v>5</v>
      </c>
      <c r="CJ136" s="318">
        <f t="shared" si="140"/>
        <v>0.25</v>
      </c>
      <c r="CK136" s="1259">
        <v>14</v>
      </c>
      <c r="CL136" s="301">
        <f t="shared" si="141"/>
        <v>-9</v>
      </c>
      <c r="CM136" s="381">
        <f t="shared" si="142"/>
        <v>3.5</v>
      </c>
      <c r="CN136" s="381">
        <f t="shared" si="143"/>
        <v>280</v>
      </c>
      <c r="CO136" s="381">
        <f t="shared" si="144"/>
        <v>100</v>
      </c>
      <c r="CP136" s="381">
        <f t="shared" si="145"/>
        <v>4.1250000000000002E-2</v>
      </c>
      <c r="CQ136" s="381">
        <f t="shared" si="146"/>
        <v>0.11550000000000001</v>
      </c>
      <c r="CR136" s="313">
        <v>50000000</v>
      </c>
      <c r="CS136" s="313">
        <v>50000000</v>
      </c>
      <c r="CT136" s="313">
        <v>0</v>
      </c>
      <c r="CU136" s="313">
        <v>0</v>
      </c>
      <c r="CV136" s="313">
        <v>0</v>
      </c>
      <c r="CW136" s="313">
        <v>0</v>
      </c>
      <c r="CX136" s="313">
        <v>0</v>
      </c>
      <c r="CY136" s="313">
        <v>0</v>
      </c>
      <c r="CZ136" s="380">
        <v>0</v>
      </c>
      <c r="DA136" s="380">
        <v>0</v>
      </c>
      <c r="DB136" s="380">
        <v>0</v>
      </c>
      <c r="DC136" s="380">
        <v>0</v>
      </c>
      <c r="DD136" s="380">
        <v>0</v>
      </c>
      <c r="DE136" s="380">
        <v>0</v>
      </c>
      <c r="DF136" s="380">
        <v>0</v>
      </c>
      <c r="DG136" s="380">
        <v>0</v>
      </c>
      <c r="DH136" s="380">
        <v>0</v>
      </c>
      <c r="DI136" s="380">
        <v>0</v>
      </c>
      <c r="DJ136" s="380">
        <v>0</v>
      </c>
      <c r="DK136" s="702">
        <f t="shared" si="147"/>
        <v>7.5</v>
      </c>
      <c r="DL136" s="311">
        <f t="shared" si="148"/>
        <v>0.16500000000000001</v>
      </c>
      <c r="DM136" s="310">
        <f t="shared" si="149"/>
        <v>150</v>
      </c>
      <c r="DN136" s="356">
        <f t="shared" si="150"/>
        <v>100</v>
      </c>
      <c r="DO136" s="308">
        <f t="shared" si="151"/>
        <v>0.16500000000000001</v>
      </c>
      <c r="DP136" s="359">
        <f>+IF(M136="M",DO136,0)</f>
        <v>0.16500000000000001</v>
      </c>
      <c r="DQ136" s="306">
        <f t="shared" si="152"/>
        <v>0.16500000000000001</v>
      </c>
      <c r="DR136" s="379">
        <f t="shared" si="153"/>
        <v>1</v>
      </c>
      <c r="DS136" s="378">
        <f t="shared" si="154"/>
        <v>0</v>
      </c>
      <c r="DT136" s="173">
        <v>160</v>
      </c>
      <c r="DU136" s="174" t="s">
        <v>416</v>
      </c>
      <c r="DV136" s="173"/>
      <c r="DW136" s="174" t="s">
        <v>84</v>
      </c>
      <c r="DX136" s="173"/>
      <c r="DY136" s="173"/>
      <c r="DZ136" s="173"/>
      <c r="EA136" s="665"/>
      <c r="EB136" s="1254" t="s">
        <v>2519</v>
      </c>
      <c r="EC136" s="537">
        <v>180000000</v>
      </c>
      <c r="EE136" s="734">
        <v>25</v>
      </c>
      <c r="EF136" s="706"/>
    </row>
    <row r="137" spans="4:136" s="302" customFormat="1" ht="127.5" hidden="1">
      <c r="D137" s="520">
        <v>134</v>
      </c>
      <c r="E137" s="534">
        <v>170</v>
      </c>
      <c r="F137" s="523" t="s">
        <v>43</v>
      </c>
      <c r="G137" s="523" t="s">
        <v>81</v>
      </c>
      <c r="H137" s="524" t="s">
        <v>2655</v>
      </c>
      <c r="I137" s="462" t="s">
        <v>187</v>
      </c>
      <c r="J137" s="335" t="s">
        <v>433</v>
      </c>
      <c r="K137" s="335" t="s">
        <v>434</v>
      </c>
      <c r="L137" s="454" t="s">
        <v>1983</v>
      </c>
      <c r="M137" s="333" t="s">
        <v>1771</v>
      </c>
      <c r="N137" s="333">
        <v>92</v>
      </c>
      <c r="O137" s="333">
        <f>+N137+P137</f>
        <v>192</v>
      </c>
      <c r="P137" s="332">
        <v>100</v>
      </c>
      <c r="Q137" s="390">
        <v>0.16500000000000001</v>
      </c>
      <c r="R137" s="342">
        <f t="shared" si="118"/>
        <v>4.1250000000000002E-2</v>
      </c>
      <c r="S137" s="459">
        <v>25</v>
      </c>
      <c r="T137" s="387">
        <f t="shared" si="119"/>
        <v>0.25</v>
      </c>
      <c r="U137" s="670">
        <v>47</v>
      </c>
      <c r="V137" s="388">
        <f t="shared" si="120"/>
        <v>47</v>
      </c>
      <c r="W137" s="356">
        <f t="shared" si="121"/>
        <v>188</v>
      </c>
      <c r="X137" s="356">
        <f t="shared" si="122"/>
        <v>100</v>
      </c>
      <c r="Y137" s="356">
        <f t="shared" si="98"/>
        <v>4.1250000000000002E-2</v>
      </c>
      <c r="Z137" s="356">
        <f t="shared" si="123"/>
        <v>100</v>
      </c>
      <c r="AA137" s="313">
        <v>54000000</v>
      </c>
      <c r="AB137" s="313">
        <v>54000000</v>
      </c>
      <c r="AC137" s="313">
        <v>0</v>
      </c>
      <c r="AD137" s="313">
        <v>0</v>
      </c>
      <c r="AE137" s="313">
        <v>0</v>
      </c>
      <c r="AF137" s="313">
        <v>0</v>
      </c>
      <c r="AG137" s="313">
        <v>0</v>
      </c>
      <c r="AH137" s="313">
        <v>0</v>
      </c>
      <c r="AI137" s="313">
        <v>0</v>
      </c>
      <c r="AJ137" s="313">
        <v>0</v>
      </c>
      <c r="AK137" s="313">
        <v>0</v>
      </c>
      <c r="AL137" s="313">
        <v>0</v>
      </c>
      <c r="AM137" s="313">
        <v>0</v>
      </c>
      <c r="AN137" s="313">
        <v>0</v>
      </c>
      <c r="AO137" s="313">
        <v>0</v>
      </c>
      <c r="AP137" s="313">
        <v>0</v>
      </c>
      <c r="AQ137" s="313">
        <v>0</v>
      </c>
      <c r="AR137" s="313">
        <v>18182000</v>
      </c>
      <c r="AS137" s="313" t="s">
        <v>1982</v>
      </c>
      <c r="AT137" s="342">
        <f t="shared" si="124"/>
        <v>4.1250000000000002E-2</v>
      </c>
      <c r="AU137" s="333">
        <v>25</v>
      </c>
      <c r="AV137" s="387">
        <f t="shared" si="125"/>
        <v>0.25</v>
      </c>
      <c r="AW137" s="677">
        <v>84</v>
      </c>
      <c r="AX137" s="366">
        <f t="shared" si="126"/>
        <v>84</v>
      </c>
      <c r="AY137" s="366">
        <f t="shared" si="127"/>
        <v>336</v>
      </c>
      <c r="AZ137" s="366">
        <f t="shared" si="128"/>
        <v>100</v>
      </c>
      <c r="BA137" s="354">
        <f t="shared" si="129"/>
        <v>4.1250000000000002E-2</v>
      </c>
      <c r="BB137" s="354">
        <f t="shared" si="130"/>
        <v>100</v>
      </c>
      <c r="BC137" s="353">
        <v>445000000</v>
      </c>
      <c r="BD137" s="353">
        <v>0</v>
      </c>
      <c r="BE137" s="353">
        <v>125000000</v>
      </c>
      <c r="BF137" s="353">
        <v>0</v>
      </c>
      <c r="BG137" s="353">
        <v>0</v>
      </c>
      <c r="BH137" s="353">
        <v>0</v>
      </c>
      <c r="BI137" s="353">
        <v>0</v>
      </c>
      <c r="BJ137" s="353">
        <v>320000000</v>
      </c>
      <c r="BK137" s="452">
        <v>40194250</v>
      </c>
      <c r="BL137" s="351">
        <v>40194250</v>
      </c>
      <c r="BM137" s="351">
        <v>0</v>
      </c>
      <c r="BN137" s="351">
        <v>0</v>
      </c>
      <c r="BO137" s="351">
        <v>0</v>
      </c>
      <c r="BP137" s="351">
        <v>0</v>
      </c>
      <c r="BQ137" s="351">
        <v>0</v>
      </c>
      <c r="BR137" s="351">
        <v>0</v>
      </c>
      <c r="BS137" s="351">
        <v>0</v>
      </c>
      <c r="BT137" s="351">
        <v>0</v>
      </c>
      <c r="BU137" s="351">
        <v>0</v>
      </c>
      <c r="BV137" s="350">
        <f t="shared" si="131"/>
        <v>4.1250000000000002E-2</v>
      </c>
      <c r="BW137" s="350">
        <v>25</v>
      </c>
      <c r="BX137" s="385">
        <f t="shared" si="132"/>
        <v>0.25</v>
      </c>
      <c r="BY137" s="369">
        <v>100</v>
      </c>
      <c r="BZ137" s="391">
        <v>215</v>
      </c>
      <c r="CA137" s="689">
        <v>120</v>
      </c>
      <c r="CB137" s="324">
        <f t="shared" si="133"/>
        <v>120</v>
      </c>
      <c r="CC137" s="324">
        <f t="shared" si="134"/>
        <v>480</v>
      </c>
      <c r="CD137" s="384">
        <f t="shared" si="135"/>
        <v>100</v>
      </c>
      <c r="CE137" s="383">
        <f t="shared" si="136"/>
        <v>4.1250000000000002E-2</v>
      </c>
      <c r="CF137" s="367">
        <f t="shared" si="137"/>
        <v>100</v>
      </c>
      <c r="CG137" s="383">
        <f t="shared" si="138"/>
        <v>0.19800000000000001</v>
      </c>
      <c r="CH137" s="320">
        <f t="shared" si="139"/>
        <v>4.1250000000000002E-2</v>
      </c>
      <c r="CI137" s="319">
        <v>25</v>
      </c>
      <c r="CJ137" s="318">
        <f t="shared" si="140"/>
        <v>0.25</v>
      </c>
      <c r="CK137" s="1259">
        <v>143</v>
      </c>
      <c r="CL137" s="301">
        <f t="shared" si="141"/>
        <v>-118</v>
      </c>
      <c r="CM137" s="381">
        <f t="shared" si="142"/>
        <v>143</v>
      </c>
      <c r="CN137" s="381">
        <f t="shared" si="143"/>
        <v>572</v>
      </c>
      <c r="CO137" s="316">
        <f t="shared" si="144"/>
        <v>100</v>
      </c>
      <c r="CP137" s="381">
        <f t="shared" si="145"/>
        <v>4.1250000000000002E-2</v>
      </c>
      <c r="CQ137" s="381">
        <f t="shared" si="146"/>
        <v>0.23595000000000002</v>
      </c>
      <c r="CR137" s="313">
        <v>445000000</v>
      </c>
      <c r="CS137" s="313">
        <v>125000000</v>
      </c>
      <c r="CT137" s="313">
        <v>0</v>
      </c>
      <c r="CU137" s="313">
        <v>0</v>
      </c>
      <c r="CV137" s="313">
        <v>0</v>
      </c>
      <c r="CW137" s="313">
        <v>0</v>
      </c>
      <c r="CX137" s="313">
        <v>0</v>
      </c>
      <c r="CY137" s="313">
        <v>320000000</v>
      </c>
      <c r="CZ137" s="380">
        <v>0</v>
      </c>
      <c r="DA137" s="380">
        <v>0</v>
      </c>
      <c r="DB137" s="380">
        <v>0</v>
      </c>
      <c r="DC137" s="380">
        <v>0</v>
      </c>
      <c r="DD137" s="380">
        <v>0</v>
      </c>
      <c r="DE137" s="380">
        <v>0</v>
      </c>
      <c r="DF137" s="380">
        <v>0</v>
      </c>
      <c r="DG137" s="380">
        <v>0</v>
      </c>
      <c r="DH137" s="380">
        <v>0</v>
      </c>
      <c r="DI137" s="380">
        <v>0</v>
      </c>
      <c r="DJ137" s="380">
        <v>0</v>
      </c>
      <c r="DK137" s="702">
        <f t="shared" si="147"/>
        <v>394</v>
      </c>
      <c r="DL137" s="311">
        <f t="shared" si="148"/>
        <v>0.16500000000000001</v>
      </c>
      <c r="DM137" s="310">
        <f t="shared" si="149"/>
        <v>394</v>
      </c>
      <c r="DN137" s="356">
        <f t="shared" si="150"/>
        <v>100</v>
      </c>
      <c r="DO137" s="308">
        <f t="shared" si="151"/>
        <v>0.16500000000000001</v>
      </c>
      <c r="DP137" s="359">
        <f>+IF(((DN137*Q137)/100)&lt;Q137, ((DN137*Q137)/100),Q137)</f>
        <v>0.16500000000000001</v>
      </c>
      <c r="DQ137" s="306">
        <f t="shared" si="152"/>
        <v>0.16500000000000001</v>
      </c>
      <c r="DR137" s="379">
        <f t="shared" si="153"/>
        <v>1</v>
      </c>
      <c r="DS137" s="378">
        <f t="shared" si="154"/>
        <v>0</v>
      </c>
      <c r="DT137" s="173">
        <v>160</v>
      </c>
      <c r="DU137" s="174" t="s">
        <v>416</v>
      </c>
      <c r="DV137" s="173"/>
      <c r="DW137" s="174" t="s">
        <v>84</v>
      </c>
      <c r="DX137" s="173"/>
      <c r="DY137" s="173"/>
      <c r="DZ137" s="173"/>
      <c r="EA137" s="665"/>
      <c r="EB137" s="1254" t="s">
        <v>2520</v>
      </c>
      <c r="EC137" s="537">
        <v>1209000000</v>
      </c>
      <c r="EE137" s="734">
        <v>4</v>
      </c>
      <c r="EF137" s="706"/>
    </row>
    <row r="138" spans="4:136" s="302" customFormat="1" ht="51" hidden="1">
      <c r="D138" s="520">
        <v>135</v>
      </c>
      <c r="E138" s="534">
        <v>171</v>
      </c>
      <c r="F138" s="336" t="s">
        <v>43</v>
      </c>
      <c r="G138" s="336" t="s">
        <v>7</v>
      </c>
      <c r="H138" s="336" t="s">
        <v>2655</v>
      </c>
      <c r="I138" s="336" t="s">
        <v>207</v>
      </c>
      <c r="J138" s="335" t="s">
        <v>1267</v>
      </c>
      <c r="K138" s="335" t="s">
        <v>435</v>
      </c>
      <c r="L138" s="453" t="s">
        <v>1947</v>
      </c>
      <c r="M138" s="333" t="s">
        <v>1785</v>
      </c>
      <c r="N138" s="333">
        <v>0</v>
      </c>
      <c r="O138" s="333">
        <f>+P138</f>
        <v>100</v>
      </c>
      <c r="P138" s="332">
        <v>100</v>
      </c>
      <c r="Q138" s="393">
        <v>8.8999999999999996E-2</v>
      </c>
      <c r="R138" s="342">
        <f t="shared" si="118"/>
        <v>2.2249999999999999E-2</v>
      </c>
      <c r="S138" s="459">
        <v>100</v>
      </c>
      <c r="T138" s="387">
        <f t="shared" si="119"/>
        <v>0.25</v>
      </c>
      <c r="U138" s="670">
        <v>100</v>
      </c>
      <c r="V138" s="388">
        <f t="shared" si="120"/>
        <v>25</v>
      </c>
      <c r="W138" s="356">
        <f t="shared" si="121"/>
        <v>100</v>
      </c>
      <c r="X138" s="356">
        <f t="shared" si="122"/>
        <v>100</v>
      </c>
      <c r="Y138" s="356">
        <f t="shared" si="98"/>
        <v>2.2250000000000002E-2</v>
      </c>
      <c r="Z138" s="356">
        <f t="shared" si="123"/>
        <v>100</v>
      </c>
      <c r="AA138" s="313">
        <v>0</v>
      </c>
      <c r="AB138" s="313">
        <v>0</v>
      </c>
      <c r="AC138" s="313">
        <v>0</v>
      </c>
      <c r="AD138" s="313">
        <v>0</v>
      </c>
      <c r="AE138" s="313">
        <v>0</v>
      </c>
      <c r="AF138" s="313">
        <v>0</v>
      </c>
      <c r="AG138" s="313">
        <v>0</v>
      </c>
      <c r="AH138" s="313">
        <v>0</v>
      </c>
      <c r="AI138" s="313">
        <v>0</v>
      </c>
      <c r="AJ138" s="313">
        <v>0</v>
      </c>
      <c r="AK138" s="313">
        <v>0</v>
      </c>
      <c r="AL138" s="313">
        <v>0</v>
      </c>
      <c r="AM138" s="313">
        <v>0</v>
      </c>
      <c r="AN138" s="313">
        <v>0</v>
      </c>
      <c r="AO138" s="313">
        <v>0</v>
      </c>
      <c r="AP138" s="313">
        <v>0</v>
      </c>
      <c r="AQ138" s="313">
        <v>0</v>
      </c>
      <c r="AR138" s="313">
        <v>0</v>
      </c>
      <c r="AS138" s="313">
        <v>0</v>
      </c>
      <c r="AT138" s="392">
        <f t="shared" si="124"/>
        <v>2.2249999999999999E-2</v>
      </c>
      <c r="AU138" s="333">
        <v>100</v>
      </c>
      <c r="AV138" s="387">
        <f t="shared" si="125"/>
        <v>0.25</v>
      </c>
      <c r="AW138" s="677">
        <v>100</v>
      </c>
      <c r="AX138" s="366">
        <f t="shared" si="126"/>
        <v>25</v>
      </c>
      <c r="AY138" s="366">
        <f t="shared" si="127"/>
        <v>100</v>
      </c>
      <c r="AZ138" s="366">
        <f t="shared" si="128"/>
        <v>100</v>
      </c>
      <c r="BA138" s="354">
        <f t="shared" si="129"/>
        <v>2.2250000000000002E-2</v>
      </c>
      <c r="BB138" s="354">
        <f t="shared" si="130"/>
        <v>100</v>
      </c>
      <c r="BC138" s="353">
        <v>3000000</v>
      </c>
      <c r="BD138" s="353">
        <v>0</v>
      </c>
      <c r="BE138" s="353">
        <v>3000000</v>
      </c>
      <c r="BF138" s="353">
        <v>0</v>
      </c>
      <c r="BG138" s="353">
        <v>0</v>
      </c>
      <c r="BH138" s="353">
        <v>0</v>
      </c>
      <c r="BI138" s="353">
        <v>0</v>
      </c>
      <c r="BJ138" s="353">
        <v>0</v>
      </c>
      <c r="BK138" s="452">
        <v>0</v>
      </c>
      <c r="BL138" s="351">
        <v>0</v>
      </c>
      <c r="BM138" s="351">
        <v>0</v>
      </c>
      <c r="BN138" s="351">
        <v>0</v>
      </c>
      <c r="BO138" s="351">
        <v>0</v>
      </c>
      <c r="BP138" s="351">
        <v>0</v>
      </c>
      <c r="BQ138" s="351">
        <v>0</v>
      </c>
      <c r="BR138" s="351">
        <v>0</v>
      </c>
      <c r="BS138" s="351">
        <v>0</v>
      </c>
      <c r="BT138" s="351">
        <v>0</v>
      </c>
      <c r="BU138" s="351">
        <v>0</v>
      </c>
      <c r="BV138" s="350">
        <f t="shared" si="131"/>
        <v>2.2249999999999999E-2</v>
      </c>
      <c r="BW138" s="350">
        <v>100</v>
      </c>
      <c r="BX138" s="385">
        <f t="shared" si="132"/>
        <v>0.25</v>
      </c>
      <c r="BY138" s="399">
        <v>0</v>
      </c>
      <c r="BZ138" s="398">
        <v>0</v>
      </c>
      <c r="CA138" s="690">
        <v>100</v>
      </c>
      <c r="CB138" s="324">
        <f t="shared" si="133"/>
        <v>25</v>
      </c>
      <c r="CC138" s="324">
        <f t="shared" si="134"/>
        <v>100</v>
      </c>
      <c r="CD138" s="384">
        <f t="shared" si="135"/>
        <v>100</v>
      </c>
      <c r="CE138" s="383">
        <f t="shared" si="136"/>
        <v>2.2250000000000002E-2</v>
      </c>
      <c r="CF138" s="367">
        <f t="shared" si="137"/>
        <v>100</v>
      </c>
      <c r="CG138" s="383">
        <f t="shared" si="138"/>
        <v>2.2250000000000002E-2</v>
      </c>
      <c r="CH138" s="320">
        <f t="shared" si="139"/>
        <v>2.2249999999999999E-2</v>
      </c>
      <c r="CI138" s="319">
        <v>100</v>
      </c>
      <c r="CJ138" s="318">
        <f t="shared" si="140"/>
        <v>0.25</v>
      </c>
      <c r="CK138" s="1259">
        <v>0</v>
      </c>
      <c r="CL138" s="301">
        <f t="shared" si="141"/>
        <v>100</v>
      </c>
      <c r="CM138" s="381">
        <f t="shared" si="142"/>
        <v>0</v>
      </c>
      <c r="CN138" s="381">
        <f t="shared" si="143"/>
        <v>0</v>
      </c>
      <c r="CO138" s="381">
        <f t="shared" si="144"/>
        <v>0</v>
      </c>
      <c r="CP138" s="381">
        <f t="shared" si="145"/>
        <v>0</v>
      </c>
      <c r="CQ138" s="381">
        <f t="shared" si="146"/>
        <v>0</v>
      </c>
      <c r="CR138" s="313">
        <v>6000000</v>
      </c>
      <c r="CS138" s="313">
        <v>6000000</v>
      </c>
      <c r="CT138" s="313">
        <v>0</v>
      </c>
      <c r="CU138" s="313">
        <v>0</v>
      </c>
      <c r="CV138" s="313">
        <v>0</v>
      </c>
      <c r="CW138" s="313">
        <v>0</v>
      </c>
      <c r="CX138" s="313">
        <v>0</v>
      </c>
      <c r="CY138" s="313">
        <v>0</v>
      </c>
      <c r="CZ138" s="380">
        <v>0</v>
      </c>
      <c r="DA138" s="380">
        <v>0</v>
      </c>
      <c r="DB138" s="380">
        <v>0</v>
      </c>
      <c r="DC138" s="380">
        <v>0</v>
      </c>
      <c r="DD138" s="380">
        <v>0</v>
      </c>
      <c r="DE138" s="380">
        <v>0</v>
      </c>
      <c r="DF138" s="380">
        <v>0</v>
      </c>
      <c r="DG138" s="380">
        <v>0</v>
      </c>
      <c r="DH138" s="380">
        <v>0</v>
      </c>
      <c r="DI138" s="380">
        <v>0</v>
      </c>
      <c r="DJ138" s="380">
        <v>0</v>
      </c>
      <c r="DK138" s="702">
        <f t="shared" si="147"/>
        <v>75</v>
      </c>
      <c r="DL138" s="311">
        <f t="shared" si="148"/>
        <v>8.8999999999999996E-2</v>
      </c>
      <c r="DM138" s="310">
        <f t="shared" si="149"/>
        <v>75</v>
      </c>
      <c r="DN138" s="356">
        <f t="shared" si="150"/>
        <v>75</v>
      </c>
      <c r="DO138" s="308">
        <f t="shared" si="151"/>
        <v>6.6750000000000004E-2</v>
      </c>
      <c r="DP138" s="359">
        <f>+IF(M138="M",DO138,0)</f>
        <v>6.6750000000000004E-2</v>
      </c>
      <c r="DQ138" s="306">
        <f t="shared" si="152"/>
        <v>6.6750000000000004E-2</v>
      </c>
      <c r="DR138" s="379">
        <f t="shared" si="153"/>
        <v>1</v>
      </c>
      <c r="DS138" s="378">
        <f t="shared" si="154"/>
        <v>0</v>
      </c>
      <c r="DT138" s="173">
        <v>160</v>
      </c>
      <c r="DU138" s="174" t="s">
        <v>416</v>
      </c>
      <c r="DV138" s="173"/>
      <c r="DW138" s="174" t="s">
        <v>84</v>
      </c>
      <c r="DX138" s="173"/>
      <c r="DY138" s="173"/>
      <c r="DZ138" s="173"/>
      <c r="EA138" s="665"/>
      <c r="EB138" s="1254" t="s">
        <v>2432</v>
      </c>
      <c r="EC138" s="537">
        <v>20000000</v>
      </c>
      <c r="EE138" s="733">
        <v>0</v>
      </c>
      <c r="EF138" s="706"/>
    </row>
    <row r="139" spans="4:136" s="302" customFormat="1" ht="38.25" hidden="1">
      <c r="D139" s="520">
        <v>136</v>
      </c>
      <c r="E139" s="534">
        <v>172</v>
      </c>
      <c r="F139" s="336" t="s">
        <v>43</v>
      </c>
      <c r="G139" s="336" t="s">
        <v>7</v>
      </c>
      <c r="H139" s="336" t="s">
        <v>2655</v>
      </c>
      <c r="I139" s="336" t="s">
        <v>207</v>
      </c>
      <c r="J139" s="335" t="s">
        <v>1268</v>
      </c>
      <c r="K139" s="335" t="s">
        <v>2330</v>
      </c>
      <c r="L139" s="454" t="s">
        <v>1501</v>
      </c>
      <c r="M139" s="465" t="s">
        <v>1785</v>
      </c>
      <c r="N139" s="333">
        <v>0</v>
      </c>
      <c r="O139" s="333">
        <f>+P139</f>
        <v>100</v>
      </c>
      <c r="P139" s="464">
        <v>100</v>
      </c>
      <c r="Q139" s="393">
        <v>8.8999999999999996E-2</v>
      </c>
      <c r="R139" s="342">
        <f t="shared" si="118"/>
        <v>2.2249999999999999E-2</v>
      </c>
      <c r="S139" s="459">
        <v>100</v>
      </c>
      <c r="T139" s="387">
        <f t="shared" si="119"/>
        <v>0.25</v>
      </c>
      <c r="U139" s="670">
        <v>800</v>
      </c>
      <c r="V139" s="388">
        <f t="shared" si="120"/>
        <v>200</v>
      </c>
      <c r="W139" s="356">
        <f t="shared" si="121"/>
        <v>800</v>
      </c>
      <c r="X139" s="356">
        <f t="shared" si="122"/>
        <v>100</v>
      </c>
      <c r="Y139" s="356">
        <f t="shared" si="98"/>
        <v>2.2250000000000002E-2</v>
      </c>
      <c r="Z139" s="356">
        <f t="shared" si="123"/>
        <v>100</v>
      </c>
      <c r="AA139" s="313">
        <v>0</v>
      </c>
      <c r="AB139" s="313">
        <v>0</v>
      </c>
      <c r="AC139" s="313">
        <v>0</v>
      </c>
      <c r="AD139" s="313">
        <v>0</v>
      </c>
      <c r="AE139" s="313">
        <v>0</v>
      </c>
      <c r="AF139" s="313">
        <v>0</v>
      </c>
      <c r="AG139" s="313">
        <v>0</v>
      </c>
      <c r="AH139" s="313">
        <v>0</v>
      </c>
      <c r="AI139" s="313">
        <v>0</v>
      </c>
      <c r="AJ139" s="313">
        <v>0</v>
      </c>
      <c r="AK139" s="313">
        <v>0</v>
      </c>
      <c r="AL139" s="313">
        <v>0</v>
      </c>
      <c r="AM139" s="313">
        <v>0</v>
      </c>
      <c r="AN139" s="313">
        <v>0</v>
      </c>
      <c r="AO139" s="313">
        <v>0</v>
      </c>
      <c r="AP139" s="313">
        <v>0</v>
      </c>
      <c r="AQ139" s="313">
        <v>0</v>
      </c>
      <c r="AR139" s="313">
        <v>0</v>
      </c>
      <c r="AS139" s="313">
        <v>0</v>
      </c>
      <c r="AT139" s="392">
        <f t="shared" si="124"/>
        <v>2.2249999999999999E-2</v>
      </c>
      <c r="AU139" s="333">
        <v>100</v>
      </c>
      <c r="AV139" s="387">
        <f t="shared" si="125"/>
        <v>0.25</v>
      </c>
      <c r="AW139" s="677">
        <v>0</v>
      </c>
      <c r="AX139" s="366">
        <f t="shared" si="126"/>
        <v>0</v>
      </c>
      <c r="AY139" s="366">
        <f t="shared" si="127"/>
        <v>0</v>
      </c>
      <c r="AZ139" s="366">
        <f t="shared" si="128"/>
        <v>0</v>
      </c>
      <c r="BA139" s="354">
        <f t="shared" si="129"/>
        <v>0</v>
      </c>
      <c r="BB139" s="354">
        <f t="shared" si="130"/>
        <v>0</v>
      </c>
      <c r="BC139" s="353">
        <v>3000000</v>
      </c>
      <c r="BD139" s="353">
        <v>0</v>
      </c>
      <c r="BE139" s="353">
        <v>3000000</v>
      </c>
      <c r="BF139" s="353">
        <v>0</v>
      </c>
      <c r="BG139" s="353">
        <v>0</v>
      </c>
      <c r="BH139" s="353">
        <v>0</v>
      </c>
      <c r="BI139" s="353">
        <v>0</v>
      </c>
      <c r="BJ139" s="353">
        <v>0</v>
      </c>
      <c r="BK139" s="452">
        <v>0</v>
      </c>
      <c r="BL139" s="351">
        <v>0</v>
      </c>
      <c r="BM139" s="351">
        <v>0</v>
      </c>
      <c r="BN139" s="351">
        <v>0</v>
      </c>
      <c r="BO139" s="351">
        <v>0</v>
      </c>
      <c r="BP139" s="351">
        <v>0</v>
      </c>
      <c r="BQ139" s="351">
        <v>0</v>
      </c>
      <c r="BR139" s="351">
        <v>0</v>
      </c>
      <c r="BS139" s="351">
        <v>0</v>
      </c>
      <c r="BT139" s="351">
        <v>0</v>
      </c>
      <c r="BU139" s="351">
        <v>0</v>
      </c>
      <c r="BV139" s="350">
        <f t="shared" si="131"/>
        <v>2.2249999999999999E-2</v>
      </c>
      <c r="BW139" s="350">
        <v>100</v>
      </c>
      <c r="BX139" s="385">
        <f t="shared" si="132"/>
        <v>0.25</v>
      </c>
      <c r="BY139" s="399">
        <v>0</v>
      </c>
      <c r="BZ139" s="398">
        <v>0</v>
      </c>
      <c r="CA139" s="690">
        <v>100</v>
      </c>
      <c r="CB139" s="324">
        <f t="shared" si="133"/>
        <v>25</v>
      </c>
      <c r="CC139" s="324">
        <f t="shared" si="134"/>
        <v>100</v>
      </c>
      <c r="CD139" s="384">
        <f t="shared" si="135"/>
        <v>100</v>
      </c>
      <c r="CE139" s="383">
        <f t="shared" si="136"/>
        <v>2.2250000000000002E-2</v>
      </c>
      <c r="CF139" s="367">
        <f t="shared" si="137"/>
        <v>100</v>
      </c>
      <c r="CG139" s="383">
        <f t="shared" si="138"/>
        <v>2.2250000000000002E-2</v>
      </c>
      <c r="CH139" s="320">
        <f t="shared" si="139"/>
        <v>2.2249999999999999E-2</v>
      </c>
      <c r="CI139" s="319">
        <v>100</v>
      </c>
      <c r="CJ139" s="318">
        <f t="shared" si="140"/>
        <v>0.25</v>
      </c>
      <c r="CK139" s="1259">
        <v>100</v>
      </c>
      <c r="CL139" s="301">
        <f t="shared" si="141"/>
        <v>0</v>
      </c>
      <c r="CM139" s="381">
        <f t="shared" si="142"/>
        <v>25</v>
      </c>
      <c r="CN139" s="381">
        <f t="shared" si="143"/>
        <v>100</v>
      </c>
      <c r="CO139" s="381">
        <f t="shared" si="144"/>
        <v>100</v>
      </c>
      <c r="CP139" s="381">
        <f t="shared" si="145"/>
        <v>2.2250000000000002E-2</v>
      </c>
      <c r="CQ139" s="381">
        <f t="shared" si="146"/>
        <v>2.2250000000000002E-2</v>
      </c>
      <c r="CR139" s="313">
        <v>6000000</v>
      </c>
      <c r="CS139" s="313">
        <v>6000000</v>
      </c>
      <c r="CT139" s="313">
        <v>0</v>
      </c>
      <c r="CU139" s="313">
        <v>0</v>
      </c>
      <c r="CV139" s="313">
        <v>0</v>
      </c>
      <c r="CW139" s="313">
        <v>0</v>
      </c>
      <c r="CX139" s="313">
        <v>0</v>
      </c>
      <c r="CY139" s="313">
        <v>0</v>
      </c>
      <c r="CZ139" s="380">
        <v>0</v>
      </c>
      <c r="DA139" s="380">
        <v>0</v>
      </c>
      <c r="DB139" s="380">
        <v>0</v>
      </c>
      <c r="DC139" s="380">
        <v>0</v>
      </c>
      <c r="DD139" s="380">
        <v>0</v>
      </c>
      <c r="DE139" s="380">
        <v>0</v>
      </c>
      <c r="DF139" s="380">
        <v>0</v>
      </c>
      <c r="DG139" s="380">
        <v>0</v>
      </c>
      <c r="DH139" s="380">
        <v>0</v>
      </c>
      <c r="DI139" s="380">
        <v>0</v>
      </c>
      <c r="DJ139" s="380">
        <v>0</v>
      </c>
      <c r="DK139" s="702">
        <f t="shared" si="147"/>
        <v>250</v>
      </c>
      <c r="DL139" s="311">
        <f t="shared" si="148"/>
        <v>8.8999999999999996E-2</v>
      </c>
      <c r="DM139" s="310">
        <f t="shared" si="149"/>
        <v>250</v>
      </c>
      <c r="DN139" s="356">
        <f t="shared" si="150"/>
        <v>100</v>
      </c>
      <c r="DO139" s="308">
        <f t="shared" si="151"/>
        <v>8.900000000000001E-2</v>
      </c>
      <c r="DP139" s="359">
        <f>+IF(M139="M",DO139,0)</f>
        <v>8.900000000000001E-2</v>
      </c>
      <c r="DQ139" s="306">
        <f t="shared" si="152"/>
        <v>8.900000000000001E-2</v>
      </c>
      <c r="DR139" s="379">
        <f t="shared" si="153"/>
        <v>1</v>
      </c>
      <c r="DS139" s="378">
        <f t="shared" si="154"/>
        <v>0</v>
      </c>
      <c r="DT139" s="173">
        <v>160</v>
      </c>
      <c r="DU139" s="174" t="s">
        <v>416</v>
      </c>
      <c r="DV139" s="173"/>
      <c r="DW139" s="174" t="s">
        <v>84</v>
      </c>
      <c r="DX139" s="173"/>
      <c r="DY139" s="173"/>
      <c r="DZ139" s="173"/>
      <c r="EA139" s="665"/>
      <c r="EB139" s="1254" t="s">
        <v>2448</v>
      </c>
      <c r="EC139" s="537">
        <v>0</v>
      </c>
      <c r="EE139" s="734">
        <v>0</v>
      </c>
      <c r="EF139" s="706"/>
    </row>
    <row r="140" spans="4:136" s="302" customFormat="1" ht="96" hidden="1">
      <c r="D140" s="520">
        <v>137</v>
      </c>
      <c r="E140" s="534">
        <v>173</v>
      </c>
      <c r="F140" s="523" t="s">
        <v>43</v>
      </c>
      <c r="G140" s="523" t="s">
        <v>12</v>
      </c>
      <c r="H140" s="524" t="s">
        <v>2655</v>
      </c>
      <c r="I140" s="462" t="s">
        <v>207</v>
      </c>
      <c r="J140" s="335" t="s">
        <v>436</v>
      </c>
      <c r="K140" s="335" t="s">
        <v>437</v>
      </c>
      <c r="L140" s="454" t="s">
        <v>1501</v>
      </c>
      <c r="M140" s="333" t="s">
        <v>1771</v>
      </c>
      <c r="N140" s="333">
        <v>5650</v>
      </c>
      <c r="O140" s="333">
        <f>+N140+P140</f>
        <v>12150</v>
      </c>
      <c r="P140" s="332">
        <v>6500</v>
      </c>
      <c r="Q140" s="390">
        <v>0.16500000000000001</v>
      </c>
      <c r="R140" s="342">
        <f t="shared" si="118"/>
        <v>2.5384615384615387E-2</v>
      </c>
      <c r="S140" s="459">
        <v>1000</v>
      </c>
      <c r="T140" s="387">
        <f t="shared" si="119"/>
        <v>0.15384615384615385</v>
      </c>
      <c r="U140" s="670">
        <v>5220</v>
      </c>
      <c r="V140" s="388">
        <f t="shared" si="120"/>
        <v>5220</v>
      </c>
      <c r="W140" s="356">
        <f t="shared" si="121"/>
        <v>522</v>
      </c>
      <c r="X140" s="356">
        <f t="shared" si="122"/>
        <v>100</v>
      </c>
      <c r="Y140" s="356">
        <f t="shared" si="98"/>
        <v>2.5384615384615387E-2</v>
      </c>
      <c r="Z140" s="356">
        <f t="shared" si="123"/>
        <v>100</v>
      </c>
      <c r="AA140" s="313">
        <v>50000000</v>
      </c>
      <c r="AB140" s="313">
        <v>50000000</v>
      </c>
      <c r="AC140" s="313">
        <v>0</v>
      </c>
      <c r="AD140" s="313">
        <v>0</v>
      </c>
      <c r="AE140" s="313">
        <v>0</v>
      </c>
      <c r="AF140" s="313">
        <v>0</v>
      </c>
      <c r="AG140" s="313">
        <v>0</v>
      </c>
      <c r="AH140" s="313">
        <v>0</v>
      </c>
      <c r="AI140" s="313">
        <v>77282000</v>
      </c>
      <c r="AJ140" s="313">
        <v>77282000</v>
      </c>
      <c r="AK140" s="313">
        <v>0</v>
      </c>
      <c r="AL140" s="313">
        <v>0</v>
      </c>
      <c r="AM140" s="313">
        <v>0</v>
      </c>
      <c r="AN140" s="313">
        <v>0</v>
      </c>
      <c r="AO140" s="313">
        <v>0</v>
      </c>
      <c r="AP140" s="313">
        <v>0</v>
      </c>
      <c r="AQ140" s="313">
        <v>0</v>
      </c>
      <c r="AR140" s="313">
        <v>0</v>
      </c>
      <c r="AS140" s="313">
        <v>0</v>
      </c>
      <c r="AT140" s="342">
        <f t="shared" si="124"/>
        <v>6.3461538461538472E-2</v>
      </c>
      <c r="AU140" s="333">
        <v>2500</v>
      </c>
      <c r="AV140" s="387">
        <f t="shared" si="125"/>
        <v>0.38461538461538464</v>
      </c>
      <c r="AW140" s="677">
        <v>2713</v>
      </c>
      <c r="AX140" s="366">
        <f t="shared" si="126"/>
        <v>2713</v>
      </c>
      <c r="AY140" s="366">
        <f t="shared" si="127"/>
        <v>108.52</v>
      </c>
      <c r="AZ140" s="366">
        <f t="shared" si="128"/>
        <v>100</v>
      </c>
      <c r="BA140" s="354">
        <f t="shared" si="129"/>
        <v>6.3461538461538472E-2</v>
      </c>
      <c r="BB140" s="354">
        <f t="shared" si="130"/>
        <v>100</v>
      </c>
      <c r="BC140" s="353">
        <v>70000000</v>
      </c>
      <c r="BD140" s="353">
        <v>0</v>
      </c>
      <c r="BE140" s="353">
        <v>30000000</v>
      </c>
      <c r="BF140" s="353">
        <v>0</v>
      </c>
      <c r="BG140" s="353">
        <v>0</v>
      </c>
      <c r="BH140" s="353">
        <v>0</v>
      </c>
      <c r="BI140" s="353">
        <v>0</v>
      </c>
      <c r="BJ140" s="353">
        <v>40000000</v>
      </c>
      <c r="BK140" s="452">
        <v>0</v>
      </c>
      <c r="BL140" s="351">
        <v>0</v>
      </c>
      <c r="BM140" s="351">
        <v>0</v>
      </c>
      <c r="BN140" s="351">
        <v>0</v>
      </c>
      <c r="BO140" s="351">
        <v>0</v>
      </c>
      <c r="BP140" s="351">
        <v>0</v>
      </c>
      <c r="BQ140" s="351">
        <v>0</v>
      </c>
      <c r="BR140" s="351">
        <v>0</v>
      </c>
      <c r="BS140" s="351">
        <v>0</v>
      </c>
      <c r="BT140" s="351">
        <v>0</v>
      </c>
      <c r="BU140" s="351">
        <v>0</v>
      </c>
      <c r="BV140" s="350">
        <f t="shared" si="131"/>
        <v>6.3461538461538472E-2</v>
      </c>
      <c r="BW140" s="350">
        <v>2500</v>
      </c>
      <c r="BX140" s="385">
        <f t="shared" si="132"/>
        <v>0.38461538461538464</v>
      </c>
      <c r="BY140" s="369">
        <v>1544</v>
      </c>
      <c r="BZ140" s="391">
        <v>1652</v>
      </c>
      <c r="CA140" s="689">
        <v>2257</v>
      </c>
      <c r="CB140" s="324">
        <f t="shared" si="133"/>
        <v>2257</v>
      </c>
      <c r="CC140" s="324">
        <f t="shared" si="134"/>
        <v>90.28</v>
      </c>
      <c r="CD140" s="384">
        <f t="shared" si="135"/>
        <v>90.28</v>
      </c>
      <c r="CE140" s="383">
        <f t="shared" si="136"/>
        <v>5.7293076923076933E-2</v>
      </c>
      <c r="CF140" s="367">
        <f t="shared" si="137"/>
        <v>90.28</v>
      </c>
      <c r="CG140" s="383">
        <f t="shared" si="138"/>
        <v>5.7293076923076933E-2</v>
      </c>
      <c r="CH140" s="320">
        <f t="shared" si="139"/>
        <v>1.2692307692307694E-2</v>
      </c>
      <c r="CI140" s="319">
        <v>500</v>
      </c>
      <c r="CJ140" s="318">
        <f t="shared" si="140"/>
        <v>7.6923076923076927E-2</v>
      </c>
      <c r="CK140" s="1259">
        <v>1655</v>
      </c>
      <c r="CL140" s="301">
        <f t="shared" si="141"/>
        <v>-1155</v>
      </c>
      <c r="CM140" s="381">
        <f t="shared" si="142"/>
        <v>1655</v>
      </c>
      <c r="CN140" s="381">
        <f t="shared" si="143"/>
        <v>331</v>
      </c>
      <c r="CO140" s="316">
        <f t="shared" si="144"/>
        <v>100</v>
      </c>
      <c r="CP140" s="381">
        <f t="shared" si="145"/>
        <v>1.2692307692307694E-2</v>
      </c>
      <c r="CQ140" s="381">
        <f t="shared" si="146"/>
        <v>4.2011538461538461E-2</v>
      </c>
      <c r="CR140" s="313">
        <v>0</v>
      </c>
      <c r="CS140" s="313">
        <v>0</v>
      </c>
      <c r="CT140" s="313">
        <v>0</v>
      </c>
      <c r="CU140" s="313">
        <v>0</v>
      </c>
      <c r="CV140" s="313">
        <v>0</v>
      </c>
      <c r="CW140" s="313">
        <v>0</v>
      </c>
      <c r="CX140" s="313">
        <v>0</v>
      </c>
      <c r="CY140" s="313">
        <v>0</v>
      </c>
      <c r="CZ140" s="380">
        <v>0</v>
      </c>
      <c r="DA140" s="380">
        <v>0</v>
      </c>
      <c r="DB140" s="380">
        <v>0</v>
      </c>
      <c r="DC140" s="380">
        <v>0</v>
      </c>
      <c r="DD140" s="380">
        <v>0</v>
      </c>
      <c r="DE140" s="380">
        <v>0</v>
      </c>
      <c r="DF140" s="380">
        <v>0</v>
      </c>
      <c r="DG140" s="380">
        <v>0</v>
      </c>
      <c r="DH140" s="380">
        <v>0</v>
      </c>
      <c r="DI140" s="380">
        <v>0</v>
      </c>
      <c r="DJ140" s="380">
        <v>0</v>
      </c>
      <c r="DK140" s="702">
        <f t="shared" si="147"/>
        <v>11845</v>
      </c>
      <c r="DL140" s="311">
        <f t="shared" si="148"/>
        <v>0.16500000000000001</v>
      </c>
      <c r="DM140" s="310">
        <f t="shared" si="149"/>
        <v>182.23076923076923</v>
      </c>
      <c r="DN140" s="356">
        <f t="shared" si="150"/>
        <v>100</v>
      </c>
      <c r="DO140" s="308">
        <f t="shared" si="151"/>
        <v>0.16500000000000001</v>
      </c>
      <c r="DP140" s="359">
        <f>+IF(((DN140*Q140)/100)&lt;Q140, ((DN140*Q140)/100),Q140)</f>
        <v>0.16500000000000001</v>
      </c>
      <c r="DQ140" s="306">
        <f t="shared" si="152"/>
        <v>0.16500000000000001</v>
      </c>
      <c r="DR140" s="379">
        <f t="shared" si="153"/>
        <v>1</v>
      </c>
      <c r="DS140" s="378">
        <f t="shared" si="154"/>
        <v>-2.4286128663675299E-17</v>
      </c>
      <c r="DT140" s="173">
        <v>619</v>
      </c>
      <c r="DU140" s="174" t="s">
        <v>272</v>
      </c>
      <c r="DV140" s="173"/>
      <c r="DW140" s="174" t="s">
        <v>84</v>
      </c>
      <c r="DX140" s="173"/>
      <c r="DY140" s="173"/>
      <c r="DZ140" s="173"/>
      <c r="EA140" s="665"/>
      <c r="EB140" s="1254" t="s">
        <v>2521</v>
      </c>
      <c r="EC140" s="537">
        <v>390000000</v>
      </c>
      <c r="EE140" s="734">
        <v>1569</v>
      </c>
      <c r="EF140" s="706"/>
    </row>
    <row r="141" spans="4:136" s="302" customFormat="1" ht="51" hidden="1">
      <c r="D141" s="520">
        <v>138</v>
      </c>
      <c r="E141" s="534">
        <v>174</v>
      </c>
      <c r="F141" s="523" t="s">
        <v>43</v>
      </c>
      <c r="G141" s="523" t="s">
        <v>9</v>
      </c>
      <c r="H141" s="524" t="s">
        <v>2655</v>
      </c>
      <c r="I141" s="463" t="s">
        <v>210</v>
      </c>
      <c r="J141" s="335" t="s">
        <v>438</v>
      </c>
      <c r="K141" s="335" t="s">
        <v>439</v>
      </c>
      <c r="L141" s="453" t="s">
        <v>1947</v>
      </c>
      <c r="M141" s="333" t="s">
        <v>1785</v>
      </c>
      <c r="N141" s="333">
        <v>0</v>
      </c>
      <c r="O141" s="333">
        <f>+P141</f>
        <v>100</v>
      </c>
      <c r="P141" s="332">
        <v>100</v>
      </c>
      <c r="Q141" s="390">
        <v>0.16500000000000001</v>
      </c>
      <c r="R141" s="342">
        <f t="shared" si="118"/>
        <v>4.1250000000000002E-2</v>
      </c>
      <c r="S141" s="459">
        <v>100</v>
      </c>
      <c r="T141" s="387">
        <f t="shared" si="119"/>
        <v>0.25</v>
      </c>
      <c r="U141" s="670">
        <v>100</v>
      </c>
      <c r="V141" s="388">
        <f t="shared" si="120"/>
        <v>25</v>
      </c>
      <c r="W141" s="356">
        <f t="shared" si="121"/>
        <v>100</v>
      </c>
      <c r="X141" s="356">
        <f t="shared" si="122"/>
        <v>100</v>
      </c>
      <c r="Y141" s="356">
        <f t="shared" si="98"/>
        <v>4.1250000000000002E-2</v>
      </c>
      <c r="Z141" s="356">
        <f t="shared" si="123"/>
        <v>100</v>
      </c>
      <c r="AA141" s="313">
        <v>0</v>
      </c>
      <c r="AB141" s="313">
        <v>0</v>
      </c>
      <c r="AC141" s="313">
        <v>0</v>
      </c>
      <c r="AD141" s="313">
        <v>0</v>
      </c>
      <c r="AE141" s="313">
        <v>0</v>
      </c>
      <c r="AF141" s="313">
        <v>0</v>
      </c>
      <c r="AG141" s="313">
        <v>0</v>
      </c>
      <c r="AH141" s="313">
        <v>0</v>
      </c>
      <c r="AI141" s="313">
        <v>0</v>
      </c>
      <c r="AJ141" s="313">
        <v>0</v>
      </c>
      <c r="AK141" s="313">
        <v>0</v>
      </c>
      <c r="AL141" s="313">
        <v>0</v>
      </c>
      <c r="AM141" s="313">
        <v>0</v>
      </c>
      <c r="AN141" s="313">
        <v>0</v>
      </c>
      <c r="AO141" s="313">
        <v>0</v>
      </c>
      <c r="AP141" s="313">
        <v>0</v>
      </c>
      <c r="AQ141" s="313">
        <v>0</v>
      </c>
      <c r="AR141" s="313">
        <v>0</v>
      </c>
      <c r="AS141" s="313" t="s">
        <v>1798</v>
      </c>
      <c r="AT141" s="342">
        <f t="shared" si="124"/>
        <v>4.1250000000000002E-2</v>
      </c>
      <c r="AU141" s="333">
        <v>100</v>
      </c>
      <c r="AV141" s="387">
        <f t="shared" si="125"/>
        <v>0.25</v>
      </c>
      <c r="AW141" s="677">
        <v>100</v>
      </c>
      <c r="AX141" s="366">
        <f t="shared" si="126"/>
        <v>25</v>
      </c>
      <c r="AY141" s="366">
        <f t="shared" si="127"/>
        <v>100</v>
      </c>
      <c r="AZ141" s="366">
        <f t="shared" si="128"/>
        <v>100</v>
      </c>
      <c r="BA141" s="354">
        <f t="shared" si="129"/>
        <v>4.1250000000000002E-2</v>
      </c>
      <c r="BB141" s="354">
        <f t="shared" si="130"/>
        <v>100</v>
      </c>
      <c r="BC141" s="353">
        <v>0</v>
      </c>
      <c r="BD141" s="353">
        <v>0</v>
      </c>
      <c r="BE141" s="353">
        <v>0</v>
      </c>
      <c r="BF141" s="353">
        <v>0</v>
      </c>
      <c r="BG141" s="353">
        <v>0</v>
      </c>
      <c r="BH141" s="353">
        <v>0</v>
      </c>
      <c r="BI141" s="353">
        <v>0</v>
      </c>
      <c r="BJ141" s="353">
        <v>0</v>
      </c>
      <c r="BK141" s="452">
        <v>0</v>
      </c>
      <c r="BL141" s="351">
        <v>0</v>
      </c>
      <c r="BM141" s="351">
        <v>0</v>
      </c>
      <c r="BN141" s="351">
        <v>0</v>
      </c>
      <c r="BO141" s="351">
        <v>0</v>
      </c>
      <c r="BP141" s="351">
        <v>0</v>
      </c>
      <c r="BQ141" s="351">
        <v>0</v>
      </c>
      <c r="BR141" s="351">
        <v>0</v>
      </c>
      <c r="BS141" s="351">
        <v>0</v>
      </c>
      <c r="BT141" s="351">
        <v>0</v>
      </c>
      <c r="BU141" s="351">
        <v>0</v>
      </c>
      <c r="BV141" s="350">
        <f t="shared" si="131"/>
        <v>4.1250000000000002E-2</v>
      </c>
      <c r="BW141" s="350">
        <v>100</v>
      </c>
      <c r="BX141" s="385">
        <f t="shared" si="132"/>
        <v>0.25</v>
      </c>
      <c r="BY141" s="369">
        <v>116</v>
      </c>
      <c r="BZ141" s="391">
        <v>100</v>
      </c>
      <c r="CA141" s="689">
        <v>100</v>
      </c>
      <c r="CB141" s="324">
        <f t="shared" si="133"/>
        <v>25</v>
      </c>
      <c r="CC141" s="324">
        <f t="shared" si="134"/>
        <v>100</v>
      </c>
      <c r="CD141" s="384">
        <f t="shared" si="135"/>
        <v>100</v>
      </c>
      <c r="CE141" s="383">
        <f t="shared" si="136"/>
        <v>4.1250000000000002E-2</v>
      </c>
      <c r="CF141" s="367">
        <f t="shared" si="137"/>
        <v>100</v>
      </c>
      <c r="CG141" s="383">
        <f t="shared" si="138"/>
        <v>4.1250000000000002E-2</v>
      </c>
      <c r="CH141" s="320">
        <f t="shared" si="139"/>
        <v>4.1250000000000002E-2</v>
      </c>
      <c r="CI141" s="319">
        <v>100</v>
      </c>
      <c r="CJ141" s="318">
        <f t="shared" si="140"/>
        <v>0.25</v>
      </c>
      <c r="CK141" s="1258">
        <v>0</v>
      </c>
      <c r="CL141" s="301">
        <f t="shared" si="141"/>
        <v>100</v>
      </c>
      <c r="CM141" s="381">
        <f t="shared" si="142"/>
        <v>0</v>
      </c>
      <c r="CN141" s="381">
        <f t="shared" si="143"/>
        <v>0</v>
      </c>
      <c r="CO141" s="381">
        <f t="shared" si="144"/>
        <v>0</v>
      </c>
      <c r="CP141" s="381">
        <f t="shared" si="145"/>
        <v>0</v>
      </c>
      <c r="CQ141" s="381">
        <f t="shared" si="146"/>
        <v>0</v>
      </c>
      <c r="CR141" s="313">
        <v>0</v>
      </c>
      <c r="CS141" s="313">
        <v>0</v>
      </c>
      <c r="CT141" s="313">
        <v>0</v>
      </c>
      <c r="CU141" s="313">
        <v>0</v>
      </c>
      <c r="CV141" s="313">
        <v>0</v>
      </c>
      <c r="CW141" s="313">
        <v>0</v>
      </c>
      <c r="CX141" s="313">
        <v>0</v>
      </c>
      <c r="CY141" s="313">
        <v>0</v>
      </c>
      <c r="CZ141" s="380">
        <v>0</v>
      </c>
      <c r="DA141" s="380">
        <v>0</v>
      </c>
      <c r="DB141" s="380">
        <v>0</v>
      </c>
      <c r="DC141" s="380">
        <v>0</v>
      </c>
      <c r="DD141" s="380">
        <v>0</v>
      </c>
      <c r="DE141" s="380">
        <v>0</v>
      </c>
      <c r="DF141" s="380">
        <v>0</v>
      </c>
      <c r="DG141" s="380">
        <v>0</v>
      </c>
      <c r="DH141" s="380">
        <v>0</v>
      </c>
      <c r="DI141" s="380">
        <v>0</v>
      </c>
      <c r="DJ141" s="380">
        <v>0</v>
      </c>
      <c r="DK141" s="702">
        <f t="shared" si="147"/>
        <v>75</v>
      </c>
      <c r="DL141" s="311">
        <f t="shared" si="148"/>
        <v>0.16500000000000001</v>
      </c>
      <c r="DM141" s="310">
        <f t="shared" si="149"/>
        <v>75</v>
      </c>
      <c r="DN141" s="356">
        <f t="shared" si="150"/>
        <v>75</v>
      </c>
      <c r="DO141" s="308">
        <f t="shared" si="151"/>
        <v>0.12375</v>
      </c>
      <c r="DP141" s="359">
        <f>+IF(M141="M",DO141,0)</f>
        <v>0.12375</v>
      </c>
      <c r="DQ141" s="306">
        <f t="shared" si="152"/>
        <v>0.12375</v>
      </c>
      <c r="DR141" s="379">
        <f t="shared" si="153"/>
        <v>1</v>
      </c>
      <c r="DS141" s="378">
        <f t="shared" si="154"/>
        <v>0</v>
      </c>
      <c r="DT141" s="173">
        <v>158</v>
      </c>
      <c r="DU141" s="174" t="s">
        <v>440</v>
      </c>
      <c r="DV141" s="173"/>
      <c r="DW141" s="174" t="s">
        <v>84</v>
      </c>
      <c r="DX141" s="173"/>
      <c r="DY141" s="173"/>
      <c r="DZ141" s="173"/>
      <c r="EA141" s="665"/>
      <c r="EB141" s="1254" t="s">
        <v>2095</v>
      </c>
      <c r="EC141" s="537">
        <v>1995000000</v>
      </c>
      <c r="EE141" s="734">
        <v>5</v>
      </c>
      <c r="EF141" s="706"/>
    </row>
    <row r="142" spans="4:136" s="302" customFormat="1" ht="51" hidden="1">
      <c r="D142" s="520">
        <v>139</v>
      </c>
      <c r="E142" s="534">
        <v>175</v>
      </c>
      <c r="F142" s="523" t="s">
        <v>43</v>
      </c>
      <c r="G142" s="523" t="s">
        <v>9</v>
      </c>
      <c r="H142" s="524" t="s">
        <v>2655</v>
      </c>
      <c r="I142" s="462" t="s">
        <v>210</v>
      </c>
      <c r="J142" s="335" t="s">
        <v>441</v>
      </c>
      <c r="K142" s="335" t="s">
        <v>413</v>
      </c>
      <c r="L142" s="454" t="s">
        <v>1415</v>
      </c>
      <c r="M142" s="333" t="s">
        <v>1771</v>
      </c>
      <c r="N142" s="333">
        <v>0</v>
      </c>
      <c r="O142" s="333">
        <f>+N142+P142</f>
        <v>116</v>
      </c>
      <c r="P142" s="332">
        <v>116</v>
      </c>
      <c r="Q142" s="390">
        <v>0.16500000000000001</v>
      </c>
      <c r="R142" s="342">
        <f t="shared" si="118"/>
        <v>0</v>
      </c>
      <c r="S142" s="459">
        <v>0</v>
      </c>
      <c r="T142" s="387">
        <f t="shared" si="119"/>
        <v>0</v>
      </c>
      <c r="U142" s="670">
        <v>0</v>
      </c>
      <c r="V142" s="388">
        <f t="shared" si="120"/>
        <v>0</v>
      </c>
      <c r="W142" s="356">
        <f t="shared" si="121"/>
        <v>0</v>
      </c>
      <c r="X142" s="356">
        <f t="shared" si="122"/>
        <v>0</v>
      </c>
      <c r="Y142" s="356">
        <f t="shared" si="98"/>
        <v>0</v>
      </c>
      <c r="Z142" s="356">
        <f t="shared" si="123"/>
        <v>0</v>
      </c>
      <c r="AA142" s="313">
        <v>0</v>
      </c>
      <c r="AB142" s="313">
        <v>0</v>
      </c>
      <c r="AC142" s="313">
        <v>0</v>
      </c>
      <c r="AD142" s="313">
        <v>0</v>
      </c>
      <c r="AE142" s="313">
        <v>0</v>
      </c>
      <c r="AF142" s="313">
        <v>0</v>
      </c>
      <c r="AG142" s="313">
        <v>0</v>
      </c>
      <c r="AH142" s="313">
        <v>0</v>
      </c>
      <c r="AI142" s="313">
        <v>0</v>
      </c>
      <c r="AJ142" s="313">
        <v>0</v>
      </c>
      <c r="AK142" s="313">
        <v>0</v>
      </c>
      <c r="AL142" s="313">
        <v>0</v>
      </c>
      <c r="AM142" s="313">
        <v>0</v>
      </c>
      <c r="AN142" s="313">
        <v>0</v>
      </c>
      <c r="AO142" s="313">
        <v>0</v>
      </c>
      <c r="AP142" s="313">
        <v>0</v>
      </c>
      <c r="AQ142" s="313">
        <v>0</v>
      </c>
      <c r="AR142" s="313">
        <v>0</v>
      </c>
      <c r="AS142" s="313" t="s">
        <v>1798</v>
      </c>
      <c r="AT142" s="342">
        <f t="shared" si="124"/>
        <v>0.16500000000000001</v>
      </c>
      <c r="AU142" s="333">
        <v>116</v>
      </c>
      <c r="AV142" s="387">
        <f t="shared" si="125"/>
        <v>1</v>
      </c>
      <c r="AW142" s="677">
        <v>116</v>
      </c>
      <c r="AX142" s="366">
        <f t="shared" si="126"/>
        <v>116</v>
      </c>
      <c r="AY142" s="366">
        <f t="shared" si="127"/>
        <v>100</v>
      </c>
      <c r="AZ142" s="366">
        <f t="shared" si="128"/>
        <v>100</v>
      </c>
      <c r="BA142" s="354">
        <f t="shared" si="129"/>
        <v>0.16500000000000001</v>
      </c>
      <c r="BB142" s="354">
        <f t="shared" si="130"/>
        <v>100</v>
      </c>
      <c r="BC142" s="353">
        <v>50000000</v>
      </c>
      <c r="BD142" s="353">
        <v>0</v>
      </c>
      <c r="BE142" s="353">
        <v>50000000</v>
      </c>
      <c r="BF142" s="353">
        <v>0</v>
      </c>
      <c r="BG142" s="353">
        <v>0</v>
      </c>
      <c r="BH142" s="353">
        <v>0</v>
      </c>
      <c r="BI142" s="353">
        <v>0</v>
      </c>
      <c r="BJ142" s="353">
        <v>0</v>
      </c>
      <c r="BK142" s="452">
        <v>0</v>
      </c>
      <c r="BL142" s="351">
        <v>0</v>
      </c>
      <c r="BM142" s="351">
        <v>0</v>
      </c>
      <c r="BN142" s="351">
        <v>0</v>
      </c>
      <c r="BO142" s="351">
        <v>0</v>
      </c>
      <c r="BP142" s="351">
        <v>0</v>
      </c>
      <c r="BQ142" s="351">
        <v>0</v>
      </c>
      <c r="BR142" s="351">
        <v>0</v>
      </c>
      <c r="BS142" s="351">
        <v>0</v>
      </c>
      <c r="BT142" s="351">
        <v>0</v>
      </c>
      <c r="BU142" s="351">
        <v>0</v>
      </c>
      <c r="BV142" s="350">
        <f t="shared" si="131"/>
        <v>0</v>
      </c>
      <c r="BW142" s="350">
        <v>0</v>
      </c>
      <c r="BX142" s="385">
        <f t="shared" si="132"/>
        <v>0</v>
      </c>
      <c r="BY142" s="369">
        <v>116</v>
      </c>
      <c r="BZ142" s="391">
        <v>0</v>
      </c>
      <c r="CA142" s="689">
        <v>0</v>
      </c>
      <c r="CB142" s="324">
        <f t="shared" si="133"/>
        <v>0</v>
      </c>
      <c r="CC142" s="324">
        <f t="shared" si="134"/>
        <v>0</v>
      </c>
      <c r="CD142" s="384">
        <f t="shared" si="135"/>
        <v>0</v>
      </c>
      <c r="CE142" s="383">
        <f t="shared" si="136"/>
        <v>0</v>
      </c>
      <c r="CF142" s="367">
        <f t="shared" si="137"/>
        <v>0</v>
      </c>
      <c r="CG142" s="383">
        <f t="shared" si="138"/>
        <v>0</v>
      </c>
      <c r="CH142" s="320">
        <f t="shared" si="139"/>
        <v>0</v>
      </c>
      <c r="CI142" s="319">
        <v>0</v>
      </c>
      <c r="CJ142" s="318">
        <f t="shared" si="140"/>
        <v>0</v>
      </c>
      <c r="CK142" s="1258">
        <v>100</v>
      </c>
      <c r="CL142" s="301">
        <f t="shared" si="141"/>
        <v>-100</v>
      </c>
      <c r="CM142" s="381">
        <f t="shared" si="142"/>
        <v>100</v>
      </c>
      <c r="CN142" s="381">
        <f t="shared" si="143"/>
        <v>0</v>
      </c>
      <c r="CO142" s="316">
        <f t="shared" si="144"/>
        <v>0</v>
      </c>
      <c r="CP142" s="381">
        <f t="shared" si="145"/>
        <v>0</v>
      </c>
      <c r="CQ142" s="381">
        <f t="shared" si="146"/>
        <v>0</v>
      </c>
      <c r="CR142" s="313">
        <v>0</v>
      </c>
      <c r="CS142" s="313">
        <v>0</v>
      </c>
      <c r="CT142" s="313">
        <v>0</v>
      </c>
      <c r="CU142" s="313">
        <v>0</v>
      </c>
      <c r="CV142" s="313">
        <v>0</v>
      </c>
      <c r="CW142" s="313">
        <v>0</v>
      </c>
      <c r="CX142" s="313">
        <v>0</v>
      </c>
      <c r="CY142" s="313">
        <v>0</v>
      </c>
      <c r="CZ142" s="380">
        <v>0</v>
      </c>
      <c r="DA142" s="380">
        <v>0</v>
      </c>
      <c r="DB142" s="380">
        <v>0</v>
      </c>
      <c r="DC142" s="380">
        <v>0</v>
      </c>
      <c r="DD142" s="380">
        <v>0</v>
      </c>
      <c r="DE142" s="380">
        <v>0</v>
      </c>
      <c r="DF142" s="380">
        <v>0</v>
      </c>
      <c r="DG142" s="380">
        <v>0</v>
      </c>
      <c r="DH142" s="380">
        <v>0</v>
      </c>
      <c r="DI142" s="380">
        <v>0</v>
      </c>
      <c r="DJ142" s="380">
        <v>0</v>
      </c>
      <c r="DK142" s="702">
        <f t="shared" si="147"/>
        <v>216</v>
      </c>
      <c r="DL142" s="311">
        <f t="shared" si="148"/>
        <v>0.16500000000000001</v>
      </c>
      <c r="DM142" s="310">
        <f t="shared" si="149"/>
        <v>186.20689655172413</v>
      </c>
      <c r="DN142" s="356">
        <f t="shared" si="150"/>
        <v>100</v>
      </c>
      <c r="DO142" s="308">
        <f t="shared" si="151"/>
        <v>0.16500000000000001</v>
      </c>
      <c r="DP142" s="359">
        <f>+IF(((DN142*Q142)/100)&lt;Q142, ((DN142*Q142)/100),Q142)</f>
        <v>0.16500000000000001</v>
      </c>
      <c r="DQ142" s="306">
        <f t="shared" si="152"/>
        <v>0.16500000000000001</v>
      </c>
      <c r="DR142" s="379">
        <f t="shared" si="153"/>
        <v>1</v>
      </c>
      <c r="DS142" s="378">
        <f t="shared" si="154"/>
        <v>0</v>
      </c>
      <c r="DT142" s="173">
        <v>158</v>
      </c>
      <c r="DU142" s="174" t="s">
        <v>440</v>
      </c>
      <c r="DV142" s="173"/>
      <c r="DW142" s="174" t="s">
        <v>84</v>
      </c>
      <c r="DX142" s="173"/>
      <c r="DY142" s="173"/>
      <c r="DZ142" s="173"/>
      <c r="EA142" s="665"/>
      <c r="EB142" s="1254" t="s">
        <v>2096</v>
      </c>
      <c r="EC142" s="537">
        <v>514000000</v>
      </c>
      <c r="EE142" s="734">
        <v>70</v>
      </c>
      <c r="EF142" s="706"/>
    </row>
    <row r="143" spans="4:136" s="302" customFormat="1" ht="102" hidden="1">
      <c r="D143" s="520">
        <v>140</v>
      </c>
      <c r="E143" s="534">
        <v>176</v>
      </c>
      <c r="F143" s="523" t="s">
        <v>43</v>
      </c>
      <c r="G143" s="523" t="s">
        <v>7</v>
      </c>
      <c r="H143" s="524" t="s">
        <v>2655</v>
      </c>
      <c r="I143" s="462" t="s">
        <v>210</v>
      </c>
      <c r="J143" s="335" t="s">
        <v>442</v>
      </c>
      <c r="K143" s="335" t="s">
        <v>443</v>
      </c>
      <c r="L143" s="454" t="s">
        <v>1988</v>
      </c>
      <c r="M143" s="333" t="s">
        <v>1771</v>
      </c>
      <c r="N143" s="333">
        <v>0</v>
      </c>
      <c r="O143" s="333">
        <f>+N143+P143</f>
        <v>3</v>
      </c>
      <c r="P143" s="332">
        <v>3</v>
      </c>
      <c r="Q143" s="390">
        <v>0.16500000000000001</v>
      </c>
      <c r="R143" s="342">
        <f t="shared" si="118"/>
        <v>5.5E-2</v>
      </c>
      <c r="S143" s="459">
        <v>1</v>
      </c>
      <c r="T143" s="387">
        <f t="shared" si="119"/>
        <v>0.33333333333333331</v>
      </c>
      <c r="U143" s="670">
        <v>1</v>
      </c>
      <c r="V143" s="388">
        <f t="shared" si="120"/>
        <v>1</v>
      </c>
      <c r="W143" s="356">
        <f t="shared" si="121"/>
        <v>100</v>
      </c>
      <c r="X143" s="356">
        <f t="shared" si="122"/>
        <v>100</v>
      </c>
      <c r="Y143" s="356">
        <f t="shared" si="98"/>
        <v>5.5E-2</v>
      </c>
      <c r="Z143" s="356">
        <f t="shared" si="123"/>
        <v>100</v>
      </c>
      <c r="AA143" s="313">
        <v>0</v>
      </c>
      <c r="AB143" s="313">
        <v>0</v>
      </c>
      <c r="AC143" s="313">
        <v>0</v>
      </c>
      <c r="AD143" s="313">
        <v>0</v>
      </c>
      <c r="AE143" s="313">
        <v>0</v>
      </c>
      <c r="AF143" s="313">
        <v>0</v>
      </c>
      <c r="AG143" s="313">
        <v>0</v>
      </c>
      <c r="AH143" s="313">
        <v>0</v>
      </c>
      <c r="AI143" s="313">
        <v>12500000</v>
      </c>
      <c r="AJ143" s="313">
        <v>12500000</v>
      </c>
      <c r="AK143" s="313">
        <v>0</v>
      </c>
      <c r="AL143" s="313">
        <v>0</v>
      </c>
      <c r="AM143" s="313">
        <v>0</v>
      </c>
      <c r="AN143" s="313">
        <v>0</v>
      </c>
      <c r="AO143" s="313">
        <v>0</v>
      </c>
      <c r="AP143" s="313">
        <v>0</v>
      </c>
      <c r="AQ143" s="313">
        <v>0</v>
      </c>
      <c r="AR143" s="313">
        <v>0</v>
      </c>
      <c r="AS143" s="313" t="s">
        <v>1798</v>
      </c>
      <c r="AT143" s="342">
        <f t="shared" si="124"/>
        <v>0</v>
      </c>
      <c r="AU143" s="333">
        <v>0</v>
      </c>
      <c r="AV143" s="387">
        <f t="shared" si="125"/>
        <v>0</v>
      </c>
      <c r="AW143" s="677">
        <v>0</v>
      </c>
      <c r="AX143" s="366">
        <f t="shared" si="126"/>
        <v>0</v>
      </c>
      <c r="AY143" s="366">
        <f t="shared" si="127"/>
        <v>0</v>
      </c>
      <c r="AZ143" s="366">
        <f t="shared" si="128"/>
        <v>0</v>
      </c>
      <c r="BA143" s="354">
        <f t="shared" si="129"/>
        <v>0</v>
      </c>
      <c r="BB143" s="354">
        <f t="shared" si="130"/>
        <v>0</v>
      </c>
      <c r="BC143" s="353">
        <v>0</v>
      </c>
      <c r="BD143" s="353">
        <v>0</v>
      </c>
      <c r="BE143" s="353">
        <v>0</v>
      </c>
      <c r="BF143" s="353">
        <v>0</v>
      </c>
      <c r="BG143" s="353">
        <v>0</v>
      </c>
      <c r="BH143" s="353">
        <v>0</v>
      </c>
      <c r="BI143" s="353">
        <v>0</v>
      </c>
      <c r="BJ143" s="353">
        <v>0</v>
      </c>
      <c r="BK143" s="452">
        <v>0</v>
      </c>
      <c r="BL143" s="351">
        <v>0</v>
      </c>
      <c r="BM143" s="351">
        <v>0</v>
      </c>
      <c r="BN143" s="351">
        <v>0</v>
      </c>
      <c r="BO143" s="351">
        <v>0</v>
      </c>
      <c r="BP143" s="351">
        <v>0</v>
      </c>
      <c r="BQ143" s="351">
        <v>0</v>
      </c>
      <c r="BR143" s="351">
        <v>0</v>
      </c>
      <c r="BS143" s="351">
        <v>0</v>
      </c>
      <c r="BT143" s="351">
        <v>0</v>
      </c>
      <c r="BU143" s="351">
        <v>0</v>
      </c>
      <c r="BV143" s="350">
        <f t="shared" si="131"/>
        <v>5.5E-2</v>
      </c>
      <c r="BW143" s="350">
        <v>1</v>
      </c>
      <c r="BX143" s="385">
        <f t="shared" si="132"/>
        <v>0.33333333333333331</v>
      </c>
      <c r="BY143" s="399">
        <v>0</v>
      </c>
      <c r="BZ143" s="398">
        <v>0</v>
      </c>
      <c r="CA143" s="690">
        <v>1</v>
      </c>
      <c r="CB143" s="324">
        <f t="shared" si="133"/>
        <v>1</v>
      </c>
      <c r="CC143" s="324">
        <f t="shared" si="134"/>
        <v>100</v>
      </c>
      <c r="CD143" s="384">
        <f t="shared" si="135"/>
        <v>100</v>
      </c>
      <c r="CE143" s="383">
        <f t="shared" si="136"/>
        <v>5.5E-2</v>
      </c>
      <c r="CF143" s="367">
        <f t="shared" si="137"/>
        <v>100</v>
      </c>
      <c r="CG143" s="383">
        <f t="shared" si="138"/>
        <v>5.5E-2</v>
      </c>
      <c r="CH143" s="320">
        <f t="shared" si="139"/>
        <v>5.5E-2</v>
      </c>
      <c r="CI143" s="319">
        <v>1</v>
      </c>
      <c r="CJ143" s="318">
        <f t="shared" si="140"/>
        <v>0.33333333333333331</v>
      </c>
      <c r="CK143" s="1258">
        <v>1</v>
      </c>
      <c r="CL143" s="301">
        <f t="shared" si="141"/>
        <v>0</v>
      </c>
      <c r="CM143" s="381">
        <f t="shared" si="142"/>
        <v>1</v>
      </c>
      <c r="CN143" s="381">
        <f t="shared" si="143"/>
        <v>100</v>
      </c>
      <c r="CO143" s="316">
        <f t="shared" si="144"/>
        <v>100</v>
      </c>
      <c r="CP143" s="381">
        <f t="shared" si="145"/>
        <v>5.5E-2</v>
      </c>
      <c r="CQ143" s="381">
        <f t="shared" si="146"/>
        <v>5.5E-2</v>
      </c>
      <c r="CR143" s="313">
        <v>0</v>
      </c>
      <c r="CS143" s="313">
        <v>0</v>
      </c>
      <c r="CT143" s="313">
        <v>0</v>
      </c>
      <c r="CU143" s="313">
        <v>0</v>
      </c>
      <c r="CV143" s="313">
        <v>0</v>
      </c>
      <c r="CW143" s="313">
        <v>0</v>
      </c>
      <c r="CX143" s="313">
        <v>0</v>
      </c>
      <c r="CY143" s="313">
        <v>0</v>
      </c>
      <c r="CZ143" s="380">
        <v>0</v>
      </c>
      <c r="DA143" s="380">
        <v>0</v>
      </c>
      <c r="DB143" s="380">
        <v>0</v>
      </c>
      <c r="DC143" s="380">
        <v>0</v>
      </c>
      <c r="DD143" s="380">
        <v>0</v>
      </c>
      <c r="DE143" s="380">
        <v>0</v>
      </c>
      <c r="DF143" s="380">
        <v>0</v>
      </c>
      <c r="DG143" s="380">
        <v>0</v>
      </c>
      <c r="DH143" s="380">
        <v>0</v>
      </c>
      <c r="DI143" s="380">
        <v>0</v>
      </c>
      <c r="DJ143" s="380">
        <v>0</v>
      </c>
      <c r="DK143" s="702">
        <f t="shared" si="147"/>
        <v>3</v>
      </c>
      <c r="DL143" s="311">
        <f t="shared" si="148"/>
        <v>0.16500000000000001</v>
      </c>
      <c r="DM143" s="310">
        <f t="shared" si="149"/>
        <v>100</v>
      </c>
      <c r="DN143" s="356">
        <f t="shared" si="150"/>
        <v>100</v>
      </c>
      <c r="DO143" s="308">
        <f t="shared" si="151"/>
        <v>0.16500000000000001</v>
      </c>
      <c r="DP143" s="359">
        <f>+IF(((DN143*Q143)/100)&lt;Q143, ((DN143*Q143)/100),Q143)</f>
        <v>0.16500000000000001</v>
      </c>
      <c r="DQ143" s="306">
        <f t="shared" si="152"/>
        <v>0.16500000000000001</v>
      </c>
      <c r="DR143" s="379">
        <f t="shared" si="153"/>
        <v>1</v>
      </c>
      <c r="DS143" s="378">
        <f t="shared" si="154"/>
        <v>0</v>
      </c>
      <c r="DT143" s="173">
        <v>158</v>
      </c>
      <c r="DU143" s="174" t="s">
        <v>440</v>
      </c>
      <c r="DV143" s="173"/>
      <c r="DW143" s="174" t="s">
        <v>84</v>
      </c>
      <c r="DX143" s="173"/>
      <c r="DY143" s="173"/>
      <c r="DZ143" s="173"/>
      <c r="EA143" s="665"/>
      <c r="EB143" s="1254" t="s">
        <v>2453</v>
      </c>
      <c r="EC143" s="537">
        <v>0</v>
      </c>
      <c r="EE143" s="734">
        <v>100</v>
      </c>
      <c r="EF143" s="706"/>
    </row>
    <row r="144" spans="4:136" s="302" customFormat="1" ht="72" hidden="1">
      <c r="D144" s="520">
        <v>141</v>
      </c>
      <c r="E144" s="534">
        <v>180</v>
      </c>
      <c r="F144" s="523" t="s">
        <v>43</v>
      </c>
      <c r="G144" s="523" t="s">
        <v>10</v>
      </c>
      <c r="H144" s="524" t="s">
        <v>2656</v>
      </c>
      <c r="I144" s="462" t="s">
        <v>171</v>
      </c>
      <c r="J144" s="335" t="s">
        <v>444</v>
      </c>
      <c r="K144" s="335" t="s">
        <v>445</v>
      </c>
      <c r="L144" s="454" t="s">
        <v>1832</v>
      </c>
      <c r="M144" s="333" t="s">
        <v>1771</v>
      </c>
      <c r="N144" s="333">
        <v>0</v>
      </c>
      <c r="O144" s="333">
        <f>+N144+P144</f>
        <v>100</v>
      </c>
      <c r="P144" s="332">
        <v>100</v>
      </c>
      <c r="Q144" s="390">
        <v>0.25</v>
      </c>
      <c r="R144" s="342">
        <f t="shared" si="118"/>
        <v>2.2499999999999999E-2</v>
      </c>
      <c r="S144" s="459">
        <v>9</v>
      </c>
      <c r="T144" s="387">
        <f t="shared" si="119"/>
        <v>0.09</v>
      </c>
      <c r="U144" s="670">
        <v>9</v>
      </c>
      <c r="V144" s="388">
        <f t="shared" si="120"/>
        <v>9</v>
      </c>
      <c r="W144" s="356">
        <f t="shared" si="121"/>
        <v>100</v>
      </c>
      <c r="X144" s="356">
        <f t="shared" si="122"/>
        <v>100</v>
      </c>
      <c r="Y144" s="356">
        <f t="shared" si="98"/>
        <v>2.2499999999999999E-2</v>
      </c>
      <c r="Z144" s="356">
        <f t="shared" si="123"/>
        <v>100</v>
      </c>
      <c r="AA144" s="313">
        <v>230262000</v>
      </c>
      <c r="AB144" s="313">
        <v>190262000</v>
      </c>
      <c r="AC144" s="313">
        <v>0</v>
      </c>
      <c r="AD144" s="313">
        <v>40000000</v>
      </c>
      <c r="AE144" s="313">
        <v>0</v>
      </c>
      <c r="AF144" s="313">
        <v>0</v>
      </c>
      <c r="AG144" s="313">
        <v>0</v>
      </c>
      <c r="AH144" s="313">
        <v>0</v>
      </c>
      <c r="AI144" s="313">
        <v>49500000</v>
      </c>
      <c r="AJ144" s="313">
        <v>49500000</v>
      </c>
      <c r="AK144" s="313">
        <v>0</v>
      </c>
      <c r="AL144" s="313">
        <v>0</v>
      </c>
      <c r="AM144" s="313">
        <v>0</v>
      </c>
      <c r="AN144" s="313">
        <v>0</v>
      </c>
      <c r="AO144" s="313">
        <v>0</v>
      </c>
      <c r="AP144" s="313">
        <v>0</v>
      </c>
      <c r="AQ144" s="313">
        <v>0</v>
      </c>
      <c r="AR144" s="313">
        <v>0</v>
      </c>
      <c r="AS144" s="313">
        <v>0</v>
      </c>
      <c r="AT144" s="333">
        <f t="shared" si="124"/>
        <v>2.2499999999999999E-2</v>
      </c>
      <c r="AU144" s="333">
        <v>9</v>
      </c>
      <c r="AV144" s="333">
        <f t="shared" si="125"/>
        <v>0.09</v>
      </c>
      <c r="AW144" s="682">
        <v>9</v>
      </c>
      <c r="AX144" s="366">
        <f t="shared" si="126"/>
        <v>9</v>
      </c>
      <c r="AY144" s="366">
        <f t="shared" si="127"/>
        <v>100</v>
      </c>
      <c r="AZ144" s="366">
        <f t="shared" si="128"/>
        <v>100</v>
      </c>
      <c r="BA144" s="354">
        <f t="shared" si="129"/>
        <v>2.2499999999999999E-2</v>
      </c>
      <c r="BB144" s="354">
        <f t="shared" si="130"/>
        <v>100</v>
      </c>
      <c r="BC144" s="353">
        <v>0</v>
      </c>
      <c r="BD144" s="353">
        <v>0</v>
      </c>
      <c r="BE144" s="353">
        <v>0</v>
      </c>
      <c r="BF144" s="353">
        <v>0</v>
      </c>
      <c r="BG144" s="353">
        <v>0</v>
      </c>
      <c r="BH144" s="353">
        <v>0</v>
      </c>
      <c r="BI144" s="353">
        <v>0</v>
      </c>
      <c r="BJ144" s="353">
        <v>0</v>
      </c>
      <c r="BK144" s="452">
        <v>409568843</v>
      </c>
      <c r="BL144" s="351">
        <v>314149358</v>
      </c>
      <c r="BM144" s="351">
        <v>55420000</v>
      </c>
      <c r="BN144" s="351">
        <v>39999485</v>
      </c>
      <c r="BO144" s="351">
        <v>0</v>
      </c>
      <c r="BP144" s="351">
        <v>0</v>
      </c>
      <c r="BQ144" s="351">
        <v>0</v>
      </c>
      <c r="BR144" s="351">
        <v>0</v>
      </c>
      <c r="BS144" s="351">
        <v>0</v>
      </c>
      <c r="BT144" s="351">
        <v>0</v>
      </c>
      <c r="BU144" s="351">
        <v>0</v>
      </c>
      <c r="BV144" s="350">
        <f t="shared" si="131"/>
        <v>0.10249999999999999</v>
      </c>
      <c r="BW144" s="350">
        <v>41</v>
      </c>
      <c r="BX144" s="385">
        <f t="shared" si="132"/>
        <v>0.41</v>
      </c>
      <c r="BY144" s="369">
        <v>22</v>
      </c>
      <c r="BZ144" s="391">
        <v>31.399999618530273</v>
      </c>
      <c r="CA144" s="689">
        <v>47</v>
      </c>
      <c r="CB144" s="324">
        <f t="shared" si="133"/>
        <v>47</v>
      </c>
      <c r="CC144" s="324">
        <f t="shared" si="134"/>
        <v>114.63414634146342</v>
      </c>
      <c r="CD144" s="384">
        <f t="shared" si="135"/>
        <v>100</v>
      </c>
      <c r="CE144" s="383">
        <f t="shared" si="136"/>
        <v>0.10249999999999999</v>
      </c>
      <c r="CF144" s="367">
        <f t="shared" si="137"/>
        <v>100</v>
      </c>
      <c r="CG144" s="383">
        <f t="shared" si="138"/>
        <v>0.11749999999999999</v>
      </c>
      <c r="CH144" s="320">
        <f t="shared" si="139"/>
        <v>0.10249999999999999</v>
      </c>
      <c r="CI144" s="319">
        <v>41</v>
      </c>
      <c r="CJ144" s="318">
        <f t="shared" si="140"/>
        <v>0.41</v>
      </c>
      <c r="CK144" s="1258">
        <v>41</v>
      </c>
      <c r="CL144" s="301">
        <f t="shared" si="141"/>
        <v>0</v>
      </c>
      <c r="CM144" s="381">
        <f t="shared" si="142"/>
        <v>41</v>
      </c>
      <c r="CN144" s="381">
        <f t="shared" si="143"/>
        <v>100</v>
      </c>
      <c r="CO144" s="316">
        <f t="shared" si="144"/>
        <v>100</v>
      </c>
      <c r="CP144" s="381">
        <f t="shared" si="145"/>
        <v>0.10249999999999999</v>
      </c>
      <c r="CQ144" s="381">
        <f t="shared" si="146"/>
        <v>0.10249999999999999</v>
      </c>
      <c r="CR144" s="313">
        <v>0</v>
      </c>
      <c r="CS144" s="313">
        <v>0</v>
      </c>
      <c r="CT144" s="313">
        <v>0</v>
      </c>
      <c r="CU144" s="313">
        <v>0</v>
      </c>
      <c r="CV144" s="313">
        <v>0</v>
      </c>
      <c r="CW144" s="313">
        <v>0</v>
      </c>
      <c r="CX144" s="313">
        <v>0</v>
      </c>
      <c r="CY144" s="313">
        <v>0</v>
      </c>
      <c r="CZ144" s="380">
        <v>0</v>
      </c>
      <c r="DA144" s="380">
        <v>0</v>
      </c>
      <c r="DB144" s="380">
        <v>0</v>
      </c>
      <c r="DC144" s="380">
        <v>0</v>
      </c>
      <c r="DD144" s="380">
        <v>0</v>
      </c>
      <c r="DE144" s="380">
        <v>0</v>
      </c>
      <c r="DF144" s="380">
        <v>0</v>
      </c>
      <c r="DG144" s="380">
        <v>0</v>
      </c>
      <c r="DH144" s="380">
        <v>0</v>
      </c>
      <c r="DI144" s="380">
        <v>0</v>
      </c>
      <c r="DJ144" s="380">
        <v>0</v>
      </c>
      <c r="DK144" s="702">
        <f t="shared" si="147"/>
        <v>106</v>
      </c>
      <c r="DL144" s="311">
        <f t="shared" si="148"/>
        <v>0.25</v>
      </c>
      <c r="DM144" s="310">
        <f t="shared" si="149"/>
        <v>106</v>
      </c>
      <c r="DN144" s="356">
        <f t="shared" si="150"/>
        <v>100</v>
      </c>
      <c r="DO144" s="308">
        <f t="shared" si="151"/>
        <v>0.25</v>
      </c>
      <c r="DP144" s="359">
        <f>+IF(((DN144*Q144)/100)&lt;Q144, ((DN144*Q144)/100),Q144)</f>
        <v>0.25</v>
      </c>
      <c r="DQ144" s="306">
        <f t="shared" si="152"/>
        <v>0.25</v>
      </c>
      <c r="DR144" s="379">
        <f t="shared" si="153"/>
        <v>1</v>
      </c>
      <c r="DS144" s="378">
        <f t="shared" si="154"/>
        <v>0</v>
      </c>
      <c r="DT144" s="173">
        <v>179</v>
      </c>
      <c r="DU144" s="174" t="s">
        <v>446</v>
      </c>
      <c r="DV144" s="173"/>
      <c r="DW144" s="174" t="s">
        <v>84</v>
      </c>
      <c r="DX144" s="173"/>
      <c r="DY144" s="173"/>
      <c r="DZ144" s="173"/>
      <c r="EA144" s="665"/>
      <c r="EB144" s="1254" t="s">
        <v>2256</v>
      </c>
      <c r="EC144" s="537">
        <v>5600000000</v>
      </c>
      <c r="EE144" s="744">
        <v>3</v>
      </c>
      <c r="EF144" s="706"/>
    </row>
    <row r="145" spans="4:136" s="302" customFormat="1" ht="48" hidden="1">
      <c r="D145" s="520">
        <v>142</v>
      </c>
      <c r="E145" s="534">
        <v>181</v>
      </c>
      <c r="F145" s="523" t="s">
        <v>43</v>
      </c>
      <c r="G145" s="479" t="s">
        <v>10</v>
      </c>
      <c r="H145" s="524" t="s">
        <v>2656</v>
      </c>
      <c r="I145" s="462" t="s">
        <v>171</v>
      </c>
      <c r="J145" s="335" t="s">
        <v>447</v>
      </c>
      <c r="K145" s="335" t="s">
        <v>448</v>
      </c>
      <c r="L145" s="454" t="s">
        <v>1987</v>
      </c>
      <c r="M145" s="334" t="s">
        <v>1771</v>
      </c>
      <c r="N145" s="334">
        <v>0</v>
      </c>
      <c r="O145" s="333">
        <f>+N145+P145</f>
        <v>40000</v>
      </c>
      <c r="P145" s="332">
        <v>40000</v>
      </c>
      <c r="Q145" s="390">
        <v>0.16500000000000001</v>
      </c>
      <c r="R145" s="342">
        <f t="shared" si="118"/>
        <v>0</v>
      </c>
      <c r="S145" s="389">
        <v>0</v>
      </c>
      <c r="T145" s="387">
        <f t="shared" si="119"/>
        <v>0</v>
      </c>
      <c r="U145" s="670">
        <v>0</v>
      </c>
      <c r="V145" s="388">
        <f t="shared" si="120"/>
        <v>0</v>
      </c>
      <c r="W145" s="356">
        <f t="shared" si="121"/>
        <v>0</v>
      </c>
      <c r="X145" s="356">
        <f t="shared" si="122"/>
        <v>0</v>
      </c>
      <c r="Y145" s="356">
        <f t="shared" si="98"/>
        <v>0</v>
      </c>
      <c r="Z145" s="356">
        <f t="shared" si="123"/>
        <v>0</v>
      </c>
      <c r="AA145" s="355">
        <v>0</v>
      </c>
      <c r="AB145" s="355">
        <v>0</v>
      </c>
      <c r="AC145" s="355">
        <v>0</v>
      </c>
      <c r="AD145" s="355">
        <v>0</v>
      </c>
      <c r="AE145" s="355">
        <v>0</v>
      </c>
      <c r="AF145" s="355">
        <v>0</v>
      </c>
      <c r="AG145" s="355">
        <v>0</v>
      </c>
      <c r="AH145" s="355">
        <v>0</v>
      </c>
      <c r="AI145" s="355">
        <v>0</v>
      </c>
      <c r="AJ145" s="355">
        <v>0</v>
      </c>
      <c r="AK145" s="355">
        <v>0</v>
      </c>
      <c r="AL145" s="355">
        <v>0</v>
      </c>
      <c r="AM145" s="355">
        <v>0</v>
      </c>
      <c r="AN145" s="355">
        <v>0</v>
      </c>
      <c r="AO145" s="355">
        <v>0</v>
      </c>
      <c r="AP145" s="355">
        <v>0</v>
      </c>
      <c r="AQ145" s="355">
        <v>0</v>
      </c>
      <c r="AR145" s="355">
        <v>0</v>
      </c>
      <c r="AS145" s="355">
        <v>0</v>
      </c>
      <c r="AT145" s="333">
        <f t="shared" si="124"/>
        <v>5.7749999999999996E-2</v>
      </c>
      <c r="AU145" s="333">
        <v>14000</v>
      </c>
      <c r="AV145" s="333">
        <f t="shared" si="125"/>
        <v>0.35</v>
      </c>
      <c r="AW145" s="677">
        <v>12300</v>
      </c>
      <c r="AX145" s="366">
        <f t="shared" si="126"/>
        <v>12300</v>
      </c>
      <c r="AY145" s="366">
        <f t="shared" si="127"/>
        <v>87.857142857142861</v>
      </c>
      <c r="AZ145" s="366">
        <f t="shared" si="128"/>
        <v>87.857142857142861</v>
      </c>
      <c r="BA145" s="354">
        <f t="shared" si="129"/>
        <v>5.0737499999999998E-2</v>
      </c>
      <c r="BB145" s="354">
        <f t="shared" si="130"/>
        <v>87.857142857142861</v>
      </c>
      <c r="BC145" s="353">
        <v>341000000</v>
      </c>
      <c r="BD145" s="353">
        <v>0</v>
      </c>
      <c r="BE145" s="353">
        <v>341000000</v>
      </c>
      <c r="BF145" s="353">
        <v>0</v>
      </c>
      <c r="BG145" s="353">
        <v>0</v>
      </c>
      <c r="BH145" s="353">
        <v>0</v>
      </c>
      <c r="BI145" s="353">
        <v>0</v>
      </c>
      <c r="BJ145" s="353">
        <v>0</v>
      </c>
      <c r="BK145" s="452">
        <v>10500000</v>
      </c>
      <c r="BL145" s="351">
        <v>10000000</v>
      </c>
      <c r="BM145" s="351">
        <v>500000</v>
      </c>
      <c r="BN145" s="351">
        <v>0</v>
      </c>
      <c r="BO145" s="351">
        <v>0</v>
      </c>
      <c r="BP145" s="351">
        <v>0</v>
      </c>
      <c r="BQ145" s="351">
        <v>0</v>
      </c>
      <c r="BR145" s="351">
        <v>0</v>
      </c>
      <c r="BS145" s="351">
        <v>0</v>
      </c>
      <c r="BT145" s="351">
        <v>0</v>
      </c>
      <c r="BU145" s="351">
        <v>0</v>
      </c>
      <c r="BV145" s="350">
        <f t="shared" si="131"/>
        <v>5.3625000000000006E-2</v>
      </c>
      <c r="BW145" s="350">
        <v>13000</v>
      </c>
      <c r="BX145" s="385">
        <f t="shared" si="132"/>
        <v>0.32500000000000001</v>
      </c>
      <c r="BY145" s="369">
        <v>12335</v>
      </c>
      <c r="BZ145" s="391">
        <v>10138</v>
      </c>
      <c r="CA145" s="689">
        <v>67509</v>
      </c>
      <c r="CB145" s="324">
        <f t="shared" si="133"/>
        <v>67509</v>
      </c>
      <c r="CC145" s="324">
        <f t="shared" si="134"/>
        <v>519.29999999999995</v>
      </c>
      <c r="CD145" s="384">
        <f t="shared" si="135"/>
        <v>100</v>
      </c>
      <c r="CE145" s="383">
        <f t="shared" si="136"/>
        <v>5.3625000000000006E-2</v>
      </c>
      <c r="CF145" s="367">
        <f t="shared" si="137"/>
        <v>100</v>
      </c>
      <c r="CG145" s="383">
        <f t="shared" si="138"/>
        <v>0.27847462500000003</v>
      </c>
      <c r="CH145" s="320">
        <f t="shared" si="139"/>
        <v>5.3625000000000006E-2</v>
      </c>
      <c r="CI145" s="319">
        <v>13000</v>
      </c>
      <c r="CJ145" s="318">
        <f t="shared" si="140"/>
        <v>0.32500000000000001</v>
      </c>
      <c r="CK145" s="1259">
        <v>77349</v>
      </c>
      <c r="CL145" s="301">
        <f t="shared" si="141"/>
        <v>-64349</v>
      </c>
      <c r="CM145" s="381">
        <f t="shared" si="142"/>
        <v>77349</v>
      </c>
      <c r="CN145" s="381">
        <f t="shared" si="143"/>
        <v>594.99230769230769</v>
      </c>
      <c r="CO145" s="316">
        <f t="shared" si="144"/>
        <v>100</v>
      </c>
      <c r="CP145" s="381">
        <f t="shared" si="145"/>
        <v>5.3625000000000006E-2</v>
      </c>
      <c r="CQ145" s="381">
        <f t="shared" si="146"/>
        <v>0.31906462500000005</v>
      </c>
      <c r="CR145" s="313">
        <v>330000000</v>
      </c>
      <c r="CS145" s="313">
        <v>330000000</v>
      </c>
      <c r="CT145" s="313">
        <v>0</v>
      </c>
      <c r="CU145" s="313">
        <v>0</v>
      </c>
      <c r="CV145" s="313">
        <v>0</v>
      </c>
      <c r="CW145" s="313">
        <v>0</v>
      </c>
      <c r="CX145" s="313">
        <v>0</v>
      </c>
      <c r="CY145" s="313">
        <v>0</v>
      </c>
      <c r="CZ145" s="380">
        <v>0</v>
      </c>
      <c r="DA145" s="380">
        <v>0</v>
      </c>
      <c r="DB145" s="380">
        <v>0</v>
      </c>
      <c r="DC145" s="380">
        <v>0</v>
      </c>
      <c r="DD145" s="380">
        <v>0</v>
      </c>
      <c r="DE145" s="380">
        <v>0</v>
      </c>
      <c r="DF145" s="380">
        <v>0</v>
      </c>
      <c r="DG145" s="380">
        <v>0</v>
      </c>
      <c r="DH145" s="380">
        <v>0</v>
      </c>
      <c r="DI145" s="380">
        <v>0</v>
      </c>
      <c r="DJ145" s="380">
        <v>0</v>
      </c>
      <c r="DK145" s="702">
        <f t="shared" si="147"/>
        <v>157158</v>
      </c>
      <c r="DL145" s="311">
        <f t="shared" si="148"/>
        <v>0.16500000000000001</v>
      </c>
      <c r="DM145" s="310">
        <f t="shared" si="149"/>
        <v>392.89499999999998</v>
      </c>
      <c r="DN145" s="356">
        <f t="shared" si="150"/>
        <v>100</v>
      </c>
      <c r="DO145" s="308">
        <f t="shared" si="151"/>
        <v>0.16500000000000001</v>
      </c>
      <c r="DP145" s="359">
        <f>+IF(((DN145*Q145)/100)&lt;Q145, ((DN145*Q145)/100),Q145)</f>
        <v>0.16500000000000001</v>
      </c>
      <c r="DQ145" s="306">
        <f t="shared" si="152"/>
        <v>0.16500000000000001</v>
      </c>
      <c r="DR145" s="379">
        <f t="shared" si="153"/>
        <v>1</v>
      </c>
      <c r="DS145" s="378">
        <f t="shared" si="154"/>
        <v>0</v>
      </c>
      <c r="DT145" s="173">
        <v>202</v>
      </c>
      <c r="DU145" s="174" t="s">
        <v>121</v>
      </c>
      <c r="DV145" s="173"/>
      <c r="DW145" s="174" t="s">
        <v>84</v>
      </c>
      <c r="DX145" s="173"/>
      <c r="DY145" s="173"/>
      <c r="DZ145" s="173"/>
      <c r="EA145" s="665"/>
      <c r="EB145" s="1254" t="s">
        <v>2257</v>
      </c>
      <c r="EC145" s="537">
        <v>0</v>
      </c>
      <c r="EE145" s="745">
        <v>0</v>
      </c>
      <c r="EF145" s="706"/>
    </row>
    <row r="146" spans="4:136" s="302" customFormat="1" ht="72" hidden="1">
      <c r="D146" s="520">
        <v>143</v>
      </c>
      <c r="E146" s="534">
        <v>182</v>
      </c>
      <c r="F146" s="523" t="s">
        <v>43</v>
      </c>
      <c r="G146" s="523" t="s">
        <v>7</v>
      </c>
      <c r="H146" s="524" t="s">
        <v>2656</v>
      </c>
      <c r="I146" s="462" t="s">
        <v>171</v>
      </c>
      <c r="J146" s="335" t="s">
        <v>449</v>
      </c>
      <c r="K146" s="335" t="s">
        <v>450</v>
      </c>
      <c r="L146" s="453" t="s">
        <v>1501</v>
      </c>
      <c r="M146" s="333" t="s">
        <v>1785</v>
      </c>
      <c r="N146" s="333">
        <v>0</v>
      </c>
      <c r="O146" s="333">
        <f>+P146</f>
        <v>400</v>
      </c>
      <c r="P146" s="332">
        <v>400</v>
      </c>
      <c r="Q146" s="390">
        <v>0.16500000000000001</v>
      </c>
      <c r="R146" s="342">
        <f t="shared" si="118"/>
        <v>4.1250000000000002E-2</v>
      </c>
      <c r="S146" s="459">
        <v>400</v>
      </c>
      <c r="T146" s="387">
        <f t="shared" si="119"/>
        <v>0.25</v>
      </c>
      <c r="U146" s="670">
        <v>0</v>
      </c>
      <c r="V146" s="388">
        <f t="shared" si="120"/>
        <v>0</v>
      </c>
      <c r="W146" s="356">
        <f t="shared" si="121"/>
        <v>0</v>
      </c>
      <c r="X146" s="356">
        <f t="shared" si="122"/>
        <v>0</v>
      </c>
      <c r="Y146" s="356">
        <f t="shared" ref="Y146:Y209" si="155">+(X146*R146)/100</f>
        <v>0</v>
      </c>
      <c r="Z146" s="356">
        <f t="shared" si="123"/>
        <v>0</v>
      </c>
      <c r="AA146" s="313">
        <v>182000000</v>
      </c>
      <c r="AB146" s="313">
        <v>182000000</v>
      </c>
      <c r="AC146" s="313">
        <v>0</v>
      </c>
      <c r="AD146" s="313">
        <v>0</v>
      </c>
      <c r="AE146" s="313">
        <v>0</v>
      </c>
      <c r="AF146" s="313">
        <v>0</v>
      </c>
      <c r="AG146" s="313">
        <v>0</v>
      </c>
      <c r="AH146" s="313">
        <v>0</v>
      </c>
      <c r="AI146" s="313">
        <v>6000000</v>
      </c>
      <c r="AJ146" s="313">
        <v>6000000</v>
      </c>
      <c r="AK146" s="313">
        <v>0</v>
      </c>
      <c r="AL146" s="313">
        <v>0</v>
      </c>
      <c r="AM146" s="313">
        <v>0</v>
      </c>
      <c r="AN146" s="313">
        <v>0</v>
      </c>
      <c r="AO146" s="313">
        <v>0</v>
      </c>
      <c r="AP146" s="313">
        <v>0</v>
      </c>
      <c r="AQ146" s="313">
        <v>0</v>
      </c>
      <c r="AR146" s="313">
        <v>0</v>
      </c>
      <c r="AS146" s="313">
        <v>0</v>
      </c>
      <c r="AT146" s="333">
        <f t="shared" si="124"/>
        <v>4.1250000000000002E-2</v>
      </c>
      <c r="AU146" s="333">
        <v>400</v>
      </c>
      <c r="AV146" s="333">
        <f t="shared" si="125"/>
        <v>0.25</v>
      </c>
      <c r="AW146" s="677">
        <v>400</v>
      </c>
      <c r="AX146" s="366">
        <f t="shared" si="126"/>
        <v>100</v>
      </c>
      <c r="AY146" s="366">
        <f t="shared" si="127"/>
        <v>100</v>
      </c>
      <c r="AZ146" s="366">
        <f t="shared" si="128"/>
        <v>100</v>
      </c>
      <c r="BA146" s="354">
        <f t="shared" si="129"/>
        <v>4.1250000000000002E-2</v>
      </c>
      <c r="BB146" s="354">
        <f t="shared" si="130"/>
        <v>100</v>
      </c>
      <c r="BC146" s="353">
        <v>0</v>
      </c>
      <c r="BD146" s="353">
        <v>0</v>
      </c>
      <c r="BE146" s="353">
        <v>0</v>
      </c>
      <c r="BF146" s="353">
        <v>0</v>
      </c>
      <c r="BG146" s="353">
        <v>0</v>
      </c>
      <c r="BH146" s="353">
        <v>0</v>
      </c>
      <c r="BI146" s="353">
        <v>0</v>
      </c>
      <c r="BJ146" s="353">
        <v>0</v>
      </c>
      <c r="BK146" s="452">
        <v>398100148</v>
      </c>
      <c r="BL146" s="351">
        <v>398100148</v>
      </c>
      <c r="BM146" s="351">
        <v>0</v>
      </c>
      <c r="BN146" s="351">
        <v>0</v>
      </c>
      <c r="BO146" s="351">
        <v>0</v>
      </c>
      <c r="BP146" s="351">
        <v>0</v>
      </c>
      <c r="BQ146" s="351">
        <v>0</v>
      </c>
      <c r="BR146" s="351">
        <v>0</v>
      </c>
      <c r="BS146" s="351">
        <v>0</v>
      </c>
      <c r="BT146" s="351">
        <v>0</v>
      </c>
      <c r="BU146" s="351">
        <v>0</v>
      </c>
      <c r="BV146" s="350">
        <f t="shared" si="131"/>
        <v>4.1250000000000002E-2</v>
      </c>
      <c r="BW146" s="350">
        <v>400</v>
      </c>
      <c r="BX146" s="385">
        <f t="shared" si="132"/>
        <v>0.25</v>
      </c>
      <c r="BY146" s="399">
        <v>0</v>
      </c>
      <c r="BZ146" s="398">
        <v>0</v>
      </c>
      <c r="CA146" s="690">
        <v>400</v>
      </c>
      <c r="CB146" s="324">
        <f t="shared" si="133"/>
        <v>100</v>
      </c>
      <c r="CC146" s="324">
        <f t="shared" si="134"/>
        <v>100</v>
      </c>
      <c r="CD146" s="384">
        <f t="shared" si="135"/>
        <v>100</v>
      </c>
      <c r="CE146" s="383">
        <f t="shared" si="136"/>
        <v>4.1250000000000002E-2</v>
      </c>
      <c r="CF146" s="367">
        <f t="shared" si="137"/>
        <v>100</v>
      </c>
      <c r="CG146" s="383">
        <f t="shared" si="138"/>
        <v>4.1250000000000002E-2</v>
      </c>
      <c r="CH146" s="320">
        <f t="shared" si="139"/>
        <v>4.1250000000000002E-2</v>
      </c>
      <c r="CI146" s="319">
        <v>400</v>
      </c>
      <c r="CJ146" s="318">
        <f t="shared" si="140"/>
        <v>0.25</v>
      </c>
      <c r="CK146" s="1259">
        <v>400</v>
      </c>
      <c r="CL146" s="301">
        <f t="shared" si="141"/>
        <v>0</v>
      </c>
      <c r="CM146" s="381">
        <f t="shared" si="142"/>
        <v>100</v>
      </c>
      <c r="CN146" s="381">
        <f t="shared" si="143"/>
        <v>100</v>
      </c>
      <c r="CO146" s="381">
        <f t="shared" si="144"/>
        <v>100</v>
      </c>
      <c r="CP146" s="381">
        <f t="shared" si="145"/>
        <v>4.1250000000000002E-2</v>
      </c>
      <c r="CQ146" s="381">
        <f t="shared" si="146"/>
        <v>4.1250000000000002E-2</v>
      </c>
      <c r="CR146" s="313">
        <v>0</v>
      </c>
      <c r="CS146" s="313">
        <v>0</v>
      </c>
      <c r="CT146" s="313">
        <v>0</v>
      </c>
      <c r="CU146" s="313">
        <v>0</v>
      </c>
      <c r="CV146" s="313">
        <v>0</v>
      </c>
      <c r="CW146" s="313">
        <v>0</v>
      </c>
      <c r="CX146" s="313">
        <v>0</v>
      </c>
      <c r="CY146" s="313">
        <v>0</v>
      </c>
      <c r="CZ146" s="380">
        <v>0</v>
      </c>
      <c r="DA146" s="380">
        <v>0</v>
      </c>
      <c r="DB146" s="380">
        <v>0</v>
      </c>
      <c r="DC146" s="380">
        <v>0</v>
      </c>
      <c r="DD146" s="380">
        <v>0</v>
      </c>
      <c r="DE146" s="380">
        <v>0</v>
      </c>
      <c r="DF146" s="380">
        <v>0</v>
      </c>
      <c r="DG146" s="380">
        <v>0</v>
      </c>
      <c r="DH146" s="380">
        <v>0</v>
      </c>
      <c r="DI146" s="380">
        <v>0</v>
      </c>
      <c r="DJ146" s="380">
        <v>0</v>
      </c>
      <c r="DK146" s="702">
        <f t="shared" si="147"/>
        <v>300</v>
      </c>
      <c r="DL146" s="311">
        <f t="shared" si="148"/>
        <v>0.16500000000000001</v>
      </c>
      <c r="DM146" s="310">
        <f t="shared" si="149"/>
        <v>75</v>
      </c>
      <c r="DN146" s="356">
        <f t="shared" si="150"/>
        <v>75</v>
      </c>
      <c r="DO146" s="308">
        <f t="shared" si="151"/>
        <v>0.12375</v>
      </c>
      <c r="DP146" s="359">
        <f>+IF(M146="M",DO146,0)</f>
        <v>0.12375</v>
      </c>
      <c r="DQ146" s="306">
        <f t="shared" si="152"/>
        <v>0.12375</v>
      </c>
      <c r="DR146" s="379">
        <f t="shared" si="153"/>
        <v>1</v>
      </c>
      <c r="DS146" s="378">
        <f t="shared" si="154"/>
        <v>0</v>
      </c>
      <c r="DT146" s="173">
        <v>179</v>
      </c>
      <c r="DU146" s="174" t="s">
        <v>446</v>
      </c>
      <c r="DV146" s="173"/>
      <c r="DW146" s="174" t="s">
        <v>84</v>
      </c>
      <c r="DX146" s="173"/>
      <c r="DY146" s="173"/>
      <c r="DZ146" s="173"/>
      <c r="EA146" s="665"/>
      <c r="EB146" s="1254" t="s">
        <v>3231</v>
      </c>
      <c r="EC146" s="537">
        <v>900000000</v>
      </c>
      <c r="EE146" s="733">
        <v>0</v>
      </c>
      <c r="EF146" s="706"/>
    </row>
    <row r="147" spans="4:136" s="302" customFormat="1" ht="120" hidden="1">
      <c r="D147" s="520">
        <v>144</v>
      </c>
      <c r="E147" s="534">
        <v>183</v>
      </c>
      <c r="F147" s="523" t="s">
        <v>43</v>
      </c>
      <c r="G147" s="523" t="s">
        <v>8</v>
      </c>
      <c r="H147" s="524" t="s">
        <v>2656</v>
      </c>
      <c r="I147" s="462" t="s">
        <v>187</v>
      </c>
      <c r="J147" s="335" t="s">
        <v>451</v>
      </c>
      <c r="K147" s="335" t="s">
        <v>452</v>
      </c>
      <c r="L147" s="454" t="s">
        <v>1986</v>
      </c>
      <c r="M147" s="333" t="s">
        <v>1771</v>
      </c>
      <c r="N147" s="333">
        <v>1643</v>
      </c>
      <c r="O147" s="333">
        <f t="shared" ref="O147:O154" si="156">+N147+P147</f>
        <v>5460</v>
      </c>
      <c r="P147" s="332">
        <v>3817</v>
      </c>
      <c r="Q147" s="390">
        <v>0.16500000000000001</v>
      </c>
      <c r="R147" s="342">
        <f t="shared" si="118"/>
        <v>2.5288184438040349E-2</v>
      </c>
      <c r="S147" s="459">
        <v>585</v>
      </c>
      <c r="T147" s="387">
        <f t="shared" si="119"/>
        <v>0.1532617238669112</v>
      </c>
      <c r="U147" s="670">
        <v>585</v>
      </c>
      <c r="V147" s="388">
        <f t="shared" si="120"/>
        <v>585</v>
      </c>
      <c r="W147" s="356">
        <f t="shared" si="121"/>
        <v>100</v>
      </c>
      <c r="X147" s="356">
        <f t="shared" si="122"/>
        <v>100</v>
      </c>
      <c r="Y147" s="356">
        <f t="shared" si="155"/>
        <v>2.5288184438040352E-2</v>
      </c>
      <c r="Z147" s="356">
        <f t="shared" si="123"/>
        <v>100</v>
      </c>
      <c r="AA147" s="313">
        <v>64000000</v>
      </c>
      <c r="AB147" s="313">
        <v>64000000</v>
      </c>
      <c r="AC147" s="313">
        <v>0</v>
      </c>
      <c r="AD147" s="313">
        <v>0</v>
      </c>
      <c r="AE147" s="313">
        <v>0</v>
      </c>
      <c r="AF147" s="313">
        <v>0</v>
      </c>
      <c r="AG147" s="313">
        <v>0</v>
      </c>
      <c r="AH147" s="313">
        <v>0</v>
      </c>
      <c r="AI147" s="313">
        <v>63814000</v>
      </c>
      <c r="AJ147" s="313">
        <v>63814000</v>
      </c>
      <c r="AK147" s="313">
        <v>0</v>
      </c>
      <c r="AL147" s="313">
        <v>0</v>
      </c>
      <c r="AM147" s="313">
        <v>0</v>
      </c>
      <c r="AN147" s="313">
        <v>0</v>
      </c>
      <c r="AO147" s="313">
        <v>0</v>
      </c>
      <c r="AP147" s="313">
        <v>0</v>
      </c>
      <c r="AQ147" s="313">
        <v>0</v>
      </c>
      <c r="AR147" s="313">
        <v>0</v>
      </c>
      <c r="AS147" s="313">
        <v>0</v>
      </c>
      <c r="AT147" s="342">
        <f t="shared" si="124"/>
        <v>3.3242074927953891E-2</v>
      </c>
      <c r="AU147" s="342">
        <v>769</v>
      </c>
      <c r="AV147" s="342">
        <f t="shared" si="125"/>
        <v>0.20146712077547813</v>
      </c>
      <c r="AW147" s="677">
        <v>769</v>
      </c>
      <c r="AX147" s="366">
        <f t="shared" si="126"/>
        <v>769</v>
      </c>
      <c r="AY147" s="366">
        <f t="shared" si="127"/>
        <v>100</v>
      </c>
      <c r="AZ147" s="366">
        <f t="shared" si="128"/>
        <v>100</v>
      </c>
      <c r="BA147" s="354">
        <f t="shared" si="129"/>
        <v>3.3242074927953891E-2</v>
      </c>
      <c r="BB147" s="354">
        <f t="shared" si="130"/>
        <v>100</v>
      </c>
      <c r="BC147" s="353">
        <v>0</v>
      </c>
      <c r="BD147" s="353">
        <v>0</v>
      </c>
      <c r="BE147" s="353">
        <v>0</v>
      </c>
      <c r="BF147" s="353">
        <v>0</v>
      </c>
      <c r="BG147" s="353">
        <v>0</v>
      </c>
      <c r="BH147" s="353">
        <v>0</v>
      </c>
      <c r="BI147" s="353">
        <v>0</v>
      </c>
      <c r="BJ147" s="353">
        <v>0</v>
      </c>
      <c r="BK147" s="452">
        <v>104000000</v>
      </c>
      <c r="BL147" s="351">
        <v>104000000</v>
      </c>
      <c r="BM147" s="351">
        <v>0</v>
      </c>
      <c r="BN147" s="351">
        <v>0</v>
      </c>
      <c r="BO147" s="351">
        <v>0</v>
      </c>
      <c r="BP147" s="351">
        <v>0</v>
      </c>
      <c r="BQ147" s="351">
        <v>0</v>
      </c>
      <c r="BR147" s="351">
        <v>0</v>
      </c>
      <c r="BS147" s="351">
        <v>0</v>
      </c>
      <c r="BT147" s="351">
        <v>0</v>
      </c>
      <c r="BU147" s="351">
        <v>0</v>
      </c>
      <c r="BV147" s="350">
        <f t="shared" si="131"/>
        <v>4.4481268011527381E-2</v>
      </c>
      <c r="BW147" s="350">
        <v>1029</v>
      </c>
      <c r="BX147" s="385">
        <f t="shared" si="132"/>
        <v>0.26958344249410532</v>
      </c>
      <c r="BY147" s="369">
        <v>0</v>
      </c>
      <c r="BZ147" s="391">
        <v>0</v>
      </c>
      <c r="CA147" s="689">
        <v>918</v>
      </c>
      <c r="CB147" s="324">
        <f t="shared" si="133"/>
        <v>918</v>
      </c>
      <c r="CC147" s="324">
        <f t="shared" si="134"/>
        <v>89.212827988338191</v>
      </c>
      <c r="CD147" s="384">
        <f t="shared" si="135"/>
        <v>89.212827988338191</v>
      </c>
      <c r="CE147" s="383">
        <f t="shared" si="136"/>
        <v>3.9682997118155622E-2</v>
      </c>
      <c r="CF147" s="367">
        <f t="shared" si="137"/>
        <v>89.212827988338191</v>
      </c>
      <c r="CG147" s="383">
        <f t="shared" si="138"/>
        <v>3.9682997118155622E-2</v>
      </c>
      <c r="CH147" s="320">
        <f t="shared" si="139"/>
        <v>6.1988472622478391E-2</v>
      </c>
      <c r="CI147" s="319">
        <v>1434</v>
      </c>
      <c r="CJ147" s="318">
        <f t="shared" si="140"/>
        <v>0.37568771286350539</v>
      </c>
      <c r="CK147" s="1259">
        <v>1742</v>
      </c>
      <c r="CL147" s="301">
        <f t="shared" si="141"/>
        <v>-308</v>
      </c>
      <c r="CM147" s="381">
        <f t="shared" si="142"/>
        <v>1742</v>
      </c>
      <c r="CN147" s="381">
        <f t="shared" si="143"/>
        <v>121.47838214783822</v>
      </c>
      <c r="CO147" s="316">
        <f t="shared" si="144"/>
        <v>100</v>
      </c>
      <c r="CP147" s="381">
        <f t="shared" si="145"/>
        <v>6.1988472622478391E-2</v>
      </c>
      <c r="CQ147" s="381">
        <f t="shared" si="146"/>
        <v>7.5302593659942366E-2</v>
      </c>
      <c r="CR147" s="313">
        <v>0</v>
      </c>
      <c r="CS147" s="313">
        <v>0</v>
      </c>
      <c r="CT147" s="313">
        <v>0</v>
      </c>
      <c r="CU147" s="313">
        <v>0</v>
      </c>
      <c r="CV147" s="313">
        <v>0</v>
      </c>
      <c r="CW147" s="313">
        <v>0</v>
      </c>
      <c r="CX147" s="313">
        <v>0</v>
      </c>
      <c r="CY147" s="313">
        <v>0</v>
      </c>
      <c r="CZ147" s="380">
        <v>0</v>
      </c>
      <c r="DA147" s="380">
        <v>0</v>
      </c>
      <c r="DB147" s="380">
        <v>0</v>
      </c>
      <c r="DC147" s="380">
        <v>0</v>
      </c>
      <c r="DD147" s="380">
        <v>0</v>
      </c>
      <c r="DE147" s="380">
        <v>0</v>
      </c>
      <c r="DF147" s="380">
        <v>0</v>
      </c>
      <c r="DG147" s="380">
        <v>0</v>
      </c>
      <c r="DH147" s="380">
        <v>0</v>
      </c>
      <c r="DI147" s="380">
        <v>0</v>
      </c>
      <c r="DJ147" s="380">
        <v>0</v>
      </c>
      <c r="DK147" s="702">
        <f t="shared" si="147"/>
        <v>4014</v>
      </c>
      <c r="DL147" s="311">
        <f t="shared" si="148"/>
        <v>0.16500000000000001</v>
      </c>
      <c r="DM147" s="310">
        <f t="shared" si="149"/>
        <v>105.16112129944983</v>
      </c>
      <c r="DN147" s="356">
        <f t="shared" si="150"/>
        <v>100</v>
      </c>
      <c r="DO147" s="308">
        <f t="shared" si="151"/>
        <v>0.16500000000000001</v>
      </c>
      <c r="DP147" s="359">
        <f t="shared" ref="DP147:DP154" si="157">+IF(((DN147*Q147)/100)&lt;Q147, ((DN147*Q147)/100),Q147)</f>
        <v>0.16500000000000001</v>
      </c>
      <c r="DQ147" s="306">
        <f t="shared" si="152"/>
        <v>0.16500000000000001</v>
      </c>
      <c r="DR147" s="379">
        <f t="shared" si="153"/>
        <v>1</v>
      </c>
      <c r="DS147" s="378">
        <f t="shared" si="154"/>
        <v>0</v>
      </c>
      <c r="DT147" s="173">
        <v>36</v>
      </c>
      <c r="DU147" s="174" t="s">
        <v>136</v>
      </c>
      <c r="DV147" s="173">
        <v>78</v>
      </c>
      <c r="DW147" s="174" t="s">
        <v>129</v>
      </c>
      <c r="DX147" s="173"/>
      <c r="DY147" s="173"/>
      <c r="DZ147" s="173"/>
      <c r="EA147" s="665"/>
      <c r="EB147" s="1254" t="s">
        <v>2611</v>
      </c>
      <c r="EC147" s="537">
        <v>126000000</v>
      </c>
      <c r="EE147" s="734">
        <v>40</v>
      </c>
      <c r="EF147" s="706"/>
    </row>
    <row r="148" spans="4:136" s="302" customFormat="1" ht="72" hidden="1">
      <c r="D148" s="520">
        <v>145</v>
      </c>
      <c r="E148" s="534">
        <v>184</v>
      </c>
      <c r="F148" s="336" t="s">
        <v>43</v>
      </c>
      <c r="G148" s="336" t="s">
        <v>7</v>
      </c>
      <c r="H148" s="336" t="s">
        <v>2656</v>
      </c>
      <c r="I148" s="336" t="s">
        <v>187</v>
      </c>
      <c r="J148" s="335" t="s">
        <v>1269</v>
      </c>
      <c r="K148" s="335" t="s">
        <v>453</v>
      </c>
      <c r="L148" s="454" t="s">
        <v>1509</v>
      </c>
      <c r="M148" s="333" t="s">
        <v>1771</v>
      </c>
      <c r="N148" s="333">
        <v>0</v>
      </c>
      <c r="O148" s="333">
        <f t="shared" si="156"/>
        <v>100</v>
      </c>
      <c r="P148" s="332">
        <v>100</v>
      </c>
      <c r="Q148" s="393">
        <v>0.16500000000000001</v>
      </c>
      <c r="R148" s="342">
        <f t="shared" si="118"/>
        <v>6.6000000000000003E-2</v>
      </c>
      <c r="S148" s="459">
        <v>40</v>
      </c>
      <c r="T148" s="387">
        <f t="shared" si="119"/>
        <v>0.4</v>
      </c>
      <c r="U148" s="670">
        <v>40</v>
      </c>
      <c r="V148" s="388">
        <f t="shared" si="120"/>
        <v>40</v>
      </c>
      <c r="W148" s="356">
        <f t="shared" si="121"/>
        <v>100</v>
      </c>
      <c r="X148" s="356">
        <f t="shared" si="122"/>
        <v>100</v>
      </c>
      <c r="Y148" s="356">
        <f t="shared" si="155"/>
        <v>6.6000000000000003E-2</v>
      </c>
      <c r="Z148" s="356">
        <f t="shared" si="123"/>
        <v>100</v>
      </c>
      <c r="AA148" s="313">
        <v>50000000</v>
      </c>
      <c r="AB148" s="313">
        <v>50000000</v>
      </c>
      <c r="AC148" s="313">
        <v>0</v>
      </c>
      <c r="AD148" s="313">
        <v>0</v>
      </c>
      <c r="AE148" s="313">
        <v>0</v>
      </c>
      <c r="AF148" s="313">
        <v>0</v>
      </c>
      <c r="AG148" s="313">
        <v>0</v>
      </c>
      <c r="AH148" s="313">
        <v>0</v>
      </c>
      <c r="AI148" s="313">
        <v>50000000</v>
      </c>
      <c r="AJ148" s="313">
        <v>50000000</v>
      </c>
      <c r="AK148" s="313">
        <v>0</v>
      </c>
      <c r="AL148" s="313">
        <v>0</v>
      </c>
      <c r="AM148" s="313">
        <v>0</v>
      </c>
      <c r="AN148" s="313">
        <v>0</v>
      </c>
      <c r="AO148" s="313">
        <v>0</v>
      </c>
      <c r="AP148" s="313">
        <v>0</v>
      </c>
      <c r="AQ148" s="313">
        <v>0</v>
      </c>
      <c r="AR148" s="313">
        <v>0</v>
      </c>
      <c r="AS148" s="313">
        <v>0</v>
      </c>
      <c r="AT148" s="392">
        <f t="shared" si="124"/>
        <v>0</v>
      </c>
      <c r="AU148" s="333">
        <v>0</v>
      </c>
      <c r="AV148" s="387">
        <f t="shared" si="125"/>
        <v>0</v>
      </c>
      <c r="AW148" s="677">
        <v>40</v>
      </c>
      <c r="AX148" s="366">
        <f t="shared" si="126"/>
        <v>40</v>
      </c>
      <c r="AY148" s="366">
        <f t="shared" si="127"/>
        <v>0</v>
      </c>
      <c r="AZ148" s="366">
        <f t="shared" si="128"/>
        <v>0</v>
      </c>
      <c r="BA148" s="354">
        <f t="shared" si="129"/>
        <v>0</v>
      </c>
      <c r="BB148" s="354">
        <f t="shared" si="130"/>
        <v>100</v>
      </c>
      <c r="BC148" s="353">
        <v>0</v>
      </c>
      <c r="BD148" s="353">
        <v>0</v>
      </c>
      <c r="BE148" s="353">
        <v>0</v>
      </c>
      <c r="BF148" s="353">
        <v>0</v>
      </c>
      <c r="BG148" s="353">
        <v>0</v>
      </c>
      <c r="BH148" s="353">
        <v>0</v>
      </c>
      <c r="BI148" s="353">
        <v>0</v>
      </c>
      <c r="BJ148" s="353">
        <v>0</v>
      </c>
      <c r="BK148" s="452">
        <v>0</v>
      </c>
      <c r="BL148" s="351">
        <v>0</v>
      </c>
      <c r="BM148" s="351">
        <v>0</v>
      </c>
      <c r="BN148" s="351">
        <v>0</v>
      </c>
      <c r="BO148" s="351">
        <v>0</v>
      </c>
      <c r="BP148" s="351">
        <v>0</v>
      </c>
      <c r="BQ148" s="351">
        <v>0</v>
      </c>
      <c r="BR148" s="351">
        <v>0</v>
      </c>
      <c r="BS148" s="351">
        <v>0</v>
      </c>
      <c r="BT148" s="351">
        <v>0</v>
      </c>
      <c r="BU148" s="351">
        <v>0</v>
      </c>
      <c r="BV148" s="350">
        <f t="shared" si="131"/>
        <v>0</v>
      </c>
      <c r="BW148" s="350">
        <v>0</v>
      </c>
      <c r="BX148" s="385">
        <f t="shared" si="132"/>
        <v>0</v>
      </c>
      <c r="BY148" s="399">
        <v>0</v>
      </c>
      <c r="BZ148" s="398">
        <v>0</v>
      </c>
      <c r="CA148" s="690">
        <v>40</v>
      </c>
      <c r="CB148" s="324">
        <f t="shared" si="133"/>
        <v>40</v>
      </c>
      <c r="CC148" s="324">
        <f t="shared" si="134"/>
        <v>0</v>
      </c>
      <c r="CD148" s="384">
        <f t="shared" si="135"/>
        <v>0</v>
      </c>
      <c r="CE148" s="383">
        <f t="shared" si="136"/>
        <v>0</v>
      </c>
      <c r="CF148" s="367">
        <f t="shared" si="137"/>
        <v>0</v>
      </c>
      <c r="CG148" s="383">
        <f t="shared" si="138"/>
        <v>0</v>
      </c>
      <c r="CH148" s="320">
        <f t="shared" si="139"/>
        <v>9.9000000000000005E-2</v>
      </c>
      <c r="CI148" s="319">
        <v>60</v>
      </c>
      <c r="CJ148" s="318">
        <f t="shared" si="140"/>
        <v>0.6</v>
      </c>
      <c r="CK148" s="1259">
        <v>62</v>
      </c>
      <c r="CL148" s="301">
        <f t="shared" si="141"/>
        <v>-2</v>
      </c>
      <c r="CM148" s="381">
        <f t="shared" si="142"/>
        <v>62</v>
      </c>
      <c r="CN148" s="381">
        <f t="shared" si="143"/>
        <v>103.33333333333333</v>
      </c>
      <c r="CO148" s="316">
        <f t="shared" si="144"/>
        <v>100</v>
      </c>
      <c r="CP148" s="381">
        <f t="shared" si="145"/>
        <v>9.9000000000000005E-2</v>
      </c>
      <c r="CQ148" s="381">
        <f t="shared" si="146"/>
        <v>0.1023</v>
      </c>
      <c r="CR148" s="313">
        <v>0</v>
      </c>
      <c r="CS148" s="313">
        <v>0</v>
      </c>
      <c r="CT148" s="313">
        <v>0</v>
      </c>
      <c r="CU148" s="313">
        <v>0</v>
      </c>
      <c r="CV148" s="313">
        <v>0</v>
      </c>
      <c r="CW148" s="313">
        <v>0</v>
      </c>
      <c r="CX148" s="313">
        <v>0</v>
      </c>
      <c r="CY148" s="313">
        <v>0</v>
      </c>
      <c r="CZ148" s="380">
        <v>0</v>
      </c>
      <c r="DA148" s="380">
        <v>0</v>
      </c>
      <c r="DB148" s="380">
        <v>0</v>
      </c>
      <c r="DC148" s="380">
        <v>0</v>
      </c>
      <c r="DD148" s="380">
        <v>0</v>
      </c>
      <c r="DE148" s="380">
        <v>0</v>
      </c>
      <c r="DF148" s="380">
        <v>0</v>
      </c>
      <c r="DG148" s="380">
        <v>0</v>
      </c>
      <c r="DH148" s="380">
        <v>0</v>
      </c>
      <c r="DI148" s="380">
        <v>0</v>
      </c>
      <c r="DJ148" s="380">
        <v>0</v>
      </c>
      <c r="DK148" s="702">
        <f t="shared" si="147"/>
        <v>182</v>
      </c>
      <c r="DL148" s="311">
        <f t="shared" si="148"/>
        <v>0.16500000000000001</v>
      </c>
      <c r="DM148" s="310">
        <f t="shared" si="149"/>
        <v>182</v>
      </c>
      <c r="DN148" s="356">
        <f t="shared" si="150"/>
        <v>100</v>
      </c>
      <c r="DO148" s="308">
        <f t="shared" si="151"/>
        <v>0.16500000000000001</v>
      </c>
      <c r="DP148" s="359">
        <f t="shared" si="157"/>
        <v>0.16500000000000001</v>
      </c>
      <c r="DQ148" s="306">
        <f t="shared" si="152"/>
        <v>0.16500000000000001</v>
      </c>
      <c r="DR148" s="379">
        <f t="shared" si="153"/>
        <v>1</v>
      </c>
      <c r="DS148" s="378">
        <f t="shared" si="154"/>
        <v>0</v>
      </c>
      <c r="DT148" s="173">
        <v>179</v>
      </c>
      <c r="DU148" s="174" t="s">
        <v>446</v>
      </c>
      <c r="DV148" s="173"/>
      <c r="DW148" s="174" t="s">
        <v>84</v>
      </c>
      <c r="DX148" s="173"/>
      <c r="DY148" s="173"/>
      <c r="DZ148" s="173"/>
      <c r="EA148" s="665"/>
      <c r="EB148" s="1254" t="s">
        <v>3232</v>
      </c>
      <c r="EC148" s="537">
        <v>0</v>
      </c>
      <c r="EE148" s="734">
        <v>0</v>
      </c>
      <c r="EF148" s="706"/>
    </row>
    <row r="149" spans="4:136" s="302" customFormat="1" ht="72" hidden="1">
      <c r="D149" s="520">
        <v>146</v>
      </c>
      <c r="E149" s="534">
        <v>185</v>
      </c>
      <c r="F149" s="523" t="s">
        <v>43</v>
      </c>
      <c r="G149" s="523" t="s">
        <v>7</v>
      </c>
      <c r="H149" s="524" t="s">
        <v>2656</v>
      </c>
      <c r="I149" s="462" t="s">
        <v>187</v>
      </c>
      <c r="J149" s="335" t="s">
        <v>454</v>
      </c>
      <c r="K149" s="335" t="s">
        <v>455</v>
      </c>
      <c r="L149" s="454" t="s">
        <v>1985</v>
      </c>
      <c r="M149" s="333" t="s">
        <v>1771</v>
      </c>
      <c r="N149" s="333">
        <v>0</v>
      </c>
      <c r="O149" s="333">
        <f t="shared" si="156"/>
        <v>1</v>
      </c>
      <c r="P149" s="332">
        <v>1</v>
      </c>
      <c r="Q149" s="390">
        <v>0.16500000000000001</v>
      </c>
      <c r="R149" s="342">
        <f t="shared" si="118"/>
        <v>0</v>
      </c>
      <c r="S149" s="459">
        <v>0</v>
      </c>
      <c r="T149" s="387">
        <f t="shared" si="119"/>
        <v>0</v>
      </c>
      <c r="U149" s="670">
        <v>0</v>
      </c>
      <c r="V149" s="388">
        <f t="shared" si="120"/>
        <v>0</v>
      </c>
      <c r="W149" s="356">
        <f t="shared" si="121"/>
        <v>0</v>
      </c>
      <c r="X149" s="356">
        <f t="shared" si="122"/>
        <v>0</v>
      </c>
      <c r="Y149" s="356">
        <f t="shared" si="155"/>
        <v>0</v>
      </c>
      <c r="Z149" s="356">
        <f t="shared" si="123"/>
        <v>0</v>
      </c>
      <c r="AA149" s="313">
        <v>0</v>
      </c>
      <c r="AB149" s="313">
        <v>0</v>
      </c>
      <c r="AC149" s="313">
        <v>0</v>
      </c>
      <c r="AD149" s="313">
        <v>0</v>
      </c>
      <c r="AE149" s="313">
        <v>0</v>
      </c>
      <c r="AF149" s="313">
        <v>0</v>
      </c>
      <c r="AG149" s="313">
        <v>0</v>
      </c>
      <c r="AH149" s="313">
        <v>0</v>
      </c>
      <c r="AI149" s="313">
        <v>0</v>
      </c>
      <c r="AJ149" s="313">
        <v>0</v>
      </c>
      <c r="AK149" s="313">
        <v>0</v>
      </c>
      <c r="AL149" s="313">
        <v>0</v>
      </c>
      <c r="AM149" s="313">
        <v>0</v>
      </c>
      <c r="AN149" s="313">
        <v>0</v>
      </c>
      <c r="AO149" s="313">
        <v>0</v>
      </c>
      <c r="AP149" s="313">
        <v>0</v>
      </c>
      <c r="AQ149" s="313">
        <v>0</v>
      </c>
      <c r="AR149" s="313">
        <v>0</v>
      </c>
      <c r="AS149" s="313">
        <v>0</v>
      </c>
      <c r="AT149" s="333">
        <f t="shared" si="124"/>
        <v>0</v>
      </c>
      <c r="AU149" s="333">
        <v>0</v>
      </c>
      <c r="AV149" s="387">
        <f t="shared" si="125"/>
        <v>0</v>
      </c>
      <c r="AW149" s="677">
        <v>0</v>
      </c>
      <c r="AX149" s="366">
        <f t="shared" si="126"/>
        <v>0</v>
      </c>
      <c r="AY149" s="366">
        <f t="shared" si="127"/>
        <v>0</v>
      </c>
      <c r="AZ149" s="366">
        <f t="shared" si="128"/>
        <v>0</v>
      </c>
      <c r="BA149" s="354">
        <f t="shared" si="129"/>
        <v>0</v>
      </c>
      <c r="BB149" s="354">
        <f t="shared" si="130"/>
        <v>0</v>
      </c>
      <c r="BC149" s="353">
        <v>0</v>
      </c>
      <c r="BD149" s="353">
        <v>0</v>
      </c>
      <c r="BE149" s="353">
        <v>0</v>
      </c>
      <c r="BF149" s="353">
        <v>0</v>
      </c>
      <c r="BG149" s="353">
        <v>0</v>
      </c>
      <c r="BH149" s="353">
        <v>0</v>
      </c>
      <c r="BI149" s="353">
        <v>0</v>
      </c>
      <c r="BJ149" s="353">
        <v>0</v>
      </c>
      <c r="BK149" s="452">
        <v>46200000</v>
      </c>
      <c r="BL149" s="351">
        <v>46200000</v>
      </c>
      <c r="BM149" s="351">
        <v>0</v>
      </c>
      <c r="BN149" s="351">
        <v>0</v>
      </c>
      <c r="BO149" s="351">
        <v>0</v>
      </c>
      <c r="BP149" s="351">
        <v>0</v>
      </c>
      <c r="BQ149" s="351">
        <v>0</v>
      </c>
      <c r="BR149" s="351">
        <v>0</v>
      </c>
      <c r="BS149" s="351">
        <v>0</v>
      </c>
      <c r="BT149" s="351">
        <v>0</v>
      </c>
      <c r="BU149" s="351">
        <v>0</v>
      </c>
      <c r="BV149" s="350">
        <f t="shared" si="131"/>
        <v>0.16500000000000001</v>
      </c>
      <c r="BW149" s="350">
        <v>1</v>
      </c>
      <c r="BX149" s="385">
        <f t="shared" si="132"/>
        <v>1</v>
      </c>
      <c r="BY149" s="399">
        <v>1</v>
      </c>
      <c r="BZ149" s="398">
        <v>1</v>
      </c>
      <c r="CA149" s="690">
        <v>1</v>
      </c>
      <c r="CB149" s="324">
        <f t="shared" si="133"/>
        <v>1</v>
      </c>
      <c r="CC149" s="324">
        <f t="shared" si="134"/>
        <v>100</v>
      </c>
      <c r="CD149" s="384">
        <f t="shared" si="135"/>
        <v>100</v>
      </c>
      <c r="CE149" s="383">
        <f t="shared" si="136"/>
        <v>0.16500000000000001</v>
      </c>
      <c r="CF149" s="367">
        <f t="shared" si="137"/>
        <v>100</v>
      </c>
      <c r="CG149" s="383">
        <f t="shared" si="138"/>
        <v>0.16500000000000001</v>
      </c>
      <c r="CH149" s="320">
        <f t="shared" si="139"/>
        <v>0</v>
      </c>
      <c r="CI149" s="319">
        <v>0</v>
      </c>
      <c r="CJ149" s="318">
        <f t="shared" si="140"/>
        <v>0</v>
      </c>
      <c r="CK149" s="1258">
        <v>0</v>
      </c>
      <c r="CL149" s="301">
        <f t="shared" si="141"/>
        <v>0</v>
      </c>
      <c r="CM149" s="381">
        <f t="shared" si="142"/>
        <v>0</v>
      </c>
      <c r="CN149" s="381">
        <f t="shared" si="143"/>
        <v>0</v>
      </c>
      <c r="CO149" s="316">
        <f t="shared" si="144"/>
        <v>0</v>
      </c>
      <c r="CP149" s="381">
        <f t="shared" si="145"/>
        <v>0</v>
      </c>
      <c r="CQ149" s="381">
        <f t="shared" si="146"/>
        <v>0</v>
      </c>
      <c r="CR149" s="313">
        <v>0</v>
      </c>
      <c r="CS149" s="313">
        <v>0</v>
      </c>
      <c r="CT149" s="313">
        <v>0</v>
      </c>
      <c r="CU149" s="313">
        <v>0</v>
      </c>
      <c r="CV149" s="313">
        <v>0</v>
      </c>
      <c r="CW149" s="313">
        <v>0</v>
      </c>
      <c r="CX149" s="313">
        <v>0</v>
      </c>
      <c r="CY149" s="313">
        <v>0</v>
      </c>
      <c r="CZ149" s="380">
        <v>0</v>
      </c>
      <c r="DA149" s="380">
        <v>0</v>
      </c>
      <c r="DB149" s="380">
        <v>0</v>
      </c>
      <c r="DC149" s="380">
        <v>0</v>
      </c>
      <c r="DD149" s="380">
        <v>0</v>
      </c>
      <c r="DE149" s="380">
        <v>0</v>
      </c>
      <c r="DF149" s="380">
        <v>0</v>
      </c>
      <c r="DG149" s="380">
        <v>0</v>
      </c>
      <c r="DH149" s="380">
        <v>0</v>
      </c>
      <c r="DI149" s="380">
        <v>0</v>
      </c>
      <c r="DJ149" s="380">
        <v>0</v>
      </c>
      <c r="DK149" s="702">
        <f t="shared" si="147"/>
        <v>1</v>
      </c>
      <c r="DL149" s="311">
        <f t="shared" si="148"/>
        <v>0.16500000000000001</v>
      </c>
      <c r="DM149" s="310">
        <f t="shared" si="149"/>
        <v>100</v>
      </c>
      <c r="DN149" s="356">
        <f t="shared" si="150"/>
        <v>100</v>
      </c>
      <c r="DO149" s="308">
        <f t="shared" si="151"/>
        <v>0.16500000000000001</v>
      </c>
      <c r="DP149" s="359">
        <f t="shared" si="157"/>
        <v>0.16500000000000001</v>
      </c>
      <c r="DQ149" s="306">
        <f t="shared" si="152"/>
        <v>0.16500000000000001</v>
      </c>
      <c r="DR149" s="379">
        <f t="shared" si="153"/>
        <v>1</v>
      </c>
      <c r="DS149" s="378">
        <f t="shared" si="154"/>
        <v>0</v>
      </c>
      <c r="DT149" s="173">
        <v>179</v>
      </c>
      <c r="DU149" s="174" t="s">
        <v>446</v>
      </c>
      <c r="DV149" s="173"/>
      <c r="DW149" s="174" t="s">
        <v>84</v>
      </c>
      <c r="DX149" s="173"/>
      <c r="DY149" s="173"/>
      <c r="DZ149" s="173"/>
      <c r="EA149" s="665"/>
      <c r="EB149" s="1254" t="s">
        <v>2522</v>
      </c>
      <c r="EC149" s="537">
        <v>0</v>
      </c>
      <c r="EE149" s="734">
        <v>0</v>
      </c>
      <c r="EF149" s="706"/>
    </row>
    <row r="150" spans="4:136" s="302" customFormat="1" ht="72" hidden="1">
      <c r="D150" s="520">
        <v>147</v>
      </c>
      <c r="E150" s="534">
        <v>186</v>
      </c>
      <c r="F150" s="523" t="s">
        <v>43</v>
      </c>
      <c r="G150" s="523" t="s">
        <v>7</v>
      </c>
      <c r="H150" s="524" t="s">
        <v>2656</v>
      </c>
      <c r="I150" s="462" t="s">
        <v>187</v>
      </c>
      <c r="J150" s="335" t="s">
        <v>456</v>
      </c>
      <c r="K150" s="335" t="s">
        <v>457</v>
      </c>
      <c r="L150" s="454" t="s">
        <v>1951</v>
      </c>
      <c r="M150" s="333" t="s">
        <v>1771</v>
      </c>
      <c r="N150" s="333">
        <v>0</v>
      </c>
      <c r="O150" s="333">
        <f t="shared" si="156"/>
        <v>6</v>
      </c>
      <c r="P150" s="332">
        <v>6</v>
      </c>
      <c r="Q150" s="390">
        <v>8.8999999999999996E-2</v>
      </c>
      <c r="R150" s="342">
        <f t="shared" si="118"/>
        <v>0</v>
      </c>
      <c r="S150" s="459">
        <v>0</v>
      </c>
      <c r="T150" s="387">
        <f t="shared" si="119"/>
        <v>0</v>
      </c>
      <c r="U150" s="670">
        <v>0</v>
      </c>
      <c r="V150" s="388">
        <f t="shared" si="120"/>
        <v>0</v>
      </c>
      <c r="W150" s="356">
        <f t="shared" si="121"/>
        <v>0</v>
      </c>
      <c r="X150" s="356">
        <f t="shared" si="122"/>
        <v>0</v>
      </c>
      <c r="Y150" s="356">
        <f t="shared" si="155"/>
        <v>0</v>
      </c>
      <c r="Z150" s="356">
        <f t="shared" si="123"/>
        <v>0</v>
      </c>
      <c r="AA150" s="313">
        <v>0</v>
      </c>
      <c r="AB150" s="313">
        <v>0</v>
      </c>
      <c r="AC150" s="313">
        <v>0</v>
      </c>
      <c r="AD150" s="313">
        <v>0</v>
      </c>
      <c r="AE150" s="313">
        <v>0</v>
      </c>
      <c r="AF150" s="313">
        <v>0</v>
      </c>
      <c r="AG150" s="313">
        <v>0</v>
      </c>
      <c r="AH150" s="313">
        <v>0</v>
      </c>
      <c r="AI150" s="313">
        <v>0</v>
      </c>
      <c r="AJ150" s="313">
        <v>0</v>
      </c>
      <c r="AK150" s="313">
        <v>0</v>
      </c>
      <c r="AL150" s="313">
        <v>0</v>
      </c>
      <c r="AM150" s="313">
        <v>0</v>
      </c>
      <c r="AN150" s="313">
        <v>0</v>
      </c>
      <c r="AO150" s="313">
        <v>0</v>
      </c>
      <c r="AP150" s="313">
        <v>0</v>
      </c>
      <c r="AQ150" s="313">
        <v>0</v>
      </c>
      <c r="AR150" s="313">
        <v>0</v>
      </c>
      <c r="AS150" s="313">
        <v>0</v>
      </c>
      <c r="AT150" s="333">
        <f t="shared" si="124"/>
        <v>0</v>
      </c>
      <c r="AU150" s="333">
        <v>0</v>
      </c>
      <c r="AV150" s="387">
        <f t="shared" si="125"/>
        <v>0</v>
      </c>
      <c r="AW150" s="677">
        <v>0</v>
      </c>
      <c r="AX150" s="366">
        <f t="shared" si="126"/>
        <v>0</v>
      </c>
      <c r="AY150" s="366">
        <f t="shared" si="127"/>
        <v>0</v>
      </c>
      <c r="AZ150" s="366">
        <f t="shared" si="128"/>
        <v>0</v>
      </c>
      <c r="BA150" s="354">
        <f t="shared" si="129"/>
        <v>0</v>
      </c>
      <c r="BB150" s="354">
        <f t="shared" si="130"/>
        <v>0</v>
      </c>
      <c r="BC150" s="353">
        <v>0</v>
      </c>
      <c r="BD150" s="353">
        <v>0</v>
      </c>
      <c r="BE150" s="353">
        <v>0</v>
      </c>
      <c r="BF150" s="353">
        <v>0</v>
      </c>
      <c r="BG150" s="353">
        <v>0</v>
      </c>
      <c r="BH150" s="353">
        <v>0</v>
      </c>
      <c r="BI150" s="353">
        <v>0</v>
      </c>
      <c r="BJ150" s="353">
        <v>0</v>
      </c>
      <c r="BK150" s="452">
        <v>0</v>
      </c>
      <c r="BL150" s="351">
        <v>0</v>
      </c>
      <c r="BM150" s="351">
        <v>0</v>
      </c>
      <c r="BN150" s="351">
        <v>0</v>
      </c>
      <c r="BO150" s="351">
        <v>0</v>
      </c>
      <c r="BP150" s="351">
        <v>0</v>
      </c>
      <c r="BQ150" s="351">
        <v>0</v>
      </c>
      <c r="BR150" s="351">
        <v>0</v>
      </c>
      <c r="BS150" s="351">
        <v>0</v>
      </c>
      <c r="BT150" s="351">
        <v>0</v>
      </c>
      <c r="BU150" s="351">
        <v>0</v>
      </c>
      <c r="BV150" s="350">
        <f t="shared" si="131"/>
        <v>4.4499999999999998E-2</v>
      </c>
      <c r="BW150" s="350">
        <v>3</v>
      </c>
      <c r="BX150" s="385">
        <f t="shared" si="132"/>
        <v>0.5</v>
      </c>
      <c r="BY150" s="399">
        <v>2</v>
      </c>
      <c r="BZ150" s="398">
        <v>2</v>
      </c>
      <c r="CA150" s="690">
        <v>3</v>
      </c>
      <c r="CB150" s="324">
        <f t="shared" si="133"/>
        <v>3</v>
      </c>
      <c r="CC150" s="324">
        <f t="shared" si="134"/>
        <v>100</v>
      </c>
      <c r="CD150" s="384">
        <f t="shared" si="135"/>
        <v>100</v>
      </c>
      <c r="CE150" s="383">
        <f t="shared" si="136"/>
        <v>4.4500000000000005E-2</v>
      </c>
      <c r="CF150" s="367">
        <f t="shared" si="137"/>
        <v>100</v>
      </c>
      <c r="CG150" s="383">
        <f t="shared" si="138"/>
        <v>4.4500000000000005E-2</v>
      </c>
      <c r="CH150" s="320">
        <f t="shared" si="139"/>
        <v>4.4499999999999998E-2</v>
      </c>
      <c r="CI150" s="319">
        <v>3</v>
      </c>
      <c r="CJ150" s="318">
        <f t="shared" si="140"/>
        <v>0.5</v>
      </c>
      <c r="CK150" s="1259">
        <v>3</v>
      </c>
      <c r="CL150" s="301">
        <f t="shared" si="141"/>
        <v>0</v>
      </c>
      <c r="CM150" s="381">
        <f t="shared" si="142"/>
        <v>3</v>
      </c>
      <c r="CN150" s="381">
        <f t="shared" si="143"/>
        <v>100</v>
      </c>
      <c r="CO150" s="316">
        <f t="shared" si="144"/>
        <v>100</v>
      </c>
      <c r="CP150" s="381">
        <f t="shared" si="145"/>
        <v>4.4500000000000005E-2</v>
      </c>
      <c r="CQ150" s="381">
        <f t="shared" si="146"/>
        <v>4.4500000000000005E-2</v>
      </c>
      <c r="CR150" s="313">
        <v>0</v>
      </c>
      <c r="CS150" s="313">
        <v>0</v>
      </c>
      <c r="CT150" s="313">
        <v>0</v>
      </c>
      <c r="CU150" s="313">
        <v>0</v>
      </c>
      <c r="CV150" s="313">
        <v>0</v>
      </c>
      <c r="CW150" s="313">
        <v>0</v>
      </c>
      <c r="CX150" s="313">
        <v>0</v>
      </c>
      <c r="CY150" s="313">
        <v>0</v>
      </c>
      <c r="CZ150" s="380">
        <v>0</v>
      </c>
      <c r="DA150" s="380">
        <v>0</v>
      </c>
      <c r="DB150" s="380">
        <v>0</v>
      </c>
      <c r="DC150" s="380">
        <v>0</v>
      </c>
      <c r="DD150" s="380">
        <v>0</v>
      </c>
      <c r="DE150" s="380">
        <v>0</v>
      </c>
      <c r="DF150" s="380">
        <v>0</v>
      </c>
      <c r="DG150" s="380">
        <v>0</v>
      </c>
      <c r="DH150" s="380">
        <v>0</v>
      </c>
      <c r="DI150" s="380">
        <v>0</v>
      </c>
      <c r="DJ150" s="380">
        <v>0</v>
      </c>
      <c r="DK150" s="702">
        <f t="shared" si="147"/>
        <v>6</v>
      </c>
      <c r="DL150" s="311">
        <f t="shared" si="148"/>
        <v>8.8999999999999996E-2</v>
      </c>
      <c r="DM150" s="310">
        <f t="shared" si="149"/>
        <v>100</v>
      </c>
      <c r="DN150" s="356">
        <f t="shared" si="150"/>
        <v>100</v>
      </c>
      <c r="DO150" s="308">
        <f t="shared" si="151"/>
        <v>8.900000000000001E-2</v>
      </c>
      <c r="DP150" s="359">
        <f t="shared" si="157"/>
        <v>8.8999999999999996E-2</v>
      </c>
      <c r="DQ150" s="306">
        <f t="shared" si="152"/>
        <v>8.8999999999999996E-2</v>
      </c>
      <c r="DR150" s="379">
        <f t="shared" si="153"/>
        <v>1</v>
      </c>
      <c r="DS150" s="378">
        <f t="shared" si="154"/>
        <v>0</v>
      </c>
      <c r="DT150" s="173">
        <v>179</v>
      </c>
      <c r="DU150" s="174" t="s">
        <v>446</v>
      </c>
      <c r="DV150" s="173"/>
      <c r="DW150" s="174" t="s">
        <v>84</v>
      </c>
      <c r="DX150" s="173"/>
      <c r="DY150" s="173"/>
      <c r="DZ150" s="173"/>
      <c r="EA150" s="665"/>
      <c r="EB150" s="1254" t="s">
        <v>2454</v>
      </c>
      <c r="EC150" s="537">
        <v>1557000000</v>
      </c>
      <c r="EE150" s="734">
        <v>15</v>
      </c>
      <c r="EF150" s="706"/>
    </row>
    <row r="151" spans="4:136" s="302" customFormat="1" ht="72" hidden="1">
      <c r="D151" s="520">
        <v>148</v>
      </c>
      <c r="E151" s="534">
        <v>187</v>
      </c>
      <c r="F151" s="523" t="s">
        <v>43</v>
      </c>
      <c r="G151" s="523" t="s">
        <v>7</v>
      </c>
      <c r="H151" s="524" t="s">
        <v>2656</v>
      </c>
      <c r="I151" s="462" t="s">
        <v>187</v>
      </c>
      <c r="J151" s="335" t="s">
        <v>458</v>
      </c>
      <c r="K151" s="335" t="s">
        <v>459</v>
      </c>
      <c r="L151" s="454" t="s">
        <v>1984</v>
      </c>
      <c r="M151" s="333" t="s">
        <v>1771</v>
      </c>
      <c r="N151" s="333">
        <v>0</v>
      </c>
      <c r="O151" s="333">
        <f t="shared" si="156"/>
        <v>160</v>
      </c>
      <c r="P151" s="332">
        <v>160</v>
      </c>
      <c r="Q151" s="390">
        <v>0.16500000000000001</v>
      </c>
      <c r="R151" s="342">
        <f t="shared" si="118"/>
        <v>0</v>
      </c>
      <c r="S151" s="459">
        <v>0</v>
      </c>
      <c r="T151" s="387">
        <f t="shared" si="119"/>
        <v>0</v>
      </c>
      <c r="U151" s="670">
        <v>0</v>
      </c>
      <c r="V151" s="388">
        <f t="shared" si="120"/>
        <v>0</v>
      </c>
      <c r="W151" s="356">
        <f t="shared" si="121"/>
        <v>0</v>
      </c>
      <c r="X151" s="356">
        <f t="shared" si="122"/>
        <v>0</v>
      </c>
      <c r="Y151" s="356">
        <f t="shared" si="155"/>
        <v>0</v>
      </c>
      <c r="Z151" s="356">
        <f t="shared" si="123"/>
        <v>0</v>
      </c>
      <c r="AA151" s="313">
        <v>200000000</v>
      </c>
      <c r="AB151" s="313">
        <v>100000000</v>
      </c>
      <c r="AC151" s="313">
        <v>0</v>
      </c>
      <c r="AD151" s="313">
        <v>0</v>
      </c>
      <c r="AE151" s="313">
        <v>0</v>
      </c>
      <c r="AF151" s="313">
        <v>0</v>
      </c>
      <c r="AG151" s="313">
        <v>0</v>
      </c>
      <c r="AH151" s="313">
        <v>100000000</v>
      </c>
      <c r="AI151" s="313">
        <v>0</v>
      </c>
      <c r="AJ151" s="313">
        <v>0</v>
      </c>
      <c r="AK151" s="313">
        <v>0</v>
      </c>
      <c r="AL151" s="313">
        <v>0</v>
      </c>
      <c r="AM151" s="313">
        <v>0</v>
      </c>
      <c r="AN151" s="313">
        <v>0</v>
      </c>
      <c r="AO151" s="313">
        <v>0</v>
      </c>
      <c r="AP151" s="313">
        <v>0</v>
      </c>
      <c r="AQ151" s="313">
        <v>0</v>
      </c>
      <c r="AR151" s="313">
        <v>0</v>
      </c>
      <c r="AS151" s="313">
        <v>0</v>
      </c>
      <c r="AT151" s="333">
        <f t="shared" si="124"/>
        <v>5.3625000000000006E-2</v>
      </c>
      <c r="AU151" s="333">
        <v>52</v>
      </c>
      <c r="AV151" s="387">
        <f t="shared" si="125"/>
        <v>0.32500000000000001</v>
      </c>
      <c r="AW151" s="677">
        <v>70</v>
      </c>
      <c r="AX151" s="366">
        <f t="shared" si="126"/>
        <v>70</v>
      </c>
      <c r="AY151" s="366">
        <f t="shared" si="127"/>
        <v>134.61538461538461</v>
      </c>
      <c r="AZ151" s="366">
        <f t="shared" si="128"/>
        <v>100</v>
      </c>
      <c r="BA151" s="354">
        <f t="shared" si="129"/>
        <v>5.3625000000000006E-2</v>
      </c>
      <c r="BB151" s="354">
        <f t="shared" si="130"/>
        <v>100</v>
      </c>
      <c r="BC151" s="353">
        <v>0</v>
      </c>
      <c r="BD151" s="353">
        <v>0</v>
      </c>
      <c r="BE151" s="353">
        <v>0</v>
      </c>
      <c r="BF151" s="353">
        <v>0</v>
      </c>
      <c r="BG151" s="353">
        <v>0</v>
      </c>
      <c r="BH151" s="353">
        <v>0</v>
      </c>
      <c r="BI151" s="353">
        <v>0</v>
      </c>
      <c r="BJ151" s="353">
        <v>0</v>
      </c>
      <c r="BK151" s="452">
        <v>0</v>
      </c>
      <c r="BL151" s="351">
        <v>0</v>
      </c>
      <c r="BM151" s="351">
        <v>0</v>
      </c>
      <c r="BN151" s="351">
        <v>0</v>
      </c>
      <c r="BO151" s="351">
        <v>0</v>
      </c>
      <c r="BP151" s="351">
        <v>0</v>
      </c>
      <c r="BQ151" s="351">
        <v>0</v>
      </c>
      <c r="BR151" s="351">
        <v>0</v>
      </c>
      <c r="BS151" s="351">
        <v>0</v>
      </c>
      <c r="BT151" s="351">
        <v>0</v>
      </c>
      <c r="BU151" s="351">
        <v>0</v>
      </c>
      <c r="BV151" s="350">
        <f t="shared" si="131"/>
        <v>5.8781250000000007E-2</v>
      </c>
      <c r="BW151" s="350">
        <v>57</v>
      </c>
      <c r="BX151" s="385">
        <f t="shared" si="132"/>
        <v>0.35625000000000001</v>
      </c>
      <c r="BY151" s="399">
        <v>0</v>
      </c>
      <c r="BZ151" s="398">
        <v>0</v>
      </c>
      <c r="CA151" s="690">
        <v>0</v>
      </c>
      <c r="CB151" s="324">
        <f t="shared" si="133"/>
        <v>0</v>
      </c>
      <c r="CC151" s="324">
        <f t="shared" si="134"/>
        <v>0</v>
      </c>
      <c r="CD151" s="384">
        <f t="shared" si="135"/>
        <v>0</v>
      </c>
      <c r="CE151" s="383">
        <f t="shared" si="136"/>
        <v>0</v>
      </c>
      <c r="CF151" s="367">
        <f t="shared" si="137"/>
        <v>0</v>
      </c>
      <c r="CG151" s="383">
        <f t="shared" si="138"/>
        <v>0</v>
      </c>
      <c r="CH151" s="320">
        <f t="shared" si="139"/>
        <v>5.2593750000000002E-2</v>
      </c>
      <c r="CI151" s="319">
        <v>51</v>
      </c>
      <c r="CJ151" s="318">
        <f t="shared" si="140"/>
        <v>0.31874999999999998</v>
      </c>
      <c r="CK151" s="1259">
        <v>0</v>
      </c>
      <c r="CL151" s="301">
        <f t="shared" si="141"/>
        <v>51</v>
      </c>
      <c r="CM151" s="381">
        <f t="shared" si="142"/>
        <v>0</v>
      </c>
      <c r="CN151" s="381">
        <f t="shared" si="143"/>
        <v>0</v>
      </c>
      <c r="CO151" s="316">
        <f t="shared" si="144"/>
        <v>0</v>
      </c>
      <c r="CP151" s="381">
        <f t="shared" si="145"/>
        <v>0</v>
      </c>
      <c r="CQ151" s="381">
        <f t="shared" si="146"/>
        <v>0</v>
      </c>
      <c r="CR151" s="313">
        <v>0</v>
      </c>
      <c r="CS151" s="313">
        <v>0</v>
      </c>
      <c r="CT151" s="313">
        <v>0</v>
      </c>
      <c r="CU151" s="313">
        <v>0</v>
      </c>
      <c r="CV151" s="313">
        <v>0</v>
      </c>
      <c r="CW151" s="313">
        <v>0</v>
      </c>
      <c r="CX151" s="313">
        <v>0</v>
      </c>
      <c r="CY151" s="313">
        <v>0</v>
      </c>
      <c r="CZ151" s="380">
        <v>0</v>
      </c>
      <c r="DA151" s="380">
        <v>0</v>
      </c>
      <c r="DB151" s="380">
        <v>0</v>
      </c>
      <c r="DC151" s="380">
        <v>0</v>
      </c>
      <c r="DD151" s="380">
        <v>0</v>
      </c>
      <c r="DE151" s="380">
        <v>0</v>
      </c>
      <c r="DF151" s="380">
        <v>0</v>
      </c>
      <c r="DG151" s="380">
        <v>0</v>
      </c>
      <c r="DH151" s="380">
        <v>0</v>
      </c>
      <c r="DI151" s="380">
        <v>0</v>
      </c>
      <c r="DJ151" s="380">
        <v>0</v>
      </c>
      <c r="DK151" s="702">
        <f t="shared" si="147"/>
        <v>70</v>
      </c>
      <c r="DL151" s="311">
        <f t="shared" si="148"/>
        <v>0.16500000000000001</v>
      </c>
      <c r="DM151" s="310">
        <f t="shared" si="149"/>
        <v>43.75</v>
      </c>
      <c r="DN151" s="356">
        <f t="shared" si="150"/>
        <v>43.75</v>
      </c>
      <c r="DO151" s="308">
        <f t="shared" si="151"/>
        <v>7.2187500000000002E-2</v>
      </c>
      <c r="DP151" s="359">
        <f t="shared" si="157"/>
        <v>7.2187500000000002E-2</v>
      </c>
      <c r="DQ151" s="306">
        <f t="shared" si="152"/>
        <v>7.2187500000000002E-2</v>
      </c>
      <c r="DR151" s="379">
        <f t="shared" si="153"/>
        <v>1</v>
      </c>
      <c r="DS151" s="378">
        <f t="shared" si="154"/>
        <v>0</v>
      </c>
      <c r="DT151" s="173">
        <v>179</v>
      </c>
      <c r="DU151" s="174" t="s">
        <v>446</v>
      </c>
      <c r="DV151" s="173"/>
      <c r="DW151" s="174" t="s">
        <v>84</v>
      </c>
      <c r="DX151" s="173"/>
      <c r="DY151" s="173"/>
      <c r="DZ151" s="173"/>
      <c r="EA151" s="665"/>
      <c r="EB151" s="1254" t="s">
        <v>2455</v>
      </c>
      <c r="EC151" s="537">
        <v>0</v>
      </c>
      <c r="EE151" s="733">
        <v>30</v>
      </c>
      <c r="EF151" s="706"/>
    </row>
    <row r="152" spans="4:136" s="302" customFormat="1" ht="76.5" hidden="1">
      <c r="D152" s="520">
        <v>149</v>
      </c>
      <c r="E152" s="534">
        <v>188</v>
      </c>
      <c r="F152" s="523" t="s">
        <v>43</v>
      </c>
      <c r="G152" s="523" t="s">
        <v>3</v>
      </c>
      <c r="H152" s="524" t="s">
        <v>2656</v>
      </c>
      <c r="I152" s="462" t="s">
        <v>187</v>
      </c>
      <c r="J152" s="335" t="s">
        <v>460</v>
      </c>
      <c r="K152" s="335" t="s">
        <v>461</v>
      </c>
      <c r="L152" s="454" t="s">
        <v>1501</v>
      </c>
      <c r="M152" s="333" t="s">
        <v>1771</v>
      </c>
      <c r="N152" s="333">
        <v>0</v>
      </c>
      <c r="O152" s="333">
        <f t="shared" si="156"/>
        <v>18000</v>
      </c>
      <c r="P152" s="332">
        <v>18000</v>
      </c>
      <c r="Q152" s="390">
        <v>0.16500000000000001</v>
      </c>
      <c r="R152" s="342">
        <f t="shared" si="118"/>
        <v>0</v>
      </c>
      <c r="S152" s="459">
        <v>0</v>
      </c>
      <c r="T152" s="387">
        <f t="shared" si="119"/>
        <v>0</v>
      </c>
      <c r="U152" s="670">
        <v>0</v>
      </c>
      <c r="V152" s="388">
        <f t="shared" si="120"/>
        <v>0</v>
      </c>
      <c r="W152" s="356">
        <f t="shared" si="121"/>
        <v>0</v>
      </c>
      <c r="X152" s="356">
        <f t="shared" si="122"/>
        <v>0</v>
      </c>
      <c r="Y152" s="356">
        <f t="shared" si="155"/>
        <v>0</v>
      </c>
      <c r="Z152" s="356">
        <f t="shared" si="123"/>
        <v>0</v>
      </c>
      <c r="AA152" s="313">
        <v>85000000</v>
      </c>
      <c r="AB152" s="313">
        <v>85000000</v>
      </c>
      <c r="AC152" s="313">
        <v>0</v>
      </c>
      <c r="AD152" s="313">
        <v>0</v>
      </c>
      <c r="AE152" s="313">
        <v>0</v>
      </c>
      <c r="AF152" s="313">
        <v>0</v>
      </c>
      <c r="AG152" s="313">
        <v>0</v>
      </c>
      <c r="AH152" s="313">
        <v>0</v>
      </c>
      <c r="AI152" s="313">
        <v>85000000</v>
      </c>
      <c r="AJ152" s="313">
        <v>85000000</v>
      </c>
      <c r="AK152" s="313">
        <v>0</v>
      </c>
      <c r="AL152" s="313">
        <v>0</v>
      </c>
      <c r="AM152" s="313">
        <v>0</v>
      </c>
      <c r="AN152" s="313">
        <v>0</v>
      </c>
      <c r="AO152" s="313">
        <v>0</v>
      </c>
      <c r="AP152" s="313">
        <v>0</v>
      </c>
      <c r="AQ152" s="313">
        <v>0</v>
      </c>
      <c r="AR152" s="313">
        <v>0</v>
      </c>
      <c r="AS152" s="313">
        <v>0</v>
      </c>
      <c r="AT152" s="333">
        <f t="shared" si="124"/>
        <v>5.5E-2</v>
      </c>
      <c r="AU152" s="333">
        <v>6000</v>
      </c>
      <c r="AV152" s="387">
        <f t="shared" si="125"/>
        <v>0.33333333333333331</v>
      </c>
      <c r="AW152" s="677">
        <v>5693</v>
      </c>
      <c r="AX152" s="366">
        <f t="shared" si="126"/>
        <v>5693</v>
      </c>
      <c r="AY152" s="366">
        <f t="shared" si="127"/>
        <v>94.88333333333334</v>
      </c>
      <c r="AZ152" s="366">
        <f t="shared" si="128"/>
        <v>94.88333333333334</v>
      </c>
      <c r="BA152" s="354">
        <f t="shared" si="129"/>
        <v>5.2185833333333341E-2</v>
      </c>
      <c r="BB152" s="354">
        <f t="shared" si="130"/>
        <v>94.88333333333334</v>
      </c>
      <c r="BC152" s="353">
        <v>0</v>
      </c>
      <c r="BD152" s="353">
        <v>0</v>
      </c>
      <c r="BE152" s="353">
        <v>0</v>
      </c>
      <c r="BF152" s="353">
        <v>0</v>
      </c>
      <c r="BG152" s="353">
        <v>0</v>
      </c>
      <c r="BH152" s="353">
        <v>0</v>
      </c>
      <c r="BI152" s="353">
        <v>0</v>
      </c>
      <c r="BJ152" s="353">
        <v>0</v>
      </c>
      <c r="BK152" s="452">
        <v>195722768</v>
      </c>
      <c r="BL152" s="351">
        <v>195722768</v>
      </c>
      <c r="BM152" s="351">
        <v>0</v>
      </c>
      <c r="BN152" s="351">
        <v>0</v>
      </c>
      <c r="BO152" s="351">
        <v>0</v>
      </c>
      <c r="BP152" s="351">
        <v>0</v>
      </c>
      <c r="BQ152" s="351">
        <v>0</v>
      </c>
      <c r="BR152" s="351">
        <v>0</v>
      </c>
      <c r="BS152" s="351">
        <v>0</v>
      </c>
      <c r="BT152" s="351">
        <v>0</v>
      </c>
      <c r="BU152" s="351">
        <v>0</v>
      </c>
      <c r="BV152" s="350">
        <f t="shared" si="131"/>
        <v>5.5E-2</v>
      </c>
      <c r="BW152" s="350">
        <v>6000</v>
      </c>
      <c r="BX152" s="385">
        <f t="shared" si="132"/>
        <v>0.33333333333333331</v>
      </c>
      <c r="BY152" s="369">
        <v>6385</v>
      </c>
      <c r="BZ152" s="391">
        <v>6385</v>
      </c>
      <c r="CA152" s="689">
        <v>6385</v>
      </c>
      <c r="CB152" s="324">
        <f t="shared" si="133"/>
        <v>6385</v>
      </c>
      <c r="CC152" s="324">
        <f t="shared" si="134"/>
        <v>106.41666666666667</v>
      </c>
      <c r="CD152" s="384">
        <f t="shared" si="135"/>
        <v>100</v>
      </c>
      <c r="CE152" s="383">
        <f t="shared" si="136"/>
        <v>5.5E-2</v>
      </c>
      <c r="CF152" s="367">
        <f t="shared" si="137"/>
        <v>100</v>
      </c>
      <c r="CG152" s="383">
        <f t="shared" si="138"/>
        <v>5.8529166666666674E-2</v>
      </c>
      <c r="CH152" s="320">
        <f t="shared" si="139"/>
        <v>5.5E-2</v>
      </c>
      <c r="CI152" s="319">
        <v>6000</v>
      </c>
      <c r="CJ152" s="318">
        <f t="shared" si="140"/>
        <v>0.33333333333333331</v>
      </c>
      <c r="CK152" s="1259">
        <v>8307</v>
      </c>
      <c r="CL152" s="301">
        <f t="shared" si="141"/>
        <v>-2307</v>
      </c>
      <c r="CM152" s="381">
        <f t="shared" si="142"/>
        <v>8307</v>
      </c>
      <c r="CN152" s="381">
        <f t="shared" si="143"/>
        <v>138.44999999999999</v>
      </c>
      <c r="CO152" s="316">
        <f t="shared" si="144"/>
        <v>100</v>
      </c>
      <c r="CP152" s="381">
        <f t="shared" si="145"/>
        <v>5.5E-2</v>
      </c>
      <c r="CQ152" s="381">
        <f t="shared" si="146"/>
        <v>7.6147499999999993E-2</v>
      </c>
      <c r="CR152" s="313">
        <v>0</v>
      </c>
      <c r="CS152" s="313">
        <v>0</v>
      </c>
      <c r="CT152" s="313">
        <v>0</v>
      </c>
      <c r="CU152" s="313">
        <v>0</v>
      </c>
      <c r="CV152" s="313">
        <v>0</v>
      </c>
      <c r="CW152" s="313">
        <v>0</v>
      </c>
      <c r="CX152" s="313">
        <v>0</v>
      </c>
      <c r="CY152" s="313">
        <v>0</v>
      </c>
      <c r="CZ152" s="380">
        <v>0</v>
      </c>
      <c r="DA152" s="380">
        <v>0</v>
      </c>
      <c r="DB152" s="380">
        <v>0</v>
      </c>
      <c r="DC152" s="380">
        <v>0</v>
      </c>
      <c r="DD152" s="380">
        <v>0</v>
      </c>
      <c r="DE152" s="380">
        <v>0</v>
      </c>
      <c r="DF152" s="380">
        <v>0</v>
      </c>
      <c r="DG152" s="380">
        <v>0</v>
      </c>
      <c r="DH152" s="380">
        <v>0</v>
      </c>
      <c r="DI152" s="380">
        <v>0</v>
      </c>
      <c r="DJ152" s="380">
        <v>0</v>
      </c>
      <c r="DK152" s="702">
        <f t="shared" si="147"/>
        <v>20385</v>
      </c>
      <c r="DL152" s="311">
        <f t="shared" si="148"/>
        <v>0.16500000000000001</v>
      </c>
      <c r="DM152" s="310">
        <f t="shared" si="149"/>
        <v>113.25</v>
      </c>
      <c r="DN152" s="356">
        <f t="shared" si="150"/>
        <v>100</v>
      </c>
      <c r="DO152" s="308">
        <f t="shared" si="151"/>
        <v>0.16500000000000001</v>
      </c>
      <c r="DP152" s="359">
        <f t="shared" si="157"/>
        <v>0.16500000000000001</v>
      </c>
      <c r="DQ152" s="306">
        <f t="shared" si="152"/>
        <v>0.16500000000000001</v>
      </c>
      <c r="DR152" s="379">
        <f t="shared" si="153"/>
        <v>1</v>
      </c>
      <c r="DS152" s="378">
        <f t="shared" si="154"/>
        <v>0</v>
      </c>
      <c r="DT152" s="173">
        <v>179</v>
      </c>
      <c r="DU152" s="174" t="s">
        <v>446</v>
      </c>
      <c r="DV152" s="173"/>
      <c r="DW152" s="174" t="s">
        <v>84</v>
      </c>
      <c r="DX152" s="173"/>
      <c r="DY152" s="173"/>
      <c r="DZ152" s="173"/>
      <c r="EA152" s="665"/>
      <c r="EB152" s="1254" t="s">
        <v>2523</v>
      </c>
      <c r="EC152" s="537">
        <v>12000000</v>
      </c>
      <c r="EE152" s="734">
        <v>1</v>
      </c>
      <c r="EF152" s="706"/>
    </row>
    <row r="153" spans="4:136" s="302" customFormat="1" ht="89.25" hidden="1">
      <c r="D153" s="520">
        <v>150</v>
      </c>
      <c r="E153" s="534">
        <v>189</v>
      </c>
      <c r="F153" s="523" t="s">
        <v>43</v>
      </c>
      <c r="G153" s="523" t="s">
        <v>3</v>
      </c>
      <c r="H153" s="524" t="s">
        <v>2656</v>
      </c>
      <c r="I153" s="462" t="s">
        <v>187</v>
      </c>
      <c r="J153" s="335" t="s">
        <v>462</v>
      </c>
      <c r="K153" s="335" t="s">
        <v>463</v>
      </c>
      <c r="L153" s="454" t="s">
        <v>1501</v>
      </c>
      <c r="M153" s="333" t="s">
        <v>1771</v>
      </c>
      <c r="N153" s="333">
        <v>0</v>
      </c>
      <c r="O153" s="333">
        <f t="shared" si="156"/>
        <v>17863</v>
      </c>
      <c r="P153" s="332">
        <v>17863</v>
      </c>
      <c r="Q153" s="390">
        <v>0.16500000000000001</v>
      </c>
      <c r="R153" s="342">
        <f t="shared" si="118"/>
        <v>4.1252309242568438E-2</v>
      </c>
      <c r="S153" s="459">
        <v>4466</v>
      </c>
      <c r="T153" s="387">
        <f t="shared" si="119"/>
        <v>0.2500139954095057</v>
      </c>
      <c r="U153" s="670">
        <v>5359</v>
      </c>
      <c r="V153" s="388">
        <f t="shared" si="120"/>
        <v>5359</v>
      </c>
      <c r="W153" s="356">
        <f t="shared" si="121"/>
        <v>119.99552171965965</v>
      </c>
      <c r="X153" s="356">
        <f t="shared" si="122"/>
        <v>100</v>
      </c>
      <c r="Y153" s="356">
        <f t="shared" si="155"/>
        <v>4.1252309242568438E-2</v>
      </c>
      <c r="Z153" s="356">
        <f t="shared" si="123"/>
        <v>100</v>
      </c>
      <c r="AA153" s="313">
        <v>76000000</v>
      </c>
      <c r="AB153" s="313">
        <v>13000000</v>
      </c>
      <c r="AC153" s="313">
        <v>0</v>
      </c>
      <c r="AD153" s="313">
        <v>0</v>
      </c>
      <c r="AE153" s="313">
        <v>0</v>
      </c>
      <c r="AF153" s="313">
        <v>0</v>
      </c>
      <c r="AG153" s="313">
        <v>0</v>
      </c>
      <c r="AH153" s="313">
        <v>63000000</v>
      </c>
      <c r="AI153" s="313">
        <v>76000000</v>
      </c>
      <c r="AJ153" s="313">
        <v>13000000</v>
      </c>
      <c r="AK153" s="313">
        <v>0</v>
      </c>
      <c r="AL153" s="313">
        <v>63000000</v>
      </c>
      <c r="AM153" s="313">
        <v>0</v>
      </c>
      <c r="AN153" s="313">
        <v>0</v>
      </c>
      <c r="AO153" s="313">
        <v>0</v>
      </c>
      <c r="AP153" s="313">
        <v>0</v>
      </c>
      <c r="AQ153" s="313">
        <v>0</v>
      </c>
      <c r="AR153" s="313">
        <v>0</v>
      </c>
      <c r="AS153" s="313">
        <v>0</v>
      </c>
      <c r="AT153" s="333">
        <f t="shared" si="124"/>
        <v>4.1252309242568438E-2</v>
      </c>
      <c r="AU153" s="333">
        <v>4466</v>
      </c>
      <c r="AV153" s="387">
        <f t="shared" si="125"/>
        <v>0.2500139954095057</v>
      </c>
      <c r="AW153" s="677">
        <v>4649</v>
      </c>
      <c r="AX153" s="366">
        <f t="shared" si="126"/>
        <v>4649</v>
      </c>
      <c r="AY153" s="366">
        <f t="shared" si="127"/>
        <v>104.09762651141962</v>
      </c>
      <c r="AZ153" s="366">
        <f t="shared" si="128"/>
        <v>100</v>
      </c>
      <c r="BA153" s="354">
        <f t="shared" si="129"/>
        <v>4.1252309242568438E-2</v>
      </c>
      <c r="BB153" s="354">
        <f t="shared" si="130"/>
        <v>100</v>
      </c>
      <c r="BC153" s="353">
        <v>0</v>
      </c>
      <c r="BD153" s="353">
        <v>0</v>
      </c>
      <c r="BE153" s="353">
        <v>0</v>
      </c>
      <c r="BF153" s="353">
        <v>0</v>
      </c>
      <c r="BG153" s="353">
        <v>0</v>
      </c>
      <c r="BH153" s="353">
        <v>0</v>
      </c>
      <c r="BI153" s="353">
        <v>0</v>
      </c>
      <c r="BJ153" s="353">
        <v>0</v>
      </c>
      <c r="BK153" s="452">
        <v>104374451</v>
      </c>
      <c r="BL153" s="351">
        <v>104374451</v>
      </c>
      <c r="BM153" s="351">
        <v>0</v>
      </c>
      <c r="BN153" s="351">
        <v>0</v>
      </c>
      <c r="BO153" s="351">
        <v>0</v>
      </c>
      <c r="BP153" s="351">
        <v>0</v>
      </c>
      <c r="BQ153" s="351">
        <v>0</v>
      </c>
      <c r="BR153" s="351">
        <v>0</v>
      </c>
      <c r="BS153" s="351">
        <v>0</v>
      </c>
      <c r="BT153" s="351">
        <v>0</v>
      </c>
      <c r="BU153" s="351">
        <v>0</v>
      </c>
      <c r="BV153" s="350">
        <f t="shared" si="131"/>
        <v>4.1252309242568438E-2</v>
      </c>
      <c r="BW153" s="350">
        <v>4466</v>
      </c>
      <c r="BX153" s="385">
        <f t="shared" si="132"/>
        <v>0.2500139954095057</v>
      </c>
      <c r="BY153" s="369">
        <v>4200</v>
      </c>
      <c r="BZ153" s="391">
        <v>4200</v>
      </c>
      <c r="CA153" s="689">
        <v>4557</v>
      </c>
      <c r="CB153" s="324">
        <f t="shared" si="133"/>
        <v>4557</v>
      </c>
      <c r="CC153" s="324">
        <f t="shared" si="134"/>
        <v>102.03761755485894</v>
      </c>
      <c r="CD153" s="384">
        <f t="shared" si="135"/>
        <v>100</v>
      </c>
      <c r="CE153" s="383">
        <f t="shared" si="136"/>
        <v>4.1252309242568438E-2</v>
      </c>
      <c r="CF153" s="367">
        <f t="shared" si="137"/>
        <v>100</v>
      </c>
      <c r="CG153" s="383">
        <f t="shared" si="138"/>
        <v>4.2092873537479709E-2</v>
      </c>
      <c r="CH153" s="320">
        <f t="shared" si="139"/>
        <v>4.1243072272294685E-2</v>
      </c>
      <c r="CI153" s="319">
        <v>4465</v>
      </c>
      <c r="CJ153" s="318">
        <f t="shared" si="140"/>
        <v>0.24995801377148294</v>
      </c>
      <c r="CK153" s="1259">
        <v>4710</v>
      </c>
      <c r="CL153" s="301">
        <f t="shared" si="141"/>
        <v>-245</v>
      </c>
      <c r="CM153" s="381">
        <f t="shared" si="142"/>
        <v>4710</v>
      </c>
      <c r="CN153" s="381">
        <f t="shared" si="143"/>
        <v>105.48712206047033</v>
      </c>
      <c r="CO153" s="316">
        <f t="shared" si="144"/>
        <v>100</v>
      </c>
      <c r="CP153" s="381">
        <f t="shared" si="145"/>
        <v>4.1243072272294692E-2</v>
      </c>
      <c r="CQ153" s="381">
        <f t="shared" si="146"/>
        <v>4.3506129989363485E-2</v>
      </c>
      <c r="CR153" s="313">
        <v>0</v>
      </c>
      <c r="CS153" s="313">
        <v>0</v>
      </c>
      <c r="CT153" s="313">
        <v>0</v>
      </c>
      <c r="CU153" s="313">
        <v>0</v>
      </c>
      <c r="CV153" s="313">
        <v>0</v>
      </c>
      <c r="CW153" s="313">
        <v>0</v>
      </c>
      <c r="CX153" s="313">
        <v>0</v>
      </c>
      <c r="CY153" s="313">
        <v>0</v>
      </c>
      <c r="CZ153" s="380">
        <v>0</v>
      </c>
      <c r="DA153" s="380">
        <v>0</v>
      </c>
      <c r="DB153" s="380">
        <v>0</v>
      </c>
      <c r="DC153" s="380">
        <v>0</v>
      </c>
      <c r="DD153" s="380">
        <v>0</v>
      </c>
      <c r="DE153" s="380">
        <v>0</v>
      </c>
      <c r="DF153" s="380">
        <v>0</v>
      </c>
      <c r="DG153" s="380">
        <v>0</v>
      </c>
      <c r="DH153" s="380">
        <v>0</v>
      </c>
      <c r="DI153" s="380">
        <v>0</v>
      </c>
      <c r="DJ153" s="380">
        <v>0</v>
      </c>
      <c r="DK153" s="702">
        <f t="shared" si="147"/>
        <v>19275</v>
      </c>
      <c r="DL153" s="311">
        <f t="shared" si="148"/>
        <v>0.16500000000000001</v>
      </c>
      <c r="DM153" s="310">
        <f t="shared" si="149"/>
        <v>107.90460728880927</v>
      </c>
      <c r="DN153" s="356">
        <f t="shared" si="150"/>
        <v>100</v>
      </c>
      <c r="DO153" s="308">
        <f t="shared" si="151"/>
        <v>0.16500000000000001</v>
      </c>
      <c r="DP153" s="359">
        <f t="shared" si="157"/>
        <v>0.16500000000000001</v>
      </c>
      <c r="DQ153" s="306">
        <f t="shared" si="152"/>
        <v>0.16500000000000001</v>
      </c>
      <c r="DR153" s="379">
        <f t="shared" si="153"/>
        <v>1</v>
      </c>
      <c r="DS153" s="378">
        <f t="shared" si="154"/>
        <v>0</v>
      </c>
      <c r="DT153" s="173">
        <v>179</v>
      </c>
      <c r="DU153" s="174" t="s">
        <v>446</v>
      </c>
      <c r="DV153" s="173"/>
      <c r="DW153" s="174" t="s">
        <v>84</v>
      </c>
      <c r="DX153" s="173"/>
      <c r="DY153" s="173"/>
      <c r="DZ153" s="173"/>
      <c r="EA153" s="665"/>
      <c r="EB153" s="1254" t="s">
        <v>2517</v>
      </c>
      <c r="EC153" s="537">
        <v>30000000</v>
      </c>
      <c r="EE153" s="734">
        <v>25</v>
      </c>
      <c r="EF153" s="706"/>
    </row>
    <row r="154" spans="4:136" s="302" customFormat="1" ht="114.75" hidden="1">
      <c r="D154" s="520">
        <v>151</v>
      </c>
      <c r="E154" s="534">
        <v>190</v>
      </c>
      <c r="F154" s="523" t="s">
        <v>43</v>
      </c>
      <c r="G154" s="523" t="s">
        <v>81</v>
      </c>
      <c r="H154" s="524" t="s">
        <v>2656</v>
      </c>
      <c r="I154" s="462" t="s">
        <v>187</v>
      </c>
      <c r="J154" s="335" t="s">
        <v>464</v>
      </c>
      <c r="K154" s="335" t="s">
        <v>465</v>
      </c>
      <c r="L154" s="454" t="s">
        <v>1983</v>
      </c>
      <c r="M154" s="333" t="s">
        <v>1771</v>
      </c>
      <c r="N154" s="333">
        <v>92</v>
      </c>
      <c r="O154" s="333">
        <f t="shared" si="156"/>
        <v>192</v>
      </c>
      <c r="P154" s="332">
        <v>100</v>
      </c>
      <c r="Q154" s="390">
        <v>0.16500000000000001</v>
      </c>
      <c r="R154" s="342">
        <f t="shared" si="118"/>
        <v>4.1250000000000002E-2</v>
      </c>
      <c r="S154" s="459">
        <v>25</v>
      </c>
      <c r="T154" s="387">
        <f t="shared" si="119"/>
        <v>0.25</v>
      </c>
      <c r="U154" s="670">
        <v>47</v>
      </c>
      <c r="V154" s="388">
        <f t="shared" si="120"/>
        <v>47</v>
      </c>
      <c r="W154" s="356">
        <f t="shared" si="121"/>
        <v>188</v>
      </c>
      <c r="X154" s="356">
        <f t="shared" si="122"/>
        <v>100</v>
      </c>
      <c r="Y154" s="356">
        <f t="shared" si="155"/>
        <v>4.1250000000000002E-2</v>
      </c>
      <c r="Z154" s="356">
        <f t="shared" si="123"/>
        <v>100</v>
      </c>
      <c r="AA154" s="313">
        <v>54000000</v>
      </c>
      <c r="AB154" s="313">
        <v>54000000</v>
      </c>
      <c r="AC154" s="313">
        <v>0</v>
      </c>
      <c r="AD154" s="313">
        <v>0</v>
      </c>
      <c r="AE154" s="313">
        <v>0</v>
      </c>
      <c r="AF154" s="313">
        <v>0</v>
      </c>
      <c r="AG154" s="313">
        <v>0</v>
      </c>
      <c r="AH154" s="313">
        <v>0</v>
      </c>
      <c r="AI154" s="313">
        <v>0</v>
      </c>
      <c r="AJ154" s="313">
        <v>0</v>
      </c>
      <c r="AK154" s="313">
        <v>0</v>
      </c>
      <c r="AL154" s="313">
        <v>0</v>
      </c>
      <c r="AM154" s="313">
        <v>0</v>
      </c>
      <c r="AN154" s="313">
        <v>0</v>
      </c>
      <c r="AO154" s="313">
        <v>0</v>
      </c>
      <c r="AP154" s="313">
        <v>0</v>
      </c>
      <c r="AQ154" s="313">
        <v>0</v>
      </c>
      <c r="AR154" s="313">
        <v>18182000</v>
      </c>
      <c r="AS154" s="313" t="s">
        <v>1982</v>
      </c>
      <c r="AT154" s="333">
        <f t="shared" si="124"/>
        <v>4.1250000000000002E-2</v>
      </c>
      <c r="AU154" s="333">
        <v>25</v>
      </c>
      <c r="AV154" s="387">
        <f t="shared" si="125"/>
        <v>0.25</v>
      </c>
      <c r="AW154" s="677">
        <v>84</v>
      </c>
      <c r="AX154" s="366">
        <f t="shared" si="126"/>
        <v>84</v>
      </c>
      <c r="AY154" s="366">
        <f t="shared" si="127"/>
        <v>336</v>
      </c>
      <c r="AZ154" s="366">
        <f t="shared" si="128"/>
        <v>100</v>
      </c>
      <c r="BA154" s="354">
        <f t="shared" si="129"/>
        <v>4.1250000000000002E-2</v>
      </c>
      <c r="BB154" s="354">
        <f t="shared" si="130"/>
        <v>100</v>
      </c>
      <c r="BC154" s="353">
        <v>0</v>
      </c>
      <c r="BD154" s="353">
        <v>0</v>
      </c>
      <c r="BE154" s="353">
        <v>0</v>
      </c>
      <c r="BF154" s="353">
        <v>0</v>
      </c>
      <c r="BG154" s="353">
        <v>0</v>
      </c>
      <c r="BH154" s="353">
        <v>0</v>
      </c>
      <c r="BI154" s="353">
        <v>0</v>
      </c>
      <c r="BJ154" s="353">
        <v>0</v>
      </c>
      <c r="BK154" s="452">
        <v>39475000</v>
      </c>
      <c r="BL154" s="351">
        <v>39475000</v>
      </c>
      <c r="BM154" s="351">
        <v>0</v>
      </c>
      <c r="BN154" s="351">
        <v>0</v>
      </c>
      <c r="BO154" s="351">
        <v>0</v>
      </c>
      <c r="BP154" s="351">
        <v>0</v>
      </c>
      <c r="BQ154" s="351">
        <v>0</v>
      </c>
      <c r="BR154" s="351">
        <v>0</v>
      </c>
      <c r="BS154" s="351">
        <v>0</v>
      </c>
      <c r="BT154" s="351">
        <v>0</v>
      </c>
      <c r="BU154" s="351">
        <v>0</v>
      </c>
      <c r="BV154" s="350">
        <f t="shared" si="131"/>
        <v>4.1250000000000002E-2</v>
      </c>
      <c r="BW154" s="350">
        <v>25</v>
      </c>
      <c r="BX154" s="385">
        <f t="shared" si="132"/>
        <v>0.25</v>
      </c>
      <c r="BY154" s="369">
        <v>100</v>
      </c>
      <c r="BZ154" s="391">
        <v>215</v>
      </c>
      <c r="CA154" s="689">
        <v>120</v>
      </c>
      <c r="CB154" s="324">
        <f t="shared" si="133"/>
        <v>120</v>
      </c>
      <c r="CC154" s="324">
        <f t="shared" si="134"/>
        <v>480</v>
      </c>
      <c r="CD154" s="384">
        <f t="shared" si="135"/>
        <v>100</v>
      </c>
      <c r="CE154" s="383">
        <f t="shared" si="136"/>
        <v>4.1250000000000002E-2</v>
      </c>
      <c r="CF154" s="367">
        <f t="shared" si="137"/>
        <v>100</v>
      </c>
      <c r="CG154" s="383">
        <f t="shared" si="138"/>
        <v>0.19800000000000001</v>
      </c>
      <c r="CH154" s="320">
        <f t="shared" si="139"/>
        <v>4.1250000000000002E-2</v>
      </c>
      <c r="CI154" s="319">
        <v>25</v>
      </c>
      <c r="CJ154" s="318">
        <f t="shared" si="140"/>
        <v>0.25</v>
      </c>
      <c r="CK154" s="1259">
        <v>143</v>
      </c>
      <c r="CL154" s="301">
        <f t="shared" si="141"/>
        <v>-118</v>
      </c>
      <c r="CM154" s="381">
        <f t="shared" si="142"/>
        <v>143</v>
      </c>
      <c r="CN154" s="381">
        <f t="shared" si="143"/>
        <v>572</v>
      </c>
      <c r="CO154" s="316">
        <f t="shared" si="144"/>
        <v>100</v>
      </c>
      <c r="CP154" s="381">
        <f t="shared" si="145"/>
        <v>4.1250000000000002E-2</v>
      </c>
      <c r="CQ154" s="381">
        <f t="shared" si="146"/>
        <v>0.23595000000000002</v>
      </c>
      <c r="CR154" s="313">
        <v>0</v>
      </c>
      <c r="CS154" s="313">
        <v>0</v>
      </c>
      <c r="CT154" s="313">
        <v>0</v>
      </c>
      <c r="CU154" s="313">
        <v>0</v>
      </c>
      <c r="CV154" s="313">
        <v>0</v>
      </c>
      <c r="CW154" s="313">
        <v>0</v>
      </c>
      <c r="CX154" s="313">
        <v>0</v>
      </c>
      <c r="CY154" s="313">
        <v>0</v>
      </c>
      <c r="CZ154" s="380">
        <v>0</v>
      </c>
      <c r="DA154" s="380">
        <v>0</v>
      </c>
      <c r="DB154" s="380">
        <v>0</v>
      </c>
      <c r="DC154" s="380">
        <v>0</v>
      </c>
      <c r="DD154" s="380">
        <v>0</v>
      </c>
      <c r="DE154" s="380">
        <v>0</v>
      </c>
      <c r="DF154" s="380">
        <v>0</v>
      </c>
      <c r="DG154" s="380">
        <v>0</v>
      </c>
      <c r="DH154" s="380">
        <v>0</v>
      </c>
      <c r="DI154" s="380">
        <v>0</v>
      </c>
      <c r="DJ154" s="380">
        <v>0</v>
      </c>
      <c r="DK154" s="702">
        <f t="shared" si="147"/>
        <v>394</v>
      </c>
      <c r="DL154" s="311">
        <f t="shared" si="148"/>
        <v>0.16500000000000001</v>
      </c>
      <c r="DM154" s="310">
        <f t="shared" si="149"/>
        <v>394</v>
      </c>
      <c r="DN154" s="356">
        <f t="shared" si="150"/>
        <v>100</v>
      </c>
      <c r="DO154" s="308">
        <f t="shared" si="151"/>
        <v>0.16500000000000001</v>
      </c>
      <c r="DP154" s="359">
        <f t="shared" si="157"/>
        <v>0.16500000000000001</v>
      </c>
      <c r="DQ154" s="306">
        <f t="shared" si="152"/>
        <v>0.16500000000000001</v>
      </c>
      <c r="DR154" s="379">
        <f t="shared" si="153"/>
        <v>1</v>
      </c>
      <c r="DS154" s="378">
        <f t="shared" si="154"/>
        <v>0</v>
      </c>
      <c r="DT154" s="173">
        <v>179</v>
      </c>
      <c r="DU154" s="174" t="s">
        <v>446</v>
      </c>
      <c r="DV154" s="173"/>
      <c r="DW154" s="174" t="s">
        <v>84</v>
      </c>
      <c r="DX154" s="173"/>
      <c r="DY154" s="173"/>
      <c r="DZ154" s="173"/>
      <c r="EA154" s="665"/>
      <c r="EB154" s="1254" t="s">
        <v>2524</v>
      </c>
      <c r="EC154" s="537">
        <v>995000000</v>
      </c>
      <c r="EE154" s="734">
        <v>52</v>
      </c>
      <c r="EF154" s="706"/>
    </row>
    <row r="155" spans="4:136" s="302" customFormat="1" ht="76.5" hidden="1">
      <c r="D155" s="520">
        <v>152</v>
      </c>
      <c r="E155" s="534">
        <v>191</v>
      </c>
      <c r="F155" s="523" t="s">
        <v>43</v>
      </c>
      <c r="G155" s="523" t="s">
        <v>81</v>
      </c>
      <c r="H155" s="524" t="s">
        <v>2656</v>
      </c>
      <c r="I155" s="462" t="s">
        <v>187</v>
      </c>
      <c r="J155" s="335" t="s">
        <v>466</v>
      </c>
      <c r="K155" s="335" t="s">
        <v>467</v>
      </c>
      <c r="L155" s="454" t="s">
        <v>1415</v>
      </c>
      <c r="M155" s="333" t="s">
        <v>1785</v>
      </c>
      <c r="N155" s="333">
        <v>3</v>
      </c>
      <c r="O155" s="333">
        <f>+P155</f>
        <v>5</v>
      </c>
      <c r="P155" s="332">
        <v>5</v>
      </c>
      <c r="Q155" s="390">
        <v>0.16500000000000001</v>
      </c>
      <c r="R155" s="342">
        <f t="shared" si="118"/>
        <v>4.1250000000000002E-2</v>
      </c>
      <c r="S155" s="459">
        <v>5</v>
      </c>
      <c r="T155" s="387">
        <f t="shared" si="119"/>
        <v>0.25</v>
      </c>
      <c r="U155" s="670">
        <v>5</v>
      </c>
      <c r="V155" s="388">
        <f t="shared" si="120"/>
        <v>1.25</v>
      </c>
      <c r="W155" s="356">
        <f t="shared" si="121"/>
        <v>100</v>
      </c>
      <c r="X155" s="356">
        <f t="shared" si="122"/>
        <v>100</v>
      </c>
      <c r="Y155" s="356">
        <f t="shared" si="155"/>
        <v>4.1250000000000002E-2</v>
      </c>
      <c r="Z155" s="356">
        <f t="shared" si="123"/>
        <v>100</v>
      </c>
      <c r="AA155" s="313">
        <v>18000000</v>
      </c>
      <c r="AB155" s="313">
        <v>18000000</v>
      </c>
      <c r="AC155" s="313">
        <v>0</v>
      </c>
      <c r="AD155" s="313">
        <v>0</v>
      </c>
      <c r="AE155" s="313">
        <v>0</v>
      </c>
      <c r="AF155" s="313">
        <v>0</v>
      </c>
      <c r="AG155" s="313">
        <v>0</v>
      </c>
      <c r="AH155" s="313">
        <v>0</v>
      </c>
      <c r="AI155" s="313">
        <v>65500000</v>
      </c>
      <c r="AJ155" s="313">
        <v>65500000</v>
      </c>
      <c r="AK155" s="313">
        <v>0</v>
      </c>
      <c r="AL155" s="313">
        <v>0</v>
      </c>
      <c r="AM155" s="313">
        <v>0</v>
      </c>
      <c r="AN155" s="313">
        <v>0</v>
      </c>
      <c r="AO155" s="313">
        <v>0</v>
      </c>
      <c r="AP155" s="313">
        <v>0</v>
      </c>
      <c r="AQ155" s="313">
        <v>0</v>
      </c>
      <c r="AR155" s="313">
        <v>10850000</v>
      </c>
      <c r="AS155" s="313" t="s">
        <v>1415</v>
      </c>
      <c r="AT155" s="333">
        <f t="shared" si="124"/>
        <v>4.1250000000000002E-2</v>
      </c>
      <c r="AU155" s="333">
        <v>5</v>
      </c>
      <c r="AV155" s="387">
        <f t="shared" si="125"/>
        <v>0.25</v>
      </c>
      <c r="AW155" s="677">
        <v>10</v>
      </c>
      <c r="AX155" s="366">
        <f t="shared" si="126"/>
        <v>2.5</v>
      </c>
      <c r="AY155" s="366">
        <f t="shared" si="127"/>
        <v>200</v>
      </c>
      <c r="AZ155" s="366">
        <f t="shared" si="128"/>
        <v>100</v>
      </c>
      <c r="BA155" s="354">
        <f t="shared" si="129"/>
        <v>4.1250000000000002E-2</v>
      </c>
      <c r="BB155" s="354">
        <f t="shared" si="130"/>
        <v>100</v>
      </c>
      <c r="BC155" s="353">
        <v>0</v>
      </c>
      <c r="BD155" s="353">
        <v>0</v>
      </c>
      <c r="BE155" s="353">
        <v>0</v>
      </c>
      <c r="BF155" s="353">
        <v>0</v>
      </c>
      <c r="BG155" s="353">
        <v>0</v>
      </c>
      <c r="BH155" s="353">
        <v>0</v>
      </c>
      <c r="BI155" s="353">
        <v>0</v>
      </c>
      <c r="BJ155" s="353">
        <v>0</v>
      </c>
      <c r="BK155" s="452">
        <v>127812000</v>
      </c>
      <c r="BL155" s="351">
        <v>127812000</v>
      </c>
      <c r="BM155" s="351">
        <v>0</v>
      </c>
      <c r="BN155" s="351">
        <v>0</v>
      </c>
      <c r="BO155" s="351">
        <v>0</v>
      </c>
      <c r="BP155" s="351">
        <v>0</v>
      </c>
      <c r="BQ155" s="351">
        <v>0</v>
      </c>
      <c r="BR155" s="351">
        <v>0</v>
      </c>
      <c r="BS155" s="351">
        <v>0</v>
      </c>
      <c r="BT155" s="351">
        <v>0</v>
      </c>
      <c r="BU155" s="351">
        <v>0</v>
      </c>
      <c r="BV155" s="350">
        <f t="shared" si="131"/>
        <v>4.1250000000000002E-2</v>
      </c>
      <c r="BW155" s="350">
        <v>5</v>
      </c>
      <c r="BX155" s="385">
        <f t="shared" si="132"/>
        <v>0.25</v>
      </c>
      <c r="BY155" s="369">
        <v>5</v>
      </c>
      <c r="BZ155" s="391">
        <v>5</v>
      </c>
      <c r="CA155" s="689">
        <v>5</v>
      </c>
      <c r="CB155" s="324">
        <f t="shared" si="133"/>
        <v>1.25</v>
      </c>
      <c r="CC155" s="324">
        <f t="shared" si="134"/>
        <v>100</v>
      </c>
      <c r="CD155" s="384">
        <f t="shared" si="135"/>
        <v>100</v>
      </c>
      <c r="CE155" s="383">
        <f t="shared" si="136"/>
        <v>4.1250000000000002E-2</v>
      </c>
      <c r="CF155" s="367">
        <f t="shared" si="137"/>
        <v>100</v>
      </c>
      <c r="CG155" s="383">
        <f t="shared" si="138"/>
        <v>4.1250000000000002E-2</v>
      </c>
      <c r="CH155" s="320">
        <f t="shared" si="139"/>
        <v>4.1250000000000002E-2</v>
      </c>
      <c r="CI155" s="319">
        <v>5</v>
      </c>
      <c r="CJ155" s="318">
        <f t="shared" si="140"/>
        <v>0.25</v>
      </c>
      <c r="CK155" s="1259">
        <v>8</v>
      </c>
      <c r="CL155" s="301">
        <f t="shared" si="141"/>
        <v>-3</v>
      </c>
      <c r="CM155" s="381">
        <f t="shared" si="142"/>
        <v>2</v>
      </c>
      <c r="CN155" s="381">
        <f t="shared" si="143"/>
        <v>160</v>
      </c>
      <c r="CO155" s="381">
        <f t="shared" si="144"/>
        <v>100</v>
      </c>
      <c r="CP155" s="381">
        <f t="shared" si="145"/>
        <v>4.1250000000000002E-2</v>
      </c>
      <c r="CQ155" s="381">
        <f t="shared" si="146"/>
        <v>6.6000000000000003E-2</v>
      </c>
      <c r="CR155" s="313">
        <v>0</v>
      </c>
      <c r="CS155" s="313">
        <v>0</v>
      </c>
      <c r="CT155" s="313">
        <v>0</v>
      </c>
      <c r="CU155" s="313">
        <v>0</v>
      </c>
      <c r="CV155" s="313">
        <v>0</v>
      </c>
      <c r="CW155" s="313">
        <v>0</v>
      </c>
      <c r="CX155" s="313">
        <v>0</v>
      </c>
      <c r="CY155" s="313">
        <v>0</v>
      </c>
      <c r="CZ155" s="380">
        <v>0</v>
      </c>
      <c r="DA155" s="380">
        <v>0</v>
      </c>
      <c r="DB155" s="380">
        <v>0</v>
      </c>
      <c r="DC155" s="380">
        <v>0</v>
      </c>
      <c r="DD155" s="380">
        <v>0</v>
      </c>
      <c r="DE155" s="380">
        <v>0</v>
      </c>
      <c r="DF155" s="380">
        <v>0</v>
      </c>
      <c r="DG155" s="380">
        <v>0</v>
      </c>
      <c r="DH155" s="380">
        <v>0</v>
      </c>
      <c r="DI155" s="380">
        <v>0</v>
      </c>
      <c r="DJ155" s="380">
        <v>0</v>
      </c>
      <c r="DK155" s="702">
        <f t="shared" si="147"/>
        <v>7</v>
      </c>
      <c r="DL155" s="311">
        <f t="shared" si="148"/>
        <v>0.16500000000000001</v>
      </c>
      <c r="DM155" s="310">
        <f t="shared" si="149"/>
        <v>140</v>
      </c>
      <c r="DN155" s="356">
        <f t="shared" si="150"/>
        <v>100</v>
      </c>
      <c r="DO155" s="308">
        <f t="shared" si="151"/>
        <v>0.16500000000000001</v>
      </c>
      <c r="DP155" s="359">
        <f>+IF(M155="M",DO155,0)</f>
        <v>0.16500000000000001</v>
      </c>
      <c r="DQ155" s="306">
        <f t="shared" si="152"/>
        <v>0.16500000000000001</v>
      </c>
      <c r="DR155" s="379">
        <f t="shared" si="153"/>
        <v>1</v>
      </c>
      <c r="DS155" s="378">
        <f t="shared" si="154"/>
        <v>0</v>
      </c>
      <c r="DT155" s="173">
        <v>179</v>
      </c>
      <c r="DU155" s="174" t="s">
        <v>446</v>
      </c>
      <c r="DV155" s="173"/>
      <c r="DW155" s="174" t="s">
        <v>84</v>
      </c>
      <c r="DX155" s="173"/>
      <c r="DY155" s="173"/>
      <c r="DZ155" s="173"/>
      <c r="EA155" s="665"/>
      <c r="EB155" s="1254" t="s">
        <v>2525</v>
      </c>
      <c r="EC155" s="537">
        <v>249000000</v>
      </c>
      <c r="EE155" s="734">
        <v>32</v>
      </c>
      <c r="EF155" s="706"/>
    </row>
    <row r="156" spans="4:136" s="302" customFormat="1" ht="72" hidden="1">
      <c r="D156" s="520">
        <v>153</v>
      </c>
      <c r="E156" s="534">
        <v>192</v>
      </c>
      <c r="F156" s="523" t="s">
        <v>43</v>
      </c>
      <c r="G156" s="523" t="s">
        <v>8</v>
      </c>
      <c r="H156" s="524" t="s">
        <v>2656</v>
      </c>
      <c r="I156" s="462" t="s">
        <v>187</v>
      </c>
      <c r="J156" s="335" t="s">
        <v>468</v>
      </c>
      <c r="K156" s="335" t="s">
        <v>469</v>
      </c>
      <c r="L156" s="453" t="s">
        <v>1540</v>
      </c>
      <c r="M156" s="333" t="s">
        <v>1785</v>
      </c>
      <c r="N156" s="333">
        <v>100</v>
      </c>
      <c r="O156" s="333">
        <f>+P156</f>
        <v>100</v>
      </c>
      <c r="P156" s="332">
        <v>100</v>
      </c>
      <c r="Q156" s="390">
        <v>0.16500000000000001</v>
      </c>
      <c r="R156" s="342">
        <f t="shared" si="118"/>
        <v>4.1250000000000002E-2</v>
      </c>
      <c r="S156" s="459">
        <v>100</v>
      </c>
      <c r="T156" s="387">
        <f t="shared" si="119"/>
        <v>0.25</v>
      </c>
      <c r="U156" s="670">
        <v>100</v>
      </c>
      <c r="V156" s="388">
        <f t="shared" si="120"/>
        <v>25</v>
      </c>
      <c r="W156" s="356">
        <f t="shared" si="121"/>
        <v>100</v>
      </c>
      <c r="X156" s="356">
        <f t="shared" si="122"/>
        <v>100</v>
      </c>
      <c r="Y156" s="356">
        <f t="shared" si="155"/>
        <v>4.1250000000000002E-2</v>
      </c>
      <c r="Z156" s="356">
        <f t="shared" si="123"/>
        <v>100</v>
      </c>
      <c r="AA156" s="313">
        <v>48502000000</v>
      </c>
      <c r="AB156" s="313">
        <v>0</v>
      </c>
      <c r="AC156" s="313">
        <v>48502000000</v>
      </c>
      <c r="AD156" s="313">
        <v>0</v>
      </c>
      <c r="AE156" s="313">
        <v>0</v>
      </c>
      <c r="AF156" s="313">
        <v>0</v>
      </c>
      <c r="AG156" s="313">
        <v>0</v>
      </c>
      <c r="AH156" s="313">
        <v>0</v>
      </c>
      <c r="AI156" s="313">
        <v>38164620000</v>
      </c>
      <c r="AJ156" s="313">
        <v>0</v>
      </c>
      <c r="AK156" s="313">
        <v>38164620000</v>
      </c>
      <c r="AL156" s="313">
        <v>0</v>
      </c>
      <c r="AM156" s="313">
        <v>0</v>
      </c>
      <c r="AN156" s="313">
        <v>0</v>
      </c>
      <c r="AO156" s="313">
        <v>0</v>
      </c>
      <c r="AP156" s="313">
        <v>0</v>
      </c>
      <c r="AQ156" s="313">
        <v>0</v>
      </c>
      <c r="AR156" s="313">
        <v>0</v>
      </c>
      <c r="AS156" s="313">
        <v>0</v>
      </c>
      <c r="AT156" s="342">
        <f t="shared" si="124"/>
        <v>4.1250000000000002E-2</v>
      </c>
      <c r="AU156" s="333">
        <v>100</v>
      </c>
      <c r="AV156" s="387">
        <f t="shared" si="125"/>
        <v>0.25</v>
      </c>
      <c r="AW156" s="677">
        <v>100</v>
      </c>
      <c r="AX156" s="366">
        <f t="shared" si="126"/>
        <v>25</v>
      </c>
      <c r="AY156" s="366">
        <f t="shared" si="127"/>
        <v>100</v>
      </c>
      <c r="AZ156" s="366">
        <f t="shared" si="128"/>
        <v>100</v>
      </c>
      <c r="BA156" s="354">
        <f t="shared" si="129"/>
        <v>4.1250000000000002E-2</v>
      </c>
      <c r="BB156" s="354">
        <f t="shared" si="130"/>
        <v>100</v>
      </c>
      <c r="BC156" s="353">
        <v>0</v>
      </c>
      <c r="BD156" s="353">
        <v>0</v>
      </c>
      <c r="BE156" s="353">
        <v>0</v>
      </c>
      <c r="BF156" s="353">
        <v>0</v>
      </c>
      <c r="BG156" s="353">
        <v>0</v>
      </c>
      <c r="BH156" s="353">
        <v>0</v>
      </c>
      <c r="BI156" s="353">
        <v>0</v>
      </c>
      <c r="BJ156" s="353">
        <v>0</v>
      </c>
      <c r="BK156" s="452">
        <v>38649085797</v>
      </c>
      <c r="BL156" s="351">
        <v>0</v>
      </c>
      <c r="BM156" s="351">
        <v>38649085797</v>
      </c>
      <c r="BN156" s="351">
        <v>0</v>
      </c>
      <c r="BO156" s="351">
        <v>0</v>
      </c>
      <c r="BP156" s="351">
        <v>0</v>
      </c>
      <c r="BQ156" s="351">
        <v>0</v>
      </c>
      <c r="BR156" s="351">
        <v>0</v>
      </c>
      <c r="BS156" s="351">
        <v>0</v>
      </c>
      <c r="BT156" s="351">
        <v>0</v>
      </c>
      <c r="BU156" s="351">
        <v>0</v>
      </c>
      <c r="BV156" s="350">
        <f t="shared" si="131"/>
        <v>4.1250000000000002E-2</v>
      </c>
      <c r="BW156" s="350">
        <v>100</v>
      </c>
      <c r="BX156" s="385">
        <f t="shared" si="132"/>
        <v>0.25</v>
      </c>
      <c r="BY156" s="369">
        <v>100</v>
      </c>
      <c r="BZ156" s="391">
        <v>100</v>
      </c>
      <c r="CA156" s="689">
        <v>100</v>
      </c>
      <c r="CB156" s="324">
        <f t="shared" si="133"/>
        <v>25</v>
      </c>
      <c r="CC156" s="324">
        <f t="shared" si="134"/>
        <v>100</v>
      </c>
      <c r="CD156" s="384">
        <f t="shared" si="135"/>
        <v>100</v>
      </c>
      <c r="CE156" s="383">
        <f t="shared" si="136"/>
        <v>4.1250000000000002E-2</v>
      </c>
      <c r="CF156" s="367">
        <f t="shared" si="137"/>
        <v>100</v>
      </c>
      <c r="CG156" s="383">
        <f t="shared" si="138"/>
        <v>4.1250000000000002E-2</v>
      </c>
      <c r="CH156" s="320">
        <f t="shared" si="139"/>
        <v>4.1250000000000002E-2</v>
      </c>
      <c r="CI156" s="319">
        <v>100</v>
      </c>
      <c r="CJ156" s="318">
        <f t="shared" si="140"/>
        <v>0.25</v>
      </c>
      <c r="CK156" s="1259">
        <v>100</v>
      </c>
      <c r="CL156" s="301">
        <f t="shared" si="141"/>
        <v>0</v>
      </c>
      <c r="CM156" s="381">
        <f t="shared" si="142"/>
        <v>25</v>
      </c>
      <c r="CN156" s="381">
        <f t="shared" si="143"/>
        <v>100</v>
      </c>
      <c r="CO156" s="381">
        <f t="shared" si="144"/>
        <v>100</v>
      </c>
      <c r="CP156" s="381">
        <f t="shared" si="145"/>
        <v>4.1250000000000002E-2</v>
      </c>
      <c r="CQ156" s="381">
        <f t="shared" si="146"/>
        <v>4.1250000000000002E-2</v>
      </c>
      <c r="CR156" s="313">
        <v>0</v>
      </c>
      <c r="CS156" s="313">
        <v>0</v>
      </c>
      <c r="CT156" s="313">
        <v>0</v>
      </c>
      <c r="CU156" s="313">
        <v>0</v>
      </c>
      <c r="CV156" s="313">
        <v>0</v>
      </c>
      <c r="CW156" s="313">
        <v>0</v>
      </c>
      <c r="CX156" s="313">
        <v>0</v>
      </c>
      <c r="CY156" s="313">
        <v>0</v>
      </c>
      <c r="CZ156" s="380">
        <v>0</v>
      </c>
      <c r="DA156" s="380">
        <v>0</v>
      </c>
      <c r="DB156" s="380">
        <v>0</v>
      </c>
      <c r="DC156" s="380">
        <v>0</v>
      </c>
      <c r="DD156" s="380">
        <v>0</v>
      </c>
      <c r="DE156" s="380">
        <v>0</v>
      </c>
      <c r="DF156" s="380">
        <v>0</v>
      </c>
      <c r="DG156" s="380">
        <v>0</v>
      </c>
      <c r="DH156" s="380">
        <v>0</v>
      </c>
      <c r="DI156" s="380">
        <v>0</v>
      </c>
      <c r="DJ156" s="380">
        <v>0</v>
      </c>
      <c r="DK156" s="702">
        <f t="shared" si="147"/>
        <v>100</v>
      </c>
      <c r="DL156" s="311">
        <f t="shared" si="148"/>
        <v>0.16500000000000001</v>
      </c>
      <c r="DM156" s="310">
        <f t="shared" si="149"/>
        <v>100</v>
      </c>
      <c r="DN156" s="356">
        <f t="shared" si="150"/>
        <v>100</v>
      </c>
      <c r="DO156" s="308">
        <f t="shared" si="151"/>
        <v>0.16500000000000001</v>
      </c>
      <c r="DP156" s="359">
        <f>+IF(M156="M",DO156,0)</f>
        <v>0.16500000000000001</v>
      </c>
      <c r="DQ156" s="306">
        <f t="shared" si="152"/>
        <v>0.16500000000000001</v>
      </c>
      <c r="DR156" s="379">
        <f t="shared" si="153"/>
        <v>1</v>
      </c>
      <c r="DS156" s="378">
        <f t="shared" si="154"/>
        <v>0</v>
      </c>
      <c r="DT156" s="173">
        <v>77</v>
      </c>
      <c r="DU156" s="174" t="s">
        <v>130</v>
      </c>
      <c r="DV156" s="173"/>
      <c r="DW156" s="174" t="s">
        <v>84</v>
      </c>
      <c r="DX156" s="173"/>
      <c r="DY156" s="173"/>
      <c r="DZ156" s="173"/>
      <c r="EA156" s="665"/>
      <c r="EB156" s="1254" t="s">
        <v>2456</v>
      </c>
      <c r="EC156" s="537">
        <v>54000000</v>
      </c>
      <c r="EE156" s="734">
        <v>0</v>
      </c>
      <c r="EF156" s="706"/>
    </row>
    <row r="157" spans="4:136" s="302" customFormat="1" ht="72" hidden="1">
      <c r="D157" s="520">
        <v>154</v>
      </c>
      <c r="E157" s="534">
        <v>193</v>
      </c>
      <c r="F157" s="523" t="s">
        <v>43</v>
      </c>
      <c r="G157" s="523" t="s">
        <v>7</v>
      </c>
      <c r="H157" s="524" t="s">
        <v>2656</v>
      </c>
      <c r="I157" s="462" t="s">
        <v>187</v>
      </c>
      <c r="J157" s="335" t="s">
        <v>470</v>
      </c>
      <c r="K157" s="335" t="s">
        <v>471</v>
      </c>
      <c r="L157" s="454" t="s">
        <v>1958</v>
      </c>
      <c r="M157" s="333" t="s">
        <v>1771</v>
      </c>
      <c r="N157" s="333">
        <v>0</v>
      </c>
      <c r="O157" s="333">
        <f>+N157+P157</f>
        <v>3</v>
      </c>
      <c r="P157" s="332">
        <v>3</v>
      </c>
      <c r="Q157" s="390">
        <v>8.8999999999999996E-2</v>
      </c>
      <c r="R157" s="342">
        <f t="shared" si="118"/>
        <v>0</v>
      </c>
      <c r="S157" s="459">
        <v>0</v>
      </c>
      <c r="T157" s="387">
        <f t="shared" si="119"/>
        <v>0</v>
      </c>
      <c r="U157" s="670">
        <v>0</v>
      </c>
      <c r="V157" s="388">
        <f t="shared" si="120"/>
        <v>0</v>
      </c>
      <c r="W157" s="356">
        <f t="shared" si="121"/>
        <v>0</v>
      </c>
      <c r="X157" s="356">
        <f t="shared" si="122"/>
        <v>0</v>
      </c>
      <c r="Y157" s="356">
        <f t="shared" si="155"/>
        <v>0</v>
      </c>
      <c r="Z157" s="356">
        <f t="shared" si="123"/>
        <v>0</v>
      </c>
      <c r="AA157" s="313">
        <v>0</v>
      </c>
      <c r="AB157" s="313">
        <v>0</v>
      </c>
      <c r="AC157" s="313">
        <v>0</v>
      </c>
      <c r="AD157" s="313">
        <v>0</v>
      </c>
      <c r="AE157" s="313">
        <v>0</v>
      </c>
      <c r="AF157" s="313">
        <v>0</v>
      </c>
      <c r="AG157" s="313">
        <v>0</v>
      </c>
      <c r="AH157" s="313">
        <v>0</v>
      </c>
      <c r="AI157" s="313">
        <v>0</v>
      </c>
      <c r="AJ157" s="313">
        <v>0</v>
      </c>
      <c r="AK157" s="313">
        <v>0</v>
      </c>
      <c r="AL157" s="313">
        <v>0</v>
      </c>
      <c r="AM157" s="313">
        <v>0</v>
      </c>
      <c r="AN157" s="313">
        <v>0</v>
      </c>
      <c r="AO157" s="313">
        <v>0</v>
      </c>
      <c r="AP157" s="313">
        <v>0</v>
      </c>
      <c r="AQ157" s="313">
        <v>0</v>
      </c>
      <c r="AR157" s="313">
        <v>0</v>
      </c>
      <c r="AS157" s="313">
        <v>0</v>
      </c>
      <c r="AT157" s="333">
        <f t="shared" si="124"/>
        <v>0</v>
      </c>
      <c r="AU157" s="333">
        <v>0</v>
      </c>
      <c r="AV157" s="387">
        <f t="shared" si="125"/>
        <v>0</v>
      </c>
      <c r="AW157" s="677">
        <v>0</v>
      </c>
      <c r="AX157" s="366">
        <f t="shared" si="126"/>
        <v>0</v>
      </c>
      <c r="AY157" s="366">
        <f t="shared" si="127"/>
        <v>0</v>
      </c>
      <c r="AZ157" s="366">
        <f t="shared" si="128"/>
        <v>0</v>
      </c>
      <c r="BA157" s="354">
        <f t="shared" si="129"/>
        <v>0</v>
      </c>
      <c r="BB157" s="354">
        <f t="shared" si="130"/>
        <v>0</v>
      </c>
      <c r="BC157" s="353">
        <v>0</v>
      </c>
      <c r="BD157" s="353">
        <v>0</v>
      </c>
      <c r="BE157" s="353">
        <v>0</v>
      </c>
      <c r="BF157" s="353">
        <v>0</v>
      </c>
      <c r="BG157" s="353">
        <v>0</v>
      </c>
      <c r="BH157" s="353">
        <v>0</v>
      </c>
      <c r="BI157" s="353">
        <v>0</v>
      </c>
      <c r="BJ157" s="353">
        <v>0</v>
      </c>
      <c r="BK157" s="452">
        <v>0</v>
      </c>
      <c r="BL157" s="351">
        <v>0</v>
      </c>
      <c r="BM157" s="351">
        <v>0</v>
      </c>
      <c r="BN157" s="351">
        <v>0</v>
      </c>
      <c r="BO157" s="351">
        <v>0</v>
      </c>
      <c r="BP157" s="351">
        <v>0</v>
      </c>
      <c r="BQ157" s="351">
        <v>0</v>
      </c>
      <c r="BR157" s="351">
        <v>0</v>
      </c>
      <c r="BS157" s="351">
        <v>0</v>
      </c>
      <c r="BT157" s="351">
        <v>0</v>
      </c>
      <c r="BU157" s="351">
        <v>0</v>
      </c>
      <c r="BV157" s="350">
        <f t="shared" si="131"/>
        <v>5.9333333333333328E-2</v>
      </c>
      <c r="BW157" s="350">
        <v>2</v>
      </c>
      <c r="BX157" s="385">
        <f t="shared" si="132"/>
        <v>0.66666666666666663</v>
      </c>
      <c r="BY157" s="399">
        <v>1</v>
      </c>
      <c r="BZ157" s="398">
        <v>1</v>
      </c>
      <c r="CA157" s="690">
        <v>5</v>
      </c>
      <c r="CB157" s="324">
        <f t="shared" si="133"/>
        <v>5</v>
      </c>
      <c r="CC157" s="324">
        <f t="shared" si="134"/>
        <v>250</v>
      </c>
      <c r="CD157" s="384">
        <f t="shared" si="135"/>
        <v>100</v>
      </c>
      <c r="CE157" s="383">
        <f t="shared" si="136"/>
        <v>5.9333333333333328E-2</v>
      </c>
      <c r="CF157" s="367">
        <f t="shared" si="137"/>
        <v>100</v>
      </c>
      <c r="CG157" s="383">
        <f t="shared" si="138"/>
        <v>0.14833333333333332</v>
      </c>
      <c r="CH157" s="320">
        <f t="shared" si="139"/>
        <v>2.9666666666666664E-2</v>
      </c>
      <c r="CI157" s="319">
        <v>1</v>
      </c>
      <c r="CJ157" s="318">
        <f t="shared" si="140"/>
        <v>0.33333333333333331</v>
      </c>
      <c r="CK157" s="1259">
        <v>1</v>
      </c>
      <c r="CL157" s="301">
        <f t="shared" si="141"/>
        <v>0</v>
      </c>
      <c r="CM157" s="381">
        <f t="shared" si="142"/>
        <v>1</v>
      </c>
      <c r="CN157" s="381">
        <f t="shared" si="143"/>
        <v>100</v>
      </c>
      <c r="CO157" s="316">
        <f t="shared" si="144"/>
        <v>100</v>
      </c>
      <c r="CP157" s="381">
        <f t="shared" si="145"/>
        <v>2.9666666666666664E-2</v>
      </c>
      <c r="CQ157" s="381">
        <f t="shared" si="146"/>
        <v>2.9666666666666664E-2</v>
      </c>
      <c r="CR157" s="313">
        <v>0</v>
      </c>
      <c r="CS157" s="313">
        <v>0</v>
      </c>
      <c r="CT157" s="313">
        <v>0</v>
      </c>
      <c r="CU157" s="313">
        <v>0</v>
      </c>
      <c r="CV157" s="313">
        <v>0</v>
      </c>
      <c r="CW157" s="313">
        <v>0</v>
      </c>
      <c r="CX157" s="313">
        <v>0</v>
      </c>
      <c r="CY157" s="313">
        <v>0</v>
      </c>
      <c r="CZ157" s="380">
        <v>0</v>
      </c>
      <c r="DA157" s="380">
        <v>0</v>
      </c>
      <c r="DB157" s="380">
        <v>0</v>
      </c>
      <c r="DC157" s="380">
        <v>0</v>
      </c>
      <c r="DD157" s="380">
        <v>0</v>
      </c>
      <c r="DE157" s="380">
        <v>0</v>
      </c>
      <c r="DF157" s="380">
        <v>0</v>
      </c>
      <c r="DG157" s="380">
        <v>0</v>
      </c>
      <c r="DH157" s="380">
        <v>0</v>
      </c>
      <c r="DI157" s="380">
        <v>0</v>
      </c>
      <c r="DJ157" s="380">
        <v>0</v>
      </c>
      <c r="DK157" s="702">
        <f t="shared" si="147"/>
        <v>6</v>
      </c>
      <c r="DL157" s="311">
        <f t="shared" si="148"/>
        <v>8.8999999999999996E-2</v>
      </c>
      <c r="DM157" s="310">
        <f t="shared" si="149"/>
        <v>200</v>
      </c>
      <c r="DN157" s="356">
        <f t="shared" si="150"/>
        <v>100</v>
      </c>
      <c r="DO157" s="308">
        <f t="shared" si="151"/>
        <v>8.900000000000001E-2</v>
      </c>
      <c r="DP157" s="359">
        <f>+IF(((DN157*Q157)/100)&lt;Q157, ((DN157*Q157)/100),Q157)</f>
        <v>8.8999999999999996E-2</v>
      </c>
      <c r="DQ157" s="306">
        <f t="shared" si="152"/>
        <v>8.8999999999999996E-2</v>
      </c>
      <c r="DR157" s="379">
        <f t="shared" si="153"/>
        <v>1</v>
      </c>
      <c r="DS157" s="378">
        <f t="shared" si="154"/>
        <v>0</v>
      </c>
      <c r="DT157" s="173">
        <v>179</v>
      </c>
      <c r="DU157" s="174" t="s">
        <v>446</v>
      </c>
      <c r="DV157" s="173"/>
      <c r="DW157" s="174" t="s">
        <v>84</v>
      </c>
      <c r="DX157" s="173"/>
      <c r="DY157" s="173"/>
      <c r="DZ157" s="173"/>
      <c r="EA157" s="665"/>
      <c r="EB157" s="1254" t="s">
        <v>3233</v>
      </c>
      <c r="EC157" s="537">
        <v>1076000000</v>
      </c>
      <c r="EE157" s="734">
        <v>1</v>
      </c>
      <c r="EF157" s="706"/>
    </row>
    <row r="158" spans="4:136" s="302" customFormat="1" ht="72" hidden="1">
      <c r="D158" s="520">
        <v>155</v>
      </c>
      <c r="E158" s="534">
        <v>194</v>
      </c>
      <c r="F158" s="336" t="s">
        <v>43</v>
      </c>
      <c r="G158" s="336" t="s">
        <v>7</v>
      </c>
      <c r="H158" s="336" t="s">
        <v>2656</v>
      </c>
      <c r="I158" s="336" t="s">
        <v>207</v>
      </c>
      <c r="J158" s="335" t="s">
        <v>1270</v>
      </c>
      <c r="K158" s="335" t="s">
        <v>472</v>
      </c>
      <c r="L158" s="453" t="s">
        <v>1947</v>
      </c>
      <c r="M158" s="333" t="s">
        <v>1785</v>
      </c>
      <c r="N158" s="333">
        <v>0</v>
      </c>
      <c r="O158" s="333">
        <f>+P158</f>
        <v>100</v>
      </c>
      <c r="P158" s="332">
        <v>100</v>
      </c>
      <c r="Q158" s="393">
        <v>0.16500000000000001</v>
      </c>
      <c r="R158" s="342">
        <f t="shared" si="118"/>
        <v>4.1250000000000002E-2</v>
      </c>
      <c r="S158" s="459">
        <v>100</v>
      </c>
      <c r="T158" s="387">
        <f t="shared" si="119"/>
        <v>0.25</v>
      </c>
      <c r="U158" s="670">
        <v>100</v>
      </c>
      <c r="V158" s="388">
        <f t="shared" si="120"/>
        <v>25</v>
      </c>
      <c r="W158" s="356">
        <f t="shared" si="121"/>
        <v>100</v>
      </c>
      <c r="X158" s="356">
        <f t="shared" si="122"/>
        <v>100</v>
      </c>
      <c r="Y158" s="356">
        <f t="shared" si="155"/>
        <v>4.1250000000000002E-2</v>
      </c>
      <c r="Z158" s="356">
        <f t="shared" si="123"/>
        <v>100</v>
      </c>
      <c r="AA158" s="313">
        <v>0</v>
      </c>
      <c r="AB158" s="313">
        <v>0</v>
      </c>
      <c r="AC158" s="313">
        <v>0</v>
      </c>
      <c r="AD158" s="313">
        <v>0</v>
      </c>
      <c r="AE158" s="313">
        <v>0</v>
      </c>
      <c r="AF158" s="313">
        <v>0</v>
      </c>
      <c r="AG158" s="313">
        <v>0</v>
      </c>
      <c r="AH158" s="313">
        <v>0</v>
      </c>
      <c r="AI158" s="313">
        <v>0</v>
      </c>
      <c r="AJ158" s="313">
        <v>0</v>
      </c>
      <c r="AK158" s="313">
        <v>0</v>
      </c>
      <c r="AL158" s="313">
        <v>0</v>
      </c>
      <c r="AM158" s="313">
        <v>0</v>
      </c>
      <c r="AN158" s="313">
        <v>0</v>
      </c>
      <c r="AO158" s="313">
        <v>0</v>
      </c>
      <c r="AP158" s="313">
        <v>0</v>
      </c>
      <c r="AQ158" s="313">
        <v>0</v>
      </c>
      <c r="AR158" s="313">
        <v>0</v>
      </c>
      <c r="AS158" s="313">
        <v>0</v>
      </c>
      <c r="AT158" s="392">
        <f t="shared" si="124"/>
        <v>4.1250000000000002E-2</v>
      </c>
      <c r="AU158" s="333">
        <v>100</v>
      </c>
      <c r="AV158" s="387">
        <f t="shared" si="125"/>
        <v>0.25</v>
      </c>
      <c r="AW158" s="677">
        <v>100</v>
      </c>
      <c r="AX158" s="366">
        <f t="shared" si="126"/>
        <v>25</v>
      </c>
      <c r="AY158" s="366">
        <f t="shared" si="127"/>
        <v>100</v>
      </c>
      <c r="AZ158" s="366">
        <f t="shared" si="128"/>
        <v>100</v>
      </c>
      <c r="BA158" s="354">
        <f t="shared" si="129"/>
        <v>4.1250000000000002E-2</v>
      </c>
      <c r="BB158" s="354">
        <f t="shared" si="130"/>
        <v>100</v>
      </c>
      <c r="BC158" s="353">
        <v>0</v>
      </c>
      <c r="BD158" s="353">
        <v>0</v>
      </c>
      <c r="BE158" s="353">
        <v>0</v>
      </c>
      <c r="BF158" s="353">
        <v>0</v>
      </c>
      <c r="BG158" s="353">
        <v>0</v>
      </c>
      <c r="BH158" s="353">
        <v>0</v>
      </c>
      <c r="BI158" s="353">
        <v>0</v>
      </c>
      <c r="BJ158" s="353">
        <v>0</v>
      </c>
      <c r="BK158" s="452">
        <v>0</v>
      </c>
      <c r="BL158" s="351">
        <v>0</v>
      </c>
      <c r="BM158" s="351">
        <v>0</v>
      </c>
      <c r="BN158" s="351">
        <v>0</v>
      </c>
      <c r="BO158" s="351">
        <v>0</v>
      </c>
      <c r="BP158" s="351">
        <v>0</v>
      </c>
      <c r="BQ158" s="351">
        <v>0</v>
      </c>
      <c r="BR158" s="351">
        <v>0</v>
      </c>
      <c r="BS158" s="351">
        <v>0</v>
      </c>
      <c r="BT158" s="351">
        <v>0</v>
      </c>
      <c r="BU158" s="351">
        <v>0</v>
      </c>
      <c r="BV158" s="350">
        <f t="shared" si="131"/>
        <v>4.1250000000000002E-2</v>
      </c>
      <c r="BW158" s="350">
        <v>100</v>
      </c>
      <c r="BX158" s="385">
        <f t="shared" si="132"/>
        <v>0.25</v>
      </c>
      <c r="BY158" s="399">
        <v>0</v>
      </c>
      <c r="BZ158" s="398">
        <v>0</v>
      </c>
      <c r="CA158" s="690">
        <v>100</v>
      </c>
      <c r="CB158" s="324">
        <f t="shared" si="133"/>
        <v>25</v>
      </c>
      <c r="CC158" s="324">
        <f t="shared" si="134"/>
        <v>100</v>
      </c>
      <c r="CD158" s="384">
        <f t="shared" si="135"/>
        <v>100</v>
      </c>
      <c r="CE158" s="383">
        <f t="shared" si="136"/>
        <v>4.1250000000000002E-2</v>
      </c>
      <c r="CF158" s="367">
        <f t="shared" si="137"/>
        <v>100</v>
      </c>
      <c r="CG158" s="383">
        <f t="shared" si="138"/>
        <v>4.1250000000000002E-2</v>
      </c>
      <c r="CH158" s="320">
        <f t="shared" si="139"/>
        <v>4.1250000000000002E-2</v>
      </c>
      <c r="CI158" s="319">
        <v>100</v>
      </c>
      <c r="CJ158" s="318">
        <f t="shared" si="140"/>
        <v>0.25</v>
      </c>
      <c r="CK158" s="1259">
        <v>0</v>
      </c>
      <c r="CL158" s="301">
        <f t="shared" si="141"/>
        <v>100</v>
      </c>
      <c r="CM158" s="381">
        <f t="shared" si="142"/>
        <v>0</v>
      </c>
      <c r="CN158" s="381">
        <f t="shared" si="143"/>
        <v>0</v>
      </c>
      <c r="CO158" s="381">
        <f t="shared" si="144"/>
        <v>0</v>
      </c>
      <c r="CP158" s="381">
        <f t="shared" si="145"/>
        <v>0</v>
      </c>
      <c r="CQ158" s="381">
        <f t="shared" si="146"/>
        <v>0</v>
      </c>
      <c r="CR158" s="313">
        <v>0</v>
      </c>
      <c r="CS158" s="313">
        <v>0</v>
      </c>
      <c r="CT158" s="313">
        <v>0</v>
      </c>
      <c r="CU158" s="313">
        <v>0</v>
      </c>
      <c r="CV158" s="313">
        <v>0</v>
      </c>
      <c r="CW158" s="313">
        <v>0</v>
      </c>
      <c r="CX158" s="313">
        <v>0</v>
      </c>
      <c r="CY158" s="313">
        <v>0</v>
      </c>
      <c r="CZ158" s="380">
        <v>0</v>
      </c>
      <c r="DA158" s="380">
        <v>0</v>
      </c>
      <c r="DB158" s="380">
        <v>0</v>
      </c>
      <c r="DC158" s="380">
        <v>0</v>
      </c>
      <c r="DD158" s="380">
        <v>0</v>
      </c>
      <c r="DE158" s="380">
        <v>0</v>
      </c>
      <c r="DF158" s="380">
        <v>0</v>
      </c>
      <c r="DG158" s="380">
        <v>0</v>
      </c>
      <c r="DH158" s="380">
        <v>0</v>
      </c>
      <c r="DI158" s="380">
        <v>0</v>
      </c>
      <c r="DJ158" s="380">
        <v>0</v>
      </c>
      <c r="DK158" s="702">
        <f t="shared" si="147"/>
        <v>75</v>
      </c>
      <c r="DL158" s="311">
        <f t="shared" si="148"/>
        <v>0.16500000000000001</v>
      </c>
      <c r="DM158" s="310">
        <f t="shared" si="149"/>
        <v>75</v>
      </c>
      <c r="DN158" s="356">
        <f t="shared" si="150"/>
        <v>75</v>
      </c>
      <c r="DO158" s="308">
        <f t="shared" si="151"/>
        <v>0.12375</v>
      </c>
      <c r="DP158" s="359">
        <f>+IF(M158="M",DO158,0)</f>
        <v>0.12375</v>
      </c>
      <c r="DQ158" s="306">
        <f t="shared" si="152"/>
        <v>0.12375</v>
      </c>
      <c r="DR158" s="379">
        <f t="shared" si="153"/>
        <v>1</v>
      </c>
      <c r="DS158" s="378">
        <f t="shared" si="154"/>
        <v>0</v>
      </c>
      <c r="DT158" s="173">
        <v>179</v>
      </c>
      <c r="DU158" s="174" t="s">
        <v>446</v>
      </c>
      <c r="DV158" s="173"/>
      <c r="DW158" s="174" t="s">
        <v>84</v>
      </c>
      <c r="DX158" s="173"/>
      <c r="DY158" s="173"/>
      <c r="DZ158" s="173"/>
      <c r="EA158" s="665"/>
      <c r="EB158" s="1254" t="s">
        <v>2432</v>
      </c>
      <c r="EC158" s="537">
        <v>275000000</v>
      </c>
      <c r="EE158" s="735">
        <v>0</v>
      </c>
      <c r="EF158" s="706"/>
    </row>
    <row r="159" spans="4:136" s="302" customFormat="1" ht="72" hidden="1">
      <c r="D159" s="520">
        <v>156</v>
      </c>
      <c r="E159" s="534">
        <v>195</v>
      </c>
      <c r="F159" s="523" t="s">
        <v>43</v>
      </c>
      <c r="G159" s="523" t="s">
        <v>11</v>
      </c>
      <c r="H159" s="524" t="s">
        <v>2656</v>
      </c>
      <c r="I159" s="462" t="s">
        <v>210</v>
      </c>
      <c r="J159" s="335" t="s">
        <v>473</v>
      </c>
      <c r="K159" s="335" t="s">
        <v>474</v>
      </c>
      <c r="L159" s="453" t="s">
        <v>1501</v>
      </c>
      <c r="M159" s="333" t="s">
        <v>1785</v>
      </c>
      <c r="N159" s="333">
        <v>597</v>
      </c>
      <c r="O159" s="333">
        <f>+P159</f>
        <v>630</v>
      </c>
      <c r="P159" s="332">
        <v>630</v>
      </c>
      <c r="Q159" s="390">
        <v>0.16500000000000001</v>
      </c>
      <c r="R159" s="342">
        <f t="shared" si="118"/>
        <v>4.1250000000000002E-2</v>
      </c>
      <c r="S159" s="459">
        <v>630</v>
      </c>
      <c r="T159" s="387">
        <f t="shared" si="119"/>
        <v>0.25</v>
      </c>
      <c r="U159" s="670">
        <v>763</v>
      </c>
      <c r="V159" s="388">
        <f t="shared" si="120"/>
        <v>190.75</v>
      </c>
      <c r="W159" s="356">
        <f t="shared" si="121"/>
        <v>121.11111111111111</v>
      </c>
      <c r="X159" s="356">
        <f t="shared" si="122"/>
        <v>100</v>
      </c>
      <c r="Y159" s="356">
        <f t="shared" si="155"/>
        <v>4.1250000000000002E-2</v>
      </c>
      <c r="Z159" s="356">
        <f t="shared" si="123"/>
        <v>100</v>
      </c>
      <c r="AA159" s="313">
        <v>7456000000</v>
      </c>
      <c r="AB159" s="313">
        <v>7456000000</v>
      </c>
      <c r="AC159" s="313">
        <v>0</v>
      </c>
      <c r="AD159" s="313">
        <v>0</v>
      </c>
      <c r="AE159" s="313">
        <v>0</v>
      </c>
      <c r="AF159" s="313">
        <v>0</v>
      </c>
      <c r="AG159" s="313">
        <v>0</v>
      </c>
      <c r="AH159" s="313">
        <v>0</v>
      </c>
      <c r="AI159" s="313">
        <v>7417842000</v>
      </c>
      <c r="AJ159" s="313">
        <v>7417842000</v>
      </c>
      <c r="AK159" s="313">
        <v>0</v>
      </c>
      <c r="AL159" s="313">
        <v>0</v>
      </c>
      <c r="AM159" s="313">
        <v>0</v>
      </c>
      <c r="AN159" s="313">
        <v>0</v>
      </c>
      <c r="AO159" s="313">
        <v>0</v>
      </c>
      <c r="AP159" s="313">
        <v>0</v>
      </c>
      <c r="AQ159" s="313">
        <v>0</v>
      </c>
      <c r="AR159" s="313">
        <v>0</v>
      </c>
      <c r="AS159" s="313">
        <v>0</v>
      </c>
      <c r="AT159" s="333">
        <f t="shared" si="124"/>
        <v>4.1250000000000002E-2</v>
      </c>
      <c r="AU159" s="333">
        <v>630</v>
      </c>
      <c r="AV159" s="387">
        <f t="shared" si="125"/>
        <v>0.25</v>
      </c>
      <c r="AW159" s="677">
        <v>782</v>
      </c>
      <c r="AX159" s="366">
        <f t="shared" si="126"/>
        <v>195.5</v>
      </c>
      <c r="AY159" s="366">
        <f t="shared" si="127"/>
        <v>124.12698412698413</v>
      </c>
      <c r="AZ159" s="366">
        <f t="shared" si="128"/>
        <v>100</v>
      </c>
      <c r="BA159" s="354">
        <f t="shared" si="129"/>
        <v>4.1250000000000002E-2</v>
      </c>
      <c r="BB159" s="354">
        <f t="shared" si="130"/>
        <v>100</v>
      </c>
      <c r="BC159" s="353">
        <v>0</v>
      </c>
      <c r="BD159" s="353">
        <v>0</v>
      </c>
      <c r="BE159" s="353">
        <v>0</v>
      </c>
      <c r="BF159" s="353">
        <v>0</v>
      </c>
      <c r="BG159" s="353">
        <v>0</v>
      </c>
      <c r="BH159" s="353">
        <v>0</v>
      </c>
      <c r="BI159" s="353">
        <v>0</v>
      </c>
      <c r="BJ159" s="353">
        <v>0</v>
      </c>
      <c r="BK159" s="452">
        <v>6972008178</v>
      </c>
      <c r="BL159" s="351">
        <v>6972008178</v>
      </c>
      <c r="BM159" s="351">
        <v>0</v>
      </c>
      <c r="BN159" s="351">
        <v>0</v>
      </c>
      <c r="BO159" s="351">
        <v>0</v>
      </c>
      <c r="BP159" s="351">
        <v>0</v>
      </c>
      <c r="BQ159" s="351">
        <v>0</v>
      </c>
      <c r="BR159" s="351">
        <v>0</v>
      </c>
      <c r="BS159" s="351">
        <v>0</v>
      </c>
      <c r="BT159" s="351">
        <v>0</v>
      </c>
      <c r="BU159" s="351">
        <v>0</v>
      </c>
      <c r="BV159" s="350">
        <f t="shared" si="131"/>
        <v>4.1250000000000002E-2</v>
      </c>
      <c r="BW159" s="350">
        <v>630</v>
      </c>
      <c r="BX159" s="385">
        <f t="shared" si="132"/>
        <v>0.25</v>
      </c>
      <c r="BY159" s="369">
        <v>726</v>
      </c>
      <c r="BZ159" s="391">
        <v>734</v>
      </c>
      <c r="CA159" s="689">
        <v>772</v>
      </c>
      <c r="CB159" s="324">
        <f t="shared" si="133"/>
        <v>193</v>
      </c>
      <c r="CC159" s="324">
        <f t="shared" si="134"/>
        <v>122.53968253968254</v>
      </c>
      <c r="CD159" s="384">
        <f t="shared" si="135"/>
        <v>100</v>
      </c>
      <c r="CE159" s="383">
        <f t="shared" si="136"/>
        <v>4.1250000000000002E-2</v>
      </c>
      <c r="CF159" s="367">
        <f t="shared" si="137"/>
        <v>100</v>
      </c>
      <c r="CG159" s="383">
        <f t="shared" si="138"/>
        <v>5.0547619047619056E-2</v>
      </c>
      <c r="CH159" s="320">
        <f t="shared" si="139"/>
        <v>4.1250000000000002E-2</v>
      </c>
      <c r="CI159" s="319">
        <v>630</v>
      </c>
      <c r="CJ159" s="318">
        <f t="shared" si="140"/>
        <v>0.25</v>
      </c>
      <c r="CK159" s="1259">
        <v>1477</v>
      </c>
      <c r="CL159" s="301">
        <f t="shared" si="141"/>
        <v>-847</v>
      </c>
      <c r="CM159" s="381">
        <f t="shared" si="142"/>
        <v>369.25</v>
      </c>
      <c r="CN159" s="381">
        <f t="shared" si="143"/>
        <v>234.44444444444446</v>
      </c>
      <c r="CO159" s="381">
        <f t="shared" si="144"/>
        <v>100</v>
      </c>
      <c r="CP159" s="381">
        <f t="shared" si="145"/>
        <v>4.1250000000000002E-2</v>
      </c>
      <c r="CQ159" s="381">
        <f t="shared" si="146"/>
        <v>9.6708333333333341E-2</v>
      </c>
      <c r="CR159" s="313">
        <v>0</v>
      </c>
      <c r="CS159" s="313">
        <v>0</v>
      </c>
      <c r="CT159" s="313">
        <v>0</v>
      </c>
      <c r="CU159" s="313">
        <v>0</v>
      </c>
      <c r="CV159" s="313">
        <v>0</v>
      </c>
      <c r="CW159" s="313">
        <v>0</v>
      </c>
      <c r="CX159" s="313">
        <v>0</v>
      </c>
      <c r="CY159" s="313">
        <v>0</v>
      </c>
      <c r="CZ159" s="380">
        <v>0</v>
      </c>
      <c r="DA159" s="380">
        <v>0</v>
      </c>
      <c r="DB159" s="380">
        <v>0</v>
      </c>
      <c r="DC159" s="380">
        <v>0</v>
      </c>
      <c r="DD159" s="380">
        <v>0</v>
      </c>
      <c r="DE159" s="380">
        <v>0</v>
      </c>
      <c r="DF159" s="380">
        <v>0</v>
      </c>
      <c r="DG159" s="380">
        <v>0</v>
      </c>
      <c r="DH159" s="380">
        <v>0</v>
      </c>
      <c r="DI159" s="380">
        <v>0</v>
      </c>
      <c r="DJ159" s="380">
        <v>0</v>
      </c>
      <c r="DK159" s="702">
        <f t="shared" si="147"/>
        <v>948.5</v>
      </c>
      <c r="DL159" s="311">
        <f t="shared" si="148"/>
        <v>0.16500000000000001</v>
      </c>
      <c r="DM159" s="310">
        <f t="shared" si="149"/>
        <v>150.55555555555554</v>
      </c>
      <c r="DN159" s="356">
        <f t="shared" si="150"/>
        <v>100</v>
      </c>
      <c r="DO159" s="308">
        <f t="shared" si="151"/>
        <v>0.16500000000000001</v>
      </c>
      <c r="DP159" s="359">
        <f>+IF(M159="M",DO159,0)</f>
        <v>0.16500000000000001</v>
      </c>
      <c r="DQ159" s="306">
        <f t="shared" si="152"/>
        <v>0.16500000000000001</v>
      </c>
      <c r="DR159" s="379">
        <f t="shared" si="153"/>
        <v>1</v>
      </c>
      <c r="DS159" s="378">
        <f t="shared" si="154"/>
        <v>0</v>
      </c>
      <c r="DT159" s="173">
        <v>179</v>
      </c>
      <c r="DU159" s="174" t="s">
        <v>446</v>
      </c>
      <c r="DV159" s="173"/>
      <c r="DW159" s="174" t="s">
        <v>84</v>
      </c>
      <c r="DX159" s="173"/>
      <c r="DY159" s="173"/>
      <c r="DZ159" s="173"/>
      <c r="EA159" s="665"/>
      <c r="EB159" s="1254" t="s">
        <v>2097</v>
      </c>
      <c r="EC159" s="537">
        <v>491000000</v>
      </c>
      <c r="EE159" s="739">
        <v>95</v>
      </c>
      <c r="EF159" s="706"/>
    </row>
    <row r="160" spans="4:136" s="302" customFormat="1" ht="51" hidden="1">
      <c r="D160" s="520">
        <v>157</v>
      </c>
      <c r="E160" s="534">
        <v>196</v>
      </c>
      <c r="F160" s="523" t="s">
        <v>43</v>
      </c>
      <c r="G160" s="523" t="s">
        <v>9</v>
      </c>
      <c r="H160" s="524" t="s">
        <v>2656</v>
      </c>
      <c r="I160" s="463" t="s">
        <v>210</v>
      </c>
      <c r="J160" s="335" t="s">
        <v>475</v>
      </c>
      <c r="K160" s="335" t="s">
        <v>476</v>
      </c>
      <c r="L160" s="453" t="s">
        <v>1947</v>
      </c>
      <c r="M160" s="333" t="s">
        <v>1785</v>
      </c>
      <c r="N160" s="333">
        <v>0</v>
      </c>
      <c r="O160" s="333">
        <f>+P160</f>
        <v>100</v>
      </c>
      <c r="P160" s="332">
        <v>100</v>
      </c>
      <c r="Q160" s="390">
        <v>0.16500000000000001</v>
      </c>
      <c r="R160" s="342">
        <f t="shared" si="118"/>
        <v>4.1250000000000002E-2</v>
      </c>
      <c r="S160" s="459">
        <v>100</v>
      </c>
      <c r="T160" s="387">
        <f t="shared" si="119"/>
        <v>0.25</v>
      </c>
      <c r="U160" s="670">
        <v>100</v>
      </c>
      <c r="V160" s="388">
        <f t="shared" si="120"/>
        <v>25</v>
      </c>
      <c r="W160" s="356">
        <f t="shared" si="121"/>
        <v>100</v>
      </c>
      <c r="X160" s="356">
        <f t="shared" si="122"/>
        <v>100</v>
      </c>
      <c r="Y160" s="356">
        <f t="shared" si="155"/>
        <v>4.1250000000000002E-2</v>
      </c>
      <c r="Z160" s="356">
        <f t="shared" si="123"/>
        <v>100</v>
      </c>
      <c r="AA160" s="313">
        <v>0</v>
      </c>
      <c r="AB160" s="313">
        <v>0</v>
      </c>
      <c r="AC160" s="313">
        <v>0</v>
      </c>
      <c r="AD160" s="313">
        <v>0</v>
      </c>
      <c r="AE160" s="313">
        <v>0</v>
      </c>
      <c r="AF160" s="313">
        <v>0</v>
      </c>
      <c r="AG160" s="313">
        <v>0</v>
      </c>
      <c r="AH160" s="313">
        <v>0</v>
      </c>
      <c r="AI160" s="313">
        <v>0</v>
      </c>
      <c r="AJ160" s="313">
        <v>0</v>
      </c>
      <c r="AK160" s="313">
        <v>0</v>
      </c>
      <c r="AL160" s="313">
        <v>0</v>
      </c>
      <c r="AM160" s="313">
        <v>0</v>
      </c>
      <c r="AN160" s="313">
        <v>0</v>
      </c>
      <c r="AO160" s="313">
        <v>0</v>
      </c>
      <c r="AP160" s="313">
        <v>0</v>
      </c>
      <c r="AQ160" s="313">
        <v>0</v>
      </c>
      <c r="AR160" s="313">
        <v>0</v>
      </c>
      <c r="AS160" s="313">
        <v>0</v>
      </c>
      <c r="AT160" s="342">
        <f t="shared" si="124"/>
        <v>4.1250000000000002E-2</v>
      </c>
      <c r="AU160" s="333">
        <v>100</v>
      </c>
      <c r="AV160" s="387">
        <f t="shared" si="125"/>
        <v>0.25</v>
      </c>
      <c r="AW160" s="677">
        <v>100</v>
      </c>
      <c r="AX160" s="366">
        <f t="shared" si="126"/>
        <v>25</v>
      </c>
      <c r="AY160" s="366">
        <f t="shared" si="127"/>
        <v>100</v>
      </c>
      <c r="AZ160" s="366">
        <f t="shared" si="128"/>
        <v>100</v>
      </c>
      <c r="BA160" s="354">
        <f t="shared" si="129"/>
        <v>4.1250000000000002E-2</v>
      </c>
      <c r="BB160" s="354">
        <f t="shared" si="130"/>
        <v>100</v>
      </c>
      <c r="BC160" s="353">
        <v>0</v>
      </c>
      <c r="BD160" s="353">
        <v>0</v>
      </c>
      <c r="BE160" s="353">
        <v>0</v>
      </c>
      <c r="BF160" s="353">
        <v>0</v>
      </c>
      <c r="BG160" s="353">
        <v>0</v>
      </c>
      <c r="BH160" s="353">
        <v>0</v>
      </c>
      <c r="BI160" s="353">
        <v>0</v>
      </c>
      <c r="BJ160" s="353">
        <v>0</v>
      </c>
      <c r="BK160" s="452">
        <v>0</v>
      </c>
      <c r="BL160" s="351">
        <v>0</v>
      </c>
      <c r="BM160" s="351">
        <v>0</v>
      </c>
      <c r="BN160" s="351">
        <v>0</v>
      </c>
      <c r="BO160" s="351">
        <v>0</v>
      </c>
      <c r="BP160" s="351">
        <v>0</v>
      </c>
      <c r="BQ160" s="351">
        <v>0</v>
      </c>
      <c r="BR160" s="351">
        <v>0</v>
      </c>
      <c r="BS160" s="351">
        <v>0</v>
      </c>
      <c r="BT160" s="351">
        <v>0</v>
      </c>
      <c r="BU160" s="351">
        <v>0</v>
      </c>
      <c r="BV160" s="350">
        <f t="shared" si="131"/>
        <v>4.1250000000000002E-2</v>
      </c>
      <c r="BW160" s="350">
        <v>100</v>
      </c>
      <c r="BX160" s="385">
        <f t="shared" si="132"/>
        <v>0.25</v>
      </c>
      <c r="BY160" s="369">
        <v>116</v>
      </c>
      <c r="BZ160" s="391">
        <v>100</v>
      </c>
      <c r="CA160" s="689">
        <v>100</v>
      </c>
      <c r="CB160" s="324">
        <f t="shared" si="133"/>
        <v>25</v>
      </c>
      <c r="CC160" s="324">
        <f t="shared" si="134"/>
        <v>100</v>
      </c>
      <c r="CD160" s="384">
        <f t="shared" si="135"/>
        <v>100</v>
      </c>
      <c r="CE160" s="383">
        <f t="shared" si="136"/>
        <v>4.1250000000000002E-2</v>
      </c>
      <c r="CF160" s="367">
        <f t="shared" si="137"/>
        <v>100</v>
      </c>
      <c r="CG160" s="383">
        <f t="shared" si="138"/>
        <v>4.1250000000000002E-2</v>
      </c>
      <c r="CH160" s="320">
        <f t="shared" si="139"/>
        <v>4.1250000000000002E-2</v>
      </c>
      <c r="CI160" s="319">
        <v>100</v>
      </c>
      <c r="CJ160" s="318">
        <f t="shared" si="140"/>
        <v>0.25</v>
      </c>
      <c r="CK160" s="1258">
        <v>100</v>
      </c>
      <c r="CL160" s="301">
        <f t="shared" si="141"/>
        <v>0</v>
      </c>
      <c r="CM160" s="381">
        <f t="shared" si="142"/>
        <v>25</v>
      </c>
      <c r="CN160" s="381">
        <f t="shared" si="143"/>
        <v>100</v>
      </c>
      <c r="CO160" s="381">
        <f t="shared" si="144"/>
        <v>100</v>
      </c>
      <c r="CP160" s="381">
        <f t="shared" si="145"/>
        <v>4.1250000000000002E-2</v>
      </c>
      <c r="CQ160" s="381">
        <f t="shared" si="146"/>
        <v>4.1250000000000002E-2</v>
      </c>
      <c r="CR160" s="313">
        <v>0</v>
      </c>
      <c r="CS160" s="313">
        <v>0</v>
      </c>
      <c r="CT160" s="313">
        <v>0</v>
      </c>
      <c r="CU160" s="313">
        <v>0</v>
      </c>
      <c r="CV160" s="313">
        <v>0</v>
      </c>
      <c r="CW160" s="313">
        <v>0</v>
      </c>
      <c r="CX160" s="313">
        <v>0</v>
      </c>
      <c r="CY160" s="313">
        <v>0</v>
      </c>
      <c r="CZ160" s="380">
        <v>0</v>
      </c>
      <c r="DA160" s="380">
        <v>0</v>
      </c>
      <c r="DB160" s="380">
        <v>0</v>
      </c>
      <c r="DC160" s="380">
        <v>0</v>
      </c>
      <c r="DD160" s="380">
        <v>0</v>
      </c>
      <c r="DE160" s="380">
        <v>0</v>
      </c>
      <c r="DF160" s="380">
        <v>0</v>
      </c>
      <c r="DG160" s="380">
        <v>0</v>
      </c>
      <c r="DH160" s="380">
        <v>0</v>
      </c>
      <c r="DI160" s="380">
        <v>0</v>
      </c>
      <c r="DJ160" s="380">
        <v>0</v>
      </c>
      <c r="DK160" s="702">
        <f t="shared" si="147"/>
        <v>100</v>
      </c>
      <c r="DL160" s="311">
        <f t="shared" si="148"/>
        <v>0.16500000000000001</v>
      </c>
      <c r="DM160" s="310">
        <f t="shared" si="149"/>
        <v>100</v>
      </c>
      <c r="DN160" s="356">
        <f t="shared" si="150"/>
        <v>100</v>
      </c>
      <c r="DO160" s="308">
        <f t="shared" si="151"/>
        <v>0.16500000000000001</v>
      </c>
      <c r="DP160" s="359">
        <f>+IF(M160="M",DO160,0)</f>
        <v>0.16500000000000001</v>
      </c>
      <c r="DQ160" s="306">
        <f t="shared" si="152"/>
        <v>0.16500000000000001</v>
      </c>
      <c r="DR160" s="379">
        <f t="shared" si="153"/>
        <v>1</v>
      </c>
      <c r="DS160" s="378">
        <f t="shared" si="154"/>
        <v>0</v>
      </c>
      <c r="DT160" s="173">
        <v>177</v>
      </c>
      <c r="DU160" s="174" t="s">
        <v>124</v>
      </c>
      <c r="DV160" s="173"/>
      <c r="DW160" s="174" t="s">
        <v>84</v>
      </c>
      <c r="DX160" s="173"/>
      <c r="DY160" s="173"/>
      <c r="DZ160" s="173"/>
      <c r="EA160" s="665"/>
      <c r="EB160" s="1254" t="s">
        <v>2098</v>
      </c>
      <c r="EC160" s="537">
        <v>0</v>
      </c>
      <c r="EE160" s="734">
        <v>626</v>
      </c>
      <c r="EF160" s="706"/>
    </row>
    <row r="161" spans="4:136" s="302" customFormat="1" ht="102" hidden="1">
      <c r="D161" s="520">
        <v>158</v>
      </c>
      <c r="E161" s="534">
        <v>197</v>
      </c>
      <c r="F161" s="523" t="s">
        <v>43</v>
      </c>
      <c r="G161" s="523" t="s">
        <v>7</v>
      </c>
      <c r="H161" s="524" t="s">
        <v>2656</v>
      </c>
      <c r="I161" s="462" t="s">
        <v>210</v>
      </c>
      <c r="J161" s="335" t="s">
        <v>477</v>
      </c>
      <c r="K161" s="335" t="s">
        <v>478</v>
      </c>
      <c r="L161" s="454" t="s">
        <v>1415</v>
      </c>
      <c r="M161" s="333" t="s">
        <v>1771</v>
      </c>
      <c r="N161" s="333">
        <v>0</v>
      </c>
      <c r="O161" s="333">
        <f t="shared" ref="O161:O170" si="158">+N161+P161</f>
        <v>35</v>
      </c>
      <c r="P161" s="332">
        <v>35</v>
      </c>
      <c r="Q161" s="390">
        <v>0.16500000000000001</v>
      </c>
      <c r="R161" s="342">
        <f t="shared" si="118"/>
        <v>0</v>
      </c>
      <c r="S161" s="459">
        <v>0</v>
      </c>
      <c r="T161" s="387">
        <f t="shared" si="119"/>
        <v>0</v>
      </c>
      <c r="U161" s="670">
        <v>0</v>
      </c>
      <c r="V161" s="388">
        <f t="shared" si="120"/>
        <v>0</v>
      </c>
      <c r="W161" s="356">
        <f t="shared" si="121"/>
        <v>0</v>
      </c>
      <c r="X161" s="356">
        <f t="shared" si="122"/>
        <v>0</v>
      </c>
      <c r="Y161" s="356">
        <f t="shared" si="155"/>
        <v>0</v>
      </c>
      <c r="Z161" s="356">
        <f t="shared" si="123"/>
        <v>0</v>
      </c>
      <c r="AA161" s="313">
        <v>0</v>
      </c>
      <c r="AB161" s="313">
        <v>0</v>
      </c>
      <c r="AC161" s="313">
        <v>0</v>
      </c>
      <c r="AD161" s="313">
        <v>0</v>
      </c>
      <c r="AE161" s="313">
        <v>0</v>
      </c>
      <c r="AF161" s="313">
        <v>0</v>
      </c>
      <c r="AG161" s="313">
        <v>0</v>
      </c>
      <c r="AH161" s="313">
        <v>0</v>
      </c>
      <c r="AI161" s="313">
        <v>0</v>
      </c>
      <c r="AJ161" s="313">
        <v>0</v>
      </c>
      <c r="AK161" s="313">
        <v>0</v>
      </c>
      <c r="AL161" s="313">
        <v>0</v>
      </c>
      <c r="AM161" s="313">
        <v>0</v>
      </c>
      <c r="AN161" s="313">
        <v>0</v>
      </c>
      <c r="AO161" s="313">
        <v>0</v>
      </c>
      <c r="AP161" s="313">
        <v>0</v>
      </c>
      <c r="AQ161" s="313">
        <v>0</v>
      </c>
      <c r="AR161" s="313">
        <v>0</v>
      </c>
      <c r="AS161" s="313">
        <v>0</v>
      </c>
      <c r="AT161" s="333">
        <f t="shared" si="124"/>
        <v>6.1285714285714291E-2</v>
      </c>
      <c r="AU161" s="333">
        <v>13</v>
      </c>
      <c r="AV161" s="387">
        <f t="shared" si="125"/>
        <v>0.37142857142857144</v>
      </c>
      <c r="AW161" s="677">
        <v>13</v>
      </c>
      <c r="AX161" s="366">
        <f t="shared" si="126"/>
        <v>13</v>
      </c>
      <c r="AY161" s="366">
        <f t="shared" si="127"/>
        <v>100</v>
      </c>
      <c r="AZ161" s="366">
        <f t="shared" si="128"/>
        <v>100</v>
      </c>
      <c r="BA161" s="354">
        <f t="shared" si="129"/>
        <v>6.1285714285714291E-2</v>
      </c>
      <c r="BB161" s="354">
        <f t="shared" si="130"/>
        <v>100</v>
      </c>
      <c r="BC161" s="353">
        <v>0</v>
      </c>
      <c r="BD161" s="353">
        <v>0</v>
      </c>
      <c r="BE161" s="353">
        <v>0</v>
      </c>
      <c r="BF161" s="353">
        <v>0</v>
      </c>
      <c r="BG161" s="353">
        <v>0</v>
      </c>
      <c r="BH161" s="353">
        <v>0</v>
      </c>
      <c r="BI161" s="353">
        <v>0</v>
      </c>
      <c r="BJ161" s="353">
        <v>0</v>
      </c>
      <c r="BK161" s="452">
        <v>70000000</v>
      </c>
      <c r="BL161" s="351">
        <v>70000000</v>
      </c>
      <c r="BM161" s="351">
        <v>0</v>
      </c>
      <c r="BN161" s="351">
        <v>0</v>
      </c>
      <c r="BO161" s="351">
        <v>0</v>
      </c>
      <c r="BP161" s="351">
        <v>0</v>
      </c>
      <c r="BQ161" s="351">
        <v>0</v>
      </c>
      <c r="BR161" s="351">
        <v>0</v>
      </c>
      <c r="BS161" s="351">
        <v>0</v>
      </c>
      <c r="BT161" s="351">
        <v>35000000</v>
      </c>
      <c r="BU161" s="351" t="s">
        <v>2331</v>
      </c>
      <c r="BV161" s="350">
        <f t="shared" si="131"/>
        <v>4.7142857142857139E-2</v>
      </c>
      <c r="BW161" s="350">
        <v>10</v>
      </c>
      <c r="BX161" s="385">
        <f t="shared" si="132"/>
        <v>0.2857142857142857</v>
      </c>
      <c r="BY161" s="399">
        <v>0</v>
      </c>
      <c r="BZ161" s="398">
        <v>11</v>
      </c>
      <c r="CA161" s="690">
        <v>12</v>
      </c>
      <c r="CB161" s="324">
        <f t="shared" si="133"/>
        <v>12</v>
      </c>
      <c r="CC161" s="324">
        <f t="shared" si="134"/>
        <v>120</v>
      </c>
      <c r="CD161" s="384">
        <f t="shared" si="135"/>
        <v>100</v>
      </c>
      <c r="CE161" s="383">
        <f t="shared" si="136"/>
        <v>4.7142857142857132E-2</v>
      </c>
      <c r="CF161" s="367">
        <f t="shared" si="137"/>
        <v>100</v>
      </c>
      <c r="CG161" s="383">
        <f t="shared" si="138"/>
        <v>5.6571428571428564E-2</v>
      </c>
      <c r="CH161" s="320">
        <f t="shared" si="139"/>
        <v>5.6571428571428578E-2</v>
      </c>
      <c r="CI161" s="319">
        <v>12</v>
      </c>
      <c r="CJ161" s="318">
        <f t="shared" si="140"/>
        <v>0.34285714285714286</v>
      </c>
      <c r="CK161" s="1258">
        <v>11</v>
      </c>
      <c r="CL161" s="301">
        <f t="shared" si="141"/>
        <v>1</v>
      </c>
      <c r="CM161" s="381">
        <f t="shared" si="142"/>
        <v>11</v>
      </c>
      <c r="CN161" s="381">
        <f t="shared" si="143"/>
        <v>91.666666666666671</v>
      </c>
      <c r="CO161" s="316">
        <f t="shared" si="144"/>
        <v>91.666666666666671</v>
      </c>
      <c r="CP161" s="381">
        <f t="shared" si="145"/>
        <v>5.1857142857142866E-2</v>
      </c>
      <c r="CQ161" s="381">
        <f t="shared" si="146"/>
        <v>5.1857142857142866E-2</v>
      </c>
      <c r="CR161" s="313">
        <v>0</v>
      </c>
      <c r="CS161" s="313">
        <v>0</v>
      </c>
      <c r="CT161" s="313">
        <v>0</v>
      </c>
      <c r="CU161" s="313">
        <v>0</v>
      </c>
      <c r="CV161" s="313">
        <v>0</v>
      </c>
      <c r="CW161" s="313">
        <v>0</v>
      </c>
      <c r="CX161" s="313">
        <v>0</v>
      </c>
      <c r="CY161" s="313">
        <v>0</v>
      </c>
      <c r="CZ161" s="380">
        <v>0</v>
      </c>
      <c r="DA161" s="380">
        <v>0</v>
      </c>
      <c r="DB161" s="380">
        <v>0</v>
      </c>
      <c r="DC161" s="380">
        <v>0</v>
      </c>
      <c r="DD161" s="380">
        <v>0</v>
      </c>
      <c r="DE161" s="380">
        <v>0</v>
      </c>
      <c r="DF161" s="380">
        <v>0</v>
      </c>
      <c r="DG161" s="380">
        <v>0</v>
      </c>
      <c r="DH161" s="380">
        <v>0</v>
      </c>
      <c r="DI161" s="380">
        <v>0</v>
      </c>
      <c r="DJ161" s="380">
        <v>0</v>
      </c>
      <c r="DK161" s="702">
        <f t="shared" si="147"/>
        <v>36</v>
      </c>
      <c r="DL161" s="311">
        <f t="shared" si="148"/>
        <v>0.16500000000000001</v>
      </c>
      <c r="DM161" s="310">
        <f t="shared" si="149"/>
        <v>102.85714285714286</v>
      </c>
      <c r="DN161" s="356">
        <f t="shared" si="150"/>
        <v>100</v>
      </c>
      <c r="DO161" s="308">
        <f t="shared" si="151"/>
        <v>0.16500000000000001</v>
      </c>
      <c r="DP161" s="359">
        <f t="shared" ref="DP161:DP170" si="159">+IF(((DN161*Q161)/100)&lt;Q161, ((DN161*Q161)/100),Q161)</f>
        <v>0.16500000000000001</v>
      </c>
      <c r="DQ161" s="306">
        <f t="shared" si="152"/>
        <v>0.16500000000000001</v>
      </c>
      <c r="DR161" s="379">
        <f t="shared" si="153"/>
        <v>1</v>
      </c>
      <c r="DS161" s="378">
        <f t="shared" si="154"/>
        <v>0</v>
      </c>
      <c r="DT161" s="173">
        <v>179</v>
      </c>
      <c r="DU161" s="174" t="s">
        <v>446</v>
      </c>
      <c r="DV161" s="173"/>
      <c r="DW161" s="174" t="s">
        <v>84</v>
      </c>
      <c r="DX161" s="173"/>
      <c r="DY161" s="173"/>
      <c r="DZ161" s="173"/>
      <c r="EA161" s="665"/>
      <c r="EB161" s="1254" t="s">
        <v>3234</v>
      </c>
      <c r="EC161" s="537">
        <v>0</v>
      </c>
      <c r="EE161" s="734">
        <v>0</v>
      </c>
      <c r="EF161" s="706"/>
    </row>
    <row r="162" spans="4:136" s="302" customFormat="1" ht="51" hidden="1">
      <c r="D162" s="520">
        <v>159</v>
      </c>
      <c r="E162" s="534">
        <v>198</v>
      </c>
      <c r="F162" s="523" t="s">
        <v>43</v>
      </c>
      <c r="G162" s="523" t="s">
        <v>9</v>
      </c>
      <c r="H162" s="524" t="s">
        <v>2655</v>
      </c>
      <c r="I162" s="462" t="s">
        <v>210</v>
      </c>
      <c r="J162" s="335" t="s">
        <v>479</v>
      </c>
      <c r="K162" s="335" t="s">
        <v>480</v>
      </c>
      <c r="L162" s="454" t="s">
        <v>1415</v>
      </c>
      <c r="M162" s="333" t="s">
        <v>1771</v>
      </c>
      <c r="N162" s="333">
        <v>0</v>
      </c>
      <c r="O162" s="333">
        <f t="shared" si="158"/>
        <v>116</v>
      </c>
      <c r="P162" s="332">
        <v>116</v>
      </c>
      <c r="Q162" s="390">
        <v>0.16500000000000001</v>
      </c>
      <c r="R162" s="342">
        <f t="shared" si="118"/>
        <v>0</v>
      </c>
      <c r="S162" s="459">
        <v>0</v>
      </c>
      <c r="T162" s="387">
        <f t="shared" si="119"/>
        <v>0</v>
      </c>
      <c r="U162" s="670">
        <v>0</v>
      </c>
      <c r="V162" s="388">
        <f t="shared" si="120"/>
        <v>0</v>
      </c>
      <c r="W162" s="356">
        <f t="shared" si="121"/>
        <v>0</v>
      </c>
      <c r="X162" s="356">
        <f t="shared" si="122"/>
        <v>0</v>
      </c>
      <c r="Y162" s="356">
        <f t="shared" si="155"/>
        <v>0</v>
      </c>
      <c r="Z162" s="356">
        <f t="shared" si="123"/>
        <v>0</v>
      </c>
      <c r="AA162" s="313">
        <v>0</v>
      </c>
      <c r="AB162" s="313">
        <v>0</v>
      </c>
      <c r="AC162" s="313">
        <v>0</v>
      </c>
      <c r="AD162" s="313">
        <v>0</v>
      </c>
      <c r="AE162" s="313">
        <v>0</v>
      </c>
      <c r="AF162" s="313">
        <v>0</v>
      </c>
      <c r="AG162" s="313">
        <v>0</v>
      </c>
      <c r="AH162" s="313">
        <v>0</v>
      </c>
      <c r="AI162" s="313">
        <v>0</v>
      </c>
      <c r="AJ162" s="313">
        <v>0</v>
      </c>
      <c r="AK162" s="313">
        <v>0</v>
      </c>
      <c r="AL162" s="313">
        <v>0</v>
      </c>
      <c r="AM162" s="313">
        <v>0</v>
      </c>
      <c r="AN162" s="313">
        <v>0</v>
      </c>
      <c r="AO162" s="313">
        <v>0</v>
      </c>
      <c r="AP162" s="313">
        <v>0</v>
      </c>
      <c r="AQ162" s="313">
        <v>0</v>
      </c>
      <c r="AR162" s="313">
        <v>0</v>
      </c>
      <c r="AS162" s="313">
        <v>0</v>
      </c>
      <c r="AT162" s="342">
        <f t="shared" si="124"/>
        <v>0.16500000000000001</v>
      </c>
      <c r="AU162" s="333">
        <v>116</v>
      </c>
      <c r="AV162" s="387">
        <f t="shared" si="125"/>
        <v>1</v>
      </c>
      <c r="AW162" s="677">
        <v>116</v>
      </c>
      <c r="AX162" s="366">
        <f t="shared" si="126"/>
        <v>116</v>
      </c>
      <c r="AY162" s="366">
        <f t="shared" si="127"/>
        <v>100</v>
      </c>
      <c r="AZ162" s="366">
        <f t="shared" si="128"/>
        <v>100</v>
      </c>
      <c r="BA162" s="354">
        <f t="shared" si="129"/>
        <v>0.16500000000000001</v>
      </c>
      <c r="BB162" s="354">
        <f t="shared" si="130"/>
        <v>100</v>
      </c>
      <c r="BC162" s="353">
        <v>50000000</v>
      </c>
      <c r="BD162" s="353">
        <v>0</v>
      </c>
      <c r="BE162" s="353">
        <v>50000000</v>
      </c>
      <c r="BF162" s="353">
        <v>0</v>
      </c>
      <c r="BG162" s="353">
        <v>0</v>
      </c>
      <c r="BH162" s="353">
        <v>0</v>
      </c>
      <c r="BI162" s="353">
        <v>0</v>
      </c>
      <c r="BJ162" s="353">
        <v>0</v>
      </c>
      <c r="BK162" s="452">
        <v>0</v>
      </c>
      <c r="BL162" s="351">
        <v>0</v>
      </c>
      <c r="BM162" s="351">
        <v>0</v>
      </c>
      <c r="BN162" s="351">
        <v>0</v>
      </c>
      <c r="BO162" s="351">
        <v>0</v>
      </c>
      <c r="BP162" s="351">
        <v>0</v>
      </c>
      <c r="BQ162" s="351">
        <v>0</v>
      </c>
      <c r="BR162" s="351">
        <v>0</v>
      </c>
      <c r="BS162" s="351">
        <v>0</v>
      </c>
      <c r="BT162" s="351">
        <v>0</v>
      </c>
      <c r="BU162" s="351">
        <v>0</v>
      </c>
      <c r="BV162" s="350">
        <f t="shared" si="131"/>
        <v>0</v>
      </c>
      <c r="BW162" s="350">
        <v>0</v>
      </c>
      <c r="BX162" s="385">
        <f t="shared" si="132"/>
        <v>0</v>
      </c>
      <c r="BY162" s="369">
        <v>116</v>
      </c>
      <c r="BZ162" s="391">
        <v>0</v>
      </c>
      <c r="CA162" s="689">
        <v>0</v>
      </c>
      <c r="CB162" s="324">
        <f t="shared" si="133"/>
        <v>0</v>
      </c>
      <c r="CC162" s="324">
        <f t="shared" si="134"/>
        <v>0</v>
      </c>
      <c r="CD162" s="384">
        <f t="shared" si="135"/>
        <v>0</v>
      </c>
      <c r="CE162" s="383">
        <f t="shared" si="136"/>
        <v>0</v>
      </c>
      <c r="CF162" s="367">
        <f t="shared" si="137"/>
        <v>0</v>
      </c>
      <c r="CG162" s="383">
        <f t="shared" si="138"/>
        <v>0</v>
      </c>
      <c r="CH162" s="320">
        <f t="shared" si="139"/>
        <v>0</v>
      </c>
      <c r="CI162" s="319">
        <v>0</v>
      </c>
      <c r="CJ162" s="318">
        <f t="shared" si="140"/>
        <v>0</v>
      </c>
      <c r="CK162" s="1258">
        <v>100</v>
      </c>
      <c r="CL162" s="301">
        <f t="shared" si="141"/>
        <v>-100</v>
      </c>
      <c r="CM162" s="381">
        <f t="shared" si="142"/>
        <v>100</v>
      </c>
      <c r="CN162" s="381">
        <f t="shared" si="143"/>
        <v>0</v>
      </c>
      <c r="CO162" s="316">
        <f t="shared" si="144"/>
        <v>0</v>
      </c>
      <c r="CP162" s="381">
        <f t="shared" si="145"/>
        <v>0</v>
      </c>
      <c r="CQ162" s="381">
        <f t="shared" si="146"/>
        <v>0</v>
      </c>
      <c r="CR162" s="313">
        <v>0</v>
      </c>
      <c r="CS162" s="313">
        <v>0</v>
      </c>
      <c r="CT162" s="313">
        <v>0</v>
      </c>
      <c r="CU162" s="313">
        <v>0</v>
      </c>
      <c r="CV162" s="313">
        <v>0</v>
      </c>
      <c r="CW162" s="313">
        <v>0</v>
      </c>
      <c r="CX162" s="313">
        <v>0</v>
      </c>
      <c r="CY162" s="313">
        <v>0</v>
      </c>
      <c r="CZ162" s="380">
        <v>0</v>
      </c>
      <c r="DA162" s="380">
        <v>0</v>
      </c>
      <c r="DB162" s="380">
        <v>0</v>
      </c>
      <c r="DC162" s="380">
        <v>0</v>
      </c>
      <c r="DD162" s="380">
        <v>0</v>
      </c>
      <c r="DE162" s="380">
        <v>0</v>
      </c>
      <c r="DF162" s="380">
        <v>0</v>
      </c>
      <c r="DG162" s="380">
        <v>0</v>
      </c>
      <c r="DH162" s="380">
        <v>0</v>
      </c>
      <c r="DI162" s="380">
        <v>0</v>
      </c>
      <c r="DJ162" s="380">
        <v>0</v>
      </c>
      <c r="DK162" s="702">
        <f t="shared" si="147"/>
        <v>216</v>
      </c>
      <c r="DL162" s="311">
        <f t="shared" si="148"/>
        <v>0.16500000000000001</v>
      </c>
      <c r="DM162" s="310">
        <f t="shared" si="149"/>
        <v>186.20689655172413</v>
      </c>
      <c r="DN162" s="356">
        <f t="shared" si="150"/>
        <v>100</v>
      </c>
      <c r="DO162" s="308">
        <f t="shared" si="151"/>
        <v>0.16500000000000001</v>
      </c>
      <c r="DP162" s="359">
        <f t="shared" si="159"/>
        <v>0.16500000000000001</v>
      </c>
      <c r="DQ162" s="306">
        <f t="shared" si="152"/>
        <v>0.16500000000000001</v>
      </c>
      <c r="DR162" s="379">
        <f t="shared" si="153"/>
        <v>1</v>
      </c>
      <c r="DS162" s="378">
        <f t="shared" si="154"/>
        <v>0</v>
      </c>
      <c r="DT162" s="173">
        <v>177</v>
      </c>
      <c r="DU162" s="174" t="s">
        <v>124</v>
      </c>
      <c r="DV162" s="173"/>
      <c r="DW162" s="174" t="s">
        <v>84</v>
      </c>
      <c r="DX162" s="173"/>
      <c r="DY162" s="173"/>
      <c r="DZ162" s="173"/>
      <c r="EA162" s="665"/>
      <c r="EB162" s="1254" t="s">
        <v>2099</v>
      </c>
      <c r="EC162" s="537">
        <v>0</v>
      </c>
      <c r="EE162" s="734">
        <v>146</v>
      </c>
      <c r="EF162" s="706"/>
    </row>
    <row r="163" spans="4:136" s="302" customFormat="1" ht="89.25" hidden="1">
      <c r="D163" s="520">
        <v>160</v>
      </c>
      <c r="E163" s="534">
        <v>204</v>
      </c>
      <c r="F163" s="523" t="s">
        <v>43</v>
      </c>
      <c r="G163" s="523" t="s">
        <v>14</v>
      </c>
      <c r="H163" s="524" t="s">
        <v>2657</v>
      </c>
      <c r="I163" s="462" t="s">
        <v>80</v>
      </c>
      <c r="J163" s="335" t="s">
        <v>481</v>
      </c>
      <c r="K163" s="335" t="s">
        <v>482</v>
      </c>
      <c r="L163" s="454" t="s">
        <v>1463</v>
      </c>
      <c r="M163" s="333" t="s">
        <v>1771</v>
      </c>
      <c r="N163" s="333">
        <v>500</v>
      </c>
      <c r="O163" s="333">
        <f t="shared" si="158"/>
        <v>1000</v>
      </c>
      <c r="P163" s="332">
        <v>500</v>
      </c>
      <c r="Q163" s="390">
        <v>0.16500000000000001</v>
      </c>
      <c r="R163" s="342">
        <f t="shared" si="118"/>
        <v>2.9700000000000001E-2</v>
      </c>
      <c r="S163" s="459">
        <v>90</v>
      </c>
      <c r="T163" s="387">
        <f t="shared" si="119"/>
        <v>0.18</v>
      </c>
      <c r="U163" s="670">
        <v>0</v>
      </c>
      <c r="V163" s="388">
        <f t="shared" si="120"/>
        <v>0</v>
      </c>
      <c r="W163" s="356">
        <f t="shared" si="121"/>
        <v>0</v>
      </c>
      <c r="X163" s="356">
        <f t="shared" si="122"/>
        <v>0</v>
      </c>
      <c r="Y163" s="356">
        <f t="shared" si="155"/>
        <v>0</v>
      </c>
      <c r="Z163" s="356">
        <f t="shared" si="123"/>
        <v>0</v>
      </c>
      <c r="AA163" s="313">
        <v>0</v>
      </c>
      <c r="AB163" s="313">
        <v>0</v>
      </c>
      <c r="AC163" s="313">
        <v>0</v>
      </c>
      <c r="AD163" s="313">
        <v>0</v>
      </c>
      <c r="AE163" s="313">
        <v>0</v>
      </c>
      <c r="AF163" s="313">
        <v>0</v>
      </c>
      <c r="AG163" s="313">
        <v>0</v>
      </c>
      <c r="AH163" s="313">
        <v>0</v>
      </c>
      <c r="AI163" s="313">
        <v>0</v>
      </c>
      <c r="AJ163" s="313">
        <v>0</v>
      </c>
      <c r="AK163" s="313">
        <v>0</v>
      </c>
      <c r="AL163" s="313">
        <v>0</v>
      </c>
      <c r="AM163" s="313">
        <v>0</v>
      </c>
      <c r="AN163" s="313">
        <v>0</v>
      </c>
      <c r="AO163" s="313">
        <v>0</v>
      </c>
      <c r="AP163" s="313">
        <v>0</v>
      </c>
      <c r="AQ163" s="313">
        <v>0</v>
      </c>
      <c r="AR163" s="313">
        <v>0</v>
      </c>
      <c r="AS163" s="313">
        <v>0</v>
      </c>
      <c r="AT163" s="333">
        <f t="shared" si="124"/>
        <v>1.6500000000000001E-2</v>
      </c>
      <c r="AU163" s="333">
        <v>50</v>
      </c>
      <c r="AV163" s="387">
        <f t="shared" si="125"/>
        <v>0.1</v>
      </c>
      <c r="AW163" s="677">
        <v>145</v>
      </c>
      <c r="AX163" s="366">
        <f t="shared" si="126"/>
        <v>145</v>
      </c>
      <c r="AY163" s="366">
        <f t="shared" si="127"/>
        <v>290</v>
      </c>
      <c r="AZ163" s="366">
        <f t="shared" si="128"/>
        <v>100</v>
      </c>
      <c r="BA163" s="354">
        <f t="shared" si="129"/>
        <v>1.6500000000000001E-2</v>
      </c>
      <c r="BB163" s="354">
        <f t="shared" si="130"/>
        <v>100</v>
      </c>
      <c r="BC163" s="353">
        <v>130000000</v>
      </c>
      <c r="BD163" s="353">
        <v>0</v>
      </c>
      <c r="BE163" s="353">
        <v>130000000</v>
      </c>
      <c r="BF163" s="353">
        <v>0</v>
      </c>
      <c r="BG163" s="353">
        <v>0</v>
      </c>
      <c r="BH163" s="353">
        <v>0</v>
      </c>
      <c r="BI163" s="353">
        <v>0</v>
      </c>
      <c r="BJ163" s="353">
        <v>0</v>
      </c>
      <c r="BK163" s="452">
        <v>130000000</v>
      </c>
      <c r="BL163" s="351">
        <v>130000000</v>
      </c>
      <c r="BM163" s="351">
        <v>0</v>
      </c>
      <c r="BN163" s="351">
        <v>0</v>
      </c>
      <c r="BO163" s="351">
        <v>0</v>
      </c>
      <c r="BP163" s="351">
        <v>0</v>
      </c>
      <c r="BQ163" s="351">
        <v>0</v>
      </c>
      <c r="BR163" s="351">
        <v>0</v>
      </c>
      <c r="BS163" s="351">
        <v>0</v>
      </c>
      <c r="BT163" s="351">
        <v>0</v>
      </c>
      <c r="BU163" s="351">
        <v>0</v>
      </c>
      <c r="BV163" s="350">
        <f t="shared" si="131"/>
        <v>5.9400000000000001E-2</v>
      </c>
      <c r="BW163" s="350">
        <v>180</v>
      </c>
      <c r="BX163" s="385">
        <f t="shared" si="132"/>
        <v>0.36</v>
      </c>
      <c r="BY163" s="369">
        <v>0</v>
      </c>
      <c r="BZ163" s="391">
        <v>0</v>
      </c>
      <c r="CA163" s="689">
        <v>345</v>
      </c>
      <c r="CB163" s="324">
        <f t="shared" si="133"/>
        <v>345</v>
      </c>
      <c r="CC163" s="324">
        <f t="shared" si="134"/>
        <v>191.66666666666666</v>
      </c>
      <c r="CD163" s="384">
        <f t="shared" si="135"/>
        <v>100</v>
      </c>
      <c r="CE163" s="383">
        <f t="shared" si="136"/>
        <v>5.9400000000000001E-2</v>
      </c>
      <c r="CF163" s="367">
        <f t="shared" si="137"/>
        <v>100</v>
      </c>
      <c r="CG163" s="383">
        <f t="shared" si="138"/>
        <v>0.11384999999999999</v>
      </c>
      <c r="CH163" s="320">
        <f t="shared" si="139"/>
        <v>5.9400000000000001E-2</v>
      </c>
      <c r="CI163" s="319">
        <v>180</v>
      </c>
      <c r="CJ163" s="318">
        <f t="shared" si="140"/>
        <v>0.36</v>
      </c>
      <c r="CK163" s="1259">
        <v>0</v>
      </c>
      <c r="CL163" s="301">
        <f t="shared" si="141"/>
        <v>180</v>
      </c>
      <c r="CM163" s="381">
        <f t="shared" si="142"/>
        <v>0</v>
      </c>
      <c r="CN163" s="381">
        <f t="shared" si="143"/>
        <v>0</v>
      </c>
      <c r="CO163" s="316">
        <f t="shared" si="144"/>
        <v>0</v>
      </c>
      <c r="CP163" s="381">
        <f t="shared" si="145"/>
        <v>0</v>
      </c>
      <c r="CQ163" s="381">
        <f t="shared" si="146"/>
        <v>0</v>
      </c>
      <c r="CR163" s="313">
        <v>300000000</v>
      </c>
      <c r="CS163" s="313">
        <v>300000000</v>
      </c>
      <c r="CT163" s="313">
        <v>0</v>
      </c>
      <c r="CU163" s="313">
        <v>0</v>
      </c>
      <c r="CV163" s="313">
        <v>0</v>
      </c>
      <c r="CW163" s="313">
        <v>0</v>
      </c>
      <c r="CX163" s="313">
        <v>0</v>
      </c>
      <c r="CY163" s="313">
        <v>0</v>
      </c>
      <c r="CZ163" s="380">
        <v>0</v>
      </c>
      <c r="DA163" s="380">
        <v>0</v>
      </c>
      <c r="DB163" s="380">
        <v>0</v>
      </c>
      <c r="DC163" s="380">
        <v>0</v>
      </c>
      <c r="DD163" s="380">
        <v>0</v>
      </c>
      <c r="DE163" s="380">
        <v>0</v>
      </c>
      <c r="DF163" s="380">
        <v>0</v>
      </c>
      <c r="DG163" s="380">
        <v>0</v>
      </c>
      <c r="DH163" s="380">
        <v>0</v>
      </c>
      <c r="DI163" s="380">
        <v>0</v>
      </c>
      <c r="DJ163" s="380">
        <v>0</v>
      </c>
      <c r="DK163" s="702">
        <f t="shared" si="147"/>
        <v>490</v>
      </c>
      <c r="DL163" s="311">
        <f t="shared" si="148"/>
        <v>0.16500000000000001</v>
      </c>
      <c r="DM163" s="310">
        <f t="shared" si="149"/>
        <v>98</v>
      </c>
      <c r="DN163" s="356">
        <f t="shared" si="150"/>
        <v>98</v>
      </c>
      <c r="DO163" s="308">
        <f t="shared" si="151"/>
        <v>0.16170000000000001</v>
      </c>
      <c r="DP163" s="359">
        <f t="shared" si="159"/>
        <v>0.16170000000000001</v>
      </c>
      <c r="DQ163" s="306">
        <f t="shared" si="152"/>
        <v>0.16170000000000001</v>
      </c>
      <c r="DR163" s="379">
        <f t="shared" si="153"/>
        <v>1</v>
      </c>
      <c r="DS163" s="378">
        <f t="shared" si="154"/>
        <v>0</v>
      </c>
      <c r="DT163" s="173">
        <v>199</v>
      </c>
      <c r="DU163" s="174" t="s">
        <v>123</v>
      </c>
      <c r="DV163" s="173"/>
      <c r="DW163" s="174" t="s">
        <v>84</v>
      </c>
      <c r="DX163" s="173"/>
      <c r="DY163" s="173"/>
      <c r="DZ163" s="173"/>
      <c r="EA163" s="665"/>
      <c r="EB163" s="1254" t="s">
        <v>2373</v>
      </c>
      <c r="EC163" s="537">
        <v>6000000</v>
      </c>
      <c r="EE163" s="734">
        <v>0</v>
      </c>
      <c r="EF163" s="706"/>
    </row>
    <row r="164" spans="4:136" s="302" customFormat="1" ht="76.5" hidden="1">
      <c r="D164" s="520">
        <v>161</v>
      </c>
      <c r="E164" s="534">
        <v>205</v>
      </c>
      <c r="F164" s="523" t="s">
        <v>43</v>
      </c>
      <c r="G164" s="523" t="s">
        <v>14</v>
      </c>
      <c r="H164" s="524" t="s">
        <v>2657</v>
      </c>
      <c r="I164" s="462" t="s">
        <v>80</v>
      </c>
      <c r="J164" s="335" t="s">
        <v>483</v>
      </c>
      <c r="K164" s="335" t="s">
        <v>484</v>
      </c>
      <c r="L164" s="454" t="s">
        <v>1463</v>
      </c>
      <c r="M164" s="333" t="s">
        <v>1771</v>
      </c>
      <c r="N164" s="333">
        <v>2779</v>
      </c>
      <c r="O164" s="333">
        <f t="shared" si="158"/>
        <v>5779</v>
      </c>
      <c r="P164" s="332">
        <v>3000</v>
      </c>
      <c r="Q164" s="390">
        <v>0.25</v>
      </c>
      <c r="R164" s="342">
        <f t="shared" si="118"/>
        <v>1.6666666666666666E-2</v>
      </c>
      <c r="S164" s="459">
        <v>200</v>
      </c>
      <c r="T164" s="387">
        <f t="shared" si="119"/>
        <v>6.6666666666666666E-2</v>
      </c>
      <c r="U164" s="670">
        <v>734</v>
      </c>
      <c r="V164" s="388">
        <f t="shared" si="120"/>
        <v>734</v>
      </c>
      <c r="W164" s="356">
        <f t="shared" si="121"/>
        <v>367</v>
      </c>
      <c r="X164" s="356">
        <f t="shared" si="122"/>
        <v>100</v>
      </c>
      <c r="Y164" s="356">
        <f t="shared" si="155"/>
        <v>1.6666666666666666E-2</v>
      </c>
      <c r="Z164" s="356">
        <f t="shared" si="123"/>
        <v>100</v>
      </c>
      <c r="AA164" s="313">
        <v>712000000</v>
      </c>
      <c r="AB164" s="313">
        <v>712000000</v>
      </c>
      <c r="AC164" s="313">
        <v>0</v>
      </c>
      <c r="AD164" s="313">
        <v>0</v>
      </c>
      <c r="AE164" s="313">
        <v>0</v>
      </c>
      <c r="AF164" s="313">
        <v>0</v>
      </c>
      <c r="AG164" s="313">
        <v>0</v>
      </c>
      <c r="AH164" s="313">
        <v>0</v>
      </c>
      <c r="AI164" s="313">
        <v>12142615000</v>
      </c>
      <c r="AJ164" s="313">
        <v>2341069000</v>
      </c>
      <c r="AK164" s="313">
        <v>0</v>
      </c>
      <c r="AL164" s="313">
        <v>9801546000</v>
      </c>
      <c r="AM164" s="313">
        <v>0</v>
      </c>
      <c r="AN164" s="313">
        <v>0</v>
      </c>
      <c r="AO164" s="313">
        <v>0</v>
      </c>
      <c r="AP164" s="313">
        <v>0</v>
      </c>
      <c r="AQ164" s="313">
        <v>0</v>
      </c>
      <c r="AR164" s="313">
        <v>0</v>
      </c>
      <c r="AS164" s="313">
        <v>0</v>
      </c>
      <c r="AT164" s="333">
        <f t="shared" si="124"/>
        <v>8.3333333333333329E-2</v>
      </c>
      <c r="AU164" s="333">
        <v>1000</v>
      </c>
      <c r="AV164" s="387">
        <f t="shared" si="125"/>
        <v>0.33333333333333331</v>
      </c>
      <c r="AW164" s="677">
        <v>4090</v>
      </c>
      <c r="AX164" s="366">
        <f t="shared" si="126"/>
        <v>4090</v>
      </c>
      <c r="AY164" s="366">
        <f t="shared" si="127"/>
        <v>409</v>
      </c>
      <c r="AZ164" s="366">
        <f t="shared" si="128"/>
        <v>100</v>
      </c>
      <c r="BA164" s="354">
        <f t="shared" si="129"/>
        <v>8.3333333333333315E-2</v>
      </c>
      <c r="BB164" s="354">
        <f t="shared" si="130"/>
        <v>100</v>
      </c>
      <c r="BC164" s="353">
        <v>741000000</v>
      </c>
      <c r="BD164" s="353">
        <v>0</v>
      </c>
      <c r="BE164" s="353">
        <v>741000000</v>
      </c>
      <c r="BF164" s="353">
        <v>0</v>
      </c>
      <c r="BG164" s="353">
        <v>0</v>
      </c>
      <c r="BH164" s="353">
        <v>0</v>
      </c>
      <c r="BI164" s="353">
        <v>0</v>
      </c>
      <c r="BJ164" s="353">
        <v>0</v>
      </c>
      <c r="BK164" s="452">
        <v>14057581000</v>
      </c>
      <c r="BL164" s="351">
        <v>844267000</v>
      </c>
      <c r="BM164" s="351">
        <v>0</v>
      </c>
      <c r="BN164" s="351">
        <v>0</v>
      </c>
      <c r="BO164" s="351">
        <v>0</v>
      </c>
      <c r="BP164" s="351">
        <v>13213314000</v>
      </c>
      <c r="BQ164" s="351">
        <v>0</v>
      </c>
      <c r="BR164" s="351">
        <v>0</v>
      </c>
      <c r="BS164" s="351">
        <v>0</v>
      </c>
      <c r="BT164" s="351">
        <v>0</v>
      </c>
      <c r="BU164" s="351">
        <v>0</v>
      </c>
      <c r="BV164" s="350">
        <f t="shared" si="131"/>
        <v>8.3333333333333329E-2</v>
      </c>
      <c r="BW164" s="350">
        <v>1000</v>
      </c>
      <c r="BX164" s="385">
        <f t="shared" si="132"/>
        <v>0.33333333333333331</v>
      </c>
      <c r="BY164" s="369">
        <v>0</v>
      </c>
      <c r="BZ164" s="391">
        <v>0</v>
      </c>
      <c r="CA164" s="689">
        <v>149</v>
      </c>
      <c r="CB164" s="324">
        <f t="shared" si="133"/>
        <v>149</v>
      </c>
      <c r="CC164" s="324">
        <f t="shared" si="134"/>
        <v>14.9</v>
      </c>
      <c r="CD164" s="384">
        <f t="shared" si="135"/>
        <v>14.9</v>
      </c>
      <c r="CE164" s="383">
        <f t="shared" si="136"/>
        <v>1.2416666666666666E-2</v>
      </c>
      <c r="CF164" s="367">
        <f t="shared" si="137"/>
        <v>14.9</v>
      </c>
      <c r="CG164" s="383">
        <f t="shared" si="138"/>
        <v>1.2416666666666666E-2</v>
      </c>
      <c r="CH164" s="320">
        <f t="shared" si="139"/>
        <v>6.6666666666666666E-2</v>
      </c>
      <c r="CI164" s="319">
        <v>800</v>
      </c>
      <c r="CJ164" s="318">
        <f t="shared" si="140"/>
        <v>0.26666666666666666</v>
      </c>
      <c r="CK164" s="1259">
        <v>0</v>
      </c>
      <c r="CL164" s="301">
        <f t="shared" si="141"/>
        <v>800</v>
      </c>
      <c r="CM164" s="381">
        <f t="shared" si="142"/>
        <v>0</v>
      </c>
      <c r="CN164" s="381">
        <f t="shared" si="143"/>
        <v>0</v>
      </c>
      <c r="CO164" s="316">
        <f t="shared" si="144"/>
        <v>0</v>
      </c>
      <c r="CP164" s="381">
        <f t="shared" si="145"/>
        <v>0</v>
      </c>
      <c r="CQ164" s="381">
        <f t="shared" si="146"/>
        <v>0</v>
      </c>
      <c r="CR164" s="313">
        <v>1710000000</v>
      </c>
      <c r="CS164" s="313">
        <v>1710000000</v>
      </c>
      <c r="CT164" s="313">
        <v>0</v>
      </c>
      <c r="CU164" s="313">
        <v>0</v>
      </c>
      <c r="CV164" s="313">
        <v>0</v>
      </c>
      <c r="CW164" s="313">
        <v>0</v>
      </c>
      <c r="CX164" s="313">
        <v>0</v>
      </c>
      <c r="CY164" s="313">
        <v>0</v>
      </c>
      <c r="CZ164" s="380">
        <v>0</v>
      </c>
      <c r="DA164" s="380">
        <v>0</v>
      </c>
      <c r="DB164" s="380">
        <v>0</v>
      </c>
      <c r="DC164" s="380">
        <v>0</v>
      </c>
      <c r="DD164" s="380">
        <v>0</v>
      </c>
      <c r="DE164" s="380">
        <v>0</v>
      </c>
      <c r="DF164" s="380">
        <v>0</v>
      </c>
      <c r="DG164" s="380">
        <v>0</v>
      </c>
      <c r="DH164" s="380">
        <v>0</v>
      </c>
      <c r="DI164" s="380">
        <v>0</v>
      </c>
      <c r="DJ164" s="380">
        <v>0</v>
      </c>
      <c r="DK164" s="702">
        <f t="shared" si="147"/>
        <v>4973</v>
      </c>
      <c r="DL164" s="311">
        <f t="shared" si="148"/>
        <v>0.25</v>
      </c>
      <c r="DM164" s="310">
        <f t="shared" si="149"/>
        <v>165.76666666666668</v>
      </c>
      <c r="DN164" s="356">
        <f t="shared" si="150"/>
        <v>100</v>
      </c>
      <c r="DO164" s="308">
        <f t="shared" si="151"/>
        <v>0.25</v>
      </c>
      <c r="DP164" s="359">
        <f t="shared" si="159"/>
        <v>0.25</v>
      </c>
      <c r="DQ164" s="306">
        <f t="shared" si="152"/>
        <v>0.25</v>
      </c>
      <c r="DR164" s="379">
        <f t="shared" si="153"/>
        <v>1</v>
      </c>
      <c r="DS164" s="378">
        <f t="shared" si="154"/>
        <v>0</v>
      </c>
      <c r="DT164" s="173">
        <v>199</v>
      </c>
      <c r="DU164" s="174" t="s">
        <v>123</v>
      </c>
      <c r="DV164" s="173"/>
      <c r="DW164" s="174" t="s">
        <v>84</v>
      </c>
      <c r="DX164" s="173"/>
      <c r="DY164" s="173"/>
      <c r="DZ164" s="173"/>
      <c r="EA164" s="665"/>
      <c r="EB164" s="1254" t="s">
        <v>2374</v>
      </c>
      <c r="EC164" s="537">
        <v>140000000</v>
      </c>
      <c r="EE164" s="734">
        <v>1500</v>
      </c>
      <c r="EF164" s="706"/>
    </row>
    <row r="165" spans="4:136" s="302" customFormat="1" ht="127.5" hidden="1">
      <c r="D165" s="520">
        <v>162</v>
      </c>
      <c r="E165" s="534">
        <v>206</v>
      </c>
      <c r="F165" s="523" t="s">
        <v>43</v>
      </c>
      <c r="G165" s="523" t="s">
        <v>14</v>
      </c>
      <c r="H165" s="524" t="s">
        <v>2657</v>
      </c>
      <c r="I165" s="462" t="s">
        <v>80</v>
      </c>
      <c r="J165" s="335" t="s">
        <v>485</v>
      </c>
      <c r="K165" s="335" t="s">
        <v>486</v>
      </c>
      <c r="L165" s="454" t="s">
        <v>1463</v>
      </c>
      <c r="M165" s="333" t="s">
        <v>1771</v>
      </c>
      <c r="N165" s="333">
        <v>3860</v>
      </c>
      <c r="O165" s="333">
        <f t="shared" si="158"/>
        <v>8860</v>
      </c>
      <c r="P165" s="332">
        <v>5000</v>
      </c>
      <c r="Q165" s="390">
        <v>0.25</v>
      </c>
      <c r="R165" s="342">
        <f t="shared" si="118"/>
        <v>0.01</v>
      </c>
      <c r="S165" s="459">
        <v>200</v>
      </c>
      <c r="T165" s="387">
        <f t="shared" ref="T165:T178" si="160">IF($M165="M",0.25,(IF($P165&gt;0,S165/$P165," ")))</f>
        <v>0.04</v>
      </c>
      <c r="U165" s="670">
        <v>558</v>
      </c>
      <c r="V165" s="388">
        <f t="shared" ref="V165:V178" si="161">+IF(M165="I",(+U165),IF(M165="M",(+U165)/4,))</f>
        <v>558</v>
      </c>
      <c r="W165" s="356">
        <f t="shared" ref="W165:W178" si="162">IF(S165=0,0,+U165*100/S165)</f>
        <v>279</v>
      </c>
      <c r="X165" s="356">
        <f t="shared" si="122"/>
        <v>100</v>
      </c>
      <c r="Y165" s="356">
        <f t="shared" si="155"/>
        <v>0.01</v>
      </c>
      <c r="Z165" s="356">
        <f t="shared" si="123"/>
        <v>100</v>
      </c>
      <c r="AA165" s="313">
        <v>900000000</v>
      </c>
      <c r="AB165" s="313">
        <v>900000000</v>
      </c>
      <c r="AC165" s="313">
        <v>0</v>
      </c>
      <c r="AD165" s="313">
        <v>0</v>
      </c>
      <c r="AE165" s="313">
        <v>0</v>
      </c>
      <c r="AF165" s="313">
        <v>0</v>
      </c>
      <c r="AG165" s="313">
        <v>0</v>
      </c>
      <c r="AH165" s="313">
        <v>0</v>
      </c>
      <c r="AI165" s="313">
        <v>23310970000</v>
      </c>
      <c r="AJ165" s="313">
        <v>1319931000</v>
      </c>
      <c r="AK165" s="313">
        <v>0</v>
      </c>
      <c r="AL165" s="313">
        <v>21991039000</v>
      </c>
      <c r="AM165" s="313">
        <v>0</v>
      </c>
      <c r="AN165" s="313">
        <v>0</v>
      </c>
      <c r="AO165" s="313">
        <v>0</v>
      </c>
      <c r="AP165" s="313">
        <v>0</v>
      </c>
      <c r="AQ165" s="313">
        <v>0</v>
      </c>
      <c r="AR165" s="313">
        <v>0</v>
      </c>
      <c r="AS165" s="313">
        <v>0</v>
      </c>
      <c r="AT165" s="333">
        <f t="shared" si="124"/>
        <v>7.4999999999999997E-2</v>
      </c>
      <c r="AU165" s="333">
        <v>1500</v>
      </c>
      <c r="AV165" s="387">
        <f t="shared" ref="AV165:AV178" si="163">IF($M165="M",0.25,(IF($P165&gt;0,AU165/$P165," ")))</f>
        <v>0.3</v>
      </c>
      <c r="AW165" s="677">
        <v>455</v>
      </c>
      <c r="AX165" s="366">
        <f t="shared" ref="AX165:AX178" si="164">+IF(M165="I",(+AW165),IF(M165="M",(+AW165)/4,))</f>
        <v>455</v>
      </c>
      <c r="AY165" s="366">
        <f t="shared" ref="AY165:AY178" si="165">IF(AU165=0,0,+AW165*100/AU165)</f>
        <v>30.333333333333332</v>
      </c>
      <c r="AZ165" s="366">
        <f t="shared" si="128"/>
        <v>30.333333333333332</v>
      </c>
      <c r="BA165" s="354">
        <f t="shared" si="129"/>
        <v>2.2749999999999999E-2</v>
      </c>
      <c r="BB165" s="354">
        <f t="shared" si="130"/>
        <v>30.333333333333332</v>
      </c>
      <c r="BC165" s="353">
        <v>1170000000</v>
      </c>
      <c r="BD165" s="353">
        <v>0</v>
      </c>
      <c r="BE165" s="353">
        <v>1170000000</v>
      </c>
      <c r="BF165" s="353">
        <v>0</v>
      </c>
      <c r="BG165" s="353">
        <v>0</v>
      </c>
      <c r="BH165" s="353">
        <v>0</v>
      </c>
      <c r="BI165" s="353">
        <v>0</v>
      </c>
      <c r="BJ165" s="353">
        <v>0</v>
      </c>
      <c r="BK165" s="452">
        <v>1170000000</v>
      </c>
      <c r="BL165" s="351">
        <v>1170000000</v>
      </c>
      <c r="BM165" s="351">
        <v>0</v>
      </c>
      <c r="BN165" s="351">
        <v>0</v>
      </c>
      <c r="BO165" s="351">
        <v>0</v>
      </c>
      <c r="BP165" s="351">
        <v>0</v>
      </c>
      <c r="BQ165" s="351">
        <v>0</v>
      </c>
      <c r="BR165" s="351">
        <v>0</v>
      </c>
      <c r="BS165" s="351">
        <v>0</v>
      </c>
      <c r="BT165" s="351">
        <v>0</v>
      </c>
      <c r="BU165" s="351">
        <v>0</v>
      </c>
      <c r="BV165" s="350">
        <f t="shared" si="131"/>
        <v>7.4999999999999997E-2</v>
      </c>
      <c r="BW165" s="350">
        <v>1500</v>
      </c>
      <c r="BX165" s="385">
        <f t="shared" ref="BX165:BX178" si="166">IF($M165="M",0.25,(IF($P165&gt;0,BW165/$P165," ")))</f>
        <v>0.3</v>
      </c>
      <c r="BY165" s="369">
        <v>0</v>
      </c>
      <c r="BZ165" s="391">
        <v>0</v>
      </c>
      <c r="CA165" s="689">
        <v>481</v>
      </c>
      <c r="CB165" s="324">
        <f t="shared" ref="CB165:CB178" si="167">+IF(M165="I",(+CA165),IF(M165="M",(+CA165)/4,))</f>
        <v>481</v>
      </c>
      <c r="CC165" s="324">
        <f t="shared" ref="CC165:CC178" si="168">IF(BW165=0,0,+CA165*100/BW165)</f>
        <v>32.06666666666667</v>
      </c>
      <c r="CD165" s="384">
        <f t="shared" si="135"/>
        <v>32.06666666666667</v>
      </c>
      <c r="CE165" s="383">
        <f t="shared" si="136"/>
        <v>2.4050000000000002E-2</v>
      </c>
      <c r="CF165" s="367">
        <f t="shared" si="137"/>
        <v>32.06666666666667</v>
      </c>
      <c r="CG165" s="383">
        <f t="shared" si="138"/>
        <v>2.4050000000000002E-2</v>
      </c>
      <c r="CH165" s="320">
        <f t="shared" si="139"/>
        <v>0.09</v>
      </c>
      <c r="CI165" s="319">
        <v>1800</v>
      </c>
      <c r="CJ165" s="318">
        <f t="shared" ref="CJ165:CJ178" si="169">IF($M165="M",0.25,(IF($P165&gt;0,CI165/$P165," ")))</f>
        <v>0.36</v>
      </c>
      <c r="CK165" s="1259">
        <v>2819</v>
      </c>
      <c r="CL165" s="301">
        <f t="shared" ref="CL165:CL178" si="170">+CI165-CK165</f>
        <v>-1019</v>
      </c>
      <c r="CM165" s="381">
        <f t="shared" ref="CM165:CM178" si="171">+IF(M165="I",(+CK165),IF(M165="M",(+CK165)/4,))</f>
        <v>2819</v>
      </c>
      <c r="CN165" s="381">
        <f t="shared" ref="CN165:CN178" si="172">IF(CI165=0,0,+CK165*100/CI165)</f>
        <v>156.61111111111111</v>
      </c>
      <c r="CO165" s="316">
        <f t="shared" si="144"/>
        <v>100</v>
      </c>
      <c r="CP165" s="381">
        <f t="shared" si="145"/>
        <v>0.09</v>
      </c>
      <c r="CQ165" s="381">
        <f t="shared" si="146"/>
        <v>0.14095000000000002</v>
      </c>
      <c r="CR165" s="313">
        <v>2700000000</v>
      </c>
      <c r="CS165" s="313">
        <v>2700000000</v>
      </c>
      <c r="CT165" s="313">
        <v>0</v>
      </c>
      <c r="CU165" s="313">
        <v>0</v>
      </c>
      <c r="CV165" s="313">
        <v>0</v>
      </c>
      <c r="CW165" s="313">
        <v>0</v>
      </c>
      <c r="CX165" s="313">
        <v>0</v>
      </c>
      <c r="CY165" s="313">
        <v>0</v>
      </c>
      <c r="CZ165" s="380">
        <v>0</v>
      </c>
      <c r="DA165" s="380">
        <v>0</v>
      </c>
      <c r="DB165" s="380">
        <v>0</v>
      </c>
      <c r="DC165" s="380">
        <v>0</v>
      </c>
      <c r="DD165" s="380">
        <v>0</v>
      </c>
      <c r="DE165" s="380">
        <v>0</v>
      </c>
      <c r="DF165" s="380">
        <v>0</v>
      </c>
      <c r="DG165" s="380">
        <v>0</v>
      </c>
      <c r="DH165" s="380">
        <v>0</v>
      </c>
      <c r="DI165" s="380">
        <v>0</v>
      </c>
      <c r="DJ165" s="380">
        <v>0</v>
      </c>
      <c r="DK165" s="702">
        <f t="shared" ref="DK165:DK178" si="173">+IF(M165="I",(+U165+AW165+CA165+CK165),IF(M165="M",(+U165+AW165+CA165+CK165)/4,))</f>
        <v>4313</v>
      </c>
      <c r="DL165" s="311">
        <f t="shared" si="148"/>
        <v>0.24999999999999997</v>
      </c>
      <c r="DM165" s="310">
        <f t="shared" si="149"/>
        <v>86.26</v>
      </c>
      <c r="DN165" s="356">
        <f t="shared" si="150"/>
        <v>86.26</v>
      </c>
      <c r="DO165" s="308">
        <f t="shared" si="151"/>
        <v>0.21565000000000001</v>
      </c>
      <c r="DP165" s="359">
        <f t="shared" si="159"/>
        <v>0.21565000000000001</v>
      </c>
      <c r="DQ165" s="306">
        <f t="shared" si="152"/>
        <v>0.21565000000000001</v>
      </c>
      <c r="DR165" s="379">
        <f t="shared" si="153"/>
        <v>0.99999999999999989</v>
      </c>
      <c r="DS165" s="378">
        <f t="shared" si="154"/>
        <v>0</v>
      </c>
      <c r="DT165" s="173">
        <v>199</v>
      </c>
      <c r="DU165" s="174" t="s">
        <v>123</v>
      </c>
      <c r="DV165" s="173"/>
      <c r="DW165" s="174" t="s">
        <v>84</v>
      </c>
      <c r="DX165" s="173"/>
      <c r="DY165" s="173"/>
      <c r="DZ165" s="173"/>
      <c r="EA165" s="665"/>
      <c r="EB165" s="1254" t="s">
        <v>2375</v>
      </c>
      <c r="EC165" s="537">
        <v>0</v>
      </c>
      <c r="EE165" s="733">
        <v>100</v>
      </c>
      <c r="EF165" s="706"/>
    </row>
    <row r="166" spans="4:136" s="302" customFormat="1" ht="102" hidden="1">
      <c r="D166" s="520">
        <v>163</v>
      </c>
      <c r="E166" s="534">
        <v>207</v>
      </c>
      <c r="F166" s="336" t="s">
        <v>43</v>
      </c>
      <c r="G166" s="336" t="s">
        <v>14</v>
      </c>
      <c r="H166" s="524" t="s">
        <v>2657</v>
      </c>
      <c r="I166" s="336" t="s">
        <v>80</v>
      </c>
      <c r="J166" s="335" t="s">
        <v>1271</v>
      </c>
      <c r="K166" s="335" t="s">
        <v>487</v>
      </c>
      <c r="L166" s="454" t="s">
        <v>1463</v>
      </c>
      <c r="M166" s="333" t="s">
        <v>1771</v>
      </c>
      <c r="N166" s="333">
        <v>7758</v>
      </c>
      <c r="O166" s="333">
        <f t="shared" si="158"/>
        <v>13258</v>
      </c>
      <c r="P166" s="332">
        <v>5500</v>
      </c>
      <c r="Q166" s="393">
        <v>0.25</v>
      </c>
      <c r="R166" s="342">
        <f t="shared" si="118"/>
        <v>2.2727272727272728E-2</v>
      </c>
      <c r="S166" s="459">
        <v>500</v>
      </c>
      <c r="T166" s="387">
        <f t="shared" si="160"/>
        <v>9.0909090909090912E-2</v>
      </c>
      <c r="U166" s="670">
        <v>445</v>
      </c>
      <c r="V166" s="388">
        <f t="shared" si="161"/>
        <v>445</v>
      </c>
      <c r="W166" s="356">
        <f t="shared" si="162"/>
        <v>89</v>
      </c>
      <c r="X166" s="356">
        <f t="shared" si="122"/>
        <v>89</v>
      </c>
      <c r="Y166" s="356">
        <f t="shared" si="155"/>
        <v>2.0227272727272729E-2</v>
      </c>
      <c r="Z166" s="356">
        <f t="shared" si="123"/>
        <v>89</v>
      </c>
      <c r="AA166" s="313">
        <v>1000000000</v>
      </c>
      <c r="AB166" s="313">
        <v>1000000000</v>
      </c>
      <c r="AC166" s="313">
        <v>0</v>
      </c>
      <c r="AD166" s="313">
        <v>0</v>
      </c>
      <c r="AE166" s="313">
        <v>0</v>
      </c>
      <c r="AF166" s="313">
        <v>0</v>
      </c>
      <c r="AG166" s="313">
        <v>0</v>
      </c>
      <c r="AH166" s="313">
        <v>0</v>
      </c>
      <c r="AI166" s="313">
        <v>15366672000</v>
      </c>
      <c r="AJ166" s="313">
        <v>1231609000</v>
      </c>
      <c r="AK166" s="313">
        <v>0</v>
      </c>
      <c r="AL166" s="313">
        <v>14135063000</v>
      </c>
      <c r="AM166" s="313">
        <v>0</v>
      </c>
      <c r="AN166" s="313">
        <v>0</v>
      </c>
      <c r="AO166" s="313">
        <v>0</v>
      </c>
      <c r="AP166" s="313">
        <v>0</v>
      </c>
      <c r="AQ166" s="313">
        <v>0</v>
      </c>
      <c r="AR166" s="313">
        <v>0</v>
      </c>
      <c r="AS166" s="313">
        <v>0</v>
      </c>
      <c r="AT166" s="392">
        <f t="shared" si="124"/>
        <v>2.2727272727272728E-2</v>
      </c>
      <c r="AU166" s="333">
        <v>500</v>
      </c>
      <c r="AV166" s="387">
        <f t="shared" si="163"/>
        <v>9.0909090909090912E-2</v>
      </c>
      <c r="AW166" s="677">
        <v>544</v>
      </c>
      <c r="AX166" s="366">
        <f t="shared" si="164"/>
        <v>544</v>
      </c>
      <c r="AY166" s="366">
        <f t="shared" si="165"/>
        <v>108.8</v>
      </c>
      <c r="AZ166" s="366">
        <f t="shared" si="128"/>
        <v>100</v>
      </c>
      <c r="BA166" s="354">
        <f t="shared" si="129"/>
        <v>2.2727272727272728E-2</v>
      </c>
      <c r="BB166" s="354">
        <f t="shared" si="130"/>
        <v>100</v>
      </c>
      <c r="BC166" s="353">
        <v>4082000000</v>
      </c>
      <c r="BD166" s="353">
        <v>0</v>
      </c>
      <c r="BE166" s="353">
        <v>4082000000</v>
      </c>
      <c r="BF166" s="353">
        <v>0</v>
      </c>
      <c r="BG166" s="353">
        <v>0</v>
      </c>
      <c r="BH166" s="353">
        <v>0</v>
      </c>
      <c r="BI166" s="353">
        <v>0</v>
      </c>
      <c r="BJ166" s="353">
        <v>0</v>
      </c>
      <c r="BK166" s="452">
        <v>2109139287</v>
      </c>
      <c r="BL166" s="351">
        <v>2109139287</v>
      </c>
      <c r="BM166" s="351">
        <v>0</v>
      </c>
      <c r="BN166" s="351">
        <v>0</v>
      </c>
      <c r="BO166" s="351">
        <v>0</v>
      </c>
      <c r="BP166" s="351">
        <v>0</v>
      </c>
      <c r="BQ166" s="351">
        <v>0</v>
      </c>
      <c r="BR166" s="351">
        <v>0</v>
      </c>
      <c r="BS166" s="351">
        <v>0</v>
      </c>
      <c r="BT166" s="351">
        <v>0</v>
      </c>
      <c r="BU166" s="351">
        <v>0</v>
      </c>
      <c r="BV166" s="350">
        <f t="shared" si="131"/>
        <v>9.0909090909090912E-2</v>
      </c>
      <c r="BW166" s="350">
        <v>2000</v>
      </c>
      <c r="BX166" s="385">
        <f t="shared" si="166"/>
        <v>0.36363636363636365</v>
      </c>
      <c r="BY166" s="369">
        <v>0</v>
      </c>
      <c r="BZ166" s="391">
        <v>0</v>
      </c>
      <c r="CA166" s="689">
        <v>2260</v>
      </c>
      <c r="CB166" s="324">
        <f t="shared" si="167"/>
        <v>2260</v>
      </c>
      <c r="CC166" s="324">
        <f t="shared" si="168"/>
        <v>113</v>
      </c>
      <c r="CD166" s="384">
        <f t="shared" si="135"/>
        <v>100</v>
      </c>
      <c r="CE166" s="383">
        <f t="shared" si="136"/>
        <v>9.0909090909090912E-2</v>
      </c>
      <c r="CF166" s="367">
        <f t="shared" si="137"/>
        <v>100</v>
      </c>
      <c r="CG166" s="383">
        <f t="shared" si="138"/>
        <v>0.10272727272727274</v>
      </c>
      <c r="CH166" s="320">
        <f t="shared" si="139"/>
        <v>0.11363636363636363</v>
      </c>
      <c r="CI166" s="319">
        <v>2500</v>
      </c>
      <c r="CJ166" s="318">
        <f t="shared" si="169"/>
        <v>0.45454545454545453</v>
      </c>
      <c r="CK166" s="1259">
        <v>2008</v>
      </c>
      <c r="CL166" s="301">
        <f t="shared" si="170"/>
        <v>492</v>
      </c>
      <c r="CM166" s="381">
        <f t="shared" si="171"/>
        <v>2008</v>
      </c>
      <c r="CN166" s="381">
        <f t="shared" si="172"/>
        <v>80.319999999999993</v>
      </c>
      <c r="CO166" s="316">
        <f t="shared" si="144"/>
        <v>80.319999999999993</v>
      </c>
      <c r="CP166" s="381">
        <f t="shared" si="145"/>
        <v>9.1272727272727269E-2</v>
      </c>
      <c r="CQ166" s="381">
        <f t="shared" si="146"/>
        <v>9.1272727272727269E-2</v>
      </c>
      <c r="CR166" s="313">
        <v>9420000000</v>
      </c>
      <c r="CS166" s="313">
        <v>9420000000</v>
      </c>
      <c r="CT166" s="313">
        <v>0</v>
      </c>
      <c r="CU166" s="313">
        <v>0</v>
      </c>
      <c r="CV166" s="313">
        <v>0</v>
      </c>
      <c r="CW166" s="313">
        <v>0</v>
      </c>
      <c r="CX166" s="313">
        <v>0</v>
      </c>
      <c r="CY166" s="313">
        <v>0</v>
      </c>
      <c r="CZ166" s="380">
        <v>0</v>
      </c>
      <c r="DA166" s="380">
        <v>0</v>
      </c>
      <c r="DB166" s="380">
        <v>0</v>
      </c>
      <c r="DC166" s="380">
        <v>0</v>
      </c>
      <c r="DD166" s="380">
        <v>0</v>
      </c>
      <c r="DE166" s="380">
        <v>0</v>
      </c>
      <c r="DF166" s="380">
        <v>0</v>
      </c>
      <c r="DG166" s="380">
        <v>0</v>
      </c>
      <c r="DH166" s="380">
        <v>0</v>
      </c>
      <c r="DI166" s="380">
        <v>0</v>
      </c>
      <c r="DJ166" s="380">
        <v>0</v>
      </c>
      <c r="DK166" s="702">
        <f t="shared" si="173"/>
        <v>5257</v>
      </c>
      <c r="DL166" s="311">
        <f t="shared" si="148"/>
        <v>0.25</v>
      </c>
      <c r="DM166" s="310">
        <f t="shared" si="149"/>
        <v>95.581818181818178</v>
      </c>
      <c r="DN166" s="356">
        <f t="shared" si="150"/>
        <v>95.581818181818178</v>
      </c>
      <c r="DO166" s="308">
        <f t="shared" si="151"/>
        <v>0.23895454545454545</v>
      </c>
      <c r="DP166" s="359">
        <f t="shared" si="159"/>
        <v>0.23895454545454545</v>
      </c>
      <c r="DQ166" s="306">
        <f t="shared" si="152"/>
        <v>0.23895454545454545</v>
      </c>
      <c r="DR166" s="379">
        <f t="shared" si="153"/>
        <v>1</v>
      </c>
      <c r="DS166" s="378">
        <f t="shared" si="154"/>
        <v>0</v>
      </c>
      <c r="DT166" s="173">
        <v>199</v>
      </c>
      <c r="DU166" s="174" t="s">
        <v>123</v>
      </c>
      <c r="DV166" s="173"/>
      <c r="DW166" s="174" t="s">
        <v>84</v>
      </c>
      <c r="DX166" s="173"/>
      <c r="DY166" s="173"/>
      <c r="DZ166" s="173"/>
      <c r="EA166" s="665"/>
      <c r="EB166" s="1254" t="s">
        <v>2376</v>
      </c>
      <c r="EC166" s="537">
        <v>0</v>
      </c>
      <c r="EE166" s="733">
        <v>0</v>
      </c>
      <c r="EF166" s="706"/>
    </row>
    <row r="167" spans="4:136" s="302" customFormat="1" ht="76.5" hidden="1">
      <c r="D167" s="520">
        <v>164</v>
      </c>
      <c r="E167" s="534">
        <v>208</v>
      </c>
      <c r="F167" s="523" t="s">
        <v>43</v>
      </c>
      <c r="G167" s="523" t="s">
        <v>14</v>
      </c>
      <c r="H167" s="524" t="s">
        <v>2657</v>
      </c>
      <c r="I167" s="462" t="s">
        <v>80</v>
      </c>
      <c r="J167" s="335" t="s">
        <v>488</v>
      </c>
      <c r="K167" s="335" t="s">
        <v>489</v>
      </c>
      <c r="L167" s="454" t="s">
        <v>1463</v>
      </c>
      <c r="M167" s="333" t="s">
        <v>1771</v>
      </c>
      <c r="N167" s="333">
        <v>6110</v>
      </c>
      <c r="O167" s="333">
        <f t="shared" si="158"/>
        <v>7110</v>
      </c>
      <c r="P167" s="332">
        <v>1000</v>
      </c>
      <c r="Q167" s="390">
        <v>0.25</v>
      </c>
      <c r="R167" s="342">
        <f t="shared" si="118"/>
        <v>0.05</v>
      </c>
      <c r="S167" s="459">
        <v>200</v>
      </c>
      <c r="T167" s="387">
        <f t="shared" si="160"/>
        <v>0.2</v>
      </c>
      <c r="U167" s="670">
        <v>0</v>
      </c>
      <c r="V167" s="388">
        <f t="shared" si="161"/>
        <v>0</v>
      </c>
      <c r="W167" s="356">
        <f t="shared" si="162"/>
        <v>0</v>
      </c>
      <c r="X167" s="356">
        <f t="shared" si="122"/>
        <v>0</v>
      </c>
      <c r="Y167" s="356">
        <f t="shared" si="155"/>
        <v>0</v>
      </c>
      <c r="Z167" s="356">
        <f t="shared" si="123"/>
        <v>0</v>
      </c>
      <c r="AA167" s="313">
        <v>0</v>
      </c>
      <c r="AB167" s="313">
        <v>0</v>
      </c>
      <c r="AC167" s="313">
        <v>0</v>
      </c>
      <c r="AD167" s="313">
        <v>0</v>
      </c>
      <c r="AE167" s="313">
        <v>0</v>
      </c>
      <c r="AF167" s="313">
        <v>0</v>
      </c>
      <c r="AG167" s="313">
        <v>0</v>
      </c>
      <c r="AH167" s="313">
        <v>0</v>
      </c>
      <c r="AI167" s="313">
        <v>0</v>
      </c>
      <c r="AJ167" s="313">
        <v>0</v>
      </c>
      <c r="AK167" s="313">
        <v>0</v>
      </c>
      <c r="AL167" s="313">
        <v>0</v>
      </c>
      <c r="AM167" s="313">
        <v>0</v>
      </c>
      <c r="AN167" s="313">
        <v>0</v>
      </c>
      <c r="AO167" s="313">
        <v>0</v>
      </c>
      <c r="AP167" s="313">
        <v>0</v>
      </c>
      <c r="AQ167" s="313">
        <v>0</v>
      </c>
      <c r="AR167" s="313">
        <v>0</v>
      </c>
      <c r="AS167" s="313">
        <v>0</v>
      </c>
      <c r="AT167" s="333">
        <f t="shared" si="124"/>
        <v>0.05</v>
      </c>
      <c r="AU167" s="333">
        <v>200</v>
      </c>
      <c r="AV167" s="387">
        <f t="shared" si="163"/>
        <v>0.2</v>
      </c>
      <c r="AW167" s="677">
        <v>26</v>
      </c>
      <c r="AX167" s="366">
        <f t="shared" si="164"/>
        <v>26</v>
      </c>
      <c r="AY167" s="366">
        <f t="shared" si="165"/>
        <v>13</v>
      </c>
      <c r="AZ167" s="366">
        <f t="shared" si="128"/>
        <v>13</v>
      </c>
      <c r="BA167" s="354">
        <f t="shared" si="129"/>
        <v>6.5000000000000006E-3</v>
      </c>
      <c r="BB167" s="354">
        <f t="shared" si="130"/>
        <v>13</v>
      </c>
      <c r="BC167" s="353">
        <v>390000000</v>
      </c>
      <c r="BD167" s="353">
        <v>0</v>
      </c>
      <c r="BE167" s="353">
        <v>390000000</v>
      </c>
      <c r="BF167" s="353">
        <v>0</v>
      </c>
      <c r="BG167" s="353">
        <v>0</v>
      </c>
      <c r="BH167" s="353">
        <v>0</v>
      </c>
      <c r="BI167" s="353">
        <v>0</v>
      </c>
      <c r="BJ167" s="353">
        <v>0</v>
      </c>
      <c r="BK167" s="452">
        <v>61453500</v>
      </c>
      <c r="BL167" s="351">
        <v>61453500</v>
      </c>
      <c r="BM167" s="351">
        <v>0</v>
      </c>
      <c r="BN167" s="351">
        <v>0</v>
      </c>
      <c r="BO167" s="351">
        <v>0</v>
      </c>
      <c r="BP167" s="351">
        <v>0</v>
      </c>
      <c r="BQ167" s="351">
        <v>0</v>
      </c>
      <c r="BR167" s="351">
        <v>0</v>
      </c>
      <c r="BS167" s="351">
        <v>0</v>
      </c>
      <c r="BT167" s="351">
        <v>0</v>
      </c>
      <c r="BU167" s="351">
        <v>0</v>
      </c>
      <c r="BV167" s="350">
        <f t="shared" si="131"/>
        <v>0.1</v>
      </c>
      <c r="BW167" s="350">
        <v>400</v>
      </c>
      <c r="BX167" s="385">
        <f t="shared" si="166"/>
        <v>0.4</v>
      </c>
      <c r="BY167" s="369">
        <v>0</v>
      </c>
      <c r="BZ167" s="391">
        <v>0</v>
      </c>
      <c r="CA167" s="689">
        <v>701</v>
      </c>
      <c r="CB167" s="324">
        <f t="shared" si="167"/>
        <v>701</v>
      </c>
      <c r="CC167" s="324">
        <f t="shared" si="168"/>
        <v>175.25</v>
      </c>
      <c r="CD167" s="384">
        <f t="shared" si="135"/>
        <v>100</v>
      </c>
      <c r="CE167" s="383">
        <f t="shared" si="136"/>
        <v>0.1</v>
      </c>
      <c r="CF167" s="367">
        <f t="shared" si="137"/>
        <v>100</v>
      </c>
      <c r="CG167" s="383">
        <f t="shared" si="138"/>
        <v>0.17525000000000002</v>
      </c>
      <c r="CH167" s="320">
        <f t="shared" si="139"/>
        <v>0.05</v>
      </c>
      <c r="CI167" s="319">
        <v>200</v>
      </c>
      <c r="CJ167" s="318">
        <f t="shared" si="169"/>
        <v>0.2</v>
      </c>
      <c r="CK167" s="1259">
        <v>215</v>
      </c>
      <c r="CL167" s="301">
        <f t="shared" si="170"/>
        <v>-15</v>
      </c>
      <c r="CM167" s="381">
        <f t="shared" si="171"/>
        <v>215</v>
      </c>
      <c r="CN167" s="381">
        <f t="shared" si="172"/>
        <v>107.5</v>
      </c>
      <c r="CO167" s="316">
        <f t="shared" si="144"/>
        <v>100</v>
      </c>
      <c r="CP167" s="381">
        <f t="shared" si="145"/>
        <v>0.05</v>
      </c>
      <c r="CQ167" s="381">
        <f t="shared" si="146"/>
        <v>5.3749999999999999E-2</v>
      </c>
      <c r="CR167" s="313">
        <v>900000000</v>
      </c>
      <c r="CS167" s="313">
        <v>900000000</v>
      </c>
      <c r="CT167" s="313">
        <v>0</v>
      </c>
      <c r="CU167" s="313">
        <v>0</v>
      </c>
      <c r="CV167" s="313">
        <v>0</v>
      </c>
      <c r="CW167" s="313">
        <v>0</v>
      </c>
      <c r="CX167" s="313">
        <v>0</v>
      </c>
      <c r="CY167" s="313">
        <v>0</v>
      </c>
      <c r="CZ167" s="380">
        <v>0</v>
      </c>
      <c r="DA167" s="380">
        <v>0</v>
      </c>
      <c r="DB167" s="380">
        <v>0</v>
      </c>
      <c r="DC167" s="380">
        <v>0</v>
      </c>
      <c r="DD167" s="380">
        <v>0</v>
      </c>
      <c r="DE167" s="380">
        <v>0</v>
      </c>
      <c r="DF167" s="380">
        <v>0</v>
      </c>
      <c r="DG167" s="380">
        <v>0</v>
      </c>
      <c r="DH167" s="380">
        <v>0</v>
      </c>
      <c r="DI167" s="380">
        <v>0</v>
      </c>
      <c r="DJ167" s="380">
        <v>0</v>
      </c>
      <c r="DK167" s="702">
        <f t="shared" si="173"/>
        <v>942</v>
      </c>
      <c r="DL167" s="311">
        <f t="shared" si="148"/>
        <v>0.25</v>
      </c>
      <c r="DM167" s="310">
        <f t="shared" si="149"/>
        <v>94.2</v>
      </c>
      <c r="DN167" s="356">
        <f t="shared" si="150"/>
        <v>94.2</v>
      </c>
      <c r="DO167" s="308">
        <f t="shared" si="151"/>
        <v>0.23550000000000001</v>
      </c>
      <c r="DP167" s="359">
        <f t="shared" si="159"/>
        <v>0.23550000000000001</v>
      </c>
      <c r="DQ167" s="306">
        <f t="shared" si="152"/>
        <v>0.23550000000000001</v>
      </c>
      <c r="DR167" s="379">
        <f t="shared" si="153"/>
        <v>1</v>
      </c>
      <c r="DS167" s="378">
        <f t="shared" si="154"/>
        <v>0</v>
      </c>
      <c r="DT167" s="173">
        <v>199</v>
      </c>
      <c r="DU167" s="174" t="s">
        <v>123</v>
      </c>
      <c r="DV167" s="173"/>
      <c r="DW167" s="174" t="s">
        <v>84</v>
      </c>
      <c r="DX167" s="173"/>
      <c r="DY167" s="173"/>
      <c r="DZ167" s="173"/>
      <c r="EA167" s="665"/>
      <c r="EB167" s="1254" t="s">
        <v>2377</v>
      </c>
      <c r="EC167" s="537">
        <v>0</v>
      </c>
      <c r="EE167" s="733">
        <v>0</v>
      </c>
      <c r="EF167" s="706"/>
    </row>
    <row r="168" spans="4:136" s="302" customFormat="1" ht="76.5" hidden="1">
      <c r="D168" s="520">
        <v>165</v>
      </c>
      <c r="E168" s="534">
        <v>209</v>
      </c>
      <c r="F168" s="336" t="s">
        <v>43</v>
      </c>
      <c r="G168" s="336" t="s">
        <v>14</v>
      </c>
      <c r="H168" s="336" t="s">
        <v>2657</v>
      </c>
      <c r="I168" s="336" t="s">
        <v>80</v>
      </c>
      <c r="J168" s="335" t="s">
        <v>1272</v>
      </c>
      <c r="K168" s="335" t="s">
        <v>490</v>
      </c>
      <c r="L168" s="454" t="s">
        <v>1463</v>
      </c>
      <c r="M168" s="333" t="s">
        <v>1771</v>
      </c>
      <c r="N168" s="333">
        <v>0</v>
      </c>
      <c r="O168" s="333">
        <f t="shared" si="158"/>
        <v>4500</v>
      </c>
      <c r="P168" s="332">
        <v>4500</v>
      </c>
      <c r="Q168" s="393">
        <v>0.25</v>
      </c>
      <c r="R168" s="342">
        <f t="shared" si="118"/>
        <v>2.2222222222222223E-2</v>
      </c>
      <c r="S168" s="459">
        <v>400</v>
      </c>
      <c r="T168" s="387">
        <f t="shared" si="160"/>
        <v>8.8888888888888892E-2</v>
      </c>
      <c r="U168" s="670">
        <v>546</v>
      </c>
      <c r="V168" s="388">
        <f t="shared" si="161"/>
        <v>546</v>
      </c>
      <c r="W168" s="356">
        <f t="shared" si="162"/>
        <v>136.5</v>
      </c>
      <c r="X168" s="356">
        <f t="shared" si="122"/>
        <v>100</v>
      </c>
      <c r="Y168" s="356">
        <f t="shared" si="155"/>
        <v>2.2222222222222223E-2</v>
      </c>
      <c r="Z168" s="356">
        <f t="shared" si="123"/>
        <v>100</v>
      </c>
      <c r="AA168" s="313">
        <v>1500000000</v>
      </c>
      <c r="AB168" s="313">
        <v>1500000000</v>
      </c>
      <c r="AC168" s="313">
        <v>0</v>
      </c>
      <c r="AD168" s="313">
        <v>0</v>
      </c>
      <c r="AE168" s="313">
        <v>0</v>
      </c>
      <c r="AF168" s="313">
        <v>0</v>
      </c>
      <c r="AG168" s="313">
        <v>0</v>
      </c>
      <c r="AH168" s="313">
        <v>0</v>
      </c>
      <c r="AI168" s="313">
        <v>1940200000</v>
      </c>
      <c r="AJ168" s="313">
        <v>1258347000</v>
      </c>
      <c r="AK168" s="313">
        <v>0</v>
      </c>
      <c r="AL168" s="313">
        <v>681853000</v>
      </c>
      <c r="AM168" s="313">
        <v>0</v>
      </c>
      <c r="AN168" s="313">
        <v>0</v>
      </c>
      <c r="AO168" s="313">
        <v>0</v>
      </c>
      <c r="AP168" s="313">
        <v>0</v>
      </c>
      <c r="AQ168" s="313">
        <v>0</v>
      </c>
      <c r="AR168" s="313">
        <v>0</v>
      </c>
      <c r="AS168" s="313">
        <v>0</v>
      </c>
      <c r="AT168" s="392">
        <f t="shared" si="124"/>
        <v>5.5555555555555552E-2</v>
      </c>
      <c r="AU168" s="333">
        <v>1000</v>
      </c>
      <c r="AV168" s="387">
        <f t="shared" si="163"/>
        <v>0.22222222222222221</v>
      </c>
      <c r="AW168" s="677">
        <v>1043</v>
      </c>
      <c r="AX168" s="366">
        <f t="shared" si="164"/>
        <v>1043</v>
      </c>
      <c r="AY168" s="366">
        <f t="shared" si="165"/>
        <v>104.3</v>
      </c>
      <c r="AZ168" s="366">
        <f t="shared" si="128"/>
        <v>100</v>
      </c>
      <c r="BA168" s="354">
        <f t="shared" si="129"/>
        <v>5.5555555555555552E-2</v>
      </c>
      <c r="BB168" s="354">
        <f t="shared" si="130"/>
        <v>100</v>
      </c>
      <c r="BC168" s="353">
        <v>1287000000</v>
      </c>
      <c r="BD168" s="353">
        <v>0</v>
      </c>
      <c r="BE168" s="353">
        <v>1287000000</v>
      </c>
      <c r="BF168" s="353">
        <v>0</v>
      </c>
      <c r="BG168" s="353">
        <v>0</v>
      </c>
      <c r="BH168" s="353">
        <v>0</v>
      </c>
      <c r="BI168" s="353">
        <v>0</v>
      </c>
      <c r="BJ168" s="353">
        <v>0</v>
      </c>
      <c r="BK168" s="452">
        <v>3039218630</v>
      </c>
      <c r="BL168" s="351">
        <v>3039218630</v>
      </c>
      <c r="BM168" s="351">
        <v>0</v>
      </c>
      <c r="BN168" s="351">
        <v>0</v>
      </c>
      <c r="BO168" s="351">
        <v>0</v>
      </c>
      <c r="BP168" s="351">
        <v>0</v>
      </c>
      <c r="BQ168" s="351">
        <v>0</v>
      </c>
      <c r="BR168" s="351">
        <v>0</v>
      </c>
      <c r="BS168" s="351">
        <v>0</v>
      </c>
      <c r="BT168" s="351">
        <v>0</v>
      </c>
      <c r="BU168" s="351">
        <v>0</v>
      </c>
      <c r="BV168" s="350">
        <f t="shared" si="131"/>
        <v>8.3333333333333329E-2</v>
      </c>
      <c r="BW168" s="350">
        <v>1500</v>
      </c>
      <c r="BX168" s="385">
        <f t="shared" si="166"/>
        <v>0.33333333333333331</v>
      </c>
      <c r="BY168" s="369">
        <v>0</v>
      </c>
      <c r="BZ168" s="391">
        <v>0</v>
      </c>
      <c r="CA168" s="689">
        <v>1001</v>
      </c>
      <c r="CB168" s="324">
        <f t="shared" si="167"/>
        <v>1001</v>
      </c>
      <c r="CC168" s="324">
        <f t="shared" si="168"/>
        <v>66.733333333333334</v>
      </c>
      <c r="CD168" s="384">
        <f t="shared" si="135"/>
        <v>66.733333333333334</v>
      </c>
      <c r="CE168" s="383">
        <f t="shared" si="136"/>
        <v>5.5611111111111111E-2</v>
      </c>
      <c r="CF168" s="367">
        <f t="shared" si="137"/>
        <v>66.733333333333334</v>
      </c>
      <c r="CG168" s="383">
        <f t="shared" si="138"/>
        <v>5.5611111111111111E-2</v>
      </c>
      <c r="CH168" s="320">
        <f t="shared" si="139"/>
        <v>8.8888888888888892E-2</v>
      </c>
      <c r="CI168" s="319">
        <v>1600</v>
      </c>
      <c r="CJ168" s="318">
        <f t="shared" si="169"/>
        <v>0.35555555555555557</v>
      </c>
      <c r="CK168" s="1259">
        <v>886</v>
      </c>
      <c r="CL168" s="301">
        <f t="shared" si="170"/>
        <v>714</v>
      </c>
      <c r="CM168" s="381">
        <f t="shared" si="171"/>
        <v>886</v>
      </c>
      <c r="CN168" s="381">
        <f t="shared" si="172"/>
        <v>55.375</v>
      </c>
      <c r="CO168" s="316">
        <f t="shared" si="144"/>
        <v>55.375</v>
      </c>
      <c r="CP168" s="381">
        <f t="shared" si="145"/>
        <v>4.9222222222222223E-2</v>
      </c>
      <c r="CQ168" s="381">
        <f t="shared" si="146"/>
        <v>4.9222222222222223E-2</v>
      </c>
      <c r="CR168" s="313">
        <v>2970000000</v>
      </c>
      <c r="CS168" s="313">
        <v>2970000000</v>
      </c>
      <c r="CT168" s="313">
        <v>0</v>
      </c>
      <c r="CU168" s="313">
        <v>0</v>
      </c>
      <c r="CV168" s="313">
        <v>0</v>
      </c>
      <c r="CW168" s="313">
        <v>0</v>
      </c>
      <c r="CX168" s="313">
        <v>0</v>
      </c>
      <c r="CY168" s="313">
        <v>0</v>
      </c>
      <c r="CZ168" s="380">
        <v>0</v>
      </c>
      <c r="DA168" s="380">
        <v>0</v>
      </c>
      <c r="DB168" s="380">
        <v>0</v>
      </c>
      <c r="DC168" s="380">
        <v>0</v>
      </c>
      <c r="DD168" s="380">
        <v>0</v>
      </c>
      <c r="DE168" s="380">
        <v>0</v>
      </c>
      <c r="DF168" s="380">
        <v>0</v>
      </c>
      <c r="DG168" s="380">
        <v>0</v>
      </c>
      <c r="DH168" s="380">
        <v>0</v>
      </c>
      <c r="DI168" s="380">
        <v>0</v>
      </c>
      <c r="DJ168" s="380">
        <v>0</v>
      </c>
      <c r="DK168" s="702">
        <f t="shared" si="173"/>
        <v>3476</v>
      </c>
      <c r="DL168" s="311">
        <f t="shared" si="148"/>
        <v>0.25</v>
      </c>
      <c r="DM168" s="310">
        <f t="shared" si="149"/>
        <v>77.24444444444444</v>
      </c>
      <c r="DN168" s="356">
        <f t="shared" si="150"/>
        <v>77.24444444444444</v>
      </c>
      <c r="DO168" s="308">
        <f t="shared" si="151"/>
        <v>0.19311111111111109</v>
      </c>
      <c r="DP168" s="359">
        <f t="shared" si="159"/>
        <v>0.19311111111111109</v>
      </c>
      <c r="DQ168" s="306">
        <f t="shared" si="152"/>
        <v>0.19311111111111109</v>
      </c>
      <c r="DR168" s="379">
        <f t="shared" si="153"/>
        <v>1</v>
      </c>
      <c r="DS168" s="378">
        <f t="shared" si="154"/>
        <v>0</v>
      </c>
      <c r="DT168" s="173">
        <v>199</v>
      </c>
      <c r="DU168" s="174" t="s">
        <v>123</v>
      </c>
      <c r="DV168" s="173"/>
      <c r="DW168" s="174" t="s">
        <v>84</v>
      </c>
      <c r="DX168" s="173"/>
      <c r="DY168" s="173"/>
      <c r="DZ168" s="173"/>
      <c r="EA168" s="665"/>
      <c r="EB168" s="1254" t="s">
        <v>2378</v>
      </c>
      <c r="EC168" s="537">
        <v>0</v>
      </c>
      <c r="EE168" s="739">
        <v>29</v>
      </c>
      <c r="EF168" s="706"/>
    </row>
    <row r="169" spans="4:136" s="302" customFormat="1" ht="60" hidden="1">
      <c r="D169" s="520">
        <v>166</v>
      </c>
      <c r="E169" s="534">
        <v>210</v>
      </c>
      <c r="F169" s="523" t="s">
        <v>43</v>
      </c>
      <c r="G169" s="523" t="s">
        <v>14</v>
      </c>
      <c r="H169" s="524" t="s">
        <v>2657</v>
      </c>
      <c r="I169" s="462" t="s">
        <v>80</v>
      </c>
      <c r="J169" s="335" t="s">
        <v>491</v>
      </c>
      <c r="K169" s="335" t="s">
        <v>492</v>
      </c>
      <c r="L169" s="454" t="s">
        <v>1463</v>
      </c>
      <c r="M169" s="333" t="s">
        <v>1771</v>
      </c>
      <c r="N169" s="333">
        <v>500</v>
      </c>
      <c r="O169" s="333">
        <f t="shared" si="158"/>
        <v>1000</v>
      </c>
      <c r="P169" s="332">
        <v>500</v>
      </c>
      <c r="Q169" s="390">
        <v>0.25</v>
      </c>
      <c r="R169" s="342">
        <f t="shared" si="118"/>
        <v>0</v>
      </c>
      <c r="S169" s="459">
        <v>0</v>
      </c>
      <c r="T169" s="387">
        <f t="shared" si="160"/>
        <v>0</v>
      </c>
      <c r="U169" s="670">
        <v>0</v>
      </c>
      <c r="V169" s="388">
        <f t="shared" si="161"/>
        <v>0</v>
      </c>
      <c r="W169" s="356">
        <f t="shared" si="162"/>
        <v>0</v>
      </c>
      <c r="X169" s="356">
        <f t="shared" si="122"/>
        <v>0</v>
      </c>
      <c r="Y169" s="356">
        <f t="shared" si="155"/>
        <v>0</v>
      </c>
      <c r="Z169" s="356">
        <f t="shared" si="123"/>
        <v>0</v>
      </c>
      <c r="AA169" s="313">
        <v>0</v>
      </c>
      <c r="AB169" s="313">
        <v>0</v>
      </c>
      <c r="AC169" s="313">
        <v>0</v>
      </c>
      <c r="AD169" s="313">
        <v>0</v>
      </c>
      <c r="AE169" s="313">
        <v>0</v>
      </c>
      <c r="AF169" s="313">
        <v>0</v>
      </c>
      <c r="AG169" s="313">
        <v>0</v>
      </c>
      <c r="AH169" s="313">
        <v>0</v>
      </c>
      <c r="AI169" s="313">
        <v>0</v>
      </c>
      <c r="AJ169" s="313">
        <v>0</v>
      </c>
      <c r="AK169" s="313">
        <v>0</v>
      </c>
      <c r="AL169" s="313">
        <v>0</v>
      </c>
      <c r="AM169" s="313">
        <v>0</v>
      </c>
      <c r="AN169" s="313">
        <v>0</v>
      </c>
      <c r="AO169" s="313">
        <v>0</v>
      </c>
      <c r="AP169" s="313">
        <v>0</v>
      </c>
      <c r="AQ169" s="313">
        <v>0</v>
      </c>
      <c r="AR169" s="313">
        <v>0</v>
      </c>
      <c r="AS169" s="313">
        <v>0</v>
      </c>
      <c r="AT169" s="333">
        <f t="shared" si="124"/>
        <v>0.1</v>
      </c>
      <c r="AU169" s="333">
        <v>200</v>
      </c>
      <c r="AV169" s="387">
        <f t="shared" si="163"/>
        <v>0.4</v>
      </c>
      <c r="AW169" s="677">
        <v>482</v>
      </c>
      <c r="AX169" s="366">
        <f t="shared" si="164"/>
        <v>482</v>
      </c>
      <c r="AY169" s="366">
        <f t="shared" si="165"/>
        <v>241</v>
      </c>
      <c r="AZ169" s="366">
        <f t="shared" si="128"/>
        <v>100</v>
      </c>
      <c r="BA169" s="354">
        <f t="shared" si="129"/>
        <v>0.1</v>
      </c>
      <c r="BB169" s="354">
        <f t="shared" si="130"/>
        <v>100</v>
      </c>
      <c r="BC169" s="353">
        <v>163000000</v>
      </c>
      <c r="BD169" s="353">
        <v>0</v>
      </c>
      <c r="BE169" s="353">
        <v>163000000</v>
      </c>
      <c r="BF169" s="353">
        <v>0</v>
      </c>
      <c r="BG169" s="353">
        <v>0</v>
      </c>
      <c r="BH169" s="353">
        <v>0</v>
      </c>
      <c r="BI169" s="353">
        <v>0</v>
      </c>
      <c r="BJ169" s="353">
        <v>0</v>
      </c>
      <c r="BK169" s="452">
        <v>527688123</v>
      </c>
      <c r="BL169" s="351">
        <v>527688123</v>
      </c>
      <c r="BM169" s="351">
        <v>0</v>
      </c>
      <c r="BN169" s="351">
        <v>0</v>
      </c>
      <c r="BO169" s="351">
        <v>0</v>
      </c>
      <c r="BP169" s="351">
        <v>0</v>
      </c>
      <c r="BQ169" s="351">
        <v>0</v>
      </c>
      <c r="BR169" s="351">
        <v>0</v>
      </c>
      <c r="BS169" s="351">
        <v>0</v>
      </c>
      <c r="BT169" s="351">
        <v>0</v>
      </c>
      <c r="BU169" s="351">
        <v>0</v>
      </c>
      <c r="BV169" s="350">
        <f t="shared" si="131"/>
        <v>0.1</v>
      </c>
      <c r="BW169" s="350">
        <v>200</v>
      </c>
      <c r="BX169" s="385">
        <f t="shared" si="166"/>
        <v>0.4</v>
      </c>
      <c r="BY169" s="369">
        <v>0</v>
      </c>
      <c r="BZ169" s="391">
        <v>0</v>
      </c>
      <c r="CA169" s="689">
        <v>511</v>
      </c>
      <c r="CB169" s="324">
        <f t="shared" si="167"/>
        <v>511</v>
      </c>
      <c r="CC169" s="324">
        <f t="shared" si="168"/>
        <v>255.5</v>
      </c>
      <c r="CD169" s="384">
        <f t="shared" si="135"/>
        <v>100</v>
      </c>
      <c r="CE169" s="383">
        <f t="shared" si="136"/>
        <v>0.1</v>
      </c>
      <c r="CF169" s="367">
        <f t="shared" si="137"/>
        <v>100</v>
      </c>
      <c r="CG169" s="383">
        <f t="shared" si="138"/>
        <v>0.2555</v>
      </c>
      <c r="CH169" s="320">
        <f t="shared" si="139"/>
        <v>0.05</v>
      </c>
      <c r="CI169" s="319">
        <v>100</v>
      </c>
      <c r="CJ169" s="318">
        <f t="shared" si="169"/>
        <v>0.2</v>
      </c>
      <c r="CK169" s="1259">
        <v>0</v>
      </c>
      <c r="CL169" s="301">
        <f t="shared" si="170"/>
        <v>100</v>
      </c>
      <c r="CM169" s="381">
        <f t="shared" si="171"/>
        <v>0</v>
      </c>
      <c r="CN169" s="381">
        <f t="shared" si="172"/>
        <v>0</v>
      </c>
      <c r="CO169" s="316">
        <f t="shared" si="144"/>
        <v>0</v>
      </c>
      <c r="CP169" s="381">
        <f t="shared" si="145"/>
        <v>0</v>
      </c>
      <c r="CQ169" s="381">
        <f t="shared" si="146"/>
        <v>0</v>
      </c>
      <c r="CR169" s="313">
        <v>375000000</v>
      </c>
      <c r="CS169" s="313">
        <v>375000000</v>
      </c>
      <c r="CT169" s="313">
        <v>0</v>
      </c>
      <c r="CU169" s="313">
        <v>0</v>
      </c>
      <c r="CV169" s="313">
        <v>0</v>
      </c>
      <c r="CW169" s="313">
        <v>0</v>
      </c>
      <c r="CX169" s="313">
        <v>0</v>
      </c>
      <c r="CY169" s="313">
        <v>0</v>
      </c>
      <c r="CZ169" s="380">
        <v>0</v>
      </c>
      <c r="DA169" s="380">
        <v>0</v>
      </c>
      <c r="DB169" s="380">
        <v>0</v>
      </c>
      <c r="DC169" s="380">
        <v>0</v>
      </c>
      <c r="DD169" s="380">
        <v>0</v>
      </c>
      <c r="DE169" s="380">
        <v>0</v>
      </c>
      <c r="DF169" s="380">
        <v>0</v>
      </c>
      <c r="DG169" s="380">
        <v>0</v>
      </c>
      <c r="DH169" s="380">
        <v>0</v>
      </c>
      <c r="DI169" s="380">
        <v>0</v>
      </c>
      <c r="DJ169" s="380">
        <v>0</v>
      </c>
      <c r="DK169" s="702">
        <f t="shared" si="173"/>
        <v>993</v>
      </c>
      <c r="DL169" s="311">
        <f t="shared" si="148"/>
        <v>0.25</v>
      </c>
      <c r="DM169" s="310">
        <f t="shared" si="149"/>
        <v>198.6</v>
      </c>
      <c r="DN169" s="356">
        <f t="shared" si="150"/>
        <v>100</v>
      </c>
      <c r="DO169" s="308">
        <f t="shared" si="151"/>
        <v>0.25</v>
      </c>
      <c r="DP169" s="359">
        <f t="shared" si="159"/>
        <v>0.25</v>
      </c>
      <c r="DQ169" s="306">
        <f t="shared" si="152"/>
        <v>0.25</v>
      </c>
      <c r="DR169" s="379">
        <f t="shared" si="153"/>
        <v>1</v>
      </c>
      <c r="DS169" s="378">
        <f t="shared" si="154"/>
        <v>0</v>
      </c>
      <c r="DT169" s="173">
        <v>199</v>
      </c>
      <c r="DU169" s="174" t="s">
        <v>123</v>
      </c>
      <c r="DV169" s="173"/>
      <c r="DW169" s="174" t="s">
        <v>84</v>
      </c>
      <c r="DX169" s="173"/>
      <c r="DY169" s="173"/>
      <c r="DZ169" s="173"/>
      <c r="EA169" s="665"/>
      <c r="EB169" s="1254" t="s">
        <v>2379</v>
      </c>
      <c r="EC169" s="537">
        <v>330000000</v>
      </c>
      <c r="EE169" s="740">
        <v>8000</v>
      </c>
      <c r="EF169" s="706"/>
    </row>
    <row r="170" spans="4:136" s="302" customFormat="1" ht="60" hidden="1">
      <c r="D170" s="520">
        <v>167</v>
      </c>
      <c r="E170" s="534">
        <v>211</v>
      </c>
      <c r="F170" s="523" t="s">
        <v>43</v>
      </c>
      <c r="G170" s="523" t="s">
        <v>9</v>
      </c>
      <c r="H170" s="524" t="s">
        <v>2657</v>
      </c>
      <c r="I170" s="462" t="s">
        <v>80</v>
      </c>
      <c r="J170" s="335" t="s">
        <v>493</v>
      </c>
      <c r="K170" s="335" t="s">
        <v>494</v>
      </c>
      <c r="L170" s="454" t="s">
        <v>1877</v>
      </c>
      <c r="M170" s="333" t="s">
        <v>1771</v>
      </c>
      <c r="N170" s="333">
        <v>0</v>
      </c>
      <c r="O170" s="333">
        <f t="shared" si="158"/>
        <v>250</v>
      </c>
      <c r="P170" s="332">
        <v>250</v>
      </c>
      <c r="Q170" s="390">
        <v>0.16500000000000001</v>
      </c>
      <c r="R170" s="342">
        <f t="shared" si="118"/>
        <v>0</v>
      </c>
      <c r="S170" s="459">
        <v>0</v>
      </c>
      <c r="T170" s="387">
        <f t="shared" si="160"/>
        <v>0</v>
      </c>
      <c r="U170" s="670">
        <v>1</v>
      </c>
      <c r="V170" s="388">
        <f t="shared" si="161"/>
        <v>1</v>
      </c>
      <c r="W170" s="356">
        <f t="shared" si="162"/>
        <v>0</v>
      </c>
      <c r="X170" s="356">
        <f t="shared" si="122"/>
        <v>0</v>
      </c>
      <c r="Y170" s="356">
        <f t="shared" si="155"/>
        <v>0</v>
      </c>
      <c r="Z170" s="356">
        <f t="shared" si="123"/>
        <v>100</v>
      </c>
      <c r="AA170" s="313">
        <v>50000000</v>
      </c>
      <c r="AB170" s="313">
        <v>50000000</v>
      </c>
      <c r="AC170" s="313">
        <v>0</v>
      </c>
      <c r="AD170" s="313">
        <v>0</v>
      </c>
      <c r="AE170" s="313">
        <v>0</v>
      </c>
      <c r="AF170" s="313">
        <v>0</v>
      </c>
      <c r="AG170" s="313">
        <v>0</v>
      </c>
      <c r="AH170" s="313">
        <v>0</v>
      </c>
      <c r="AI170" s="313">
        <v>50000000</v>
      </c>
      <c r="AJ170" s="313">
        <v>50000000</v>
      </c>
      <c r="AK170" s="313">
        <v>0</v>
      </c>
      <c r="AL170" s="313">
        <v>0</v>
      </c>
      <c r="AM170" s="313">
        <v>0</v>
      </c>
      <c r="AN170" s="313">
        <v>0</v>
      </c>
      <c r="AO170" s="313">
        <v>0</v>
      </c>
      <c r="AP170" s="313">
        <v>0</v>
      </c>
      <c r="AQ170" s="313">
        <v>0</v>
      </c>
      <c r="AR170" s="313">
        <v>0</v>
      </c>
      <c r="AS170" s="313">
        <v>0</v>
      </c>
      <c r="AT170" s="333">
        <f t="shared" si="124"/>
        <v>3.3000000000000002E-2</v>
      </c>
      <c r="AU170" s="333">
        <v>50</v>
      </c>
      <c r="AV170" s="387">
        <f t="shared" si="163"/>
        <v>0.2</v>
      </c>
      <c r="AW170" s="677">
        <v>3</v>
      </c>
      <c r="AX170" s="366">
        <f t="shared" si="164"/>
        <v>3</v>
      </c>
      <c r="AY170" s="366">
        <f t="shared" si="165"/>
        <v>6</v>
      </c>
      <c r="AZ170" s="366">
        <f t="shared" si="128"/>
        <v>6</v>
      </c>
      <c r="BA170" s="354">
        <f t="shared" si="129"/>
        <v>1.98E-3</v>
      </c>
      <c r="BB170" s="354">
        <f t="shared" si="130"/>
        <v>6</v>
      </c>
      <c r="BC170" s="353">
        <v>100000000</v>
      </c>
      <c r="BD170" s="353">
        <v>0</v>
      </c>
      <c r="BE170" s="353">
        <v>100000000</v>
      </c>
      <c r="BF170" s="353">
        <v>0</v>
      </c>
      <c r="BG170" s="353">
        <v>0</v>
      </c>
      <c r="BH170" s="353">
        <v>0</v>
      </c>
      <c r="BI170" s="353">
        <v>0</v>
      </c>
      <c r="BJ170" s="353">
        <v>0</v>
      </c>
      <c r="BK170" s="452">
        <v>79166316</v>
      </c>
      <c r="BL170" s="351">
        <v>79166316</v>
      </c>
      <c r="BM170" s="351">
        <v>0</v>
      </c>
      <c r="BN170" s="351">
        <v>0</v>
      </c>
      <c r="BO170" s="351">
        <v>0</v>
      </c>
      <c r="BP170" s="351">
        <v>0</v>
      </c>
      <c r="BQ170" s="351">
        <v>0</v>
      </c>
      <c r="BR170" s="351">
        <v>0</v>
      </c>
      <c r="BS170" s="351">
        <v>0</v>
      </c>
      <c r="BT170" s="351">
        <v>0</v>
      </c>
      <c r="BU170" s="351">
        <v>0</v>
      </c>
      <c r="BV170" s="350">
        <f t="shared" si="131"/>
        <v>3.3000000000000002E-2</v>
      </c>
      <c r="BW170" s="350">
        <v>50</v>
      </c>
      <c r="BX170" s="385">
        <f t="shared" si="166"/>
        <v>0.2</v>
      </c>
      <c r="BY170" s="369">
        <v>104</v>
      </c>
      <c r="BZ170" s="391">
        <v>108</v>
      </c>
      <c r="CA170" s="689">
        <v>129</v>
      </c>
      <c r="CB170" s="324">
        <f t="shared" si="167"/>
        <v>129</v>
      </c>
      <c r="CC170" s="324">
        <f t="shared" si="168"/>
        <v>258</v>
      </c>
      <c r="CD170" s="384">
        <f t="shared" si="135"/>
        <v>100</v>
      </c>
      <c r="CE170" s="383">
        <f t="shared" si="136"/>
        <v>3.3000000000000002E-2</v>
      </c>
      <c r="CF170" s="367">
        <f t="shared" si="137"/>
        <v>100</v>
      </c>
      <c r="CG170" s="383">
        <f t="shared" si="138"/>
        <v>8.5140000000000007E-2</v>
      </c>
      <c r="CH170" s="320">
        <f t="shared" si="139"/>
        <v>9.9000000000000005E-2</v>
      </c>
      <c r="CI170" s="319">
        <v>150</v>
      </c>
      <c r="CJ170" s="318">
        <f t="shared" si="169"/>
        <v>0.6</v>
      </c>
      <c r="CK170" s="1259">
        <v>330</v>
      </c>
      <c r="CL170" s="301">
        <f t="shared" si="170"/>
        <v>-180</v>
      </c>
      <c r="CM170" s="381">
        <f t="shared" si="171"/>
        <v>330</v>
      </c>
      <c r="CN170" s="381">
        <f t="shared" si="172"/>
        <v>220</v>
      </c>
      <c r="CO170" s="316">
        <f t="shared" si="144"/>
        <v>100</v>
      </c>
      <c r="CP170" s="381">
        <f t="shared" si="145"/>
        <v>9.9000000000000005E-2</v>
      </c>
      <c r="CQ170" s="381">
        <f t="shared" si="146"/>
        <v>0.21780000000000002</v>
      </c>
      <c r="CR170" s="313">
        <v>350000000</v>
      </c>
      <c r="CS170" s="313">
        <v>350000000</v>
      </c>
      <c r="CT170" s="313">
        <v>0</v>
      </c>
      <c r="CU170" s="313">
        <v>0</v>
      </c>
      <c r="CV170" s="313">
        <v>0</v>
      </c>
      <c r="CW170" s="313">
        <v>0</v>
      </c>
      <c r="CX170" s="313">
        <v>0</v>
      </c>
      <c r="CY170" s="313">
        <v>0</v>
      </c>
      <c r="CZ170" s="380">
        <v>0</v>
      </c>
      <c r="DA170" s="380">
        <v>0</v>
      </c>
      <c r="DB170" s="380">
        <v>0</v>
      </c>
      <c r="DC170" s="380">
        <v>0</v>
      </c>
      <c r="DD170" s="380">
        <v>0</v>
      </c>
      <c r="DE170" s="380">
        <v>0</v>
      </c>
      <c r="DF170" s="380">
        <v>0</v>
      </c>
      <c r="DG170" s="380">
        <v>0</v>
      </c>
      <c r="DH170" s="380">
        <v>0</v>
      </c>
      <c r="DI170" s="380">
        <v>0</v>
      </c>
      <c r="DJ170" s="380">
        <v>0</v>
      </c>
      <c r="DK170" s="702">
        <f t="shared" si="173"/>
        <v>463</v>
      </c>
      <c r="DL170" s="311">
        <f t="shared" si="148"/>
        <v>0.16500000000000001</v>
      </c>
      <c r="DM170" s="310">
        <f t="shared" si="149"/>
        <v>185.2</v>
      </c>
      <c r="DN170" s="356">
        <f t="shared" si="150"/>
        <v>100</v>
      </c>
      <c r="DO170" s="308">
        <f t="shared" si="151"/>
        <v>0.16500000000000001</v>
      </c>
      <c r="DP170" s="359">
        <f t="shared" si="159"/>
        <v>0.16500000000000001</v>
      </c>
      <c r="DQ170" s="306">
        <f t="shared" si="152"/>
        <v>0.16500000000000001</v>
      </c>
      <c r="DR170" s="379">
        <f t="shared" si="153"/>
        <v>1</v>
      </c>
      <c r="DS170" s="378">
        <f t="shared" si="154"/>
        <v>0</v>
      </c>
      <c r="DT170" s="173">
        <v>199</v>
      </c>
      <c r="DU170" s="174" t="s">
        <v>123</v>
      </c>
      <c r="DV170" s="173"/>
      <c r="DW170" s="174" t="s">
        <v>84</v>
      </c>
      <c r="DX170" s="173"/>
      <c r="DY170" s="173"/>
      <c r="DZ170" s="173"/>
      <c r="EA170" s="665"/>
      <c r="EB170" s="1254" t="s">
        <v>2100</v>
      </c>
      <c r="EC170" s="537">
        <v>0</v>
      </c>
      <c r="EE170" s="734">
        <v>244</v>
      </c>
      <c r="EF170" s="706"/>
    </row>
    <row r="171" spans="4:136" s="302" customFormat="1" ht="63.75" hidden="1">
      <c r="D171" s="520">
        <v>168</v>
      </c>
      <c r="E171" s="534">
        <v>212</v>
      </c>
      <c r="F171" s="523" t="s">
        <v>43</v>
      </c>
      <c r="G171" s="523" t="s">
        <v>14</v>
      </c>
      <c r="H171" s="524" t="s">
        <v>2657</v>
      </c>
      <c r="I171" s="462" t="s">
        <v>80</v>
      </c>
      <c r="J171" s="335" t="s">
        <v>495</v>
      </c>
      <c r="K171" s="335" t="s">
        <v>496</v>
      </c>
      <c r="L171" s="453" t="s">
        <v>1415</v>
      </c>
      <c r="M171" s="333" t="s">
        <v>1785</v>
      </c>
      <c r="N171" s="333">
        <v>116</v>
      </c>
      <c r="O171" s="333">
        <f>+P171</f>
        <v>116</v>
      </c>
      <c r="P171" s="332">
        <v>116</v>
      </c>
      <c r="Q171" s="390">
        <v>0.16500000000000001</v>
      </c>
      <c r="R171" s="342">
        <f t="shared" si="118"/>
        <v>4.1250000000000002E-2</v>
      </c>
      <c r="S171" s="459">
        <v>116</v>
      </c>
      <c r="T171" s="387">
        <f t="shared" si="160"/>
        <v>0.25</v>
      </c>
      <c r="U171" s="670">
        <v>80</v>
      </c>
      <c r="V171" s="388">
        <f t="shared" si="161"/>
        <v>20</v>
      </c>
      <c r="W171" s="356">
        <f t="shared" si="162"/>
        <v>68.965517241379317</v>
      </c>
      <c r="X171" s="356">
        <f t="shared" si="122"/>
        <v>68.965517241379317</v>
      </c>
      <c r="Y171" s="356">
        <f t="shared" si="155"/>
        <v>2.8448275862068967E-2</v>
      </c>
      <c r="Z171" s="356">
        <f t="shared" si="123"/>
        <v>68.965517241379317</v>
      </c>
      <c r="AA171" s="313">
        <v>0</v>
      </c>
      <c r="AB171" s="313">
        <v>0</v>
      </c>
      <c r="AC171" s="313">
        <v>0</v>
      </c>
      <c r="AD171" s="313">
        <v>0</v>
      </c>
      <c r="AE171" s="313">
        <v>0</v>
      </c>
      <c r="AF171" s="313">
        <v>0</v>
      </c>
      <c r="AG171" s="313">
        <v>0</v>
      </c>
      <c r="AH171" s="313">
        <v>0</v>
      </c>
      <c r="AI171" s="313">
        <v>0</v>
      </c>
      <c r="AJ171" s="313">
        <v>0</v>
      </c>
      <c r="AK171" s="313">
        <v>0</v>
      </c>
      <c r="AL171" s="313">
        <v>0</v>
      </c>
      <c r="AM171" s="313">
        <v>0</v>
      </c>
      <c r="AN171" s="313">
        <v>0</v>
      </c>
      <c r="AO171" s="313">
        <v>0</v>
      </c>
      <c r="AP171" s="313">
        <v>0</v>
      </c>
      <c r="AQ171" s="313">
        <v>0</v>
      </c>
      <c r="AR171" s="313">
        <v>0</v>
      </c>
      <c r="AS171" s="313">
        <v>0</v>
      </c>
      <c r="AT171" s="333">
        <f t="shared" si="124"/>
        <v>4.1250000000000002E-2</v>
      </c>
      <c r="AU171" s="333">
        <v>116</v>
      </c>
      <c r="AV171" s="387">
        <f t="shared" si="163"/>
        <v>0.25</v>
      </c>
      <c r="AW171" s="677">
        <v>115</v>
      </c>
      <c r="AX171" s="366">
        <f t="shared" si="164"/>
        <v>28.75</v>
      </c>
      <c r="AY171" s="366">
        <f t="shared" si="165"/>
        <v>99.137931034482762</v>
      </c>
      <c r="AZ171" s="366">
        <f t="shared" si="128"/>
        <v>99.137931034482762</v>
      </c>
      <c r="BA171" s="354">
        <f t="shared" si="129"/>
        <v>4.0894396551724138E-2</v>
      </c>
      <c r="BB171" s="354">
        <f t="shared" si="130"/>
        <v>99.137931034482762</v>
      </c>
      <c r="BC171" s="353">
        <v>22000000</v>
      </c>
      <c r="BD171" s="353">
        <v>0</v>
      </c>
      <c r="BE171" s="353">
        <v>22000000</v>
      </c>
      <c r="BF171" s="353">
        <v>0</v>
      </c>
      <c r="BG171" s="353">
        <v>0</v>
      </c>
      <c r="BH171" s="353">
        <v>0</v>
      </c>
      <c r="BI171" s="353">
        <v>0</v>
      </c>
      <c r="BJ171" s="353">
        <v>0</v>
      </c>
      <c r="BK171" s="452">
        <v>0</v>
      </c>
      <c r="BL171" s="351">
        <v>0</v>
      </c>
      <c r="BM171" s="351">
        <v>0</v>
      </c>
      <c r="BN171" s="351">
        <v>0</v>
      </c>
      <c r="BO171" s="351">
        <v>0</v>
      </c>
      <c r="BP171" s="351">
        <v>0</v>
      </c>
      <c r="BQ171" s="351">
        <v>0</v>
      </c>
      <c r="BR171" s="351">
        <v>0</v>
      </c>
      <c r="BS171" s="351">
        <v>0</v>
      </c>
      <c r="BT171" s="351">
        <v>0</v>
      </c>
      <c r="BU171" s="351">
        <v>0</v>
      </c>
      <c r="BV171" s="350">
        <f t="shared" si="131"/>
        <v>4.1250000000000002E-2</v>
      </c>
      <c r="BW171" s="350">
        <v>116</v>
      </c>
      <c r="BX171" s="385">
        <f t="shared" si="166"/>
        <v>0.25</v>
      </c>
      <c r="BY171" s="369">
        <v>0</v>
      </c>
      <c r="BZ171" s="391">
        <v>0</v>
      </c>
      <c r="CA171" s="689">
        <v>0</v>
      </c>
      <c r="CB171" s="324">
        <f t="shared" si="167"/>
        <v>0</v>
      </c>
      <c r="CC171" s="324">
        <f t="shared" si="168"/>
        <v>0</v>
      </c>
      <c r="CD171" s="384">
        <f t="shared" si="135"/>
        <v>0</v>
      </c>
      <c r="CE171" s="383">
        <f t="shared" si="136"/>
        <v>0</v>
      </c>
      <c r="CF171" s="367">
        <f t="shared" si="137"/>
        <v>0</v>
      </c>
      <c r="CG171" s="383">
        <f t="shared" si="138"/>
        <v>0</v>
      </c>
      <c r="CH171" s="320">
        <f t="shared" si="139"/>
        <v>4.1250000000000002E-2</v>
      </c>
      <c r="CI171" s="319">
        <v>116</v>
      </c>
      <c r="CJ171" s="318">
        <f t="shared" si="169"/>
        <v>0.25</v>
      </c>
      <c r="CK171" s="1258">
        <v>0</v>
      </c>
      <c r="CL171" s="301">
        <f t="shared" si="170"/>
        <v>116</v>
      </c>
      <c r="CM171" s="381">
        <f t="shared" si="171"/>
        <v>0</v>
      </c>
      <c r="CN171" s="381">
        <f t="shared" si="172"/>
        <v>0</v>
      </c>
      <c r="CO171" s="381">
        <f t="shared" si="144"/>
        <v>0</v>
      </c>
      <c r="CP171" s="381">
        <f t="shared" si="145"/>
        <v>0</v>
      </c>
      <c r="CQ171" s="381">
        <f t="shared" si="146"/>
        <v>0</v>
      </c>
      <c r="CR171" s="313">
        <v>51000000</v>
      </c>
      <c r="CS171" s="313">
        <v>51000000</v>
      </c>
      <c r="CT171" s="313">
        <v>0</v>
      </c>
      <c r="CU171" s="313">
        <v>0</v>
      </c>
      <c r="CV171" s="313">
        <v>0</v>
      </c>
      <c r="CW171" s="313">
        <v>0</v>
      </c>
      <c r="CX171" s="313">
        <v>0</v>
      </c>
      <c r="CY171" s="313">
        <v>0</v>
      </c>
      <c r="CZ171" s="380">
        <v>0</v>
      </c>
      <c r="DA171" s="380">
        <v>0</v>
      </c>
      <c r="DB171" s="380">
        <v>0</v>
      </c>
      <c r="DC171" s="380">
        <v>0</v>
      </c>
      <c r="DD171" s="380">
        <v>0</v>
      </c>
      <c r="DE171" s="380">
        <v>0</v>
      </c>
      <c r="DF171" s="380">
        <v>0</v>
      </c>
      <c r="DG171" s="380">
        <v>0</v>
      </c>
      <c r="DH171" s="380">
        <v>0</v>
      </c>
      <c r="DI171" s="380">
        <v>0</v>
      </c>
      <c r="DJ171" s="380">
        <v>0</v>
      </c>
      <c r="DK171" s="702">
        <f t="shared" si="173"/>
        <v>48.75</v>
      </c>
      <c r="DL171" s="311">
        <f t="shared" si="148"/>
        <v>0.16500000000000001</v>
      </c>
      <c r="DM171" s="310">
        <f t="shared" si="149"/>
        <v>42.025862068965516</v>
      </c>
      <c r="DN171" s="356">
        <f t="shared" si="150"/>
        <v>42.025862068965516</v>
      </c>
      <c r="DO171" s="308">
        <f t="shared" si="151"/>
        <v>6.9342672413793105E-2</v>
      </c>
      <c r="DP171" s="359">
        <f>+IF(M171="M",DO171,0)</f>
        <v>6.9342672413793105E-2</v>
      </c>
      <c r="DQ171" s="306">
        <f t="shared" si="152"/>
        <v>6.9342672413793105E-2</v>
      </c>
      <c r="DR171" s="379">
        <f t="shared" si="153"/>
        <v>1</v>
      </c>
      <c r="DS171" s="378">
        <f t="shared" si="154"/>
        <v>0</v>
      </c>
      <c r="DT171" s="173">
        <v>199</v>
      </c>
      <c r="DU171" s="174" t="s">
        <v>123</v>
      </c>
      <c r="DV171" s="173"/>
      <c r="DW171" s="174" t="s">
        <v>84</v>
      </c>
      <c r="DX171" s="173"/>
      <c r="DY171" s="173"/>
      <c r="DZ171" s="173"/>
      <c r="EA171" s="665"/>
      <c r="EB171" s="1254" t="s">
        <v>84</v>
      </c>
      <c r="EC171" s="537">
        <v>0</v>
      </c>
      <c r="EE171" s="734">
        <v>400</v>
      </c>
      <c r="EF171" s="706"/>
    </row>
    <row r="172" spans="4:136" s="302" customFormat="1" ht="84" hidden="1">
      <c r="D172" s="520">
        <v>169</v>
      </c>
      <c r="E172" s="534">
        <v>213</v>
      </c>
      <c r="F172" s="336" t="s">
        <v>43</v>
      </c>
      <c r="G172" s="336" t="s">
        <v>7</v>
      </c>
      <c r="H172" s="336" t="s">
        <v>2657</v>
      </c>
      <c r="I172" s="336" t="s">
        <v>497</v>
      </c>
      <c r="J172" s="335" t="s">
        <v>1273</v>
      </c>
      <c r="K172" s="335" t="s">
        <v>498</v>
      </c>
      <c r="L172" s="454" t="s">
        <v>1463</v>
      </c>
      <c r="M172" s="333" t="s">
        <v>1771</v>
      </c>
      <c r="N172" s="333">
        <v>0</v>
      </c>
      <c r="O172" s="333">
        <f>+N172+P172</f>
        <v>10000</v>
      </c>
      <c r="P172" s="332">
        <v>10000</v>
      </c>
      <c r="Q172" s="393">
        <v>0.16500000000000001</v>
      </c>
      <c r="R172" s="342">
        <f t="shared" si="118"/>
        <v>4.1250000000000002E-2</v>
      </c>
      <c r="S172" s="459">
        <v>2500</v>
      </c>
      <c r="T172" s="387">
        <f t="shared" si="160"/>
        <v>0.25</v>
      </c>
      <c r="U172" s="670">
        <v>3055</v>
      </c>
      <c r="V172" s="388">
        <f t="shared" si="161"/>
        <v>3055</v>
      </c>
      <c r="W172" s="356">
        <f t="shared" si="162"/>
        <v>122.2</v>
      </c>
      <c r="X172" s="356">
        <f t="shared" si="122"/>
        <v>100</v>
      </c>
      <c r="Y172" s="356">
        <f t="shared" si="155"/>
        <v>4.1250000000000002E-2</v>
      </c>
      <c r="Z172" s="356">
        <f t="shared" si="123"/>
        <v>100</v>
      </c>
      <c r="AA172" s="313">
        <v>880000000</v>
      </c>
      <c r="AB172" s="313">
        <v>560000000</v>
      </c>
      <c r="AC172" s="313">
        <v>0</v>
      </c>
      <c r="AD172" s="313">
        <v>0</v>
      </c>
      <c r="AE172" s="313">
        <v>0</v>
      </c>
      <c r="AF172" s="313">
        <v>0</v>
      </c>
      <c r="AG172" s="313">
        <v>0</v>
      </c>
      <c r="AH172" s="313">
        <v>320000000</v>
      </c>
      <c r="AI172" s="313">
        <v>870000000</v>
      </c>
      <c r="AJ172" s="313">
        <v>870000000</v>
      </c>
      <c r="AK172" s="313">
        <v>0</v>
      </c>
      <c r="AL172" s="313">
        <v>0</v>
      </c>
      <c r="AM172" s="313">
        <v>0</v>
      </c>
      <c r="AN172" s="313">
        <v>0</v>
      </c>
      <c r="AO172" s="313">
        <v>0</v>
      </c>
      <c r="AP172" s="313">
        <v>0</v>
      </c>
      <c r="AQ172" s="313">
        <v>0</v>
      </c>
      <c r="AR172" s="313">
        <v>0</v>
      </c>
      <c r="AS172" s="313">
        <v>0</v>
      </c>
      <c r="AT172" s="392">
        <f t="shared" si="124"/>
        <v>4.1250000000000002E-2</v>
      </c>
      <c r="AU172" s="333">
        <v>2500</v>
      </c>
      <c r="AV172" s="387">
        <f t="shared" si="163"/>
        <v>0.25</v>
      </c>
      <c r="AW172" s="677">
        <v>3740</v>
      </c>
      <c r="AX172" s="366">
        <f t="shared" si="164"/>
        <v>3740</v>
      </c>
      <c r="AY172" s="366">
        <f t="shared" si="165"/>
        <v>149.6</v>
      </c>
      <c r="AZ172" s="366">
        <f t="shared" si="128"/>
        <v>100</v>
      </c>
      <c r="BA172" s="354">
        <f t="shared" si="129"/>
        <v>4.1250000000000002E-2</v>
      </c>
      <c r="BB172" s="354">
        <f t="shared" si="130"/>
        <v>100</v>
      </c>
      <c r="BC172" s="353">
        <v>190000000</v>
      </c>
      <c r="BD172" s="353">
        <v>0</v>
      </c>
      <c r="BE172" s="353">
        <v>65000000</v>
      </c>
      <c r="BF172" s="353">
        <v>0</v>
      </c>
      <c r="BG172" s="353">
        <v>0</v>
      </c>
      <c r="BH172" s="353">
        <v>0</v>
      </c>
      <c r="BI172" s="353">
        <v>0</v>
      </c>
      <c r="BJ172" s="353">
        <v>125000000</v>
      </c>
      <c r="BK172" s="452">
        <v>227020000</v>
      </c>
      <c r="BL172" s="351">
        <v>227020000</v>
      </c>
      <c r="BM172" s="351">
        <v>0</v>
      </c>
      <c r="BN172" s="351">
        <v>0</v>
      </c>
      <c r="BO172" s="351">
        <v>0</v>
      </c>
      <c r="BP172" s="351">
        <v>0</v>
      </c>
      <c r="BQ172" s="351">
        <v>0</v>
      </c>
      <c r="BR172" s="351">
        <v>0</v>
      </c>
      <c r="BS172" s="351">
        <v>0</v>
      </c>
      <c r="BT172" s="351">
        <v>0</v>
      </c>
      <c r="BU172" s="351">
        <v>0</v>
      </c>
      <c r="BV172" s="350">
        <f t="shared" si="131"/>
        <v>8.2500000000000004E-2</v>
      </c>
      <c r="BW172" s="350">
        <v>5000</v>
      </c>
      <c r="BX172" s="385">
        <f t="shared" si="166"/>
        <v>0.5</v>
      </c>
      <c r="BY172" s="399">
        <v>58</v>
      </c>
      <c r="BZ172" s="398">
        <v>58</v>
      </c>
      <c r="CA172" s="690">
        <v>5563</v>
      </c>
      <c r="CB172" s="324">
        <f t="shared" si="167"/>
        <v>5563</v>
      </c>
      <c r="CC172" s="324">
        <f t="shared" si="168"/>
        <v>111.26</v>
      </c>
      <c r="CD172" s="384">
        <f t="shared" si="135"/>
        <v>100</v>
      </c>
      <c r="CE172" s="383">
        <f t="shared" si="136"/>
        <v>8.2500000000000004E-2</v>
      </c>
      <c r="CF172" s="367">
        <f t="shared" si="137"/>
        <v>100</v>
      </c>
      <c r="CG172" s="383">
        <f t="shared" si="138"/>
        <v>9.178950000000001E-2</v>
      </c>
      <c r="CH172" s="320">
        <f t="shared" si="139"/>
        <v>0</v>
      </c>
      <c r="CI172" s="319">
        <v>0</v>
      </c>
      <c r="CJ172" s="318">
        <f t="shared" si="169"/>
        <v>0</v>
      </c>
      <c r="CK172" s="1258">
        <v>0</v>
      </c>
      <c r="CL172" s="301">
        <f t="shared" si="170"/>
        <v>0</v>
      </c>
      <c r="CM172" s="381">
        <f t="shared" si="171"/>
        <v>0</v>
      </c>
      <c r="CN172" s="381">
        <f t="shared" si="172"/>
        <v>0</v>
      </c>
      <c r="CO172" s="316">
        <f t="shared" si="144"/>
        <v>0</v>
      </c>
      <c r="CP172" s="381">
        <f t="shared" si="145"/>
        <v>0</v>
      </c>
      <c r="CQ172" s="381">
        <f t="shared" si="146"/>
        <v>0</v>
      </c>
      <c r="CR172" s="313">
        <v>275000000</v>
      </c>
      <c r="CS172" s="313">
        <v>150000000</v>
      </c>
      <c r="CT172" s="313">
        <v>0</v>
      </c>
      <c r="CU172" s="313">
        <v>0</v>
      </c>
      <c r="CV172" s="313">
        <v>0</v>
      </c>
      <c r="CW172" s="313">
        <v>0</v>
      </c>
      <c r="CX172" s="313">
        <v>0</v>
      </c>
      <c r="CY172" s="313">
        <v>125000000</v>
      </c>
      <c r="CZ172" s="380">
        <v>0</v>
      </c>
      <c r="DA172" s="380">
        <v>0</v>
      </c>
      <c r="DB172" s="380">
        <v>0</v>
      </c>
      <c r="DC172" s="380">
        <v>0</v>
      </c>
      <c r="DD172" s="380">
        <v>0</v>
      </c>
      <c r="DE172" s="380">
        <v>0</v>
      </c>
      <c r="DF172" s="380">
        <v>0</v>
      </c>
      <c r="DG172" s="380">
        <v>0</v>
      </c>
      <c r="DH172" s="380">
        <v>0</v>
      </c>
      <c r="DI172" s="380">
        <v>0</v>
      </c>
      <c r="DJ172" s="380">
        <v>0</v>
      </c>
      <c r="DK172" s="702">
        <f t="shared" si="173"/>
        <v>12358</v>
      </c>
      <c r="DL172" s="311">
        <f t="shared" si="148"/>
        <v>0.16500000000000001</v>
      </c>
      <c r="DM172" s="310">
        <f t="shared" si="149"/>
        <v>123.58</v>
      </c>
      <c r="DN172" s="356">
        <f t="shared" si="150"/>
        <v>100</v>
      </c>
      <c r="DO172" s="308">
        <f t="shared" si="151"/>
        <v>0.16500000000000001</v>
      </c>
      <c r="DP172" s="359">
        <f>+IF(((DN172*Q172)/100)&lt;Q172, ((DN172*Q172)/100),Q172)</f>
        <v>0.16500000000000001</v>
      </c>
      <c r="DQ172" s="306">
        <f t="shared" si="152"/>
        <v>0.16500000000000001</v>
      </c>
      <c r="DR172" s="379">
        <f t="shared" si="153"/>
        <v>1</v>
      </c>
      <c r="DS172" s="378">
        <f t="shared" si="154"/>
        <v>-1.3877787807814457E-17</v>
      </c>
      <c r="DT172" s="173">
        <v>200</v>
      </c>
      <c r="DU172" s="174" t="s">
        <v>397</v>
      </c>
      <c r="DV172" s="173">
        <v>202</v>
      </c>
      <c r="DW172" s="174" t="s">
        <v>121</v>
      </c>
      <c r="DX172" s="173"/>
      <c r="DY172" s="173"/>
      <c r="DZ172" s="173"/>
      <c r="EA172" s="665"/>
      <c r="EB172" s="1254" t="s">
        <v>3235</v>
      </c>
      <c r="EC172" s="537">
        <v>6126000000</v>
      </c>
      <c r="EE172" s="734">
        <v>2000</v>
      </c>
      <c r="EF172" s="706"/>
    </row>
    <row r="173" spans="4:136" s="302" customFormat="1" ht="51" hidden="1">
      <c r="D173" s="520">
        <v>170</v>
      </c>
      <c r="E173" s="534">
        <v>214</v>
      </c>
      <c r="F173" s="336" t="s">
        <v>43</v>
      </c>
      <c r="G173" s="336" t="s">
        <v>7</v>
      </c>
      <c r="H173" s="336" t="s">
        <v>2657</v>
      </c>
      <c r="I173" s="336" t="s">
        <v>497</v>
      </c>
      <c r="J173" s="335" t="s">
        <v>1274</v>
      </c>
      <c r="K173" s="335" t="s">
        <v>499</v>
      </c>
      <c r="L173" s="454" t="s">
        <v>1463</v>
      </c>
      <c r="M173" s="333" t="s">
        <v>1771</v>
      </c>
      <c r="N173" s="333">
        <v>3987</v>
      </c>
      <c r="O173" s="333">
        <f>+N173+P173</f>
        <v>4487</v>
      </c>
      <c r="P173" s="332">
        <v>500</v>
      </c>
      <c r="Q173" s="393">
        <v>0.16500000000000001</v>
      </c>
      <c r="R173" s="342">
        <f t="shared" si="118"/>
        <v>0</v>
      </c>
      <c r="S173" s="459">
        <v>0</v>
      </c>
      <c r="T173" s="387">
        <f t="shared" si="160"/>
        <v>0</v>
      </c>
      <c r="U173" s="670">
        <v>0</v>
      </c>
      <c r="V173" s="388">
        <f t="shared" si="161"/>
        <v>0</v>
      </c>
      <c r="W173" s="356">
        <f t="shared" si="162"/>
        <v>0</v>
      </c>
      <c r="X173" s="356">
        <f t="shared" si="122"/>
        <v>0</v>
      </c>
      <c r="Y173" s="356">
        <f t="shared" si="155"/>
        <v>0</v>
      </c>
      <c r="Z173" s="356">
        <f t="shared" si="123"/>
        <v>0</v>
      </c>
      <c r="AA173" s="313">
        <v>0</v>
      </c>
      <c r="AB173" s="313">
        <v>0</v>
      </c>
      <c r="AC173" s="313">
        <v>0</v>
      </c>
      <c r="AD173" s="313">
        <v>0</v>
      </c>
      <c r="AE173" s="313">
        <v>0</v>
      </c>
      <c r="AF173" s="313">
        <v>0</v>
      </c>
      <c r="AG173" s="313">
        <v>0</v>
      </c>
      <c r="AH173" s="313">
        <v>0</v>
      </c>
      <c r="AI173" s="313">
        <v>0</v>
      </c>
      <c r="AJ173" s="313">
        <v>0</v>
      </c>
      <c r="AK173" s="313">
        <v>0</v>
      </c>
      <c r="AL173" s="313">
        <v>0</v>
      </c>
      <c r="AM173" s="313">
        <v>0</v>
      </c>
      <c r="AN173" s="313">
        <v>0</v>
      </c>
      <c r="AO173" s="313">
        <v>0</v>
      </c>
      <c r="AP173" s="313">
        <v>0</v>
      </c>
      <c r="AQ173" s="313">
        <v>0</v>
      </c>
      <c r="AR173" s="313">
        <v>0</v>
      </c>
      <c r="AS173" s="313">
        <v>0</v>
      </c>
      <c r="AT173" s="392">
        <f t="shared" si="124"/>
        <v>6.6000000000000003E-2</v>
      </c>
      <c r="AU173" s="333">
        <v>200</v>
      </c>
      <c r="AV173" s="387">
        <f t="shared" si="163"/>
        <v>0.4</v>
      </c>
      <c r="AW173" s="677">
        <v>219</v>
      </c>
      <c r="AX173" s="366">
        <f t="shared" si="164"/>
        <v>219</v>
      </c>
      <c r="AY173" s="366">
        <f t="shared" si="165"/>
        <v>109.5</v>
      </c>
      <c r="AZ173" s="366">
        <f t="shared" si="128"/>
        <v>100</v>
      </c>
      <c r="BA173" s="354">
        <f t="shared" si="129"/>
        <v>6.6000000000000003E-2</v>
      </c>
      <c r="BB173" s="354">
        <f t="shared" si="130"/>
        <v>100</v>
      </c>
      <c r="BC173" s="353">
        <v>65000000</v>
      </c>
      <c r="BD173" s="353">
        <v>0</v>
      </c>
      <c r="BE173" s="353">
        <v>65000000</v>
      </c>
      <c r="BF173" s="353">
        <v>0</v>
      </c>
      <c r="BG173" s="353">
        <v>0</v>
      </c>
      <c r="BH173" s="353">
        <v>0</v>
      </c>
      <c r="BI173" s="353">
        <v>0</v>
      </c>
      <c r="BJ173" s="353">
        <v>0</v>
      </c>
      <c r="BK173" s="452">
        <v>0</v>
      </c>
      <c r="BL173" s="351">
        <v>0</v>
      </c>
      <c r="BM173" s="351">
        <v>0</v>
      </c>
      <c r="BN173" s="351">
        <v>0</v>
      </c>
      <c r="BO173" s="351">
        <v>0</v>
      </c>
      <c r="BP173" s="351">
        <v>0</v>
      </c>
      <c r="BQ173" s="351">
        <v>0</v>
      </c>
      <c r="BR173" s="351">
        <v>0</v>
      </c>
      <c r="BS173" s="351">
        <v>0</v>
      </c>
      <c r="BT173" s="351">
        <v>0</v>
      </c>
      <c r="BU173" s="351">
        <v>0</v>
      </c>
      <c r="BV173" s="350">
        <f t="shared" si="131"/>
        <v>0</v>
      </c>
      <c r="BW173" s="350">
        <v>0</v>
      </c>
      <c r="BX173" s="385">
        <f t="shared" si="166"/>
        <v>0</v>
      </c>
      <c r="BY173" s="399">
        <v>0</v>
      </c>
      <c r="BZ173" s="398">
        <v>0</v>
      </c>
      <c r="CA173" s="690">
        <v>0</v>
      </c>
      <c r="CB173" s="324">
        <f t="shared" si="167"/>
        <v>0</v>
      </c>
      <c r="CC173" s="324">
        <f t="shared" si="168"/>
        <v>0</v>
      </c>
      <c r="CD173" s="384">
        <f t="shared" si="135"/>
        <v>0</v>
      </c>
      <c r="CE173" s="383">
        <f t="shared" si="136"/>
        <v>0</v>
      </c>
      <c r="CF173" s="367">
        <f t="shared" si="137"/>
        <v>0</v>
      </c>
      <c r="CG173" s="383">
        <f t="shared" si="138"/>
        <v>0</v>
      </c>
      <c r="CH173" s="320">
        <f t="shared" si="139"/>
        <v>9.9000000000000005E-2</v>
      </c>
      <c r="CI173" s="319">
        <v>300</v>
      </c>
      <c r="CJ173" s="318">
        <f t="shared" si="169"/>
        <v>0.6</v>
      </c>
      <c r="CK173" s="1259">
        <v>305</v>
      </c>
      <c r="CL173" s="301">
        <f t="shared" si="170"/>
        <v>-5</v>
      </c>
      <c r="CM173" s="381">
        <f t="shared" si="171"/>
        <v>305</v>
      </c>
      <c r="CN173" s="381">
        <f t="shared" si="172"/>
        <v>101.66666666666667</v>
      </c>
      <c r="CO173" s="316">
        <f t="shared" si="144"/>
        <v>100</v>
      </c>
      <c r="CP173" s="381">
        <f t="shared" si="145"/>
        <v>9.9000000000000005E-2</v>
      </c>
      <c r="CQ173" s="381">
        <f t="shared" si="146"/>
        <v>0.10065000000000002</v>
      </c>
      <c r="CR173" s="313">
        <v>150000000</v>
      </c>
      <c r="CS173" s="313">
        <v>150000000</v>
      </c>
      <c r="CT173" s="313">
        <v>0</v>
      </c>
      <c r="CU173" s="313">
        <v>0</v>
      </c>
      <c r="CV173" s="313">
        <v>0</v>
      </c>
      <c r="CW173" s="313">
        <v>0</v>
      </c>
      <c r="CX173" s="313">
        <v>0</v>
      </c>
      <c r="CY173" s="313">
        <v>0</v>
      </c>
      <c r="CZ173" s="380">
        <v>0</v>
      </c>
      <c r="DA173" s="380">
        <v>0</v>
      </c>
      <c r="DB173" s="380">
        <v>0</v>
      </c>
      <c r="DC173" s="380">
        <v>0</v>
      </c>
      <c r="DD173" s="380">
        <v>0</v>
      </c>
      <c r="DE173" s="380">
        <v>0</v>
      </c>
      <c r="DF173" s="380">
        <v>0</v>
      </c>
      <c r="DG173" s="380">
        <v>0</v>
      </c>
      <c r="DH173" s="380">
        <v>0</v>
      </c>
      <c r="DI173" s="380">
        <v>0</v>
      </c>
      <c r="DJ173" s="380">
        <v>0</v>
      </c>
      <c r="DK173" s="702">
        <f t="shared" si="173"/>
        <v>524</v>
      </c>
      <c r="DL173" s="311">
        <f t="shared" si="148"/>
        <v>0.16500000000000001</v>
      </c>
      <c r="DM173" s="310">
        <f t="shared" si="149"/>
        <v>104.8</v>
      </c>
      <c r="DN173" s="356">
        <f t="shared" si="150"/>
        <v>100</v>
      </c>
      <c r="DO173" s="308">
        <f t="shared" si="151"/>
        <v>0.16500000000000001</v>
      </c>
      <c r="DP173" s="359">
        <f>+IF(((DN173*Q173)/100)&lt;Q173, ((DN173*Q173)/100),Q173)</f>
        <v>0.16500000000000001</v>
      </c>
      <c r="DQ173" s="306">
        <f t="shared" si="152"/>
        <v>0.16500000000000001</v>
      </c>
      <c r="DR173" s="379">
        <f t="shared" si="153"/>
        <v>1</v>
      </c>
      <c r="DS173" s="378">
        <f t="shared" si="154"/>
        <v>0</v>
      </c>
      <c r="DT173" s="173">
        <v>202</v>
      </c>
      <c r="DU173" s="174" t="s">
        <v>121</v>
      </c>
      <c r="DV173" s="173"/>
      <c r="DW173" s="174" t="s">
        <v>84</v>
      </c>
      <c r="DX173" s="173"/>
      <c r="DY173" s="173"/>
      <c r="DZ173" s="173"/>
      <c r="EA173" s="665"/>
      <c r="EB173" s="1254" t="s">
        <v>3236</v>
      </c>
      <c r="EC173" s="537">
        <v>1531000000</v>
      </c>
      <c r="EE173" s="734">
        <v>60</v>
      </c>
      <c r="EF173" s="706"/>
    </row>
    <row r="174" spans="4:136" s="302" customFormat="1" ht="127.5" hidden="1">
      <c r="D174" s="520">
        <v>171</v>
      </c>
      <c r="E174" s="534">
        <v>215</v>
      </c>
      <c r="F174" s="523" t="s">
        <v>43</v>
      </c>
      <c r="G174" s="523" t="s">
        <v>7</v>
      </c>
      <c r="H174" s="524" t="s">
        <v>2657</v>
      </c>
      <c r="I174" s="462" t="s">
        <v>497</v>
      </c>
      <c r="J174" s="335" t="s">
        <v>500</v>
      </c>
      <c r="K174" s="335" t="s">
        <v>501</v>
      </c>
      <c r="L174" s="454" t="s">
        <v>1463</v>
      </c>
      <c r="M174" s="333" t="s">
        <v>1771</v>
      </c>
      <c r="N174" s="333">
        <v>3545</v>
      </c>
      <c r="O174" s="333">
        <f>+N174+P174</f>
        <v>14545</v>
      </c>
      <c r="P174" s="332">
        <v>11000</v>
      </c>
      <c r="Q174" s="390">
        <v>0.16500000000000001</v>
      </c>
      <c r="R174" s="342">
        <f t="shared" si="118"/>
        <v>0</v>
      </c>
      <c r="S174" s="459">
        <v>0</v>
      </c>
      <c r="T174" s="387">
        <f t="shared" si="160"/>
        <v>0</v>
      </c>
      <c r="U174" s="670">
        <v>0</v>
      </c>
      <c r="V174" s="388">
        <f t="shared" si="161"/>
        <v>0</v>
      </c>
      <c r="W174" s="356">
        <f t="shared" si="162"/>
        <v>0</v>
      </c>
      <c r="X174" s="356">
        <f t="shared" si="122"/>
        <v>0</v>
      </c>
      <c r="Y174" s="356">
        <f t="shared" si="155"/>
        <v>0</v>
      </c>
      <c r="Z174" s="356">
        <f t="shared" si="123"/>
        <v>0</v>
      </c>
      <c r="AA174" s="313">
        <v>0</v>
      </c>
      <c r="AB174" s="313">
        <v>0</v>
      </c>
      <c r="AC174" s="313">
        <v>0</v>
      </c>
      <c r="AD174" s="313">
        <v>0</v>
      </c>
      <c r="AE174" s="313">
        <v>0</v>
      </c>
      <c r="AF174" s="313">
        <v>0</v>
      </c>
      <c r="AG174" s="313">
        <v>0</v>
      </c>
      <c r="AH174" s="313">
        <v>0</v>
      </c>
      <c r="AI174" s="313">
        <v>0</v>
      </c>
      <c r="AJ174" s="313">
        <v>0</v>
      </c>
      <c r="AK174" s="313">
        <v>0</v>
      </c>
      <c r="AL174" s="313">
        <v>0</v>
      </c>
      <c r="AM174" s="313">
        <v>0</v>
      </c>
      <c r="AN174" s="313">
        <v>0</v>
      </c>
      <c r="AO174" s="313">
        <v>0</v>
      </c>
      <c r="AP174" s="313">
        <v>0</v>
      </c>
      <c r="AQ174" s="313">
        <v>0</v>
      </c>
      <c r="AR174" s="313">
        <v>0</v>
      </c>
      <c r="AS174" s="313">
        <v>0</v>
      </c>
      <c r="AT174" s="333">
        <f t="shared" si="124"/>
        <v>0.09</v>
      </c>
      <c r="AU174" s="333">
        <v>6000</v>
      </c>
      <c r="AV174" s="387">
        <f t="shared" si="163"/>
        <v>0.54545454545454541</v>
      </c>
      <c r="AW174" s="677">
        <v>6091</v>
      </c>
      <c r="AX174" s="366">
        <f t="shared" si="164"/>
        <v>6091</v>
      </c>
      <c r="AY174" s="366">
        <f t="shared" si="165"/>
        <v>101.51666666666667</v>
      </c>
      <c r="AZ174" s="366">
        <f t="shared" si="128"/>
        <v>100</v>
      </c>
      <c r="BA174" s="354">
        <f t="shared" si="129"/>
        <v>0.09</v>
      </c>
      <c r="BB174" s="354">
        <f t="shared" si="130"/>
        <v>100</v>
      </c>
      <c r="BC174" s="353">
        <v>57000000</v>
      </c>
      <c r="BD174" s="353">
        <v>0</v>
      </c>
      <c r="BE174" s="353">
        <v>57000000</v>
      </c>
      <c r="BF174" s="353">
        <v>0</v>
      </c>
      <c r="BG174" s="353">
        <v>0</v>
      </c>
      <c r="BH174" s="353">
        <v>0</v>
      </c>
      <c r="BI174" s="353">
        <v>0</v>
      </c>
      <c r="BJ174" s="353">
        <v>0</v>
      </c>
      <c r="BK174" s="452">
        <v>50000000</v>
      </c>
      <c r="BL174" s="351">
        <v>50000000</v>
      </c>
      <c r="BM174" s="351">
        <v>0</v>
      </c>
      <c r="BN174" s="351">
        <v>0</v>
      </c>
      <c r="BO174" s="351">
        <v>0</v>
      </c>
      <c r="BP174" s="351">
        <v>0</v>
      </c>
      <c r="BQ174" s="351">
        <v>0</v>
      </c>
      <c r="BR174" s="351">
        <v>0</v>
      </c>
      <c r="BS174" s="351">
        <v>0</v>
      </c>
      <c r="BT174" s="351">
        <v>0</v>
      </c>
      <c r="BU174" s="351">
        <v>0</v>
      </c>
      <c r="BV174" s="350">
        <f t="shared" si="131"/>
        <v>6.0000000000000005E-2</v>
      </c>
      <c r="BW174" s="350">
        <v>4000</v>
      </c>
      <c r="BX174" s="385">
        <f t="shared" si="166"/>
        <v>0.36363636363636365</v>
      </c>
      <c r="BY174" s="399">
        <v>600</v>
      </c>
      <c r="BZ174" s="398">
        <v>600</v>
      </c>
      <c r="CA174" s="690">
        <v>9618</v>
      </c>
      <c r="CB174" s="324">
        <f t="shared" si="167"/>
        <v>9618</v>
      </c>
      <c r="CC174" s="324">
        <f t="shared" si="168"/>
        <v>240.45</v>
      </c>
      <c r="CD174" s="384">
        <f t="shared" si="135"/>
        <v>100</v>
      </c>
      <c r="CE174" s="383">
        <f t="shared" si="136"/>
        <v>6.0000000000000012E-2</v>
      </c>
      <c r="CF174" s="367">
        <f t="shared" si="137"/>
        <v>100</v>
      </c>
      <c r="CG174" s="383">
        <f t="shared" si="138"/>
        <v>0.14427000000000001</v>
      </c>
      <c r="CH174" s="320">
        <f t="shared" si="139"/>
        <v>1.5000000000000001E-2</v>
      </c>
      <c r="CI174" s="319">
        <v>1000</v>
      </c>
      <c r="CJ174" s="318">
        <f t="shared" si="169"/>
        <v>9.0909090909090912E-2</v>
      </c>
      <c r="CK174" s="1259">
        <v>4561</v>
      </c>
      <c r="CL174" s="301">
        <f t="shared" si="170"/>
        <v>-3561</v>
      </c>
      <c r="CM174" s="381">
        <f t="shared" si="171"/>
        <v>4561</v>
      </c>
      <c r="CN174" s="381">
        <f t="shared" si="172"/>
        <v>456.1</v>
      </c>
      <c r="CO174" s="316">
        <f t="shared" si="144"/>
        <v>100</v>
      </c>
      <c r="CP174" s="381">
        <f t="shared" si="145"/>
        <v>1.5000000000000003E-2</v>
      </c>
      <c r="CQ174" s="381">
        <f t="shared" si="146"/>
        <v>6.8415000000000004E-2</v>
      </c>
      <c r="CR174" s="313">
        <v>132000000</v>
      </c>
      <c r="CS174" s="313">
        <v>132000000</v>
      </c>
      <c r="CT174" s="313">
        <v>0</v>
      </c>
      <c r="CU174" s="313">
        <v>0</v>
      </c>
      <c r="CV174" s="313">
        <v>0</v>
      </c>
      <c r="CW174" s="313">
        <v>0</v>
      </c>
      <c r="CX174" s="313">
        <v>0</v>
      </c>
      <c r="CY174" s="313">
        <v>0</v>
      </c>
      <c r="CZ174" s="380">
        <v>0</v>
      </c>
      <c r="DA174" s="380">
        <v>0</v>
      </c>
      <c r="DB174" s="380">
        <v>0</v>
      </c>
      <c r="DC174" s="380">
        <v>0</v>
      </c>
      <c r="DD174" s="380">
        <v>0</v>
      </c>
      <c r="DE174" s="380">
        <v>0</v>
      </c>
      <c r="DF174" s="380">
        <v>0</v>
      </c>
      <c r="DG174" s="380">
        <v>0</v>
      </c>
      <c r="DH174" s="380">
        <v>0</v>
      </c>
      <c r="DI174" s="380">
        <v>0</v>
      </c>
      <c r="DJ174" s="380">
        <v>0</v>
      </c>
      <c r="DK174" s="702">
        <f t="shared" si="173"/>
        <v>20270</v>
      </c>
      <c r="DL174" s="311">
        <f t="shared" si="148"/>
        <v>0.16500000000000001</v>
      </c>
      <c r="DM174" s="310">
        <f t="shared" si="149"/>
        <v>184.27272727272728</v>
      </c>
      <c r="DN174" s="356">
        <f t="shared" si="150"/>
        <v>100</v>
      </c>
      <c r="DO174" s="308">
        <f t="shared" si="151"/>
        <v>0.16500000000000001</v>
      </c>
      <c r="DP174" s="359">
        <f>+IF(((DN174*Q174)/100)&lt;Q174, ((DN174*Q174)/100),Q174)</f>
        <v>0.16500000000000001</v>
      </c>
      <c r="DQ174" s="306">
        <f t="shared" si="152"/>
        <v>0.16500000000000001</v>
      </c>
      <c r="DR174" s="379">
        <f t="shared" si="153"/>
        <v>1</v>
      </c>
      <c r="DS174" s="378">
        <f t="shared" si="154"/>
        <v>0</v>
      </c>
      <c r="DT174" s="173">
        <v>202</v>
      </c>
      <c r="DU174" s="174" t="s">
        <v>121</v>
      </c>
      <c r="DV174" s="173"/>
      <c r="DW174" s="174" t="s">
        <v>84</v>
      </c>
      <c r="DX174" s="173"/>
      <c r="DY174" s="173"/>
      <c r="DZ174" s="173"/>
      <c r="EA174" s="665"/>
      <c r="EB174" s="1254" t="s">
        <v>3237</v>
      </c>
      <c r="EC174" s="537">
        <v>0</v>
      </c>
      <c r="EE174" s="734">
        <v>116</v>
      </c>
      <c r="EF174" s="706"/>
    </row>
    <row r="175" spans="4:136" s="302" customFormat="1" ht="102" hidden="1">
      <c r="D175" s="520">
        <v>172</v>
      </c>
      <c r="E175" s="534">
        <v>216</v>
      </c>
      <c r="F175" s="523" t="s">
        <v>43</v>
      </c>
      <c r="G175" s="523" t="s">
        <v>7</v>
      </c>
      <c r="H175" s="524" t="s">
        <v>2657</v>
      </c>
      <c r="I175" s="462" t="s">
        <v>497</v>
      </c>
      <c r="J175" s="335" t="s">
        <v>502</v>
      </c>
      <c r="K175" s="335" t="s">
        <v>503</v>
      </c>
      <c r="L175" s="454" t="s">
        <v>1501</v>
      </c>
      <c r="M175" s="333" t="s">
        <v>1771</v>
      </c>
      <c r="N175" s="333">
        <v>2000</v>
      </c>
      <c r="O175" s="333">
        <f>+N175+P175</f>
        <v>7000</v>
      </c>
      <c r="P175" s="332">
        <v>5000</v>
      </c>
      <c r="Q175" s="390">
        <v>0.16500000000000001</v>
      </c>
      <c r="R175" s="342">
        <f t="shared" si="118"/>
        <v>1.221E-2</v>
      </c>
      <c r="S175" s="459">
        <v>370</v>
      </c>
      <c r="T175" s="387">
        <f t="shared" si="160"/>
        <v>7.3999999999999996E-2</v>
      </c>
      <c r="U175" s="670">
        <v>370</v>
      </c>
      <c r="V175" s="388">
        <f t="shared" si="161"/>
        <v>370</v>
      </c>
      <c r="W175" s="356">
        <f t="shared" si="162"/>
        <v>100</v>
      </c>
      <c r="X175" s="356">
        <f t="shared" si="122"/>
        <v>100</v>
      </c>
      <c r="Y175" s="356">
        <f t="shared" si="155"/>
        <v>1.221E-2</v>
      </c>
      <c r="Z175" s="356">
        <f t="shared" si="123"/>
        <v>100</v>
      </c>
      <c r="AA175" s="313">
        <v>274000000</v>
      </c>
      <c r="AB175" s="313">
        <v>134000000</v>
      </c>
      <c r="AC175" s="313">
        <v>0</v>
      </c>
      <c r="AD175" s="313">
        <v>0</v>
      </c>
      <c r="AE175" s="313">
        <v>0</v>
      </c>
      <c r="AF175" s="313">
        <v>0</v>
      </c>
      <c r="AG175" s="313">
        <v>0</v>
      </c>
      <c r="AH175" s="313">
        <v>140000000</v>
      </c>
      <c r="AI175" s="313">
        <v>144750000</v>
      </c>
      <c r="AJ175" s="313">
        <v>144750000</v>
      </c>
      <c r="AK175" s="313">
        <v>0</v>
      </c>
      <c r="AL175" s="313">
        <v>0</v>
      </c>
      <c r="AM175" s="313">
        <v>0</v>
      </c>
      <c r="AN175" s="313">
        <v>0</v>
      </c>
      <c r="AO175" s="313">
        <v>0</v>
      </c>
      <c r="AP175" s="313">
        <v>0</v>
      </c>
      <c r="AQ175" s="313">
        <v>0</v>
      </c>
      <c r="AR175" s="313">
        <v>210000000</v>
      </c>
      <c r="AS175" s="313" t="s">
        <v>1981</v>
      </c>
      <c r="AT175" s="333">
        <f t="shared" si="124"/>
        <v>3.993E-2</v>
      </c>
      <c r="AU175" s="333">
        <v>1210</v>
      </c>
      <c r="AV175" s="387">
        <f t="shared" si="163"/>
        <v>0.24199999999999999</v>
      </c>
      <c r="AW175" s="677">
        <v>500</v>
      </c>
      <c r="AX175" s="366">
        <f t="shared" si="164"/>
        <v>500</v>
      </c>
      <c r="AY175" s="366">
        <f t="shared" si="165"/>
        <v>41.32231404958678</v>
      </c>
      <c r="AZ175" s="366">
        <f t="shared" si="128"/>
        <v>41.32231404958678</v>
      </c>
      <c r="BA175" s="354">
        <f t="shared" si="129"/>
        <v>1.6500000000000001E-2</v>
      </c>
      <c r="BB175" s="354">
        <f t="shared" si="130"/>
        <v>41.32231404958678</v>
      </c>
      <c r="BC175" s="353">
        <v>104000000</v>
      </c>
      <c r="BD175" s="353">
        <v>0</v>
      </c>
      <c r="BE175" s="353">
        <v>104000000</v>
      </c>
      <c r="BF175" s="353">
        <v>0</v>
      </c>
      <c r="BG175" s="353">
        <v>0</v>
      </c>
      <c r="BH175" s="353">
        <v>0</v>
      </c>
      <c r="BI175" s="353">
        <v>0</v>
      </c>
      <c r="BJ175" s="353">
        <v>0</v>
      </c>
      <c r="BK175" s="452">
        <v>60000000</v>
      </c>
      <c r="BL175" s="351">
        <v>60000000</v>
      </c>
      <c r="BM175" s="351">
        <v>0</v>
      </c>
      <c r="BN175" s="351">
        <v>0</v>
      </c>
      <c r="BO175" s="351">
        <v>0</v>
      </c>
      <c r="BP175" s="351">
        <v>0</v>
      </c>
      <c r="BQ175" s="351">
        <v>0</v>
      </c>
      <c r="BR175" s="351">
        <v>0</v>
      </c>
      <c r="BS175" s="351">
        <v>0</v>
      </c>
      <c r="BT175" s="351">
        <v>0</v>
      </c>
      <c r="BU175" s="351">
        <v>0</v>
      </c>
      <c r="BV175" s="350">
        <f t="shared" si="131"/>
        <v>5.6430000000000008E-2</v>
      </c>
      <c r="BW175" s="350">
        <v>1710</v>
      </c>
      <c r="BX175" s="385">
        <f t="shared" si="166"/>
        <v>0.34200000000000003</v>
      </c>
      <c r="BY175" s="399">
        <v>200</v>
      </c>
      <c r="BZ175" s="398">
        <v>200</v>
      </c>
      <c r="CA175" s="690">
        <v>1646</v>
      </c>
      <c r="CB175" s="324">
        <f t="shared" si="167"/>
        <v>1646</v>
      </c>
      <c r="CC175" s="324">
        <f t="shared" si="168"/>
        <v>96.257309941520461</v>
      </c>
      <c r="CD175" s="384">
        <f t="shared" si="135"/>
        <v>96.257309941520461</v>
      </c>
      <c r="CE175" s="383">
        <f t="shared" si="136"/>
        <v>5.4317999999999998E-2</v>
      </c>
      <c r="CF175" s="367">
        <f t="shared" si="137"/>
        <v>96.257309941520461</v>
      </c>
      <c r="CG175" s="383">
        <f t="shared" si="138"/>
        <v>5.4317999999999998E-2</v>
      </c>
      <c r="CH175" s="320">
        <f t="shared" si="139"/>
        <v>5.6430000000000008E-2</v>
      </c>
      <c r="CI175" s="319">
        <v>1710</v>
      </c>
      <c r="CJ175" s="318">
        <f t="shared" si="169"/>
        <v>0.34200000000000003</v>
      </c>
      <c r="CK175" s="1259">
        <v>3400</v>
      </c>
      <c r="CL175" s="301">
        <f t="shared" si="170"/>
        <v>-1690</v>
      </c>
      <c r="CM175" s="381">
        <f t="shared" si="171"/>
        <v>3400</v>
      </c>
      <c r="CN175" s="381">
        <f t="shared" si="172"/>
        <v>198.83040935672514</v>
      </c>
      <c r="CO175" s="316">
        <f t="shared" si="144"/>
        <v>100</v>
      </c>
      <c r="CP175" s="381">
        <f t="shared" si="145"/>
        <v>5.6430000000000008E-2</v>
      </c>
      <c r="CQ175" s="381">
        <f t="shared" si="146"/>
        <v>0.11220000000000001</v>
      </c>
      <c r="CR175" s="313">
        <v>240000000</v>
      </c>
      <c r="CS175" s="313">
        <v>240000000</v>
      </c>
      <c r="CT175" s="313">
        <v>0</v>
      </c>
      <c r="CU175" s="313">
        <v>0</v>
      </c>
      <c r="CV175" s="313">
        <v>0</v>
      </c>
      <c r="CW175" s="313">
        <v>0</v>
      </c>
      <c r="CX175" s="313">
        <v>0</v>
      </c>
      <c r="CY175" s="313">
        <v>0</v>
      </c>
      <c r="CZ175" s="380">
        <v>0</v>
      </c>
      <c r="DA175" s="380">
        <v>0</v>
      </c>
      <c r="DB175" s="380">
        <v>0</v>
      </c>
      <c r="DC175" s="380">
        <v>0</v>
      </c>
      <c r="DD175" s="380">
        <v>0</v>
      </c>
      <c r="DE175" s="380">
        <v>0</v>
      </c>
      <c r="DF175" s="380">
        <v>0</v>
      </c>
      <c r="DG175" s="380">
        <v>0</v>
      </c>
      <c r="DH175" s="380">
        <v>0</v>
      </c>
      <c r="DI175" s="380">
        <v>0</v>
      </c>
      <c r="DJ175" s="380">
        <v>0</v>
      </c>
      <c r="DK175" s="702">
        <f t="shared" si="173"/>
        <v>5916</v>
      </c>
      <c r="DL175" s="311">
        <f t="shared" si="148"/>
        <v>0.16500000000000001</v>
      </c>
      <c r="DM175" s="310">
        <f t="shared" si="149"/>
        <v>118.32</v>
      </c>
      <c r="DN175" s="356">
        <f t="shared" si="150"/>
        <v>100</v>
      </c>
      <c r="DO175" s="308">
        <f t="shared" si="151"/>
        <v>0.16500000000000001</v>
      </c>
      <c r="DP175" s="359">
        <f>+IF(((DN175*Q175)/100)&lt;Q175, ((DN175*Q175)/100),Q175)</f>
        <v>0.16500000000000001</v>
      </c>
      <c r="DQ175" s="306">
        <f t="shared" si="152"/>
        <v>0.16500000000000001</v>
      </c>
      <c r="DR175" s="379">
        <f t="shared" si="153"/>
        <v>1</v>
      </c>
      <c r="DS175" s="378">
        <f t="shared" si="154"/>
        <v>0</v>
      </c>
      <c r="DT175" s="173">
        <v>200</v>
      </c>
      <c r="DU175" s="174" t="s">
        <v>397</v>
      </c>
      <c r="DV175" s="173">
        <v>202</v>
      </c>
      <c r="DW175" s="174" t="s">
        <v>121</v>
      </c>
      <c r="DX175" s="173"/>
      <c r="DY175" s="173"/>
      <c r="DZ175" s="173"/>
      <c r="EA175" s="665"/>
      <c r="EB175" s="1254" t="s">
        <v>3238</v>
      </c>
      <c r="EC175" s="537">
        <v>0</v>
      </c>
      <c r="EE175" s="734">
        <v>0</v>
      </c>
      <c r="EF175" s="706"/>
    </row>
    <row r="176" spans="4:136" s="302" customFormat="1" ht="51" hidden="1">
      <c r="D176" s="520">
        <v>173</v>
      </c>
      <c r="E176" s="534">
        <v>217</v>
      </c>
      <c r="F176" s="523" t="s">
        <v>43</v>
      </c>
      <c r="G176" s="523" t="s">
        <v>9</v>
      </c>
      <c r="H176" s="524" t="s">
        <v>2657</v>
      </c>
      <c r="I176" s="462" t="s">
        <v>497</v>
      </c>
      <c r="J176" s="335" t="s">
        <v>504</v>
      </c>
      <c r="K176" s="335" t="s">
        <v>505</v>
      </c>
      <c r="L176" s="453" t="s">
        <v>1953</v>
      </c>
      <c r="M176" s="333" t="s">
        <v>1785</v>
      </c>
      <c r="N176" s="333">
        <v>0</v>
      </c>
      <c r="O176" s="333">
        <f>+P176</f>
        <v>100</v>
      </c>
      <c r="P176" s="332">
        <v>100</v>
      </c>
      <c r="Q176" s="390">
        <v>0.16500000000000001</v>
      </c>
      <c r="R176" s="342">
        <f t="shared" si="118"/>
        <v>4.1250000000000002E-2</v>
      </c>
      <c r="S176" s="459">
        <v>100</v>
      </c>
      <c r="T176" s="387">
        <f t="shared" si="160"/>
        <v>0.25</v>
      </c>
      <c r="U176" s="670">
        <v>100</v>
      </c>
      <c r="V176" s="388">
        <f t="shared" si="161"/>
        <v>25</v>
      </c>
      <c r="W176" s="356">
        <f t="shared" si="162"/>
        <v>100</v>
      </c>
      <c r="X176" s="356">
        <f t="shared" si="122"/>
        <v>100</v>
      </c>
      <c r="Y176" s="356">
        <f t="shared" si="155"/>
        <v>4.1250000000000002E-2</v>
      </c>
      <c r="Z176" s="356">
        <f t="shared" si="123"/>
        <v>100</v>
      </c>
      <c r="AA176" s="313">
        <v>0</v>
      </c>
      <c r="AB176" s="313">
        <v>0</v>
      </c>
      <c r="AC176" s="313">
        <v>0</v>
      </c>
      <c r="AD176" s="313">
        <v>0</v>
      </c>
      <c r="AE176" s="313">
        <v>0</v>
      </c>
      <c r="AF176" s="313">
        <v>0</v>
      </c>
      <c r="AG176" s="313">
        <v>0</v>
      </c>
      <c r="AH176" s="313">
        <v>0</v>
      </c>
      <c r="AI176" s="313">
        <v>0</v>
      </c>
      <c r="AJ176" s="313">
        <v>0</v>
      </c>
      <c r="AK176" s="313">
        <v>0</v>
      </c>
      <c r="AL176" s="313">
        <v>0</v>
      </c>
      <c r="AM176" s="313">
        <v>0</v>
      </c>
      <c r="AN176" s="313">
        <v>0</v>
      </c>
      <c r="AO176" s="313">
        <v>0</v>
      </c>
      <c r="AP176" s="313">
        <v>0</v>
      </c>
      <c r="AQ176" s="313">
        <v>0</v>
      </c>
      <c r="AR176" s="313">
        <v>0</v>
      </c>
      <c r="AS176" s="313">
        <v>0</v>
      </c>
      <c r="AT176" s="333">
        <f t="shared" si="124"/>
        <v>4.1250000000000002E-2</v>
      </c>
      <c r="AU176" s="333">
        <v>100</v>
      </c>
      <c r="AV176" s="387">
        <f t="shared" si="163"/>
        <v>0.25</v>
      </c>
      <c r="AW176" s="677">
        <v>100</v>
      </c>
      <c r="AX176" s="366">
        <f t="shared" si="164"/>
        <v>25</v>
      </c>
      <c r="AY176" s="366">
        <f t="shared" si="165"/>
        <v>100</v>
      </c>
      <c r="AZ176" s="366">
        <f t="shared" si="128"/>
        <v>100</v>
      </c>
      <c r="BA176" s="354">
        <f t="shared" si="129"/>
        <v>4.1250000000000002E-2</v>
      </c>
      <c r="BB176" s="354">
        <f t="shared" si="130"/>
        <v>100</v>
      </c>
      <c r="BC176" s="353">
        <v>0</v>
      </c>
      <c r="BD176" s="353">
        <v>0</v>
      </c>
      <c r="BE176" s="353">
        <v>0</v>
      </c>
      <c r="BF176" s="353">
        <v>0</v>
      </c>
      <c r="BG176" s="353">
        <v>0</v>
      </c>
      <c r="BH176" s="353">
        <v>0</v>
      </c>
      <c r="BI176" s="353">
        <v>0</v>
      </c>
      <c r="BJ176" s="353">
        <v>0</v>
      </c>
      <c r="BK176" s="452">
        <v>0</v>
      </c>
      <c r="BL176" s="351">
        <v>0</v>
      </c>
      <c r="BM176" s="351">
        <v>0</v>
      </c>
      <c r="BN176" s="351">
        <v>0</v>
      </c>
      <c r="BO176" s="351">
        <v>0</v>
      </c>
      <c r="BP176" s="351">
        <v>0</v>
      </c>
      <c r="BQ176" s="351">
        <v>0</v>
      </c>
      <c r="BR176" s="351">
        <v>0</v>
      </c>
      <c r="BS176" s="351">
        <v>0</v>
      </c>
      <c r="BT176" s="351">
        <v>0</v>
      </c>
      <c r="BU176" s="351">
        <v>0</v>
      </c>
      <c r="BV176" s="350">
        <f t="shared" si="131"/>
        <v>4.1250000000000002E-2</v>
      </c>
      <c r="BW176" s="350">
        <v>100</v>
      </c>
      <c r="BX176" s="385">
        <f t="shared" si="166"/>
        <v>0.25</v>
      </c>
      <c r="BY176" s="369">
        <v>116</v>
      </c>
      <c r="BZ176" s="391">
        <v>100</v>
      </c>
      <c r="CA176" s="689">
        <v>100</v>
      </c>
      <c r="CB176" s="324">
        <f t="shared" si="167"/>
        <v>25</v>
      </c>
      <c r="CC176" s="324">
        <f t="shared" si="168"/>
        <v>100</v>
      </c>
      <c r="CD176" s="384">
        <f t="shared" si="135"/>
        <v>100</v>
      </c>
      <c r="CE176" s="383">
        <f t="shared" si="136"/>
        <v>4.1250000000000002E-2</v>
      </c>
      <c r="CF176" s="367">
        <f t="shared" si="137"/>
        <v>100</v>
      </c>
      <c r="CG176" s="383">
        <f t="shared" si="138"/>
        <v>4.1250000000000002E-2</v>
      </c>
      <c r="CH176" s="320">
        <f t="shared" si="139"/>
        <v>4.1250000000000002E-2</v>
      </c>
      <c r="CI176" s="319">
        <v>0</v>
      </c>
      <c r="CJ176" s="318">
        <f t="shared" si="169"/>
        <v>0.25</v>
      </c>
      <c r="CK176" s="1258">
        <v>100</v>
      </c>
      <c r="CL176" s="301">
        <f t="shared" si="170"/>
        <v>-100</v>
      </c>
      <c r="CM176" s="381">
        <f t="shared" si="171"/>
        <v>25</v>
      </c>
      <c r="CN176" s="381">
        <f t="shared" si="172"/>
        <v>0</v>
      </c>
      <c r="CO176" s="381">
        <f t="shared" si="144"/>
        <v>0</v>
      </c>
      <c r="CP176" s="381">
        <f t="shared" si="145"/>
        <v>0</v>
      </c>
      <c r="CQ176" s="381">
        <f t="shared" si="146"/>
        <v>0</v>
      </c>
      <c r="CR176" s="313">
        <v>0</v>
      </c>
      <c r="CS176" s="313">
        <v>0</v>
      </c>
      <c r="CT176" s="313">
        <v>0</v>
      </c>
      <c r="CU176" s="313">
        <v>0</v>
      </c>
      <c r="CV176" s="313">
        <v>0</v>
      </c>
      <c r="CW176" s="313">
        <v>0</v>
      </c>
      <c r="CX176" s="313">
        <v>0</v>
      </c>
      <c r="CY176" s="313">
        <v>0</v>
      </c>
      <c r="CZ176" s="380">
        <v>0</v>
      </c>
      <c r="DA176" s="380">
        <v>0</v>
      </c>
      <c r="DB176" s="380">
        <v>0</v>
      </c>
      <c r="DC176" s="380">
        <v>0</v>
      </c>
      <c r="DD176" s="380">
        <v>0</v>
      </c>
      <c r="DE176" s="380">
        <v>0</v>
      </c>
      <c r="DF176" s="380">
        <v>0</v>
      </c>
      <c r="DG176" s="380">
        <v>0</v>
      </c>
      <c r="DH176" s="380">
        <v>0</v>
      </c>
      <c r="DI176" s="380">
        <v>0</v>
      </c>
      <c r="DJ176" s="380">
        <v>0</v>
      </c>
      <c r="DK176" s="702">
        <f t="shared" si="173"/>
        <v>100</v>
      </c>
      <c r="DL176" s="311">
        <f t="shared" si="148"/>
        <v>0.16500000000000001</v>
      </c>
      <c r="DM176" s="310">
        <f t="shared" si="149"/>
        <v>100</v>
      </c>
      <c r="DN176" s="356">
        <f t="shared" si="150"/>
        <v>100</v>
      </c>
      <c r="DO176" s="308">
        <f t="shared" si="151"/>
        <v>0.16500000000000001</v>
      </c>
      <c r="DP176" s="359">
        <f>+IF(M176="M",DO176,0)</f>
        <v>0.16500000000000001</v>
      </c>
      <c r="DQ176" s="306">
        <f t="shared" si="152"/>
        <v>0.16500000000000001</v>
      </c>
      <c r="DR176" s="379">
        <f t="shared" si="153"/>
        <v>1</v>
      </c>
      <c r="DS176" s="378">
        <f t="shared" si="154"/>
        <v>0</v>
      </c>
      <c r="DT176" s="173">
        <v>202</v>
      </c>
      <c r="DU176" s="174" t="s">
        <v>121</v>
      </c>
      <c r="DV176" s="173"/>
      <c r="DW176" s="174" t="s">
        <v>84</v>
      </c>
      <c r="DX176" s="173"/>
      <c r="DY176" s="173"/>
      <c r="DZ176" s="173"/>
      <c r="EA176" s="665"/>
      <c r="EB176" s="1254" t="s">
        <v>2101</v>
      </c>
      <c r="EC176" s="537">
        <v>0</v>
      </c>
      <c r="EE176" s="734">
        <v>20700</v>
      </c>
      <c r="EF176" s="706"/>
    </row>
    <row r="177" spans="4:136" s="302" customFormat="1" ht="76.5" hidden="1">
      <c r="D177" s="520">
        <v>174</v>
      </c>
      <c r="E177" s="534">
        <v>218</v>
      </c>
      <c r="F177" s="523" t="s">
        <v>43</v>
      </c>
      <c r="G177" s="479" t="s">
        <v>10</v>
      </c>
      <c r="H177" s="524" t="s">
        <v>2657</v>
      </c>
      <c r="I177" s="462" t="s">
        <v>497</v>
      </c>
      <c r="J177" s="335" t="s">
        <v>506</v>
      </c>
      <c r="K177" s="335" t="s">
        <v>507</v>
      </c>
      <c r="L177" s="453" t="s">
        <v>1980</v>
      </c>
      <c r="M177" s="334" t="s">
        <v>1771</v>
      </c>
      <c r="N177" s="334">
        <v>0</v>
      </c>
      <c r="O177" s="333">
        <f>+N177+P177</f>
        <v>1</v>
      </c>
      <c r="P177" s="332">
        <v>1</v>
      </c>
      <c r="Q177" s="390">
        <v>8.8999999999999996E-2</v>
      </c>
      <c r="R177" s="342">
        <f t="shared" si="118"/>
        <v>1.78E-2</v>
      </c>
      <c r="S177" s="389">
        <v>0.2</v>
      </c>
      <c r="T177" s="387">
        <f t="shared" si="160"/>
        <v>0.2</v>
      </c>
      <c r="U177" s="670">
        <v>0.2</v>
      </c>
      <c r="V177" s="388">
        <f t="shared" si="161"/>
        <v>0.2</v>
      </c>
      <c r="W177" s="356">
        <f t="shared" si="162"/>
        <v>100</v>
      </c>
      <c r="X177" s="356">
        <f t="shared" si="122"/>
        <v>100</v>
      </c>
      <c r="Y177" s="356">
        <f t="shared" si="155"/>
        <v>1.78E-2</v>
      </c>
      <c r="Z177" s="356">
        <f t="shared" si="123"/>
        <v>100</v>
      </c>
      <c r="AA177" s="355">
        <v>271798000</v>
      </c>
      <c r="AB177" s="355">
        <v>0</v>
      </c>
      <c r="AC177" s="355">
        <v>0</v>
      </c>
      <c r="AD177" s="355">
        <v>271798000</v>
      </c>
      <c r="AE177" s="355">
        <v>0</v>
      </c>
      <c r="AF177" s="355">
        <v>0</v>
      </c>
      <c r="AG177" s="355">
        <v>0</v>
      </c>
      <c r="AH177" s="355">
        <v>0</v>
      </c>
      <c r="AI177" s="355">
        <v>226346000</v>
      </c>
      <c r="AJ177" s="355">
        <v>0</v>
      </c>
      <c r="AK177" s="355">
        <v>0</v>
      </c>
      <c r="AL177" s="355">
        <v>0</v>
      </c>
      <c r="AM177" s="355">
        <v>0</v>
      </c>
      <c r="AN177" s="355">
        <v>0</v>
      </c>
      <c r="AO177" s="355">
        <v>0</v>
      </c>
      <c r="AP177" s="355">
        <v>226346000</v>
      </c>
      <c r="AQ177" s="355">
        <v>0</v>
      </c>
      <c r="AR177" s="355">
        <v>0</v>
      </c>
      <c r="AS177" s="355">
        <v>0</v>
      </c>
      <c r="AT177" s="333">
        <f t="shared" si="124"/>
        <v>2.6699999999999998E-2</v>
      </c>
      <c r="AU177" s="334">
        <v>0.3</v>
      </c>
      <c r="AV177" s="387">
        <f t="shared" si="163"/>
        <v>0.3</v>
      </c>
      <c r="AW177" s="677">
        <v>0.3</v>
      </c>
      <c r="AX177" s="366">
        <f t="shared" si="164"/>
        <v>0.3</v>
      </c>
      <c r="AY177" s="366">
        <f t="shared" si="165"/>
        <v>100</v>
      </c>
      <c r="AZ177" s="366">
        <f t="shared" si="128"/>
        <v>100</v>
      </c>
      <c r="BA177" s="354">
        <f t="shared" si="129"/>
        <v>2.6699999999999998E-2</v>
      </c>
      <c r="BB177" s="354">
        <f t="shared" si="130"/>
        <v>100</v>
      </c>
      <c r="BC177" s="353">
        <v>90000000</v>
      </c>
      <c r="BD177" s="353">
        <v>0</v>
      </c>
      <c r="BE177" s="353">
        <v>90000000</v>
      </c>
      <c r="BF177" s="353">
        <v>0</v>
      </c>
      <c r="BG177" s="353">
        <v>0</v>
      </c>
      <c r="BH177" s="353">
        <v>0</v>
      </c>
      <c r="BI177" s="353">
        <v>0</v>
      </c>
      <c r="BJ177" s="353">
        <v>0</v>
      </c>
      <c r="BK177" s="452">
        <v>65552316</v>
      </c>
      <c r="BL177" s="351">
        <v>0</v>
      </c>
      <c r="BM177" s="351">
        <v>0</v>
      </c>
      <c r="BN177" s="351">
        <v>65552316</v>
      </c>
      <c r="BO177" s="351">
        <v>0</v>
      </c>
      <c r="BP177" s="351">
        <v>0</v>
      </c>
      <c r="BQ177" s="351">
        <v>0</v>
      </c>
      <c r="BR177" s="351">
        <v>0</v>
      </c>
      <c r="BS177" s="351">
        <v>0</v>
      </c>
      <c r="BT177" s="351">
        <v>0</v>
      </c>
      <c r="BU177" s="351">
        <v>0</v>
      </c>
      <c r="BV177" s="350">
        <f t="shared" si="131"/>
        <v>2.6699999999999998E-2</v>
      </c>
      <c r="BW177" s="350">
        <v>0.3</v>
      </c>
      <c r="BX177" s="385">
        <f t="shared" si="166"/>
        <v>0.3</v>
      </c>
      <c r="BY177" s="369">
        <v>5.000000074505806E-2</v>
      </c>
      <c r="BZ177" s="391">
        <v>0.23000000417232513</v>
      </c>
      <c r="CA177" s="689">
        <v>0.30000001192092896</v>
      </c>
      <c r="CB177" s="324">
        <f t="shared" si="167"/>
        <v>0.30000001192092896</v>
      </c>
      <c r="CC177" s="324">
        <f t="shared" si="168"/>
        <v>100.00000397364299</v>
      </c>
      <c r="CD177" s="384">
        <f t="shared" si="135"/>
        <v>100</v>
      </c>
      <c r="CE177" s="383">
        <f t="shared" si="136"/>
        <v>2.6699999999999998E-2</v>
      </c>
      <c r="CF177" s="367">
        <f t="shared" si="137"/>
        <v>100</v>
      </c>
      <c r="CG177" s="383">
        <f t="shared" si="138"/>
        <v>2.6700001060962677E-2</v>
      </c>
      <c r="CH177" s="320">
        <f t="shared" si="139"/>
        <v>1.78E-2</v>
      </c>
      <c r="CI177" s="319">
        <v>0.2</v>
      </c>
      <c r="CJ177" s="318">
        <f t="shared" si="169"/>
        <v>0.2</v>
      </c>
      <c r="CK177" s="1259">
        <v>0.2</v>
      </c>
      <c r="CL177" s="301">
        <f t="shared" si="170"/>
        <v>0</v>
      </c>
      <c r="CM177" s="381">
        <f t="shared" si="171"/>
        <v>0.2</v>
      </c>
      <c r="CN177" s="381">
        <f t="shared" si="172"/>
        <v>100</v>
      </c>
      <c r="CO177" s="316">
        <f t="shared" si="144"/>
        <v>100</v>
      </c>
      <c r="CP177" s="381">
        <f t="shared" si="145"/>
        <v>1.78E-2</v>
      </c>
      <c r="CQ177" s="381">
        <f t="shared" si="146"/>
        <v>1.78E-2</v>
      </c>
      <c r="CR177" s="313">
        <v>0</v>
      </c>
      <c r="CS177" s="313">
        <v>0</v>
      </c>
      <c r="CT177" s="313">
        <v>0</v>
      </c>
      <c r="CU177" s="313">
        <v>0</v>
      </c>
      <c r="CV177" s="313">
        <v>0</v>
      </c>
      <c r="CW177" s="313">
        <v>0</v>
      </c>
      <c r="CX177" s="313">
        <v>0</v>
      </c>
      <c r="CY177" s="313">
        <v>0</v>
      </c>
      <c r="CZ177" s="380">
        <v>0</v>
      </c>
      <c r="DA177" s="380">
        <v>0</v>
      </c>
      <c r="DB177" s="380">
        <v>0</v>
      </c>
      <c r="DC177" s="380">
        <v>0</v>
      </c>
      <c r="DD177" s="380">
        <v>0</v>
      </c>
      <c r="DE177" s="380">
        <v>0</v>
      </c>
      <c r="DF177" s="380">
        <v>0</v>
      </c>
      <c r="DG177" s="380">
        <v>0</v>
      </c>
      <c r="DH177" s="380">
        <v>0</v>
      </c>
      <c r="DI177" s="380">
        <v>0</v>
      </c>
      <c r="DJ177" s="380">
        <v>0</v>
      </c>
      <c r="DK177" s="702">
        <f t="shared" si="173"/>
        <v>1.0000000119209289</v>
      </c>
      <c r="DL177" s="311">
        <f t="shared" si="148"/>
        <v>8.8999999999999996E-2</v>
      </c>
      <c r="DM177" s="310">
        <f t="shared" si="149"/>
        <v>100.0000011920929</v>
      </c>
      <c r="DN177" s="356">
        <f t="shared" si="150"/>
        <v>100</v>
      </c>
      <c r="DO177" s="308">
        <f t="shared" si="151"/>
        <v>8.900000000000001E-2</v>
      </c>
      <c r="DP177" s="359">
        <f>+IF(((DN177*Q177)/100)&lt;Q177, ((DN177*Q177)/100),Q177)</f>
        <v>8.8999999999999996E-2</v>
      </c>
      <c r="DQ177" s="306">
        <f t="shared" si="152"/>
        <v>8.8999999999999996E-2</v>
      </c>
      <c r="DR177" s="379">
        <f t="shared" si="153"/>
        <v>1</v>
      </c>
      <c r="DS177" s="378">
        <f t="shared" si="154"/>
        <v>0</v>
      </c>
      <c r="DT177" s="173">
        <v>202</v>
      </c>
      <c r="DU177" s="174" t="s">
        <v>121</v>
      </c>
      <c r="DV177" s="173"/>
      <c r="DW177" s="174" t="s">
        <v>84</v>
      </c>
      <c r="DX177" s="173"/>
      <c r="DY177" s="173"/>
      <c r="DZ177" s="173"/>
      <c r="EA177" s="665"/>
      <c r="EB177" s="1254" t="s">
        <v>2258</v>
      </c>
      <c r="EC177" s="537">
        <v>325000000</v>
      </c>
      <c r="EE177" s="745">
        <v>5</v>
      </c>
      <c r="EF177" s="706"/>
    </row>
    <row r="178" spans="4:136" s="302" customFormat="1" ht="102" hidden="1">
      <c r="D178" s="520">
        <v>175</v>
      </c>
      <c r="E178" s="534">
        <v>219</v>
      </c>
      <c r="F178" s="523" t="s">
        <v>43</v>
      </c>
      <c r="G178" s="479" t="s">
        <v>10</v>
      </c>
      <c r="H178" s="524" t="s">
        <v>2657</v>
      </c>
      <c r="I178" s="462" t="s">
        <v>497</v>
      </c>
      <c r="J178" s="335" t="s">
        <v>508</v>
      </c>
      <c r="K178" s="335" t="s">
        <v>509</v>
      </c>
      <c r="L178" s="453" t="s">
        <v>1404</v>
      </c>
      <c r="M178" s="334" t="s">
        <v>1771</v>
      </c>
      <c r="N178" s="334">
        <v>12</v>
      </c>
      <c r="O178" s="333">
        <f>+N178+P178</f>
        <v>22</v>
      </c>
      <c r="P178" s="332">
        <v>10</v>
      </c>
      <c r="Q178" s="390">
        <v>8.8999999999999996E-2</v>
      </c>
      <c r="R178" s="342">
        <f t="shared" si="118"/>
        <v>1.78E-2</v>
      </c>
      <c r="S178" s="389">
        <v>2</v>
      </c>
      <c r="T178" s="387">
        <f t="shared" si="160"/>
        <v>0.2</v>
      </c>
      <c r="U178" s="670">
        <v>34</v>
      </c>
      <c r="V178" s="388">
        <f t="shared" si="161"/>
        <v>34</v>
      </c>
      <c r="W178" s="356">
        <f t="shared" si="162"/>
        <v>1700</v>
      </c>
      <c r="X178" s="356">
        <f t="shared" si="122"/>
        <v>100</v>
      </c>
      <c r="Y178" s="356">
        <f t="shared" si="155"/>
        <v>1.78E-2</v>
      </c>
      <c r="Z178" s="356">
        <f t="shared" si="123"/>
        <v>100</v>
      </c>
      <c r="AA178" s="355">
        <v>0</v>
      </c>
      <c r="AB178" s="355">
        <v>0</v>
      </c>
      <c r="AC178" s="355">
        <v>0</v>
      </c>
      <c r="AD178" s="355">
        <v>0</v>
      </c>
      <c r="AE178" s="355">
        <v>0</v>
      </c>
      <c r="AF178" s="355">
        <v>0</v>
      </c>
      <c r="AG178" s="355">
        <v>0</v>
      </c>
      <c r="AH178" s="355">
        <v>0</v>
      </c>
      <c r="AI178" s="355">
        <v>565864000</v>
      </c>
      <c r="AJ178" s="355">
        <v>0</v>
      </c>
      <c r="AK178" s="355">
        <v>0</v>
      </c>
      <c r="AL178" s="355">
        <v>0</v>
      </c>
      <c r="AM178" s="355">
        <v>0</v>
      </c>
      <c r="AN178" s="355">
        <v>0</v>
      </c>
      <c r="AO178" s="355">
        <v>0</v>
      </c>
      <c r="AP178" s="355">
        <v>565864000</v>
      </c>
      <c r="AQ178" s="355">
        <v>0</v>
      </c>
      <c r="AR178" s="355">
        <v>0</v>
      </c>
      <c r="AS178" s="355">
        <v>0</v>
      </c>
      <c r="AT178" s="333">
        <f t="shared" si="124"/>
        <v>2.6699999999999998E-2</v>
      </c>
      <c r="AU178" s="334">
        <v>3</v>
      </c>
      <c r="AV178" s="387">
        <f t="shared" si="163"/>
        <v>0.3</v>
      </c>
      <c r="AW178" s="677">
        <v>4</v>
      </c>
      <c r="AX178" s="366">
        <f t="shared" si="164"/>
        <v>4</v>
      </c>
      <c r="AY178" s="366">
        <f t="shared" si="165"/>
        <v>133.33333333333334</v>
      </c>
      <c r="AZ178" s="366">
        <f t="shared" si="128"/>
        <v>100</v>
      </c>
      <c r="BA178" s="354">
        <f t="shared" si="129"/>
        <v>2.6699999999999998E-2</v>
      </c>
      <c r="BB178" s="354">
        <f t="shared" si="130"/>
        <v>100</v>
      </c>
      <c r="BC178" s="353">
        <v>192000000</v>
      </c>
      <c r="BD178" s="353">
        <v>192000000</v>
      </c>
      <c r="BE178" s="353">
        <v>0</v>
      </c>
      <c r="BF178" s="353">
        <v>0</v>
      </c>
      <c r="BG178" s="353">
        <v>0</v>
      </c>
      <c r="BH178" s="353">
        <v>0</v>
      </c>
      <c r="BI178" s="353">
        <v>0</v>
      </c>
      <c r="BJ178" s="353">
        <v>0</v>
      </c>
      <c r="BK178" s="452">
        <v>450313218</v>
      </c>
      <c r="BL178" s="351">
        <v>0</v>
      </c>
      <c r="BM178" s="351">
        <v>200000000</v>
      </c>
      <c r="BN178" s="351">
        <v>250313218</v>
      </c>
      <c r="BO178" s="351">
        <v>0</v>
      </c>
      <c r="BP178" s="351">
        <v>0</v>
      </c>
      <c r="BQ178" s="351">
        <v>0</v>
      </c>
      <c r="BR178" s="351">
        <v>0</v>
      </c>
      <c r="BS178" s="351">
        <v>0</v>
      </c>
      <c r="BT178" s="351">
        <v>0</v>
      </c>
      <c r="BU178" s="351">
        <v>0</v>
      </c>
      <c r="BV178" s="350">
        <f t="shared" si="131"/>
        <v>2.6699999999999998E-2</v>
      </c>
      <c r="BW178" s="350">
        <v>3</v>
      </c>
      <c r="BX178" s="385">
        <f t="shared" si="166"/>
        <v>0.3</v>
      </c>
      <c r="BY178" s="369">
        <v>2.0999999046325684</v>
      </c>
      <c r="BZ178" s="391">
        <v>2.25</v>
      </c>
      <c r="CA178" s="689">
        <v>3</v>
      </c>
      <c r="CB178" s="324">
        <f t="shared" si="167"/>
        <v>3</v>
      </c>
      <c r="CC178" s="324">
        <f t="shared" si="168"/>
        <v>100</v>
      </c>
      <c r="CD178" s="384">
        <f t="shared" si="135"/>
        <v>100</v>
      </c>
      <c r="CE178" s="383">
        <f t="shared" si="136"/>
        <v>2.6699999999999998E-2</v>
      </c>
      <c r="CF178" s="367">
        <f t="shared" si="137"/>
        <v>100</v>
      </c>
      <c r="CG178" s="383">
        <f t="shared" si="138"/>
        <v>2.6699999999999998E-2</v>
      </c>
      <c r="CH178" s="320">
        <f t="shared" si="139"/>
        <v>1.78E-2</v>
      </c>
      <c r="CI178" s="319">
        <v>2</v>
      </c>
      <c r="CJ178" s="318">
        <f t="shared" si="169"/>
        <v>0.2</v>
      </c>
      <c r="CK178" s="1259">
        <v>2</v>
      </c>
      <c r="CL178" s="301">
        <f t="shared" si="170"/>
        <v>0</v>
      </c>
      <c r="CM178" s="381">
        <f t="shared" si="171"/>
        <v>2</v>
      </c>
      <c r="CN178" s="381">
        <f t="shared" si="172"/>
        <v>100</v>
      </c>
      <c r="CO178" s="316">
        <f t="shared" si="144"/>
        <v>100</v>
      </c>
      <c r="CP178" s="381">
        <f t="shared" si="145"/>
        <v>1.78E-2</v>
      </c>
      <c r="CQ178" s="381">
        <f t="shared" si="146"/>
        <v>1.78E-2</v>
      </c>
      <c r="CR178" s="313">
        <v>192000000</v>
      </c>
      <c r="CS178" s="313">
        <v>0</v>
      </c>
      <c r="CT178" s="313">
        <v>192000000</v>
      </c>
      <c r="CU178" s="313">
        <v>0</v>
      </c>
      <c r="CV178" s="313">
        <v>0</v>
      </c>
      <c r="CW178" s="313">
        <v>0</v>
      </c>
      <c r="CX178" s="313">
        <v>0</v>
      </c>
      <c r="CY178" s="313">
        <v>0</v>
      </c>
      <c r="CZ178" s="380">
        <v>0</v>
      </c>
      <c r="DA178" s="380">
        <v>0</v>
      </c>
      <c r="DB178" s="380">
        <v>0</v>
      </c>
      <c r="DC178" s="380">
        <v>0</v>
      </c>
      <c r="DD178" s="380">
        <v>0</v>
      </c>
      <c r="DE178" s="380">
        <v>0</v>
      </c>
      <c r="DF178" s="380">
        <v>0</v>
      </c>
      <c r="DG178" s="380">
        <v>0</v>
      </c>
      <c r="DH178" s="380">
        <v>0</v>
      </c>
      <c r="DI178" s="380">
        <v>0</v>
      </c>
      <c r="DJ178" s="380">
        <v>0</v>
      </c>
      <c r="DK178" s="702">
        <f t="shared" si="173"/>
        <v>43</v>
      </c>
      <c r="DL178" s="311">
        <f t="shared" si="148"/>
        <v>8.8999999999999996E-2</v>
      </c>
      <c r="DM178" s="310">
        <f t="shared" si="149"/>
        <v>430</v>
      </c>
      <c r="DN178" s="356">
        <f t="shared" si="150"/>
        <v>100</v>
      </c>
      <c r="DO178" s="308">
        <f t="shared" si="151"/>
        <v>8.900000000000001E-2</v>
      </c>
      <c r="DP178" s="359">
        <f>+IF(((DN178*Q178)/100)&lt;Q178, ((DN178*Q178)/100),Q178)</f>
        <v>8.8999999999999996E-2</v>
      </c>
      <c r="DQ178" s="306">
        <f t="shared" si="152"/>
        <v>8.8999999999999996E-2</v>
      </c>
      <c r="DR178" s="379">
        <f t="shared" si="153"/>
        <v>1</v>
      </c>
      <c r="DS178" s="378">
        <f t="shared" si="154"/>
        <v>0</v>
      </c>
      <c r="DT178" s="173">
        <v>203</v>
      </c>
      <c r="DU178" s="174" t="s">
        <v>120</v>
      </c>
      <c r="DV178" s="173"/>
      <c r="DW178" s="174" t="s">
        <v>84</v>
      </c>
      <c r="DX178" s="173"/>
      <c r="DY178" s="173"/>
      <c r="DZ178" s="173"/>
      <c r="EA178" s="665"/>
      <c r="EB178" s="1254" t="s">
        <v>2259</v>
      </c>
      <c r="EC178" s="537">
        <v>400000000</v>
      </c>
      <c r="EE178" s="744">
        <v>5</v>
      </c>
      <c r="EF178" s="706"/>
    </row>
    <row r="179" spans="4:136" s="302" customFormat="1" ht="229.5" hidden="1">
      <c r="D179" s="520">
        <v>176</v>
      </c>
      <c r="E179" s="534">
        <v>220</v>
      </c>
      <c r="F179" s="523" t="s">
        <v>43</v>
      </c>
      <c r="G179" s="479" t="s">
        <v>10</v>
      </c>
      <c r="H179" s="524" t="s">
        <v>2657</v>
      </c>
      <c r="I179" s="462" t="s">
        <v>497</v>
      </c>
      <c r="J179" s="335" t="s">
        <v>510</v>
      </c>
      <c r="K179" s="335" t="s">
        <v>511</v>
      </c>
      <c r="L179" s="453" t="s">
        <v>1404</v>
      </c>
      <c r="M179" s="334" t="s">
        <v>1823</v>
      </c>
      <c r="N179" s="334">
        <v>12</v>
      </c>
      <c r="O179" s="334">
        <v>10</v>
      </c>
      <c r="P179" s="332">
        <v>2</v>
      </c>
      <c r="Q179" s="390">
        <v>0.16500000000000001</v>
      </c>
      <c r="R179" s="342">
        <f t="shared" si="118"/>
        <v>4.1250000000000002E-2</v>
      </c>
      <c r="S179" s="414">
        <f>+N179-0.5</f>
        <v>11.5</v>
      </c>
      <c r="T179" s="387">
        <f>IF(M179="M",0.25,IF(M179="R",(N179-S179)/P179,(IF($P179&gt;0,S179/$P179," "))))</f>
        <v>0.25</v>
      </c>
      <c r="U179" s="670">
        <f>+N179-2.8</f>
        <v>9.1999999999999993</v>
      </c>
      <c r="V179" s="388">
        <f>+IF($M179="I",(U179),IF($M179="M",U179/4, U179))</f>
        <v>9.1999999999999993</v>
      </c>
      <c r="W179" s="356">
        <f>IF(S179=0,0, IF($M179="R",(N179-U179)/(N179-S179)*100,U179*100/S179))</f>
        <v>560.00000000000011</v>
      </c>
      <c r="X179" s="356">
        <f t="shared" si="122"/>
        <v>100</v>
      </c>
      <c r="Y179" s="356">
        <f t="shared" si="155"/>
        <v>4.1250000000000002E-2</v>
      </c>
      <c r="Z179" s="356">
        <f t="shared" si="123"/>
        <v>100</v>
      </c>
      <c r="AA179" s="355">
        <v>1094304000</v>
      </c>
      <c r="AB179" s="355">
        <v>0</v>
      </c>
      <c r="AC179" s="355">
        <v>671000000</v>
      </c>
      <c r="AD179" s="355">
        <v>423304000</v>
      </c>
      <c r="AE179" s="355">
        <v>0</v>
      </c>
      <c r="AF179" s="355">
        <v>0</v>
      </c>
      <c r="AG179" s="355">
        <v>0</v>
      </c>
      <c r="AH179" s="355">
        <v>0</v>
      </c>
      <c r="AI179" s="355">
        <v>3257955000</v>
      </c>
      <c r="AJ179" s="355">
        <v>715256000</v>
      </c>
      <c r="AK179" s="355">
        <v>1750489000</v>
      </c>
      <c r="AL179" s="355">
        <v>0</v>
      </c>
      <c r="AM179" s="355">
        <v>0</v>
      </c>
      <c r="AN179" s="355">
        <v>0</v>
      </c>
      <c r="AO179" s="355">
        <v>0</v>
      </c>
      <c r="AP179" s="355">
        <v>792210000</v>
      </c>
      <c r="AQ179" s="355">
        <v>0</v>
      </c>
      <c r="AR179" s="355">
        <v>0</v>
      </c>
      <c r="AS179" s="355">
        <v>0</v>
      </c>
      <c r="AT179" s="333">
        <f t="shared" si="124"/>
        <v>4.1250000000000002E-2</v>
      </c>
      <c r="AU179" s="412">
        <v>11</v>
      </c>
      <c r="AV179" s="387">
        <f>IF($M179="M",0.25,IF($M179="R",(+S179-AU179)/$P179,(IF($P179&gt;0,AU179/$P179," "))))</f>
        <v>0.25</v>
      </c>
      <c r="AW179" s="677">
        <v>11</v>
      </c>
      <c r="AX179" s="409">
        <f>+IF($M179="I",(AW179),IF($M179="M",AW179/4, AW179))</f>
        <v>11</v>
      </c>
      <c r="AY179" s="354">
        <f>IF(AU179=0,0, IF($M179="R",(S179-AW179)/(S179-AU179)*100,AW179*100/AU179))</f>
        <v>100</v>
      </c>
      <c r="AZ179" s="366">
        <f t="shared" si="128"/>
        <v>100</v>
      </c>
      <c r="BA179" s="354">
        <f t="shared" si="129"/>
        <v>4.1250000000000002E-2</v>
      </c>
      <c r="BB179" s="354">
        <f t="shared" si="130"/>
        <v>100</v>
      </c>
      <c r="BC179" s="353">
        <v>677000000</v>
      </c>
      <c r="BD179" s="353">
        <v>677000000</v>
      </c>
      <c r="BE179" s="353">
        <v>0</v>
      </c>
      <c r="BF179" s="353">
        <v>0</v>
      </c>
      <c r="BG179" s="353">
        <v>0</v>
      </c>
      <c r="BH179" s="353">
        <v>0</v>
      </c>
      <c r="BI179" s="353">
        <v>0</v>
      </c>
      <c r="BJ179" s="353">
        <v>0</v>
      </c>
      <c r="BK179" s="452">
        <v>1163310214</v>
      </c>
      <c r="BL179" s="351">
        <v>0</v>
      </c>
      <c r="BM179" s="351">
        <v>614366168</v>
      </c>
      <c r="BN179" s="351">
        <v>548944046</v>
      </c>
      <c r="BO179" s="351">
        <v>0</v>
      </c>
      <c r="BP179" s="351">
        <v>0</v>
      </c>
      <c r="BQ179" s="351">
        <v>0</v>
      </c>
      <c r="BR179" s="351">
        <v>0</v>
      </c>
      <c r="BS179" s="351">
        <v>0</v>
      </c>
      <c r="BT179" s="351">
        <v>0</v>
      </c>
      <c r="BU179" s="351">
        <v>0</v>
      </c>
      <c r="BV179" s="350">
        <f t="shared" si="131"/>
        <v>4.1250000000000002E-2</v>
      </c>
      <c r="BW179" s="461">
        <f>+AU179-0.5</f>
        <v>10.5</v>
      </c>
      <c r="BX179" s="410">
        <f>IF($M179="M",0.25,IF($M179="R",(AU179-BW179)/$P179,(IF($P179&gt;0,BW179/$P179," "))))</f>
        <v>0.25</v>
      </c>
      <c r="BY179" s="369">
        <v>1.5</v>
      </c>
      <c r="BZ179" s="391">
        <v>1.8</v>
      </c>
      <c r="CA179" s="689">
        <v>9.6999999999999993</v>
      </c>
      <c r="CB179" s="409">
        <f>+IF($M179="I",(CA179),IF($M179="M",CA179/4, CA179))</f>
        <v>9.6999999999999993</v>
      </c>
      <c r="CC179" s="354">
        <f>IF(CA179=0,0,IF($M179="R",((AU179-CA179)/(AU179-BW179))*100,CA179*100/BW179))</f>
        <v>260.00000000000011</v>
      </c>
      <c r="CD179" s="384">
        <f t="shared" si="135"/>
        <v>100</v>
      </c>
      <c r="CE179" s="383">
        <f t="shared" si="136"/>
        <v>4.1250000000000002E-2</v>
      </c>
      <c r="CF179" s="367">
        <f t="shared" si="137"/>
        <v>100</v>
      </c>
      <c r="CG179" s="383">
        <f t="shared" si="138"/>
        <v>0.10725000000000005</v>
      </c>
      <c r="CH179" s="320">
        <f t="shared" si="139"/>
        <v>4.1250000000000002E-2</v>
      </c>
      <c r="CI179" s="418">
        <f>+BW179-0.5</f>
        <v>10</v>
      </c>
      <c r="CJ179" s="408">
        <f>IF($M179="M",0.25,IF($M179="R",(BW179-CI179)/$P179,(IF($P179&gt;0,CI179/$P179," "))))</f>
        <v>0.25</v>
      </c>
      <c r="CK179" s="1259">
        <v>0.5</v>
      </c>
      <c r="CL179" s="301">
        <f>+CA179-CK179</f>
        <v>9.1999999999999993</v>
      </c>
      <c r="CM179" s="388">
        <f>+IF($M179="I",(CK179),IF($M179="M",CK179/4, CK179))</f>
        <v>0.5</v>
      </c>
      <c r="CN179" s="356">
        <f>IF(CK179=0,0,IF($M179="R",((BW179-CK179)/(BW179-CI179))*100,CK179*100/CI179))</f>
        <v>2000</v>
      </c>
      <c r="CO179" s="381">
        <f t="shared" si="144"/>
        <v>100</v>
      </c>
      <c r="CP179" s="381">
        <f t="shared" si="145"/>
        <v>4.1250000000000002E-2</v>
      </c>
      <c r="CQ179" s="381">
        <f t="shared" si="146"/>
        <v>0.82499999999999996</v>
      </c>
      <c r="CR179" s="313">
        <v>677000000</v>
      </c>
      <c r="CS179" s="313">
        <v>0</v>
      </c>
      <c r="CT179" s="313">
        <v>677000000</v>
      </c>
      <c r="CU179" s="313">
        <v>0</v>
      </c>
      <c r="CV179" s="313">
        <v>0</v>
      </c>
      <c r="CW179" s="313">
        <v>0</v>
      </c>
      <c r="CX179" s="313">
        <v>0</v>
      </c>
      <c r="CY179" s="313">
        <v>0</v>
      </c>
      <c r="CZ179" s="380">
        <v>0</v>
      </c>
      <c r="DA179" s="380">
        <v>0</v>
      </c>
      <c r="DB179" s="380">
        <v>0</v>
      </c>
      <c r="DC179" s="380">
        <v>0</v>
      </c>
      <c r="DD179" s="380">
        <v>0</v>
      </c>
      <c r="DE179" s="380">
        <v>0</v>
      </c>
      <c r="DF179" s="380">
        <v>0</v>
      </c>
      <c r="DG179" s="380">
        <v>0</v>
      </c>
      <c r="DH179" s="380">
        <v>0</v>
      </c>
      <c r="DI179" s="380">
        <v>0</v>
      </c>
      <c r="DJ179" s="380">
        <v>0</v>
      </c>
      <c r="DK179" s="703">
        <f>+IF(M179="I",(H179+AF179+BJ179),IF(M179="M",(H179+AF179+BJ179)/3,N179-CK179 ))</f>
        <v>11.5</v>
      </c>
      <c r="DL179" s="311">
        <f t="shared" si="148"/>
        <v>0.16500000000000001</v>
      </c>
      <c r="DM179" s="310">
        <f t="shared" si="149"/>
        <v>575</v>
      </c>
      <c r="DN179" s="356">
        <f t="shared" si="150"/>
        <v>100</v>
      </c>
      <c r="DO179" s="308">
        <f t="shared" si="151"/>
        <v>0.16500000000000001</v>
      </c>
      <c r="DP179" s="359">
        <f>+IF(((DN179*Q179)/100)&lt;Q179, ((DN179*Q179)/100),Q179)</f>
        <v>0.16500000000000001</v>
      </c>
      <c r="DQ179" s="306">
        <f t="shared" si="152"/>
        <v>0.16500000000000001</v>
      </c>
      <c r="DR179" s="379">
        <f t="shared" si="153"/>
        <v>1</v>
      </c>
      <c r="DS179" s="378">
        <f t="shared" si="154"/>
        <v>0</v>
      </c>
      <c r="DT179" s="173">
        <v>202</v>
      </c>
      <c r="DU179" s="174" t="s">
        <v>121</v>
      </c>
      <c r="DV179" s="173">
        <v>203</v>
      </c>
      <c r="DW179" s="174" t="s">
        <v>120</v>
      </c>
      <c r="DX179" s="173"/>
      <c r="DY179" s="173"/>
      <c r="DZ179" s="173"/>
      <c r="EA179" s="665"/>
      <c r="EB179" s="1254" t="s">
        <v>2343</v>
      </c>
      <c r="EC179" s="537">
        <v>4850000000</v>
      </c>
      <c r="EE179" s="740">
        <v>9</v>
      </c>
      <c r="EF179" s="706"/>
    </row>
    <row r="180" spans="4:136" s="302" customFormat="1" ht="48" hidden="1">
      <c r="D180" s="520">
        <v>177</v>
      </c>
      <c r="E180" s="534">
        <v>221</v>
      </c>
      <c r="F180" s="336" t="s">
        <v>43</v>
      </c>
      <c r="G180" s="336" t="s">
        <v>10</v>
      </c>
      <c r="H180" s="336" t="s">
        <v>2657</v>
      </c>
      <c r="I180" s="336" t="s">
        <v>497</v>
      </c>
      <c r="J180" s="335" t="s">
        <v>1275</v>
      </c>
      <c r="K180" s="335" t="s">
        <v>512</v>
      </c>
      <c r="L180" s="454" t="s">
        <v>1979</v>
      </c>
      <c r="M180" s="334" t="s">
        <v>1771</v>
      </c>
      <c r="N180" s="334">
        <v>4000</v>
      </c>
      <c r="O180" s="333">
        <f>+N180+P180</f>
        <v>16000</v>
      </c>
      <c r="P180" s="332">
        <v>12000</v>
      </c>
      <c r="Q180" s="393">
        <v>8.8999999999999996E-2</v>
      </c>
      <c r="R180" s="419">
        <f t="shared" si="118"/>
        <v>2.2249999999999999E-2</v>
      </c>
      <c r="S180" s="389">
        <v>3000</v>
      </c>
      <c r="T180" s="387">
        <f t="shared" ref="T180:T243" si="174">IF($M180="M",0.25,(IF($P180&gt;0,S180/$P180," ")))</f>
        <v>0.25</v>
      </c>
      <c r="U180" s="670">
        <v>6706</v>
      </c>
      <c r="V180" s="388">
        <f t="shared" ref="V180:V243" si="175">+IF(M180="I",(+U180),IF(M180="M",(+U180)/4,))</f>
        <v>6706</v>
      </c>
      <c r="W180" s="356">
        <f t="shared" ref="W180:W243" si="176">IF(S180=0,0,+U180*100/S180)</f>
        <v>223.53333333333333</v>
      </c>
      <c r="X180" s="356">
        <f t="shared" si="122"/>
        <v>100</v>
      </c>
      <c r="Y180" s="356">
        <f t="shared" si="155"/>
        <v>2.2250000000000002E-2</v>
      </c>
      <c r="Z180" s="356">
        <f t="shared" si="123"/>
        <v>100</v>
      </c>
      <c r="AA180" s="355">
        <v>19000000</v>
      </c>
      <c r="AB180" s="355">
        <v>0</v>
      </c>
      <c r="AC180" s="355">
        <v>19000000</v>
      </c>
      <c r="AD180" s="355">
        <v>0</v>
      </c>
      <c r="AE180" s="355">
        <v>0</v>
      </c>
      <c r="AF180" s="355">
        <v>0</v>
      </c>
      <c r="AG180" s="355">
        <v>0</v>
      </c>
      <c r="AH180" s="355">
        <v>0</v>
      </c>
      <c r="AI180" s="355">
        <v>0</v>
      </c>
      <c r="AJ180" s="355">
        <v>0</v>
      </c>
      <c r="AK180" s="355">
        <v>0</v>
      </c>
      <c r="AL180" s="355">
        <v>0</v>
      </c>
      <c r="AM180" s="355">
        <v>0</v>
      </c>
      <c r="AN180" s="355">
        <v>0</v>
      </c>
      <c r="AO180" s="355">
        <v>0</v>
      </c>
      <c r="AP180" s="355">
        <v>0</v>
      </c>
      <c r="AQ180" s="355">
        <v>0</v>
      </c>
      <c r="AR180" s="355">
        <v>0</v>
      </c>
      <c r="AS180" s="355">
        <v>0</v>
      </c>
      <c r="AT180" s="392">
        <f t="shared" si="124"/>
        <v>2.2249999999999999E-2</v>
      </c>
      <c r="AU180" s="334">
        <v>3000</v>
      </c>
      <c r="AV180" s="387">
        <f t="shared" ref="AV180:AV243" si="177">IF($M180="M",0.25,(IF($P180&gt;0,AU180/$P180," ")))</f>
        <v>0.25</v>
      </c>
      <c r="AW180" s="677">
        <v>2585</v>
      </c>
      <c r="AX180" s="366">
        <f t="shared" ref="AX180:AX243" si="178">+IF(M180="I",(+AW180),IF(M180="M",(+AW180)/4,))</f>
        <v>2585</v>
      </c>
      <c r="AY180" s="366">
        <f t="shared" ref="AY180:AY243" si="179">IF(AU180=0,0,+AW180*100/AU180)</f>
        <v>86.166666666666671</v>
      </c>
      <c r="AZ180" s="366">
        <f t="shared" si="128"/>
        <v>86.166666666666671</v>
      </c>
      <c r="BA180" s="354">
        <f t="shared" si="129"/>
        <v>1.9172083333333333E-2</v>
      </c>
      <c r="BB180" s="354">
        <f t="shared" si="130"/>
        <v>86.166666666666671</v>
      </c>
      <c r="BC180" s="353">
        <v>100000000</v>
      </c>
      <c r="BD180" s="353">
        <v>100000000</v>
      </c>
      <c r="BE180" s="353">
        <v>0</v>
      </c>
      <c r="BF180" s="353">
        <v>0</v>
      </c>
      <c r="BG180" s="353">
        <v>0</v>
      </c>
      <c r="BH180" s="353">
        <v>0</v>
      </c>
      <c r="BI180" s="353">
        <v>0</v>
      </c>
      <c r="BJ180" s="353">
        <v>0</v>
      </c>
      <c r="BK180" s="452">
        <v>100199954</v>
      </c>
      <c r="BL180" s="351">
        <v>0</v>
      </c>
      <c r="BM180" s="351">
        <v>100000000</v>
      </c>
      <c r="BN180" s="351">
        <v>199954</v>
      </c>
      <c r="BO180" s="351">
        <v>0</v>
      </c>
      <c r="BP180" s="351">
        <v>0</v>
      </c>
      <c r="BQ180" s="351">
        <v>0</v>
      </c>
      <c r="BR180" s="351">
        <v>0</v>
      </c>
      <c r="BS180" s="351">
        <v>0</v>
      </c>
      <c r="BT180" s="351">
        <v>0</v>
      </c>
      <c r="BU180" s="351">
        <v>0</v>
      </c>
      <c r="BV180" s="350">
        <f t="shared" si="131"/>
        <v>2.2249999999999999E-2</v>
      </c>
      <c r="BW180" s="350">
        <v>3000</v>
      </c>
      <c r="BX180" s="385">
        <f t="shared" ref="BX180:BX243" si="180">IF($M180="M",0.25,(IF($P180&gt;0,BW180/$P180," ")))</f>
        <v>0.25</v>
      </c>
      <c r="BY180" s="369">
        <v>1900</v>
      </c>
      <c r="BZ180" s="391">
        <v>4217</v>
      </c>
      <c r="CA180" s="689">
        <v>6500</v>
      </c>
      <c r="CB180" s="324">
        <f t="shared" ref="CB180:CB243" si="181">+IF(M180="I",(+CA180),IF(M180="M",(+CA180)/4,))</f>
        <v>6500</v>
      </c>
      <c r="CC180" s="324">
        <f t="shared" ref="CC180:CC243" si="182">IF(BW180=0,0,+CA180*100/BW180)</f>
        <v>216.66666666666666</v>
      </c>
      <c r="CD180" s="384">
        <f t="shared" si="135"/>
        <v>100</v>
      </c>
      <c r="CE180" s="383">
        <f t="shared" si="136"/>
        <v>2.2250000000000002E-2</v>
      </c>
      <c r="CF180" s="367">
        <f t="shared" si="137"/>
        <v>100</v>
      </c>
      <c r="CG180" s="383">
        <f t="shared" si="138"/>
        <v>4.8208333333333325E-2</v>
      </c>
      <c r="CH180" s="320">
        <f t="shared" si="139"/>
        <v>2.2249999999999999E-2</v>
      </c>
      <c r="CI180" s="319">
        <v>3000</v>
      </c>
      <c r="CJ180" s="318">
        <f t="shared" ref="CJ180:CJ243" si="183">IF($M180="M",0.25,(IF($P180&gt;0,CI180/$P180," ")))</f>
        <v>0.25</v>
      </c>
      <c r="CK180" s="1259">
        <v>3000</v>
      </c>
      <c r="CL180" s="301">
        <f t="shared" ref="CL180:CL243" si="184">+CI180-CK180</f>
        <v>0</v>
      </c>
      <c r="CM180" s="381">
        <f t="shared" ref="CM180:CM243" si="185">+IF(M180="I",(+CK180),IF(M180="M",(+CK180)/4,))</f>
        <v>3000</v>
      </c>
      <c r="CN180" s="381">
        <f t="shared" ref="CN180:CN243" si="186">IF(CI180=0,0,+CK180*100/CI180)</f>
        <v>100</v>
      </c>
      <c r="CO180" s="316">
        <f t="shared" si="144"/>
        <v>100</v>
      </c>
      <c r="CP180" s="381">
        <f t="shared" si="145"/>
        <v>2.2250000000000002E-2</v>
      </c>
      <c r="CQ180" s="381">
        <f t="shared" si="146"/>
        <v>2.2250000000000002E-2</v>
      </c>
      <c r="CR180" s="313">
        <v>100000000</v>
      </c>
      <c r="CS180" s="313">
        <v>0</v>
      </c>
      <c r="CT180" s="313">
        <v>100000000</v>
      </c>
      <c r="CU180" s="313">
        <v>0</v>
      </c>
      <c r="CV180" s="313">
        <v>0</v>
      </c>
      <c r="CW180" s="313">
        <v>0</v>
      </c>
      <c r="CX180" s="313">
        <v>0</v>
      </c>
      <c r="CY180" s="313">
        <v>0</v>
      </c>
      <c r="CZ180" s="380">
        <v>0</v>
      </c>
      <c r="DA180" s="380">
        <v>0</v>
      </c>
      <c r="DB180" s="380">
        <v>0</v>
      </c>
      <c r="DC180" s="380">
        <v>0</v>
      </c>
      <c r="DD180" s="380">
        <v>0</v>
      </c>
      <c r="DE180" s="380">
        <v>0</v>
      </c>
      <c r="DF180" s="380">
        <v>0</v>
      </c>
      <c r="DG180" s="380">
        <v>0</v>
      </c>
      <c r="DH180" s="380">
        <v>0</v>
      </c>
      <c r="DI180" s="380">
        <v>0</v>
      </c>
      <c r="DJ180" s="380">
        <v>0</v>
      </c>
      <c r="DK180" s="702">
        <f t="shared" ref="DK180:DK243" si="187">+IF(M180="I",(+U180+AW180+CA180+CK180),IF(M180="M",(+U180+AW180+CA180+CK180)/4,))</f>
        <v>18791</v>
      </c>
      <c r="DL180" s="311">
        <f t="shared" si="148"/>
        <v>8.8999999999999996E-2</v>
      </c>
      <c r="DM180" s="310">
        <f t="shared" si="149"/>
        <v>156.59166666666667</v>
      </c>
      <c r="DN180" s="356">
        <f t="shared" si="150"/>
        <v>100</v>
      </c>
      <c r="DO180" s="308">
        <f t="shared" si="151"/>
        <v>8.900000000000001E-2</v>
      </c>
      <c r="DP180" s="359">
        <f>+IF(((DN180*Q180)/100)&lt;Q180, ((DN180*Q180)/100),Q180)</f>
        <v>8.8999999999999996E-2</v>
      </c>
      <c r="DQ180" s="306">
        <f t="shared" si="152"/>
        <v>8.8999999999999996E-2</v>
      </c>
      <c r="DR180" s="379">
        <f t="shared" si="153"/>
        <v>1</v>
      </c>
      <c r="DS180" s="378">
        <f t="shared" si="154"/>
        <v>0</v>
      </c>
      <c r="DT180" s="173">
        <v>202</v>
      </c>
      <c r="DU180" s="174" t="s">
        <v>121</v>
      </c>
      <c r="DV180" s="173"/>
      <c r="DW180" s="174" t="s">
        <v>84</v>
      </c>
      <c r="DX180" s="173"/>
      <c r="DY180" s="173"/>
      <c r="DZ180" s="173"/>
      <c r="EA180" s="665"/>
      <c r="EB180" s="1254" t="s">
        <v>2260</v>
      </c>
      <c r="EC180" s="537">
        <v>277000000</v>
      </c>
      <c r="EE180" s="745">
        <v>5</v>
      </c>
      <c r="EF180" s="706"/>
    </row>
    <row r="181" spans="4:136" s="302" customFormat="1" ht="168" hidden="1">
      <c r="D181" s="520">
        <v>178</v>
      </c>
      <c r="E181" s="534">
        <v>222</v>
      </c>
      <c r="F181" s="523" t="s">
        <v>43</v>
      </c>
      <c r="G181" s="479" t="s">
        <v>10</v>
      </c>
      <c r="H181" s="524" t="s">
        <v>2657</v>
      </c>
      <c r="I181" s="462" t="s">
        <v>497</v>
      </c>
      <c r="J181" s="335" t="s">
        <v>513</v>
      </c>
      <c r="K181" s="335" t="s">
        <v>514</v>
      </c>
      <c r="L181" s="453" t="s">
        <v>1404</v>
      </c>
      <c r="M181" s="334" t="s">
        <v>1771</v>
      </c>
      <c r="N181" s="334">
        <v>10</v>
      </c>
      <c r="O181" s="333">
        <f>+N181+P181</f>
        <v>50</v>
      </c>
      <c r="P181" s="332">
        <v>40</v>
      </c>
      <c r="Q181" s="390">
        <v>0.16500000000000001</v>
      </c>
      <c r="R181" s="342">
        <f t="shared" si="118"/>
        <v>2.0625000000000001E-2</v>
      </c>
      <c r="S181" s="389">
        <v>5</v>
      </c>
      <c r="T181" s="387">
        <f t="shared" si="174"/>
        <v>0.125</v>
      </c>
      <c r="U181" s="670">
        <v>5</v>
      </c>
      <c r="V181" s="388">
        <f t="shared" si="175"/>
        <v>5</v>
      </c>
      <c r="W181" s="356">
        <f t="shared" si="176"/>
        <v>100</v>
      </c>
      <c r="X181" s="356">
        <f t="shared" si="122"/>
        <v>100</v>
      </c>
      <c r="Y181" s="356">
        <f t="shared" si="155"/>
        <v>2.0625000000000001E-2</v>
      </c>
      <c r="Z181" s="356">
        <f t="shared" si="123"/>
        <v>100</v>
      </c>
      <c r="AA181" s="355">
        <v>115596000000</v>
      </c>
      <c r="AB181" s="355">
        <v>0</v>
      </c>
      <c r="AC181" s="355">
        <v>100346000000</v>
      </c>
      <c r="AD181" s="355">
        <v>15250000000</v>
      </c>
      <c r="AE181" s="355">
        <v>0</v>
      </c>
      <c r="AF181" s="355">
        <v>0</v>
      </c>
      <c r="AG181" s="355">
        <v>0</v>
      </c>
      <c r="AH181" s="355">
        <v>0</v>
      </c>
      <c r="AI181" s="355">
        <v>9826762000</v>
      </c>
      <c r="AJ181" s="355">
        <v>2145769000</v>
      </c>
      <c r="AK181" s="355">
        <v>7001956000</v>
      </c>
      <c r="AL181" s="355">
        <v>0</v>
      </c>
      <c r="AM181" s="355">
        <v>0</v>
      </c>
      <c r="AN181" s="355">
        <v>0</v>
      </c>
      <c r="AO181" s="355">
        <v>0</v>
      </c>
      <c r="AP181" s="355">
        <v>679037000</v>
      </c>
      <c r="AQ181" s="355">
        <v>0</v>
      </c>
      <c r="AR181" s="355">
        <v>0</v>
      </c>
      <c r="AS181" s="355">
        <v>0</v>
      </c>
      <c r="AT181" s="333">
        <f t="shared" si="124"/>
        <v>6.1874999999999999E-2</v>
      </c>
      <c r="AU181" s="334">
        <v>15</v>
      </c>
      <c r="AV181" s="387">
        <f t="shared" si="177"/>
        <v>0.375</v>
      </c>
      <c r="AW181" s="677">
        <v>15</v>
      </c>
      <c r="AX181" s="366">
        <f t="shared" si="178"/>
        <v>15</v>
      </c>
      <c r="AY181" s="366">
        <f t="shared" si="179"/>
        <v>100</v>
      </c>
      <c r="AZ181" s="366">
        <f t="shared" si="128"/>
        <v>100</v>
      </c>
      <c r="BA181" s="354">
        <f t="shared" si="129"/>
        <v>6.1874999999999999E-2</v>
      </c>
      <c r="BB181" s="354">
        <f t="shared" si="130"/>
        <v>100</v>
      </c>
      <c r="BC181" s="353">
        <v>351000000</v>
      </c>
      <c r="BD181" s="353">
        <v>0</v>
      </c>
      <c r="BE181" s="353">
        <v>351000000</v>
      </c>
      <c r="BF181" s="353">
        <v>0</v>
      </c>
      <c r="BG181" s="353">
        <v>0</v>
      </c>
      <c r="BH181" s="353">
        <v>0</v>
      </c>
      <c r="BI181" s="353">
        <v>0</v>
      </c>
      <c r="BJ181" s="353">
        <v>0</v>
      </c>
      <c r="BK181" s="452">
        <v>0</v>
      </c>
      <c r="BL181" s="351">
        <v>0</v>
      </c>
      <c r="BM181" s="351">
        <v>0</v>
      </c>
      <c r="BN181" s="351">
        <v>0</v>
      </c>
      <c r="BO181" s="351">
        <v>0</v>
      </c>
      <c r="BP181" s="351">
        <v>0</v>
      </c>
      <c r="BQ181" s="351">
        <v>0</v>
      </c>
      <c r="BR181" s="351">
        <v>0</v>
      </c>
      <c r="BS181" s="351">
        <v>0</v>
      </c>
      <c r="BT181" s="351">
        <v>0</v>
      </c>
      <c r="BU181" s="351">
        <v>0</v>
      </c>
      <c r="BV181" s="350">
        <f t="shared" si="131"/>
        <v>6.1874999999999999E-2</v>
      </c>
      <c r="BW181" s="350">
        <v>15</v>
      </c>
      <c r="BX181" s="385">
        <f t="shared" si="180"/>
        <v>0.375</v>
      </c>
      <c r="BY181" s="369">
        <v>5</v>
      </c>
      <c r="BZ181" s="391">
        <v>15</v>
      </c>
      <c r="CA181" s="689">
        <v>15</v>
      </c>
      <c r="CB181" s="324">
        <f t="shared" si="181"/>
        <v>15</v>
      </c>
      <c r="CC181" s="324">
        <f t="shared" si="182"/>
        <v>100</v>
      </c>
      <c r="CD181" s="384">
        <f t="shared" si="135"/>
        <v>100</v>
      </c>
      <c r="CE181" s="383">
        <f t="shared" si="136"/>
        <v>6.1874999999999999E-2</v>
      </c>
      <c r="CF181" s="367">
        <f t="shared" si="137"/>
        <v>100</v>
      </c>
      <c r="CG181" s="383">
        <f t="shared" si="138"/>
        <v>6.1874999999999999E-2</v>
      </c>
      <c r="CH181" s="320">
        <f t="shared" si="139"/>
        <v>2.0625000000000001E-2</v>
      </c>
      <c r="CI181" s="319">
        <v>5</v>
      </c>
      <c r="CJ181" s="318">
        <f t="shared" si="183"/>
        <v>0.125</v>
      </c>
      <c r="CK181" s="1259">
        <v>5</v>
      </c>
      <c r="CL181" s="301">
        <f t="shared" si="184"/>
        <v>0</v>
      </c>
      <c r="CM181" s="381">
        <f t="shared" si="185"/>
        <v>5</v>
      </c>
      <c r="CN181" s="381">
        <f t="shared" si="186"/>
        <v>100</v>
      </c>
      <c r="CO181" s="316">
        <f t="shared" si="144"/>
        <v>100</v>
      </c>
      <c r="CP181" s="381">
        <f t="shared" si="145"/>
        <v>2.0625000000000001E-2</v>
      </c>
      <c r="CQ181" s="381">
        <f t="shared" si="146"/>
        <v>2.0625000000000001E-2</v>
      </c>
      <c r="CR181" s="313">
        <v>810000000</v>
      </c>
      <c r="CS181" s="313">
        <v>810000000</v>
      </c>
      <c r="CT181" s="313">
        <v>0</v>
      </c>
      <c r="CU181" s="313">
        <v>0</v>
      </c>
      <c r="CV181" s="313">
        <v>0</v>
      </c>
      <c r="CW181" s="313">
        <v>0</v>
      </c>
      <c r="CX181" s="313">
        <v>0</v>
      </c>
      <c r="CY181" s="313">
        <v>0</v>
      </c>
      <c r="CZ181" s="380">
        <v>0</v>
      </c>
      <c r="DA181" s="380">
        <v>0</v>
      </c>
      <c r="DB181" s="380">
        <v>0</v>
      </c>
      <c r="DC181" s="380">
        <v>0</v>
      </c>
      <c r="DD181" s="380">
        <v>0</v>
      </c>
      <c r="DE181" s="380">
        <v>0</v>
      </c>
      <c r="DF181" s="380">
        <v>0</v>
      </c>
      <c r="DG181" s="380">
        <v>0</v>
      </c>
      <c r="DH181" s="380">
        <v>0</v>
      </c>
      <c r="DI181" s="380">
        <v>0</v>
      </c>
      <c r="DJ181" s="380">
        <v>0</v>
      </c>
      <c r="DK181" s="702">
        <f t="shared" si="187"/>
        <v>40</v>
      </c>
      <c r="DL181" s="311">
        <f t="shared" si="148"/>
        <v>0.16500000000000001</v>
      </c>
      <c r="DM181" s="310">
        <f t="shared" si="149"/>
        <v>100</v>
      </c>
      <c r="DN181" s="356">
        <f t="shared" si="150"/>
        <v>100</v>
      </c>
      <c r="DO181" s="308">
        <f t="shared" si="151"/>
        <v>0.16500000000000001</v>
      </c>
      <c r="DP181" s="359">
        <f>+IF(((DN181*Q181)/100)&lt;Q181, ((DN181*Q181)/100),Q181)</f>
        <v>0.16500000000000001</v>
      </c>
      <c r="DQ181" s="306">
        <f t="shared" si="152"/>
        <v>0.16500000000000001</v>
      </c>
      <c r="DR181" s="379">
        <f t="shared" si="153"/>
        <v>1</v>
      </c>
      <c r="DS181" s="378">
        <f t="shared" si="154"/>
        <v>0</v>
      </c>
      <c r="DT181" s="173">
        <v>202</v>
      </c>
      <c r="DU181" s="174" t="s">
        <v>121</v>
      </c>
      <c r="DV181" s="173">
        <v>203</v>
      </c>
      <c r="DW181" s="174" t="s">
        <v>120</v>
      </c>
      <c r="DX181" s="173"/>
      <c r="DY181" s="173"/>
      <c r="DZ181" s="173"/>
      <c r="EA181" s="665"/>
      <c r="EB181" s="1254" t="s">
        <v>2344</v>
      </c>
      <c r="EC181" s="537">
        <v>19600000000</v>
      </c>
      <c r="EE181" s="733">
        <v>8000</v>
      </c>
      <c r="EF181" s="706"/>
    </row>
    <row r="182" spans="4:136" s="302" customFormat="1" ht="204" hidden="1">
      <c r="D182" s="520">
        <v>179</v>
      </c>
      <c r="E182" s="534">
        <v>223</v>
      </c>
      <c r="F182" s="523" t="s">
        <v>43</v>
      </c>
      <c r="G182" s="479" t="s">
        <v>10</v>
      </c>
      <c r="H182" s="524" t="s">
        <v>2657</v>
      </c>
      <c r="I182" s="462" t="s">
        <v>497</v>
      </c>
      <c r="J182" s="335" t="s">
        <v>515</v>
      </c>
      <c r="K182" s="335" t="s">
        <v>516</v>
      </c>
      <c r="L182" s="453" t="s">
        <v>1947</v>
      </c>
      <c r="M182" s="334" t="s">
        <v>1785</v>
      </c>
      <c r="N182" s="334">
        <v>1</v>
      </c>
      <c r="O182" s="333">
        <f>+P182</f>
        <v>100</v>
      </c>
      <c r="P182" s="332">
        <v>100</v>
      </c>
      <c r="Q182" s="390">
        <v>0.25</v>
      </c>
      <c r="R182" s="342">
        <f t="shared" si="118"/>
        <v>6.25E-2</v>
      </c>
      <c r="S182" s="389">
        <v>100</v>
      </c>
      <c r="T182" s="387">
        <f t="shared" si="174"/>
        <v>0.25</v>
      </c>
      <c r="U182" s="670">
        <v>100</v>
      </c>
      <c r="V182" s="388">
        <f t="shared" si="175"/>
        <v>25</v>
      </c>
      <c r="W182" s="356">
        <f t="shared" si="176"/>
        <v>100</v>
      </c>
      <c r="X182" s="356">
        <f t="shared" si="122"/>
        <v>100</v>
      </c>
      <c r="Y182" s="356">
        <f t="shared" si="155"/>
        <v>6.25E-2</v>
      </c>
      <c r="Z182" s="356">
        <f t="shared" si="123"/>
        <v>100</v>
      </c>
      <c r="AA182" s="355">
        <v>99807000</v>
      </c>
      <c r="AB182" s="355">
        <v>0</v>
      </c>
      <c r="AC182" s="355">
        <v>99807000</v>
      </c>
      <c r="AD182" s="355">
        <v>0</v>
      </c>
      <c r="AE182" s="355">
        <v>0</v>
      </c>
      <c r="AF182" s="355">
        <v>0</v>
      </c>
      <c r="AG182" s="355">
        <v>0</v>
      </c>
      <c r="AH182" s="355">
        <v>0</v>
      </c>
      <c r="AI182" s="355">
        <v>149358942000</v>
      </c>
      <c r="AJ182" s="355">
        <v>0</v>
      </c>
      <c r="AK182" s="355">
        <v>0</v>
      </c>
      <c r="AL182" s="355">
        <v>0</v>
      </c>
      <c r="AM182" s="355">
        <v>0</v>
      </c>
      <c r="AN182" s="355">
        <v>0</v>
      </c>
      <c r="AO182" s="355">
        <v>0</v>
      </c>
      <c r="AP182" s="355">
        <v>149358942000</v>
      </c>
      <c r="AQ182" s="355">
        <v>0</v>
      </c>
      <c r="AR182" s="355">
        <v>0</v>
      </c>
      <c r="AS182" s="355">
        <v>0</v>
      </c>
      <c r="AT182" s="333">
        <f t="shared" si="124"/>
        <v>6.25E-2</v>
      </c>
      <c r="AU182" s="334">
        <v>100</v>
      </c>
      <c r="AV182" s="387">
        <f t="shared" si="177"/>
        <v>0.25</v>
      </c>
      <c r="AW182" s="677">
        <v>100</v>
      </c>
      <c r="AX182" s="366">
        <f t="shared" si="178"/>
        <v>25</v>
      </c>
      <c r="AY182" s="366">
        <f t="shared" si="179"/>
        <v>100</v>
      </c>
      <c r="AZ182" s="366">
        <f t="shared" si="128"/>
        <v>100</v>
      </c>
      <c r="BA182" s="354">
        <f t="shared" si="129"/>
        <v>6.25E-2</v>
      </c>
      <c r="BB182" s="354">
        <f t="shared" si="130"/>
        <v>100</v>
      </c>
      <c r="BC182" s="353">
        <v>110261000000</v>
      </c>
      <c r="BD182" s="353">
        <v>110261000</v>
      </c>
      <c r="BE182" s="353">
        <v>0</v>
      </c>
      <c r="BF182" s="353">
        <v>0</v>
      </c>
      <c r="BG182" s="353">
        <v>0</v>
      </c>
      <c r="BH182" s="353">
        <v>0</v>
      </c>
      <c r="BI182" s="353">
        <v>0</v>
      </c>
      <c r="BJ182" s="353">
        <v>0</v>
      </c>
      <c r="BK182" s="452">
        <v>70876829574</v>
      </c>
      <c r="BL182" s="351">
        <v>3165566739</v>
      </c>
      <c r="BM182" s="351">
        <v>60278745886</v>
      </c>
      <c r="BN182" s="351">
        <v>7432516949</v>
      </c>
      <c r="BO182" s="351">
        <v>0</v>
      </c>
      <c r="BP182" s="351">
        <v>0</v>
      </c>
      <c r="BQ182" s="351">
        <v>0</v>
      </c>
      <c r="BR182" s="351">
        <v>0</v>
      </c>
      <c r="BS182" s="351">
        <v>0</v>
      </c>
      <c r="BT182" s="351">
        <v>0</v>
      </c>
      <c r="BU182" s="351">
        <v>0</v>
      </c>
      <c r="BV182" s="350">
        <f t="shared" si="131"/>
        <v>6.25E-2</v>
      </c>
      <c r="BW182" s="350">
        <v>100</v>
      </c>
      <c r="BX182" s="385">
        <f t="shared" si="180"/>
        <v>0.25</v>
      </c>
      <c r="BY182" s="369">
        <v>100</v>
      </c>
      <c r="BZ182" s="391">
        <v>100</v>
      </c>
      <c r="CA182" s="689">
        <v>100</v>
      </c>
      <c r="CB182" s="324">
        <f t="shared" si="181"/>
        <v>25</v>
      </c>
      <c r="CC182" s="324">
        <f t="shared" si="182"/>
        <v>100</v>
      </c>
      <c r="CD182" s="384">
        <f t="shared" si="135"/>
        <v>100</v>
      </c>
      <c r="CE182" s="383">
        <f t="shared" si="136"/>
        <v>6.25E-2</v>
      </c>
      <c r="CF182" s="367">
        <f t="shared" si="137"/>
        <v>100</v>
      </c>
      <c r="CG182" s="383">
        <f t="shared" si="138"/>
        <v>6.25E-2</v>
      </c>
      <c r="CH182" s="320">
        <f t="shared" si="139"/>
        <v>6.25E-2</v>
      </c>
      <c r="CI182" s="319">
        <v>100</v>
      </c>
      <c r="CJ182" s="318">
        <f t="shared" si="183"/>
        <v>0.25</v>
      </c>
      <c r="CK182" s="1259">
        <v>100</v>
      </c>
      <c r="CL182" s="301">
        <f t="shared" si="184"/>
        <v>0</v>
      </c>
      <c r="CM182" s="381">
        <f t="shared" si="185"/>
        <v>25</v>
      </c>
      <c r="CN182" s="381">
        <f t="shared" si="186"/>
        <v>100</v>
      </c>
      <c r="CO182" s="381">
        <f t="shared" si="144"/>
        <v>100</v>
      </c>
      <c r="CP182" s="381">
        <f t="shared" si="145"/>
        <v>6.25E-2</v>
      </c>
      <c r="CQ182" s="381">
        <f t="shared" si="146"/>
        <v>6.25E-2</v>
      </c>
      <c r="CR182" s="313">
        <v>94134000000</v>
      </c>
      <c r="CS182" s="313">
        <v>0</v>
      </c>
      <c r="CT182" s="313">
        <v>94134000</v>
      </c>
      <c r="CU182" s="313">
        <v>0</v>
      </c>
      <c r="CV182" s="313">
        <v>0</v>
      </c>
      <c r="CW182" s="313">
        <v>0</v>
      </c>
      <c r="CX182" s="313">
        <v>0</v>
      </c>
      <c r="CY182" s="313">
        <v>0</v>
      </c>
      <c r="CZ182" s="380">
        <v>0</v>
      </c>
      <c r="DA182" s="380">
        <v>0</v>
      </c>
      <c r="DB182" s="380">
        <v>0</v>
      </c>
      <c r="DC182" s="380">
        <v>0</v>
      </c>
      <c r="DD182" s="380">
        <v>0</v>
      </c>
      <c r="DE182" s="380">
        <v>0</v>
      </c>
      <c r="DF182" s="380">
        <v>0</v>
      </c>
      <c r="DG182" s="380">
        <v>0</v>
      </c>
      <c r="DH182" s="380">
        <v>0</v>
      </c>
      <c r="DI182" s="380">
        <v>0</v>
      </c>
      <c r="DJ182" s="380">
        <v>0</v>
      </c>
      <c r="DK182" s="702">
        <f t="shared" si="187"/>
        <v>100</v>
      </c>
      <c r="DL182" s="311">
        <f t="shared" si="148"/>
        <v>0.25</v>
      </c>
      <c r="DM182" s="310">
        <f t="shared" si="149"/>
        <v>100</v>
      </c>
      <c r="DN182" s="356">
        <f t="shared" si="150"/>
        <v>100</v>
      </c>
      <c r="DO182" s="308">
        <f t="shared" si="151"/>
        <v>0.25</v>
      </c>
      <c r="DP182" s="359">
        <f>+IF(M182="M",DO182,0)</f>
        <v>0.25</v>
      </c>
      <c r="DQ182" s="306">
        <f t="shared" si="152"/>
        <v>0.25</v>
      </c>
      <c r="DR182" s="379">
        <f t="shared" si="153"/>
        <v>1</v>
      </c>
      <c r="DS182" s="378">
        <f t="shared" si="154"/>
        <v>0</v>
      </c>
      <c r="DT182" s="173">
        <v>202</v>
      </c>
      <c r="DU182" s="174" t="s">
        <v>121</v>
      </c>
      <c r="DV182" s="173"/>
      <c r="DW182" s="174" t="s">
        <v>84</v>
      </c>
      <c r="DX182" s="173"/>
      <c r="DY182" s="173"/>
      <c r="DZ182" s="173"/>
      <c r="EA182" s="665"/>
      <c r="EB182" s="1254" t="s">
        <v>2345</v>
      </c>
      <c r="EC182" s="537">
        <v>0</v>
      </c>
      <c r="EE182" s="733">
        <v>9</v>
      </c>
      <c r="EF182" s="706"/>
    </row>
    <row r="183" spans="4:136" s="302" customFormat="1" ht="89.25" hidden="1">
      <c r="D183" s="520">
        <v>180</v>
      </c>
      <c r="E183" s="534">
        <v>224</v>
      </c>
      <c r="F183" s="523" t="s">
        <v>43</v>
      </c>
      <c r="G183" s="479" t="s">
        <v>10</v>
      </c>
      <c r="H183" s="524" t="s">
        <v>2657</v>
      </c>
      <c r="I183" s="462" t="s">
        <v>497</v>
      </c>
      <c r="J183" s="335" t="s">
        <v>517</v>
      </c>
      <c r="K183" s="335" t="s">
        <v>518</v>
      </c>
      <c r="L183" s="453" t="s">
        <v>1978</v>
      </c>
      <c r="M183" s="334" t="s">
        <v>1771</v>
      </c>
      <c r="N183" s="334">
        <v>0</v>
      </c>
      <c r="O183" s="333">
        <f t="shared" ref="O183:O192" si="188">+N183+P183</f>
        <v>60</v>
      </c>
      <c r="P183" s="332">
        <v>60</v>
      </c>
      <c r="Q183" s="390">
        <v>0.16500000000000001</v>
      </c>
      <c r="R183" s="342">
        <f t="shared" si="118"/>
        <v>1.375E-2</v>
      </c>
      <c r="S183" s="389">
        <v>5</v>
      </c>
      <c r="T183" s="387">
        <f t="shared" si="174"/>
        <v>8.3333333333333329E-2</v>
      </c>
      <c r="U183" s="670">
        <v>5</v>
      </c>
      <c r="V183" s="388">
        <f t="shared" si="175"/>
        <v>5</v>
      </c>
      <c r="W183" s="356">
        <f t="shared" si="176"/>
        <v>100</v>
      </c>
      <c r="X183" s="356">
        <f t="shared" si="122"/>
        <v>100</v>
      </c>
      <c r="Y183" s="356">
        <f t="shared" si="155"/>
        <v>1.375E-2</v>
      </c>
      <c r="Z183" s="356">
        <f t="shared" si="123"/>
        <v>100</v>
      </c>
      <c r="AA183" s="355">
        <v>0</v>
      </c>
      <c r="AB183" s="355">
        <v>0</v>
      </c>
      <c r="AC183" s="355">
        <v>0</v>
      </c>
      <c r="AD183" s="355">
        <v>0</v>
      </c>
      <c r="AE183" s="355">
        <v>0</v>
      </c>
      <c r="AF183" s="355">
        <v>0</v>
      </c>
      <c r="AG183" s="355">
        <v>0</v>
      </c>
      <c r="AH183" s="355">
        <v>0</v>
      </c>
      <c r="AI183" s="355">
        <v>0</v>
      </c>
      <c r="AJ183" s="355">
        <v>0</v>
      </c>
      <c r="AK183" s="355">
        <v>0</v>
      </c>
      <c r="AL183" s="355">
        <v>0</v>
      </c>
      <c r="AM183" s="355">
        <v>0</v>
      </c>
      <c r="AN183" s="355">
        <v>0</v>
      </c>
      <c r="AO183" s="355">
        <v>0</v>
      </c>
      <c r="AP183" s="355">
        <v>0</v>
      </c>
      <c r="AQ183" s="355">
        <v>0</v>
      </c>
      <c r="AR183" s="355">
        <v>0</v>
      </c>
      <c r="AS183" s="355">
        <v>0</v>
      </c>
      <c r="AT183" s="333">
        <f t="shared" si="124"/>
        <v>2.75E-2</v>
      </c>
      <c r="AU183" s="334">
        <v>10</v>
      </c>
      <c r="AV183" s="387">
        <f t="shared" si="177"/>
        <v>0.16666666666666666</v>
      </c>
      <c r="AW183" s="677">
        <v>10</v>
      </c>
      <c r="AX183" s="366">
        <f t="shared" si="178"/>
        <v>10</v>
      </c>
      <c r="AY183" s="366">
        <f t="shared" si="179"/>
        <v>100</v>
      </c>
      <c r="AZ183" s="366">
        <f t="shared" si="128"/>
        <v>100</v>
      </c>
      <c r="BA183" s="354">
        <f t="shared" si="129"/>
        <v>2.75E-2</v>
      </c>
      <c r="BB183" s="354">
        <f t="shared" si="130"/>
        <v>100</v>
      </c>
      <c r="BC183" s="353">
        <v>104000000</v>
      </c>
      <c r="BD183" s="353">
        <v>0</v>
      </c>
      <c r="BE183" s="353">
        <v>104000000</v>
      </c>
      <c r="BF183" s="353">
        <v>0</v>
      </c>
      <c r="BG183" s="353">
        <v>0</v>
      </c>
      <c r="BH183" s="353">
        <v>0</v>
      </c>
      <c r="BI183" s="353">
        <v>0</v>
      </c>
      <c r="BJ183" s="353">
        <v>0</v>
      </c>
      <c r="BK183" s="452">
        <v>0</v>
      </c>
      <c r="BL183" s="351">
        <v>0</v>
      </c>
      <c r="BM183" s="351">
        <v>0</v>
      </c>
      <c r="BN183" s="351">
        <v>0</v>
      </c>
      <c r="BO183" s="351">
        <v>0</v>
      </c>
      <c r="BP183" s="351">
        <v>0</v>
      </c>
      <c r="BQ183" s="351">
        <v>0</v>
      </c>
      <c r="BR183" s="351">
        <v>0</v>
      </c>
      <c r="BS183" s="351">
        <v>0</v>
      </c>
      <c r="BT183" s="351">
        <v>0</v>
      </c>
      <c r="BU183" s="351">
        <v>0</v>
      </c>
      <c r="BV183" s="350">
        <f t="shared" si="131"/>
        <v>6.8750000000000006E-2</v>
      </c>
      <c r="BW183" s="350">
        <v>25</v>
      </c>
      <c r="BX183" s="385">
        <f t="shared" si="180"/>
        <v>0.41666666666666669</v>
      </c>
      <c r="BY183" s="369">
        <v>5</v>
      </c>
      <c r="BZ183" s="391">
        <v>22</v>
      </c>
      <c r="CA183" s="689">
        <v>25</v>
      </c>
      <c r="CB183" s="324">
        <f t="shared" si="181"/>
        <v>25</v>
      </c>
      <c r="CC183" s="324">
        <f t="shared" si="182"/>
        <v>100</v>
      </c>
      <c r="CD183" s="384">
        <f t="shared" si="135"/>
        <v>100</v>
      </c>
      <c r="CE183" s="383">
        <f t="shared" si="136"/>
        <v>6.8750000000000006E-2</v>
      </c>
      <c r="CF183" s="367">
        <f t="shared" si="137"/>
        <v>100</v>
      </c>
      <c r="CG183" s="383">
        <f t="shared" si="138"/>
        <v>6.8750000000000006E-2</v>
      </c>
      <c r="CH183" s="320">
        <f t="shared" si="139"/>
        <v>5.5E-2</v>
      </c>
      <c r="CI183" s="319">
        <v>20</v>
      </c>
      <c r="CJ183" s="318">
        <f t="shared" si="183"/>
        <v>0.33333333333333331</v>
      </c>
      <c r="CK183" s="1259">
        <v>20</v>
      </c>
      <c r="CL183" s="301">
        <f t="shared" si="184"/>
        <v>0</v>
      </c>
      <c r="CM183" s="381">
        <f t="shared" si="185"/>
        <v>20</v>
      </c>
      <c r="CN183" s="381">
        <f t="shared" si="186"/>
        <v>100</v>
      </c>
      <c r="CO183" s="316">
        <f t="shared" si="144"/>
        <v>100</v>
      </c>
      <c r="CP183" s="381">
        <f t="shared" si="145"/>
        <v>5.5E-2</v>
      </c>
      <c r="CQ183" s="381">
        <f t="shared" si="146"/>
        <v>5.5E-2</v>
      </c>
      <c r="CR183" s="313">
        <v>240000000</v>
      </c>
      <c r="CS183" s="313">
        <v>240000000</v>
      </c>
      <c r="CT183" s="313">
        <v>0</v>
      </c>
      <c r="CU183" s="313">
        <v>0</v>
      </c>
      <c r="CV183" s="313">
        <v>0</v>
      </c>
      <c r="CW183" s="313">
        <v>0</v>
      </c>
      <c r="CX183" s="313">
        <v>0</v>
      </c>
      <c r="CY183" s="313">
        <v>0</v>
      </c>
      <c r="CZ183" s="380">
        <v>0</v>
      </c>
      <c r="DA183" s="380">
        <v>0</v>
      </c>
      <c r="DB183" s="380">
        <v>0</v>
      </c>
      <c r="DC183" s="380">
        <v>0</v>
      </c>
      <c r="DD183" s="380">
        <v>0</v>
      </c>
      <c r="DE183" s="380">
        <v>0</v>
      </c>
      <c r="DF183" s="380">
        <v>0</v>
      </c>
      <c r="DG183" s="380">
        <v>0</v>
      </c>
      <c r="DH183" s="380">
        <v>0</v>
      </c>
      <c r="DI183" s="380">
        <v>0</v>
      </c>
      <c r="DJ183" s="380">
        <v>0</v>
      </c>
      <c r="DK183" s="702">
        <f t="shared" si="187"/>
        <v>60</v>
      </c>
      <c r="DL183" s="311">
        <f t="shared" si="148"/>
        <v>0.16500000000000001</v>
      </c>
      <c r="DM183" s="310">
        <f t="shared" si="149"/>
        <v>100</v>
      </c>
      <c r="DN183" s="356">
        <f t="shared" si="150"/>
        <v>100</v>
      </c>
      <c r="DO183" s="308">
        <f t="shared" si="151"/>
        <v>0.16500000000000001</v>
      </c>
      <c r="DP183" s="359">
        <f t="shared" ref="DP183:DP192" si="189">+IF(((DN183*Q183)/100)&lt;Q183, ((DN183*Q183)/100),Q183)</f>
        <v>0.16500000000000001</v>
      </c>
      <c r="DQ183" s="306">
        <f t="shared" si="152"/>
        <v>0.16500000000000001</v>
      </c>
      <c r="DR183" s="379">
        <f t="shared" si="153"/>
        <v>1</v>
      </c>
      <c r="DS183" s="378">
        <f t="shared" si="154"/>
        <v>0</v>
      </c>
      <c r="DT183" s="173">
        <v>203</v>
      </c>
      <c r="DU183" s="174" t="s">
        <v>120</v>
      </c>
      <c r="DV183" s="173"/>
      <c r="DW183" s="174" t="s">
        <v>84</v>
      </c>
      <c r="DX183" s="173"/>
      <c r="DY183" s="173"/>
      <c r="DZ183" s="173"/>
      <c r="EA183" s="665"/>
      <c r="EB183" s="1254" t="s">
        <v>2346</v>
      </c>
      <c r="EC183" s="537">
        <v>24223000000</v>
      </c>
      <c r="EE183" s="745">
        <v>808</v>
      </c>
      <c r="EF183" s="706"/>
    </row>
    <row r="184" spans="4:136" s="302" customFormat="1" ht="76.5" hidden="1">
      <c r="D184" s="520">
        <v>181</v>
      </c>
      <c r="E184" s="534">
        <v>225</v>
      </c>
      <c r="F184" s="523" t="s">
        <v>43</v>
      </c>
      <c r="G184" s="523" t="s">
        <v>81</v>
      </c>
      <c r="H184" s="524" t="s">
        <v>2657</v>
      </c>
      <c r="I184" s="462" t="s">
        <v>519</v>
      </c>
      <c r="J184" s="335" t="s">
        <v>520</v>
      </c>
      <c r="K184" s="335" t="s">
        <v>521</v>
      </c>
      <c r="L184" s="454" t="s">
        <v>1800</v>
      </c>
      <c r="M184" s="333" t="s">
        <v>1771</v>
      </c>
      <c r="N184" s="333">
        <v>0</v>
      </c>
      <c r="O184" s="333">
        <f t="shared" si="188"/>
        <v>5</v>
      </c>
      <c r="P184" s="332">
        <v>5</v>
      </c>
      <c r="Q184" s="390">
        <v>0.16500000000000001</v>
      </c>
      <c r="R184" s="342">
        <f t="shared" si="118"/>
        <v>0</v>
      </c>
      <c r="S184" s="459">
        <v>0</v>
      </c>
      <c r="T184" s="387">
        <f t="shared" si="174"/>
        <v>0</v>
      </c>
      <c r="U184" s="670">
        <v>0</v>
      </c>
      <c r="V184" s="388">
        <f t="shared" si="175"/>
        <v>0</v>
      </c>
      <c r="W184" s="356">
        <f t="shared" si="176"/>
        <v>0</v>
      </c>
      <c r="X184" s="356">
        <f t="shared" si="122"/>
        <v>0</v>
      </c>
      <c r="Y184" s="356">
        <f t="shared" si="155"/>
        <v>0</v>
      </c>
      <c r="Z184" s="356">
        <f t="shared" si="123"/>
        <v>0</v>
      </c>
      <c r="AA184" s="313">
        <v>0</v>
      </c>
      <c r="AB184" s="313">
        <v>0</v>
      </c>
      <c r="AC184" s="313">
        <v>0</v>
      </c>
      <c r="AD184" s="313">
        <v>0</v>
      </c>
      <c r="AE184" s="313">
        <v>0</v>
      </c>
      <c r="AF184" s="313">
        <v>0</v>
      </c>
      <c r="AG184" s="313">
        <v>0</v>
      </c>
      <c r="AH184" s="313">
        <v>0</v>
      </c>
      <c r="AI184" s="313">
        <v>0</v>
      </c>
      <c r="AJ184" s="313">
        <v>0</v>
      </c>
      <c r="AK184" s="313">
        <v>0</v>
      </c>
      <c r="AL184" s="313">
        <v>0</v>
      </c>
      <c r="AM184" s="313">
        <v>0</v>
      </c>
      <c r="AN184" s="313">
        <v>0</v>
      </c>
      <c r="AO184" s="313">
        <v>0</v>
      </c>
      <c r="AP184" s="313">
        <v>0</v>
      </c>
      <c r="AQ184" s="313">
        <v>0</v>
      </c>
      <c r="AR184" s="313">
        <v>0</v>
      </c>
      <c r="AS184" s="313">
        <v>0</v>
      </c>
      <c r="AT184" s="333">
        <f t="shared" si="124"/>
        <v>6.6000000000000003E-2</v>
      </c>
      <c r="AU184" s="333">
        <v>2</v>
      </c>
      <c r="AV184" s="387">
        <f t="shared" si="177"/>
        <v>0.4</v>
      </c>
      <c r="AW184" s="677">
        <v>2</v>
      </c>
      <c r="AX184" s="366">
        <f t="shared" si="178"/>
        <v>2</v>
      </c>
      <c r="AY184" s="366">
        <f t="shared" si="179"/>
        <v>100</v>
      </c>
      <c r="AZ184" s="366">
        <f t="shared" si="128"/>
        <v>100</v>
      </c>
      <c r="BA184" s="354">
        <f t="shared" si="129"/>
        <v>6.6000000000000003E-2</v>
      </c>
      <c r="BB184" s="354">
        <f t="shared" si="130"/>
        <v>100</v>
      </c>
      <c r="BC184" s="353">
        <v>20000000</v>
      </c>
      <c r="BD184" s="353">
        <v>0</v>
      </c>
      <c r="BE184" s="353">
        <v>20000000</v>
      </c>
      <c r="BF184" s="353">
        <v>0</v>
      </c>
      <c r="BG184" s="353">
        <v>0</v>
      </c>
      <c r="BH184" s="353">
        <v>0</v>
      </c>
      <c r="BI184" s="353">
        <v>0</v>
      </c>
      <c r="BJ184" s="353">
        <v>0</v>
      </c>
      <c r="BK184" s="452">
        <v>12000000</v>
      </c>
      <c r="BL184" s="351">
        <v>12000000</v>
      </c>
      <c r="BM184" s="351">
        <v>0</v>
      </c>
      <c r="BN184" s="351">
        <v>0</v>
      </c>
      <c r="BO184" s="351">
        <v>0</v>
      </c>
      <c r="BP184" s="351">
        <v>0</v>
      </c>
      <c r="BQ184" s="351">
        <v>0</v>
      </c>
      <c r="BR184" s="351">
        <v>0</v>
      </c>
      <c r="BS184" s="351">
        <v>0</v>
      </c>
      <c r="BT184" s="351">
        <v>0</v>
      </c>
      <c r="BU184" s="351">
        <v>0</v>
      </c>
      <c r="BV184" s="350">
        <f t="shared" si="131"/>
        <v>6.6000000000000003E-2</v>
      </c>
      <c r="BW184" s="350">
        <v>2</v>
      </c>
      <c r="BX184" s="385">
        <f t="shared" si="180"/>
        <v>0.4</v>
      </c>
      <c r="BY184" s="369">
        <v>2</v>
      </c>
      <c r="BZ184" s="391">
        <v>4</v>
      </c>
      <c r="CA184" s="689">
        <v>2</v>
      </c>
      <c r="CB184" s="324">
        <f t="shared" si="181"/>
        <v>2</v>
      </c>
      <c r="CC184" s="324">
        <f t="shared" si="182"/>
        <v>100</v>
      </c>
      <c r="CD184" s="384">
        <f t="shared" si="135"/>
        <v>100</v>
      </c>
      <c r="CE184" s="383">
        <f t="shared" si="136"/>
        <v>6.6000000000000003E-2</v>
      </c>
      <c r="CF184" s="367">
        <f t="shared" si="137"/>
        <v>100</v>
      </c>
      <c r="CG184" s="383">
        <f t="shared" si="138"/>
        <v>6.6000000000000003E-2</v>
      </c>
      <c r="CH184" s="320">
        <f t="shared" si="139"/>
        <v>3.3000000000000002E-2</v>
      </c>
      <c r="CI184" s="319">
        <v>1</v>
      </c>
      <c r="CJ184" s="318">
        <f t="shared" si="183"/>
        <v>0.2</v>
      </c>
      <c r="CK184" s="1259">
        <v>1</v>
      </c>
      <c r="CL184" s="301">
        <f t="shared" si="184"/>
        <v>0</v>
      </c>
      <c r="CM184" s="381">
        <f t="shared" si="185"/>
        <v>1</v>
      </c>
      <c r="CN184" s="381">
        <f t="shared" si="186"/>
        <v>100</v>
      </c>
      <c r="CO184" s="316">
        <f t="shared" si="144"/>
        <v>100</v>
      </c>
      <c r="CP184" s="381">
        <f t="shared" si="145"/>
        <v>3.3000000000000002E-2</v>
      </c>
      <c r="CQ184" s="381">
        <f t="shared" si="146"/>
        <v>3.3000000000000002E-2</v>
      </c>
      <c r="CR184" s="313">
        <v>11000000</v>
      </c>
      <c r="CS184" s="313">
        <v>11000000</v>
      </c>
      <c r="CT184" s="313">
        <v>0</v>
      </c>
      <c r="CU184" s="313">
        <v>0</v>
      </c>
      <c r="CV184" s="313">
        <v>0</v>
      </c>
      <c r="CW184" s="313">
        <v>0</v>
      </c>
      <c r="CX184" s="313">
        <v>0</v>
      </c>
      <c r="CY184" s="313">
        <v>0</v>
      </c>
      <c r="CZ184" s="380">
        <v>0</v>
      </c>
      <c r="DA184" s="380">
        <v>0</v>
      </c>
      <c r="DB184" s="380">
        <v>0</v>
      </c>
      <c r="DC184" s="380">
        <v>0</v>
      </c>
      <c r="DD184" s="380">
        <v>0</v>
      </c>
      <c r="DE184" s="380">
        <v>0</v>
      </c>
      <c r="DF184" s="380">
        <v>0</v>
      </c>
      <c r="DG184" s="380">
        <v>0</v>
      </c>
      <c r="DH184" s="380">
        <v>0</v>
      </c>
      <c r="DI184" s="380">
        <v>0</v>
      </c>
      <c r="DJ184" s="380">
        <v>0</v>
      </c>
      <c r="DK184" s="702">
        <f t="shared" si="187"/>
        <v>5</v>
      </c>
      <c r="DL184" s="311">
        <f t="shared" si="148"/>
        <v>0.16500000000000001</v>
      </c>
      <c r="DM184" s="310">
        <f t="shared" si="149"/>
        <v>100</v>
      </c>
      <c r="DN184" s="356">
        <f t="shared" si="150"/>
        <v>100</v>
      </c>
      <c r="DO184" s="308">
        <f t="shared" si="151"/>
        <v>0.16500000000000001</v>
      </c>
      <c r="DP184" s="359">
        <f t="shared" si="189"/>
        <v>0.16500000000000001</v>
      </c>
      <c r="DQ184" s="306">
        <f t="shared" si="152"/>
        <v>0.16500000000000001</v>
      </c>
      <c r="DR184" s="379">
        <f t="shared" si="153"/>
        <v>1</v>
      </c>
      <c r="DS184" s="378">
        <f t="shared" si="154"/>
        <v>0</v>
      </c>
      <c r="DT184" s="173">
        <v>202</v>
      </c>
      <c r="DU184" s="174" t="s">
        <v>121</v>
      </c>
      <c r="DV184" s="173"/>
      <c r="DW184" s="174" t="s">
        <v>84</v>
      </c>
      <c r="DX184" s="173"/>
      <c r="DY184" s="173"/>
      <c r="DZ184" s="173"/>
      <c r="EA184" s="665"/>
      <c r="EB184" s="1254" t="s">
        <v>2457</v>
      </c>
      <c r="EC184" s="537">
        <v>0</v>
      </c>
      <c r="EE184" s="735">
        <v>2</v>
      </c>
      <c r="EF184" s="706"/>
    </row>
    <row r="185" spans="4:136" s="302" customFormat="1" ht="63.75" hidden="1">
      <c r="D185" s="520">
        <v>182</v>
      </c>
      <c r="E185" s="534">
        <v>226</v>
      </c>
      <c r="F185" s="336" t="s">
        <v>43</v>
      </c>
      <c r="G185" s="336" t="s">
        <v>7</v>
      </c>
      <c r="H185" s="336" t="s">
        <v>2657</v>
      </c>
      <c r="I185" s="336" t="s">
        <v>519</v>
      </c>
      <c r="J185" s="335" t="s">
        <v>1977</v>
      </c>
      <c r="K185" s="335" t="s">
        <v>522</v>
      </c>
      <c r="L185" s="453" t="s">
        <v>1976</v>
      </c>
      <c r="M185" s="333" t="s">
        <v>1771</v>
      </c>
      <c r="N185" s="333">
        <v>0</v>
      </c>
      <c r="O185" s="333">
        <f t="shared" si="188"/>
        <v>3</v>
      </c>
      <c r="P185" s="332">
        <v>3</v>
      </c>
      <c r="Q185" s="393">
        <v>0.16500000000000001</v>
      </c>
      <c r="R185" s="342">
        <f t="shared" si="118"/>
        <v>0</v>
      </c>
      <c r="S185" s="459">
        <v>0</v>
      </c>
      <c r="T185" s="387">
        <f t="shared" si="174"/>
        <v>0</v>
      </c>
      <c r="U185" s="670">
        <v>0</v>
      </c>
      <c r="V185" s="388">
        <f t="shared" si="175"/>
        <v>0</v>
      </c>
      <c r="W185" s="356">
        <f t="shared" si="176"/>
        <v>0</v>
      </c>
      <c r="X185" s="356">
        <f t="shared" si="122"/>
        <v>0</v>
      </c>
      <c r="Y185" s="356">
        <f t="shared" si="155"/>
        <v>0</v>
      </c>
      <c r="Z185" s="356">
        <f t="shared" si="123"/>
        <v>0</v>
      </c>
      <c r="AA185" s="313">
        <v>0</v>
      </c>
      <c r="AB185" s="313">
        <v>0</v>
      </c>
      <c r="AC185" s="313">
        <v>0</v>
      </c>
      <c r="AD185" s="313">
        <v>0</v>
      </c>
      <c r="AE185" s="313">
        <v>0</v>
      </c>
      <c r="AF185" s="313">
        <v>0</v>
      </c>
      <c r="AG185" s="313">
        <v>0</v>
      </c>
      <c r="AH185" s="313">
        <v>0</v>
      </c>
      <c r="AI185" s="313">
        <v>19980000</v>
      </c>
      <c r="AJ185" s="313">
        <v>19980000</v>
      </c>
      <c r="AK185" s="313">
        <v>0</v>
      </c>
      <c r="AL185" s="313">
        <v>0</v>
      </c>
      <c r="AM185" s="313">
        <v>0</v>
      </c>
      <c r="AN185" s="313">
        <v>0</v>
      </c>
      <c r="AO185" s="313">
        <v>0</v>
      </c>
      <c r="AP185" s="313">
        <v>0</v>
      </c>
      <c r="AQ185" s="313">
        <v>0</v>
      </c>
      <c r="AR185" s="313">
        <v>0</v>
      </c>
      <c r="AS185" s="313" t="s">
        <v>1798</v>
      </c>
      <c r="AT185" s="392">
        <f t="shared" si="124"/>
        <v>0</v>
      </c>
      <c r="AU185" s="333">
        <v>0</v>
      </c>
      <c r="AV185" s="387">
        <f t="shared" si="177"/>
        <v>0</v>
      </c>
      <c r="AW185" s="677">
        <v>0</v>
      </c>
      <c r="AX185" s="366">
        <f t="shared" si="178"/>
        <v>0</v>
      </c>
      <c r="AY185" s="366">
        <f t="shared" si="179"/>
        <v>0</v>
      </c>
      <c r="AZ185" s="366">
        <f t="shared" si="128"/>
        <v>0</v>
      </c>
      <c r="BA185" s="354">
        <f t="shared" si="129"/>
        <v>0</v>
      </c>
      <c r="BB185" s="354">
        <f t="shared" si="130"/>
        <v>0</v>
      </c>
      <c r="BC185" s="353">
        <v>16000000</v>
      </c>
      <c r="BD185" s="353">
        <v>0</v>
      </c>
      <c r="BE185" s="353">
        <v>16000000</v>
      </c>
      <c r="BF185" s="353">
        <v>0</v>
      </c>
      <c r="BG185" s="353">
        <v>0</v>
      </c>
      <c r="BH185" s="353">
        <v>0</v>
      </c>
      <c r="BI185" s="353">
        <v>0</v>
      </c>
      <c r="BJ185" s="353">
        <v>0</v>
      </c>
      <c r="BK185" s="452">
        <v>0</v>
      </c>
      <c r="BL185" s="351">
        <v>0</v>
      </c>
      <c r="BM185" s="351">
        <v>0</v>
      </c>
      <c r="BN185" s="351">
        <v>0</v>
      </c>
      <c r="BO185" s="351">
        <v>0</v>
      </c>
      <c r="BP185" s="351">
        <v>0</v>
      </c>
      <c r="BQ185" s="351">
        <v>0</v>
      </c>
      <c r="BR185" s="351">
        <v>0</v>
      </c>
      <c r="BS185" s="351">
        <v>0</v>
      </c>
      <c r="BT185" s="351">
        <v>0</v>
      </c>
      <c r="BU185" s="351">
        <v>0</v>
      </c>
      <c r="BV185" s="350">
        <f t="shared" si="131"/>
        <v>0.11</v>
      </c>
      <c r="BW185" s="350">
        <v>2</v>
      </c>
      <c r="BX185" s="385">
        <f t="shared" si="180"/>
        <v>0.66666666666666663</v>
      </c>
      <c r="BY185" s="399">
        <v>0</v>
      </c>
      <c r="BZ185" s="398">
        <v>2</v>
      </c>
      <c r="CA185" s="690">
        <v>2</v>
      </c>
      <c r="CB185" s="324">
        <f t="shared" si="181"/>
        <v>2</v>
      </c>
      <c r="CC185" s="324">
        <f t="shared" si="182"/>
        <v>100</v>
      </c>
      <c r="CD185" s="384">
        <f t="shared" si="135"/>
        <v>100</v>
      </c>
      <c r="CE185" s="383">
        <f t="shared" si="136"/>
        <v>0.11</v>
      </c>
      <c r="CF185" s="367">
        <f t="shared" si="137"/>
        <v>100</v>
      </c>
      <c r="CG185" s="383">
        <f t="shared" si="138"/>
        <v>0.11</v>
      </c>
      <c r="CH185" s="320">
        <f t="shared" si="139"/>
        <v>5.5E-2</v>
      </c>
      <c r="CI185" s="319">
        <v>1</v>
      </c>
      <c r="CJ185" s="318">
        <f t="shared" si="183"/>
        <v>0.33333333333333331</v>
      </c>
      <c r="CK185" s="1259">
        <v>1</v>
      </c>
      <c r="CL185" s="301">
        <f t="shared" si="184"/>
        <v>0</v>
      </c>
      <c r="CM185" s="381">
        <f t="shared" si="185"/>
        <v>1</v>
      </c>
      <c r="CN185" s="381">
        <f t="shared" si="186"/>
        <v>100</v>
      </c>
      <c r="CO185" s="316">
        <f t="shared" si="144"/>
        <v>100</v>
      </c>
      <c r="CP185" s="381">
        <f t="shared" si="145"/>
        <v>5.5E-2</v>
      </c>
      <c r="CQ185" s="381">
        <f t="shared" si="146"/>
        <v>5.5E-2</v>
      </c>
      <c r="CR185" s="313">
        <v>36000000</v>
      </c>
      <c r="CS185" s="313">
        <v>36000000</v>
      </c>
      <c r="CT185" s="313">
        <v>0</v>
      </c>
      <c r="CU185" s="313">
        <v>0</v>
      </c>
      <c r="CV185" s="313">
        <v>0</v>
      </c>
      <c r="CW185" s="313">
        <v>0</v>
      </c>
      <c r="CX185" s="313">
        <v>0</v>
      </c>
      <c r="CY185" s="313">
        <v>0</v>
      </c>
      <c r="CZ185" s="380">
        <v>0</v>
      </c>
      <c r="DA185" s="380">
        <v>0</v>
      </c>
      <c r="DB185" s="380">
        <v>0</v>
      </c>
      <c r="DC185" s="380">
        <v>0</v>
      </c>
      <c r="DD185" s="380">
        <v>0</v>
      </c>
      <c r="DE185" s="380">
        <v>0</v>
      </c>
      <c r="DF185" s="380">
        <v>0</v>
      </c>
      <c r="DG185" s="380">
        <v>0</v>
      </c>
      <c r="DH185" s="380">
        <v>0</v>
      </c>
      <c r="DI185" s="380">
        <v>0</v>
      </c>
      <c r="DJ185" s="380">
        <v>0</v>
      </c>
      <c r="DK185" s="702">
        <f t="shared" si="187"/>
        <v>3</v>
      </c>
      <c r="DL185" s="311">
        <f t="shared" si="148"/>
        <v>0.16500000000000001</v>
      </c>
      <c r="DM185" s="310">
        <f t="shared" si="149"/>
        <v>100</v>
      </c>
      <c r="DN185" s="356">
        <f t="shared" si="150"/>
        <v>100</v>
      </c>
      <c r="DO185" s="308">
        <f t="shared" si="151"/>
        <v>0.16500000000000001</v>
      </c>
      <c r="DP185" s="359">
        <f t="shared" si="189"/>
        <v>0.16500000000000001</v>
      </c>
      <c r="DQ185" s="306">
        <f t="shared" si="152"/>
        <v>0.16500000000000001</v>
      </c>
      <c r="DR185" s="379">
        <f t="shared" si="153"/>
        <v>1</v>
      </c>
      <c r="DS185" s="378">
        <f t="shared" si="154"/>
        <v>0</v>
      </c>
      <c r="DT185" s="173">
        <v>202</v>
      </c>
      <c r="DU185" s="174" t="s">
        <v>121</v>
      </c>
      <c r="DV185" s="173"/>
      <c r="DW185" s="174" t="s">
        <v>84</v>
      </c>
      <c r="DX185" s="173"/>
      <c r="DY185" s="173"/>
      <c r="DZ185" s="173"/>
      <c r="EA185" s="665"/>
      <c r="EB185" s="1254" t="s">
        <v>2526</v>
      </c>
      <c r="EC185" s="537">
        <v>290000000</v>
      </c>
      <c r="EE185" s="734">
        <v>1</v>
      </c>
      <c r="EF185" s="706"/>
    </row>
    <row r="186" spans="4:136" s="302" customFormat="1" ht="51" hidden="1">
      <c r="D186" s="520">
        <v>183</v>
      </c>
      <c r="E186" s="534">
        <v>227</v>
      </c>
      <c r="F186" s="523" t="s">
        <v>43</v>
      </c>
      <c r="G186" s="523" t="s">
        <v>7</v>
      </c>
      <c r="H186" s="524" t="s">
        <v>2657</v>
      </c>
      <c r="I186" s="462" t="s">
        <v>519</v>
      </c>
      <c r="J186" s="335" t="s">
        <v>523</v>
      </c>
      <c r="K186" s="335" t="s">
        <v>524</v>
      </c>
      <c r="L186" s="453" t="s">
        <v>1889</v>
      </c>
      <c r="M186" s="333" t="s">
        <v>1771</v>
      </c>
      <c r="N186" s="333">
        <v>0</v>
      </c>
      <c r="O186" s="333">
        <f t="shared" si="188"/>
        <v>1</v>
      </c>
      <c r="P186" s="332">
        <v>1</v>
      </c>
      <c r="Q186" s="390">
        <v>0.16500000000000001</v>
      </c>
      <c r="R186" s="342">
        <f t="shared" si="118"/>
        <v>0.16500000000000001</v>
      </c>
      <c r="S186" s="459">
        <v>1</v>
      </c>
      <c r="T186" s="387">
        <f t="shared" si="174"/>
        <v>1</v>
      </c>
      <c r="U186" s="670">
        <v>0.5</v>
      </c>
      <c r="V186" s="388">
        <f t="shared" si="175"/>
        <v>0.5</v>
      </c>
      <c r="W186" s="356">
        <f t="shared" si="176"/>
        <v>50</v>
      </c>
      <c r="X186" s="356">
        <f t="shared" si="122"/>
        <v>50</v>
      </c>
      <c r="Y186" s="356">
        <f t="shared" si="155"/>
        <v>8.2500000000000004E-2</v>
      </c>
      <c r="Z186" s="356">
        <f t="shared" si="123"/>
        <v>50</v>
      </c>
      <c r="AA186" s="313">
        <v>20000000</v>
      </c>
      <c r="AB186" s="313">
        <v>20000000</v>
      </c>
      <c r="AC186" s="313">
        <v>0</v>
      </c>
      <c r="AD186" s="313">
        <v>0</v>
      </c>
      <c r="AE186" s="313">
        <v>0</v>
      </c>
      <c r="AF186" s="313">
        <v>0</v>
      </c>
      <c r="AG186" s="313">
        <v>0</v>
      </c>
      <c r="AH186" s="313">
        <v>0</v>
      </c>
      <c r="AI186" s="313">
        <v>79865000</v>
      </c>
      <c r="AJ186" s="313">
        <v>79865000</v>
      </c>
      <c r="AK186" s="313">
        <v>0</v>
      </c>
      <c r="AL186" s="313">
        <v>0</v>
      </c>
      <c r="AM186" s="313">
        <v>0</v>
      </c>
      <c r="AN186" s="313">
        <v>0</v>
      </c>
      <c r="AO186" s="313">
        <v>0</v>
      </c>
      <c r="AP186" s="313">
        <v>0</v>
      </c>
      <c r="AQ186" s="313">
        <v>0</v>
      </c>
      <c r="AR186" s="313">
        <v>0</v>
      </c>
      <c r="AS186" s="313">
        <v>0</v>
      </c>
      <c r="AT186" s="333">
        <f t="shared" si="124"/>
        <v>0</v>
      </c>
      <c r="AU186" s="333">
        <v>0</v>
      </c>
      <c r="AV186" s="387">
        <f t="shared" si="177"/>
        <v>0</v>
      </c>
      <c r="AW186" s="677">
        <v>0</v>
      </c>
      <c r="AX186" s="366">
        <f t="shared" si="178"/>
        <v>0</v>
      </c>
      <c r="AY186" s="366">
        <f t="shared" si="179"/>
        <v>0</v>
      </c>
      <c r="AZ186" s="366">
        <f t="shared" si="128"/>
        <v>0</v>
      </c>
      <c r="BA186" s="354">
        <f t="shared" si="129"/>
        <v>0</v>
      </c>
      <c r="BB186" s="354">
        <f t="shared" si="130"/>
        <v>0</v>
      </c>
      <c r="BC186" s="353">
        <v>0</v>
      </c>
      <c r="BD186" s="353">
        <v>0</v>
      </c>
      <c r="BE186" s="353">
        <v>0</v>
      </c>
      <c r="BF186" s="353">
        <v>0</v>
      </c>
      <c r="BG186" s="353">
        <v>0</v>
      </c>
      <c r="BH186" s="353">
        <v>0</v>
      </c>
      <c r="BI186" s="353">
        <v>0</v>
      </c>
      <c r="BJ186" s="353">
        <v>0</v>
      </c>
      <c r="BK186" s="452">
        <v>0</v>
      </c>
      <c r="BL186" s="351">
        <v>0</v>
      </c>
      <c r="BM186" s="351">
        <v>0</v>
      </c>
      <c r="BN186" s="351">
        <v>0</v>
      </c>
      <c r="BO186" s="351">
        <v>0</v>
      </c>
      <c r="BP186" s="351">
        <v>0</v>
      </c>
      <c r="BQ186" s="351">
        <v>0</v>
      </c>
      <c r="BR186" s="351">
        <v>0</v>
      </c>
      <c r="BS186" s="351">
        <v>0</v>
      </c>
      <c r="BT186" s="351">
        <v>0</v>
      </c>
      <c r="BU186" s="351">
        <v>0</v>
      </c>
      <c r="BV186" s="350">
        <f t="shared" si="131"/>
        <v>0</v>
      </c>
      <c r="BW186" s="350">
        <v>0</v>
      </c>
      <c r="BX186" s="385">
        <f t="shared" si="180"/>
        <v>0</v>
      </c>
      <c r="BY186" s="399">
        <v>1</v>
      </c>
      <c r="BZ186" s="398">
        <v>0</v>
      </c>
      <c r="CA186" s="690">
        <v>0</v>
      </c>
      <c r="CB186" s="324">
        <f t="shared" si="181"/>
        <v>0</v>
      </c>
      <c r="CC186" s="324">
        <f t="shared" si="182"/>
        <v>0</v>
      </c>
      <c r="CD186" s="384">
        <f t="shared" si="135"/>
        <v>0</v>
      </c>
      <c r="CE186" s="383">
        <f t="shared" si="136"/>
        <v>0</v>
      </c>
      <c r="CF186" s="367">
        <f t="shared" si="137"/>
        <v>0</v>
      </c>
      <c r="CG186" s="383">
        <f t="shared" si="138"/>
        <v>0</v>
      </c>
      <c r="CH186" s="320">
        <f t="shared" si="139"/>
        <v>0</v>
      </c>
      <c r="CI186" s="319">
        <v>0</v>
      </c>
      <c r="CJ186" s="318">
        <f t="shared" si="183"/>
        <v>0</v>
      </c>
      <c r="CK186" s="1259">
        <v>1</v>
      </c>
      <c r="CL186" s="301">
        <f t="shared" si="184"/>
        <v>-1</v>
      </c>
      <c r="CM186" s="381">
        <f t="shared" si="185"/>
        <v>1</v>
      </c>
      <c r="CN186" s="381">
        <f t="shared" si="186"/>
        <v>0</v>
      </c>
      <c r="CO186" s="316">
        <f t="shared" si="144"/>
        <v>0</v>
      </c>
      <c r="CP186" s="381">
        <f t="shared" si="145"/>
        <v>0</v>
      </c>
      <c r="CQ186" s="381">
        <f t="shared" si="146"/>
        <v>0</v>
      </c>
      <c r="CR186" s="313">
        <v>0</v>
      </c>
      <c r="CS186" s="313">
        <v>0</v>
      </c>
      <c r="CT186" s="313">
        <v>0</v>
      </c>
      <c r="CU186" s="313">
        <v>0</v>
      </c>
      <c r="CV186" s="313">
        <v>0</v>
      </c>
      <c r="CW186" s="313">
        <v>0</v>
      </c>
      <c r="CX186" s="313">
        <v>0</v>
      </c>
      <c r="CY186" s="313">
        <v>0</v>
      </c>
      <c r="CZ186" s="380">
        <v>0</v>
      </c>
      <c r="DA186" s="380">
        <v>0</v>
      </c>
      <c r="DB186" s="380">
        <v>0</v>
      </c>
      <c r="DC186" s="380">
        <v>0</v>
      </c>
      <c r="DD186" s="380">
        <v>0</v>
      </c>
      <c r="DE186" s="380">
        <v>0</v>
      </c>
      <c r="DF186" s="380">
        <v>0</v>
      </c>
      <c r="DG186" s="380">
        <v>0</v>
      </c>
      <c r="DH186" s="380">
        <v>0</v>
      </c>
      <c r="DI186" s="380">
        <v>0</v>
      </c>
      <c r="DJ186" s="380">
        <v>0</v>
      </c>
      <c r="DK186" s="702">
        <f t="shared" si="187"/>
        <v>1.5</v>
      </c>
      <c r="DL186" s="311">
        <f t="shared" si="148"/>
        <v>0.16500000000000001</v>
      </c>
      <c r="DM186" s="310">
        <f t="shared" si="149"/>
        <v>150</v>
      </c>
      <c r="DN186" s="356">
        <f t="shared" si="150"/>
        <v>100</v>
      </c>
      <c r="DO186" s="308">
        <f t="shared" si="151"/>
        <v>0.16500000000000001</v>
      </c>
      <c r="DP186" s="359">
        <f t="shared" si="189"/>
        <v>0.16500000000000001</v>
      </c>
      <c r="DQ186" s="306">
        <f t="shared" si="152"/>
        <v>0.16500000000000001</v>
      </c>
      <c r="DR186" s="379">
        <f t="shared" si="153"/>
        <v>1</v>
      </c>
      <c r="DS186" s="378">
        <f t="shared" si="154"/>
        <v>0</v>
      </c>
      <c r="DT186" s="173">
        <v>202</v>
      </c>
      <c r="DU186" s="174" t="s">
        <v>121</v>
      </c>
      <c r="DV186" s="173"/>
      <c r="DW186" s="174" t="s">
        <v>84</v>
      </c>
      <c r="DX186" s="173"/>
      <c r="DY186" s="173"/>
      <c r="DZ186" s="173"/>
      <c r="EA186" s="665"/>
      <c r="EB186" s="1254" t="s">
        <v>2527</v>
      </c>
      <c r="EC186" s="537">
        <v>0</v>
      </c>
      <c r="EE186" s="734">
        <v>4</v>
      </c>
      <c r="EF186" s="706"/>
    </row>
    <row r="187" spans="4:136" s="302" customFormat="1" ht="102" hidden="1">
      <c r="D187" s="520">
        <v>184</v>
      </c>
      <c r="E187" s="534">
        <v>228</v>
      </c>
      <c r="F187" s="523" t="s">
        <v>43</v>
      </c>
      <c r="G187" s="523" t="s">
        <v>7</v>
      </c>
      <c r="H187" s="524" t="s">
        <v>2657</v>
      </c>
      <c r="I187" s="462" t="s">
        <v>519</v>
      </c>
      <c r="J187" s="335" t="s">
        <v>525</v>
      </c>
      <c r="K187" s="335" t="s">
        <v>526</v>
      </c>
      <c r="L187" s="454" t="s">
        <v>1898</v>
      </c>
      <c r="M187" s="333" t="s">
        <v>1771</v>
      </c>
      <c r="N187" s="333">
        <v>0</v>
      </c>
      <c r="O187" s="333">
        <f t="shared" si="188"/>
        <v>6</v>
      </c>
      <c r="P187" s="332">
        <v>6</v>
      </c>
      <c r="Q187" s="390">
        <v>0.16500000000000001</v>
      </c>
      <c r="R187" s="342">
        <f t="shared" si="118"/>
        <v>2.75E-2</v>
      </c>
      <c r="S187" s="459">
        <v>1</v>
      </c>
      <c r="T187" s="387">
        <f t="shared" si="174"/>
        <v>0.16666666666666666</v>
      </c>
      <c r="U187" s="670">
        <v>1</v>
      </c>
      <c r="V187" s="388">
        <f t="shared" si="175"/>
        <v>1</v>
      </c>
      <c r="W187" s="356">
        <f t="shared" si="176"/>
        <v>100</v>
      </c>
      <c r="X187" s="356">
        <f t="shared" si="122"/>
        <v>100</v>
      </c>
      <c r="Y187" s="356">
        <f t="shared" si="155"/>
        <v>2.75E-2</v>
      </c>
      <c r="Z187" s="356">
        <f t="shared" si="123"/>
        <v>100</v>
      </c>
      <c r="AA187" s="313">
        <v>85000000</v>
      </c>
      <c r="AB187" s="313">
        <v>85000000</v>
      </c>
      <c r="AC187" s="313">
        <v>0</v>
      </c>
      <c r="AD187" s="313">
        <v>0</v>
      </c>
      <c r="AE187" s="313">
        <v>0</v>
      </c>
      <c r="AF187" s="313">
        <v>0</v>
      </c>
      <c r="AG187" s="313">
        <v>0</v>
      </c>
      <c r="AH187" s="313">
        <v>0</v>
      </c>
      <c r="AI187" s="313">
        <v>19960000</v>
      </c>
      <c r="AJ187" s="313">
        <v>19960000</v>
      </c>
      <c r="AK187" s="313">
        <v>0</v>
      </c>
      <c r="AL187" s="313">
        <v>0</v>
      </c>
      <c r="AM187" s="313">
        <v>0</v>
      </c>
      <c r="AN187" s="313">
        <v>0</v>
      </c>
      <c r="AO187" s="313">
        <v>0</v>
      </c>
      <c r="AP187" s="313">
        <v>0</v>
      </c>
      <c r="AQ187" s="313">
        <v>0</v>
      </c>
      <c r="AR187" s="313">
        <v>0</v>
      </c>
      <c r="AS187" s="313">
        <v>0</v>
      </c>
      <c r="AT187" s="333">
        <f t="shared" si="124"/>
        <v>2.75E-2</v>
      </c>
      <c r="AU187" s="333">
        <v>1</v>
      </c>
      <c r="AV187" s="387">
        <f t="shared" si="177"/>
        <v>0.16666666666666666</v>
      </c>
      <c r="AW187" s="677">
        <v>1</v>
      </c>
      <c r="AX187" s="366">
        <f t="shared" si="178"/>
        <v>1</v>
      </c>
      <c r="AY187" s="366">
        <f t="shared" si="179"/>
        <v>100</v>
      </c>
      <c r="AZ187" s="366">
        <f t="shared" si="128"/>
        <v>100</v>
      </c>
      <c r="BA187" s="354">
        <f t="shared" si="129"/>
        <v>2.75E-2</v>
      </c>
      <c r="BB187" s="354">
        <f t="shared" si="130"/>
        <v>100</v>
      </c>
      <c r="BC187" s="353">
        <v>12000000</v>
      </c>
      <c r="BD187" s="353">
        <v>0</v>
      </c>
      <c r="BE187" s="353">
        <v>12000000</v>
      </c>
      <c r="BF187" s="353">
        <v>0</v>
      </c>
      <c r="BG187" s="353">
        <v>0</v>
      </c>
      <c r="BH187" s="353">
        <v>0</v>
      </c>
      <c r="BI187" s="353">
        <v>0</v>
      </c>
      <c r="BJ187" s="353">
        <v>0</v>
      </c>
      <c r="BK187" s="452">
        <v>0</v>
      </c>
      <c r="BL187" s="351">
        <v>0</v>
      </c>
      <c r="BM187" s="351">
        <v>0</v>
      </c>
      <c r="BN187" s="351">
        <v>0</v>
      </c>
      <c r="BO187" s="351">
        <v>0</v>
      </c>
      <c r="BP187" s="351">
        <v>0</v>
      </c>
      <c r="BQ187" s="351">
        <v>0</v>
      </c>
      <c r="BR187" s="351">
        <v>0</v>
      </c>
      <c r="BS187" s="351">
        <v>0</v>
      </c>
      <c r="BT187" s="351">
        <v>0</v>
      </c>
      <c r="BU187" s="351">
        <v>0</v>
      </c>
      <c r="BV187" s="350">
        <f t="shared" si="131"/>
        <v>5.5E-2</v>
      </c>
      <c r="BW187" s="350">
        <v>2</v>
      </c>
      <c r="BX187" s="385">
        <f t="shared" si="180"/>
        <v>0.33333333333333331</v>
      </c>
      <c r="BY187" s="399">
        <v>5</v>
      </c>
      <c r="BZ187" s="398">
        <v>5</v>
      </c>
      <c r="CA187" s="690">
        <v>5</v>
      </c>
      <c r="CB187" s="324">
        <f t="shared" si="181"/>
        <v>5</v>
      </c>
      <c r="CC187" s="324">
        <f t="shared" si="182"/>
        <v>250</v>
      </c>
      <c r="CD187" s="384">
        <f t="shared" si="135"/>
        <v>100</v>
      </c>
      <c r="CE187" s="383">
        <f t="shared" si="136"/>
        <v>5.5E-2</v>
      </c>
      <c r="CF187" s="367">
        <f t="shared" si="137"/>
        <v>100</v>
      </c>
      <c r="CG187" s="383">
        <f t="shared" si="138"/>
        <v>0.13750000000000001</v>
      </c>
      <c r="CH187" s="320">
        <f t="shared" si="139"/>
        <v>5.5E-2</v>
      </c>
      <c r="CI187" s="319">
        <v>2</v>
      </c>
      <c r="CJ187" s="318">
        <f t="shared" si="183"/>
        <v>0.33333333333333331</v>
      </c>
      <c r="CK187" s="1259">
        <v>1</v>
      </c>
      <c r="CL187" s="301">
        <f t="shared" si="184"/>
        <v>1</v>
      </c>
      <c r="CM187" s="381">
        <f t="shared" si="185"/>
        <v>1</v>
      </c>
      <c r="CN187" s="381">
        <f t="shared" si="186"/>
        <v>50</v>
      </c>
      <c r="CO187" s="316">
        <f t="shared" si="144"/>
        <v>50</v>
      </c>
      <c r="CP187" s="381">
        <f t="shared" si="145"/>
        <v>2.75E-2</v>
      </c>
      <c r="CQ187" s="381">
        <f t="shared" si="146"/>
        <v>2.75E-2</v>
      </c>
      <c r="CR187" s="313">
        <v>27000000</v>
      </c>
      <c r="CS187" s="313">
        <v>27000000</v>
      </c>
      <c r="CT187" s="313">
        <v>0</v>
      </c>
      <c r="CU187" s="313">
        <v>0</v>
      </c>
      <c r="CV187" s="313">
        <v>0</v>
      </c>
      <c r="CW187" s="313">
        <v>0</v>
      </c>
      <c r="CX187" s="313">
        <v>0</v>
      </c>
      <c r="CY187" s="313">
        <v>0</v>
      </c>
      <c r="CZ187" s="380">
        <v>0</v>
      </c>
      <c r="DA187" s="380">
        <v>0</v>
      </c>
      <c r="DB187" s="380">
        <v>0</v>
      </c>
      <c r="DC187" s="380">
        <v>0</v>
      </c>
      <c r="DD187" s="380">
        <v>0</v>
      </c>
      <c r="DE187" s="380">
        <v>0</v>
      </c>
      <c r="DF187" s="380">
        <v>0</v>
      </c>
      <c r="DG187" s="380">
        <v>0</v>
      </c>
      <c r="DH187" s="380">
        <v>0</v>
      </c>
      <c r="DI187" s="380">
        <v>0</v>
      </c>
      <c r="DJ187" s="380">
        <v>0</v>
      </c>
      <c r="DK187" s="702">
        <f t="shared" si="187"/>
        <v>8</v>
      </c>
      <c r="DL187" s="311">
        <f t="shared" si="148"/>
        <v>0.16500000000000001</v>
      </c>
      <c r="DM187" s="310">
        <f t="shared" si="149"/>
        <v>133.33333333333334</v>
      </c>
      <c r="DN187" s="356">
        <f t="shared" si="150"/>
        <v>100</v>
      </c>
      <c r="DO187" s="308">
        <f t="shared" si="151"/>
        <v>0.16500000000000001</v>
      </c>
      <c r="DP187" s="359">
        <f t="shared" si="189"/>
        <v>0.16500000000000001</v>
      </c>
      <c r="DQ187" s="306">
        <f t="shared" si="152"/>
        <v>0.16500000000000001</v>
      </c>
      <c r="DR187" s="379">
        <f t="shared" si="153"/>
        <v>1</v>
      </c>
      <c r="DS187" s="378">
        <f t="shared" si="154"/>
        <v>0</v>
      </c>
      <c r="DT187" s="173">
        <v>202</v>
      </c>
      <c r="DU187" s="174" t="s">
        <v>121</v>
      </c>
      <c r="DV187" s="173"/>
      <c r="DW187" s="174" t="s">
        <v>84</v>
      </c>
      <c r="DX187" s="173"/>
      <c r="DY187" s="173"/>
      <c r="DZ187" s="173"/>
      <c r="EA187" s="665"/>
      <c r="EB187" s="1254" t="s">
        <v>2612</v>
      </c>
      <c r="EC187" s="537">
        <v>390000000</v>
      </c>
      <c r="EE187" s="734">
        <v>2500</v>
      </c>
      <c r="EF187" s="706"/>
    </row>
    <row r="188" spans="4:136" s="302" customFormat="1" ht="229.5" hidden="1">
      <c r="D188" s="520">
        <v>185</v>
      </c>
      <c r="E188" s="534">
        <v>229</v>
      </c>
      <c r="F188" s="523" t="s">
        <v>43</v>
      </c>
      <c r="G188" s="523" t="s">
        <v>7</v>
      </c>
      <c r="H188" s="524" t="s">
        <v>2657</v>
      </c>
      <c r="I188" s="462" t="s">
        <v>519</v>
      </c>
      <c r="J188" s="335" t="s">
        <v>527</v>
      </c>
      <c r="K188" s="335" t="s">
        <v>528</v>
      </c>
      <c r="L188" s="454" t="s">
        <v>1800</v>
      </c>
      <c r="M188" s="333" t="s">
        <v>1771</v>
      </c>
      <c r="N188" s="333">
        <v>0</v>
      </c>
      <c r="O188" s="333">
        <f t="shared" si="188"/>
        <v>6</v>
      </c>
      <c r="P188" s="332">
        <v>6</v>
      </c>
      <c r="Q188" s="390">
        <v>0.16500000000000001</v>
      </c>
      <c r="R188" s="342">
        <f t="shared" si="118"/>
        <v>2.75E-2</v>
      </c>
      <c r="S188" s="459">
        <v>1</v>
      </c>
      <c r="T188" s="387">
        <f t="shared" si="174"/>
        <v>0.16666666666666666</v>
      </c>
      <c r="U188" s="670">
        <v>1</v>
      </c>
      <c r="V188" s="388">
        <f t="shared" si="175"/>
        <v>1</v>
      </c>
      <c r="W188" s="356">
        <f t="shared" si="176"/>
        <v>100</v>
      </c>
      <c r="X188" s="356">
        <f t="shared" si="122"/>
        <v>100</v>
      </c>
      <c r="Y188" s="356">
        <f t="shared" si="155"/>
        <v>2.75E-2</v>
      </c>
      <c r="Z188" s="356">
        <f t="shared" si="123"/>
        <v>100</v>
      </c>
      <c r="AA188" s="313">
        <v>0</v>
      </c>
      <c r="AB188" s="313">
        <v>0</v>
      </c>
      <c r="AC188" s="313">
        <v>0</v>
      </c>
      <c r="AD188" s="313">
        <v>0</v>
      </c>
      <c r="AE188" s="313">
        <v>0</v>
      </c>
      <c r="AF188" s="313">
        <v>0</v>
      </c>
      <c r="AG188" s="313">
        <v>0</v>
      </c>
      <c r="AH188" s="313">
        <v>0</v>
      </c>
      <c r="AI188" s="313">
        <v>0</v>
      </c>
      <c r="AJ188" s="313">
        <v>0</v>
      </c>
      <c r="AK188" s="313">
        <v>0</v>
      </c>
      <c r="AL188" s="313">
        <v>0</v>
      </c>
      <c r="AM188" s="313">
        <v>0</v>
      </c>
      <c r="AN188" s="313">
        <v>0</v>
      </c>
      <c r="AO188" s="313">
        <v>0</v>
      </c>
      <c r="AP188" s="313">
        <v>0</v>
      </c>
      <c r="AQ188" s="313">
        <v>0</v>
      </c>
      <c r="AR188" s="313">
        <v>0</v>
      </c>
      <c r="AS188" s="313">
        <v>0</v>
      </c>
      <c r="AT188" s="333">
        <f t="shared" si="124"/>
        <v>0</v>
      </c>
      <c r="AU188" s="333">
        <v>0</v>
      </c>
      <c r="AV188" s="387">
        <f t="shared" si="177"/>
        <v>0</v>
      </c>
      <c r="AW188" s="677">
        <v>0</v>
      </c>
      <c r="AX188" s="366">
        <f t="shared" si="178"/>
        <v>0</v>
      </c>
      <c r="AY188" s="366">
        <f t="shared" si="179"/>
        <v>0</v>
      </c>
      <c r="AZ188" s="366">
        <f t="shared" si="128"/>
        <v>0</v>
      </c>
      <c r="BA188" s="354">
        <f t="shared" si="129"/>
        <v>0</v>
      </c>
      <c r="BB188" s="354">
        <f t="shared" si="130"/>
        <v>0</v>
      </c>
      <c r="BC188" s="353">
        <v>16000000</v>
      </c>
      <c r="BD188" s="353">
        <v>0</v>
      </c>
      <c r="BE188" s="353">
        <v>16000000</v>
      </c>
      <c r="BF188" s="353">
        <v>0</v>
      </c>
      <c r="BG188" s="353">
        <v>0</v>
      </c>
      <c r="BH188" s="353">
        <v>0</v>
      </c>
      <c r="BI188" s="353">
        <v>0</v>
      </c>
      <c r="BJ188" s="353">
        <v>0</v>
      </c>
      <c r="BK188" s="452">
        <v>0</v>
      </c>
      <c r="BL188" s="351">
        <v>0</v>
      </c>
      <c r="BM188" s="351">
        <v>0</v>
      </c>
      <c r="BN188" s="351">
        <v>0</v>
      </c>
      <c r="BO188" s="351">
        <v>0</v>
      </c>
      <c r="BP188" s="351">
        <v>0</v>
      </c>
      <c r="BQ188" s="351">
        <v>0</v>
      </c>
      <c r="BR188" s="351">
        <v>0</v>
      </c>
      <c r="BS188" s="351">
        <v>0</v>
      </c>
      <c r="BT188" s="351">
        <v>0</v>
      </c>
      <c r="BU188" s="351">
        <v>0</v>
      </c>
      <c r="BV188" s="350">
        <f t="shared" si="131"/>
        <v>0.11</v>
      </c>
      <c r="BW188" s="350">
        <v>4</v>
      </c>
      <c r="BX188" s="385">
        <f t="shared" si="180"/>
        <v>0.66666666666666663</v>
      </c>
      <c r="BY188" s="399">
        <v>6</v>
      </c>
      <c r="BZ188" s="398">
        <v>6</v>
      </c>
      <c r="CA188" s="690">
        <v>8</v>
      </c>
      <c r="CB188" s="324">
        <f t="shared" si="181"/>
        <v>8</v>
      </c>
      <c r="CC188" s="324">
        <f t="shared" si="182"/>
        <v>200</v>
      </c>
      <c r="CD188" s="384">
        <f t="shared" si="135"/>
        <v>100</v>
      </c>
      <c r="CE188" s="383">
        <f t="shared" si="136"/>
        <v>0.11</v>
      </c>
      <c r="CF188" s="367">
        <f t="shared" si="137"/>
        <v>100</v>
      </c>
      <c r="CG188" s="383">
        <f t="shared" si="138"/>
        <v>0.22</v>
      </c>
      <c r="CH188" s="320">
        <f t="shared" si="139"/>
        <v>2.75E-2</v>
      </c>
      <c r="CI188" s="319">
        <v>1</v>
      </c>
      <c r="CJ188" s="318">
        <f t="shared" si="183"/>
        <v>0.16666666666666666</v>
      </c>
      <c r="CK188" s="1259">
        <v>1</v>
      </c>
      <c r="CL188" s="301">
        <f t="shared" si="184"/>
        <v>0</v>
      </c>
      <c r="CM188" s="381">
        <f t="shared" si="185"/>
        <v>1</v>
      </c>
      <c r="CN188" s="381">
        <f t="shared" si="186"/>
        <v>100</v>
      </c>
      <c r="CO188" s="316">
        <f t="shared" si="144"/>
        <v>100</v>
      </c>
      <c r="CP188" s="381">
        <f t="shared" si="145"/>
        <v>2.75E-2</v>
      </c>
      <c r="CQ188" s="381">
        <f t="shared" si="146"/>
        <v>2.75E-2</v>
      </c>
      <c r="CR188" s="313">
        <v>36000000</v>
      </c>
      <c r="CS188" s="313">
        <v>36000000</v>
      </c>
      <c r="CT188" s="313">
        <v>0</v>
      </c>
      <c r="CU188" s="313">
        <v>0</v>
      </c>
      <c r="CV188" s="313">
        <v>0</v>
      </c>
      <c r="CW188" s="313">
        <v>0</v>
      </c>
      <c r="CX188" s="313">
        <v>0</v>
      </c>
      <c r="CY188" s="313">
        <v>0</v>
      </c>
      <c r="CZ188" s="380">
        <v>0</v>
      </c>
      <c r="DA188" s="380">
        <v>0</v>
      </c>
      <c r="DB188" s="380">
        <v>0</v>
      </c>
      <c r="DC188" s="380">
        <v>0</v>
      </c>
      <c r="DD188" s="380">
        <v>0</v>
      </c>
      <c r="DE188" s="380">
        <v>0</v>
      </c>
      <c r="DF188" s="380">
        <v>0</v>
      </c>
      <c r="DG188" s="380">
        <v>0</v>
      </c>
      <c r="DH188" s="380">
        <v>0</v>
      </c>
      <c r="DI188" s="380">
        <v>0</v>
      </c>
      <c r="DJ188" s="380">
        <v>0</v>
      </c>
      <c r="DK188" s="702">
        <f t="shared" si="187"/>
        <v>10</v>
      </c>
      <c r="DL188" s="311">
        <f t="shared" si="148"/>
        <v>0.16500000000000001</v>
      </c>
      <c r="DM188" s="310">
        <f t="shared" si="149"/>
        <v>166.66666666666666</v>
      </c>
      <c r="DN188" s="356">
        <f t="shared" si="150"/>
        <v>100</v>
      </c>
      <c r="DO188" s="308">
        <f t="shared" si="151"/>
        <v>0.16500000000000001</v>
      </c>
      <c r="DP188" s="359">
        <f t="shared" si="189"/>
        <v>0.16500000000000001</v>
      </c>
      <c r="DQ188" s="306">
        <f t="shared" si="152"/>
        <v>0.16500000000000001</v>
      </c>
      <c r="DR188" s="379">
        <f t="shared" si="153"/>
        <v>0.99999999999999989</v>
      </c>
      <c r="DS188" s="378">
        <f t="shared" si="154"/>
        <v>0</v>
      </c>
      <c r="DT188" s="173">
        <v>202</v>
      </c>
      <c r="DU188" s="174" t="s">
        <v>121</v>
      </c>
      <c r="DV188" s="173"/>
      <c r="DW188" s="174" t="s">
        <v>84</v>
      </c>
      <c r="DX188" s="173"/>
      <c r="DY188" s="173"/>
      <c r="DZ188" s="173"/>
      <c r="EA188" s="665"/>
      <c r="EB188" s="1254" t="s">
        <v>2528</v>
      </c>
      <c r="EC188" s="537">
        <v>100000000</v>
      </c>
      <c r="EE188" s="733">
        <v>4</v>
      </c>
      <c r="EF188" s="706"/>
    </row>
    <row r="189" spans="4:136" s="302" customFormat="1" ht="344.25" hidden="1">
      <c r="D189" s="520">
        <v>186</v>
      </c>
      <c r="E189" s="534">
        <v>230</v>
      </c>
      <c r="F189" s="523" t="s">
        <v>43</v>
      </c>
      <c r="G189" s="523" t="s">
        <v>7</v>
      </c>
      <c r="H189" s="524" t="s">
        <v>2657</v>
      </c>
      <c r="I189" s="462" t="s">
        <v>529</v>
      </c>
      <c r="J189" s="335" t="s">
        <v>530</v>
      </c>
      <c r="K189" s="335" t="s">
        <v>531</v>
      </c>
      <c r="L189" s="454" t="s">
        <v>1501</v>
      </c>
      <c r="M189" s="333" t="s">
        <v>1771</v>
      </c>
      <c r="N189" s="333">
        <v>0</v>
      </c>
      <c r="O189" s="333">
        <f t="shared" si="188"/>
        <v>2000</v>
      </c>
      <c r="P189" s="332">
        <v>2000</v>
      </c>
      <c r="Q189" s="390">
        <v>0.16500000000000001</v>
      </c>
      <c r="R189" s="342">
        <f t="shared" si="118"/>
        <v>1.6500000000000001E-2</v>
      </c>
      <c r="S189" s="459">
        <v>200</v>
      </c>
      <c r="T189" s="387">
        <f t="shared" si="174"/>
        <v>0.1</v>
      </c>
      <c r="U189" s="670">
        <v>200</v>
      </c>
      <c r="V189" s="388">
        <f t="shared" si="175"/>
        <v>200</v>
      </c>
      <c r="W189" s="356">
        <f t="shared" si="176"/>
        <v>100</v>
      </c>
      <c r="X189" s="356">
        <f t="shared" si="122"/>
        <v>100</v>
      </c>
      <c r="Y189" s="356">
        <f t="shared" si="155"/>
        <v>1.6500000000000001E-2</v>
      </c>
      <c r="Z189" s="356">
        <f t="shared" si="123"/>
        <v>100</v>
      </c>
      <c r="AA189" s="313">
        <v>126600000</v>
      </c>
      <c r="AB189" s="313">
        <v>85600000</v>
      </c>
      <c r="AC189" s="313">
        <v>0</v>
      </c>
      <c r="AD189" s="313">
        <v>0</v>
      </c>
      <c r="AE189" s="313">
        <v>0</v>
      </c>
      <c r="AF189" s="313">
        <v>0</v>
      </c>
      <c r="AG189" s="313">
        <v>0</v>
      </c>
      <c r="AH189" s="313">
        <v>41000000</v>
      </c>
      <c r="AI189" s="313">
        <v>58140000</v>
      </c>
      <c r="AJ189" s="313">
        <v>58140000</v>
      </c>
      <c r="AK189" s="313">
        <v>0</v>
      </c>
      <c r="AL189" s="313">
        <v>0</v>
      </c>
      <c r="AM189" s="313">
        <v>0</v>
      </c>
      <c r="AN189" s="313">
        <v>0</v>
      </c>
      <c r="AO189" s="313">
        <v>0</v>
      </c>
      <c r="AP189" s="313">
        <v>0</v>
      </c>
      <c r="AQ189" s="313">
        <v>0</v>
      </c>
      <c r="AR189" s="313">
        <v>140000000</v>
      </c>
      <c r="AS189" s="313" t="s">
        <v>1975</v>
      </c>
      <c r="AT189" s="333">
        <f t="shared" si="124"/>
        <v>3.7125000000000005E-2</v>
      </c>
      <c r="AU189" s="333">
        <v>450</v>
      </c>
      <c r="AV189" s="387">
        <f t="shared" si="177"/>
        <v>0.22500000000000001</v>
      </c>
      <c r="AW189" s="677">
        <v>456</v>
      </c>
      <c r="AX189" s="366">
        <f t="shared" si="178"/>
        <v>456</v>
      </c>
      <c r="AY189" s="366">
        <f t="shared" si="179"/>
        <v>101.33333333333333</v>
      </c>
      <c r="AZ189" s="366">
        <f t="shared" si="128"/>
        <v>100</v>
      </c>
      <c r="BA189" s="354">
        <f t="shared" si="129"/>
        <v>3.7125000000000005E-2</v>
      </c>
      <c r="BB189" s="354">
        <f t="shared" si="130"/>
        <v>100</v>
      </c>
      <c r="BC189" s="353">
        <v>33000000</v>
      </c>
      <c r="BD189" s="353">
        <v>0</v>
      </c>
      <c r="BE189" s="353">
        <v>33000000</v>
      </c>
      <c r="BF189" s="353">
        <v>0</v>
      </c>
      <c r="BG189" s="353">
        <v>0</v>
      </c>
      <c r="BH189" s="353">
        <v>0</v>
      </c>
      <c r="BI189" s="353">
        <v>0</v>
      </c>
      <c r="BJ189" s="353">
        <v>0</v>
      </c>
      <c r="BK189" s="452">
        <v>203761904</v>
      </c>
      <c r="BL189" s="351">
        <v>203761904</v>
      </c>
      <c r="BM189" s="351">
        <v>0</v>
      </c>
      <c r="BN189" s="351">
        <v>0</v>
      </c>
      <c r="BO189" s="351">
        <v>0</v>
      </c>
      <c r="BP189" s="351">
        <v>0</v>
      </c>
      <c r="BQ189" s="351">
        <v>0</v>
      </c>
      <c r="BR189" s="351">
        <v>0</v>
      </c>
      <c r="BS189" s="351">
        <v>0</v>
      </c>
      <c r="BT189" s="351">
        <v>136955382</v>
      </c>
      <c r="BU189" s="460" t="s">
        <v>2332</v>
      </c>
      <c r="BV189" s="350">
        <f t="shared" si="131"/>
        <v>4.9500000000000002E-2</v>
      </c>
      <c r="BW189" s="350">
        <v>600</v>
      </c>
      <c r="BX189" s="385">
        <f t="shared" si="180"/>
        <v>0.3</v>
      </c>
      <c r="BY189" s="399">
        <v>86</v>
      </c>
      <c r="BZ189" s="398">
        <v>146</v>
      </c>
      <c r="CA189" s="690">
        <v>500</v>
      </c>
      <c r="CB189" s="324">
        <f t="shared" si="181"/>
        <v>500</v>
      </c>
      <c r="CC189" s="324">
        <f t="shared" si="182"/>
        <v>83.333333333333329</v>
      </c>
      <c r="CD189" s="384">
        <f t="shared" si="135"/>
        <v>83.333333333333329</v>
      </c>
      <c r="CE189" s="383">
        <f t="shared" si="136"/>
        <v>4.1250000000000002E-2</v>
      </c>
      <c r="CF189" s="367">
        <f t="shared" si="137"/>
        <v>83.333333333333329</v>
      </c>
      <c r="CG189" s="383">
        <f t="shared" si="138"/>
        <v>4.1250000000000002E-2</v>
      </c>
      <c r="CH189" s="320">
        <f t="shared" si="139"/>
        <v>6.1874999999999999E-2</v>
      </c>
      <c r="CI189" s="319">
        <v>750</v>
      </c>
      <c r="CJ189" s="318">
        <f t="shared" si="183"/>
        <v>0.375</v>
      </c>
      <c r="CK189" s="1259">
        <v>207</v>
      </c>
      <c r="CL189" s="301">
        <f t="shared" si="184"/>
        <v>543</v>
      </c>
      <c r="CM189" s="381">
        <f t="shared" si="185"/>
        <v>207</v>
      </c>
      <c r="CN189" s="381">
        <f t="shared" si="186"/>
        <v>27.6</v>
      </c>
      <c r="CO189" s="316">
        <f t="shared" si="144"/>
        <v>27.6</v>
      </c>
      <c r="CP189" s="381">
        <f t="shared" si="145"/>
        <v>1.7077500000000002E-2</v>
      </c>
      <c r="CQ189" s="381">
        <f t="shared" si="146"/>
        <v>1.7077500000000002E-2</v>
      </c>
      <c r="CR189" s="313">
        <v>75000000</v>
      </c>
      <c r="CS189" s="313">
        <v>75000000</v>
      </c>
      <c r="CT189" s="313">
        <v>0</v>
      </c>
      <c r="CU189" s="313">
        <v>0</v>
      </c>
      <c r="CV189" s="313">
        <v>0</v>
      </c>
      <c r="CW189" s="313">
        <v>0</v>
      </c>
      <c r="CX189" s="313">
        <v>0</v>
      </c>
      <c r="CY189" s="313">
        <v>0</v>
      </c>
      <c r="CZ189" s="380">
        <v>0</v>
      </c>
      <c r="DA189" s="380">
        <v>0</v>
      </c>
      <c r="DB189" s="380">
        <v>0</v>
      </c>
      <c r="DC189" s="380">
        <v>0</v>
      </c>
      <c r="DD189" s="380">
        <v>0</v>
      </c>
      <c r="DE189" s="380">
        <v>0</v>
      </c>
      <c r="DF189" s="380">
        <v>0</v>
      </c>
      <c r="DG189" s="380">
        <v>0</v>
      </c>
      <c r="DH189" s="380">
        <v>0</v>
      </c>
      <c r="DI189" s="380">
        <v>0</v>
      </c>
      <c r="DJ189" s="380">
        <v>0</v>
      </c>
      <c r="DK189" s="702">
        <f t="shared" si="187"/>
        <v>1363</v>
      </c>
      <c r="DL189" s="311">
        <f t="shared" si="148"/>
        <v>0.16500000000000001</v>
      </c>
      <c r="DM189" s="310">
        <f t="shared" si="149"/>
        <v>68.150000000000006</v>
      </c>
      <c r="DN189" s="356">
        <f t="shared" si="150"/>
        <v>68.150000000000006</v>
      </c>
      <c r="DO189" s="308">
        <f t="shared" si="151"/>
        <v>0.11244750000000002</v>
      </c>
      <c r="DP189" s="359">
        <f t="shared" si="189"/>
        <v>0.11244750000000002</v>
      </c>
      <c r="DQ189" s="306">
        <f t="shared" si="152"/>
        <v>0.11244750000000002</v>
      </c>
      <c r="DR189" s="379">
        <f t="shared" si="153"/>
        <v>1</v>
      </c>
      <c r="DS189" s="378">
        <f t="shared" si="154"/>
        <v>0</v>
      </c>
      <c r="DT189" s="173">
        <v>202</v>
      </c>
      <c r="DU189" s="174" t="s">
        <v>121</v>
      </c>
      <c r="DV189" s="173"/>
      <c r="DW189" s="174" t="s">
        <v>84</v>
      </c>
      <c r="DX189" s="173"/>
      <c r="DY189" s="173"/>
      <c r="DZ189" s="173"/>
      <c r="EA189" s="665"/>
      <c r="EB189" s="1254" t="s">
        <v>2458</v>
      </c>
      <c r="EC189" s="537">
        <v>169000000</v>
      </c>
      <c r="EE189" s="733">
        <v>0</v>
      </c>
      <c r="EF189" s="706"/>
    </row>
    <row r="190" spans="4:136" s="302" customFormat="1" ht="178.5" hidden="1">
      <c r="D190" s="520">
        <v>187</v>
      </c>
      <c r="E190" s="534">
        <v>231</v>
      </c>
      <c r="F190" s="523" t="s">
        <v>43</v>
      </c>
      <c r="G190" s="523" t="s">
        <v>7</v>
      </c>
      <c r="H190" s="524" t="s">
        <v>2657</v>
      </c>
      <c r="I190" s="462" t="s">
        <v>529</v>
      </c>
      <c r="J190" s="335" t="s">
        <v>532</v>
      </c>
      <c r="K190" s="335" t="s">
        <v>533</v>
      </c>
      <c r="L190" s="454" t="s">
        <v>1463</v>
      </c>
      <c r="M190" s="333" t="s">
        <v>1771</v>
      </c>
      <c r="N190" s="333">
        <v>0</v>
      </c>
      <c r="O190" s="333">
        <f t="shared" si="188"/>
        <v>400</v>
      </c>
      <c r="P190" s="332">
        <v>400</v>
      </c>
      <c r="Q190" s="390">
        <v>0.16500000000000001</v>
      </c>
      <c r="R190" s="342">
        <f t="shared" si="118"/>
        <v>2.0625000000000001E-2</v>
      </c>
      <c r="S190" s="459">
        <v>50</v>
      </c>
      <c r="T190" s="387">
        <f t="shared" si="174"/>
        <v>0.125</v>
      </c>
      <c r="U190" s="670">
        <v>50</v>
      </c>
      <c r="V190" s="388">
        <f t="shared" si="175"/>
        <v>50</v>
      </c>
      <c r="W190" s="356">
        <f t="shared" si="176"/>
        <v>100</v>
      </c>
      <c r="X190" s="356">
        <f t="shared" si="122"/>
        <v>100</v>
      </c>
      <c r="Y190" s="356">
        <f t="shared" si="155"/>
        <v>2.0625000000000001E-2</v>
      </c>
      <c r="Z190" s="356">
        <f t="shared" si="123"/>
        <v>100</v>
      </c>
      <c r="AA190" s="313">
        <v>346000000</v>
      </c>
      <c r="AB190" s="313">
        <v>211000000</v>
      </c>
      <c r="AC190" s="313">
        <v>0</v>
      </c>
      <c r="AD190" s="313">
        <v>0</v>
      </c>
      <c r="AE190" s="313">
        <v>0</v>
      </c>
      <c r="AF190" s="313">
        <v>0</v>
      </c>
      <c r="AG190" s="313">
        <v>0</v>
      </c>
      <c r="AH190" s="313">
        <v>135000000</v>
      </c>
      <c r="AI190" s="313">
        <v>191017000</v>
      </c>
      <c r="AJ190" s="313">
        <v>191017000</v>
      </c>
      <c r="AK190" s="313">
        <v>0</v>
      </c>
      <c r="AL190" s="313">
        <v>0</v>
      </c>
      <c r="AM190" s="313">
        <v>0</v>
      </c>
      <c r="AN190" s="313">
        <v>0</v>
      </c>
      <c r="AO190" s="313">
        <v>0</v>
      </c>
      <c r="AP190" s="313">
        <v>0</v>
      </c>
      <c r="AQ190" s="313">
        <v>0</v>
      </c>
      <c r="AR190" s="313">
        <v>32650000</v>
      </c>
      <c r="AS190" s="313" t="s">
        <v>1974</v>
      </c>
      <c r="AT190" s="333">
        <f t="shared" si="124"/>
        <v>7.8375E-2</v>
      </c>
      <c r="AU190" s="333">
        <v>190</v>
      </c>
      <c r="AV190" s="387">
        <f t="shared" si="177"/>
        <v>0.47499999999999998</v>
      </c>
      <c r="AW190" s="677">
        <v>358</v>
      </c>
      <c r="AX190" s="366">
        <f t="shared" si="178"/>
        <v>358</v>
      </c>
      <c r="AY190" s="366">
        <f t="shared" si="179"/>
        <v>188.42105263157896</v>
      </c>
      <c r="AZ190" s="366">
        <f t="shared" si="128"/>
        <v>100</v>
      </c>
      <c r="BA190" s="354">
        <f t="shared" si="129"/>
        <v>7.8375E-2</v>
      </c>
      <c r="BB190" s="354">
        <f t="shared" si="130"/>
        <v>100</v>
      </c>
      <c r="BC190" s="353">
        <v>27000000</v>
      </c>
      <c r="BD190" s="353">
        <v>0</v>
      </c>
      <c r="BE190" s="353">
        <v>27000000</v>
      </c>
      <c r="BF190" s="353">
        <v>0</v>
      </c>
      <c r="BG190" s="353">
        <v>0</v>
      </c>
      <c r="BH190" s="353">
        <v>0</v>
      </c>
      <c r="BI190" s="353">
        <v>0</v>
      </c>
      <c r="BJ190" s="353">
        <v>0</v>
      </c>
      <c r="BK190" s="452">
        <v>109043083</v>
      </c>
      <c r="BL190" s="351">
        <v>109043083</v>
      </c>
      <c r="BM190" s="351">
        <v>0</v>
      </c>
      <c r="BN190" s="351">
        <v>0</v>
      </c>
      <c r="BO190" s="351">
        <v>0</v>
      </c>
      <c r="BP190" s="351">
        <v>0</v>
      </c>
      <c r="BQ190" s="351">
        <v>0</v>
      </c>
      <c r="BR190" s="351">
        <v>0</v>
      </c>
      <c r="BS190" s="351">
        <v>0</v>
      </c>
      <c r="BT190" s="351">
        <v>23123000</v>
      </c>
      <c r="BU190" s="351" t="s">
        <v>1973</v>
      </c>
      <c r="BV190" s="350">
        <f t="shared" si="131"/>
        <v>3.3000000000000002E-2</v>
      </c>
      <c r="BW190" s="350">
        <v>80</v>
      </c>
      <c r="BX190" s="385">
        <f t="shared" si="180"/>
        <v>0.2</v>
      </c>
      <c r="BY190" s="399">
        <v>30</v>
      </c>
      <c r="BZ190" s="398">
        <v>30</v>
      </c>
      <c r="CA190" s="690">
        <v>50</v>
      </c>
      <c r="CB190" s="324">
        <f t="shared" si="181"/>
        <v>50</v>
      </c>
      <c r="CC190" s="324">
        <f t="shared" si="182"/>
        <v>62.5</v>
      </c>
      <c r="CD190" s="384">
        <f t="shared" si="135"/>
        <v>62.5</v>
      </c>
      <c r="CE190" s="383">
        <f t="shared" si="136"/>
        <v>2.0625000000000001E-2</v>
      </c>
      <c r="CF190" s="367">
        <f t="shared" si="137"/>
        <v>62.5</v>
      </c>
      <c r="CG190" s="383">
        <f t="shared" si="138"/>
        <v>2.0625000000000001E-2</v>
      </c>
      <c r="CH190" s="320">
        <f t="shared" si="139"/>
        <v>3.3000000000000002E-2</v>
      </c>
      <c r="CI190" s="319">
        <v>80</v>
      </c>
      <c r="CJ190" s="318">
        <f t="shared" si="183"/>
        <v>0.2</v>
      </c>
      <c r="CK190" s="1259">
        <v>62</v>
      </c>
      <c r="CL190" s="301">
        <f t="shared" si="184"/>
        <v>18</v>
      </c>
      <c r="CM190" s="381">
        <f t="shared" si="185"/>
        <v>62</v>
      </c>
      <c r="CN190" s="381">
        <f t="shared" si="186"/>
        <v>77.5</v>
      </c>
      <c r="CO190" s="316">
        <f t="shared" si="144"/>
        <v>77.5</v>
      </c>
      <c r="CP190" s="381">
        <f t="shared" si="145"/>
        <v>2.5575000000000001E-2</v>
      </c>
      <c r="CQ190" s="381">
        <f t="shared" si="146"/>
        <v>2.5575000000000001E-2</v>
      </c>
      <c r="CR190" s="313">
        <v>63000000</v>
      </c>
      <c r="CS190" s="313">
        <v>63000000</v>
      </c>
      <c r="CT190" s="313">
        <v>0</v>
      </c>
      <c r="CU190" s="313">
        <v>0</v>
      </c>
      <c r="CV190" s="313">
        <v>0</v>
      </c>
      <c r="CW190" s="313">
        <v>0</v>
      </c>
      <c r="CX190" s="313">
        <v>0</v>
      </c>
      <c r="CY190" s="313">
        <v>0</v>
      </c>
      <c r="CZ190" s="380">
        <v>0</v>
      </c>
      <c r="DA190" s="380">
        <v>0</v>
      </c>
      <c r="DB190" s="380">
        <v>0</v>
      </c>
      <c r="DC190" s="380">
        <v>0</v>
      </c>
      <c r="DD190" s="380">
        <v>0</v>
      </c>
      <c r="DE190" s="380">
        <v>0</v>
      </c>
      <c r="DF190" s="380">
        <v>0</v>
      </c>
      <c r="DG190" s="380">
        <v>0</v>
      </c>
      <c r="DH190" s="380">
        <v>0</v>
      </c>
      <c r="DI190" s="380">
        <v>0</v>
      </c>
      <c r="DJ190" s="380">
        <v>0</v>
      </c>
      <c r="DK190" s="702">
        <f t="shared" si="187"/>
        <v>520</v>
      </c>
      <c r="DL190" s="311">
        <f t="shared" si="148"/>
        <v>0.16500000000000001</v>
      </c>
      <c r="DM190" s="310">
        <f t="shared" si="149"/>
        <v>130</v>
      </c>
      <c r="DN190" s="356">
        <f t="shared" si="150"/>
        <v>100</v>
      </c>
      <c r="DO190" s="308">
        <f t="shared" si="151"/>
        <v>0.16500000000000001</v>
      </c>
      <c r="DP190" s="359">
        <f t="shared" si="189"/>
        <v>0.16500000000000001</v>
      </c>
      <c r="DQ190" s="306">
        <f t="shared" si="152"/>
        <v>0.16500000000000001</v>
      </c>
      <c r="DR190" s="379">
        <f t="shared" si="153"/>
        <v>1</v>
      </c>
      <c r="DS190" s="378">
        <f t="shared" si="154"/>
        <v>0</v>
      </c>
      <c r="DT190" s="173">
        <v>200</v>
      </c>
      <c r="DU190" s="174" t="s">
        <v>397</v>
      </c>
      <c r="DV190" s="173">
        <v>202</v>
      </c>
      <c r="DW190" s="174" t="s">
        <v>121</v>
      </c>
      <c r="DX190" s="173"/>
      <c r="DY190" s="173"/>
      <c r="DZ190" s="173"/>
      <c r="EA190" s="665"/>
      <c r="EB190" s="1254" t="s">
        <v>3239</v>
      </c>
      <c r="EC190" s="537">
        <v>100000000</v>
      </c>
      <c r="EE190" s="733">
        <v>0</v>
      </c>
      <c r="EF190" s="706"/>
    </row>
    <row r="191" spans="4:136" s="302" customFormat="1" ht="63.75" hidden="1">
      <c r="D191" s="520">
        <v>188</v>
      </c>
      <c r="E191" s="534">
        <v>232</v>
      </c>
      <c r="F191" s="523" t="s">
        <v>43</v>
      </c>
      <c r="G191" s="523" t="s">
        <v>81</v>
      </c>
      <c r="H191" s="524" t="s">
        <v>2657</v>
      </c>
      <c r="I191" s="462" t="s">
        <v>529</v>
      </c>
      <c r="J191" s="335" t="s">
        <v>534</v>
      </c>
      <c r="K191" s="335" t="s">
        <v>535</v>
      </c>
      <c r="L191" s="454" t="s">
        <v>1800</v>
      </c>
      <c r="M191" s="333" t="s">
        <v>1771</v>
      </c>
      <c r="N191" s="333">
        <v>0</v>
      </c>
      <c r="O191" s="333">
        <f t="shared" si="188"/>
        <v>5</v>
      </c>
      <c r="P191" s="332">
        <v>5</v>
      </c>
      <c r="Q191" s="390">
        <v>0.16500000000000001</v>
      </c>
      <c r="R191" s="342">
        <f t="shared" si="118"/>
        <v>0</v>
      </c>
      <c r="S191" s="459">
        <v>0</v>
      </c>
      <c r="T191" s="387">
        <f t="shared" si="174"/>
        <v>0</v>
      </c>
      <c r="U191" s="670">
        <v>0</v>
      </c>
      <c r="V191" s="388">
        <f t="shared" si="175"/>
        <v>0</v>
      </c>
      <c r="W191" s="356">
        <f t="shared" si="176"/>
        <v>0</v>
      </c>
      <c r="X191" s="356">
        <f t="shared" si="122"/>
        <v>0</v>
      </c>
      <c r="Y191" s="356">
        <f t="shared" si="155"/>
        <v>0</v>
      </c>
      <c r="Z191" s="356">
        <f t="shared" si="123"/>
        <v>0</v>
      </c>
      <c r="AA191" s="313">
        <v>0</v>
      </c>
      <c r="AB191" s="313">
        <v>0</v>
      </c>
      <c r="AC191" s="313">
        <v>0</v>
      </c>
      <c r="AD191" s="313">
        <v>0</v>
      </c>
      <c r="AE191" s="313">
        <v>0</v>
      </c>
      <c r="AF191" s="313">
        <v>0</v>
      </c>
      <c r="AG191" s="313">
        <v>0</v>
      </c>
      <c r="AH191" s="313">
        <v>0</v>
      </c>
      <c r="AI191" s="313">
        <v>0</v>
      </c>
      <c r="AJ191" s="313">
        <v>0</v>
      </c>
      <c r="AK191" s="313">
        <v>0</v>
      </c>
      <c r="AL191" s="313">
        <v>0</v>
      </c>
      <c r="AM191" s="313">
        <v>0</v>
      </c>
      <c r="AN191" s="313">
        <v>0</v>
      </c>
      <c r="AO191" s="313">
        <v>0</v>
      </c>
      <c r="AP191" s="313">
        <v>0</v>
      </c>
      <c r="AQ191" s="313">
        <v>0</v>
      </c>
      <c r="AR191" s="313">
        <v>0</v>
      </c>
      <c r="AS191" s="313">
        <v>0</v>
      </c>
      <c r="AT191" s="333">
        <f t="shared" si="124"/>
        <v>6.6000000000000003E-2</v>
      </c>
      <c r="AU191" s="333">
        <v>2</v>
      </c>
      <c r="AV191" s="387">
        <f t="shared" si="177"/>
        <v>0.4</v>
      </c>
      <c r="AW191" s="677">
        <v>1</v>
      </c>
      <c r="AX191" s="366">
        <f t="shared" si="178"/>
        <v>1</v>
      </c>
      <c r="AY191" s="366">
        <f t="shared" si="179"/>
        <v>50</v>
      </c>
      <c r="AZ191" s="366">
        <f t="shared" si="128"/>
        <v>50</v>
      </c>
      <c r="BA191" s="354">
        <f t="shared" si="129"/>
        <v>3.3000000000000002E-2</v>
      </c>
      <c r="BB191" s="354">
        <f t="shared" si="130"/>
        <v>50</v>
      </c>
      <c r="BC191" s="353">
        <v>20000000</v>
      </c>
      <c r="BD191" s="353">
        <v>0</v>
      </c>
      <c r="BE191" s="353">
        <v>20000000</v>
      </c>
      <c r="BF191" s="353">
        <v>0</v>
      </c>
      <c r="BG191" s="353">
        <v>0</v>
      </c>
      <c r="BH191" s="353">
        <v>0</v>
      </c>
      <c r="BI191" s="353">
        <v>0</v>
      </c>
      <c r="BJ191" s="353">
        <v>0</v>
      </c>
      <c r="BK191" s="452">
        <v>33000000</v>
      </c>
      <c r="BL191" s="351">
        <v>33000000</v>
      </c>
      <c r="BM191" s="351">
        <v>0</v>
      </c>
      <c r="BN191" s="351">
        <v>0</v>
      </c>
      <c r="BO191" s="351">
        <v>0</v>
      </c>
      <c r="BP191" s="351">
        <v>0</v>
      </c>
      <c r="BQ191" s="351">
        <v>0</v>
      </c>
      <c r="BR191" s="351">
        <v>0</v>
      </c>
      <c r="BS191" s="351">
        <v>0</v>
      </c>
      <c r="BT191" s="351">
        <v>0</v>
      </c>
      <c r="BU191" s="351">
        <v>0</v>
      </c>
      <c r="BV191" s="350">
        <f t="shared" si="131"/>
        <v>6.6000000000000003E-2</v>
      </c>
      <c r="BW191" s="350">
        <v>2</v>
      </c>
      <c r="BX191" s="385">
        <f t="shared" si="180"/>
        <v>0.4</v>
      </c>
      <c r="BY191" s="369">
        <v>1</v>
      </c>
      <c r="BZ191" s="391">
        <v>2</v>
      </c>
      <c r="CA191" s="689">
        <v>3</v>
      </c>
      <c r="CB191" s="324">
        <f t="shared" si="181"/>
        <v>3</v>
      </c>
      <c r="CC191" s="324">
        <f t="shared" si="182"/>
        <v>150</v>
      </c>
      <c r="CD191" s="384">
        <f t="shared" si="135"/>
        <v>100</v>
      </c>
      <c r="CE191" s="383">
        <f t="shared" si="136"/>
        <v>6.6000000000000003E-2</v>
      </c>
      <c r="CF191" s="367">
        <f t="shared" si="137"/>
        <v>100</v>
      </c>
      <c r="CG191" s="383">
        <f t="shared" si="138"/>
        <v>9.9000000000000005E-2</v>
      </c>
      <c r="CH191" s="320">
        <f t="shared" si="139"/>
        <v>3.3000000000000002E-2</v>
      </c>
      <c r="CI191" s="319">
        <v>1</v>
      </c>
      <c r="CJ191" s="318">
        <f t="shared" si="183"/>
        <v>0.2</v>
      </c>
      <c r="CK191" s="1259">
        <v>4</v>
      </c>
      <c r="CL191" s="301">
        <f t="shared" si="184"/>
        <v>-3</v>
      </c>
      <c r="CM191" s="381">
        <f t="shared" si="185"/>
        <v>4</v>
      </c>
      <c r="CN191" s="381">
        <f t="shared" si="186"/>
        <v>400</v>
      </c>
      <c r="CO191" s="316">
        <f t="shared" si="144"/>
        <v>100</v>
      </c>
      <c r="CP191" s="381">
        <f t="shared" si="145"/>
        <v>3.3000000000000002E-2</v>
      </c>
      <c r="CQ191" s="381">
        <f t="shared" si="146"/>
        <v>0.13200000000000001</v>
      </c>
      <c r="CR191" s="313">
        <v>11000000</v>
      </c>
      <c r="CS191" s="313">
        <v>11000000</v>
      </c>
      <c r="CT191" s="313">
        <v>0</v>
      </c>
      <c r="CU191" s="313">
        <v>0</v>
      </c>
      <c r="CV191" s="313">
        <v>0</v>
      </c>
      <c r="CW191" s="313">
        <v>0</v>
      </c>
      <c r="CX191" s="313">
        <v>0</v>
      </c>
      <c r="CY191" s="313">
        <v>0</v>
      </c>
      <c r="CZ191" s="380">
        <v>0</v>
      </c>
      <c r="DA191" s="380">
        <v>0</v>
      </c>
      <c r="DB191" s="380">
        <v>0</v>
      </c>
      <c r="DC191" s="380">
        <v>0</v>
      </c>
      <c r="DD191" s="380">
        <v>0</v>
      </c>
      <c r="DE191" s="380">
        <v>0</v>
      </c>
      <c r="DF191" s="380">
        <v>0</v>
      </c>
      <c r="DG191" s="380">
        <v>0</v>
      </c>
      <c r="DH191" s="380">
        <v>0</v>
      </c>
      <c r="DI191" s="380">
        <v>0</v>
      </c>
      <c r="DJ191" s="380">
        <v>0</v>
      </c>
      <c r="DK191" s="702">
        <f t="shared" si="187"/>
        <v>8</v>
      </c>
      <c r="DL191" s="311">
        <f t="shared" si="148"/>
        <v>0.16500000000000001</v>
      </c>
      <c r="DM191" s="310">
        <f t="shared" si="149"/>
        <v>160</v>
      </c>
      <c r="DN191" s="356">
        <f t="shared" si="150"/>
        <v>100</v>
      </c>
      <c r="DO191" s="308">
        <f t="shared" si="151"/>
        <v>0.16500000000000001</v>
      </c>
      <c r="DP191" s="359">
        <f t="shared" si="189"/>
        <v>0.16500000000000001</v>
      </c>
      <c r="DQ191" s="306">
        <f t="shared" si="152"/>
        <v>0.16500000000000001</v>
      </c>
      <c r="DR191" s="379">
        <f t="shared" si="153"/>
        <v>1</v>
      </c>
      <c r="DS191" s="378">
        <f t="shared" si="154"/>
        <v>0</v>
      </c>
      <c r="DT191" s="173">
        <v>202</v>
      </c>
      <c r="DU191" s="174" t="s">
        <v>121</v>
      </c>
      <c r="DV191" s="173"/>
      <c r="DW191" s="174" t="s">
        <v>84</v>
      </c>
      <c r="DX191" s="173"/>
      <c r="DY191" s="173"/>
      <c r="DZ191" s="173"/>
      <c r="EA191" s="665"/>
      <c r="EB191" s="1254" t="s">
        <v>2459</v>
      </c>
      <c r="EC191" s="537">
        <v>368000000</v>
      </c>
      <c r="EE191" s="734">
        <v>1</v>
      </c>
      <c r="EF191" s="706"/>
    </row>
    <row r="192" spans="4:136" s="302" customFormat="1" ht="84" hidden="1">
      <c r="D192" s="520">
        <v>189</v>
      </c>
      <c r="E192" s="534">
        <v>233</v>
      </c>
      <c r="F192" s="523" t="s">
        <v>43</v>
      </c>
      <c r="G192" s="523" t="s">
        <v>10</v>
      </c>
      <c r="H192" s="524" t="s">
        <v>2657</v>
      </c>
      <c r="I192" s="462" t="s">
        <v>529</v>
      </c>
      <c r="J192" s="335" t="s">
        <v>536</v>
      </c>
      <c r="K192" s="335" t="s">
        <v>537</v>
      </c>
      <c r="L192" s="453" t="s">
        <v>1404</v>
      </c>
      <c r="M192" s="333" t="s">
        <v>1771</v>
      </c>
      <c r="N192" s="333">
        <v>79</v>
      </c>
      <c r="O192" s="333">
        <f t="shared" si="188"/>
        <v>100</v>
      </c>
      <c r="P192" s="332">
        <v>21</v>
      </c>
      <c r="Q192" s="390">
        <v>0.16500000000000001</v>
      </c>
      <c r="R192" s="342">
        <f t="shared" si="118"/>
        <v>0</v>
      </c>
      <c r="S192" s="459">
        <v>0</v>
      </c>
      <c r="T192" s="387">
        <f t="shared" si="174"/>
        <v>0</v>
      </c>
      <c r="U192" s="670">
        <v>4</v>
      </c>
      <c r="V192" s="388">
        <f t="shared" si="175"/>
        <v>4</v>
      </c>
      <c r="W192" s="356">
        <f t="shared" si="176"/>
        <v>0</v>
      </c>
      <c r="X192" s="356">
        <f t="shared" si="122"/>
        <v>0</v>
      </c>
      <c r="Y192" s="356">
        <f t="shared" si="155"/>
        <v>0</v>
      </c>
      <c r="Z192" s="356">
        <f t="shared" si="123"/>
        <v>100</v>
      </c>
      <c r="AA192" s="313">
        <v>234274000</v>
      </c>
      <c r="AB192" s="313">
        <v>0</v>
      </c>
      <c r="AC192" s="313">
        <v>0</v>
      </c>
      <c r="AD192" s="313">
        <v>234274000</v>
      </c>
      <c r="AE192" s="313">
        <v>0</v>
      </c>
      <c r="AF192" s="313">
        <v>0</v>
      </c>
      <c r="AG192" s="313">
        <v>0</v>
      </c>
      <c r="AH192" s="313">
        <v>0</v>
      </c>
      <c r="AI192" s="313">
        <v>0</v>
      </c>
      <c r="AJ192" s="313">
        <v>0</v>
      </c>
      <c r="AK192" s="313">
        <v>0</v>
      </c>
      <c r="AL192" s="313">
        <v>0</v>
      </c>
      <c r="AM192" s="313">
        <v>0</v>
      </c>
      <c r="AN192" s="313">
        <v>0</v>
      </c>
      <c r="AO192" s="313">
        <v>0</v>
      </c>
      <c r="AP192" s="313">
        <v>0</v>
      </c>
      <c r="AQ192" s="313">
        <v>0</v>
      </c>
      <c r="AR192" s="313">
        <v>0</v>
      </c>
      <c r="AS192" s="313">
        <v>0</v>
      </c>
      <c r="AT192" s="333">
        <f t="shared" si="124"/>
        <v>3.1428571428571431E-2</v>
      </c>
      <c r="AU192" s="333">
        <v>4</v>
      </c>
      <c r="AV192" s="387">
        <f t="shared" si="177"/>
        <v>0.19047619047619047</v>
      </c>
      <c r="AW192" s="677">
        <v>10</v>
      </c>
      <c r="AX192" s="366">
        <f t="shared" si="178"/>
        <v>10</v>
      </c>
      <c r="AY192" s="366">
        <f t="shared" si="179"/>
        <v>250</v>
      </c>
      <c r="AZ192" s="366">
        <f t="shared" si="128"/>
        <v>100</v>
      </c>
      <c r="BA192" s="354">
        <f t="shared" si="129"/>
        <v>3.1428571428571431E-2</v>
      </c>
      <c r="BB192" s="354">
        <f t="shared" si="130"/>
        <v>100</v>
      </c>
      <c r="BC192" s="353">
        <v>390000000</v>
      </c>
      <c r="BD192" s="353">
        <v>60000000</v>
      </c>
      <c r="BE192" s="353">
        <v>330000000</v>
      </c>
      <c r="BF192" s="353">
        <v>0</v>
      </c>
      <c r="BG192" s="353">
        <v>0</v>
      </c>
      <c r="BH192" s="353">
        <v>0</v>
      </c>
      <c r="BI192" s="353">
        <v>0</v>
      </c>
      <c r="BJ192" s="353">
        <v>0</v>
      </c>
      <c r="BK192" s="452">
        <v>91856660</v>
      </c>
      <c r="BL192" s="351">
        <v>51580000</v>
      </c>
      <c r="BM192" s="351">
        <v>40276660</v>
      </c>
      <c r="BN192" s="351">
        <v>0</v>
      </c>
      <c r="BO192" s="351">
        <v>0</v>
      </c>
      <c r="BP192" s="351">
        <v>0</v>
      </c>
      <c r="BQ192" s="351">
        <v>0</v>
      </c>
      <c r="BR192" s="351">
        <v>0</v>
      </c>
      <c r="BS192" s="351">
        <v>0</v>
      </c>
      <c r="BT192" s="351">
        <v>0</v>
      </c>
      <c r="BU192" s="351">
        <v>0</v>
      </c>
      <c r="BV192" s="350">
        <f t="shared" si="131"/>
        <v>7.0714285714285716E-2</v>
      </c>
      <c r="BW192" s="350">
        <v>9</v>
      </c>
      <c r="BX192" s="385">
        <f t="shared" si="180"/>
        <v>0.42857142857142855</v>
      </c>
      <c r="BY192" s="1385">
        <v>9</v>
      </c>
      <c r="BZ192" s="416">
        <v>9</v>
      </c>
      <c r="CA192" s="691">
        <v>30</v>
      </c>
      <c r="CB192" s="324">
        <f t="shared" si="181"/>
        <v>30</v>
      </c>
      <c r="CC192" s="324">
        <f t="shared" si="182"/>
        <v>333.33333333333331</v>
      </c>
      <c r="CD192" s="384">
        <f t="shared" si="135"/>
        <v>100</v>
      </c>
      <c r="CE192" s="383">
        <f t="shared" si="136"/>
        <v>7.0714285714285716E-2</v>
      </c>
      <c r="CF192" s="367">
        <f t="shared" si="137"/>
        <v>100</v>
      </c>
      <c r="CG192" s="383">
        <f t="shared" si="138"/>
        <v>0.23571428571428568</v>
      </c>
      <c r="CH192" s="320">
        <f t="shared" si="139"/>
        <v>6.2857142857142861E-2</v>
      </c>
      <c r="CI192" s="319">
        <v>8</v>
      </c>
      <c r="CJ192" s="318">
        <f t="shared" si="183"/>
        <v>0.38095238095238093</v>
      </c>
      <c r="CK192" s="1259">
        <v>10</v>
      </c>
      <c r="CL192" s="301">
        <f t="shared" si="184"/>
        <v>-2</v>
      </c>
      <c r="CM192" s="381">
        <f t="shared" si="185"/>
        <v>10</v>
      </c>
      <c r="CN192" s="381">
        <f t="shared" si="186"/>
        <v>125</v>
      </c>
      <c r="CO192" s="316">
        <f t="shared" si="144"/>
        <v>100</v>
      </c>
      <c r="CP192" s="381">
        <f t="shared" si="145"/>
        <v>6.2857142857142861E-2</v>
      </c>
      <c r="CQ192" s="381">
        <f t="shared" si="146"/>
        <v>7.857142857142857E-2</v>
      </c>
      <c r="CR192" s="313">
        <v>821000000</v>
      </c>
      <c r="CS192" s="313">
        <v>761000000</v>
      </c>
      <c r="CT192" s="313">
        <v>60000000</v>
      </c>
      <c r="CU192" s="313">
        <v>0</v>
      </c>
      <c r="CV192" s="313">
        <v>0</v>
      </c>
      <c r="CW192" s="313">
        <v>0</v>
      </c>
      <c r="CX192" s="313">
        <v>0</v>
      </c>
      <c r="CY192" s="313">
        <v>0</v>
      </c>
      <c r="CZ192" s="380">
        <v>0</v>
      </c>
      <c r="DA192" s="380">
        <v>0</v>
      </c>
      <c r="DB192" s="380">
        <v>0</v>
      </c>
      <c r="DC192" s="380">
        <v>0</v>
      </c>
      <c r="DD192" s="380">
        <v>0</v>
      </c>
      <c r="DE192" s="380">
        <v>0</v>
      </c>
      <c r="DF192" s="380">
        <v>0</v>
      </c>
      <c r="DG192" s="380">
        <v>0</v>
      </c>
      <c r="DH192" s="380">
        <v>0</v>
      </c>
      <c r="DI192" s="380">
        <v>0</v>
      </c>
      <c r="DJ192" s="380">
        <v>0</v>
      </c>
      <c r="DK192" s="702">
        <f t="shared" si="187"/>
        <v>54</v>
      </c>
      <c r="DL192" s="311">
        <f t="shared" si="148"/>
        <v>0.16500000000000001</v>
      </c>
      <c r="DM192" s="310">
        <f t="shared" si="149"/>
        <v>257.14285714285717</v>
      </c>
      <c r="DN192" s="356">
        <f t="shared" si="150"/>
        <v>100</v>
      </c>
      <c r="DO192" s="308">
        <f t="shared" si="151"/>
        <v>0.16500000000000001</v>
      </c>
      <c r="DP192" s="359">
        <f t="shared" si="189"/>
        <v>0.16500000000000001</v>
      </c>
      <c r="DQ192" s="306">
        <f t="shared" si="152"/>
        <v>0.16500000000000001</v>
      </c>
      <c r="DR192" s="379">
        <f t="shared" si="153"/>
        <v>1</v>
      </c>
      <c r="DS192" s="378">
        <f t="shared" si="154"/>
        <v>0</v>
      </c>
      <c r="DT192" s="173">
        <v>200</v>
      </c>
      <c r="DU192" s="174" t="s">
        <v>397</v>
      </c>
      <c r="DV192" s="173">
        <v>202</v>
      </c>
      <c r="DW192" s="174" t="s">
        <v>121</v>
      </c>
      <c r="DX192" s="173"/>
      <c r="DY192" s="173"/>
      <c r="DZ192" s="173"/>
      <c r="EA192" s="665"/>
      <c r="EB192" s="1254" t="s">
        <v>2366</v>
      </c>
      <c r="EC192" s="537">
        <v>1610000000</v>
      </c>
      <c r="EE192" s="745">
        <v>0</v>
      </c>
      <c r="EF192" s="706"/>
    </row>
    <row r="193" spans="4:136" s="302" customFormat="1" ht="76.5" hidden="1">
      <c r="D193" s="520">
        <v>190</v>
      </c>
      <c r="E193" s="534">
        <v>234</v>
      </c>
      <c r="F193" s="523" t="s">
        <v>43</v>
      </c>
      <c r="G193" s="523" t="s">
        <v>11</v>
      </c>
      <c r="H193" s="524" t="s">
        <v>2657</v>
      </c>
      <c r="I193" s="462" t="s">
        <v>529</v>
      </c>
      <c r="J193" s="335" t="s">
        <v>538</v>
      </c>
      <c r="K193" s="335" t="s">
        <v>539</v>
      </c>
      <c r="L193" s="453" t="s">
        <v>1501</v>
      </c>
      <c r="M193" s="333" t="s">
        <v>1785</v>
      </c>
      <c r="N193" s="333">
        <v>1154</v>
      </c>
      <c r="O193" s="333">
        <f>+P193</f>
        <v>1200</v>
      </c>
      <c r="P193" s="332">
        <v>1200</v>
      </c>
      <c r="Q193" s="390">
        <v>0.16500000000000001</v>
      </c>
      <c r="R193" s="342">
        <f t="shared" si="118"/>
        <v>4.1250000000000002E-2</v>
      </c>
      <c r="S193" s="459">
        <v>1200</v>
      </c>
      <c r="T193" s="387">
        <f t="shared" si="174"/>
        <v>0.25</v>
      </c>
      <c r="U193" s="670">
        <v>1174</v>
      </c>
      <c r="V193" s="388">
        <f t="shared" si="175"/>
        <v>293.5</v>
      </c>
      <c r="W193" s="356">
        <f t="shared" si="176"/>
        <v>97.833333333333329</v>
      </c>
      <c r="X193" s="356">
        <f t="shared" si="122"/>
        <v>97.833333333333329</v>
      </c>
      <c r="Y193" s="356">
        <f t="shared" si="155"/>
        <v>4.0356249999999996E-2</v>
      </c>
      <c r="Z193" s="356">
        <f t="shared" si="123"/>
        <v>97.833333333333329</v>
      </c>
      <c r="AA193" s="313">
        <v>11962000000</v>
      </c>
      <c r="AB193" s="313">
        <v>11962000000</v>
      </c>
      <c r="AC193" s="313">
        <v>0</v>
      </c>
      <c r="AD193" s="313">
        <v>0</v>
      </c>
      <c r="AE193" s="313">
        <v>0</v>
      </c>
      <c r="AF193" s="313">
        <v>0</v>
      </c>
      <c r="AG193" s="313">
        <v>0</v>
      </c>
      <c r="AH193" s="313">
        <v>0</v>
      </c>
      <c r="AI193" s="313">
        <v>12075022000</v>
      </c>
      <c r="AJ193" s="313">
        <v>12075022000</v>
      </c>
      <c r="AK193" s="313">
        <v>0</v>
      </c>
      <c r="AL193" s="313">
        <v>0</v>
      </c>
      <c r="AM193" s="313">
        <v>0</v>
      </c>
      <c r="AN193" s="313">
        <v>0</v>
      </c>
      <c r="AO193" s="313">
        <v>0</v>
      </c>
      <c r="AP193" s="313">
        <v>0</v>
      </c>
      <c r="AQ193" s="313">
        <v>0</v>
      </c>
      <c r="AR193" s="313">
        <v>0</v>
      </c>
      <c r="AS193" s="313">
        <v>0</v>
      </c>
      <c r="AT193" s="333">
        <f t="shared" si="124"/>
        <v>4.1250000000000002E-2</v>
      </c>
      <c r="AU193" s="333">
        <v>1200</v>
      </c>
      <c r="AV193" s="387">
        <f t="shared" si="177"/>
        <v>0.25</v>
      </c>
      <c r="AW193" s="677">
        <v>1164</v>
      </c>
      <c r="AX193" s="366">
        <f t="shared" si="178"/>
        <v>291</v>
      </c>
      <c r="AY193" s="366">
        <f t="shared" si="179"/>
        <v>97</v>
      </c>
      <c r="AZ193" s="366">
        <f t="shared" si="128"/>
        <v>97</v>
      </c>
      <c r="BA193" s="354">
        <f t="shared" si="129"/>
        <v>4.0012499999999999E-2</v>
      </c>
      <c r="BB193" s="354">
        <f t="shared" si="130"/>
        <v>97</v>
      </c>
      <c r="BC193" s="353">
        <v>11700000000</v>
      </c>
      <c r="BD193" s="353">
        <v>0</v>
      </c>
      <c r="BE193" s="353">
        <v>11700000</v>
      </c>
      <c r="BF193" s="353">
        <v>0</v>
      </c>
      <c r="BG193" s="353">
        <v>0</v>
      </c>
      <c r="BH193" s="353">
        <v>0</v>
      </c>
      <c r="BI193" s="353">
        <v>0</v>
      </c>
      <c r="BJ193" s="353">
        <v>0</v>
      </c>
      <c r="BK193" s="452">
        <v>11643967583</v>
      </c>
      <c r="BL193" s="351">
        <v>11643967583</v>
      </c>
      <c r="BM193" s="351">
        <v>0</v>
      </c>
      <c r="BN193" s="351">
        <v>0</v>
      </c>
      <c r="BO193" s="351">
        <v>0</v>
      </c>
      <c r="BP193" s="351">
        <v>0</v>
      </c>
      <c r="BQ193" s="351">
        <v>0</v>
      </c>
      <c r="BR193" s="351">
        <v>0</v>
      </c>
      <c r="BS193" s="351">
        <v>0</v>
      </c>
      <c r="BT193" s="351">
        <v>0</v>
      </c>
      <c r="BU193" s="351">
        <v>0</v>
      </c>
      <c r="BV193" s="350">
        <f t="shared" si="131"/>
        <v>4.1250000000000002E-2</v>
      </c>
      <c r="BW193" s="350">
        <v>1200</v>
      </c>
      <c r="BX193" s="385">
        <f t="shared" si="180"/>
        <v>0.25</v>
      </c>
      <c r="BY193" s="369">
        <v>1117</v>
      </c>
      <c r="BZ193" s="391">
        <v>1127</v>
      </c>
      <c r="CA193" s="689">
        <v>1145</v>
      </c>
      <c r="CB193" s="324">
        <f t="shared" si="181"/>
        <v>286.25</v>
      </c>
      <c r="CC193" s="324">
        <f t="shared" si="182"/>
        <v>95.416666666666671</v>
      </c>
      <c r="CD193" s="384">
        <f t="shared" si="135"/>
        <v>95.416666666666671</v>
      </c>
      <c r="CE193" s="383">
        <f t="shared" si="136"/>
        <v>3.9359375000000002E-2</v>
      </c>
      <c r="CF193" s="367">
        <f t="shared" si="137"/>
        <v>95.416666666666671</v>
      </c>
      <c r="CG193" s="383">
        <f t="shared" si="138"/>
        <v>3.9359375000000002E-2</v>
      </c>
      <c r="CH193" s="320">
        <f t="shared" si="139"/>
        <v>4.1250000000000002E-2</v>
      </c>
      <c r="CI193" s="319">
        <v>1200</v>
      </c>
      <c r="CJ193" s="318">
        <f t="shared" si="183"/>
        <v>0.25</v>
      </c>
      <c r="CK193" s="1259">
        <v>1024</v>
      </c>
      <c r="CL193" s="301">
        <f t="shared" si="184"/>
        <v>176</v>
      </c>
      <c r="CM193" s="381">
        <f t="shared" si="185"/>
        <v>256</v>
      </c>
      <c r="CN193" s="381">
        <f t="shared" si="186"/>
        <v>85.333333333333329</v>
      </c>
      <c r="CO193" s="381">
        <f t="shared" si="144"/>
        <v>85.333333333333329</v>
      </c>
      <c r="CP193" s="381">
        <f t="shared" si="145"/>
        <v>3.5200000000000002E-2</v>
      </c>
      <c r="CQ193" s="381">
        <f t="shared" si="146"/>
        <v>3.5200000000000002E-2</v>
      </c>
      <c r="CR193" s="313">
        <v>12400000000</v>
      </c>
      <c r="CS193" s="313">
        <v>12400000</v>
      </c>
      <c r="CT193" s="313">
        <v>0</v>
      </c>
      <c r="CU193" s="313">
        <v>0</v>
      </c>
      <c r="CV193" s="313">
        <v>0</v>
      </c>
      <c r="CW193" s="313">
        <v>0</v>
      </c>
      <c r="CX193" s="313">
        <v>0</v>
      </c>
      <c r="CY193" s="313">
        <v>0</v>
      </c>
      <c r="CZ193" s="380">
        <v>0</v>
      </c>
      <c r="DA193" s="380">
        <v>0</v>
      </c>
      <c r="DB193" s="380">
        <v>0</v>
      </c>
      <c r="DC193" s="380">
        <v>0</v>
      </c>
      <c r="DD193" s="380">
        <v>0</v>
      </c>
      <c r="DE193" s="380">
        <v>0</v>
      </c>
      <c r="DF193" s="380">
        <v>0</v>
      </c>
      <c r="DG193" s="380">
        <v>0</v>
      </c>
      <c r="DH193" s="380">
        <v>0</v>
      </c>
      <c r="DI193" s="380">
        <v>0</v>
      </c>
      <c r="DJ193" s="380">
        <v>0</v>
      </c>
      <c r="DK193" s="702">
        <f t="shared" si="187"/>
        <v>1126.75</v>
      </c>
      <c r="DL193" s="311">
        <f t="shared" si="148"/>
        <v>0.16500000000000001</v>
      </c>
      <c r="DM193" s="310">
        <f t="shared" si="149"/>
        <v>93.895833333333329</v>
      </c>
      <c r="DN193" s="356">
        <f t="shared" si="150"/>
        <v>93.895833333333329</v>
      </c>
      <c r="DO193" s="308">
        <f t="shared" si="151"/>
        <v>0.154928125</v>
      </c>
      <c r="DP193" s="359">
        <f>+IF(M193="M",DO193,0)</f>
        <v>0.154928125</v>
      </c>
      <c r="DQ193" s="306">
        <f t="shared" si="152"/>
        <v>0.154928125</v>
      </c>
      <c r="DR193" s="379">
        <f t="shared" si="153"/>
        <v>1</v>
      </c>
      <c r="DS193" s="378">
        <f t="shared" si="154"/>
        <v>0</v>
      </c>
      <c r="DT193" s="173">
        <v>201</v>
      </c>
      <c r="DU193" s="174" t="s">
        <v>122</v>
      </c>
      <c r="DV193" s="173"/>
      <c r="DW193" s="174" t="s">
        <v>84</v>
      </c>
      <c r="DX193" s="173"/>
      <c r="DY193" s="173"/>
      <c r="DZ193" s="173"/>
      <c r="EA193" s="665"/>
      <c r="EB193" s="1254" t="s">
        <v>2102</v>
      </c>
      <c r="EC193" s="537">
        <v>893000000</v>
      </c>
      <c r="EE193" s="739" t="s">
        <v>2244</v>
      </c>
      <c r="EF193" s="706"/>
    </row>
    <row r="194" spans="4:136" s="302" customFormat="1" ht="63.75" hidden="1">
      <c r="D194" s="520">
        <v>191</v>
      </c>
      <c r="E194" s="534">
        <v>235</v>
      </c>
      <c r="F194" s="523" t="s">
        <v>43</v>
      </c>
      <c r="G194" s="523" t="s">
        <v>8</v>
      </c>
      <c r="H194" s="524" t="s">
        <v>2657</v>
      </c>
      <c r="I194" s="462" t="s">
        <v>540</v>
      </c>
      <c r="J194" s="335" t="s">
        <v>541</v>
      </c>
      <c r="K194" s="335" t="s">
        <v>542</v>
      </c>
      <c r="L194" s="454" t="s">
        <v>1972</v>
      </c>
      <c r="M194" s="333" t="s">
        <v>1771</v>
      </c>
      <c r="N194" s="333">
        <v>0</v>
      </c>
      <c r="O194" s="333">
        <f>+N194+P194</f>
        <v>120</v>
      </c>
      <c r="P194" s="332">
        <v>120</v>
      </c>
      <c r="Q194" s="390">
        <v>0.25</v>
      </c>
      <c r="R194" s="342">
        <f t="shared" si="118"/>
        <v>0</v>
      </c>
      <c r="S194" s="459">
        <v>0</v>
      </c>
      <c r="T194" s="387">
        <f t="shared" si="174"/>
        <v>0</v>
      </c>
      <c r="U194" s="670">
        <v>30</v>
      </c>
      <c r="V194" s="388">
        <f t="shared" si="175"/>
        <v>30</v>
      </c>
      <c r="W194" s="356">
        <f t="shared" si="176"/>
        <v>0</v>
      </c>
      <c r="X194" s="356">
        <f t="shared" si="122"/>
        <v>0</v>
      </c>
      <c r="Y194" s="356">
        <f t="shared" si="155"/>
        <v>0</v>
      </c>
      <c r="Z194" s="356">
        <f t="shared" si="123"/>
        <v>100</v>
      </c>
      <c r="AA194" s="313">
        <v>0</v>
      </c>
      <c r="AB194" s="313">
        <v>0</v>
      </c>
      <c r="AC194" s="313">
        <v>0</v>
      </c>
      <c r="AD194" s="313">
        <v>0</v>
      </c>
      <c r="AE194" s="313">
        <v>0</v>
      </c>
      <c r="AF194" s="313">
        <v>0</v>
      </c>
      <c r="AG194" s="313">
        <v>0</v>
      </c>
      <c r="AH194" s="313">
        <v>0</v>
      </c>
      <c r="AI194" s="313">
        <v>0</v>
      </c>
      <c r="AJ194" s="313">
        <v>0</v>
      </c>
      <c r="AK194" s="313">
        <v>0</v>
      </c>
      <c r="AL194" s="313">
        <v>0</v>
      </c>
      <c r="AM194" s="313">
        <v>0</v>
      </c>
      <c r="AN194" s="313">
        <v>0</v>
      </c>
      <c r="AO194" s="313">
        <v>0</v>
      </c>
      <c r="AP194" s="313">
        <v>0</v>
      </c>
      <c r="AQ194" s="313">
        <v>0</v>
      </c>
      <c r="AR194" s="313">
        <v>0</v>
      </c>
      <c r="AS194" s="313">
        <v>0</v>
      </c>
      <c r="AT194" s="333">
        <f t="shared" si="124"/>
        <v>0.25</v>
      </c>
      <c r="AU194" s="333">
        <v>120</v>
      </c>
      <c r="AV194" s="387">
        <f t="shared" si="177"/>
        <v>1</v>
      </c>
      <c r="AW194" s="677">
        <v>103</v>
      </c>
      <c r="AX194" s="366">
        <f t="shared" si="178"/>
        <v>103</v>
      </c>
      <c r="AY194" s="366">
        <f t="shared" si="179"/>
        <v>85.833333333333329</v>
      </c>
      <c r="AZ194" s="366">
        <f t="shared" si="128"/>
        <v>85.833333333333329</v>
      </c>
      <c r="BA194" s="354">
        <f t="shared" si="129"/>
        <v>0.21458333333333332</v>
      </c>
      <c r="BB194" s="354">
        <f t="shared" si="130"/>
        <v>85.833333333333329</v>
      </c>
      <c r="BC194" s="353">
        <v>0</v>
      </c>
      <c r="BD194" s="353">
        <v>0</v>
      </c>
      <c r="BE194" s="353">
        <v>0</v>
      </c>
      <c r="BF194" s="353">
        <v>0</v>
      </c>
      <c r="BG194" s="353">
        <v>0</v>
      </c>
      <c r="BH194" s="353">
        <v>0</v>
      </c>
      <c r="BI194" s="353">
        <v>0</v>
      </c>
      <c r="BJ194" s="353">
        <v>0</v>
      </c>
      <c r="BK194" s="452">
        <v>0</v>
      </c>
      <c r="BL194" s="351">
        <v>0</v>
      </c>
      <c r="BM194" s="351">
        <v>0</v>
      </c>
      <c r="BN194" s="351">
        <v>0</v>
      </c>
      <c r="BO194" s="351">
        <v>0</v>
      </c>
      <c r="BP194" s="351">
        <v>0</v>
      </c>
      <c r="BQ194" s="351">
        <v>0</v>
      </c>
      <c r="BR194" s="351">
        <v>0</v>
      </c>
      <c r="BS194" s="351">
        <v>0</v>
      </c>
      <c r="BT194" s="351">
        <v>0</v>
      </c>
      <c r="BU194" s="351">
        <v>0</v>
      </c>
      <c r="BV194" s="350">
        <f t="shared" si="131"/>
        <v>0</v>
      </c>
      <c r="BW194" s="350">
        <v>0</v>
      </c>
      <c r="BX194" s="385">
        <f t="shared" si="180"/>
        <v>0</v>
      </c>
      <c r="BY194" s="369">
        <v>66</v>
      </c>
      <c r="BZ194" s="391">
        <v>66</v>
      </c>
      <c r="CA194" s="689">
        <v>50</v>
      </c>
      <c r="CB194" s="324">
        <f t="shared" si="181"/>
        <v>50</v>
      </c>
      <c r="CC194" s="324">
        <f t="shared" si="182"/>
        <v>0</v>
      </c>
      <c r="CD194" s="384">
        <f t="shared" si="135"/>
        <v>0</v>
      </c>
      <c r="CE194" s="383">
        <f t="shared" si="136"/>
        <v>0</v>
      </c>
      <c r="CF194" s="367">
        <f t="shared" si="137"/>
        <v>100</v>
      </c>
      <c r="CG194" s="383">
        <f t="shared" si="138"/>
        <v>0</v>
      </c>
      <c r="CH194" s="320">
        <f t="shared" si="139"/>
        <v>0</v>
      </c>
      <c r="CI194" s="319">
        <v>0</v>
      </c>
      <c r="CJ194" s="318">
        <f t="shared" si="183"/>
        <v>0</v>
      </c>
      <c r="CK194" s="1259">
        <v>20</v>
      </c>
      <c r="CL194" s="301">
        <f t="shared" si="184"/>
        <v>-20</v>
      </c>
      <c r="CM194" s="381">
        <f t="shared" si="185"/>
        <v>20</v>
      </c>
      <c r="CN194" s="381">
        <f t="shared" si="186"/>
        <v>0</v>
      </c>
      <c r="CO194" s="316">
        <f t="shared" si="144"/>
        <v>0</v>
      </c>
      <c r="CP194" s="381">
        <f t="shared" si="145"/>
        <v>0</v>
      </c>
      <c r="CQ194" s="381">
        <f t="shared" si="146"/>
        <v>0</v>
      </c>
      <c r="CR194" s="313">
        <v>0</v>
      </c>
      <c r="CS194" s="313">
        <v>0</v>
      </c>
      <c r="CT194" s="313">
        <v>0</v>
      </c>
      <c r="CU194" s="313">
        <v>0</v>
      </c>
      <c r="CV194" s="313">
        <v>0</v>
      </c>
      <c r="CW194" s="313">
        <v>0</v>
      </c>
      <c r="CX194" s="313">
        <v>0</v>
      </c>
      <c r="CY194" s="313">
        <v>0</v>
      </c>
      <c r="CZ194" s="380">
        <v>0</v>
      </c>
      <c r="DA194" s="380">
        <v>0</v>
      </c>
      <c r="DB194" s="380">
        <v>0</v>
      </c>
      <c r="DC194" s="380">
        <v>0</v>
      </c>
      <c r="DD194" s="380">
        <v>0</v>
      </c>
      <c r="DE194" s="380">
        <v>0</v>
      </c>
      <c r="DF194" s="380">
        <v>0</v>
      </c>
      <c r="DG194" s="380">
        <v>0</v>
      </c>
      <c r="DH194" s="380">
        <v>0</v>
      </c>
      <c r="DI194" s="380">
        <v>0</v>
      </c>
      <c r="DJ194" s="380">
        <v>0</v>
      </c>
      <c r="DK194" s="702">
        <f t="shared" si="187"/>
        <v>203</v>
      </c>
      <c r="DL194" s="311">
        <f t="shared" si="148"/>
        <v>0.25</v>
      </c>
      <c r="DM194" s="310">
        <f t="shared" si="149"/>
        <v>169.16666666666666</v>
      </c>
      <c r="DN194" s="356">
        <f t="shared" si="150"/>
        <v>100</v>
      </c>
      <c r="DO194" s="308">
        <f t="shared" si="151"/>
        <v>0.25</v>
      </c>
      <c r="DP194" s="359">
        <f>+IF(((DN194*Q194)/100)&lt;Q194, ((DN194*Q194)/100),Q194)</f>
        <v>0.25</v>
      </c>
      <c r="DQ194" s="306">
        <f t="shared" si="152"/>
        <v>0.25</v>
      </c>
      <c r="DR194" s="379">
        <f t="shared" si="153"/>
        <v>1</v>
      </c>
      <c r="DS194" s="378">
        <f t="shared" si="154"/>
        <v>0</v>
      </c>
      <c r="DT194" s="173">
        <v>202</v>
      </c>
      <c r="DU194" s="174" t="s">
        <v>121</v>
      </c>
      <c r="DV194" s="173"/>
      <c r="DW194" s="174" t="s">
        <v>84</v>
      </c>
      <c r="DX194" s="173"/>
      <c r="DY194" s="173"/>
      <c r="DZ194" s="173"/>
      <c r="EA194" s="665"/>
      <c r="EB194" s="1254" t="s">
        <v>2438</v>
      </c>
      <c r="EC194" s="537">
        <v>60000000</v>
      </c>
      <c r="EE194" s="734">
        <v>1</v>
      </c>
      <c r="EF194" s="706"/>
    </row>
    <row r="195" spans="4:136" s="302" customFormat="1" ht="102" hidden="1">
      <c r="D195" s="520">
        <v>192</v>
      </c>
      <c r="E195" s="534">
        <v>236</v>
      </c>
      <c r="F195" s="336" t="s">
        <v>43</v>
      </c>
      <c r="G195" s="336" t="s">
        <v>7</v>
      </c>
      <c r="H195" s="336" t="s">
        <v>2657</v>
      </c>
      <c r="I195" s="336" t="s">
        <v>540</v>
      </c>
      <c r="J195" s="335" t="s">
        <v>1276</v>
      </c>
      <c r="K195" s="335" t="s">
        <v>543</v>
      </c>
      <c r="L195" s="454" t="s">
        <v>1463</v>
      </c>
      <c r="M195" s="333" t="s">
        <v>1771</v>
      </c>
      <c r="N195" s="333">
        <v>0</v>
      </c>
      <c r="O195" s="333">
        <f>+N195+P195</f>
        <v>18000</v>
      </c>
      <c r="P195" s="332">
        <v>18000</v>
      </c>
      <c r="Q195" s="393">
        <v>0.25</v>
      </c>
      <c r="R195" s="342">
        <f t="shared" si="118"/>
        <v>0</v>
      </c>
      <c r="S195" s="459">
        <v>0</v>
      </c>
      <c r="T195" s="387">
        <f t="shared" si="174"/>
        <v>0</v>
      </c>
      <c r="U195" s="670">
        <v>0</v>
      </c>
      <c r="V195" s="388">
        <f t="shared" si="175"/>
        <v>0</v>
      </c>
      <c r="W195" s="356">
        <f t="shared" si="176"/>
        <v>0</v>
      </c>
      <c r="X195" s="356">
        <f t="shared" si="122"/>
        <v>0</v>
      </c>
      <c r="Y195" s="356">
        <f t="shared" si="155"/>
        <v>0</v>
      </c>
      <c r="Z195" s="356">
        <f t="shared" si="123"/>
        <v>0</v>
      </c>
      <c r="AA195" s="313">
        <v>0</v>
      </c>
      <c r="AB195" s="313">
        <v>0</v>
      </c>
      <c r="AC195" s="313">
        <v>0</v>
      </c>
      <c r="AD195" s="313">
        <v>0</v>
      </c>
      <c r="AE195" s="313">
        <v>0</v>
      </c>
      <c r="AF195" s="313">
        <v>0</v>
      </c>
      <c r="AG195" s="313">
        <v>0</v>
      </c>
      <c r="AH195" s="313">
        <v>0</v>
      </c>
      <c r="AI195" s="313">
        <v>0</v>
      </c>
      <c r="AJ195" s="313">
        <v>0</v>
      </c>
      <c r="AK195" s="313">
        <v>0</v>
      </c>
      <c r="AL195" s="313">
        <v>0</v>
      </c>
      <c r="AM195" s="313">
        <v>0</v>
      </c>
      <c r="AN195" s="313">
        <v>0</v>
      </c>
      <c r="AO195" s="313">
        <v>0</v>
      </c>
      <c r="AP195" s="313">
        <v>0</v>
      </c>
      <c r="AQ195" s="313">
        <v>0</v>
      </c>
      <c r="AR195" s="313">
        <v>0</v>
      </c>
      <c r="AS195" s="313">
        <v>0</v>
      </c>
      <c r="AT195" s="392">
        <f t="shared" si="124"/>
        <v>1.3888888888888888E-2</v>
      </c>
      <c r="AU195" s="333">
        <v>1000</v>
      </c>
      <c r="AV195" s="387">
        <f t="shared" si="177"/>
        <v>5.5555555555555552E-2</v>
      </c>
      <c r="AW195" s="677">
        <v>1029</v>
      </c>
      <c r="AX195" s="366">
        <f t="shared" si="178"/>
        <v>1029</v>
      </c>
      <c r="AY195" s="366">
        <f t="shared" si="179"/>
        <v>102.9</v>
      </c>
      <c r="AZ195" s="366">
        <f t="shared" si="128"/>
        <v>100</v>
      </c>
      <c r="BA195" s="354">
        <f t="shared" si="129"/>
        <v>1.3888888888888888E-2</v>
      </c>
      <c r="BB195" s="354">
        <f t="shared" si="130"/>
        <v>100</v>
      </c>
      <c r="BC195" s="353">
        <v>33000000</v>
      </c>
      <c r="BD195" s="353">
        <v>0</v>
      </c>
      <c r="BE195" s="353">
        <v>33000000</v>
      </c>
      <c r="BF195" s="353">
        <v>0</v>
      </c>
      <c r="BG195" s="353">
        <v>0</v>
      </c>
      <c r="BH195" s="353">
        <v>0</v>
      </c>
      <c r="BI195" s="353">
        <v>0</v>
      </c>
      <c r="BJ195" s="353">
        <v>0</v>
      </c>
      <c r="BK195" s="452">
        <v>30000000</v>
      </c>
      <c r="BL195" s="351">
        <v>30000000</v>
      </c>
      <c r="BM195" s="351">
        <v>0</v>
      </c>
      <c r="BN195" s="351">
        <v>0</v>
      </c>
      <c r="BO195" s="351">
        <v>0</v>
      </c>
      <c r="BP195" s="351">
        <v>0</v>
      </c>
      <c r="BQ195" s="351">
        <v>0</v>
      </c>
      <c r="BR195" s="351">
        <v>0</v>
      </c>
      <c r="BS195" s="351">
        <v>0</v>
      </c>
      <c r="BT195" s="351">
        <v>0</v>
      </c>
      <c r="BU195" s="351">
        <v>0</v>
      </c>
      <c r="BV195" s="350">
        <f t="shared" si="131"/>
        <v>0.19444444444444445</v>
      </c>
      <c r="BW195" s="350">
        <v>14000</v>
      </c>
      <c r="BX195" s="385">
        <f t="shared" si="180"/>
        <v>0.77777777777777779</v>
      </c>
      <c r="BY195" s="399">
        <v>9738</v>
      </c>
      <c r="BZ195" s="398">
        <v>14670</v>
      </c>
      <c r="CA195" s="690">
        <v>17326</v>
      </c>
      <c r="CB195" s="324">
        <f t="shared" si="181"/>
        <v>17326</v>
      </c>
      <c r="CC195" s="324">
        <f t="shared" si="182"/>
        <v>123.75714285714285</v>
      </c>
      <c r="CD195" s="384">
        <f t="shared" si="135"/>
        <v>100</v>
      </c>
      <c r="CE195" s="383">
        <f t="shared" si="136"/>
        <v>0.19444444444444448</v>
      </c>
      <c r="CF195" s="367">
        <f t="shared" si="137"/>
        <v>100</v>
      </c>
      <c r="CG195" s="383">
        <f t="shared" si="138"/>
        <v>0.2406388888888889</v>
      </c>
      <c r="CH195" s="320">
        <f t="shared" si="139"/>
        <v>4.1666666666666664E-2</v>
      </c>
      <c r="CI195" s="319">
        <v>3000</v>
      </c>
      <c r="CJ195" s="318">
        <f t="shared" si="183"/>
        <v>0.16666666666666666</v>
      </c>
      <c r="CK195" s="1259">
        <v>6632</v>
      </c>
      <c r="CL195" s="301">
        <f t="shared" si="184"/>
        <v>-3632</v>
      </c>
      <c r="CM195" s="381">
        <f t="shared" si="185"/>
        <v>6632</v>
      </c>
      <c r="CN195" s="381">
        <f t="shared" si="186"/>
        <v>221.06666666666666</v>
      </c>
      <c r="CO195" s="316">
        <f t="shared" si="144"/>
        <v>100</v>
      </c>
      <c r="CP195" s="381">
        <f t="shared" si="145"/>
        <v>4.1666666666666657E-2</v>
      </c>
      <c r="CQ195" s="381">
        <f t="shared" si="146"/>
        <v>9.2111111111111102E-2</v>
      </c>
      <c r="CR195" s="313">
        <v>75000000</v>
      </c>
      <c r="CS195" s="313">
        <v>75000000</v>
      </c>
      <c r="CT195" s="313">
        <v>0</v>
      </c>
      <c r="CU195" s="313">
        <v>0</v>
      </c>
      <c r="CV195" s="313">
        <v>0</v>
      </c>
      <c r="CW195" s="313">
        <v>0</v>
      </c>
      <c r="CX195" s="313">
        <v>0</v>
      </c>
      <c r="CY195" s="313">
        <v>0</v>
      </c>
      <c r="CZ195" s="380">
        <v>0</v>
      </c>
      <c r="DA195" s="380">
        <v>0</v>
      </c>
      <c r="DB195" s="380">
        <v>0</v>
      </c>
      <c r="DC195" s="380">
        <v>0</v>
      </c>
      <c r="DD195" s="380">
        <v>0</v>
      </c>
      <c r="DE195" s="380">
        <v>0</v>
      </c>
      <c r="DF195" s="380">
        <v>0</v>
      </c>
      <c r="DG195" s="380">
        <v>0</v>
      </c>
      <c r="DH195" s="380">
        <v>0</v>
      </c>
      <c r="DI195" s="380">
        <v>0</v>
      </c>
      <c r="DJ195" s="380">
        <v>0</v>
      </c>
      <c r="DK195" s="702">
        <f t="shared" si="187"/>
        <v>24987</v>
      </c>
      <c r="DL195" s="311">
        <f t="shared" si="148"/>
        <v>0.25</v>
      </c>
      <c r="DM195" s="310">
        <f t="shared" si="149"/>
        <v>138.81666666666666</v>
      </c>
      <c r="DN195" s="356">
        <f t="shared" si="150"/>
        <v>100</v>
      </c>
      <c r="DO195" s="308">
        <f t="shared" si="151"/>
        <v>0.25</v>
      </c>
      <c r="DP195" s="359">
        <f>+IF(((DN195*Q195)/100)&lt;Q195, ((DN195*Q195)/100),Q195)</f>
        <v>0.25</v>
      </c>
      <c r="DQ195" s="306">
        <f t="shared" si="152"/>
        <v>0.25</v>
      </c>
      <c r="DR195" s="379">
        <f t="shared" si="153"/>
        <v>1</v>
      </c>
      <c r="DS195" s="378">
        <f t="shared" si="154"/>
        <v>0</v>
      </c>
      <c r="DT195" s="173">
        <v>200</v>
      </c>
      <c r="DU195" s="174" t="s">
        <v>397</v>
      </c>
      <c r="DV195" s="173">
        <v>202</v>
      </c>
      <c r="DW195" s="174" t="s">
        <v>121</v>
      </c>
      <c r="DX195" s="173"/>
      <c r="DY195" s="173"/>
      <c r="DZ195" s="173"/>
      <c r="EA195" s="665"/>
      <c r="EB195" s="1254" t="s">
        <v>3240</v>
      </c>
      <c r="EC195" s="537">
        <v>100000000</v>
      </c>
      <c r="EE195" s="733">
        <v>116</v>
      </c>
      <c r="EF195" s="706"/>
    </row>
    <row r="196" spans="4:136" s="302" customFormat="1" ht="178.5" hidden="1">
      <c r="D196" s="520">
        <v>193</v>
      </c>
      <c r="E196" s="534">
        <v>237</v>
      </c>
      <c r="F196" s="523" t="s">
        <v>43</v>
      </c>
      <c r="G196" s="523" t="s">
        <v>7</v>
      </c>
      <c r="H196" s="524" t="s">
        <v>2657</v>
      </c>
      <c r="I196" s="462" t="s">
        <v>540</v>
      </c>
      <c r="J196" s="335" t="s">
        <v>544</v>
      </c>
      <c r="K196" s="335" t="s">
        <v>545</v>
      </c>
      <c r="L196" s="454" t="s">
        <v>1971</v>
      </c>
      <c r="M196" s="333" t="s">
        <v>1771</v>
      </c>
      <c r="N196" s="333">
        <v>0</v>
      </c>
      <c r="O196" s="333">
        <f>+N196+P196</f>
        <v>5</v>
      </c>
      <c r="P196" s="332">
        <v>5</v>
      </c>
      <c r="Q196" s="390">
        <v>0.16500000000000001</v>
      </c>
      <c r="R196" s="342">
        <f t="shared" si="118"/>
        <v>3.3000000000000002E-2</v>
      </c>
      <c r="S196" s="459">
        <v>1</v>
      </c>
      <c r="T196" s="387">
        <f t="shared" si="174"/>
        <v>0.2</v>
      </c>
      <c r="U196" s="670">
        <v>1</v>
      </c>
      <c r="V196" s="388">
        <f t="shared" si="175"/>
        <v>1</v>
      </c>
      <c r="W196" s="356">
        <f t="shared" si="176"/>
        <v>100</v>
      </c>
      <c r="X196" s="356">
        <f t="shared" si="122"/>
        <v>100</v>
      </c>
      <c r="Y196" s="356">
        <f t="shared" si="155"/>
        <v>3.3000000000000002E-2</v>
      </c>
      <c r="Z196" s="356">
        <f t="shared" si="123"/>
        <v>100</v>
      </c>
      <c r="AA196" s="313">
        <v>80000000</v>
      </c>
      <c r="AB196" s="313">
        <v>80000000</v>
      </c>
      <c r="AC196" s="313">
        <v>0</v>
      </c>
      <c r="AD196" s="313">
        <v>0</v>
      </c>
      <c r="AE196" s="313">
        <v>0</v>
      </c>
      <c r="AF196" s="313">
        <v>0</v>
      </c>
      <c r="AG196" s="313">
        <v>0</v>
      </c>
      <c r="AH196" s="313">
        <v>0</v>
      </c>
      <c r="AI196" s="313">
        <v>25000000</v>
      </c>
      <c r="AJ196" s="313">
        <v>25000000</v>
      </c>
      <c r="AK196" s="313">
        <v>0</v>
      </c>
      <c r="AL196" s="313">
        <v>0</v>
      </c>
      <c r="AM196" s="313">
        <v>0</v>
      </c>
      <c r="AN196" s="313">
        <v>0</v>
      </c>
      <c r="AO196" s="313">
        <v>0</v>
      </c>
      <c r="AP196" s="313">
        <v>0</v>
      </c>
      <c r="AQ196" s="313">
        <v>0</v>
      </c>
      <c r="AR196" s="313">
        <v>0</v>
      </c>
      <c r="AS196" s="313">
        <v>0</v>
      </c>
      <c r="AT196" s="333">
        <f t="shared" si="124"/>
        <v>0</v>
      </c>
      <c r="AU196" s="333">
        <v>0</v>
      </c>
      <c r="AV196" s="387">
        <f t="shared" si="177"/>
        <v>0</v>
      </c>
      <c r="AW196" s="677">
        <v>0</v>
      </c>
      <c r="AX196" s="366">
        <f t="shared" si="178"/>
        <v>0</v>
      </c>
      <c r="AY196" s="366">
        <f t="shared" si="179"/>
        <v>0</v>
      </c>
      <c r="AZ196" s="366">
        <f t="shared" si="128"/>
        <v>0</v>
      </c>
      <c r="BA196" s="354">
        <f t="shared" si="129"/>
        <v>0</v>
      </c>
      <c r="BB196" s="354">
        <f t="shared" si="130"/>
        <v>0</v>
      </c>
      <c r="BC196" s="353">
        <v>33000000</v>
      </c>
      <c r="BD196" s="353">
        <v>0</v>
      </c>
      <c r="BE196" s="353">
        <v>33000000</v>
      </c>
      <c r="BF196" s="353">
        <v>0</v>
      </c>
      <c r="BG196" s="353">
        <v>0</v>
      </c>
      <c r="BH196" s="353">
        <v>0</v>
      </c>
      <c r="BI196" s="353">
        <v>0</v>
      </c>
      <c r="BJ196" s="353">
        <v>0</v>
      </c>
      <c r="BK196" s="452">
        <v>27250000</v>
      </c>
      <c r="BL196" s="351">
        <v>27250000</v>
      </c>
      <c r="BM196" s="351">
        <v>0</v>
      </c>
      <c r="BN196" s="351">
        <v>0</v>
      </c>
      <c r="BO196" s="351">
        <v>0</v>
      </c>
      <c r="BP196" s="351">
        <v>0</v>
      </c>
      <c r="BQ196" s="351">
        <v>0</v>
      </c>
      <c r="BR196" s="351">
        <v>0</v>
      </c>
      <c r="BS196" s="351">
        <v>0</v>
      </c>
      <c r="BT196" s="351">
        <v>0</v>
      </c>
      <c r="BU196" s="351">
        <v>0</v>
      </c>
      <c r="BV196" s="350">
        <f t="shared" si="131"/>
        <v>6.6000000000000003E-2</v>
      </c>
      <c r="BW196" s="350">
        <v>2</v>
      </c>
      <c r="BX196" s="385">
        <f t="shared" si="180"/>
        <v>0.4</v>
      </c>
      <c r="BY196" s="399">
        <v>1</v>
      </c>
      <c r="BZ196" s="398">
        <v>0</v>
      </c>
      <c r="CA196" s="690">
        <v>0</v>
      </c>
      <c r="CB196" s="324">
        <f t="shared" si="181"/>
        <v>0</v>
      </c>
      <c r="CC196" s="324">
        <f t="shared" si="182"/>
        <v>0</v>
      </c>
      <c r="CD196" s="384">
        <f t="shared" si="135"/>
        <v>0</v>
      </c>
      <c r="CE196" s="383">
        <f t="shared" si="136"/>
        <v>0</v>
      </c>
      <c r="CF196" s="367">
        <f t="shared" si="137"/>
        <v>0</v>
      </c>
      <c r="CG196" s="383">
        <f t="shared" si="138"/>
        <v>0</v>
      </c>
      <c r="CH196" s="320">
        <f t="shared" si="139"/>
        <v>6.6000000000000003E-2</v>
      </c>
      <c r="CI196" s="319">
        <v>2</v>
      </c>
      <c r="CJ196" s="318">
        <f t="shared" si="183"/>
        <v>0.4</v>
      </c>
      <c r="CK196" s="1259">
        <v>5</v>
      </c>
      <c r="CL196" s="301">
        <f t="shared" si="184"/>
        <v>-3</v>
      </c>
      <c r="CM196" s="381">
        <f t="shared" si="185"/>
        <v>5</v>
      </c>
      <c r="CN196" s="381">
        <f t="shared" si="186"/>
        <v>250</v>
      </c>
      <c r="CO196" s="316">
        <f t="shared" si="144"/>
        <v>100</v>
      </c>
      <c r="CP196" s="381">
        <f t="shared" si="145"/>
        <v>6.6000000000000003E-2</v>
      </c>
      <c r="CQ196" s="381">
        <f t="shared" si="146"/>
        <v>0.16500000000000001</v>
      </c>
      <c r="CR196" s="313">
        <v>75000000</v>
      </c>
      <c r="CS196" s="313">
        <v>75000000</v>
      </c>
      <c r="CT196" s="313">
        <v>0</v>
      </c>
      <c r="CU196" s="313">
        <v>0</v>
      </c>
      <c r="CV196" s="313">
        <v>0</v>
      </c>
      <c r="CW196" s="313">
        <v>0</v>
      </c>
      <c r="CX196" s="313">
        <v>0</v>
      </c>
      <c r="CY196" s="313">
        <v>0</v>
      </c>
      <c r="CZ196" s="380">
        <v>0</v>
      </c>
      <c r="DA196" s="380">
        <v>0</v>
      </c>
      <c r="DB196" s="380">
        <v>0</v>
      </c>
      <c r="DC196" s="380">
        <v>0</v>
      </c>
      <c r="DD196" s="380">
        <v>0</v>
      </c>
      <c r="DE196" s="380">
        <v>0</v>
      </c>
      <c r="DF196" s="380">
        <v>0</v>
      </c>
      <c r="DG196" s="380">
        <v>0</v>
      </c>
      <c r="DH196" s="380">
        <v>0</v>
      </c>
      <c r="DI196" s="380">
        <v>0</v>
      </c>
      <c r="DJ196" s="380">
        <v>0</v>
      </c>
      <c r="DK196" s="702">
        <f t="shared" si="187"/>
        <v>6</v>
      </c>
      <c r="DL196" s="311">
        <f t="shared" si="148"/>
        <v>0.16500000000000001</v>
      </c>
      <c r="DM196" s="310">
        <f t="shared" si="149"/>
        <v>120</v>
      </c>
      <c r="DN196" s="356">
        <f t="shared" si="150"/>
        <v>100</v>
      </c>
      <c r="DO196" s="308">
        <f t="shared" si="151"/>
        <v>0.16500000000000001</v>
      </c>
      <c r="DP196" s="359">
        <f>+IF(((DN196*Q196)/100)&lt;Q196, ((DN196*Q196)/100),Q196)</f>
        <v>0.16500000000000001</v>
      </c>
      <c r="DQ196" s="306">
        <f t="shared" si="152"/>
        <v>0.16500000000000001</v>
      </c>
      <c r="DR196" s="379">
        <f t="shared" si="153"/>
        <v>1</v>
      </c>
      <c r="DS196" s="378">
        <f t="shared" si="154"/>
        <v>0</v>
      </c>
      <c r="DT196" s="173">
        <v>200</v>
      </c>
      <c r="DU196" s="174" t="s">
        <v>397</v>
      </c>
      <c r="DV196" s="173">
        <v>202</v>
      </c>
      <c r="DW196" s="174" t="s">
        <v>121</v>
      </c>
      <c r="DX196" s="173"/>
      <c r="DY196" s="173"/>
      <c r="DZ196" s="173"/>
      <c r="EA196" s="665"/>
      <c r="EB196" s="1254" t="s">
        <v>2529</v>
      </c>
      <c r="EC196" s="537">
        <v>19885000000</v>
      </c>
      <c r="EE196" s="734">
        <v>0</v>
      </c>
      <c r="EF196" s="706"/>
    </row>
    <row r="197" spans="4:136" s="302" customFormat="1" ht="84" hidden="1">
      <c r="D197" s="520">
        <v>194</v>
      </c>
      <c r="E197" s="534">
        <v>238</v>
      </c>
      <c r="F197" s="523" t="s">
        <v>43</v>
      </c>
      <c r="G197" s="479" t="s">
        <v>10</v>
      </c>
      <c r="H197" s="524" t="s">
        <v>2656</v>
      </c>
      <c r="I197" s="462" t="s">
        <v>540</v>
      </c>
      <c r="J197" s="335" t="s">
        <v>546</v>
      </c>
      <c r="K197" s="335" t="s">
        <v>547</v>
      </c>
      <c r="L197" s="454" t="s">
        <v>1415</v>
      </c>
      <c r="M197" s="334" t="s">
        <v>1785</v>
      </c>
      <c r="N197" s="334">
        <v>0</v>
      </c>
      <c r="O197" s="333">
        <f>+P197</f>
        <v>116</v>
      </c>
      <c r="P197" s="332">
        <v>116</v>
      </c>
      <c r="Q197" s="390">
        <v>0.16500000000000001</v>
      </c>
      <c r="R197" s="342">
        <f t="shared" ref="R197:R260" si="190">+Q197*T197</f>
        <v>4.1250000000000002E-2</v>
      </c>
      <c r="S197" s="389">
        <v>116</v>
      </c>
      <c r="T197" s="387">
        <f t="shared" si="174"/>
        <v>0.25</v>
      </c>
      <c r="U197" s="670">
        <v>116</v>
      </c>
      <c r="V197" s="388">
        <f t="shared" si="175"/>
        <v>29</v>
      </c>
      <c r="W197" s="356">
        <f t="shared" si="176"/>
        <v>100</v>
      </c>
      <c r="X197" s="356">
        <f t="shared" ref="X197:X260" si="191">+IF(W197&lt;100,W197,100)</f>
        <v>100</v>
      </c>
      <c r="Y197" s="356">
        <f t="shared" si="155"/>
        <v>4.1250000000000002E-2</v>
      </c>
      <c r="Z197" s="356">
        <f t="shared" ref="Z197:Z260" si="192">+IF(U197&gt;S197,100,X197)</f>
        <v>100</v>
      </c>
      <c r="AA197" s="355">
        <v>2839000000</v>
      </c>
      <c r="AB197" s="355">
        <v>1070000000</v>
      </c>
      <c r="AC197" s="355">
        <v>1769000000</v>
      </c>
      <c r="AD197" s="355">
        <v>0</v>
      </c>
      <c r="AE197" s="355">
        <v>0</v>
      </c>
      <c r="AF197" s="355">
        <v>0</v>
      </c>
      <c r="AG197" s="355">
        <v>0</v>
      </c>
      <c r="AH197" s="355">
        <v>0</v>
      </c>
      <c r="AI197" s="355">
        <v>0</v>
      </c>
      <c r="AJ197" s="355">
        <v>0</v>
      </c>
      <c r="AK197" s="355">
        <v>0</v>
      </c>
      <c r="AL197" s="355">
        <v>0</v>
      </c>
      <c r="AM197" s="355">
        <v>0</v>
      </c>
      <c r="AN197" s="355">
        <v>0</v>
      </c>
      <c r="AO197" s="355">
        <v>0</v>
      </c>
      <c r="AP197" s="355">
        <v>0</v>
      </c>
      <c r="AQ197" s="355">
        <v>0</v>
      </c>
      <c r="AR197" s="355">
        <v>0</v>
      </c>
      <c r="AS197" s="355">
        <v>0</v>
      </c>
      <c r="AT197" s="333">
        <f t="shared" ref="AT197:AT260" si="193">+Q197*AV197</f>
        <v>4.1250000000000002E-2</v>
      </c>
      <c r="AU197" s="334">
        <v>116</v>
      </c>
      <c r="AV197" s="387">
        <f t="shared" si="177"/>
        <v>0.25</v>
      </c>
      <c r="AW197" s="677">
        <v>116</v>
      </c>
      <c r="AX197" s="366">
        <f t="shared" si="178"/>
        <v>29</v>
      </c>
      <c r="AY197" s="366">
        <f t="shared" si="179"/>
        <v>100</v>
      </c>
      <c r="AZ197" s="366">
        <f t="shared" ref="AZ197:AZ260" si="194">+IF(AY197&lt;100,AY197,100)</f>
        <v>100</v>
      </c>
      <c r="BA197" s="354">
        <f t="shared" ref="BA197:BA260" si="195">+(AZ197*AT197)/100</f>
        <v>4.1250000000000002E-2</v>
      </c>
      <c r="BB197" s="354">
        <f t="shared" ref="BB197:BB260" si="196">+IF(AW197&gt;AU197,100,AZ197)</f>
        <v>100</v>
      </c>
      <c r="BC197" s="353">
        <v>650000000</v>
      </c>
      <c r="BD197" s="353">
        <v>450000000</v>
      </c>
      <c r="BE197" s="353">
        <v>200000000</v>
      </c>
      <c r="BF197" s="353">
        <v>0</v>
      </c>
      <c r="BG197" s="353">
        <v>0</v>
      </c>
      <c r="BH197" s="353">
        <v>0</v>
      </c>
      <c r="BI197" s="353">
        <v>0</v>
      </c>
      <c r="BJ197" s="353">
        <v>0</v>
      </c>
      <c r="BK197" s="452">
        <v>433626666</v>
      </c>
      <c r="BL197" s="351">
        <v>0</v>
      </c>
      <c r="BM197" s="351">
        <v>422193332</v>
      </c>
      <c r="BN197" s="351">
        <v>11433334</v>
      </c>
      <c r="BO197" s="351">
        <v>0</v>
      </c>
      <c r="BP197" s="351">
        <v>0</v>
      </c>
      <c r="BQ197" s="351">
        <v>0</v>
      </c>
      <c r="BR197" s="351">
        <v>0</v>
      </c>
      <c r="BS197" s="351">
        <v>0</v>
      </c>
      <c r="BT197" s="351">
        <v>0</v>
      </c>
      <c r="BU197" s="351">
        <v>0</v>
      </c>
      <c r="BV197" s="350">
        <f t="shared" ref="BV197:BV260" si="197">+Q197*BX197</f>
        <v>4.1250000000000002E-2</v>
      </c>
      <c r="BW197" s="350">
        <v>116</v>
      </c>
      <c r="BX197" s="385">
        <f t="shared" si="180"/>
        <v>0.25</v>
      </c>
      <c r="BY197" s="369">
        <v>100</v>
      </c>
      <c r="BZ197" s="391">
        <v>100</v>
      </c>
      <c r="CA197" s="689">
        <v>100</v>
      </c>
      <c r="CB197" s="324">
        <f t="shared" si="181"/>
        <v>25</v>
      </c>
      <c r="CC197" s="324">
        <f t="shared" si="182"/>
        <v>86.206896551724142</v>
      </c>
      <c r="CD197" s="384">
        <f t="shared" ref="CD197:CD260" si="198">+IF(CC197&lt;100,CC197,100)</f>
        <v>86.206896551724142</v>
      </c>
      <c r="CE197" s="383">
        <f t="shared" ref="CE197:CE260" si="199">+(CD197*BV197)/100</f>
        <v>3.5560344827586209E-2</v>
      </c>
      <c r="CF197" s="367">
        <f t="shared" ref="CF197:CF260" si="200">+IF(BZ197&gt;BW197,100,CD197)</f>
        <v>86.206896551724142</v>
      </c>
      <c r="CG197" s="383">
        <f t="shared" ref="CG197:CG260" si="201">(CC197*BV197)/100</f>
        <v>3.5560344827586209E-2</v>
      </c>
      <c r="CH197" s="320">
        <f t="shared" ref="CH197:CH260" si="202">+Q197*CJ197</f>
        <v>4.1250000000000002E-2</v>
      </c>
      <c r="CI197" s="319">
        <v>116</v>
      </c>
      <c r="CJ197" s="318">
        <f t="shared" si="183"/>
        <v>0.25</v>
      </c>
      <c r="CK197" s="1259">
        <v>116</v>
      </c>
      <c r="CL197" s="301">
        <f t="shared" si="184"/>
        <v>0</v>
      </c>
      <c r="CM197" s="381">
        <f t="shared" si="185"/>
        <v>29</v>
      </c>
      <c r="CN197" s="381">
        <f t="shared" si="186"/>
        <v>100</v>
      </c>
      <c r="CO197" s="381">
        <f t="shared" ref="CO197:CO260" si="203">+IF(CN197&lt;100,CN197,100)</f>
        <v>100</v>
      </c>
      <c r="CP197" s="381">
        <f t="shared" ref="CP197:CP260" si="204">+(CO197*CH197)/100</f>
        <v>4.1250000000000002E-2</v>
      </c>
      <c r="CQ197" s="381">
        <f t="shared" ref="CQ197:CQ260" si="205">+(CN197*CH197)/100</f>
        <v>4.1250000000000002E-2</v>
      </c>
      <c r="CR197" s="313">
        <v>826000000</v>
      </c>
      <c r="CS197" s="313">
        <v>400000000</v>
      </c>
      <c r="CT197" s="313">
        <v>426000000</v>
      </c>
      <c r="CU197" s="313">
        <v>0</v>
      </c>
      <c r="CV197" s="313">
        <v>0</v>
      </c>
      <c r="CW197" s="313">
        <v>0</v>
      </c>
      <c r="CX197" s="313">
        <v>0</v>
      </c>
      <c r="CY197" s="313">
        <v>0</v>
      </c>
      <c r="CZ197" s="380">
        <v>0</v>
      </c>
      <c r="DA197" s="380">
        <v>0</v>
      </c>
      <c r="DB197" s="380">
        <v>0</v>
      </c>
      <c r="DC197" s="380">
        <v>0</v>
      </c>
      <c r="DD197" s="380">
        <v>0</v>
      </c>
      <c r="DE197" s="380">
        <v>0</v>
      </c>
      <c r="DF197" s="380">
        <v>0</v>
      </c>
      <c r="DG197" s="380">
        <v>0</v>
      </c>
      <c r="DH197" s="380">
        <v>0</v>
      </c>
      <c r="DI197" s="380">
        <v>0</v>
      </c>
      <c r="DJ197" s="380">
        <v>0</v>
      </c>
      <c r="DK197" s="702">
        <f t="shared" si="187"/>
        <v>112</v>
      </c>
      <c r="DL197" s="311">
        <f t="shared" ref="DL197:DL260" si="206">+R197+AT197+BV197+CH197</f>
        <v>0.16500000000000001</v>
      </c>
      <c r="DM197" s="310">
        <f t="shared" ref="DM197:DM260" si="207">+DK197*100/P197</f>
        <v>96.551724137931032</v>
      </c>
      <c r="DN197" s="356">
        <f t="shared" ref="DN197:DN260" si="208">+IF(DM197&lt;100,DM197,100)</f>
        <v>96.551724137931032</v>
      </c>
      <c r="DO197" s="308">
        <f t="shared" ref="DO197:DO260" si="209">+(DN197*Q197)/100</f>
        <v>0.15931034482758621</v>
      </c>
      <c r="DP197" s="359">
        <f>+IF(M197="M",DO197,0)</f>
        <v>0.15931034482758621</v>
      </c>
      <c r="DQ197" s="306">
        <f t="shared" ref="DQ197:DQ260" si="210">+IF(DL197&lt;DP197,DL197,DP197)</f>
        <v>0.15931034482758621</v>
      </c>
      <c r="DR197" s="379">
        <f t="shared" ref="DR197:DR260" si="211">+T197+AV197+BX197+CJ197</f>
        <v>1</v>
      </c>
      <c r="DS197" s="378">
        <f t="shared" ref="DS197:DS260" si="212">+Q197-R197-AT197-BV197-CH197</f>
        <v>0</v>
      </c>
      <c r="DT197" s="173">
        <v>203</v>
      </c>
      <c r="DU197" s="174" t="s">
        <v>120</v>
      </c>
      <c r="DV197" s="173"/>
      <c r="DW197" s="174" t="s">
        <v>84</v>
      </c>
      <c r="DX197" s="173"/>
      <c r="DY197" s="173"/>
      <c r="DZ197" s="173"/>
      <c r="EA197" s="665"/>
      <c r="EB197" s="1254" t="s">
        <v>2261</v>
      </c>
      <c r="EC197" s="537">
        <v>0</v>
      </c>
      <c r="EE197" s="745" t="s">
        <v>2381</v>
      </c>
      <c r="EF197" s="706"/>
    </row>
    <row r="198" spans="4:136" s="302" customFormat="1" ht="84" hidden="1">
      <c r="D198" s="520">
        <v>195</v>
      </c>
      <c r="E198" s="534">
        <v>239</v>
      </c>
      <c r="F198" s="523" t="s">
        <v>43</v>
      </c>
      <c r="G198" s="479" t="s">
        <v>10</v>
      </c>
      <c r="H198" s="524" t="s">
        <v>2657</v>
      </c>
      <c r="I198" s="462" t="s">
        <v>540</v>
      </c>
      <c r="J198" s="335" t="s">
        <v>548</v>
      </c>
      <c r="K198" s="335" t="s">
        <v>549</v>
      </c>
      <c r="L198" s="453" t="s">
        <v>1415</v>
      </c>
      <c r="M198" s="334" t="s">
        <v>1785</v>
      </c>
      <c r="N198" s="334">
        <v>116</v>
      </c>
      <c r="O198" s="333">
        <f>+P198</f>
        <v>116</v>
      </c>
      <c r="P198" s="332">
        <v>116</v>
      </c>
      <c r="Q198" s="390">
        <v>0.25</v>
      </c>
      <c r="R198" s="342">
        <f t="shared" si="190"/>
        <v>6.25E-2</v>
      </c>
      <c r="S198" s="389">
        <v>116</v>
      </c>
      <c r="T198" s="387">
        <f t="shared" si="174"/>
        <v>0.25</v>
      </c>
      <c r="U198" s="670">
        <v>116</v>
      </c>
      <c r="V198" s="388">
        <f t="shared" si="175"/>
        <v>29</v>
      </c>
      <c r="W198" s="356">
        <f t="shared" si="176"/>
        <v>100</v>
      </c>
      <c r="X198" s="356">
        <f t="shared" si="191"/>
        <v>100</v>
      </c>
      <c r="Y198" s="356">
        <f t="shared" si="155"/>
        <v>6.25E-2</v>
      </c>
      <c r="Z198" s="356">
        <f t="shared" si="192"/>
        <v>100</v>
      </c>
      <c r="AA198" s="355">
        <v>70248000</v>
      </c>
      <c r="AB198" s="355">
        <v>70248000</v>
      </c>
      <c r="AC198" s="355">
        <v>0</v>
      </c>
      <c r="AD198" s="355">
        <v>0</v>
      </c>
      <c r="AE198" s="355">
        <v>0</v>
      </c>
      <c r="AF198" s="355">
        <v>0</v>
      </c>
      <c r="AG198" s="355">
        <v>0</v>
      </c>
      <c r="AH198" s="355">
        <v>0</v>
      </c>
      <c r="AI198" s="355">
        <v>71371170000</v>
      </c>
      <c r="AJ198" s="355">
        <v>0</v>
      </c>
      <c r="AK198" s="355">
        <v>0</v>
      </c>
      <c r="AL198" s="355">
        <v>0</v>
      </c>
      <c r="AM198" s="355">
        <v>0</v>
      </c>
      <c r="AN198" s="355">
        <v>0</v>
      </c>
      <c r="AO198" s="355">
        <v>0</v>
      </c>
      <c r="AP198" s="355">
        <v>71371170000</v>
      </c>
      <c r="AQ198" s="355">
        <v>0</v>
      </c>
      <c r="AR198" s="355">
        <v>0</v>
      </c>
      <c r="AS198" s="355">
        <v>0</v>
      </c>
      <c r="AT198" s="333">
        <f t="shared" si="193"/>
        <v>6.25E-2</v>
      </c>
      <c r="AU198" s="334">
        <v>116</v>
      </c>
      <c r="AV198" s="387">
        <f t="shared" si="177"/>
        <v>0.25</v>
      </c>
      <c r="AW198" s="677">
        <v>116</v>
      </c>
      <c r="AX198" s="366">
        <f t="shared" si="178"/>
        <v>29</v>
      </c>
      <c r="AY198" s="366">
        <f t="shared" si="179"/>
        <v>100</v>
      </c>
      <c r="AZ198" s="366">
        <f t="shared" si="194"/>
        <v>100</v>
      </c>
      <c r="BA198" s="354">
        <f t="shared" si="195"/>
        <v>6.25E-2</v>
      </c>
      <c r="BB198" s="354">
        <f t="shared" si="196"/>
        <v>100</v>
      </c>
      <c r="BC198" s="353">
        <v>61257000000</v>
      </c>
      <c r="BD198" s="353">
        <v>61257000</v>
      </c>
      <c r="BE198" s="353">
        <v>0</v>
      </c>
      <c r="BF198" s="353">
        <v>0</v>
      </c>
      <c r="BG198" s="353">
        <v>0</v>
      </c>
      <c r="BH198" s="353">
        <v>0</v>
      </c>
      <c r="BI198" s="353">
        <v>0</v>
      </c>
      <c r="BJ198" s="353">
        <v>0</v>
      </c>
      <c r="BK198" s="452">
        <v>77220388147</v>
      </c>
      <c r="BL198" s="351">
        <v>77220388147</v>
      </c>
      <c r="BM198" s="351">
        <v>0</v>
      </c>
      <c r="BN198" s="351">
        <v>0</v>
      </c>
      <c r="BO198" s="351">
        <v>0</v>
      </c>
      <c r="BP198" s="351">
        <v>0</v>
      </c>
      <c r="BQ198" s="351">
        <v>0</v>
      </c>
      <c r="BR198" s="351">
        <v>0</v>
      </c>
      <c r="BS198" s="351">
        <v>0</v>
      </c>
      <c r="BT198" s="351">
        <v>0</v>
      </c>
      <c r="BU198" s="351">
        <v>0</v>
      </c>
      <c r="BV198" s="350">
        <f t="shared" si="197"/>
        <v>6.25E-2</v>
      </c>
      <c r="BW198" s="350">
        <v>116</v>
      </c>
      <c r="BX198" s="385">
        <f t="shared" si="180"/>
        <v>0.25</v>
      </c>
      <c r="BY198" s="369">
        <v>50</v>
      </c>
      <c r="BZ198" s="391">
        <v>67</v>
      </c>
      <c r="CA198" s="689">
        <v>116</v>
      </c>
      <c r="CB198" s="324">
        <f t="shared" si="181"/>
        <v>29</v>
      </c>
      <c r="CC198" s="324">
        <f t="shared" si="182"/>
        <v>100</v>
      </c>
      <c r="CD198" s="384">
        <f t="shared" si="198"/>
        <v>100</v>
      </c>
      <c r="CE198" s="383">
        <f t="shared" si="199"/>
        <v>6.25E-2</v>
      </c>
      <c r="CF198" s="367">
        <f t="shared" si="200"/>
        <v>100</v>
      </c>
      <c r="CG198" s="383">
        <f t="shared" si="201"/>
        <v>6.25E-2</v>
      </c>
      <c r="CH198" s="320">
        <f t="shared" si="202"/>
        <v>6.25E-2</v>
      </c>
      <c r="CI198" s="319">
        <v>116</v>
      </c>
      <c r="CJ198" s="318">
        <f t="shared" si="183"/>
        <v>0.25</v>
      </c>
      <c r="CK198" s="1259">
        <v>116</v>
      </c>
      <c r="CL198" s="301">
        <f t="shared" si="184"/>
        <v>0</v>
      </c>
      <c r="CM198" s="381">
        <f t="shared" si="185"/>
        <v>29</v>
      </c>
      <c r="CN198" s="381">
        <f t="shared" si="186"/>
        <v>100</v>
      </c>
      <c r="CO198" s="381">
        <f t="shared" si="203"/>
        <v>100</v>
      </c>
      <c r="CP198" s="381">
        <f t="shared" si="204"/>
        <v>6.25E-2</v>
      </c>
      <c r="CQ198" s="381">
        <f t="shared" si="205"/>
        <v>6.25E-2</v>
      </c>
      <c r="CR198" s="313">
        <v>64644000000</v>
      </c>
      <c r="CS198" s="313">
        <v>0</v>
      </c>
      <c r="CT198" s="313">
        <v>64644000</v>
      </c>
      <c r="CU198" s="313">
        <v>0</v>
      </c>
      <c r="CV198" s="313">
        <v>0</v>
      </c>
      <c r="CW198" s="313">
        <v>0</v>
      </c>
      <c r="CX198" s="313">
        <v>0</v>
      </c>
      <c r="CY198" s="313">
        <v>0</v>
      </c>
      <c r="CZ198" s="380">
        <v>0</v>
      </c>
      <c r="DA198" s="380">
        <v>0</v>
      </c>
      <c r="DB198" s="380">
        <v>0</v>
      </c>
      <c r="DC198" s="380">
        <v>0</v>
      </c>
      <c r="DD198" s="380">
        <v>0</v>
      </c>
      <c r="DE198" s="380">
        <v>0</v>
      </c>
      <c r="DF198" s="380">
        <v>0</v>
      </c>
      <c r="DG198" s="380">
        <v>0</v>
      </c>
      <c r="DH198" s="380">
        <v>0</v>
      </c>
      <c r="DI198" s="380">
        <v>0</v>
      </c>
      <c r="DJ198" s="380">
        <v>0</v>
      </c>
      <c r="DK198" s="702">
        <f t="shared" si="187"/>
        <v>116</v>
      </c>
      <c r="DL198" s="311">
        <f t="shared" si="206"/>
        <v>0.25</v>
      </c>
      <c r="DM198" s="310">
        <f t="shared" si="207"/>
        <v>100</v>
      </c>
      <c r="DN198" s="356">
        <f t="shared" si="208"/>
        <v>100</v>
      </c>
      <c r="DO198" s="308">
        <f t="shared" si="209"/>
        <v>0.25</v>
      </c>
      <c r="DP198" s="359">
        <f>+IF(M198="M",DO198,0)</f>
        <v>0.25</v>
      </c>
      <c r="DQ198" s="306">
        <f t="shared" si="210"/>
        <v>0.25</v>
      </c>
      <c r="DR198" s="379">
        <f t="shared" si="211"/>
        <v>1</v>
      </c>
      <c r="DS198" s="378">
        <f t="shared" si="212"/>
        <v>0</v>
      </c>
      <c r="DT198" s="173">
        <v>203</v>
      </c>
      <c r="DU198" s="174" t="s">
        <v>120</v>
      </c>
      <c r="DV198" s="173"/>
      <c r="DW198" s="174" t="s">
        <v>84</v>
      </c>
      <c r="DX198" s="173"/>
      <c r="DY198" s="173"/>
      <c r="DZ198" s="173"/>
      <c r="EA198" s="665"/>
      <c r="EB198" s="1254" t="s">
        <v>2262</v>
      </c>
      <c r="EC198" s="537">
        <v>0</v>
      </c>
      <c r="EE198" s="745">
        <v>0</v>
      </c>
      <c r="EF198" s="706"/>
    </row>
    <row r="199" spans="4:136" s="302" customFormat="1" ht="114.75" hidden="1">
      <c r="D199" s="520">
        <v>196</v>
      </c>
      <c r="E199" s="534">
        <v>240</v>
      </c>
      <c r="F199" s="523" t="s">
        <v>43</v>
      </c>
      <c r="G199" s="479" t="s">
        <v>10</v>
      </c>
      <c r="H199" s="524" t="s">
        <v>2657</v>
      </c>
      <c r="I199" s="462" t="s">
        <v>540</v>
      </c>
      <c r="J199" s="335" t="s">
        <v>550</v>
      </c>
      <c r="K199" s="335" t="s">
        <v>551</v>
      </c>
      <c r="L199" s="454" t="s">
        <v>1415</v>
      </c>
      <c r="M199" s="334" t="s">
        <v>1771</v>
      </c>
      <c r="N199" s="334">
        <v>0</v>
      </c>
      <c r="O199" s="333">
        <f>+N199+P199</f>
        <v>116</v>
      </c>
      <c r="P199" s="332">
        <v>116</v>
      </c>
      <c r="Q199" s="390">
        <v>0.25</v>
      </c>
      <c r="R199" s="342">
        <f t="shared" si="190"/>
        <v>1.0775862068965518E-2</v>
      </c>
      <c r="S199" s="389">
        <v>5</v>
      </c>
      <c r="T199" s="387">
        <f t="shared" si="174"/>
        <v>4.3103448275862072E-2</v>
      </c>
      <c r="U199" s="670">
        <v>5</v>
      </c>
      <c r="V199" s="388">
        <f t="shared" si="175"/>
        <v>5</v>
      </c>
      <c r="W199" s="356">
        <f t="shared" si="176"/>
        <v>100</v>
      </c>
      <c r="X199" s="356">
        <f t="shared" si="191"/>
        <v>100</v>
      </c>
      <c r="Y199" s="356">
        <f t="shared" si="155"/>
        <v>1.0775862068965518E-2</v>
      </c>
      <c r="Z199" s="356">
        <f t="shared" si="192"/>
        <v>100</v>
      </c>
      <c r="AA199" s="355">
        <v>0</v>
      </c>
      <c r="AB199" s="355">
        <v>0</v>
      </c>
      <c r="AC199" s="355">
        <v>0</v>
      </c>
      <c r="AD199" s="355">
        <v>0</v>
      </c>
      <c r="AE199" s="355">
        <v>0</v>
      </c>
      <c r="AF199" s="355">
        <v>0</v>
      </c>
      <c r="AG199" s="355">
        <v>0</v>
      </c>
      <c r="AH199" s="355">
        <v>0</v>
      </c>
      <c r="AI199" s="355">
        <v>1510185000</v>
      </c>
      <c r="AJ199" s="355">
        <v>1510185000</v>
      </c>
      <c r="AK199" s="355">
        <v>0</v>
      </c>
      <c r="AL199" s="355">
        <v>0</v>
      </c>
      <c r="AM199" s="355">
        <v>0</v>
      </c>
      <c r="AN199" s="355">
        <v>0</v>
      </c>
      <c r="AO199" s="355">
        <v>0</v>
      </c>
      <c r="AP199" s="355">
        <v>0</v>
      </c>
      <c r="AQ199" s="355">
        <v>0</v>
      </c>
      <c r="AR199" s="355">
        <v>0</v>
      </c>
      <c r="AS199" s="355">
        <v>0</v>
      </c>
      <c r="AT199" s="333">
        <f t="shared" si="193"/>
        <v>3.2327586206896554E-2</v>
      </c>
      <c r="AU199" s="334">
        <v>15</v>
      </c>
      <c r="AV199" s="387">
        <f t="shared" si="177"/>
        <v>0.12931034482758622</v>
      </c>
      <c r="AW199" s="677">
        <v>109</v>
      </c>
      <c r="AX199" s="366">
        <f t="shared" si="178"/>
        <v>109</v>
      </c>
      <c r="AY199" s="366">
        <f t="shared" si="179"/>
        <v>726.66666666666663</v>
      </c>
      <c r="AZ199" s="366">
        <f t="shared" si="194"/>
        <v>100</v>
      </c>
      <c r="BA199" s="354">
        <f t="shared" si="195"/>
        <v>3.2327586206896554E-2</v>
      </c>
      <c r="BB199" s="354">
        <f t="shared" si="196"/>
        <v>100</v>
      </c>
      <c r="BC199" s="353">
        <v>416000000</v>
      </c>
      <c r="BD199" s="353">
        <v>0</v>
      </c>
      <c r="BE199" s="353">
        <v>416000000</v>
      </c>
      <c r="BF199" s="353">
        <v>0</v>
      </c>
      <c r="BG199" s="353">
        <v>0</v>
      </c>
      <c r="BH199" s="353">
        <v>0</v>
      </c>
      <c r="BI199" s="353">
        <v>0</v>
      </c>
      <c r="BJ199" s="353">
        <v>0</v>
      </c>
      <c r="BK199" s="452">
        <v>674651332</v>
      </c>
      <c r="BL199" s="351">
        <v>674651332</v>
      </c>
      <c r="BM199" s="351">
        <v>0</v>
      </c>
      <c r="BN199" s="351">
        <v>0</v>
      </c>
      <c r="BO199" s="351">
        <v>0</v>
      </c>
      <c r="BP199" s="351">
        <v>0</v>
      </c>
      <c r="BQ199" s="351">
        <v>0</v>
      </c>
      <c r="BR199" s="351">
        <v>0</v>
      </c>
      <c r="BS199" s="351">
        <v>0</v>
      </c>
      <c r="BT199" s="351">
        <v>0</v>
      </c>
      <c r="BU199" s="351">
        <v>0</v>
      </c>
      <c r="BV199" s="350">
        <f t="shared" si="197"/>
        <v>9.6982758620689655E-2</v>
      </c>
      <c r="BW199" s="350">
        <v>45</v>
      </c>
      <c r="BX199" s="385">
        <f t="shared" si="180"/>
        <v>0.38793103448275862</v>
      </c>
      <c r="BY199" s="369">
        <v>104</v>
      </c>
      <c r="BZ199" s="391">
        <v>2</v>
      </c>
      <c r="CA199" s="689">
        <v>116</v>
      </c>
      <c r="CB199" s="324">
        <f t="shared" si="181"/>
        <v>116</v>
      </c>
      <c r="CC199" s="324">
        <f t="shared" si="182"/>
        <v>257.77777777777777</v>
      </c>
      <c r="CD199" s="384">
        <f t="shared" si="198"/>
        <v>100</v>
      </c>
      <c r="CE199" s="383">
        <f t="shared" si="199"/>
        <v>9.6982758620689669E-2</v>
      </c>
      <c r="CF199" s="367">
        <f t="shared" si="200"/>
        <v>100</v>
      </c>
      <c r="CG199" s="383">
        <f t="shared" si="201"/>
        <v>0.25</v>
      </c>
      <c r="CH199" s="320">
        <f t="shared" si="202"/>
        <v>0.10991379310344827</v>
      </c>
      <c r="CI199" s="319">
        <v>51</v>
      </c>
      <c r="CJ199" s="318">
        <f t="shared" si="183"/>
        <v>0.43965517241379309</v>
      </c>
      <c r="CK199" s="1259">
        <v>116</v>
      </c>
      <c r="CL199" s="301">
        <f t="shared" si="184"/>
        <v>-65</v>
      </c>
      <c r="CM199" s="381">
        <f t="shared" si="185"/>
        <v>116</v>
      </c>
      <c r="CN199" s="381">
        <f t="shared" si="186"/>
        <v>227.45098039215685</v>
      </c>
      <c r="CO199" s="316">
        <f t="shared" si="203"/>
        <v>100</v>
      </c>
      <c r="CP199" s="381">
        <f t="shared" si="204"/>
        <v>0.10991379310344827</v>
      </c>
      <c r="CQ199" s="381">
        <f t="shared" si="205"/>
        <v>0.24999999999999997</v>
      </c>
      <c r="CR199" s="313">
        <v>960000000</v>
      </c>
      <c r="CS199" s="313">
        <v>960000000</v>
      </c>
      <c r="CT199" s="313">
        <v>0</v>
      </c>
      <c r="CU199" s="313">
        <v>0</v>
      </c>
      <c r="CV199" s="313">
        <v>0</v>
      </c>
      <c r="CW199" s="313">
        <v>0</v>
      </c>
      <c r="CX199" s="313">
        <v>0</v>
      </c>
      <c r="CY199" s="313">
        <v>0</v>
      </c>
      <c r="CZ199" s="380">
        <v>0</v>
      </c>
      <c r="DA199" s="380">
        <v>0</v>
      </c>
      <c r="DB199" s="380">
        <v>0</v>
      </c>
      <c r="DC199" s="380">
        <v>0</v>
      </c>
      <c r="DD199" s="380">
        <v>0</v>
      </c>
      <c r="DE199" s="380">
        <v>0</v>
      </c>
      <c r="DF199" s="380">
        <v>0</v>
      </c>
      <c r="DG199" s="380">
        <v>0</v>
      </c>
      <c r="DH199" s="380">
        <v>0</v>
      </c>
      <c r="DI199" s="380">
        <v>0</v>
      </c>
      <c r="DJ199" s="380">
        <v>0</v>
      </c>
      <c r="DK199" s="702">
        <f t="shared" si="187"/>
        <v>346</v>
      </c>
      <c r="DL199" s="311">
        <f t="shared" si="206"/>
        <v>0.25</v>
      </c>
      <c r="DM199" s="310">
        <f t="shared" si="207"/>
        <v>298.27586206896552</v>
      </c>
      <c r="DN199" s="356">
        <f t="shared" si="208"/>
        <v>100</v>
      </c>
      <c r="DO199" s="308">
        <f t="shared" si="209"/>
        <v>0.25</v>
      </c>
      <c r="DP199" s="359">
        <f>+IF(((DN199*Q199)/100)&lt;Q199, ((DN199*Q199)/100),Q199)</f>
        <v>0.25</v>
      </c>
      <c r="DQ199" s="306">
        <f t="shared" si="210"/>
        <v>0.25</v>
      </c>
      <c r="DR199" s="379">
        <f t="shared" si="211"/>
        <v>1</v>
      </c>
      <c r="DS199" s="378">
        <f t="shared" si="212"/>
        <v>0</v>
      </c>
      <c r="DT199" s="173">
        <v>203</v>
      </c>
      <c r="DU199" s="174" t="s">
        <v>120</v>
      </c>
      <c r="DV199" s="173"/>
      <c r="DW199" s="174" t="s">
        <v>84</v>
      </c>
      <c r="DX199" s="173"/>
      <c r="DY199" s="173"/>
      <c r="DZ199" s="173"/>
      <c r="EA199" s="665"/>
      <c r="EB199" s="1254" t="s">
        <v>2347</v>
      </c>
      <c r="EC199" s="537">
        <v>1384000000</v>
      </c>
      <c r="EE199" s="744">
        <v>32</v>
      </c>
      <c r="EF199" s="706"/>
    </row>
    <row r="200" spans="4:136" s="302" customFormat="1" ht="63.75" hidden="1">
      <c r="D200" s="520">
        <v>197</v>
      </c>
      <c r="E200" s="534">
        <v>241</v>
      </c>
      <c r="F200" s="523" t="s">
        <v>43</v>
      </c>
      <c r="G200" s="523" t="s">
        <v>81</v>
      </c>
      <c r="H200" s="524" t="s">
        <v>2657</v>
      </c>
      <c r="I200" s="462" t="s">
        <v>540</v>
      </c>
      <c r="J200" s="335" t="s">
        <v>552</v>
      </c>
      <c r="K200" s="335" t="s">
        <v>553</v>
      </c>
      <c r="L200" s="453" t="s">
        <v>1800</v>
      </c>
      <c r="M200" s="333" t="s">
        <v>1785</v>
      </c>
      <c r="N200" s="333">
        <v>90</v>
      </c>
      <c r="O200" s="333">
        <f>+P200</f>
        <v>90</v>
      </c>
      <c r="P200" s="332">
        <v>90</v>
      </c>
      <c r="Q200" s="390">
        <v>0.16500000000000001</v>
      </c>
      <c r="R200" s="342">
        <f t="shared" si="190"/>
        <v>4.1250000000000002E-2</v>
      </c>
      <c r="S200" s="459">
        <v>90</v>
      </c>
      <c r="T200" s="387">
        <f t="shared" si="174"/>
        <v>0.25</v>
      </c>
      <c r="U200" s="670">
        <v>100</v>
      </c>
      <c r="V200" s="388">
        <f t="shared" si="175"/>
        <v>25</v>
      </c>
      <c r="W200" s="356">
        <f t="shared" si="176"/>
        <v>111.11111111111111</v>
      </c>
      <c r="X200" s="356">
        <f t="shared" si="191"/>
        <v>100</v>
      </c>
      <c r="Y200" s="356">
        <f t="shared" si="155"/>
        <v>4.1250000000000002E-2</v>
      </c>
      <c r="Z200" s="356">
        <f t="shared" si="192"/>
        <v>100</v>
      </c>
      <c r="AA200" s="313">
        <v>0</v>
      </c>
      <c r="AB200" s="313">
        <v>0</v>
      </c>
      <c r="AC200" s="313">
        <v>0</v>
      </c>
      <c r="AD200" s="313">
        <v>0</v>
      </c>
      <c r="AE200" s="313">
        <v>0</v>
      </c>
      <c r="AF200" s="313">
        <v>0</v>
      </c>
      <c r="AG200" s="313">
        <v>0</v>
      </c>
      <c r="AH200" s="313">
        <v>0</v>
      </c>
      <c r="AI200" s="313">
        <v>620109000</v>
      </c>
      <c r="AJ200" s="313">
        <v>620109000</v>
      </c>
      <c r="AK200" s="313">
        <v>0</v>
      </c>
      <c r="AL200" s="313">
        <v>0</v>
      </c>
      <c r="AM200" s="313">
        <v>0</v>
      </c>
      <c r="AN200" s="313">
        <v>0</v>
      </c>
      <c r="AO200" s="313">
        <v>0</v>
      </c>
      <c r="AP200" s="313">
        <v>0</v>
      </c>
      <c r="AQ200" s="313">
        <v>0</v>
      </c>
      <c r="AR200" s="313">
        <v>1267334000</v>
      </c>
      <c r="AS200" s="313" t="s">
        <v>1970</v>
      </c>
      <c r="AT200" s="333">
        <f t="shared" si="193"/>
        <v>4.1250000000000002E-2</v>
      </c>
      <c r="AU200" s="333">
        <v>90</v>
      </c>
      <c r="AV200" s="387">
        <f t="shared" si="177"/>
        <v>0.25</v>
      </c>
      <c r="AW200" s="677">
        <v>137</v>
      </c>
      <c r="AX200" s="366">
        <f t="shared" si="178"/>
        <v>34.25</v>
      </c>
      <c r="AY200" s="366">
        <f t="shared" si="179"/>
        <v>152.22222222222223</v>
      </c>
      <c r="AZ200" s="366">
        <f t="shared" si="194"/>
        <v>100</v>
      </c>
      <c r="BA200" s="354">
        <f t="shared" si="195"/>
        <v>4.1250000000000002E-2</v>
      </c>
      <c r="BB200" s="354">
        <f t="shared" si="196"/>
        <v>100</v>
      </c>
      <c r="BC200" s="353">
        <v>3030000000</v>
      </c>
      <c r="BD200" s="353">
        <v>0</v>
      </c>
      <c r="BE200" s="353">
        <v>630000000</v>
      </c>
      <c r="BF200" s="353">
        <v>0</v>
      </c>
      <c r="BG200" s="353">
        <v>0</v>
      </c>
      <c r="BH200" s="353">
        <v>0</v>
      </c>
      <c r="BI200" s="353">
        <v>0</v>
      </c>
      <c r="BJ200" s="353">
        <v>2400000000</v>
      </c>
      <c r="BK200" s="452">
        <v>1211769364</v>
      </c>
      <c r="BL200" s="351">
        <v>1211769364</v>
      </c>
      <c r="BM200" s="351">
        <v>0</v>
      </c>
      <c r="BN200" s="351">
        <v>0</v>
      </c>
      <c r="BO200" s="351">
        <v>0</v>
      </c>
      <c r="BP200" s="351">
        <v>0</v>
      </c>
      <c r="BQ200" s="351">
        <v>0</v>
      </c>
      <c r="BR200" s="351">
        <v>0</v>
      </c>
      <c r="BS200" s="351">
        <v>0</v>
      </c>
      <c r="BT200" s="351">
        <v>0</v>
      </c>
      <c r="BU200" s="351">
        <v>0</v>
      </c>
      <c r="BV200" s="350">
        <f t="shared" si="197"/>
        <v>4.1250000000000002E-2</v>
      </c>
      <c r="BW200" s="350">
        <v>90</v>
      </c>
      <c r="BX200" s="385">
        <f t="shared" si="180"/>
        <v>0.25</v>
      </c>
      <c r="BY200" s="369">
        <v>40</v>
      </c>
      <c r="BZ200" s="391">
        <v>76</v>
      </c>
      <c r="CA200" s="689">
        <v>96</v>
      </c>
      <c r="CB200" s="324">
        <f t="shared" si="181"/>
        <v>24</v>
      </c>
      <c r="CC200" s="324">
        <f t="shared" si="182"/>
        <v>106.66666666666667</v>
      </c>
      <c r="CD200" s="384">
        <f t="shared" si="198"/>
        <v>100</v>
      </c>
      <c r="CE200" s="383">
        <f t="shared" si="199"/>
        <v>4.1250000000000002E-2</v>
      </c>
      <c r="CF200" s="367">
        <f t="shared" si="200"/>
        <v>100</v>
      </c>
      <c r="CG200" s="383">
        <f t="shared" si="201"/>
        <v>4.4000000000000004E-2</v>
      </c>
      <c r="CH200" s="320">
        <f t="shared" si="202"/>
        <v>4.1250000000000002E-2</v>
      </c>
      <c r="CI200" s="319">
        <v>90</v>
      </c>
      <c r="CJ200" s="318">
        <f t="shared" si="183"/>
        <v>0.25</v>
      </c>
      <c r="CK200" s="1259">
        <v>106</v>
      </c>
      <c r="CL200" s="301">
        <f t="shared" si="184"/>
        <v>-16</v>
      </c>
      <c r="CM200" s="381">
        <f t="shared" si="185"/>
        <v>26.5</v>
      </c>
      <c r="CN200" s="381">
        <f t="shared" si="186"/>
        <v>117.77777777777777</v>
      </c>
      <c r="CO200" s="381">
        <f t="shared" si="203"/>
        <v>100</v>
      </c>
      <c r="CP200" s="381">
        <f t="shared" si="204"/>
        <v>4.1250000000000002E-2</v>
      </c>
      <c r="CQ200" s="381">
        <f t="shared" si="205"/>
        <v>4.8583333333333333E-2</v>
      </c>
      <c r="CR200" s="313">
        <v>3030000000</v>
      </c>
      <c r="CS200" s="313">
        <v>630000000</v>
      </c>
      <c r="CT200" s="313">
        <v>0</v>
      </c>
      <c r="CU200" s="313">
        <v>0</v>
      </c>
      <c r="CV200" s="313">
        <v>0</v>
      </c>
      <c r="CW200" s="313">
        <v>0</v>
      </c>
      <c r="CX200" s="313">
        <v>0</v>
      </c>
      <c r="CY200" s="313">
        <v>2400000000</v>
      </c>
      <c r="CZ200" s="380">
        <v>0</v>
      </c>
      <c r="DA200" s="380">
        <v>0</v>
      </c>
      <c r="DB200" s="380">
        <v>0</v>
      </c>
      <c r="DC200" s="380">
        <v>0</v>
      </c>
      <c r="DD200" s="380">
        <v>0</v>
      </c>
      <c r="DE200" s="380">
        <v>0</v>
      </c>
      <c r="DF200" s="380">
        <v>0</v>
      </c>
      <c r="DG200" s="380">
        <v>0</v>
      </c>
      <c r="DH200" s="380">
        <v>0</v>
      </c>
      <c r="DI200" s="380">
        <v>0</v>
      </c>
      <c r="DJ200" s="380">
        <v>0</v>
      </c>
      <c r="DK200" s="702">
        <f t="shared" si="187"/>
        <v>109.75</v>
      </c>
      <c r="DL200" s="311">
        <f t="shared" si="206"/>
        <v>0.16500000000000001</v>
      </c>
      <c r="DM200" s="310">
        <f t="shared" si="207"/>
        <v>121.94444444444444</v>
      </c>
      <c r="DN200" s="356">
        <f t="shared" si="208"/>
        <v>100</v>
      </c>
      <c r="DO200" s="308">
        <f t="shared" si="209"/>
        <v>0.16500000000000001</v>
      </c>
      <c r="DP200" s="359">
        <f>+IF(M200="M",DO200,0)</f>
        <v>0.16500000000000001</v>
      </c>
      <c r="DQ200" s="306">
        <f t="shared" si="210"/>
        <v>0.16500000000000001</v>
      </c>
      <c r="DR200" s="379">
        <f t="shared" si="211"/>
        <v>1</v>
      </c>
      <c r="DS200" s="378">
        <f t="shared" si="212"/>
        <v>0</v>
      </c>
      <c r="DT200" s="173">
        <v>201</v>
      </c>
      <c r="DU200" s="174" t="s">
        <v>122</v>
      </c>
      <c r="DV200" s="173"/>
      <c r="DW200" s="174" t="s">
        <v>84</v>
      </c>
      <c r="DX200" s="173"/>
      <c r="DY200" s="173"/>
      <c r="DZ200" s="173"/>
      <c r="EA200" s="665"/>
      <c r="EB200" s="1254" t="s">
        <v>2530</v>
      </c>
      <c r="EC200" s="537">
        <v>1468000000</v>
      </c>
      <c r="EE200" s="734">
        <v>14171</v>
      </c>
      <c r="EF200" s="706"/>
    </row>
    <row r="201" spans="4:136" s="302" customFormat="1" ht="242.25" hidden="1">
      <c r="D201" s="520">
        <v>198</v>
      </c>
      <c r="E201" s="534">
        <v>242</v>
      </c>
      <c r="F201" s="523" t="s">
        <v>43</v>
      </c>
      <c r="G201" s="523" t="s">
        <v>3</v>
      </c>
      <c r="H201" s="524" t="s">
        <v>2657</v>
      </c>
      <c r="I201" s="462" t="s">
        <v>540</v>
      </c>
      <c r="J201" s="335" t="s">
        <v>554</v>
      </c>
      <c r="K201" s="335" t="s">
        <v>555</v>
      </c>
      <c r="L201" s="454" t="s">
        <v>1415</v>
      </c>
      <c r="M201" s="333" t="s">
        <v>1771</v>
      </c>
      <c r="N201" s="333">
        <v>0</v>
      </c>
      <c r="O201" s="333">
        <f>+N201+P201</f>
        <v>116</v>
      </c>
      <c r="P201" s="332">
        <v>116</v>
      </c>
      <c r="Q201" s="390">
        <v>0.16500000000000001</v>
      </c>
      <c r="R201" s="342">
        <f t="shared" si="190"/>
        <v>4.1250000000000002E-2</v>
      </c>
      <c r="S201" s="459">
        <v>29</v>
      </c>
      <c r="T201" s="387">
        <f t="shared" si="174"/>
        <v>0.25</v>
      </c>
      <c r="U201" s="670">
        <v>29</v>
      </c>
      <c r="V201" s="388">
        <f t="shared" si="175"/>
        <v>29</v>
      </c>
      <c r="W201" s="356">
        <f t="shared" si="176"/>
        <v>100</v>
      </c>
      <c r="X201" s="356">
        <f t="shared" si="191"/>
        <v>100</v>
      </c>
      <c r="Y201" s="356">
        <f t="shared" si="155"/>
        <v>4.1250000000000002E-2</v>
      </c>
      <c r="Z201" s="356">
        <f t="shared" si="192"/>
        <v>100</v>
      </c>
      <c r="AA201" s="313">
        <v>74000000</v>
      </c>
      <c r="AB201" s="313">
        <v>74000000</v>
      </c>
      <c r="AC201" s="313">
        <v>0</v>
      </c>
      <c r="AD201" s="313">
        <v>0</v>
      </c>
      <c r="AE201" s="313">
        <v>0</v>
      </c>
      <c r="AF201" s="313">
        <v>0</v>
      </c>
      <c r="AG201" s="313">
        <v>0</v>
      </c>
      <c r="AH201" s="313">
        <v>0</v>
      </c>
      <c r="AI201" s="313">
        <v>74000000</v>
      </c>
      <c r="AJ201" s="313">
        <v>74000000</v>
      </c>
      <c r="AK201" s="313">
        <v>0</v>
      </c>
      <c r="AL201" s="313">
        <v>0</v>
      </c>
      <c r="AM201" s="313">
        <v>0</v>
      </c>
      <c r="AN201" s="313">
        <v>0</v>
      </c>
      <c r="AO201" s="313">
        <v>0</v>
      </c>
      <c r="AP201" s="313">
        <v>0</v>
      </c>
      <c r="AQ201" s="313">
        <v>0</v>
      </c>
      <c r="AR201" s="313">
        <v>0</v>
      </c>
      <c r="AS201" s="313">
        <v>0</v>
      </c>
      <c r="AT201" s="333">
        <f t="shared" si="193"/>
        <v>4.1250000000000002E-2</v>
      </c>
      <c r="AU201" s="333">
        <v>29</v>
      </c>
      <c r="AV201" s="387">
        <f t="shared" si="177"/>
        <v>0.25</v>
      </c>
      <c r="AW201" s="677">
        <v>48</v>
      </c>
      <c r="AX201" s="366">
        <f t="shared" si="178"/>
        <v>48</v>
      </c>
      <c r="AY201" s="366">
        <f t="shared" si="179"/>
        <v>165.51724137931035</v>
      </c>
      <c r="AZ201" s="366">
        <f t="shared" si="194"/>
        <v>100</v>
      </c>
      <c r="BA201" s="354">
        <f t="shared" si="195"/>
        <v>4.1250000000000002E-2</v>
      </c>
      <c r="BB201" s="354">
        <f t="shared" si="196"/>
        <v>100</v>
      </c>
      <c r="BC201" s="353">
        <v>58000000</v>
      </c>
      <c r="BD201" s="353">
        <v>0</v>
      </c>
      <c r="BE201" s="353">
        <v>58000000</v>
      </c>
      <c r="BF201" s="353">
        <v>0</v>
      </c>
      <c r="BG201" s="353">
        <v>0</v>
      </c>
      <c r="BH201" s="353">
        <v>0</v>
      </c>
      <c r="BI201" s="353">
        <v>0</v>
      </c>
      <c r="BJ201" s="353">
        <v>0</v>
      </c>
      <c r="BK201" s="452">
        <v>3687784152</v>
      </c>
      <c r="BL201" s="351">
        <v>3687784152</v>
      </c>
      <c r="BM201" s="351">
        <v>0</v>
      </c>
      <c r="BN201" s="351">
        <v>0</v>
      </c>
      <c r="BO201" s="351">
        <v>0</v>
      </c>
      <c r="BP201" s="351">
        <v>0</v>
      </c>
      <c r="BQ201" s="351">
        <v>0</v>
      </c>
      <c r="BR201" s="351">
        <v>0</v>
      </c>
      <c r="BS201" s="351">
        <v>0</v>
      </c>
      <c r="BT201" s="351">
        <v>0</v>
      </c>
      <c r="BU201" s="351">
        <v>0</v>
      </c>
      <c r="BV201" s="350">
        <f t="shared" si="197"/>
        <v>4.1250000000000002E-2</v>
      </c>
      <c r="BW201" s="350">
        <v>29</v>
      </c>
      <c r="BX201" s="385">
        <f t="shared" si="180"/>
        <v>0.25</v>
      </c>
      <c r="BY201" s="369">
        <v>17</v>
      </c>
      <c r="BZ201" s="391">
        <v>18</v>
      </c>
      <c r="CA201" s="689">
        <v>48</v>
      </c>
      <c r="CB201" s="324">
        <f t="shared" si="181"/>
        <v>48</v>
      </c>
      <c r="CC201" s="324">
        <f t="shared" si="182"/>
        <v>165.51724137931035</v>
      </c>
      <c r="CD201" s="384">
        <f t="shared" si="198"/>
        <v>100</v>
      </c>
      <c r="CE201" s="383">
        <f t="shared" si="199"/>
        <v>4.1250000000000002E-2</v>
      </c>
      <c r="CF201" s="367">
        <f t="shared" si="200"/>
        <v>100</v>
      </c>
      <c r="CG201" s="383">
        <f t="shared" si="201"/>
        <v>6.827586206896552E-2</v>
      </c>
      <c r="CH201" s="320">
        <f t="shared" si="202"/>
        <v>4.1250000000000002E-2</v>
      </c>
      <c r="CI201" s="319">
        <v>29</v>
      </c>
      <c r="CJ201" s="318">
        <f t="shared" si="183"/>
        <v>0.25</v>
      </c>
      <c r="CK201" s="1259">
        <v>14</v>
      </c>
      <c r="CL201" s="301">
        <f t="shared" si="184"/>
        <v>15</v>
      </c>
      <c r="CM201" s="381">
        <f t="shared" si="185"/>
        <v>14</v>
      </c>
      <c r="CN201" s="381">
        <f t="shared" si="186"/>
        <v>48.275862068965516</v>
      </c>
      <c r="CO201" s="316">
        <f t="shared" si="203"/>
        <v>48.275862068965516</v>
      </c>
      <c r="CP201" s="381">
        <f t="shared" si="204"/>
        <v>1.9913793103448277E-2</v>
      </c>
      <c r="CQ201" s="381">
        <f t="shared" si="205"/>
        <v>1.9913793103448277E-2</v>
      </c>
      <c r="CR201" s="313">
        <v>58000000</v>
      </c>
      <c r="CS201" s="313">
        <v>58000000</v>
      </c>
      <c r="CT201" s="313">
        <v>0</v>
      </c>
      <c r="CU201" s="313">
        <v>0</v>
      </c>
      <c r="CV201" s="313">
        <v>0</v>
      </c>
      <c r="CW201" s="313">
        <v>0</v>
      </c>
      <c r="CX201" s="313">
        <v>0</v>
      </c>
      <c r="CY201" s="313">
        <v>0</v>
      </c>
      <c r="CZ201" s="380">
        <v>0</v>
      </c>
      <c r="DA201" s="380">
        <v>0</v>
      </c>
      <c r="DB201" s="380">
        <v>0</v>
      </c>
      <c r="DC201" s="380">
        <v>0</v>
      </c>
      <c r="DD201" s="380">
        <v>0</v>
      </c>
      <c r="DE201" s="380">
        <v>0</v>
      </c>
      <c r="DF201" s="380">
        <v>0</v>
      </c>
      <c r="DG201" s="380">
        <v>0</v>
      </c>
      <c r="DH201" s="380">
        <v>0</v>
      </c>
      <c r="DI201" s="380">
        <v>0</v>
      </c>
      <c r="DJ201" s="380">
        <v>0</v>
      </c>
      <c r="DK201" s="702">
        <f t="shared" si="187"/>
        <v>139</v>
      </c>
      <c r="DL201" s="311">
        <f t="shared" si="206"/>
        <v>0.16500000000000001</v>
      </c>
      <c r="DM201" s="310">
        <f t="shared" si="207"/>
        <v>119.82758620689656</v>
      </c>
      <c r="DN201" s="356">
        <f t="shared" si="208"/>
        <v>100</v>
      </c>
      <c r="DO201" s="308">
        <f t="shared" si="209"/>
        <v>0.16500000000000001</v>
      </c>
      <c r="DP201" s="359">
        <f>+IF(((DN201*Q201)/100)&lt;Q201, ((DN201*Q201)/100),Q201)</f>
        <v>0.16500000000000001</v>
      </c>
      <c r="DQ201" s="306">
        <f t="shared" si="210"/>
        <v>0.16500000000000001</v>
      </c>
      <c r="DR201" s="379">
        <f t="shared" si="211"/>
        <v>1</v>
      </c>
      <c r="DS201" s="378">
        <f t="shared" si="212"/>
        <v>0</v>
      </c>
      <c r="DT201" s="173">
        <v>201</v>
      </c>
      <c r="DU201" s="174" t="s">
        <v>122</v>
      </c>
      <c r="DV201" s="173"/>
      <c r="DW201" s="174" t="s">
        <v>84</v>
      </c>
      <c r="DX201" s="173"/>
      <c r="DY201" s="173"/>
      <c r="DZ201" s="173"/>
      <c r="EA201" s="665"/>
      <c r="EB201" s="1254" t="s">
        <v>2531</v>
      </c>
      <c r="EC201" s="537">
        <v>12000000</v>
      </c>
      <c r="EE201" s="734">
        <v>20</v>
      </c>
      <c r="EF201" s="706"/>
    </row>
    <row r="202" spans="4:136" s="302" customFormat="1" ht="84" hidden="1">
      <c r="D202" s="520">
        <v>199</v>
      </c>
      <c r="E202" s="534">
        <v>243</v>
      </c>
      <c r="F202" s="523" t="s">
        <v>43</v>
      </c>
      <c r="G202" s="523" t="s">
        <v>3</v>
      </c>
      <c r="H202" s="524" t="s">
        <v>2657</v>
      </c>
      <c r="I202" s="462" t="s">
        <v>540</v>
      </c>
      <c r="J202" s="335" t="s">
        <v>556</v>
      </c>
      <c r="K202" s="335" t="s">
        <v>557</v>
      </c>
      <c r="L202" s="454" t="s">
        <v>1969</v>
      </c>
      <c r="M202" s="333" t="s">
        <v>1771</v>
      </c>
      <c r="N202" s="333">
        <v>6</v>
      </c>
      <c r="O202" s="333">
        <f>+N202+P202</f>
        <v>46</v>
      </c>
      <c r="P202" s="332">
        <v>40</v>
      </c>
      <c r="Q202" s="390">
        <v>0.16500000000000001</v>
      </c>
      <c r="R202" s="342">
        <f t="shared" si="190"/>
        <v>0</v>
      </c>
      <c r="S202" s="459">
        <v>0</v>
      </c>
      <c r="T202" s="387">
        <f t="shared" si="174"/>
        <v>0</v>
      </c>
      <c r="U202" s="670">
        <v>0</v>
      </c>
      <c r="V202" s="388">
        <f t="shared" si="175"/>
        <v>0</v>
      </c>
      <c r="W202" s="356">
        <f t="shared" si="176"/>
        <v>0</v>
      </c>
      <c r="X202" s="356">
        <f t="shared" si="191"/>
        <v>0</v>
      </c>
      <c r="Y202" s="356">
        <f t="shared" si="155"/>
        <v>0</v>
      </c>
      <c r="Z202" s="356">
        <f t="shared" si="192"/>
        <v>0</v>
      </c>
      <c r="AA202" s="313">
        <v>0</v>
      </c>
      <c r="AB202" s="313">
        <v>0</v>
      </c>
      <c r="AC202" s="313">
        <v>0</v>
      </c>
      <c r="AD202" s="313">
        <v>0</v>
      </c>
      <c r="AE202" s="313">
        <v>0</v>
      </c>
      <c r="AF202" s="313">
        <v>0</v>
      </c>
      <c r="AG202" s="313">
        <v>0</v>
      </c>
      <c r="AH202" s="313">
        <v>0</v>
      </c>
      <c r="AI202" s="313">
        <v>0</v>
      </c>
      <c r="AJ202" s="313">
        <v>0</v>
      </c>
      <c r="AK202" s="313">
        <v>0</v>
      </c>
      <c r="AL202" s="313">
        <v>0</v>
      </c>
      <c r="AM202" s="313">
        <v>0</v>
      </c>
      <c r="AN202" s="313">
        <v>0</v>
      </c>
      <c r="AO202" s="313">
        <v>0</v>
      </c>
      <c r="AP202" s="313">
        <v>0</v>
      </c>
      <c r="AQ202" s="313">
        <v>0</v>
      </c>
      <c r="AR202" s="313">
        <v>0</v>
      </c>
      <c r="AS202" s="313">
        <v>0</v>
      </c>
      <c r="AT202" s="333">
        <f t="shared" si="193"/>
        <v>5.3625000000000006E-2</v>
      </c>
      <c r="AU202" s="333">
        <v>13</v>
      </c>
      <c r="AV202" s="387">
        <f t="shared" si="177"/>
        <v>0.32500000000000001</v>
      </c>
      <c r="AW202" s="677">
        <v>49</v>
      </c>
      <c r="AX202" s="366">
        <f t="shared" si="178"/>
        <v>49</v>
      </c>
      <c r="AY202" s="366">
        <f t="shared" si="179"/>
        <v>376.92307692307691</v>
      </c>
      <c r="AZ202" s="366">
        <f t="shared" si="194"/>
        <v>100</v>
      </c>
      <c r="BA202" s="354">
        <f t="shared" si="195"/>
        <v>5.3625000000000006E-2</v>
      </c>
      <c r="BB202" s="354">
        <f t="shared" si="196"/>
        <v>100</v>
      </c>
      <c r="BC202" s="353">
        <v>533000000</v>
      </c>
      <c r="BD202" s="353">
        <v>0</v>
      </c>
      <c r="BE202" s="353">
        <v>533000000</v>
      </c>
      <c r="BF202" s="353">
        <v>0</v>
      </c>
      <c r="BG202" s="353">
        <v>0</v>
      </c>
      <c r="BH202" s="353">
        <v>0</v>
      </c>
      <c r="BI202" s="353">
        <v>0</v>
      </c>
      <c r="BJ202" s="353">
        <v>0</v>
      </c>
      <c r="BK202" s="452">
        <v>1771200000</v>
      </c>
      <c r="BL202" s="351">
        <v>548000000</v>
      </c>
      <c r="BM202" s="351">
        <v>0</v>
      </c>
      <c r="BN202" s="351">
        <v>0</v>
      </c>
      <c r="BO202" s="351">
        <v>0</v>
      </c>
      <c r="BP202" s="351">
        <v>0</v>
      </c>
      <c r="BQ202" s="351">
        <v>1223200000</v>
      </c>
      <c r="BR202" s="351">
        <v>0</v>
      </c>
      <c r="BS202" s="351">
        <v>0</v>
      </c>
      <c r="BT202" s="351">
        <v>0</v>
      </c>
      <c r="BU202" s="351">
        <v>0</v>
      </c>
      <c r="BV202" s="350">
        <f t="shared" si="197"/>
        <v>5.3625000000000006E-2</v>
      </c>
      <c r="BW202" s="350">
        <v>13</v>
      </c>
      <c r="BX202" s="385">
        <f t="shared" si="180"/>
        <v>0.32500000000000001</v>
      </c>
      <c r="BY202" s="369">
        <v>0</v>
      </c>
      <c r="BZ202" s="391">
        <v>0</v>
      </c>
      <c r="CA202" s="689">
        <v>31</v>
      </c>
      <c r="CB202" s="324">
        <f t="shared" si="181"/>
        <v>31</v>
      </c>
      <c r="CC202" s="324">
        <f t="shared" si="182"/>
        <v>238.46153846153845</v>
      </c>
      <c r="CD202" s="384">
        <f t="shared" si="198"/>
        <v>100</v>
      </c>
      <c r="CE202" s="383">
        <f t="shared" si="199"/>
        <v>5.3625000000000006E-2</v>
      </c>
      <c r="CF202" s="367">
        <f t="shared" si="200"/>
        <v>100</v>
      </c>
      <c r="CG202" s="383">
        <f t="shared" si="201"/>
        <v>0.12787500000000002</v>
      </c>
      <c r="CH202" s="320">
        <f t="shared" si="202"/>
        <v>5.7749999999999996E-2</v>
      </c>
      <c r="CI202" s="319">
        <v>14</v>
      </c>
      <c r="CJ202" s="318">
        <f t="shared" si="183"/>
        <v>0.35</v>
      </c>
      <c r="CK202" s="1259">
        <v>25</v>
      </c>
      <c r="CL202" s="301">
        <f t="shared" si="184"/>
        <v>-11</v>
      </c>
      <c r="CM202" s="381">
        <f t="shared" si="185"/>
        <v>25</v>
      </c>
      <c r="CN202" s="381">
        <f t="shared" si="186"/>
        <v>178.57142857142858</v>
      </c>
      <c r="CO202" s="316">
        <f t="shared" si="203"/>
        <v>100</v>
      </c>
      <c r="CP202" s="381">
        <f t="shared" si="204"/>
        <v>5.7749999999999996E-2</v>
      </c>
      <c r="CQ202" s="381">
        <f t="shared" si="205"/>
        <v>0.10312499999999999</v>
      </c>
      <c r="CR202" s="313">
        <v>533000000</v>
      </c>
      <c r="CS202" s="313">
        <v>533000000</v>
      </c>
      <c r="CT202" s="313">
        <v>0</v>
      </c>
      <c r="CU202" s="313">
        <v>0</v>
      </c>
      <c r="CV202" s="313">
        <v>0</v>
      </c>
      <c r="CW202" s="313">
        <v>0</v>
      </c>
      <c r="CX202" s="313">
        <v>0</v>
      </c>
      <c r="CY202" s="313">
        <v>0</v>
      </c>
      <c r="CZ202" s="380">
        <v>0</v>
      </c>
      <c r="DA202" s="380">
        <v>0</v>
      </c>
      <c r="DB202" s="380">
        <v>0</v>
      </c>
      <c r="DC202" s="380">
        <v>0</v>
      </c>
      <c r="DD202" s="380">
        <v>0</v>
      </c>
      <c r="DE202" s="380">
        <v>0</v>
      </c>
      <c r="DF202" s="380">
        <v>0</v>
      </c>
      <c r="DG202" s="380">
        <v>0</v>
      </c>
      <c r="DH202" s="380">
        <v>0</v>
      </c>
      <c r="DI202" s="380">
        <v>0</v>
      </c>
      <c r="DJ202" s="380">
        <v>0</v>
      </c>
      <c r="DK202" s="702">
        <f t="shared" si="187"/>
        <v>105</v>
      </c>
      <c r="DL202" s="311">
        <f t="shared" si="206"/>
        <v>0.16500000000000001</v>
      </c>
      <c r="DM202" s="310">
        <f t="shared" si="207"/>
        <v>262.5</v>
      </c>
      <c r="DN202" s="356">
        <f t="shared" si="208"/>
        <v>100</v>
      </c>
      <c r="DO202" s="308">
        <f t="shared" si="209"/>
        <v>0.16500000000000001</v>
      </c>
      <c r="DP202" s="359">
        <f>+IF(((DN202*Q202)/100)&lt;Q202, ((DN202*Q202)/100),Q202)</f>
        <v>0.16500000000000001</v>
      </c>
      <c r="DQ202" s="306">
        <f t="shared" si="210"/>
        <v>0.16500000000000001</v>
      </c>
      <c r="DR202" s="379">
        <f t="shared" si="211"/>
        <v>1</v>
      </c>
      <c r="DS202" s="378">
        <f t="shared" si="212"/>
        <v>0</v>
      </c>
      <c r="DT202" s="173">
        <v>201</v>
      </c>
      <c r="DU202" s="174" t="s">
        <v>122</v>
      </c>
      <c r="DV202" s="173">
        <v>202</v>
      </c>
      <c r="DW202" s="174" t="s">
        <v>121</v>
      </c>
      <c r="DX202" s="173"/>
      <c r="DY202" s="173"/>
      <c r="DZ202" s="173"/>
      <c r="EA202" s="665"/>
      <c r="EB202" s="1254" t="s">
        <v>2532</v>
      </c>
      <c r="EC202" s="537">
        <v>15000000</v>
      </c>
      <c r="EE202" s="733">
        <v>29</v>
      </c>
      <c r="EF202" s="706"/>
    </row>
    <row r="203" spans="4:136" s="302" customFormat="1" ht="51" hidden="1">
      <c r="D203" s="520">
        <v>200</v>
      </c>
      <c r="E203" s="534">
        <v>244</v>
      </c>
      <c r="F203" s="523" t="s">
        <v>43</v>
      </c>
      <c r="G203" s="523" t="s">
        <v>3</v>
      </c>
      <c r="H203" s="524" t="s">
        <v>2657</v>
      </c>
      <c r="I203" s="462" t="s">
        <v>540</v>
      </c>
      <c r="J203" s="335" t="s">
        <v>558</v>
      </c>
      <c r="K203" s="335" t="s">
        <v>559</v>
      </c>
      <c r="L203" s="453" t="s">
        <v>1501</v>
      </c>
      <c r="M203" s="333" t="s">
        <v>1785</v>
      </c>
      <c r="N203" s="333">
        <v>341821</v>
      </c>
      <c r="O203" s="333">
        <f>+P203</f>
        <v>400000</v>
      </c>
      <c r="P203" s="332">
        <v>400000</v>
      </c>
      <c r="Q203" s="390">
        <v>8.8999999999999996E-2</v>
      </c>
      <c r="R203" s="342">
        <f t="shared" si="190"/>
        <v>2.2249999999999999E-2</v>
      </c>
      <c r="S203" s="459">
        <v>400000</v>
      </c>
      <c r="T203" s="387">
        <f t="shared" si="174"/>
        <v>0.25</v>
      </c>
      <c r="U203" s="670">
        <v>466223</v>
      </c>
      <c r="V203" s="388">
        <f t="shared" si="175"/>
        <v>116555.75</v>
      </c>
      <c r="W203" s="356">
        <f t="shared" si="176"/>
        <v>116.55575</v>
      </c>
      <c r="X203" s="356">
        <f t="shared" si="191"/>
        <v>100</v>
      </c>
      <c r="Y203" s="356">
        <f t="shared" si="155"/>
        <v>2.2250000000000002E-2</v>
      </c>
      <c r="Z203" s="356">
        <f t="shared" si="192"/>
        <v>100</v>
      </c>
      <c r="AA203" s="313">
        <v>27000000</v>
      </c>
      <c r="AB203" s="313">
        <v>27000000</v>
      </c>
      <c r="AC203" s="313">
        <v>0</v>
      </c>
      <c r="AD203" s="313">
        <v>0</v>
      </c>
      <c r="AE203" s="313">
        <v>0</v>
      </c>
      <c r="AF203" s="313">
        <v>0</v>
      </c>
      <c r="AG203" s="313">
        <v>0</v>
      </c>
      <c r="AH203" s="313">
        <v>0</v>
      </c>
      <c r="AI203" s="313">
        <v>30000000</v>
      </c>
      <c r="AJ203" s="313">
        <v>30000000</v>
      </c>
      <c r="AK203" s="313">
        <v>0</v>
      </c>
      <c r="AL203" s="313">
        <v>0</v>
      </c>
      <c r="AM203" s="313">
        <v>0</v>
      </c>
      <c r="AN203" s="313">
        <v>0</v>
      </c>
      <c r="AO203" s="313">
        <v>0</v>
      </c>
      <c r="AP203" s="313">
        <v>0</v>
      </c>
      <c r="AQ203" s="313">
        <v>0</v>
      </c>
      <c r="AR203" s="313">
        <v>0</v>
      </c>
      <c r="AS203" s="313">
        <v>0</v>
      </c>
      <c r="AT203" s="333">
        <f t="shared" si="193"/>
        <v>2.2249999999999999E-2</v>
      </c>
      <c r="AU203" s="333">
        <v>400000</v>
      </c>
      <c r="AV203" s="387">
        <f t="shared" si="177"/>
        <v>0.25</v>
      </c>
      <c r="AW203" s="677">
        <v>382831</v>
      </c>
      <c r="AX203" s="366">
        <f t="shared" si="178"/>
        <v>95707.75</v>
      </c>
      <c r="AY203" s="366">
        <f t="shared" si="179"/>
        <v>95.707750000000004</v>
      </c>
      <c r="AZ203" s="366">
        <f t="shared" si="194"/>
        <v>95.707750000000004</v>
      </c>
      <c r="BA203" s="354">
        <f t="shared" si="195"/>
        <v>2.1294974375000001E-2</v>
      </c>
      <c r="BB203" s="354">
        <f t="shared" si="196"/>
        <v>95.707750000000004</v>
      </c>
      <c r="BC203" s="353">
        <v>25000000</v>
      </c>
      <c r="BD203" s="353">
        <v>0</v>
      </c>
      <c r="BE203" s="353">
        <v>25000000</v>
      </c>
      <c r="BF203" s="353">
        <v>0</v>
      </c>
      <c r="BG203" s="353">
        <v>0</v>
      </c>
      <c r="BH203" s="353">
        <v>0</v>
      </c>
      <c r="BI203" s="353">
        <v>0</v>
      </c>
      <c r="BJ203" s="353">
        <v>0</v>
      </c>
      <c r="BK203" s="452">
        <v>16500000</v>
      </c>
      <c r="BL203" s="351">
        <v>16500000</v>
      </c>
      <c r="BM203" s="351">
        <v>0</v>
      </c>
      <c r="BN203" s="351">
        <v>0</v>
      </c>
      <c r="BO203" s="351">
        <v>0</v>
      </c>
      <c r="BP203" s="351">
        <v>0</v>
      </c>
      <c r="BQ203" s="351">
        <v>0</v>
      </c>
      <c r="BR203" s="351">
        <v>0</v>
      </c>
      <c r="BS203" s="351">
        <v>0</v>
      </c>
      <c r="BT203" s="351">
        <v>0</v>
      </c>
      <c r="BU203" s="351">
        <v>0</v>
      </c>
      <c r="BV203" s="350">
        <f t="shared" si="197"/>
        <v>2.2249999999999999E-2</v>
      </c>
      <c r="BW203" s="350">
        <v>400000</v>
      </c>
      <c r="BX203" s="385">
        <f t="shared" si="180"/>
        <v>0.25</v>
      </c>
      <c r="BY203" s="369">
        <v>331785</v>
      </c>
      <c r="BZ203" s="391">
        <v>339122</v>
      </c>
      <c r="CA203" s="689">
        <v>435370</v>
      </c>
      <c r="CB203" s="324">
        <f t="shared" si="181"/>
        <v>108842.5</v>
      </c>
      <c r="CC203" s="324">
        <f t="shared" si="182"/>
        <v>108.8425</v>
      </c>
      <c r="CD203" s="384">
        <f t="shared" si="198"/>
        <v>100</v>
      </c>
      <c r="CE203" s="383">
        <f t="shared" si="199"/>
        <v>2.2250000000000002E-2</v>
      </c>
      <c r="CF203" s="367">
        <f t="shared" si="200"/>
        <v>100</v>
      </c>
      <c r="CG203" s="383">
        <f t="shared" si="201"/>
        <v>2.4217456249999998E-2</v>
      </c>
      <c r="CH203" s="320">
        <f t="shared" si="202"/>
        <v>2.2249999999999999E-2</v>
      </c>
      <c r="CI203" s="319">
        <v>400000</v>
      </c>
      <c r="CJ203" s="318">
        <f t="shared" si="183"/>
        <v>0.25</v>
      </c>
      <c r="CK203" s="1259">
        <v>361047</v>
      </c>
      <c r="CL203" s="301">
        <f t="shared" si="184"/>
        <v>38953</v>
      </c>
      <c r="CM203" s="381">
        <f t="shared" si="185"/>
        <v>90261.75</v>
      </c>
      <c r="CN203" s="381">
        <f t="shared" si="186"/>
        <v>90.261750000000006</v>
      </c>
      <c r="CO203" s="381">
        <f t="shared" si="203"/>
        <v>90.261750000000006</v>
      </c>
      <c r="CP203" s="381">
        <f t="shared" si="204"/>
        <v>2.0083239375000003E-2</v>
      </c>
      <c r="CQ203" s="381">
        <f t="shared" si="205"/>
        <v>2.0083239375000003E-2</v>
      </c>
      <c r="CR203" s="313">
        <v>25000000</v>
      </c>
      <c r="CS203" s="313">
        <v>25000000</v>
      </c>
      <c r="CT203" s="313">
        <v>0</v>
      </c>
      <c r="CU203" s="313">
        <v>0</v>
      </c>
      <c r="CV203" s="313">
        <v>0</v>
      </c>
      <c r="CW203" s="313">
        <v>0</v>
      </c>
      <c r="CX203" s="313">
        <v>0</v>
      </c>
      <c r="CY203" s="313">
        <v>0</v>
      </c>
      <c r="CZ203" s="380">
        <v>0</v>
      </c>
      <c r="DA203" s="380">
        <v>0</v>
      </c>
      <c r="DB203" s="380">
        <v>0</v>
      </c>
      <c r="DC203" s="380">
        <v>0</v>
      </c>
      <c r="DD203" s="380">
        <v>0</v>
      </c>
      <c r="DE203" s="380">
        <v>0</v>
      </c>
      <c r="DF203" s="380">
        <v>0</v>
      </c>
      <c r="DG203" s="380">
        <v>0</v>
      </c>
      <c r="DH203" s="380">
        <v>0</v>
      </c>
      <c r="DI203" s="380">
        <v>0</v>
      </c>
      <c r="DJ203" s="380">
        <v>0</v>
      </c>
      <c r="DK203" s="702">
        <f t="shared" si="187"/>
        <v>411367.75</v>
      </c>
      <c r="DL203" s="311">
        <f t="shared" si="206"/>
        <v>8.8999999999999996E-2</v>
      </c>
      <c r="DM203" s="310">
        <f t="shared" si="207"/>
        <v>102.8419375</v>
      </c>
      <c r="DN203" s="356">
        <f t="shared" si="208"/>
        <v>100</v>
      </c>
      <c r="DO203" s="308">
        <f t="shared" si="209"/>
        <v>8.900000000000001E-2</v>
      </c>
      <c r="DP203" s="359">
        <f>+IF(M203="M",DO203,0)</f>
        <v>8.900000000000001E-2</v>
      </c>
      <c r="DQ203" s="306">
        <f t="shared" si="210"/>
        <v>8.900000000000001E-2</v>
      </c>
      <c r="DR203" s="379">
        <f t="shared" si="211"/>
        <v>1</v>
      </c>
      <c r="DS203" s="378">
        <f t="shared" si="212"/>
        <v>0</v>
      </c>
      <c r="DT203" s="173">
        <v>201</v>
      </c>
      <c r="DU203" s="174" t="s">
        <v>122</v>
      </c>
      <c r="DV203" s="173"/>
      <c r="DW203" s="174" t="s">
        <v>84</v>
      </c>
      <c r="DX203" s="173"/>
      <c r="DY203" s="173"/>
      <c r="DZ203" s="173"/>
      <c r="EA203" s="665"/>
      <c r="EB203" s="1254" t="s">
        <v>2226</v>
      </c>
      <c r="EC203" s="537">
        <v>0</v>
      </c>
      <c r="EE203" s="734">
        <v>14</v>
      </c>
      <c r="EF203" s="706"/>
    </row>
    <row r="204" spans="4:136" s="302" customFormat="1" ht="84" hidden="1">
      <c r="D204" s="520">
        <v>201</v>
      </c>
      <c r="E204" s="534">
        <v>245</v>
      </c>
      <c r="F204" s="523" t="s">
        <v>43</v>
      </c>
      <c r="G204" s="479" t="s">
        <v>10</v>
      </c>
      <c r="H204" s="524" t="s">
        <v>2657</v>
      </c>
      <c r="I204" s="462" t="s">
        <v>540</v>
      </c>
      <c r="J204" s="335" t="s">
        <v>560</v>
      </c>
      <c r="K204" s="335" t="s">
        <v>561</v>
      </c>
      <c r="L204" s="453" t="s">
        <v>1404</v>
      </c>
      <c r="M204" s="334" t="s">
        <v>1771</v>
      </c>
      <c r="N204" s="334">
        <v>86</v>
      </c>
      <c r="O204" s="333">
        <f t="shared" ref="O204:O211" si="213">+N204+P204</f>
        <v>100</v>
      </c>
      <c r="P204" s="332">
        <v>14</v>
      </c>
      <c r="Q204" s="390">
        <v>0.16500000000000001</v>
      </c>
      <c r="R204" s="342">
        <f t="shared" si="190"/>
        <v>2.357142857142857E-2</v>
      </c>
      <c r="S204" s="389">
        <v>2</v>
      </c>
      <c r="T204" s="387">
        <f t="shared" si="174"/>
        <v>0.14285714285714285</v>
      </c>
      <c r="U204" s="670">
        <v>2</v>
      </c>
      <c r="V204" s="388">
        <f t="shared" si="175"/>
        <v>2</v>
      </c>
      <c r="W204" s="356">
        <f t="shared" si="176"/>
        <v>100</v>
      </c>
      <c r="X204" s="356">
        <f t="shared" si="191"/>
        <v>100</v>
      </c>
      <c r="Y204" s="356">
        <f t="shared" si="155"/>
        <v>2.3571428571428566E-2</v>
      </c>
      <c r="Z204" s="356">
        <f t="shared" si="192"/>
        <v>100</v>
      </c>
      <c r="AA204" s="355">
        <v>4200000</v>
      </c>
      <c r="AB204" s="355">
        <v>4200000</v>
      </c>
      <c r="AC204" s="355">
        <v>0</v>
      </c>
      <c r="AD204" s="355">
        <v>0</v>
      </c>
      <c r="AE204" s="355">
        <v>0</v>
      </c>
      <c r="AF204" s="355">
        <v>0</v>
      </c>
      <c r="AG204" s="355">
        <v>0</v>
      </c>
      <c r="AH204" s="355">
        <v>0</v>
      </c>
      <c r="AI204" s="355">
        <v>0</v>
      </c>
      <c r="AJ204" s="355">
        <v>0</v>
      </c>
      <c r="AK204" s="355">
        <v>0</v>
      </c>
      <c r="AL204" s="355">
        <v>0</v>
      </c>
      <c r="AM204" s="355">
        <v>0</v>
      </c>
      <c r="AN204" s="355">
        <v>0</v>
      </c>
      <c r="AO204" s="355">
        <v>0</v>
      </c>
      <c r="AP204" s="355">
        <v>0</v>
      </c>
      <c r="AQ204" s="355">
        <v>0</v>
      </c>
      <c r="AR204" s="355">
        <v>0</v>
      </c>
      <c r="AS204" s="355">
        <v>0</v>
      </c>
      <c r="AT204" s="333">
        <f t="shared" si="193"/>
        <v>4.7142857142857139E-2</v>
      </c>
      <c r="AU204" s="334">
        <v>4</v>
      </c>
      <c r="AV204" s="387">
        <f t="shared" si="177"/>
        <v>0.2857142857142857</v>
      </c>
      <c r="AW204" s="677">
        <v>4</v>
      </c>
      <c r="AX204" s="366">
        <f t="shared" si="178"/>
        <v>4</v>
      </c>
      <c r="AY204" s="366">
        <f t="shared" si="179"/>
        <v>100</v>
      </c>
      <c r="AZ204" s="366">
        <f t="shared" si="194"/>
        <v>100</v>
      </c>
      <c r="BA204" s="354">
        <f t="shared" si="195"/>
        <v>4.7142857142857132E-2</v>
      </c>
      <c r="BB204" s="354">
        <f t="shared" si="196"/>
        <v>100</v>
      </c>
      <c r="BC204" s="353">
        <v>0</v>
      </c>
      <c r="BD204" s="353">
        <v>0</v>
      </c>
      <c r="BE204" s="353">
        <v>0</v>
      </c>
      <c r="BF204" s="353">
        <v>0</v>
      </c>
      <c r="BG204" s="353">
        <v>0</v>
      </c>
      <c r="BH204" s="353">
        <v>0</v>
      </c>
      <c r="BI204" s="353">
        <v>0</v>
      </c>
      <c r="BJ204" s="353">
        <v>0</v>
      </c>
      <c r="BK204" s="452">
        <v>113045990</v>
      </c>
      <c r="BL204" s="351">
        <v>113045990</v>
      </c>
      <c r="BM204" s="351">
        <v>0</v>
      </c>
      <c r="BN204" s="351">
        <v>0</v>
      </c>
      <c r="BO204" s="351">
        <v>0</v>
      </c>
      <c r="BP204" s="351">
        <v>0</v>
      </c>
      <c r="BQ204" s="351">
        <v>0</v>
      </c>
      <c r="BR204" s="351">
        <v>0</v>
      </c>
      <c r="BS204" s="351">
        <v>0</v>
      </c>
      <c r="BT204" s="351">
        <v>0</v>
      </c>
      <c r="BU204" s="351">
        <v>0</v>
      </c>
      <c r="BV204" s="350">
        <f t="shared" si="197"/>
        <v>5.8928571428571434E-2</v>
      </c>
      <c r="BW204" s="350">
        <v>5</v>
      </c>
      <c r="BX204" s="385">
        <f t="shared" si="180"/>
        <v>0.35714285714285715</v>
      </c>
      <c r="BY204" s="369">
        <v>5</v>
      </c>
      <c r="BZ204" s="391">
        <v>5</v>
      </c>
      <c r="CA204" s="689">
        <v>5</v>
      </c>
      <c r="CB204" s="324">
        <f t="shared" si="181"/>
        <v>5</v>
      </c>
      <c r="CC204" s="324">
        <f t="shared" si="182"/>
        <v>100</v>
      </c>
      <c r="CD204" s="384">
        <f t="shared" si="198"/>
        <v>100</v>
      </c>
      <c r="CE204" s="383">
        <f t="shared" si="199"/>
        <v>5.8928571428571434E-2</v>
      </c>
      <c r="CF204" s="367">
        <f t="shared" si="200"/>
        <v>100</v>
      </c>
      <c r="CG204" s="383">
        <f t="shared" si="201"/>
        <v>5.8928571428571434E-2</v>
      </c>
      <c r="CH204" s="320">
        <f t="shared" si="202"/>
        <v>3.5357142857142858E-2</v>
      </c>
      <c r="CI204" s="319">
        <v>3</v>
      </c>
      <c r="CJ204" s="318">
        <f t="shared" si="183"/>
        <v>0.21428571428571427</v>
      </c>
      <c r="CK204" s="1259">
        <v>3</v>
      </c>
      <c r="CL204" s="301">
        <f t="shared" si="184"/>
        <v>0</v>
      </c>
      <c r="CM204" s="381">
        <f t="shared" si="185"/>
        <v>3</v>
      </c>
      <c r="CN204" s="381">
        <f t="shared" si="186"/>
        <v>100</v>
      </c>
      <c r="CO204" s="316">
        <f t="shared" si="203"/>
        <v>100</v>
      </c>
      <c r="CP204" s="381">
        <f t="shared" si="204"/>
        <v>3.5357142857142858E-2</v>
      </c>
      <c r="CQ204" s="381">
        <f t="shared" si="205"/>
        <v>3.5357142857142858E-2</v>
      </c>
      <c r="CR204" s="313">
        <v>0</v>
      </c>
      <c r="CS204" s="313">
        <v>0</v>
      </c>
      <c r="CT204" s="313">
        <v>0</v>
      </c>
      <c r="CU204" s="313">
        <v>0</v>
      </c>
      <c r="CV204" s="313">
        <v>0</v>
      </c>
      <c r="CW204" s="313">
        <v>0</v>
      </c>
      <c r="CX204" s="313">
        <v>0</v>
      </c>
      <c r="CY204" s="313">
        <v>0</v>
      </c>
      <c r="CZ204" s="380">
        <v>0</v>
      </c>
      <c r="DA204" s="380">
        <v>0</v>
      </c>
      <c r="DB204" s="380">
        <v>0</v>
      </c>
      <c r="DC204" s="380">
        <v>0</v>
      </c>
      <c r="DD204" s="380">
        <v>0</v>
      </c>
      <c r="DE204" s="380">
        <v>0</v>
      </c>
      <c r="DF204" s="380">
        <v>0</v>
      </c>
      <c r="DG204" s="380">
        <v>0</v>
      </c>
      <c r="DH204" s="380">
        <v>0</v>
      </c>
      <c r="DI204" s="380">
        <v>0</v>
      </c>
      <c r="DJ204" s="380">
        <v>0</v>
      </c>
      <c r="DK204" s="702">
        <f t="shared" si="187"/>
        <v>14</v>
      </c>
      <c r="DL204" s="311">
        <f t="shared" si="206"/>
        <v>0.16500000000000001</v>
      </c>
      <c r="DM204" s="310">
        <f t="shared" si="207"/>
        <v>100</v>
      </c>
      <c r="DN204" s="356">
        <f t="shared" si="208"/>
        <v>100</v>
      </c>
      <c r="DO204" s="308">
        <f t="shared" si="209"/>
        <v>0.16500000000000001</v>
      </c>
      <c r="DP204" s="359">
        <f t="shared" ref="DP204:DP211" si="214">+IF(((DN204*Q204)/100)&lt;Q204, ((DN204*Q204)/100),Q204)</f>
        <v>0.16500000000000001</v>
      </c>
      <c r="DQ204" s="306">
        <f t="shared" si="210"/>
        <v>0.16500000000000001</v>
      </c>
      <c r="DR204" s="379">
        <f t="shared" si="211"/>
        <v>1</v>
      </c>
      <c r="DS204" s="378">
        <f t="shared" si="212"/>
        <v>0</v>
      </c>
      <c r="DT204" s="173">
        <v>203</v>
      </c>
      <c r="DU204" s="174" t="s">
        <v>120</v>
      </c>
      <c r="DV204" s="173"/>
      <c r="DW204" s="174" t="s">
        <v>84</v>
      </c>
      <c r="DX204" s="173"/>
      <c r="DY204" s="173"/>
      <c r="DZ204" s="173"/>
      <c r="EA204" s="665"/>
      <c r="EB204" s="1254" t="s">
        <v>2348</v>
      </c>
      <c r="EC204" s="537">
        <v>0</v>
      </c>
      <c r="EE204" s="745">
        <v>50</v>
      </c>
      <c r="EF204" s="706"/>
    </row>
    <row r="205" spans="4:136" s="302" customFormat="1" ht="84" hidden="1">
      <c r="D205" s="520">
        <v>202</v>
      </c>
      <c r="E205" s="534">
        <v>246</v>
      </c>
      <c r="F205" s="523" t="s">
        <v>43</v>
      </c>
      <c r="G205" s="479" t="s">
        <v>10</v>
      </c>
      <c r="H205" s="524" t="s">
        <v>2657</v>
      </c>
      <c r="I205" s="462" t="s">
        <v>540</v>
      </c>
      <c r="J205" s="335" t="s">
        <v>562</v>
      </c>
      <c r="K205" s="335" t="s">
        <v>563</v>
      </c>
      <c r="L205" s="453" t="s">
        <v>1404</v>
      </c>
      <c r="M205" s="334" t="s">
        <v>1771</v>
      </c>
      <c r="N205" s="334">
        <v>41.46</v>
      </c>
      <c r="O205" s="333">
        <f t="shared" si="213"/>
        <v>42.26</v>
      </c>
      <c r="P205" s="332">
        <v>0.8</v>
      </c>
      <c r="Q205" s="390">
        <v>0.16500000000000001</v>
      </c>
      <c r="R205" s="342">
        <f t="shared" si="190"/>
        <v>2.0625000000000001E-2</v>
      </c>
      <c r="S205" s="389">
        <v>0.1</v>
      </c>
      <c r="T205" s="387">
        <f t="shared" si="174"/>
        <v>0.125</v>
      </c>
      <c r="U205" s="670">
        <v>0.1</v>
      </c>
      <c r="V205" s="388">
        <f t="shared" si="175"/>
        <v>0.1</v>
      </c>
      <c r="W205" s="356">
        <f t="shared" si="176"/>
        <v>100</v>
      </c>
      <c r="X205" s="356">
        <f t="shared" si="191"/>
        <v>100</v>
      </c>
      <c r="Y205" s="356">
        <f t="shared" si="155"/>
        <v>2.0625000000000001E-2</v>
      </c>
      <c r="Z205" s="356">
        <f t="shared" si="192"/>
        <v>100</v>
      </c>
      <c r="AA205" s="355">
        <v>0</v>
      </c>
      <c r="AB205" s="355">
        <v>0</v>
      </c>
      <c r="AC205" s="355">
        <v>0</v>
      </c>
      <c r="AD205" s="355">
        <v>0</v>
      </c>
      <c r="AE205" s="355">
        <v>0</v>
      </c>
      <c r="AF205" s="355">
        <v>0</v>
      </c>
      <c r="AG205" s="355">
        <v>0</v>
      </c>
      <c r="AH205" s="355">
        <v>0</v>
      </c>
      <c r="AI205" s="355">
        <v>0</v>
      </c>
      <c r="AJ205" s="355">
        <v>0</v>
      </c>
      <c r="AK205" s="355">
        <v>0</v>
      </c>
      <c r="AL205" s="355">
        <v>0</v>
      </c>
      <c r="AM205" s="355">
        <v>0</v>
      </c>
      <c r="AN205" s="355">
        <v>0</v>
      </c>
      <c r="AO205" s="355">
        <v>0</v>
      </c>
      <c r="AP205" s="355">
        <v>0</v>
      </c>
      <c r="AQ205" s="355">
        <v>0</v>
      </c>
      <c r="AR205" s="355">
        <v>0</v>
      </c>
      <c r="AS205" s="355">
        <v>0</v>
      </c>
      <c r="AT205" s="333">
        <f t="shared" si="193"/>
        <v>4.1250000000000002E-2</v>
      </c>
      <c r="AU205" s="334">
        <v>0.2</v>
      </c>
      <c r="AV205" s="387">
        <f t="shared" si="177"/>
        <v>0.25</v>
      </c>
      <c r="AW205" s="677">
        <v>0.3</v>
      </c>
      <c r="AX205" s="366">
        <f t="shared" si="178"/>
        <v>0.3</v>
      </c>
      <c r="AY205" s="366">
        <f t="shared" si="179"/>
        <v>150</v>
      </c>
      <c r="AZ205" s="366">
        <f t="shared" si="194"/>
        <v>100</v>
      </c>
      <c r="BA205" s="354">
        <f t="shared" si="195"/>
        <v>4.1250000000000002E-2</v>
      </c>
      <c r="BB205" s="354">
        <f t="shared" si="196"/>
        <v>100</v>
      </c>
      <c r="BC205" s="353">
        <v>0</v>
      </c>
      <c r="BD205" s="353">
        <v>0</v>
      </c>
      <c r="BE205" s="353">
        <v>0</v>
      </c>
      <c r="BF205" s="353">
        <v>0</v>
      </c>
      <c r="BG205" s="353">
        <v>0</v>
      </c>
      <c r="BH205" s="353">
        <v>0</v>
      </c>
      <c r="BI205" s="353">
        <v>0</v>
      </c>
      <c r="BJ205" s="353">
        <v>0</v>
      </c>
      <c r="BK205" s="452">
        <v>23485000</v>
      </c>
      <c r="BL205" s="351">
        <v>23485000</v>
      </c>
      <c r="BM205" s="351">
        <v>0</v>
      </c>
      <c r="BN205" s="351">
        <v>0</v>
      </c>
      <c r="BO205" s="351">
        <v>0</v>
      </c>
      <c r="BP205" s="351">
        <v>0</v>
      </c>
      <c r="BQ205" s="351">
        <v>0</v>
      </c>
      <c r="BR205" s="351">
        <v>0</v>
      </c>
      <c r="BS205" s="351">
        <v>0</v>
      </c>
      <c r="BT205" s="351">
        <v>0</v>
      </c>
      <c r="BU205" s="351">
        <v>0</v>
      </c>
      <c r="BV205" s="350">
        <f t="shared" si="197"/>
        <v>6.1874999999999993E-2</v>
      </c>
      <c r="BW205" s="350">
        <v>0.3</v>
      </c>
      <c r="BX205" s="385">
        <f t="shared" si="180"/>
        <v>0.37499999999999994</v>
      </c>
      <c r="BY205" s="369">
        <v>0.74000000953674316</v>
      </c>
      <c r="BZ205" s="391">
        <v>1</v>
      </c>
      <c r="CA205" s="689">
        <v>4.690000057220459</v>
      </c>
      <c r="CB205" s="324">
        <f t="shared" si="181"/>
        <v>4.690000057220459</v>
      </c>
      <c r="CC205" s="324">
        <f t="shared" si="182"/>
        <v>1563.3333524068198</v>
      </c>
      <c r="CD205" s="384">
        <f t="shared" si="198"/>
        <v>100</v>
      </c>
      <c r="CE205" s="383">
        <f t="shared" si="199"/>
        <v>6.1874999999999993E-2</v>
      </c>
      <c r="CF205" s="367">
        <f t="shared" si="200"/>
        <v>100</v>
      </c>
      <c r="CG205" s="383">
        <f t="shared" si="201"/>
        <v>0.96731251180171962</v>
      </c>
      <c r="CH205" s="320">
        <f t="shared" si="202"/>
        <v>4.1250000000000002E-2</v>
      </c>
      <c r="CI205" s="319">
        <v>0.2</v>
      </c>
      <c r="CJ205" s="318">
        <f t="shared" si="183"/>
        <v>0.25</v>
      </c>
      <c r="CK205" s="1259">
        <v>0.2</v>
      </c>
      <c r="CL205" s="301">
        <f t="shared" si="184"/>
        <v>0</v>
      </c>
      <c r="CM205" s="381">
        <f t="shared" si="185"/>
        <v>0.2</v>
      </c>
      <c r="CN205" s="381">
        <f t="shared" si="186"/>
        <v>100</v>
      </c>
      <c r="CO205" s="316">
        <f t="shared" si="203"/>
        <v>100</v>
      </c>
      <c r="CP205" s="381">
        <f t="shared" si="204"/>
        <v>4.1250000000000002E-2</v>
      </c>
      <c r="CQ205" s="381">
        <f t="shared" si="205"/>
        <v>4.1250000000000002E-2</v>
      </c>
      <c r="CR205" s="313">
        <v>0</v>
      </c>
      <c r="CS205" s="313">
        <v>0</v>
      </c>
      <c r="CT205" s="313">
        <v>0</v>
      </c>
      <c r="CU205" s="313">
        <v>0</v>
      </c>
      <c r="CV205" s="313">
        <v>0</v>
      </c>
      <c r="CW205" s="313">
        <v>0</v>
      </c>
      <c r="CX205" s="313">
        <v>0</v>
      </c>
      <c r="CY205" s="313">
        <v>0</v>
      </c>
      <c r="CZ205" s="380">
        <v>0</v>
      </c>
      <c r="DA205" s="380">
        <v>0</v>
      </c>
      <c r="DB205" s="380">
        <v>0</v>
      </c>
      <c r="DC205" s="380">
        <v>0</v>
      </c>
      <c r="DD205" s="380">
        <v>0</v>
      </c>
      <c r="DE205" s="380">
        <v>0</v>
      </c>
      <c r="DF205" s="380">
        <v>0</v>
      </c>
      <c r="DG205" s="380">
        <v>0</v>
      </c>
      <c r="DH205" s="380">
        <v>0</v>
      </c>
      <c r="DI205" s="380">
        <v>0</v>
      </c>
      <c r="DJ205" s="380">
        <v>0</v>
      </c>
      <c r="DK205" s="702">
        <f t="shared" si="187"/>
        <v>5.2900000572204595</v>
      </c>
      <c r="DL205" s="311">
        <f t="shared" si="206"/>
        <v>0.16500000000000001</v>
      </c>
      <c r="DM205" s="310">
        <f t="shared" si="207"/>
        <v>661.25000715255737</v>
      </c>
      <c r="DN205" s="356">
        <f t="shared" si="208"/>
        <v>100</v>
      </c>
      <c r="DO205" s="308">
        <f t="shared" si="209"/>
        <v>0.16500000000000001</v>
      </c>
      <c r="DP205" s="359">
        <f t="shared" si="214"/>
        <v>0.16500000000000001</v>
      </c>
      <c r="DQ205" s="306">
        <f t="shared" si="210"/>
        <v>0.16500000000000001</v>
      </c>
      <c r="DR205" s="379">
        <f t="shared" si="211"/>
        <v>1</v>
      </c>
      <c r="DS205" s="378">
        <f t="shared" si="212"/>
        <v>0</v>
      </c>
      <c r="DT205" s="173">
        <v>203</v>
      </c>
      <c r="DU205" s="174" t="s">
        <v>120</v>
      </c>
      <c r="DV205" s="173"/>
      <c r="DW205" s="174" t="s">
        <v>84</v>
      </c>
      <c r="DX205" s="173"/>
      <c r="DY205" s="173"/>
      <c r="DZ205" s="173"/>
      <c r="EA205" s="665"/>
      <c r="EB205" s="1254" t="s">
        <v>2362</v>
      </c>
      <c r="EC205" s="537">
        <v>0</v>
      </c>
      <c r="EE205" s="744">
        <v>47</v>
      </c>
      <c r="EF205" s="706"/>
    </row>
    <row r="206" spans="4:136" s="302" customFormat="1" ht="63.75" hidden="1">
      <c r="D206" s="520">
        <v>203</v>
      </c>
      <c r="E206" s="534">
        <v>248</v>
      </c>
      <c r="F206" s="523" t="s">
        <v>43</v>
      </c>
      <c r="G206" s="479" t="s">
        <v>7</v>
      </c>
      <c r="H206" s="526" t="s">
        <v>2660</v>
      </c>
      <c r="I206" s="462" t="s">
        <v>564</v>
      </c>
      <c r="J206" s="335" t="s">
        <v>565</v>
      </c>
      <c r="K206" s="335" t="s">
        <v>566</v>
      </c>
      <c r="L206" s="454" t="s">
        <v>1773</v>
      </c>
      <c r="M206" s="334" t="s">
        <v>1771</v>
      </c>
      <c r="N206" s="334">
        <v>0</v>
      </c>
      <c r="O206" s="333">
        <f t="shared" si="213"/>
        <v>500</v>
      </c>
      <c r="P206" s="332">
        <v>500</v>
      </c>
      <c r="Q206" s="390">
        <v>0.25</v>
      </c>
      <c r="R206" s="342">
        <f t="shared" si="190"/>
        <v>0.15</v>
      </c>
      <c r="S206" s="389">
        <v>300</v>
      </c>
      <c r="T206" s="387">
        <f t="shared" si="174"/>
        <v>0.6</v>
      </c>
      <c r="U206" s="670">
        <v>301</v>
      </c>
      <c r="V206" s="388">
        <f t="shared" si="175"/>
        <v>301</v>
      </c>
      <c r="W206" s="356">
        <f t="shared" si="176"/>
        <v>100.33333333333333</v>
      </c>
      <c r="X206" s="356">
        <f t="shared" si="191"/>
        <v>100</v>
      </c>
      <c r="Y206" s="356">
        <f t="shared" si="155"/>
        <v>0.15</v>
      </c>
      <c r="Z206" s="356">
        <f t="shared" si="192"/>
        <v>100</v>
      </c>
      <c r="AA206" s="355">
        <v>516000000</v>
      </c>
      <c r="AB206" s="355">
        <v>506000000</v>
      </c>
      <c r="AC206" s="355">
        <v>0</v>
      </c>
      <c r="AD206" s="355">
        <v>0</v>
      </c>
      <c r="AE206" s="355">
        <v>0</v>
      </c>
      <c r="AF206" s="355">
        <v>0</v>
      </c>
      <c r="AG206" s="355">
        <v>0</v>
      </c>
      <c r="AH206" s="355">
        <v>10000000</v>
      </c>
      <c r="AI206" s="355">
        <v>591321000</v>
      </c>
      <c r="AJ206" s="355">
        <v>591321000</v>
      </c>
      <c r="AK206" s="355">
        <v>0</v>
      </c>
      <c r="AL206" s="355">
        <v>0</v>
      </c>
      <c r="AM206" s="355">
        <v>0</v>
      </c>
      <c r="AN206" s="355">
        <v>0</v>
      </c>
      <c r="AO206" s="355">
        <v>0</v>
      </c>
      <c r="AP206" s="355">
        <v>0</v>
      </c>
      <c r="AQ206" s="355">
        <v>0</v>
      </c>
      <c r="AR206" s="355">
        <v>20000000</v>
      </c>
      <c r="AS206" s="355" t="s">
        <v>1968</v>
      </c>
      <c r="AT206" s="333">
        <f t="shared" si="193"/>
        <v>7.0000000000000007E-2</v>
      </c>
      <c r="AU206" s="334">
        <v>140</v>
      </c>
      <c r="AV206" s="387">
        <f t="shared" si="177"/>
        <v>0.28000000000000003</v>
      </c>
      <c r="AW206" s="677">
        <v>220</v>
      </c>
      <c r="AX206" s="366">
        <f t="shared" si="178"/>
        <v>220</v>
      </c>
      <c r="AY206" s="366">
        <f t="shared" si="179"/>
        <v>157.14285714285714</v>
      </c>
      <c r="AZ206" s="366">
        <f t="shared" si="194"/>
        <v>100</v>
      </c>
      <c r="BA206" s="354">
        <f t="shared" si="195"/>
        <v>7.0000000000000007E-2</v>
      </c>
      <c r="BB206" s="354">
        <f t="shared" si="196"/>
        <v>100</v>
      </c>
      <c r="BC206" s="353">
        <v>320000000</v>
      </c>
      <c r="BD206" s="353">
        <v>0</v>
      </c>
      <c r="BE206" s="353">
        <v>195000000</v>
      </c>
      <c r="BF206" s="353">
        <v>0</v>
      </c>
      <c r="BG206" s="353">
        <v>0</v>
      </c>
      <c r="BH206" s="353">
        <v>0</v>
      </c>
      <c r="BI206" s="353">
        <v>0</v>
      </c>
      <c r="BJ206" s="353">
        <v>125000000</v>
      </c>
      <c r="BK206" s="452">
        <v>316418000</v>
      </c>
      <c r="BL206" s="351">
        <v>316418000</v>
      </c>
      <c r="BM206" s="351">
        <v>0</v>
      </c>
      <c r="BN206" s="351">
        <v>0</v>
      </c>
      <c r="BO206" s="351">
        <v>0</v>
      </c>
      <c r="BP206" s="351">
        <v>0</v>
      </c>
      <c r="BQ206" s="351">
        <v>0</v>
      </c>
      <c r="BR206" s="351">
        <v>0</v>
      </c>
      <c r="BS206" s="351">
        <v>0</v>
      </c>
      <c r="BT206" s="351">
        <v>0</v>
      </c>
      <c r="BU206" s="351">
        <v>0</v>
      </c>
      <c r="BV206" s="350">
        <f t="shared" si="197"/>
        <v>0.02</v>
      </c>
      <c r="BW206" s="350">
        <v>40</v>
      </c>
      <c r="BX206" s="385">
        <f t="shared" si="180"/>
        <v>0.08</v>
      </c>
      <c r="BY206" s="399">
        <v>59</v>
      </c>
      <c r="BZ206" s="398">
        <v>59</v>
      </c>
      <c r="CA206" s="690">
        <v>59</v>
      </c>
      <c r="CB206" s="324">
        <f t="shared" si="181"/>
        <v>59</v>
      </c>
      <c r="CC206" s="324">
        <f t="shared" si="182"/>
        <v>147.5</v>
      </c>
      <c r="CD206" s="384">
        <f t="shared" si="198"/>
        <v>100</v>
      </c>
      <c r="CE206" s="383">
        <f t="shared" si="199"/>
        <v>0.02</v>
      </c>
      <c r="CF206" s="367">
        <f t="shared" si="200"/>
        <v>100</v>
      </c>
      <c r="CG206" s="383">
        <f t="shared" si="201"/>
        <v>2.9500000000000002E-2</v>
      </c>
      <c r="CH206" s="320">
        <f t="shared" si="202"/>
        <v>0.01</v>
      </c>
      <c r="CI206" s="319">
        <v>20</v>
      </c>
      <c r="CJ206" s="318">
        <f t="shared" si="183"/>
        <v>0.04</v>
      </c>
      <c r="CK206" s="1259">
        <v>50</v>
      </c>
      <c r="CL206" s="301">
        <f t="shared" si="184"/>
        <v>-30</v>
      </c>
      <c r="CM206" s="381">
        <f t="shared" si="185"/>
        <v>50</v>
      </c>
      <c r="CN206" s="381">
        <f t="shared" si="186"/>
        <v>250</v>
      </c>
      <c r="CO206" s="316">
        <f t="shared" si="203"/>
        <v>100</v>
      </c>
      <c r="CP206" s="381">
        <f t="shared" si="204"/>
        <v>0.01</v>
      </c>
      <c r="CQ206" s="381">
        <f t="shared" si="205"/>
        <v>2.5000000000000001E-2</v>
      </c>
      <c r="CR206" s="313">
        <v>575000000</v>
      </c>
      <c r="CS206" s="313">
        <v>450000000</v>
      </c>
      <c r="CT206" s="313">
        <v>0</v>
      </c>
      <c r="CU206" s="313">
        <v>0</v>
      </c>
      <c r="CV206" s="313">
        <v>0</v>
      </c>
      <c r="CW206" s="313">
        <v>0</v>
      </c>
      <c r="CX206" s="313">
        <v>0</v>
      </c>
      <c r="CY206" s="313">
        <v>125000000</v>
      </c>
      <c r="CZ206" s="380">
        <v>0</v>
      </c>
      <c r="DA206" s="380">
        <v>0</v>
      </c>
      <c r="DB206" s="380">
        <v>0</v>
      </c>
      <c r="DC206" s="380">
        <v>0</v>
      </c>
      <c r="DD206" s="380">
        <v>0</v>
      </c>
      <c r="DE206" s="380">
        <v>0</v>
      </c>
      <c r="DF206" s="380">
        <v>0</v>
      </c>
      <c r="DG206" s="380">
        <v>0</v>
      </c>
      <c r="DH206" s="380">
        <v>0</v>
      </c>
      <c r="DI206" s="380">
        <v>0</v>
      </c>
      <c r="DJ206" s="380">
        <v>0</v>
      </c>
      <c r="DK206" s="702">
        <f t="shared" si="187"/>
        <v>630</v>
      </c>
      <c r="DL206" s="311">
        <f t="shared" si="206"/>
        <v>0.25</v>
      </c>
      <c r="DM206" s="310">
        <f t="shared" si="207"/>
        <v>126</v>
      </c>
      <c r="DN206" s="356">
        <f t="shared" si="208"/>
        <v>100</v>
      </c>
      <c r="DO206" s="308">
        <f t="shared" si="209"/>
        <v>0.25</v>
      </c>
      <c r="DP206" s="359">
        <f t="shared" si="214"/>
        <v>0.25</v>
      </c>
      <c r="DQ206" s="306">
        <f t="shared" si="210"/>
        <v>0.25</v>
      </c>
      <c r="DR206" s="379">
        <f t="shared" si="211"/>
        <v>1</v>
      </c>
      <c r="DS206" s="378">
        <f t="shared" si="212"/>
        <v>0</v>
      </c>
      <c r="DT206" s="173">
        <v>247</v>
      </c>
      <c r="DU206" s="174" t="s">
        <v>119</v>
      </c>
      <c r="DV206" s="173"/>
      <c r="DW206" s="174" t="s">
        <v>84</v>
      </c>
      <c r="DX206" s="173"/>
      <c r="DY206" s="173"/>
      <c r="DZ206" s="173"/>
      <c r="EA206" s="665"/>
      <c r="EB206" s="1254" t="s">
        <v>3241</v>
      </c>
      <c r="EC206" s="537">
        <v>7198000000</v>
      </c>
      <c r="EE206" s="734">
        <v>0</v>
      </c>
      <c r="EF206" s="706"/>
    </row>
    <row r="207" spans="4:136" s="302" customFormat="1" ht="51" hidden="1">
      <c r="D207" s="520">
        <v>204</v>
      </c>
      <c r="E207" s="534">
        <v>249</v>
      </c>
      <c r="F207" s="523" t="s">
        <v>43</v>
      </c>
      <c r="G207" s="479" t="s">
        <v>7</v>
      </c>
      <c r="H207" s="526" t="s">
        <v>2660</v>
      </c>
      <c r="I207" s="462" t="s">
        <v>564</v>
      </c>
      <c r="J207" s="335" t="s">
        <v>567</v>
      </c>
      <c r="K207" s="335" t="s">
        <v>568</v>
      </c>
      <c r="L207" s="454" t="s">
        <v>1967</v>
      </c>
      <c r="M207" s="334" t="s">
        <v>1771</v>
      </c>
      <c r="N207" s="334">
        <v>0</v>
      </c>
      <c r="O207" s="333">
        <f t="shared" si="213"/>
        <v>2000</v>
      </c>
      <c r="P207" s="332">
        <v>2000</v>
      </c>
      <c r="Q207" s="390">
        <v>0.16500000000000001</v>
      </c>
      <c r="R207" s="342">
        <f t="shared" si="190"/>
        <v>2.4750000000000001E-2</v>
      </c>
      <c r="S207" s="389">
        <v>300</v>
      </c>
      <c r="T207" s="387">
        <f t="shared" si="174"/>
        <v>0.15</v>
      </c>
      <c r="U207" s="670">
        <v>321</v>
      </c>
      <c r="V207" s="388">
        <f t="shared" si="175"/>
        <v>321</v>
      </c>
      <c r="W207" s="356">
        <f t="shared" si="176"/>
        <v>107</v>
      </c>
      <c r="X207" s="356">
        <f t="shared" si="191"/>
        <v>100</v>
      </c>
      <c r="Y207" s="356">
        <f t="shared" si="155"/>
        <v>2.4750000000000001E-2</v>
      </c>
      <c r="Z207" s="356">
        <f t="shared" si="192"/>
        <v>100</v>
      </c>
      <c r="AA207" s="355">
        <v>65000000</v>
      </c>
      <c r="AB207" s="355">
        <v>60000000</v>
      </c>
      <c r="AC207" s="355">
        <v>0</v>
      </c>
      <c r="AD207" s="355">
        <v>0</v>
      </c>
      <c r="AE207" s="355">
        <v>0</v>
      </c>
      <c r="AF207" s="355">
        <v>0</v>
      </c>
      <c r="AG207" s="355">
        <v>0</v>
      </c>
      <c r="AH207" s="355">
        <v>5000000</v>
      </c>
      <c r="AI207" s="355">
        <v>30000000</v>
      </c>
      <c r="AJ207" s="355">
        <v>30000000</v>
      </c>
      <c r="AK207" s="355">
        <v>0</v>
      </c>
      <c r="AL207" s="355">
        <v>0</v>
      </c>
      <c r="AM207" s="355">
        <v>0</v>
      </c>
      <c r="AN207" s="355">
        <v>0</v>
      </c>
      <c r="AO207" s="355">
        <v>0</v>
      </c>
      <c r="AP207" s="355">
        <v>0</v>
      </c>
      <c r="AQ207" s="355">
        <v>0</v>
      </c>
      <c r="AR207" s="355">
        <v>0</v>
      </c>
      <c r="AS207" s="355">
        <v>0</v>
      </c>
      <c r="AT207" s="333">
        <f t="shared" si="193"/>
        <v>4.9500000000000002E-2</v>
      </c>
      <c r="AU207" s="334">
        <v>600</v>
      </c>
      <c r="AV207" s="387">
        <f t="shared" si="177"/>
        <v>0.3</v>
      </c>
      <c r="AW207" s="677">
        <v>967</v>
      </c>
      <c r="AX207" s="366">
        <f t="shared" si="178"/>
        <v>967</v>
      </c>
      <c r="AY207" s="366">
        <f t="shared" si="179"/>
        <v>161.16666666666666</v>
      </c>
      <c r="AZ207" s="366">
        <f t="shared" si="194"/>
        <v>100</v>
      </c>
      <c r="BA207" s="354">
        <f t="shared" si="195"/>
        <v>4.9500000000000002E-2</v>
      </c>
      <c r="BB207" s="354">
        <f t="shared" si="196"/>
        <v>100</v>
      </c>
      <c r="BC207" s="353">
        <v>20000000</v>
      </c>
      <c r="BD207" s="353">
        <v>0</v>
      </c>
      <c r="BE207" s="353">
        <v>20000000</v>
      </c>
      <c r="BF207" s="353">
        <v>0</v>
      </c>
      <c r="BG207" s="353">
        <v>0</v>
      </c>
      <c r="BH207" s="353">
        <v>0</v>
      </c>
      <c r="BI207" s="353">
        <v>0</v>
      </c>
      <c r="BJ207" s="353">
        <v>0</v>
      </c>
      <c r="BK207" s="452">
        <v>150000000</v>
      </c>
      <c r="BL207" s="351">
        <v>150000000</v>
      </c>
      <c r="BM207" s="351">
        <v>0</v>
      </c>
      <c r="BN207" s="351">
        <v>0</v>
      </c>
      <c r="BO207" s="351">
        <v>0</v>
      </c>
      <c r="BP207" s="351">
        <v>0</v>
      </c>
      <c r="BQ207" s="351">
        <v>0</v>
      </c>
      <c r="BR207" s="351">
        <v>0</v>
      </c>
      <c r="BS207" s="351">
        <v>0</v>
      </c>
      <c r="BT207" s="351">
        <v>0</v>
      </c>
      <c r="BU207" s="351">
        <v>0</v>
      </c>
      <c r="BV207" s="350">
        <f t="shared" si="197"/>
        <v>5.3625000000000006E-2</v>
      </c>
      <c r="BW207" s="350">
        <v>650</v>
      </c>
      <c r="BX207" s="385">
        <f t="shared" si="180"/>
        <v>0.32500000000000001</v>
      </c>
      <c r="BY207" s="399">
        <v>191</v>
      </c>
      <c r="BZ207" s="398">
        <v>491</v>
      </c>
      <c r="CA207" s="690">
        <v>1066</v>
      </c>
      <c r="CB207" s="324">
        <f t="shared" si="181"/>
        <v>1066</v>
      </c>
      <c r="CC207" s="324">
        <f t="shared" si="182"/>
        <v>164</v>
      </c>
      <c r="CD207" s="384">
        <f t="shared" si="198"/>
        <v>100</v>
      </c>
      <c r="CE207" s="383">
        <f t="shared" si="199"/>
        <v>5.3625000000000006E-2</v>
      </c>
      <c r="CF207" s="367">
        <f t="shared" si="200"/>
        <v>100</v>
      </c>
      <c r="CG207" s="383">
        <f t="shared" si="201"/>
        <v>8.7945000000000009E-2</v>
      </c>
      <c r="CH207" s="320">
        <f t="shared" si="202"/>
        <v>3.7125000000000005E-2</v>
      </c>
      <c r="CI207" s="319">
        <v>450</v>
      </c>
      <c r="CJ207" s="318">
        <f t="shared" si="183"/>
        <v>0.22500000000000001</v>
      </c>
      <c r="CK207" s="1259">
        <v>200</v>
      </c>
      <c r="CL207" s="301">
        <f t="shared" si="184"/>
        <v>250</v>
      </c>
      <c r="CM207" s="381">
        <f t="shared" si="185"/>
        <v>200</v>
      </c>
      <c r="CN207" s="381">
        <f t="shared" si="186"/>
        <v>44.444444444444443</v>
      </c>
      <c r="CO207" s="316">
        <f t="shared" si="203"/>
        <v>44.444444444444443</v>
      </c>
      <c r="CP207" s="381">
        <f t="shared" si="204"/>
        <v>1.6500000000000001E-2</v>
      </c>
      <c r="CQ207" s="381">
        <f t="shared" si="205"/>
        <v>1.6500000000000001E-2</v>
      </c>
      <c r="CR207" s="313">
        <v>45000000</v>
      </c>
      <c r="CS207" s="313">
        <v>45000000</v>
      </c>
      <c r="CT207" s="313">
        <v>0</v>
      </c>
      <c r="CU207" s="313">
        <v>0</v>
      </c>
      <c r="CV207" s="313">
        <v>0</v>
      </c>
      <c r="CW207" s="313">
        <v>0</v>
      </c>
      <c r="CX207" s="313">
        <v>0</v>
      </c>
      <c r="CY207" s="313">
        <v>0</v>
      </c>
      <c r="CZ207" s="380">
        <v>0</v>
      </c>
      <c r="DA207" s="380">
        <v>0</v>
      </c>
      <c r="DB207" s="380">
        <v>0</v>
      </c>
      <c r="DC207" s="380">
        <v>0</v>
      </c>
      <c r="DD207" s="380">
        <v>0</v>
      </c>
      <c r="DE207" s="380">
        <v>0</v>
      </c>
      <c r="DF207" s="380">
        <v>0</v>
      </c>
      <c r="DG207" s="380">
        <v>0</v>
      </c>
      <c r="DH207" s="380">
        <v>0</v>
      </c>
      <c r="DI207" s="380">
        <v>0</v>
      </c>
      <c r="DJ207" s="380">
        <v>0</v>
      </c>
      <c r="DK207" s="702">
        <f t="shared" si="187"/>
        <v>2554</v>
      </c>
      <c r="DL207" s="311">
        <f t="shared" si="206"/>
        <v>0.16500000000000004</v>
      </c>
      <c r="DM207" s="310">
        <f t="shared" si="207"/>
        <v>127.7</v>
      </c>
      <c r="DN207" s="356">
        <f t="shared" si="208"/>
        <v>100</v>
      </c>
      <c r="DO207" s="308">
        <f t="shared" si="209"/>
        <v>0.16500000000000001</v>
      </c>
      <c r="DP207" s="359">
        <f t="shared" si="214"/>
        <v>0.16500000000000001</v>
      </c>
      <c r="DQ207" s="306">
        <f t="shared" si="210"/>
        <v>0.16500000000000001</v>
      </c>
      <c r="DR207" s="379">
        <f t="shared" si="211"/>
        <v>0.99999999999999989</v>
      </c>
      <c r="DS207" s="378">
        <f t="shared" si="212"/>
        <v>0</v>
      </c>
      <c r="DT207" s="173">
        <v>247</v>
      </c>
      <c r="DU207" s="174" t="s">
        <v>119</v>
      </c>
      <c r="DV207" s="173"/>
      <c r="DW207" s="174" t="s">
        <v>84</v>
      </c>
      <c r="DX207" s="173"/>
      <c r="DY207" s="173"/>
      <c r="DZ207" s="173"/>
      <c r="EA207" s="665"/>
      <c r="EB207" s="1254" t="s">
        <v>3242</v>
      </c>
      <c r="EC207" s="537">
        <v>17196000000</v>
      </c>
      <c r="EE207" s="734">
        <v>0</v>
      </c>
      <c r="EF207" s="706"/>
    </row>
    <row r="208" spans="4:136" s="302" customFormat="1" ht="76.5" hidden="1">
      <c r="D208" s="520">
        <v>205</v>
      </c>
      <c r="E208" s="534">
        <v>250</v>
      </c>
      <c r="F208" s="523" t="s">
        <v>43</v>
      </c>
      <c r="G208" s="479" t="s">
        <v>7</v>
      </c>
      <c r="H208" s="526" t="s">
        <v>2660</v>
      </c>
      <c r="I208" s="462" t="s">
        <v>564</v>
      </c>
      <c r="J208" s="335" t="s">
        <v>569</v>
      </c>
      <c r="K208" s="335" t="s">
        <v>570</v>
      </c>
      <c r="L208" s="454" t="s">
        <v>1966</v>
      </c>
      <c r="M208" s="334" t="s">
        <v>1771</v>
      </c>
      <c r="N208" s="334">
        <v>0</v>
      </c>
      <c r="O208" s="333">
        <f t="shared" si="213"/>
        <v>1</v>
      </c>
      <c r="P208" s="332">
        <v>1</v>
      </c>
      <c r="Q208" s="390">
        <v>0.16500000000000001</v>
      </c>
      <c r="R208" s="342">
        <f t="shared" si="190"/>
        <v>4.9500000000000002E-2</v>
      </c>
      <c r="S208" s="389">
        <v>0.3</v>
      </c>
      <c r="T208" s="387">
        <f t="shared" si="174"/>
        <v>0.3</v>
      </c>
      <c r="U208" s="670">
        <v>0</v>
      </c>
      <c r="V208" s="388">
        <f t="shared" si="175"/>
        <v>0</v>
      </c>
      <c r="W208" s="356">
        <f t="shared" si="176"/>
        <v>0</v>
      </c>
      <c r="X208" s="356">
        <f t="shared" si="191"/>
        <v>0</v>
      </c>
      <c r="Y208" s="356">
        <f t="shared" si="155"/>
        <v>0</v>
      </c>
      <c r="Z208" s="356">
        <f t="shared" si="192"/>
        <v>0</v>
      </c>
      <c r="AA208" s="355">
        <v>10000000</v>
      </c>
      <c r="AB208" s="355">
        <v>10000000</v>
      </c>
      <c r="AC208" s="355">
        <v>0</v>
      </c>
      <c r="AD208" s="355">
        <v>0</v>
      </c>
      <c r="AE208" s="355">
        <v>0</v>
      </c>
      <c r="AF208" s="355">
        <v>0</v>
      </c>
      <c r="AG208" s="355">
        <v>0</v>
      </c>
      <c r="AH208" s="355">
        <v>0</v>
      </c>
      <c r="AI208" s="355">
        <v>39900000</v>
      </c>
      <c r="AJ208" s="355">
        <v>39900000</v>
      </c>
      <c r="AK208" s="355">
        <v>0</v>
      </c>
      <c r="AL208" s="355">
        <v>0</v>
      </c>
      <c r="AM208" s="355">
        <v>0</v>
      </c>
      <c r="AN208" s="355">
        <v>0</v>
      </c>
      <c r="AO208" s="355">
        <v>0</v>
      </c>
      <c r="AP208" s="355">
        <v>0</v>
      </c>
      <c r="AQ208" s="355">
        <v>0</v>
      </c>
      <c r="AR208" s="355">
        <v>5000000</v>
      </c>
      <c r="AS208" s="355" t="s">
        <v>1965</v>
      </c>
      <c r="AT208" s="333">
        <f t="shared" si="193"/>
        <v>0</v>
      </c>
      <c r="AU208" s="334">
        <v>0</v>
      </c>
      <c r="AV208" s="387">
        <f t="shared" si="177"/>
        <v>0</v>
      </c>
      <c r="AW208" s="677">
        <v>0</v>
      </c>
      <c r="AX208" s="366">
        <f t="shared" si="178"/>
        <v>0</v>
      </c>
      <c r="AY208" s="366">
        <f t="shared" si="179"/>
        <v>0</v>
      </c>
      <c r="AZ208" s="366">
        <f t="shared" si="194"/>
        <v>0</v>
      </c>
      <c r="BA208" s="354">
        <f t="shared" si="195"/>
        <v>0</v>
      </c>
      <c r="BB208" s="354">
        <f t="shared" si="196"/>
        <v>0</v>
      </c>
      <c r="BC208" s="353">
        <v>100000000</v>
      </c>
      <c r="BD208" s="353">
        <v>0</v>
      </c>
      <c r="BE208" s="353">
        <v>100000000</v>
      </c>
      <c r="BF208" s="353">
        <v>0</v>
      </c>
      <c r="BG208" s="353">
        <v>0</v>
      </c>
      <c r="BH208" s="353">
        <v>0</v>
      </c>
      <c r="BI208" s="353">
        <v>0</v>
      </c>
      <c r="BJ208" s="353">
        <v>0</v>
      </c>
      <c r="BK208" s="452">
        <v>100000000</v>
      </c>
      <c r="BL208" s="351">
        <v>100000000</v>
      </c>
      <c r="BM208" s="351">
        <v>0</v>
      </c>
      <c r="BN208" s="351">
        <v>0</v>
      </c>
      <c r="BO208" s="351">
        <v>0</v>
      </c>
      <c r="BP208" s="351">
        <v>0</v>
      </c>
      <c r="BQ208" s="351">
        <v>0</v>
      </c>
      <c r="BR208" s="351">
        <v>0</v>
      </c>
      <c r="BS208" s="351">
        <v>0</v>
      </c>
      <c r="BT208" s="351">
        <v>0</v>
      </c>
      <c r="BU208" s="351">
        <v>0</v>
      </c>
      <c r="BV208" s="350">
        <f t="shared" si="197"/>
        <v>9.9000000000000005E-2</v>
      </c>
      <c r="BW208" s="350">
        <v>0.6</v>
      </c>
      <c r="BX208" s="385">
        <f t="shared" si="180"/>
        <v>0.6</v>
      </c>
      <c r="BY208" s="399">
        <v>0</v>
      </c>
      <c r="BZ208" s="398">
        <v>0</v>
      </c>
      <c r="CA208" s="690">
        <v>0</v>
      </c>
      <c r="CB208" s="324">
        <f t="shared" si="181"/>
        <v>0</v>
      </c>
      <c r="CC208" s="324">
        <f t="shared" si="182"/>
        <v>0</v>
      </c>
      <c r="CD208" s="384">
        <f t="shared" si="198"/>
        <v>0</v>
      </c>
      <c r="CE208" s="383">
        <f t="shared" si="199"/>
        <v>0</v>
      </c>
      <c r="CF208" s="367">
        <f t="shared" si="200"/>
        <v>0</v>
      </c>
      <c r="CG208" s="383">
        <f t="shared" si="201"/>
        <v>0</v>
      </c>
      <c r="CH208" s="320">
        <f t="shared" si="202"/>
        <v>1.6500000000000001E-2</v>
      </c>
      <c r="CI208" s="458">
        <v>0.1</v>
      </c>
      <c r="CJ208" s="318">
        <f t="shared" si="183"/>
        <v>0.1</v>
      </c>
      <c r="CK208" s="1260">
        <v>1</v>
      </c>
      <c r="CL208" s="301">
        <f t="shared" si="184"/>
        <v>-0.9</v>
      </c>
      <c r="CM208" s="381">
        <f t="shared" si="185"/>
        <v>1</v>
      </c>
      <c r="CN208" s="381">
        <f t="shared" si="186"/>
        <v>1000</v>
      </c>
      <c r="CO208" s="316">
        <f t="shared" si="203"/>
        <v>100</v>
      </c>
      <c r="CP208" s="381">
        <f t="shared" si="204"/>
        <v>1.6500000000000001E-2</v>
      </c>
      <c r="CQ208" s="381">
        <f t="shared" si="205"/>
        <v>0.16500000000000001</v>
      </c>
      <c r="CR208" s="313">
        <v>0</v>
      </c>
      <c r="CS208" s="313">
        <v>0</v>
      </c>
      <c r="CT208" s="313">
        <v>0</v>
      </c>
      <c r="CU208" s="313">
        <v>0</v>
      </c>
      <c r="CV208" s="313">
        <v>0</v>
      </c>
      <c r="CW208" s="313">
        <v>0</v>
      </c>
      <c r="CX208" s="313">
        <v>0</v>
      </c>
      <c r="CY208" s="313">
        <v>0</v>
      </c>
      <c r="CZ208" s="380">
        <v>0</v>
      </c>
      <c r="DA208" s="380">
        <v>0</v>
      </c>
      <c r="DB208" s="380">
        <v>0</v>
      </c>
      <c r="DC208" s="380">
        <v>0</v>
      </c>
      <c r="DD208" s="380">
        <v>0</v>
      </c>
      <c r="DE208" s="380">
        <v>0</v>
      </c>
      <c r="DF208" s="380">
        <v>0</v>
      </c>
      <c r="DG208" s="380">
        <v>0</v>
      </c>
      <c r="DH208" s="380">
        <v>0</v>
      </c>
      <c r="DI208" s="380">
        <v>0</v>
      </c>
      <c r="DJ208" s="380">
        <v>0</v>
      </c>
      <c r="DK208" s="702">
        <f t="shared" si="187"/>
        <v>1</v>
      </c>
      <c r="DL208" s="311">
        <f t="shared" si="206"/>
        <v>0.16500000000000004</v>
      </c>
      <c r="DM208" s="310">
        <f t="shared" si="207"/>
        <v>100</v>
      </c>
      <c r="DN208" s="356">
        <f t="shared" si="208"/>
        <v>100</v>
      </c>
      <c r="DO208" s="308">
        <f t="shared" si="209"/>
        <v>0.16500000000000001</v>
      </c>
      <c r="DP208" s="359">
        <f t="shared" si="214"/>
        <v>0.16500000000000001</v>
      </c>
      <c r="DQ208" s="306">
        <f t="shared" si="210"/>
        <v>0.16500000000000001</v>
      </c>
      <c r="DR208" s="379">
        <f t="shared" si="211"/>
        <v>0.99999999999999989</v>
      </c>
      <c r="DS208" s="378">
        <f t="shared" si="212"/>
        <v>0</v>
      </c>
      <c r="DT208" s="173">
        <v>247</v>
      </c>
      <c r="DU208" s="174" t="s">
        <v>119</v>
      </c>
      <c r="DV208" s="173"/>
      <c r="DW208" s="174" t="s">
        <v>84</v>
      </c>
      <c r="DX208" s="173"/>
      <c r="DY208" s="173"/>
      <c r="DZ208" s="173"/>
      <c r="EA208" s="665"/>
      <c r="EB208" s="1254" t="s">
        <v>3243</v>
      </c>
      <c r="EC208" s="537">
        <v>6996000000</v>
      </c>
      <c r="EE208" s="734">
        <v>0</v>
      </c>
      <c r="EF208" s="706"/>
    </row>
    <row r="209" spans="4:136" s="302" customFormat="1" ht="114.75" hidden="1">
      <c r="D209" s="520">
        <v>206</v>
      </c>
      <c r="E209" s="534">
        <v>251</v>
      </c>
      <c r="F209" s="523" t="s">
        <v>43</v>
      </c>
      <c r="G209" s="479" t="s">
        <v>12</v>
      </c>
      <c r="H209" s="526" t="s">
        <v>2660</v>
      </c>
      <c r="I209" s="462" t="s">
        <v>564</v>
      </c>
      <c r="J209" s="335" t="s">
        <v>571</v>
      </c>
      <c r="K209" s="335" t="s">
        <v>572</v>
      </c>
      <c r="L209" s="453" t="s">
        <v>1964</v>
      </c>
      <c r="M209" s="334" t="s">
        <v>1771</v>
      </c>
      <c r="N209" s="334">
        <v>0</v>
      </c>
      <c r="O209" s="333">
        <f t="shared" si="213"/>
        <v>100</v>
      </c>
      <c r="P209" s="332">
        <v>100</v>
      </c>
      <c r="Q209" s="390">
        <v>0.16500000000000001</v>
      </c>
      <c r="R209" s="342">
        <f t="shared" si="190"/>
        <v>0</v>
      </c>
      <c r="S209" s="389">
        <v>0</v>
      </c>
      <c r="T209" s="387">
        <f t="shared" si="174"/>
        <v>0</v>
      </c>
      <c r="U209" s="670">
        <v>43</v>
      </c>
      <c r="V209" s="388">
        <f t="shared" si="175"/>
        <v>43</v>
      </c>
      <c r="W209" s="356">
        <f t="shared" si="176"/>
        <v>0</v>
      </c>
      <c r="X209" s="356">
        <f t="shared" si="191"/>
        <v>0</v>
      </c>
      <c r="Y209" s="356">
        <f t="shared" si="155"/>
        <v>0</v>
      </c>
      <c r="Z209" s="356">
        <f t="shared" si="192"/>
        <v>100</v>
      </c>
      <c r="AA209" s="355">
        <v>20000000</v>
      </c>
      <c r="AB209" s="355">
        <v>20000000</v>
      </c>
      <c r="AC209" s="355">
        <v>0</v>
      </c>
      <c r="AD209" s="355">
        <v>0</v>
      </c>
      <c r="AE209" s="355">
        <v>0</v>
      </c>
      <c r="AF209" s="355">
        <v>0</v>
      </c>
      <c r="AG209" s="355">
        <v>0</v>
      </c>
      <c r="AH209" s="355">
        <v>0</v>
      </c>
      <c r="AI209" s="355">
        <v>9975000</v>
      </c>
      <c r="AJ209" s="355">
        <v>9975000</v>
      </c>
      <c r="AK209" s="355">
        <v>0</v>
      </c>
      <c r="AL209" s="355">
        <v>0</v>
      </c>
      <c r="AM209" s="355">
        <v>0</v>
      </c>
      <c r="AN209" s="355">
        <v>0</v>
      </c>
      <c r="AO209" s="355">
        <v>0</v>
      </c>
      <c r="AP209" s="355">
        <v>0</v>
      </c>
      <c r="AQ209" s="355">
        <v>0</v>
      </c>
      <c r="AR209" s="355">
        <v>0</v>
      </c>
      <c r="AS209" s="355">
        <v>0</v>
      </c>
      <c r="AT209" s="333">
        <f t="shared" si="193"/>
        <v>6.6000000000000003E-2</v>
      </c>
      <c r="AU209" s="334">
        <v>40</v>
      </c>
      <c r="AV209" s="387">
        <f t="shared" si="177"/>
        <v>0.4</v>
      </c>
      <c r="AW209" s="677">
        <v>26.6</v>
      </c>
      <c r="AX209" s="366">
        <f t="shared" si="178"/>
        <v>26.6</v>
      </c>
      <c r="AY209" s="366">
        <f t="shared" si="179"/>
        <v>66.5</v>
      </c>
      <c r="AZ209" s="366">
        <f t="shared" si="194"/>
        <v>66.5</v>
      </c>
      <c r="BA209" s="354">
        <f t="shared" si="195"/>
        <v>4.3890000000000005E-2</v>
      </c>
      <c r="BB209" s="354">
        <f t="shared" si="196"/>
        <v>66.5</v>
      </c>
      <c r="BC209" s="353">
        <v>0</v>
      </c>
      <c r="BD209" s="353">
        <v>0</v>
      </c>
      <c r="BE209" s="353">
        <v>0</v>
      </c>
      <c r="BF209" s="353">
        <v>0</v>
      </c>
      <c r="BG209" s="353">
        <v>0</v>
      </c>
      <c r="BH209" s="353">
        <v>0</v>
      </c>
      <c r="BI209" s="353">
        <v>0</v>
      </c>
      <c r="BJ209" s="353">
        <v>0</v>
      </c>
      <c r="BK209" s="452">
        <v>0</v>
      </c>
      <c r="BL209" s="351">
        <v>0</v>
      </c>
      <c r="BM209" s="351">
        <v>0</v>
      </c>
      <c r="BN209" s="351">
        <v>0</v>
      </c>
      <c r="BO209" s="351">
        <v>0</v>
      </c>
      <c r="BP209" s="351">
        <v>0</v>
      </c>
      <c r="BQ209" s="351">
        <v>0</v>
      </c>
      <c r="BR209" s="351">
        <v>0</v>
      </c>
      <c r="BS209" s="351">
        <v>0</v>
      </c>
      <c r="BT209" s="351">
        <v>0</v>
      </c>
      <c r="BU209" s="351">
        <v>0</v>
      </c>
      <c r="BV209" s="350">
        <f t="shared" si="197"/>
        <v>6.6000000000000003E-2</v>
      </c>
      <c r="BW209" s="350">
        <v>40</v>
      </c>
      <c r="BX209" s="385">
        <f t="shared" si="180"/>
        <v>0.4</v>
      </c>
      <c r="BY209" s="369">
        <v>37.540000915527344</v>
      </c>
      <c r="BZ209" s="391">
        <v>30.4</v>
      </c>
      <c r="CA209" s="689">
        <v>30.4</v>
      </c>
      <c r="CB209" s="324">
        <f t="shared" si="181"/>
        <v>30.4</v>
      </c>
      <c r="CC209" s="324">
        <f t="shared" si="182"/>
        <v>76</v>
      </c>
      <c r="CD209" s="384">
        <f t="shared" si="198"/>
        <v>76</v>
      </c>
      <c r="CE209" s="383">
        <f t="shared" si="199"/>
        <v>5.0160000000000003E-2</v>
      </c>
      <c r="CF209" s="367">
        <f t="shared" si="200"/>
        <v>76</v>
      </c>
      <c r="CG209" s="383">
        <f t="shared" si="201"/>
        <v>5.0160000000000003E-2</v>
      </c>
      <c r="CH209" s="320">
        <f t="shared" si="202"/>
        <v>3.3000000000000002E-2</v>
      </c>
      <c r="CI209" s="319">
        <v>20</v>
      </c>
      <c r="CJ209" s="318">
        <f t="shared" si="183"/>
        <v>0.2</v>
      </c>
      <c r="CK209" s="1259">
        <v>39.5</v>
      </c>
      <c r="CL209" s="301">
        <f t="shared" si="184"/>
        <v>-19.5</v>
      </c>
      <c r="CM209" s="381">
        <f t="shared" si="185"/>
        <v>39.5</v>
      </c>
      <c r="CN209" s="381">
        <f t="shared" si="186"/>
        <v>197.5</v>
      </c>
      <c r="CO209" s="316">
        <f t="shared" si="203"/>
        <v>100</v>
      </c>
      <c r="CP209" s="381">
        <f t="shared" si="204"/>
        <v>3.3000000000000002E-2</v>
      </c>
      <c r="CQ209" s="381">
        <f t="shared" si="205"/>
        <v>6.5174999999999997E-2</v>
      </c>
      <c r="CR209" s="313">
        <v>0</v>
      </c>
      <c r="CS209" s="313">
        <v>0</v>
      </c>
      <c r="CT209" s="313">
        <v>0</v>
      </c>
      <c r="CU209" s="313">
        <v>0</v>
      </c>
      <c r="CV209" s="313">
        <v>0</v>
      </c>
      <c r="CW209" s="313">
        <v>0</v>
      </c>
      <c r="CX209" s="313">
        <v>0</v>
      </c>
      <c r="CY209" s="313">
        <v>0</v>
      </c>
      <c r="CZ209" s="380">
        <v>0</v>
      </c>
      <c r="DA209" s="380">
        <v>0</v>
      </c>
      <c r="DB209" s="380">
        <v>0</v>
      </c>
      <c r="DC209" s="380">
        <v>0</v>
      </c>
      <c r="DD209" s="380">
        <v>0</v>
      </c>
      <c r="DE209" s="380">
        <v>0</v>
      </c>
      <c r="DF209" s="380">
        <v>0</v>
      </c>
      <c r="DG209" s="380">
        <v>0</v>
      </c>
      <c r="DH209" s="380">
        <v>0</v>
      </c>
      <c r="DI209" s="380">
        <v>0</v>
      </c>
      <c r="DJ209" s="380">
        <v>0</v>
      </c>
      <c r="DK209" s="702">
        <f t="shared" si="187"/>
        <v>139.5</v>
      </c>
      <c r="DL209" s="311">
        <f t="shared" si="206"/>
        <v>0.16500000000000001</v>
      </c>
      <c r="DM209" s="310">
        <f t="shared" si="207"/>
        <v>139.5</v>
      </c>
      <c r="DN209" s="356">
        <f t="shared" si="208"/>
        <v>100</v>
      </c>
      <c r="DO209" s="308">
        <f t="shared" si="209"/>
        <v>0.16500000000000001</v>
      </c>
      <c r="DP209" s="359">
        <f t="shared" si="214"/>
        <v>0.16500000000000001</v>
      </c>
      <c r="DQ209" s="306">
        <f t="shared" si="210"/>
        <v>0.16500000000000001</v>
      </c>
      <c r="DR209" s="379">
        <f t="shared" si="211"/>
        <v>1</v>
      </c>
      <c r="DS209" s="378">
        <f t="shared" si="212"/>
        <v>0</v>
      </c>
      <c r="DT209" s="173">
        <v>619</v>
      </c>
      <c r="DU209" s="174" t="s">
        <v>272</v>
      </c>
      <c r="DV209" s="173"/>
      <c r="DW209" s="174" t="s">
        <v>84</v>
      </c>
      <c r="DX209" s="173"/>
      <c r="DY209" s="173"/>
      <c r="DZ209" s="173"/>
      <c r="EA209" s="665"/>
      <c r="EB209" s="1254" t="s">
        <v>2460</v>
      </c>
      <c r="EC209" s="537">
        <v>30000000</v>
      </c>
      <c r="EE209" s="734">
        <v>58</v>
      </c>
      <c r="EF209" s="706"/>
    </row>
    <row r="210" spans="4:136" s="302" customFormat="1" ht="76.5" hidden="1">
      <c r="D210" s="520">
        <v>207</v>
      </c>
      <c r="E210" s="534">
        <v>252</v>
      </c>
      <c r="F210" s="523" t="s">
        <v>43</v>
      </c>
      <c r="G210" s="479" t="s">
        <v>7</v>
      </c>
      <c r="H210" s="526" t="s">
        <v>2660</v>
      </c>
      <c r="I210" s="462" t="s">
        <v>564</v>
      </c>
      <c r="J210" s="335" t="s">
        <v>573</v>
      </c>
      <c r="K210" s="335" t="s">
        <v>572</v>
      </c>
      <c r="L210" s="453" t="s">
        <v>1964</v>
      </c>
      <c r="M210" s="334" t="s">
        <v>1771</v>
      </c>
      <c r="N210" s="334">
        <v>0</v>
      </c>
      <c r="O210" s="333">
        <f t="shared" si="213"/>
        <v>100</v>
      </c>
      <c r="P210" s="332">
        <v>100</v>
      </c>
      <c r="Q210" s="390">
        <v>0.16500000000000001</v>
      </c>
      <c r="R210" s="342">
        <f t="shared" si="190"/>
        <v>4.1250000000000002E-2</v>
      </c>
      <c r="S210" s="389">
        <v>25</v>
      </c>
      <c r="T210" s="387">
        <f t="shared" si="174"/>
        <v>0.25</v>
      </c>
      <c r="U210" s="670">
        <v>25</v>
      </c>
      <c r="V210" s="388">
        <f t="shared" si="175"/>
        <v>25</v>
      </c>
      <c r="W210" s="356">
        <f t="shared" si="176"/>
        <v>100</v>
      </c>
      <c r="X210" s="356">
        <f t="shared" si="191"/>
        <v>100</v>
      </c>
      <c r="Y210" s="356">
        <f t="shared" ref="Y210:Y273" si="215">+(X210*R210)/100</f>
        <v>4.1250000000000002E-2</v>
      </c>
      <c r="Z210" s="356">
        <f t="shared" si="192"/>
        <v>100</v>
      </c>
      <c r="AA210" s="355">
        <v>0</v>
      </c>
      <c r="AB210" s="355">
        <v>0</v>
      </c>
      <c r="AC210" s="355">
        <v>0</v>
      </c>
      <c r="AD210" s="355">
        <v>0</v>
      </c>
      <c r="AE210" s="355">
        <v>0</v>
      </c>
      <c r="AF210" s="355">
        <v>0</v>
      </c>
      <c r="AG210" s="355">
        <v>0</v>
      </c>
      <c r="AH210" s="355">
        <v>0</v>
      </c>
      <c r="AI210" s="355">
        <v>0</v>
      </c>
      <c r="AJ210" s="355">
        <v>0</v>
      </c>
      <c r="AK210" s="355">
        <v>0</v>
      </c>
      <c r="AL210" s="355">
        <v>0</v>
      </c>
      <c r="AM210" s="355">
        <v>0</v>
      </c>
      <c r="AN210" s="355">
        <v>0</v>
      </c>
      <c r="AO210" s="355">
        <v>0</v>
      </c>
      <c r="AP210" s="355">
        <v>0</v>
      </c>
      <c r="AQ210" s="355">
        <v>0</v>
      </c>
      <c r="AR210" s="355">
        <v>0</v>
      </c>
      <c r="AS210" s="355">
        <v>0</v>
      </c>
      <c r="AT210" s="333">
        <f t="shared" si="193"/>
        <v>4.1250000000000002E-2</v>
      </c>
      <c r="AU210" s="334">
        <v>25</v>
      </c>
      <c r="AV210" s="387">
        <f t="shared" si="177"/>
        <v>0.25</v>
      </c>
      <c r="AW210" s="682">
        <v>25</v>
      </c>
      <c r="AX210" s="366">
        <f t="shared" si="178"/>
        <v>25</v>
      </c>
      <c r="AY210" s="366">
        <f t="shared" si="179"/>
        <v>100</v>
      </c>
      <c r="AZ210" s="366">
        <f t="shared" si="194"/>
        <v>100</v>
      </c>
      <c r="BA210" s="354">
        <f t="shared" si="195"/>
        <v>4.1250000000000002E-2</v>
      </c>
      <c r="BB210" s="354">
        <f t="shared" si="196"/>
        <v>100</v>
      </c>
      <c r="BC210" s="353">
        <v>13000000</v>
      </c>
      <c r="BD210" s="353">
        <v>0</v>
      </c>
      <c r="BE210" s="353">
        <v>13000000</v>
      </c>
      <c r="BF210" s="353">
        <v>0</v>
      </c>
      <c r="BG210" s="353">
        <v>0</v>
      </c>
      <c r="BH210" s="353">
        <v>0</v>
      </c>
      <c r="BI210" s="353">
        <v>0</v>
      </c>
      <c r="BJ210" s="353">
        <v>0</v>
      </c>
      <c r="BK210" s="452">
        <v>30000000</v>
      </c>
      <c r="BL210" s="351">
        <v>30000000</v>
      </c>
      <c r="BM210" s="351">
        <v>0</v>
      </c>
      <c r="BN210" s="351">
        <v>0</v>
      </c>
      <c r="BO210" s="351">
        <v>0</v>
      </c>
      <c r="BP210" s="351">
        <v>0</v>
      </c>
      <c r="BQ210" s="351">
        <v>0</v>
      </c>
      <c r="BR210" s="351">
        <v>0</v>
      </c>
      <c r="BS210" s="351">
        <v>0</v>
      </c>
      <c r="BT210" s="351">
        <v>0</v>
      </c>
      <c r="BU210" s="351">
        <v>0</v>
      </c>
      <c r="BV210" s="350">
        <f t="shared" si="197"/>
        <v>4.1250000000000002E-2</v>
      </c>
      <c r="BW210" s="350">
        <v>25</v>
      </c>
      <c r="BX210" s="385">
        <f t="shared" si="180"/>
        <v>0.25</v>
      </c>
      <c r="BY210" s="399">
        <v>25</v>
      </c>
      <c r="BZ210" s="398">
        <v>25</v>
      </c>
      <c r="CA210" s="690">
        <v>25</v>
      </c>
      <c r="CB210" s="324">
        <f t="shared" si="181"/>
        <v>25</v>
      </c>
      <c r="CC210" s="324">
        <f t="shared" si="182"/>
        <v>100</v>
      </c>
      <c r="CD210" s="384">
        <f t="shared" si="198"/>
        <v>100</v>
      </c>
      <c r="CE210" s="383">
        <f t="shared" si="199"/>
        <v>4.1250000000000002E-2</v>
      </c>
      <c r="CF210" s="367">
        <f t="shared" si="200"/>
        <v>100</v>
      </c>
      <c r="CG210" s="383">
        <f t="shared" si="201"/>
        <v>4.1250000000000002E-2</v>
      </c>
      <c r="CH210" s="320">
        <f t="shared" si="202"/>
        <v>4.1250000000000002E-2</v>
      </c>
      <c r="CI210" s="319">
        <v>25</v>
      </c>
      <c r="CJ210" s="318">
        <f t="shared" si="183"/>
        <v>0.25</v>
      </c>
      <c r="CK210" s="1259">
        <v>25</v>
      </c>
      <c r="CL210" s="301">
        <f t="shared" si="184"/>
        <v>0</v>
      </c>
      <c r="CM210" s="381">
        <f t="shared" si="185"/>
        <v>25</v>
      </c>
      <c r="CN210" s="381">
        <f t="shared" si="186"/>
        <v>100</v>
      </c>
      <c r="CO210" s="316">
        <f t="shared" si="203"/>
        <v>100</v>
      </c>
      <c r="CP210" s="381">
        <f t="shared" si="204"/>
        <v>4.1250000000000002E-2</v>
      </c>
      <c r="CQ210" s="381">
        <f t="shared" si="205"/>
        <v>4.1250000000000002E-2</v>
      </c>
      <c r="CR210" s="313">
        <v>30000000</v>
      </c>
      <c r="CS210" s="313">
        <v>30000000</v>
      </c>
      <c r="CT210" s="313">
        <v>0</v>
      </c>
      <c r="CU210" s="313">
        <v>0</v>
      </c>
      <c r="CV210" s="313">
        <v>0</v>
      </c>
      <c r="CW210" s="313">
        <v>0</v>
      </c>
      <c r="CX210" s="313">
        <v>0</v>
      </c>
      <c r="CY210" s="313">
        <v>0</v>
      </c>
      <c r="CZ210" s="380">
        <v>0</v>
      </c>
      <c r="DA210" s="380">
        <v>0</v>
      </c>
      <c r="DB210" s="380">
        <v>0</v>
      </c>
      <c r="DC210" s="380">
        <v>0</v>
      </c>
      <c r="DD210" s="380">
        <v>0</v>
      </c>
      <c r="DE210" s="380">
        <v>0</v>
      </c>
      <c r="DF210" s="380">
        <v>0</v>
      </c>
      <c r="DG210" s="380">
        <v>0</v>
      </c>
      <c r="DH210" s="380">
        <v>0</v>
      </c>
      <c r="DI210" s="380">
        <v>0</v>
      </c>
      <c r="DJ210" s="380">
        <v>0</v>
      </c>
      <c r="DK210" s="702">
        <f t="shared" si="187"/>
        <v>100</v>
      </c>
      <c r="DL210" s="311">
        <f t="shared" si="206"/>
        <v>0.16500000000000001</v>
      </c>
      <c r="DM210" s="310">
        <f t="shared" si="207"/>
        <v>100</v>
      </c>
      <c r="DN210" s="356">
        <f t="shared" si="208"/>
        <v>100</v>
      </c>
      <c r="DO210" s="308">
        <f t="shared" si="209"/>
        <v>0.16500000000000001</v>
      </c>
      <c r="DP210" s="359">
        <f t="shared" si="214"/>
        <v>0.16500000000000001</v>
      </c>
      <c r="DQ210" s="306">
        <f t="shared" si="210"/>
        <v>0.16500000000000001</v>
      </c>
      <c r="DR210" s="379">
        <f t="shared" si="211"/>
        <v>1</v>
      </c>
      <c r="DS210" s="378">
        <f t="shared" si="212"/>
        <v>0</v>
      </c>
      <c r="DT210" s="173">
        <v>247</v>
      </c>
      <c r="DU210" s="174" t="s">
        <v>119</v>
      </c>
      <c r="DV210" s="173"/>
      <c r="DW210" s="174" t="s">
        <v>84</v>
      </c>
      <c r="DX210" s="173"/>
      <c r="DY210" s="173"/>
      <c r="DZ210" s="173"/>
      <c r="EA210" s="665"/>
      <c r="EB210" s="1254" t="s">
        <v>3244</v>
      </c>
      <c r="EC210" s="537">
        <v>17196000000</v>
      </c>
      <c r="EE210" s="734">
        <v>0</v>
      </c>
      <c r="EF210" s="706"/>
    </row>
    <row r="211" spans="4:136" s="302" customFormat="1" ht="38.25" hidden="1">
      <c r="D211" s="520">
        <v>208</v>
      </c>
      <c r="E211" s="534">
        <v>253</v>
      </c>
      <c r="F211" s="523" t="s">
        <v>43</v>
      </c>
      <c r="G211" s="479" t="s">
        <v>7</v>
      </c>
      <c r="H211" s="526" t="s">
        <v>2660</v>
      </c>
      <c r="I211" s="462" t="s">
        <v>564</v>
      </c>
      <c r="J211" s="335" t="s">
        <v>574</v>
      </c>
      <c r="K211" s="335" t="s">
        <v>575</v>
      </c>
      <c r="L211" s="453" t="s">
        <v>1963</v>
      </c>
      <c r="M211" s="334" t="s">
        <v>1771</v>
      </c>
      <c r="N211" s="334">
        <v>0</v>
      </c>
      <c r="O211" s="333">
        <f t="shared" si="213"/>
        <v>100</v>
      </c>
      <c r="P211" s="332">
        <v>100</v>
      </c>
      <c r="Q211" s="390">
        <v>0.16500000000000001</v>
      </c>
      <c r="R211" s="342">
        <f t="shared" si="190"/>
        <v>0</v>
      </c>
      <c r="S211" s="389">
        <v>0</v>
      </c>
      <c r="T211" s="387">
        <f t="shared" si="174"/>
        <v>0</v>
      </c>
      <c r="U211" s="670">
        <v>0</v>
      </c>
      <c r="V211" s="388">
        <f t="shared" si="175"/>
        <v>0</v>
      </c>
      <c r="W211" s="356">
        <f t="shared" si="176"/>
        <v>0</v>
      </c>
      <c r="X211" s="356">
        <f t="shared" si="191"/>
        <v>0</v>
      </c>
      <c r="Y211" s="356">
        <f t="shared" si="215"/>
        <v>0</v>
      </c>
      <c r="Z211" s="356">
        <f t="shared" si="192"/>
        <v>0</v>
      </c>
      <c r="AA211" s="355">
        <v>0</v>
      </c>
      <c r="AB211" s="355">
        <v>0</v>
      </c>
      <c r="AC211" s="355">
        <v>0</v>
      </c>
      <c r="AD211" s="355">
        <v>0</v>
      </c>
      <c r="AE211" s="355">
        <v>0</v>
      </c>
      <c r="AF211" s="355">
        <v>0</v>
      </c>
      <c r="AG211" s="355">
        <v>0</v>
      </c>
      <c r="AH211" s="355">
        <v>0</v>
      </c>
      <c r="AI211" s="355">
        <v>0</v>
      </c>
      <c r="AJ211" s="355">
        <v>0</v>
      </c>
      <c r="AK211" s="355">
        <v>0</v>
      </c>
      <c r="AL211" s="355">
        <v>0</v>
      </c>
      <c r="AM211" s="355">
        <v>0</v>
      </c>
      <c r="AN211" s="355">
        <v>0</v>
      </c>
      <c r="AO211" s="355">
        <v>0</v>
      </c>
      <c r="AP211" s="355">
        <v>0</v>
      </c>
      <c r="AQ211" s="355">
        <v>0</v>
      </c>
      <c r="AR211" s="355">
        <v>0</v>
      </c>
      <c r="AS211" s="355">
        <v>0</v>
      </c>
      <c r="AT211" s="333">
        <f t="shared" si="193"/>
        <v>3.3000000000000002E-2</v>
      </c>
      <c r="AU211" s="334">
        <v>20</v>
      </c>
      <c r="AV211" s="387">
        <f t="shared" si="177"/>
        <v>0.2</v>
      </c>
      <c r="AW211" s="682">
        <v>20</v>
      </c>
      <c r="AX211" s="366">
        <f t="shared" si="178"/>
        <v>20</v>
      </c>
      <c r="AY211" s="366">
        <f t="shared" si="179"/>
        <v>100</v>
      </c>
      <c r="AZ211" s="366">
        <f t="shared" si="194"/>
        <v>100</v>
      </c>
      <c r="BA211" s="354">
        <f t="shared" si="195"/>
        <v>3.3000000000000002E-2</v>
      </c>
      <c r="BB211" s="354">
        <f t="shared" si="196"/>
        <v>100</v>
      </c>
      <c r="BC211" s="353">
        <v>0</v>
      </c>
      <c r="BD211" s="353">
        <v>0</v>
      </c>
      <c r="BE211" s="353">
        <v>0</v>
      </c>
      <c r="BF211" s="353">
        <v>0</v>
      </c>
      <c r="BG211" s="353">
        <v>0</v>
      </c>
      <c r="BH211" s="353">
        <v>0</v>
      </c>
      <c r="BI211" s="353">
        <v>0</v>
      </c>
      <c r="BJ211" s="353">
        <v>0</v>
      </c>
      <c r="BK211" s="452">
        <v>0</v>
      </c>
      <c r="BL211" s="351">
        <v>0</v>
      </c>
      <c r="BM211" s="351">
        <v>0</v>
      </c>
      <c r="BN211" s="351">
        <v>0</v>
      </c>
      <c r="BO211" s="351">
        <v>0</v>
      </c>
      <c r="BP211" s="351">
        <v>0</v>
      </c>
      <c r="BQ211" s="351">
        <v>0</v>
      </c>
      <c r="BR211" s="351">
        <v>0</v>
      </c>
      <c r="BS211" s="351">
        <v>0</v>
      </c>
      <c r="BT211" s="351">
        <v>0</v>
      </c>
      <c r="BU211" s="351">
        <v>0</v>
      </c>
      <c r="BV211" s="350">
        <f t="shared" si="197"/>
        <v>0</v>
      </c>
      <c r="BW211" s="350">
        <v>0</v>
      </c>
      <c r="BX211" s="385">
        <f t="shared" si="180"/>
        <v>0</v>
      </c>
      <c r="BY211" s="399">
        <v>0</v>
      </c>
      <c r="BZ211" s="398">
        <v>0</v>
      </c>
      <c r="CA211" s="690">
        <v>0</v>
      </c>
      <c r="CB211" s="324">
        <f t="shared" si="181"/>
        <v>0</v>
      </c>
      <c r="CC211" s="324">
        <f t="shared" si="182"/>
        <v>0</v>
      </c>
      <c r="CD211" s="384">
        <f t="shared" si="198"/>
        <v>0</v>
      </c>
      <c r="CE211" s="383">
        <f t="shared" si="199"/>
        <v>0</v>
      </c>
      <c r="CF211" s="367">
        <f t="shared" si="200"/>
        <v>0</v>
      </c>
      <c r="CG211" s="383">
        <f t="shared" si="201"/>
        <v>0</v>
      </c>
      <c r="CH211" s="320">
        <f t="shared" si="202"/>
        <v>0.13200000000000001</v>
      </c>
      <c r="CI211" s="319">
        <v>80</v>
      </c>
      <c r="CJ211" s="318">
        <f t="shared" si="183"/>
        <v>0.8</v>
      </c>
      <c r="CK211" s="1259">
        <v>80</v>
      </c>
      <c r="CL211" s="301">
        <f t="shared" si="184"/>
        <v>0</v>
      </c>
      <c r="CM211" s="381">
        <f t="shared" si="185"/>
        <v>80</v>
      </c>
      <c r="CN211" s="381">
        <f t="shared" si="186"/>
        <v>100</v>
      </c>
      <c r="CO211" s="316">
        <f t="shared" si="203"/>
        <v>100</v>
      </c>
      <c r="CP211" s="381">
        <f t="shared" si="204"/>
        <v>0.13200000000000001</v>
      </c>
      <c r="CQ211" s="381">
        <f t="shared" si="205"/>
        <v>0.13200000000000001</v>
      </c>
      <c r="CR211" s="313">
        <v>0</v>
      </c>
      <c r="CS211" s="313">
        <v>0</v>
      </c>
      <c r="CT211" s="313">
        <v>0</v>
      </c>
      <c r="CU211" s="313">
        <v>0</v>
      </c>
      <c r="CV211" s="313">
        <v>0</v>
      </c>
      <c r="CW211" s="313">
        <v>0</v>
      </c>
      <c r="CX211" s="313">
        <v>0</v>
      </c>
      <c r="CY211" s="313">
        <v>0</v>
      </c>
      <c r="CZ211" s="380">
        <v>0</v>
      </c>
      <c r="DA211" s="380">
        <v>0</v>
      </c>
      <c r="DB211" s="380">
        <v>0</v>
      </c>
      <c r="DC211" s="380">
        <v>0</v>
      </c>
      <c r="DD211" s="380">
        <v>0</v>
      </c>
      <c r="DE211" s="380">
        <v>0</v>
      </c>
      <c r="DF211" s="380">
        <v>0</v>
      </c>
      <c r="DG211" s="380">
        <v>0</v>
      </c>
      <c r="DH211" s="380">
        <v>0</v>
      </c>
      <c r="DI211" s="380">
        <v>0</v>
      </c>
      <c r="DJ211" s="380">
        <v>0</v>
      </c>
      <c r="DK211" s="702">
        <f t="shared" si="187"/>
        <v>100</v>
      </c>
      <c r="DL211" s="311">
        <f t="shared" si="206"/>
        <v>0.16500000000000001</v>
      </c>
      <c r="DM211" s="310">
        <f t="shared" si="207"/>
        <v>100</v>
      </c>
      <c r="DN211" s="356">
        <f t="shared" si="208"/>
        <v>100</v>
      </c>
      <c r="DO211" s="308">
        <f t="shared" si="209"/>
        <v>0.16500000000000001</v>
      </c>
      <c r="DP211" s="359">
        <f t="shared" si="214"/>
        <v>0.16500000000000001</v>
      </c>
      <c r="DQ211" s="306">
        <f t="shared" si="210"/>
        <v>0.16500000000000001</v>
      </c>
      <c r="DR211" s="379">
        <f t="shared" si="211"/>
        <v>1</v>
      </c>
      <c r="DS211" s="378">
        <f t="shared" si="212"/>
        <v>0</v>
      </c>
      <c r="DT211" s="173">
        <v>247</v>
      </c>
      <c r="DU211" s="174" t="s">
        <v>119</v>
      </c>
      <c r="DV211" s="173"/>
      <c r="DW211" s="174" t="s">
        <v>84</v>
      </c>
      <c r="DX211" s="173"/>
      <c r="DY211" s="173"/>
      <c r="DZ211" s="173"/>
      <c r="EA211" s="665"/>
      <c r="EB211" s="1254" t="s">
        <v>2461</v>
      </c>
      <c r="EC211" s="537">
        <v>6696000000</v>
      </c>
      <c r="EE211" s="734">
        <v>0</v>
      </c>
      <c r="EF211" s="706"/>
    </row>
    <row r="212" spans="4:136" s="302" customFormat="1" ht="63.75" hidden="1">
      <c r="D212" s="520">
        <v>209</v>
      </c>
      <c r="E212" s="534">
        <v>254</v>
      </c>
      <c r="F212" s="523" t="s">
        <v>43</v>
      </c>
      <c r="G212" s="479" t="s">
        <v>7</v>
      </c>
      <c r="H212" s="526" t="s">
        <v>2660</v>
      </c>
      <c r="I212" s="462" t="s">
        <v>576</v>
      </c>
      <c r="J212" s="335" t="s">
        <v>577</v>
      </c>
      <c r="K212" s="335" t="s">
        <v>578</v>
      </c>
      <c r="L212" s="454" t="s">
        <v>1962</v>
      </c>
      <c r="M212" s="334" t="s">
        <v>1785</v>
      </c>
      <c r="N212" s="334">
        <v>0</v>
      </c>
      <c r="O212" s="333">
        <f>+P212</f>
        <v>1</v>
      </c>
      <c r="P212" s="332">
        <v>1</v>
      </c>
      <c r="Q212" s="390">
        <v>0.16500000000000001</v>
      </c>
      <c r="R212" s="342">
        <f t="shared" si="190"/>
        <v>4.1250000000000002E-2</v>
      </c>
      <c r="S212" s="389">
        <v>1</v>
      </c>
      <c r="T212" s="387">
        <f t="shared" si="174"/>
        <v>0.25</v>
      </c>
      <c r="U212" s="670">
        <v>1</v>
      </c>
      <c r="V212" s="388">
        <f t="shared" si="175"/>
        <v>0.25</v>
      </c>
      <c r="W212" s="356">
        <f t="shared" si="176"/>
        <v>100</v>
      </c>
      <c r="X212" s="356">
        <f t="shared" si="191"/>
        <v>100</v>
      </c>
      <c r="Y212" s="356">
        <f t="shared" si="215"/>
        <v>4.1250000000000002E-2</v>
      </c>
      <c r="Z212" s="356">
        <f t="shared" si="192"/>
        <v>100</v>
      </c>
      <c r="AA212" s="355">
        <v>10000000</v>
      </c>
      <c r="AB212" s="355">
        <v>10000000</v>
      </c>
      <c r="AC212" s="355">
        <v>0</v>
      </c>
      <c r="AD212" s="355">
        <v>0</v>
      </c>
      <c r="AE212" s="355">
        <v>0</v>
      </c>
      <c r="AF212" s="355">
        <v>0</v>
      </c>
      <c r="AG212" s="355">
        <v>0</v>
      </c>
      <c r="AH212" s="355">
        <v>0</v>
      </c>
      <c r="AI212" s="355">
        <v>57800000</v>
      </c>
      <c r="AJ212" s="355">
        <v>57800000</v>
      </c>
      <c r="AK212" s="355">
        <v>0</v>
      </c>
      <c r="AL212" s="355">
        <v>0</v>
      </c>
      <c r="AM212" s="355">
        <v>0</v>
      </c>
      <c r="AN212" s="355">
        <v>0</v>
      </c>
      <c r="AO212" s="355">
        <v>0</v>
      </c>
      <c r="AP212" s="355">
        <v>0</v>
      </c>
      <c r="AQ212" s="355">
        <v>0</v>
      </c>
      <c r="AR212" s="355">
        <v>6000000</v>
      </c>
      <c r="AS212" s="355" t="s">
        <v>1961</v>
      </c>
      <c r="AT212" s="333">
        <f t="shared" si="193"/>
        <v>4.1250000000000002E-2</v>
      </c>
      <c r="AU212" s="334">
        <v>1</v>
      </c>
      <c r="AV212" s="387">
        <f t="shared" si="177"/>
        <v>0.25</v>
      </c>
      <c r="AW212" s="677">
        <v>1</v>
      </c>
      <c r="AX212" s="366">
        <f t="shared" si="178"/>
        <v>0.25</v>
      </c>
      <c r="AY212" s="366">
        <f t="shared" si="179"/>
        <v>100</v>
      </c>
      <c r="AZ212" s="366">
        <f t="shared" si="194"/>
        <v>100</v>
      </c>
      <c r="BA212" s="354">
        <f t="shared" si="195"/>
        <v>4.1250000000000002E-2</v>
      </c>
      <c r="BB212" s="354">
        <f t="shared" si="196"/>
        <v>100</v>
      </c>
      <c r="BC212" s="353">
        <v>0</v>
      </c>
      <c r="BD212" s="353">
        <v>0</v>
      </c>
      <c r="BE212" s="353">
        <v>0</v>
      </c>
      <c r="BF212" s="353">
        <v>0</v>
      </c>
      <c r="BG212" s="353">
        <v>0</v>
      </c>
      <c r="BH212" s="353">
        <v>0</v>
      </c>
      <c r="BI212" s="353">
        <v>0</v>
      </c>
      <c r="BJ212" s="353">
        <v>0</v>
      </c>
      <c r="BK212" s="452">
        <v>0</v>
      </c>
      <c r="BL212" s="351">
        <v>0</v>
      </c>
      <c r="BM212" s="351">
        <v>0</v>
      </c>
      <c r="BN212" s="351">
        <v>0</v>
      </c>
      <c r="BO212" s="351">
        <v>0</v>
      </c>
      <c r="BP212" s="351">
        <v>0</v>
      </c>
      <c r="BQ212" s="351">
        <v>0</v>
      </c>
      <c r="BR212" s="351">
        <v>0</v>
      </c>
      <c r="BS212" s="351">
        <v>0</v>
      </c>
      <c r="BT212" s="351">
        <v>0</v>
      </c>
      <c r="BU212" s="351">
        <v>0</v>
      </c>
      <c r="BV212" s="350">
        <f t="shared" si="197"/>
        <v>4.1250000000000002E-2</v>
      </c>
      <c r="BW212" s="350">
        <v>1</v>
      </c>
      <c r="BX212" s="385">
        <f t="shared" si="180"/>
        <v>0.25</v>
      </c>
      <c r="BY212" s="399">
        <v>1</v>
      </c>
      <c r="BZ212" s="398">
        <v>1</v>
      </c>
      <c r="CA212" s="690">
        <v>1</v>
      </c>
      <c r="CB212" s="324">
        <f t="shared" si="181"/>
        <v>0.25</v>
      </c>
      <c r="CC212" s="324">
        <f t="shared" si="182"/>
        <v>100</v>
      </c>
      <c r="CD212" s="384">
        <f t="shared" si="198"/>
        <v>100</v>
      </c>
      <c r="CE212" s="383">
        <f t="shared" si="199"/>
        <v>4.1250000000000002E-2</v>
      </c>
      <c r="CF212" s="367">
        <f t="shared" si="200"/>
        <v>100</v>
      </c>
      <c r="CG212" s="383">
        <f t="shared" si="201"/>
        <v>4.1250000000000002E-2</v>
      </c>
      <c r="CH212" s="320">
        <f t="shared" si="202"/>
        <v>4.1250000000000002E-2</v>
      </c>
      <c r="CI212" s="319">
        <v>1</v>
      </c>
      <c r="CJ212" s="318">
        <f t="shared" si="183"/>
        <v>0.25</v>
      </c>
      <c r="CK212" s="1259">
        <v>1</v>
      </c>
      <c r="CL212" s="301">
        <f t="shared" si="184"/>
        <v>0</v>
      </c>
      <c r="CM212" s="381">
        <f t="shared" si="185"/>
        <v>0.25</v>
      </c>
      <c r="CN212" s="381">
        <f t="shared" si="186"/>
        <v>100</v>
      </c>
      <c r="CO212" s="381">
        <f t="shared" si="203"/>
        <v>100</v>
      </c>
      <c r="CP212" s="381">
        <f t="shared" si="204"/>
        <v>4.1250000000000002E-2</v>
      </c>
      <c r="CQ212" s="381">
        <f t="shared" si="205"/>
        <v>4.1250000000000002E-2</v>
      </c>
      <c r="CR212" s="313">
        <v>0</v>
      </c>
      <c r="CS212" s="313">
        <v>0</v>
      </c>
      <c r="CT212" s="313">
        <v>0</v>
      </c>
      <c r="CU212" s="313">
        <v>0</v>
      </c>
      <c r="CV212" s="313">
        <v>0</v>
      </c>
      <c r="CW212" s="313">
        <v>0</v>
      </c>
      <c r="CX212" s="313">
        <v>0</v>
      </c>
      <c r="CY212" s="313">
        <v>0</v>
      </c>
      <c r="CZ212" s="380">
        <v>0</v>
      </c>
      <c r="DA212" s="380">
        <v>0</v>
      </c>
      <c r="DB212" s="380">
        <v>0</v>
      </c>
      <c r="DC212" s="380">
        <v>0</v>
      </c>
      <c r="DD212" s="380">
        <v>0</v>
      </c>
      <c r="DE212" s="380">
        <v>0</v>
      </c>
      <c r="DF212" s="380">
        <v>0</v>
      </c>
      <c r="DG212" s="380">
        <v>0</v>
      </c>
      <c r="DH212" s="380">
        <v>0</v>
      </c>
      <c r="DI212" s="380">
        <v>0</v>
      </c>
      <c r="DJ212" s="380">
        <v>0</v>
      </c>
      <c r="DK212" s="702">
        <f t="shared" si="187"/>
        <v>1</v>
      </c>
      <c r="DL212" s="311">
        <f t="shared" si="206"/>
        <v>0.16500000000000001</v>
      </c>
      <c r="DM212" s="310">
        <f t="shared" si="207"/>
        <v>100</v>
      </c>
      <c r="DN212" s="356">
        <f t="shared" si="208"/>
        <v>100</v>
      </c>
      <c r="DO212" s="308">
        <f t="shared" si="209"/>
        <v>0.16500000000000001</v>
      </c>
      <c r="DP212" s="359">
        <f>+IF(M212="M",DO212,0)</f>
        <v>0.16500000000000001</v>
      </c>
      <c r="DQ212" s="306">
        <f t="shared" si="210"/>
        <v>0.16500000000000001</v>
      </c>
      <c r="DR212" s="379">
        <f t="shared" si="211"/>
        <v>1</v>
      </c>
      <c r="DS212" s="378">
        <f t="shared" si="212"/>
        <v>0</v>
      </c>
      <c r="DT212" s="173">
        <v>247</v>
      </c>
      <c r="DU212" s="174" t="s">
        <v>119</v>
      </c>
      <c r="DV212" s="173"/>
      <c r="DW212" s="174" t="s">
        <v>84</v>
      </c>
      <c r="DX212" s="173"/>
      <c r="DY212" s="173"/>
      <c r="DZ212" s="173"/>
      <c r="EA212" s="665"/>
      <c r="EB212" s="1254" t="s">
        <v>3245</v>
      </c>
      <c r="EC212" s="537">
        <v>12803000000</v>
      </c>
      <c r="EE212" s="734">
        <v>0</v>
      </c>
      <c r="EF212" s="706"/>
    </row>
    <row r="213" spans="4:136" s="302" customFormat="1" ht="114.75" hidden="1">
      <c r="D213" s="520">
        <v>210</v>
      </c>
      <c r="E213" s="534">
        <v>255</v>
      </c>
      <c r="F213" s="523" t="s">
        <v>43</v>
      </c>
      <c r="G213" s="479" t="s">
        <v>7</v>
      </c>
      <c r="H213" s="526" t="s">
        <v>2660</v>
      </c>
      <c r="I213" s="462" t="s">
        <v>576</v>
      </c>
      <c r="J213" s="335" t="s">
        <v>579</v>
      </c>
      <c r="K213" s="335" t="s">
        <v>580</v>
      </c>
      <c r="L213" s="453" t="s">
        <v>1415</v>
      </c>
      <c r="M213" s="334" t="s">
        <v>1771</v>
      </c>
      <c r="N213" s="334">
        <v>0</v>
      </c>
      <c r="O213" s="333">
        <f t="shared" ref="O213:O226" si="216">+N213+P213</f>
        <v>116</v>
      </c>
      <c r="P213" s="332">
        <v>116</v>
      </c>
      <c r="Q213" s="390">
        <v>0.16500000000000001</v>
      </c>
      <c r="R213" s="342">
        <f t="shared" si="190"/>
        <v>9.2456896551724135E-2</v>
      </c>
      <c r="S213" s="389">
        <v>65</v>
      </c>
      <c r="T213" s="387">
        <f t="shared" si="174"/>
        <v>0.56034482758620685</v>
      </c>
      <c r="U213" s="670">
        <v>25</v>
      </c>
      <c r="V213" s="388">
        <f t="shared" si="175"/>
        <v>25</v>
      </c>
      <c r="W213" s="356">
        <f t="shared" si="176"/>
        <v>38.46153846153846</v>
      </c>
      <c r="X213" s="356">
        <f t="shared" si="191"/>
        <v>38.46153846153846</v>
      </c>
      <c r="Y213" s="356">
        <f t="shared" si="215"/>
        <v>3.5560344827586209E-2</v>
      </c>
      <c r="Z213" s="356">
        <f t="shared" si="192"/>
        <v>38.46153846153846</v>
      </c>
      <c r="AA213" s="355">
        <v>54000000</v>
      </c>
      <c r="AB213" s="355">
        <v>48000000</v>
      </c>
      <c r="AC213" s="355">
        <v>0</v>
      </c>
      <c r="AD213" s="355">
        <v>0</v>
      </c>
      <c r="AE213" s="355">
        <v>0</v>
      </c>
      <c r="AF213" s="355">
        <v>0</v>
      </c>
      <c r="AG213" s="355">
        <v>0</v>
      </c>
      <c r="AH213" s="355">
        <v>6000000</v>
      </c>
      <c r="AI213" s="355">
        <v>0</v>
      </c>
      <c r="AJ213" s="355">
        <v>0</v>
      </c>
      <c r="AK213" s="355">
        <v>0</v>
      </c>
      <c r="AL213" s="355">
        <v>0</v>
      </c>
      <c r="AM213" s="355">
        <v>0</v>
      </c>
      <c r="AN213" s="355">
        <v>0</v>
      </c>
      <c r="AO213" s="355">
        <v>0</v>
      </c>
      <c r="AP213" s="355">
        <v>0</v>
      </c>
      <c r="AQ213" s="355">
        <v>0</v>
      </c>
      <c r="AR213" s="355">
        <v>0</v>
      </c>
      <c r="AS213" s="355">
        <v>0</v>
      </c>
      <c r="AT213" s="333">
        <f t="shared" si="193"/>
        <v>4.267241379310345E-2</v>
      </c>
      <c r="AU213" s="334">
        <v>30</v>
      </c>
      <c r="AV213" s="387">
        <f t="shared" si="177"/>
        <v>0.25862068965517243</v>
      </c>
      <c r="AW213" s="677">
        <v>30</v>
      </c>
      <c r="AX213" s="366">
        <f t="shared" si="178"/>
        <v>30</v>
      </c>
      <c r="AY213" s="366">
        <f t="shared" si="179"/>
        <v>100</v>
      </c>
      <c r="AZ213" s="366">
        <f t="shared" si="194"/>
        <v>100</v>
      </c>
      <c r="BA213" s="354">
        <f t="shared" si="195"/>
        <v>4.267241379310345E-2</v>
      </c>
      <c r="BB213" s="354">
        <f t="shared" si="196"/>
        <v>100</v>
      </c>
      <c r="BC213" s="353">
        <v>15000000</v>
      </c>
      <c r="BD213" s="353">
        <v>0</v>
      </c>
      <c r="BE213" s="353">
        <v>15000000</v>
      </c>
      <c r="BF213" s="353">
        <v>0</v>
      </c>
      <c r="BG213" s="353">
        <v>0</v>
      </c>
      <c r="BH213" s="353">
        <v>0</v>
      </c>
      <c r="BI213" s="353">
        <v>0</v>
      </c>
      <c r="BJ213" s="353">
        <v>0</v>
      </c>
      <c r="BK213" s="452">
        <v>30000000</v>
      </c>
      <c r="BL213" s="351">
        <v>30000000</v>
      </c>
      <c r="BM213" s="351">
        <v>0</v>
      </c>
      <c r="BN213" s="351">
        <v>0</v>
      </c>
      <c r="BO213" s="351">
        <v>0</v>
      </c>
      <c r="BP213" s="351">
        <v>0</v>
      </c>
      <c r="BQ213" s="351">
        <v>0</v>
      </c>
      <c r="BR213" s="351">
        <v>0</v>
      </c>
      <c r="BS213" s="351">
        <v>0</v>
      </c>
      <c r="BT213" s="351">
        <v>0</v>
      </c>
      <c r="BU213" s="351">
        <v>0</v>
      </c>
      <c r="BV213" s="350">
        <f t="shared" si="197"/>
        <v>1.4224137931034485E-2</v>
      </c>
      <c r="BW213" s="350">
        <v>10</v>
      </c>
      <c r="BX213" s="385">
        <f t="shared" si="180"/>
        <v>8.6206896551724144E-2</v>
      </c>
      <c r="BY213" s="399">
        <v>86</v>
      </c>
      <c r="BZ213" s="398">
        <v>30</v>
      </c>
      <c r="CA213" s="690">
        <v>41</v>
      </c>
      <c r="CB213" s="324">
        <f t="shared" si="181"/>
        <v>41</v>
      </c>
      <c r="CC213" s="324">
        <f t="shared" si="182"/>
        <v>410</v>
      </c>
      <c r="CD213" s="384">
        <f t="shared" si="198"/>
        <v>100</v>
      </c>
      <c r="CE213" s="383">
        <f t="shared" si="199"/>
        <v>1.4224137931034487E-2</v>
      </c>
      <c r="CF213" s="367">
        <f t="shared" si="200"/>
        <v>100</v>
      </c>
      <c r="CG213" s="383">
        <f t="shared" si="201"/>
        <v>5.8318965517241389E-2</v>
      </c>
      <c r="CH213" s="320">
        <f t="shared" si="202"/>
        <v>1.5646551724137932E-2</v>
      </c>
      <c r="CI213" s="319">
        <v>11</v>
      </c>
      <c r="CJ213" s="318">
        <f t="shared" si="183"/>
        <v>9.4827586206896547E-2</v>
      </c>
      <c r="CK213" s="1260">
        <v>20</v>
      </c>
      <c r="CL213" s="301">
        <f t="shared" si="184"/>
        <v>-9</v>
      </c>
      <c r="CM213" s="381">
        <f t="shared" si="185"/>
        <v>20</v>
      </c>
      <c r="CN213" s="381">
        <f t="shared" si="186"/>
        <v>181.81818181818181</v>
      </c>
      <c r="CO213" s="316">
        <f t="shared" si="203"/>
        <v>100</v>
      </c>
      <c r="CP213" s="381">
        <f t="shared" si="204"/>
        <v>1.5646551724137932E-2</v>
      </c>
      <c r="CQ213" s="381">
        <f t="shared" si="205"/>
        <v>2.8448275862068967E-2</v>
      </c>
      <c r="CR213" s="313">
        <v>34000000</v>
      </c>
      <c r="CS213" s="313">
        <v>34000000</v>
      </c>
      <c r="CT213" s="313">
        <v>0</v>
      </c>
      <c r="CU213" s="313">
        <v>0</v>
      </c>
      <c r="CV213" s="313">
        <v>0</v>
      </c>
      <c r="CW213" s="313">
        <v>0</v>
      </c>
      <c r="CX213" s="313">
        <v>0</v>
      </c>
      <c r="CY213" s="313">
        <v>0</v>
      </c>
      <c r="CZ213" s="380">
        <v>0</v>
      </c>
      <c r="DA213" s="380">
        <v>0</v>
      </c>
      <c r="DB213" s="380">
        <v>0</v>
      </c>
      <c r="DC213" s="380">
        <v>0</v>
      </c>
      <c r="DD213" s="380">
        <v>0</v>
      </c>
      <c r="DE213" s="380">
        <v>0</v>
      </c>
      <c r="DF213" s="380">
        <v>0</v>
      </c>
      <c r="DG213" s="380">
        <v>0</v>
      </c>
      <c r="DH213" s="380">
        <v>0</v>
      </c>
      <c r="DI213" s="380">
        <v>0</v>
      </c>
      <c r="DJ213" s="380">
        <v>0</v>
      </c>
      <c r="DK213" s="702">
        <f t="shared" si="187"/>
        <v>116</v>
      </c>
      <c r="DL213" s="311">
        <f t="shared" si="206"/>
        <v>0.16500000000000001</v>
      </c>
      <c r="DM213" s="310">
        <f t="shared" si="207"/>
        <v>100</v>
      </c>
      <c r="DN213" s="356">
        <f t="shared" si="208"/>
        <v>100</v>
      </c>
      <c r="DO213" s="308">
        <f t="shared" si="209"/>
        <v>0.16500000000000001</v>
      </c>
      <c r="DP213" s="359">
        <f t="shared" ref="DP213:DP226" si="217">+IF(((DN213*Q213)/100)&lt;Q213, ((DN213*Q213)/100),Q213)</f>
        <v>0.16500000000000001</v>
      </c>
      <c r="DQ213" s="306">
        <f t="shared" si="210"/>
        <v>0.16500000000000001</v>
      </c>
      <c r="DR213" s="379">
        <f t="shared" si="211"/>
        <v>1</v>
      </c>
      <c r="DS213" s="378">
        <f t="shared" si="212"/>
        <v>0</v>
      </c>
      <c r="DT213" s="173">
        <v>247</v>
      </c>
      <c r="DU213" s="174" t="s">
        <v>119</v>
      </c>
      <c r="DV213" s="173"/>
      <c r="DW213" s="174" t="s">
        <v>84</v>
      </c>
      <c r="DX213" s="173"/>
      <c r="DY213" s="173"/>
      <c r="DZ213" s="173"/>
      <c r="EA213" s="665"/>
      <c r="EB213" s="1254" t="s">
        <v>2462</v>
      </c>
      <c r="EC213" s="537">
        <v>0</v>
      </c>
      <c r="EE213" s="734">
        <v>0</v>
      </c>
      <c r="EF213" s="706"/>
    </row>
    <row r="214" spans="4:136" s="302" customFormat="1" ht="63.75" hidden="1">
      <c r="D214" s="520">
        <v>211</v>
      </c>
      <c r="E214" s="534">
        <v>256</v>
      </c>
      <c r="F214" s="523" t="s">
        <v>43</v>
      </c>
      <c r="G214" s="479" t="s">
        <v>7</v>
      </c>
      <c r="H214" s="526" t="s">
        <v>2660</v>
      </c>
      <c r="I214" s="462" t="s">
        <v>576</v>
      </c>
      <c r="J214" s="335" t="s">
        <v>581</v>
      </c>
      <c r="K214" s="335" t="s">
        <v>582</v>
      </c>
      <c r="L214" s="454" t="s">
        <v>1960</v>
      </c>
      <c r="M214" s="334" t="s">
        <v>1771</v>
      </c>
      <c r="N214" s="334">
        <v>0</v>
      </c>
      <c r="O214" s="333">
        <f t="shared" si="216"/>
        <v>1</v>
      </c>
      <c r="P214" s="332">
        <v>1</v>
      </c>
      <c r="Q214" s="390">
        <v>8.8999999999999996E-2</v>
      </c>
      <c r="R214" s="342">
        <f t="shared" si="190"/>
        <v>0</v>
      </c>
      <c r="S214" s="389">
        <v>0</v>
      </c>
      <c r="T214" s="387">
        <f t="shared" si="174"/>
        <v>0</v>
      </c>
      <c r="U214" s="670">
        <v>0</v>
      </c>
      <c r="V214" s="388">
        <f t="shared" si="175"/>
        <v>0</v>
      </c>
      <c r="W214" s="356">
        <f t="shared" si="176"/>
        <v>0</v>
      </c>
      <c r="X214" s="356">
        <f t="shared" si="191"/>
        <v>0</v>
      </c>
      <c r="Y214" s="356">
        <f t="shared" si="215"/>
        <v>0</v>
      </c>
      <c r="Z214" s="356">
        <f t="shared" si="192"/>
        <v>0</v>
      </c>
      <c r="AA214" s="355">
        <v>0</v>
      </c>
      <c r="AB214" s="355">
        <v>0</v>
      </c>
      <c r="AC214" s="355">
        <v>0</v>
      </c>
      <c r="AD214" s="355">
        <v>0</v>
      </c>
      <c r="AE214" s="355">
        <v>0</v>
      </c>
      <c r="AF214" s="355">
        <v>0</v>
      </c>
      <c r="AG214" s="355">
        <v>0</v>
      </c>
      <c r="AH214" s="355">
        <v>0</v>
      </c>
      <c r="AI214" s="355">
        <v>0</v>
      </c>
      <c r="AJ214" s="355">
        <v>0</v>
      </c>
      <c r="AK214" s="355">
        <v>0</v>
      </c>
      <c r="AL214" s="355">
        <v>0</v>
      </c>
      <c r="AM214" s="355">
        <v>0</v>
      </c>
      <c r="AN214" s="355">
        <v>0</v>
      </c>
      <c r="AO214" s="355">
        <v>0</v>
      </c>
      <c r="AP214" s="355">
        <v>0</v>
      </c>
      <c r="AQ214" s="355">
        <v>0</v>
      </c>
      <c r="AR214" s="355">
        <v>0</v>
      </c>
      <c r="AS214" s="355">
        <v>0</v>
      </c>
      <c r="AT214" s="333">
        <f t="shared" si="193"/>
        <v>0</v>
      </c>
      <c r="AU214" s="334">
        <v>0</v>
      </c>
      <c r="AV214" s="387">
        <f t="shared" si="177"/>
        <v>0</v>
      </c>
      <c r="AW214" s="677">
        <v>0</v>
      </c>
      <c r="AX214" s="366">
        <f t="shared" si="178"/>
        <v>0</v>
      </c>
      <c r="AY214" s="366">
        <f t="shared" si="179"/>
        <v>0</v>
      </c>
      <c r="AZ214" s="366">
        <f t="shared" si="194"/>
        <v>0</v>
      </c>
      <c r="BA214" s="354">
        <f t="shared" si="195"/>
        <v>0</v>
      </c>
      <c r="BB214" s="354">
        <f t="shared" si="196"/>
        <v>0</v>
      </c>
      <c r="BC214" s="353">
        <v>0</v>
      </c>
      <c r="BD214" s="353">
        <v>0</v>
      </c>
      <c r="BE214" s="353">
        <v>0</v>
      </c>
      <c r="BF214" s="353">
        <v>0</v>
      </c>
      <c r="BG214" s="353">
        <v>0</v>
      </c>
      <c r="BH214" s="353">
        <v>0</v>
      </c>
      <c r="BI214" s="353">
        <v>0</v>
      </c>
      <c r="BJ214" s="353">
        <v>0</v>
      </c>
      <c r="BK214" s="452">
        <v>0</v>
      </c>
      <c r="BL214" s="351">
        <v>0</v>
      </c>
      <c r="BM214" s="351">
        <v>0</v>
      </c>
      <c r="BN214" s="351">
        <v>0</v>
      </c>
      <c r="BO214" s="351">
        <v>0</v>
      </c>
      <c r="BP214" s="351">
        <v>0</v>
      </c>
      <c r="BQ214" s="351">
        <v>0</v>
      </c>
      <c r="BR214" s="351">
        <v>0</v>
      </c>
      <c r="BS214" s="351">
        <v>0</v>
      </c>
      <c r="BT214" s="351">
        <v>0</v>
      </c>
      <c r="BU214" s="351">
        <v>0</v>
      </c>
      <c r="BV214" s="350">
        <f t="shared" si="197"/>
        <v>0</v>
      </c>
      <c r="BW214" s="350">
        <v>0</v>
      </c>
      <c r="BX214" s="385">
        <f t="shared" si="180"/>
        <v>0</v>
      </c>
      <c r="BY214" s="399">
        <v>1</v>
      </c>
      <c r="BZ214" s="398">
        <v>1</v>
      </c>
      <c r="CA214" s="690">
        <v>0.5</v>
      </c>
      <c r="CB214" s="324">
        <f t="shared" si="181"/>
        <v>0.5</v>
      </c>
      <c r="CC214" s="324">
        <f t="shared" si="182"/>
        <v>0</v>
      </c>
      <c r="CD214" s="384">
        <f t="shared" si="198"/>
        <v>0</v>
      </c>
      <c r="CE214" s="383">
        <f t="shared" si="199"/>
        <v>0</v>
      </c>
      <c r="CF214" s="367">
        <f t="shared" si="200"/>
        <v>100</v>
      </c>
      <c r="CG214" s="383">
        <f t="shared" si="201"/>
        <v>0</v>
      </c>
      <c r="CH214" s="320">
        <f t="shared" si="202"/>
        <v>8.8999999999999996E-2</v>
      </c>
      <c r="CI214" s="319">
        <v>1</v>
      </c>
      <c r="CJ214" s="318">
        <f t="shared" si="183"/>
        <v>1</v>
      </c>
      <c r="CK214" s="1259">
        <v>1</v>
      </c>
      <c r="CL214" s="301">
        <f t="shared" si="184"/>
        <v>0</v>
      </c>
      <c r="CM214" s="381">
        <f t="shared" si="185"/>
        <v>1</v>
      </c>
      <c r="CN214" s="381">
        <f t="shared" si="186"/>
        <v>100</v>
      </c>
      <c r="CO214" s="316">
        <f t="shared" si="203"/>
        <v>100</v>
      </c>
      <c r="CP214" s="381">
        <f t="shared" si="204"/>
        <v>8.900000000000001E-2</v>
      </c>
      <c r="CQ214" s="381">
        <f t="shared" si="205"/>
        <v>8.900000000000001E-2</v>
      </c>
      <c r="CR214" s="313">
        <v>0</v>
      </c>
      <c r="CS214" s="313">
        <v>0</v>
      </c>
      <c r="CT214" s="313">
        <v>0</v>
      </c>
      <c r="CU214" s="313">
        <v>0</v>
      </c>
      <c r="CV214" s="313">
        <v>0</v>
      </c>
      <c r="CW214" s="313">
        <v>0</v>
      </c>
      <c r="CX214" s="313">
        <v>0</v>
      </c>
      <c r="CY214" s="313">
        <v>0</v>
      </c>
      <c r="CZ214" s="380">
        <v>0</v>
      </c>
      <c r="DA214" s="380">
        <v>0</v>
      </c>
      <c r="DB214" s="380">
        <v>0</v>
      </c>
      <c r="DC214" s="380">
        <v>0</v>
      </c>
      <c r="DD214" s="380">
        <v>0</v>
      </c>
      <c r="DE214" s="380">
        <v>0</v>
      </c>
      <c r="DF214" s="380">
        <v>0</v>
      </c>
      <c r="DG214" s="380">
        <v>0</v>
      </c>
      <c r="DH214" s="380">
        <v>0</v>
      </c>
      <c r="DI214" s="380">
        <v>0</v>
      </c>
      <c r="DJ214" s="380">
        <v>0</v>
      </c>
      <c r="DK214" s="702">
        <f t="shared" si="187"/>
        <v>1.5</v>
      </c>
      <c r="DL214" s="311">
        <f t="shared" si="206"/>
        <v>8.8999999999999996E-2</v>
      </c>
      <c r="DM214" s="310">
        <f t="shared" si="207"/>
        <v>150</v>
      </c>
      <c r="DN214" s="356">
        <f t="shared" si="208"/>
        <v>100</v>
      </c>
      <c r="DO214" s="308">
        <f t="shared" si="209"/>
        <v>8.900000000000001E-2</v>
      </c>
      <c r="DP214" s="359">
        <f t="shared" si="217"/>
        <v>8.8999999999999996E-2</v>
      </c>
      <c r="DQ214" s="306">
        <f t="shared" si="210"/>
        <v>8.8999999999999996E-2</v>
      </c>
      <c r="DR214" s="379">
        <f t="shared" si="211"/>
        <v>1</v>
      </c>
      <c r="DS214" s="378">
        <f t="shared" si="212"/>
        <v>0</v>
      </c>
      <c r="DT214" s="173">
        <v>247</v>
      </c>
      <c r="DU214" s="174" t="s">
        <v>119</v>
      </c>
      <c r="DV214" s="173"/>
      <c r="DW214" s="174" t="s">
        <v>84</v>
      </c>
      <c r="DX214" s="173"/>
      <c r="DY214" s="173"/>
      <c r="DZ214" s="173"/>
      <c r="EA214" s="665"/>
      <c r="EB214" s="1254" t="s">
        <v>2533</v>
      </c>
      <c r="EC214" s="537">
        <v>0</v>
      </c>
      <c r="EE214" s="734">
        <v>0</v>
      </c>
      <c r="EF214" s="706"/>
    </row>
    <row r="215" spans="4:136" s="302" customFormat="1" ht="76.5" hidden="1">
      <c r="D215" s="520">
        <v>212</v>
      </c>
      <c r="E215" s="534">
        <v>258</v>
      </c>
      <c r="F215" s="523" t="s">
        <v>43</v>
      </c>
      <c r="G215" s="479" t="s">
        <v>15</v>
      </c>
      <c r="H215" s="526" t="s">
        <v>2658</v>
      </c>
      <c r="I215" s="462" t="s">
        <v>583</v>
      </c>
      <c r="J215" s="335" t="s">
        <v>584</v>
      </c>
      <c r="K215" s="335" t="s">
        <v>585</v>
      </c>
      <c r="L215" s="454" t="s">
        <v>1959</v>
      </c>
      <c r="M215" s="334" t="s">
        <v>1771</v>
      </c>
      <c r="N215" s="334">
        <v>284</v>
      </c>
      <c r="O215" s="333">
        <f t="shared" si="216"/>
        <v>784</v>
      </c>
      <c r="P215" s="332">
        <v>500</v>
      </c>
      <c r="Q215" s="390">
        <v>0.25</v>
      </c>
      <c r="R215" s="342">
        <f t="shared" si="190"/>
        <v>1.7999999999999999E-2</v>
      </c>
      <c r="S215" s="389">
        <v>36</v>
      </c>
      <c r="T215" s="387">
        <f t="shared" si="174"/>
        <v>7.1999999999999995E-2</v>
      </c>
      <c r="U215" s="670">
        <v>61</v>
      </c>
      <c r="V215" s="388">
        <f t="shared" si="175"/>
        <v>61</v>
      </c>
      <c r="W215" s="356">
        <f t="shared" si="176"/>
        <v>169.44444444444446</v>
      </c>
      <c r="X215" s="356">
        <f t="shared" si="191"/>
        <v>100</v>
      </c>
      <c r="Y215" s="356">
        <f t="shared" si="215"/>
        <v>1.7999999999999999E-2</v>
      </c>
      <c r="Z215" s="356">
        <f t="shared" si="192"/>
        <v>100</v>
      </c>
      <c r="AA215" s="355">
        <v>7609000000</v>
      </c>
      <c r="AB215" s="355">
        <v>2409000000</v>
      </c>
      <c r="AC215" s="355">
        <v>0</v>
      </c>
      <c r="AD215" s="355">
        <v>5200000000</v>
      </c>
      <c r="AE215" s="355">
        <v>0</v>
      </c>
      <c r="AF215" s="355">
        <v>0</v>
      </c>
      <c r="AG215" s="355">
        <v>0</v>
      </c>
      <c r="AH215" s="355">
        <v>0</v>
      </c>
      <c r="AI215" s="355">
        <v>15697714000</v>
      </c>
      <c r="AJ215" s="355">
        <v>15579977000</v>
      </c>
      <c r="AK215" s="355">
        <v>0</v>
      </c>
      <c r="AL215" s="355">
        <v>0</v>
      </c>
      <c r="AM215" s="355">
        <v>0</v>
      </c>
      <c r="AN215" s="355">
        <v>0</v>
      </c>
      <c r="AO215" s="355">
        <v>117737000</v>
      </c>
      <c r="AP215" s="355">
        <v>0</v>
      </c>
      <c r="AQ215" s="355">
        <v>0</v>
      </c>
      <c r="AR215" s="355">
        <v>0</v>
      </c>
      <c r="AS215" s="355">
        <v>0</v>
      </c>
      <c r="AT215" s="333">
        <f t="shared" si="193"/>
        <v>6.2E-2</v>
      </c>
      <c r="AU215" s="334">
        <v>124</v>
      </c>
      <c r="AV215" s="387">
        <f t="shared" si="177"/>
        <v>0.248</v>
      </c>
      <c r="AW215" s="677">
        <v>256</v>
      </c>
      <c r="AX215" s="366">
        <f t="shared" si="178"/>
        <v>256</v>
      </c>
      <c r="AY215" s="366">
        <f t="shared" si="179"/>
        <v>206.45161290322579</v>
      </c>
      <c r="AZ215" s="366">
        <f t="shared" si="194"/>
        <v>100</v>
      </c>
      <c r="BA215" s="354">
        <f t="shared" si="195"/>
        <v>6.2E-2</v>
      </c>
      <c r="BB215" s="354">
        <f t="shared" si="196"/>
        <v>100</v>
      </c>
      <c r="BC215" s="353">
        <v>16855000000</v>
      </c>
      <c r="BD215" s="353">
        <v>0</v>
      </c>
      <c r="BE215" s="353">
        <v>11630000</v>
      </c>
      <c r="BF215" s="353">
        <v>0</v>
      </c>
      <c r="BG215" s="353">
        <v>0</v>
      </c>
      <c r="BH215" s="353">
        <v>0</v>
      </c>
      <c r="BI215" s="353">
        <v>0</v>
      </c>
      <c r="BJ215" s="353">
        <v>5225000000</v>
      </c>
      <c r="BK215" s="452">
        <v>4131433410</v>
      </c>
      <c r="BL215" s="351">
        <v>1249504208</v>
      </c>
      <c r="BM215" s="351">
        <v>0</v>
      </c>
      <c r="BN215" s="351">
        <v>0</v>
      </c>
      <c r="BO215" s="351">
        <v>0</v>
      </c>
      <c r="BP215" s="351">
        <v>0</v>
      </c>
      <c r="BQ215" s="351">
        <v>0</v>
      </c>
      <c r="BR215" s="351">
        <v>2881929202</v>
      </c>
      <c r="BS215" s="351">
        <v>0</v>
      </c>
      <c r="BT215" s="351">
        <v>5498653201</v>
      </c>
      <c r="BU215" s="351">
        <v>0</v>
      </c>
      <c r="BV215" s="350">
        <f t="shared" si="197"/>
        <v>9.35E-2</v>
      </c>
      <c r="BW215" s="350">
        <v>187</v>
      </c>
      <c r="BX215" s="385">
        <f t="shared" si="180"/>
        <v>0.374</v>
      </c>
      <c r="BY215" s="369">
        <v>188</v>
      </c>
      <c r="BZ215" s="391">
        <v>188</v>
      </c>
      <c r="CA215" s="689">
        <v>270</v>
      </c>
      <c r="CB215" s="324">
        <f t="shared" si="181"/>
        <v>270</v>
      </c>
      <c r="CC215" s="324">
        <f t="shared" si="182"/>
        <v>144.38502673796791</v>
      </c>
      <c r="CD215" s="384">
        <f t="shared" si="198"/>
        <v>100</v>
      </c>
      <c r="CE215" s="383">
        <f t="shared" si="199"/>
        <v>9.35E-2</v>
      </c>
      <c r="CF215" s="367">
        <f t="shared" si="200"/>
        <v>100</v>
      </c>
      <c r="CG215" s="383">
        <f t="shared" si="201"/>
        <v>0.13500000000000001</v>
      </c>
      <c r="CH215" s="320">
        <f t="shared" si="202"/>
        <v>7.6499999999999999E-2</v>
      </c>
      <c r="CI215" s="319">
        <v>153</v>
      </c>
      <c r="CJ215" s="318">
        <f t="shared" si="183"/>
        <v>0.30599999999999999</v>
      </c>
      <c r="CK215" s="1258">
        <v>615</v>
      </c>
      <c r="CL215" s="301">
        <f t="shared" si="184"/>
        <v>-462</v>
      </c>
      <c r="CM215" s="381">
        <f t="shared" si="185"/>
        <v>615</v>
      </c>
      <c r="CN215" s="381">
        <f t="shared" si="186"/>
        <v>401.96078431372547</v>
      </c>
      <c r="CO215" s="316">
        <f t="shared" si="203"/>
        <v>100</v>
      </c>
      <c r="CP215" s="381">
        <f t="shared" si="204"/>
        <v>7.6499999999999999E-2</v>
      </c>
      <c r="CQ215" s="381">
        <f t="shared" si="205"/>
        <v>0.30749999999999994</v>
      </c>
      <c r="CR215" s="313">
        <v>20633000000</v>
      </c>
      <c r="CS215" s="313">
        <v>15408000</v>
      </c>
      <c r="CT215" s="313">
        <v>0</v>
      </c>
      <c r="CU215" s="313">
        <v>0</v>
      </c>
      <c r="CV215" s="313">
        <v>0</v>
      </c>
      <c r="CW215" s="313">
        <v>0</v>
      </c>
      <c r="CX215" s="313">
        <v>0</v>
      </c>
      <c r="CY215" s="313">
        <v>5225000000</v>
      </c>
      <c r="CZ215" s="380">
        <v>0</v>
      </c>
      <c r="DA215" s="380">
        <v>0</v>
      </c>
      <c r="DB215" s="380">
        <v>0</v>
      </c>
      <c r="DC215" s="380">
        <v>0</v>
      </c>
      <c r="DD215" s="380">
        <v>0</v>
      </c>
      <c r="DE215" s="380">
        <v>0</v>
      </c>
      <c r="DF215" s="380">
        <v>0</v>
      </c>
      <c r="DG215" s="380">
        <v>0</v>
      </c>
      <c r="DH215" s="380">
        <v>0</v>
      </c>
      <c r="DI215" s="380">
        <v>0</v>
      </c>
      <c r="DJ215" s="380">
        <v>0</v>
      </c>
      <c r="DK215" s="702">
        <f t="shared" si="187"/>
        <v>1202</v>
      </c>
      <c r="DL215" s="311">
        <f t="shared" si="206"/>
        <v>0.25</v>
      </c>
      <c r="DM215" s="310">
        <f t="shared" si="207"/>
        <v>240.4</v>
      </c>
      <c r="DN215" s="356">
        <f t="shared" si="208"/>
        <v>100</v>
      </c>
      <c r="DO215" s="308">
        <f t="shared" si="209"/>
        <v>0.25</v>
      </c>
      <c r="DP215" s="359">
        <f t="shared" si="217"/>
        <v>0.25</v>
      </c>
      <c r="DQ215" s="306">
        <f t="shared" si="210"/>
        <v>0.25</v>
      </c>
      <c r="DR215" s="379">
        <f t="shared" si="211"/>
        <v>1</v>
      </c>
      <c r="DS215" s="378">
        <f t="shared" si="212"/>
        <v>0</v>
      </c>
      <c r="DT215" s="173">
        <v>257</v>
      </c>
      <c r="DU215" s="174" t="s">
        <v>118</v>
      </c>
      <c r="DV215" s="173"/>
      <c r="DW215" s="174" t="s">
        <v>84</v>
      </c>
      <c r="DX215" s="173"/>
      <c r="DY215" s="173"/>
      <c r="DZ215" s="173"/>
      <c r="EA215" s="665"/>
      <c r="EB215" s="1254" t="s">
        <v>2534</v>
      </c>
      <c r="EC215" s="537">
        <v>45000000</v>
      </c>
      <c r="EE215" s="734">
        <v>1</v>
      </c>
      <c r="EF215" s="706"/>
    </row>
    <row r="216" spans="4:136" s="302" customFormat="1" ht="63.75" hidden="1">
      <c r="D216" s="520">
        <v>213</v>
      </c>
      <c r="E216" s="534">
        <v>259</v>
      </c>
      <c r="F216" s="523" t="s">
        <v>43</v>
      </c>
      <c r="G216" s="479" t="s">
        <v>15</v>
      </c>
      <c r="H216" s="526" t="s">
        <v>2658</v>
      </c>
      <c r="I216" s="462" t="s">
        <v>583</v>
      </c>
      <c r="J216" s="335" t="s">
        <v>586</v>
      </c>
      <c r="K216" s="335" t="s">
        <v>587</v>
      </c>
      <c r="L216" s="454" t="s">
        <v>1791</v>
      </c>
      <c r="M216" s="334" t="s">
        <v>1771</v>
      </c>
      <c r="N216" s="334">
        <v>0</v>
      </c>
      <c r="O216" s="333">
        <f t="shared" si="216"/>
        <v>1</v>
      </c>
      <c r="P216" s="332">
        <v>1</v>
      </c>
      <c r="Q216" s="390">
        <v>8.8999999999999996E-2</v>
      </c>
      <c r="R216" s="342">
        <f t="shared" si="190"/>
        <v>0</v>
      </c>
      <c r="S216" s="389">
        <v>0</v>
      </c>
      <c r="T216" s="387">
        <f t="shared" si="174"/>
        <v>0</v>
      </c>
      <c r="U216" s="670">
        <v>1</v>
      </c>
      <c r="V216" s="388">
        <f t="shared" si="175"/>
        <v>1</v>
      </c>
      <c r="W216" s="356">
        <f t="shared" si="176"/>
        <v>0</v>
      </c>
      <c r="X216" s="356">
        <f t="shared" si="191"/>
        <v>0</v>
      </c>
      <c r="Y216" s="356">
        <f t="shared" si="215"/>
        <v>0</v>
      </c>
      <c r="Z216" s="356">
        <f t="shared" si="192"/>
        <v>100</v>
      </c>
      <c r="AA216" s="355">
        <v>0</v>
      </c>
      <c r="AB216" s="355">
        <v>0</v>
      </c>
      <c r="AC216" s="355">
        <v>0</v>
      </c>
      <c r="AD216" s="355">
        <v>0</v>
      </c>
      <c r="AE216" s="355">
        <v>0</v>
      </c>
      <c r="AF216" s="355">
        <v>0</v>
      </c>
      <c r="AG216" s="355">
        <v>0</v>
      </c>
      <c r="AH216" s="355">
        <v>0</v>
      </c>
      <c r="AI216" s="355">
        <v>399930000</v>
      </c>
      <c r="AJ216" s="355">
        <v>399930000</v>
      </c>
      <c r="AK216" s="355">
        <v>0</v>
      </c>
      <c r="AL216" s="355">
        <v>0</v>
      </c>
      <c r="AM216" s="355">
        <v>0</v>
      </c>
      <c r="AN216" s="355">
        <v>0</v>
      </c>
      <c r="AO216" s="355">
        <v>0</v>
      </c>
      <c r="AP216" s="355">
        <v>0</v>
      </c>
      <c r="AQ216" s="355">
        <v>0</v>
      </c>
      <c r="AR216" s="355">
        <v>0</v>
      </c>
      <c r="AS216" s="355">
        <v>0</v>
      </c>
      <c r="AT216" s="333">
        <f t="shared" si="193"/>
        <v>8.8999999999999996E-2</v>
      </c>
      <c r="AU216" s="334">
        <v>1</v>
      </c>
      <c r="AV216" s="387">
        <f t="shared" si="177"/>
        <v>1</v>
      </c>
      <c r="AW216" s="677">
        <v>0</v>
      </c>
      <c r="AX216" s="366">
        <f t="shared" si="178"/>
        <v>0</v>
      </c>
      <c r="AY216" s="366">
        <f t="shared" si="179"/>
        <v>0</v>
      </c>
      <c r="AZ216" s="366">
        <f t="shared" si="194"/>
        <v>0</v>
      </c>
      <c r="BA216" s="354">
        <f t="shared" si="195"/>
        <v>0</v>
      </c>
      <c r="BB216" s="354">
        <f t="shared" si="196"/>
        <v>0</v>
      </c>
      <c r="BC216" s="353">
        <v>0</v>
      </c>
      <c r="BD216" s="353">
        <v>0</v>
      </c>
      <c r="BE216" s="353">
        <v>0</v>
      </c>
      <c r="BF216" s="353">
        <v>0</v>
      </c>
      <c r="BG216" s="353">
        <v>0</v>
      </c>
      <c r="BH216" s="353">
        <v>0</v>
      </c>
      <c r="BI216" s="353">
        <v>0</v>
      </c>
      <c r="BJ216" s="353">
        <v>0</v>
      </c>
      <c r="BK216" s="452">
        <v>0</v>
      </c>
      <c r="BL216" s="351">
        <v>0</v>
      </c>
      <c r="BM216" s="351">
        <v>0</v>
      </c>
      <c r="BN216" s="351">
        <v>0</v>
      </c>
      <c r="BO216" s="351">
        <v>0</v>
      </c>
      <c r="BP216" s="351">
        <v>0</v>
      </c>
      <c r="BQ216" s="351">
        <v>0</v>
      </c>
      <c r="BR216" s="351">
        <v>0</v>
      </c>
      <c r="BS216" s="351">
        <v>0</v>
      </c>
      <c r="BT216" s="351">
        <v>0</v>
      </c>
      <c r="BU216" s="351">
        <v>0</v>
      </c>
      <c r="BV216" s="350">
        <f t="shared" si="197"/>
        <v>0</v>
      </c>
      <c r="BW216" s="350">
        <v>0</v>
      </c>
      <c r="BX216" s="385">
        <f t="shared" si="180"/>
        <v>0</v>
      </c>
      <c r="BY216" s="369">
        <v>0</v>
      </c>
      <c r="BZ216" s="391">
        <v>0</v>
      </c>
      <c r="CA216" s="689">
        <v>0</v>
      </c>
      <c r="CB216" s="324">
        <f t="shared" si="181"/>
        <v>0</v>
      </c>
      <c r="CC216" s="324">
        <f t="shared" si="182"/>
        <v>0</v>
      </c>
      <c r="CD216" s="384">
        <f t="shared" si="198"/>
        <v>0</v>
      </c>
      <c r="CE216" s="383">
        <f t="shared" si="199"/>
        <v>0</v>
      </c>
      <c r="CF216" s="367">
        <f t="shared" si="200"/>
        <v>0</v>
      </c>
      <c r="CG216" s="383">
        <f t="shared" si="201"/>
        <v>0</v>
      </c>
      <c r="CH216" s="320">
        <f t="shared" si="202"/>
        <v>0</v>
      </c>
      <c r="CI216" s="319">
        <v>0</v>
      </c>
      <c r="CJ216" s="318">
        <f t="shared" si="183"/>
        <v>0</v>
      </c>
      <c r="CK216" s="1258">
        <v>1</v>
      </c>
      <c r="CL216" s="301">
        <f t="shared" si="184"/>
        <v>-1</v>
      </c>
      <c r="CM216" s="381">
        <f t="shared" si="185"/>
        <v>1</v>
      </c>
      <c r="CN216" s="381">
        <f t="shared" si="186"/>
        <v>0</v>
      </c>
      <c r="CO216" s="316">
        <f t="shared" si="203"/>
        <v>0</v>
      </c>
      <c r="CP216" s="381">
        <f t="shared" si="204"/>
        <v>0</v>
      </c>
      <c r="CQ216" s="381">
        <f t="shared" si="205"/>
        <v>0</v>
      </c>
      <c r="CR216" s="313">
        <v>0</v>
      </c>
      <c r="CS216" s="313">
        <v>0</v>
      </c>
      <c r="CT216" s="313">
        <v>0</v>
      </c>
      <c r="CU216" s="313">
        <v>0</v>
      </c>
      <c r="CV216" s="313">
        <v>0</v>
      </c>
      <c r="CW216" s="313">
        <v>0</v>
      </c>
      <c r="CX216" s="313">
        <v>0</v>
      </c>
      <c r="CY216" s="313">
        <v>0</v>
      </c>
      <c r="CZ216" s="380">
        <v>0</v>
      </c>
      <c r="DA216" s="380">
        <v>0</v>
      </c>
      <c r="DB216" s="380">
        <v>0</v>
      </c>
      <c r="DC216" s="380">
        <v>0</v>
      </c>
      <c r="DD216" s="380">
        <v>0</v>
      </c>
      <c r="DE216" s="380">
        <v>0</v>
      </c>
      <c r="DF216" s="380">
        <v>0</v>
      </c>
      <c r="DG216" s="380">
        <v>0</v>
      </c>
      <c r="DH216" s="380">
        <v>0</v>
      </c>
      <c r="DI216" s="380">
        <v>0</v>
      </c>
      <c r="DJ216" s="380">
        <v>0</v>
      </c>
      <c r="DK216" s="702">
        <f t="shared" si="187"/>
        <v>2</v>
      </c>
      <c r="DL216" s="311">
        <f t="shared" si="206"/>
        <v>8.8999999999999996E-2</v>
      </c>
      <c r="DM216" s="310">
        <f t="shared" si="207"/>
        <v>200</v>
      </c>
      <c r="DN216" s="356">
        <f t="shared" si="208"/>
        <v>100</v>
      </c>
      <c r="DO216" s="308">
        <f t="shared" si="209"/>
        <v>8.900000000000001E-2</v>
      </c>
      <c r="DP216" s="359">
        <f t="shared" si="217"/>
        <v>8.8999999999999996E-2</v>
      </c>
      <c r="DQ216" s="306">
        <f t="shared" si="210"/>
        <v>8.8999999999999996E-2</v>
      </c>
      <c r="DR216" s="379">
        <f t="shared" si="211"/>
        <v>1</v>
      </c>
      <c r="DS216" s="378">
        <f t="shared" si="212"/>
        <v>0</v>
      </c>
      <c r="DT216" s="173">
        <v>257</v>
      </c>
      <c r="DU216" s="174" t="s">
        <v>118</v>
      </c>
      <c r="DV216" s="173"/>
      <c r="DW216" s="174" t="s">
        <v>84</v>
      </c>
      <c r="DX216" s="173"/>
      <c r="DY216" s="173"/>
      <c r="DZ216" s="173"/>
      <c r="EA216" s="665"/>
      <c r="EB216" s="1254" t="s">
        <v>2392</v>
      </c>
      <c r="EC216" s="537">
        <v>0</v>
      </c>
      <c r="EE216" s="734">
        <v>100</v>
      </c>
      <c r="EF216" s="706"/>
    </row>
    <row r="217" spans="4:136" s="302" customFormat="1" ht="89.25" hidden="1">
      <c r="D217" s="520">
        <v>214</v>
      </c>
      <c r="E217" s="534">
        <v>261</v>
      </c>
      <c r="F217" s="523" t="s">
        <v>43</v>
      </c>
      <c r="G217" s="479" t="s">
        <v>15</v>
      </c>
      <c r="H217" s="526" t="s">
        <v>2658</v>
      </c>
      <c r="I217" s="462" t="s">
        <v>583</v>
      </c>
      <c r="J217" s="335" t="s">
        <v>588</v>
      </c>
      <c r="K217" s="335" t="s">
        <v>589</v>
      </c>
      <c r="L217" s="454" t="s">
        <v>1767</v>
      </c>
      <c r="M217" s="334" t="s">
        <v>1771</v>
      </c>
      <c r="N217" s="334">
        <v>2</v>
      </c>
      <c r="O217" s="333">
        <f t="shared" si="216"/>
        <v>8</v>
      </c>
      <c r="P217" s="332">
        <v>6</v>
      </c>
      <c r="Q217" s="390">
        <v>0.25</v>
      </c>
      <c r="R217" s="342">
        <f t="shared" si="190"/>
        <v>8.3333333333333329E-2</v>
      </c>
      <c r="S217" s="389">
        <v>2</v>
      </c>
      <c r="T217" s="387">
        <f t="shared" si="174"/>
        <v>0.33333333333333331</v>
      </c>
      <c r="U217" s="670">
        <v>2</v>
      </c>
      <c r="V217" s="388">
        <f t="shared" si="175"/>
        <v>2</v>
      </c>
      <c r="W217" s="356">
        <f t="shared" si="176"/>
        <v>100</v>
      </c>
      <c r="X217" s="356">
        <f t="shared" si="191"/>
        <v>100</v>
      </c>
      <c r="Y217" s="356">
        <f t="shared" si="215"/>
        <v>8.3333333333333315E-2</v>
      </c>
      <c r="Z217" s="356">
        <f t="shared" si="192"/>
        <v>100</v>
      </c>
      <c r="AA217" s="355">
        <v>540000000</v>
      </c>
      <c r="AB217" s="355">
        <v>540000000</v>
      </c>
      <c r="AC217" s="355">
        <v>0</v>
      </c>
      <c r="AD217" s="355">
        <v>0</v>
      </c>
      <c r="AE217" s="355">
        <v>0</v>
      </c>
      <c r="AF217" s="355">
        <v>0</v>
      </c>
      <c r="AG217" s="355">
        <v>0</v>
      </c>
      <c r="AH217" s="355">
        <v>0</v>
      </c>
      <c r="AI217" s="355">
        <v>15494689000</v>
      </c>
      <c r="AJ217" s="355">
        <v>15494689000</v>
      </c>
      <c r="AK217" s="355">
        <v>0</v>
      </c>
      <c r="AL217" s="355">
        <v>0</v>
      </c>
      <c r="AM217" s="355">
        <v>0</v>
      </c>
      <c r="AN217" s="355">
        <v>0</v>
      </c>
      <c r="AO217" s="355">
        <v>0</v>
      </c>
      <c r="AP217" s="355">
        <v>0</v>
      </c>
      <c r="AQ217" s="355">
        <v>0</v>
      </c>
      <c r="AR217" s="355">
        <v>0</v>
      </c>
      <c r="AS217" s="355">
        <v>0</v>
      </c>
      <c r="AT217" s="333">
        <f t="shared" si="193"/>
        <v>8.3333333333333329E-2</v>
      </c>
      <c r="AU217" s="334">
        <v>2</v>
      </c>
      <c r="AV217" s="387">
        <f t="shared" si="177"/>
        <v>0.33333333333333331</v>
      </c>
      <c r="AW217" s="677">
        <v>3</v>
      </c>
      <c r="AX217" s="366">
        <f t="shared" si="178"/>
        <v>3</v>
      </c>
      <c r="AY217" s="366">
        <f t="shared" si="179"/>
        <v>150</v>
      </c>
      <c r="AZ217" s="366">
        <f t="shared" si="194"/>
        <v>100</v>
      </c>
      <c r="BA217" s="354">
        <f t="shared" si="195"/>
        <v>8.3333333333333315E-2</v>
      </c>
      <c r="BB217" s="354">
        <f t="shared" si="196"/>
        <v>100</v>
      </c>
      <c r="BC217" s="353">
        <v>170000000</v>
      </c>
      <c r="BD217" s="353">
        <v>0</v>
      </c>
      <c r="BE217" s="353">
        <v>170000000</v>
      </c>
      <c r="BF217" s="353">
        <v>0</v>
      </c>
      <c r="BG217" s="353">
        <v>0</v>
      </c>
      <c r="BH217" s="353">
        <v>0</v>
      </c>
      <c r="BI217" s="353">
        <v>0</v>
      </c>
      <c r="BJ217" s="353">
        <v>0</v>
      </c>
      <c r="BK217" s="452">
        <v>5952593664</v>
      </c>
      <c r="BL217" s="351">
        <v>5754022234</v>
      </c>
      <c r="BM217" s="351">
        <v>0</v>
      </c>
      <c r="BN217" s="351">
        <v>0</v>
      </c>
      <c r="BO217" s="351">
        <v>0</v>
      </c>
      <c r="BP217" s="351">
        <v>0</v>
      </c>
      <c r="BQ217" s="351">
        <v>0</v>
      </c>
      <c r="BR217" s="351">
        <v>198571430</v>
      </c>
      <c r="BS217" s="351">
        <v>0</v>
      </c>
      <c r="BT217" s="351">
        <v>0</v>
      </c>
      <c r="BU217" s="351">
        <v>0</v>
      </c>
      <c r="BV217" s="350">
        <f t="shared" si="197"/>
        <v>4.1666666666666664E-2</v>
      </c>
      <c r="BW217" s="350">
        <v>1</v>
      </c>
      <c r="BX217" s="385">
        <f t="shared" si="180"/>
        <v>0.16666666666666666</v>
      </c>
      <c r="BY217" s="369">
        <v>0</v>
      </c>
      <c r="BZ217" s="391">
        <v>0</v>
      </c>
      <c r="CA217" s="689">
        <v>4</v>
      </c>
      <c r="CB217" s="324">
        <f t="shared" si="181"/>
        <v>4</v>
      </c>
      <c r="CC217" s="324">
        <f t="shared" si="182"/>
        <v>400</v>
      </c>
      <c r="CD217" s="384">
        <f t="shared" si="198"/>
        <v>100</v>
      </c>
      <c r="CE217" s="383">
        <f t="shared" si="199"/>
        <v>4.1666666666666657E-2</v>
      </c>
      <c r="CF217" s="367">
        <f t="shared" si="200"/>
        <v>100</v>
      </c>
      <c r="CG217" s="383">
        <f t="shared" si="201"/>
        <v>0.16666666666666663</v>
      </c>
      <c r="CH217" s="320">
        <f t="shared" si="202"/>
        <v>4.1666666666666664E-2</v>
      </c>
      <c r="CI217" s="319">
        <v>1</v>
      </c>
      <c r="CJ217" s="318">
        <f t="shared" si="183"/>
        <v>0.16666666666666666</v>
      </c>
      <c r="CK217" s="1259">
        <v>5</v>
      </c>
      <c r="CL217" s="301">
        <f t="shared" si="184"/>
        <v>-4</v>
      </c>
      <c r="CM217" s="381">
        <f t="shared" si="185"/>
        <v>5</v>
      </c>
      <c r="CN217" s="381">
        <f t="shared" si="186"/>
        <v>500</v>
      </c>
      <c r="CO217" s="316">
        <f t="shared" si="203"/>
        <v>100</v>
      </c>
      <c r="CP217" s="381">
        <f t="shared" si="204"/>
        <v>4.1666666666666657E-2</v>
      </c>
      <c r="CQ217" s="381">
        <f t="shared" si="205"/>
        <v>0.20833333333333331</v>
      </c>
      <c r="CR217" s="313">
        <v>1500000000</v>
      </c>
      <c r="CS217" s="313">
        <v>1500000000</v>
      </c>
      <c r="CT217" s="313">
        <v>0</v>
      </c>
      <c r="CU217" s="313">
        <v>0</v>
      </c>
      <c r="CV217" s="313">
        <v>0</v>
      </c>
      <c r="CW217" s="313">
        <v>0</v>
      </c>
      <c r="CX217" s="313">
        <v>0</v>
      </c>
      <c r="CY217" s="313">
        <v>0</v>
      </c>
      <c r="CZ217" s="380">
        <v>0</v>
      </c>
      <c r="DA217" s="380">
        <v>0</v>
      </c>
      <c r="DB217" s="380">
        <v>0</v>
      </c>
      <c r="DC217" s="380">
        <v>0</v>
      </c>
      <c r="DD217" s="380">
        <v>0</v>
      </c>
      <c r="DE217" s="380">
        <v>0</v>
      </c>
      <c r="DF217" s="380">
        <v>0</v>
      </c>
      <c r="DG217" s="380">
        <v>0</v>
      </c>
      <c r="DH217" s="380">
        <v>0</v>
      </c>
      <c r="DI217" s="380">
        <v>0</v>
      </c>
      <c r="DJ217" s="380">
        <v>0</v>
      </c>
      <c r="DK217" s="702">
        <f t="shared" si="187"/>
        <v>14</v>
      </c>
      <c r="DL217" s="311">
        <f t="shared" si="206"/>
        <v>0.24999999999999997</v>
      </c>
      <c r="DM217" s="310">
        <f t="shared" si="207"/>
        <v>233.33333333333334</v>
      </c>
      <c r="DN217" s="356">
        <f t="shared" si="208"/>
        <v>100</v>
      </c>
      <c r="DO217" s="308">
        <f t="shared" si="209"/>
        <v>0.25</v>
      </c>
      <c r="DP217" s="359">
        <f t="shared" si="217"/>
        <v>0.25</v>
      </c>
      <c r="DQ217" s="306">
        <f t="shared" si="210"/>
        <v>0.25</v>
      </c>
      <c r="DR217" s="379">
        <f t="shared" si="211"/>
        <v>0.99999999999999989</v>
      </c>
      <c r="DS217" s="378">
        <f t="shared" si="212"/>
        <v>0</v>
      </c>
      <c r="DT217" s="173">
        <v>257</v>
      </c>
      <c r="DU217" s="174" t="s">
        <v>118</v>
      </c>
      <c r="DV217" s="173"/>
      <c r="DW217" s="174" t="s">
        <v>84</v>
      </c>
      <c r="DX217" s="173"/>
      <c r="DY217" s="173"/>
      <c r="DZ217" s="173"/>
      <c r="EA217" s="665"/>
      <c r="EB217" s="1254" t="s">
        <v>2393</v>
      </c>
      <c r="EC217" s="537">
        <v>1030000000</v>
      </c>
      <c r="EE217" s="740">
        <v>19</v>
      </c>
      <c r="EF217" s="706"/>
    </row>
    <row r="218" spans="4:136" s="302" customFormat="1" ht="76.5" hidden="1">
      <c r="D218" s="520">
        <v>215</v>
      </c>
      <c r="E218" s="534">
        <v>262</v>
      </c>
      <c r="F218" s="523" t="s">
        <v>43</v>
      </c>
      <c r="G218" s="479" t="s">
        <v>15</v>
      </c>
      <c r="H218" s="526" t="s">
        <v>2658</v>
      </c>
      <c r="I218" s="462" t="s">
        <v>583</v>
      </c>
      <c r="J218" s="335" t="s">
        <v>590</v>
      </c>
      <c r="K218" s="335" t="s">
        <v>591</v>
      </c>
      <c r="L218" s="453" t="s">
        <v>1404</v>
      </c>
      <c r="M218" s="334" t="s">
        <v>1771</v>
      </c>
      <c r="N218" s="334">
        <v>11</v>
      </c>
      <c r="O218" s="333">
        <f t="shared" si="216"/>
        <v>36</v>
      </c>
      <c r="P218" s="332">
        <v>25</v>
      </c>
      <c r="Q218" s="390">
        <v>0.16500000000000001</v>
      </c>
      <c r="R218" s="342">
        <f t="shared" si="190"/>
        <v>7.9200000000000007E-2</v>
      </c>
      <c r="S218" s="389">
        <v>12</v>
      </c>
      <c r="T218" s="387">
        <f t="shared" si="174"/>
        <v>0.48</v>
      </c>
      <c r="U218" s="670">
        <v>0</v>
      </c>
      <c r="V218" s="388">
        <f t="shared" si="175"/>
        <v>0</v>
      </c>
      <c r="W218" s="356">
        <f t="shared" si="176"/>
        <v>0</v>
      </c>
      <c r="X218" s="356">
        <f t="shared" si="191"/>
        <v>0</v>
      </c>
      <c r="Y218" s="356">
        <f t="shared" si="215"/>
        <v>0</v>
      </c>
      <c r="Z218" s="356">
        <f t="shared" si="192"/>
        <v>0</v>
      </c>
      <c r="AA218" s="355">
        <v>540000000</v>
      </c>
      <c r="AB218" s="355">
        <v>540000000</v>
      </c>
      <c r="AC218" s="355">
        <v>0</v>
      </c>
      <c r="AD218" s="355">
        <v>0</v>
      </c>
      <c r="AE218" s="355">
        <v>0</v>
      </c>
      <c r="AF218" s="355">
        <v>0</v>
      </c>
      <c r="AG218" s="355">
        <v>0</v>
      </c>
      <c r="AH218" s="355">
        <v>0</v>
      </c>
      <c r="AI218" s="355">
        <v>0</v>
      </c>
      <c r="AJ218" s="355">
        <v>0</v>
      </c>
      <c r="AK218" s="355">
        <v>0</v>
      </c>
      <c r="AL218" s="355">
        <v>0</v>
      </c>
      <c r="AM218" s="355">
        <v>0</v>
      </c>
      <c r="AN218" s="355">
        <v>0</v>
      </c>
      <c r="AO218" s="355">
        <v>0</v>
      </c>
      <c r="AP218" s="355">
        <v>0</v>
      </c>
      <c r="AQ218" s="355">
        <v>0</v>
      </c>
      <c r="AR218" s="355">
        <v>0</v>
      </c>
      <c r="AS218" s="355">
        <v>0</v>
      </c>
      <c r="AT218" s="333">
        <f t="shared" si="193"/>
        <v>1.3200000000000002E-2</v>
      </c>
      <c r="AU218" s="334">
        <v>2</v>
      </c>
      <c r="AV218" s="387">
        <f t="shared" si="177"/>
        <v>0.08</v>
      </c>
      <c r="AW218" s="677">
        <v>12</v>
      </c>
      <c r="AX218" s="366">
        <f t="shared" si="178"/>
        <v>12</v>
      </c>
      <c r="AY218" s="366">
        <f t="shared" si="179"/>
        <v>600</v>
      </c>
      <c r="AZ218" s="366">
        <f t="shared" si="194"/>
        <v>100</v>
      </c>
      <c r="BA218" s="354">
        <f t="shared" si="195"/>
        <v>1.32E-2</v>
      </c>
      <c r="BB218" s="354">
        <f t="shared" si="196"/>
        <v>100</v>
      </c>
      <c r="BC218" s="353">
        <v>200000000</v>
      </c>
      <c r="BD218" s="353">
        <v>0</v>
      </c>
      <c r="BE218" s="353">
        <v>200000000</v>
      </c>
      <c r="BF218" s="353">
        <v>0</v>
      </c>
      <c r="BG218" s="353">
        <v>0</v>
      </c>
      <c r="BH218" s="353">
        <v>0</v>
      </c>
      <c r="BI218" s="353">
        <v>0</v>
      </c>
      <c r="BJ218" s="353">
        <v>0</v>
      </c>
      <c r="BK218" s="452">
        <v>29806494</v>
      </c>
      <c r="BL218" s="351">
        <v>29806494</v>
      </c>
      <c r="BM218" s="351">
        <v>0</v>
      </c>
      <c r="BN218" s="351">
        <v>0</v>
      </c>
      <c r="BO218" s="351">
        <v>0</v>
      </c>
      <c r="BP218" s="351">
        <v>0</v>
      </c>
      <c r="BQ218" s="351">
        <v>0</v>
      </c>
      <c r="BR218" s="351">
        <v>0</v>
      </c>
      <c r="BS218" s="351">
        <v>0</v>
      </c>
      <c r="BT218" s="351">
        <v>0</v>
      </c>
      <c r="BU218" s="351">
        <v>0</v>
      </c>
      <c r="BV218" s="350">
        <f t="shared" si="197"/>
        <v>3.9600000000000003E-2</v>
      </c>
      <c r="BW218" s="350">
        <v>6</v>
      </c>
      <c r="BX218" s="385">
        <f t="shared" si="180"/>
        <v>0.24</v>
      </c>
      <c r="BY218" s="369">
        <v>0</v>
      </c>
      <c r="BZ218" s="391">
        <v>0</v>
      </c>
      <c r="CA218" s="689">
        <v>12</v>
      </c>
      <c r="CB218" s="324">
        <f t="shared" si="181"/>
        <v>12</v>
      </c>
      <c r="CC218" s="324">
        <f t="shared" si="182"/>
        <v>200</v>
      </c>
      <c r="CD218" s="384">
        <f t="shared" si="198"/>
        <v>100</v>
      </c>
      <c r="CE218" s="383">
        <f t="shared" si="199"/>
        <v>3.9600000000000003E-2</v>
      </c>
      <c r="CF218" s="367">
        <f t="shared" si="200"/>
        <v>100</v>
      </c>
      <c r="CG218" s="383">
        <f t="shared" si="201"/>
        <v>7.9200000000000007E-2</v>
      </c>
      <c r="CH218" s="320">
        <f t="shared" si="202"/>
        <v>3.3000000000000002E-2</v>
      </c>
      <c r="CI218" s="319">
        <v>5</v>
      </c>
      <c r="CJ218" s="318">
        <f t="shared" si="183"/>
        <v>0.2</v>
      </c>
      <c r="CK218" s="1259">
        <v>1</v>
      </c>
      <c r="CL218" s="301">
        <f t="shared" si="184"/>
        <v>4</v>
      </c>
      <c r="CM218" s="381">
        <f t="shared" si="185"/>
        <v>1</v>
      </c>
      <c r="CN218" s="381">
        <f t="shared" si="186"/>
        <v>20</v>
      </c>
      <c r="CO218" s="316">
        <f t="shared" si="203"/>
        <v>20</v>
      </c>
      <c r="CP218" s="381">
        <f t="shared" si="204"/>
        <v>6.6E-3</v>
      </c>
      <c r="CQ218" s="381">
        <f t="shared" si="205"/>
        <v>6.6E-3</v>
      </c>
      <c r="CR218" s="313">
        <v>410000000</v>
      </c>
      <c r="CS218" s="313">
        <v>410000000</v>
      </c>
      <c r="CT218" s="313">
        <v>0</v>
      </c>
      <c r="CU218" s="313">
        <v>0</v>
      </c>
      <c r="CV218" s="313">
        <v>0</v>
      </c>
      <c r="CW218" s="313">
        <v>0</v>
      </c>
      <c r="CX218" s="313">
        <v>0</v>
      </c>
      <c r="CY218" s="313">
        <v>0</v>
      </c>
      <c r="CZ218" s="380">
        <v>0</v>
      </c>
      <c r="DA218" s="380">
        <v>0</v>
      </c>
      <c r="DB218" s="380">
        <v>0</v>
      </c>
      <c r="DC218" s="380">
        <v>0</v>
      </c>
      <c r="DD218" s="380">
        <v>0</v>
      </c>
      <c r="DE218" s="380">
        <v>0</v>
      </c>
      <c r="DF218" s="380">
        <v>0</v>
      </c>
      <c r="DG218" s="380">
        <v>0</v>
      </c>
      <c r="DH218" s="380">
        <v>0</v>
      </c>
      <c r="DI218" s="380">
        <v>0</v>
      </c>
      <c r="DJ218" s="380">
        <v>0</v>
      </c>
      <c r="DK218" s="702">
        <f t="shared" si="187"/>
        <v>25</v>
      </c>
      <c r="DL218" s="311">
        <f t="shared" si="206"/>
        <v>0.16500000000000001</v>
      </c>
      <c r="DM218" s="310">
        <f t="shared" si="207"/>
        <v>100</v>
      </c>
      <c r="DN218" s="356">
        <f t="shared" si="208"/>
        <v>100</v>
      </c>
      <c r="DO218" s="308">
        <f t="shared" si="209"/>
        <v>0.16500000000000001</v>
      </c>
      <c r="DP218" s="359">
        <f t="shared" si="217"/>
        <v>0.16500000000000001</v>
      </c>
      <c r="DQ218" s="306">
        <f t="shared" si="210"/>
        <v>0.16500000000000001</v>
      </c>
      <c r="DR218" s="379">
        <f t="shared" si="211"/>
        <v>1</v>
      </c>
      <c r="DS218" s="378">
        <f t="shared" si="212"/>
        <v>0</v>
      </c>
      <c r="DT218" s="173">
        <v>257</v>
      </c>
      <c r="DU218" s="174" t="s">
        <v>118</v>
      </c>
      <c r="DV218" s="173"/>
      <c r="DW218" s="174" t="s">
        <v>84</v>
      </c>
      <c r="DX218" s="173"/>
      <c r="DY218" s="173"/>
      <c r="DZ218" s="173"/>
      <c r="EA218" s="665"/>
      <c r="EB218" s="1254" t="s">
        <v>2535</v>
      </c>
      <c r="EC218" s="537">
        <v>1149000000</v>
      </c>
      <c r="EE218" s="740">
        <v>81</v>
      </c>
      <c r="EF218" s="706"/>
    </row>
    <row r="219" spans="4:136" s="302" customFormat="1" ht="63.75" hidden="1">
      <c r="D219" s="520">
        <v>216</v>
      </c>
      <c r="E219" s="534">
        <v>263</v>
      </c>
      <c r="F219" s="523" t="s">
        <v>43</v>
      </c>
      <c r="G219" s="479" t="s">
        <v>15</v>
      </c>
      <c r="H219" s="526" t="s">
        <v>2658</v>
      </c>
      <c r="I219" s="462" t="s">
        <v>583</v>
      </c>
      <c r="J219" s="335" t="s">
        <v>592</v>
      </c>
      <c r="K219" s="335" t="s">
        <v>593</v>
      </c>
      <c r="L219" s="454" t="s">
        <v>1958</v>
      </c>
      <c r="M219" s="334" t="s">
        <v>1771</v>
      </c>
      <c r="N219" s="334">
        <v>205</v>
      </c>
      <c r="O219" s="333">
        <f t="shared" si="216"/>
        <v>255</v>
      </c>
      <c r="P219" s="332">
        <v>50</v>
      </c>
      <c r="Q219" s="390">
        <v>0.16500000000000001</v>
      </c>
      <c r="R219" s="342">
        <f t="shared" si="190"/>
        <v>3.9600000000000003E-2</v>
      </c>
      <c r="S219" s="389">
        <v>12</v>
      </c>
      <c r="T219" s="387">
        <f t="shared" si="174"/>
        <v>0.24</v>
      </c>
      <c r="U219" s="670">
        <v>37</v>
      </c>
      <c r="V219" s="388">
        <f t="shared" si="175"/>
        <v>37</v>
      </c>
      <c r="W219" s="356">
        <f t="shared" si="176"/>
        <v>308.33333333333331</v>
      </c>
      <c r="X219" s="356">
        <f t="shared" si="191"/>
        <v>100</v>
      </c>
      <c r="Y219" s="356">
        <f t="shared" si="215"/>
        <v>3.9600000000000003E-2</v>
      </c>
      <c r="Z219" s="356">
        <f t="shared" si="192"/>
        <v>100</v>
      </c>
      <c r="AA219" s="355">
        <v>4687000000</v>
      </c>
      <c r="AB219" s="355">
        <v>4687000000</v>
      </c>
      <c r="AC219" s="355">
        <v>0</v>
      </c>
      <c r="AD219" s="355">
        <v>0</v>
      </c>
      <c r="AE219" s="355">
        <v>0</v>
      </c>
      <c r="AF219" s="355">
        <v>0</v>
      </c>
      <c r="AG219" s="355">
        <v>0</v>
      </c>
      <c r="AH219" s="355">
        <v>0</v>
      </c>
      <c r="AI219" s="355">
        <v>13222670000</v>
      </c>
      <c r="AJ219" s="355">
        <v>10154355000</v>
      </c>
      <c r="AK219" s="355">
        <v>0</v>
      </c>
      <c r="AL219" s="355">
        <v>0</v>
      </c>
      <c r="AM219" s="355">
        <v>0</v>
      </c>
      <c r="AN219" s="355">
        <v>0</v>
      </c>
      <c r="AO219" s="355">
        <v>3068315000</v>
      </c>
      <c r="AP219" s="355">
        <v>0</v>
      </c>
      <c r="AQ219" s="355">
        <v>0</v>
      </c>
      <c r="AR219" s="355">
        <v>0</v>
      </c>
      <c r="AS219" s="355">
        <v>0</v>
      </c>
      <c r="AT219" s="333">
        <f t="shared" si="193"/>
        <v>2.6400000000000003E-2</v>
      </c>
      <c r="AU219" s="334">
        <v>8</v>
      </c>
      <c r="AV219" s="387">
        <f t="shared" si="177"/>
        <v>0.16</v>
      </c>
      <c r="AW219" s="677">
        <v>10</v>
      </c>
      <c r="AX219" s="366">
        <f t="shared" si="178"/>
        <v>10</v>
      </c>
      <c r="AY219" s="366">
        <f t="shared" si="179"/>
        <v>125</v>
      </c>
      <c r="AZ219" s="366">
        <f t="shared" si="194"/>
        <v>100</v>
      </c>
      <c r="BA219" s="354">
        <f t="shared" si="195"/>
        <v>2.64E-2</v>
      </c>
      <c r="BB219" s="354">
        <f t="shared" si="196"/>
        <v>100</v>
      </c>
      <c r="BC219" s="353">
        <v>3100000000</v>
      </c>
      <c r="BD219" s="353">
        <v>0</v>
      </c>
      <c r="BE219" s="353">
        <v>1600000000</v>
      </c>
      <c r="BF219" s="353">
        <v>0</v>
      </c>
      <c r="BG219" s="353">
        <v>0</v>
      </c>
      <c r="BH219" s="353">
        <v>0</v>
      </c>
      <c r="BI219" s="353">
        <v>0</v>
      </c>
      <c r="BJ219" s="353">
        <v>1500000000</v>
      </c>
      <c r="BK219" s="452">
        <v>10093086536</v>
      </c>
      <c r="BL219" s="351">
        <v>3354712683</v>
      </c>
      <c r="BM219" s="351">
        <v>0</v>
      </c>
      <c r="BN219" s="351">
        <v>0</v>
      </c>
      <c r="BO219" s="351">
        <v>0</v>
      </c>
      <c r="BP219" s="351">
        <v>0</v>
      </c>
      <c r="BQ219" s="351">
        <v>0</v>
      </c>
      <c r="BR219" s="351">
        <v>6738373853</v>
      </c>
      <c r="BS219" s="351">
        <v>0</v>
      </c>
      <c r="BT219" s="351">
        <v>183949840</v>
      </c>
      <c r="BU219" s="351">
        <v>0</v>
      </c>
      <c r="BV219" s="350">
        <f t="shared" si="197"/>
        <v>4.9500000000000002E-2</v>
      </c>
      <c r="BW219" s="350">
        <v>15</v>
      </c>
      <c r="BX219" s="385">
        <f t="shared" si="180"/>
        <v>0.3</v>
      </c>
      <c r="BY219" s="400">
        <v>1</v>
      </c>
      <c r="BZ219" s="416">
        <v>2</v>
      </c>
      <c r="CA219" s="691">
        <v>22</v>
      </c>
      <c r="CB219" s="324">
        <f t="shared" si="181"/>
        <v>22</v>
      </c>
      <c r="CC219" s="324">
        <f t="shared" si="182"/>
        <v>146.66666666666666</v>
      </c>
      <c r="CD219" s="384">
        <f t="shared" si="198"/>
        <v>100</v>
      </c>
      <c r="CE219" s="383">
        <f t="shared" si="199"/>
        <v>4.9500000000000002E-2</v>
      </c>
      <c r="CF219" s="367">
        <f t="shared" si="200"/>
        <v>100</v>
      </c>
      <c r="CG219" s="383">
        <f t="shared" si="201"/>
        <v>7.2599999999999998E-2</v>
      </c>
      <c r="CH219" s="320">
        <f t="shared" si="202"/>
        <v>4.9500000000000002E-2</v>
      </c>
      <c r="CI219" s="319">
        <v>15</v>
      </c>
      <c r="CJ219" s="318">
        <f t="shared" si="183"/>
        <v>0.3</v>
      </c>
      <c r="CK219" s="1259">
        <v>47</v>
      </c>
      <c r="CL219" s="301">
        <f t="shared" si="184"/>
        <v>-32</v>
      </c>
      <c r="CM219" s="381">
        <f t="shared" si="185"/>
        <v>47</v>
      </c>
      <c r="CN219" s="381">
        <f t="shared" si="186"/>
        <v>313.33333333333331</v>
      </c>
      <c r="CO219" s="316">
        <f t="shared" si="203"/>
        <v>100</v>
      </c>
      <c r="CP219" s="381">
        <f t="shared" si="204"/>
        <v>4.9500000000000002E-2</v>
      </c>
      <c r="CQ219" s="381">
        <f t="shared" si="205"/>
        <v>0.15509999999999999</v>
      </c>
      <c r="CR219" s="313">
        <v>4500000000</v>
      </c>
      <c r="CS219" s="313">
        <v>3000000000</v>
      </c>
      <c r="CT219" s="313">
        <v>0</v>
      </c>
      <c r="CU219" s="313">
        <v>0</v>
      </c>
      <c r="CV219" s="313">
        <v>0</v>
      </c>
      <c r="CW219" s="313">
        <v>0</v>
      </c>
      <c r="CX219" s="313">
        <v>0</v>
      </c>
      <c r="CY219" s="313">
        <v>1500000000</v>
      </c>
      <c r="CZ219" s="380">
        <v>0</v>
      </c>
      <c r="DA219" s="380">
        <v>0</v>
      </c>
      <c r="DB219" s="380">
        <v>0</v>
      </c>
      <c r="DC219" s="380">
        <v>0</v>
      </c>
      <c r="DD219" s="380">
        <v>0</v>
      </c>
      <c r="DE219" s="380">
        <v>0</v>
      </c>
      <c r="DF219" s="380">
        <v>0</v>
      </c>
      <c r="DG219" s="380">
        <v>0</v>
      </c>
      <c r="DH219" s="380">
        <v>0</v>
      </c>
      <c r="DI219" s="380">
        <v>0</v>
      </c>
      <c r="DJ219" s="380">
        <v>0</v>
      </c>
      <c r="DK219" s="702">
        <f t="shared" si="187"/>
        <v>116</v>
      </c>
      <c r="DL219" s="311">
        <f t="shared" si="206"/>
        <v>0.16500000000000001</v>
      </c>
      <c r="DM219" s="310">
        <f t="shared" si="207"/>
        <v>232</v>
      </c>
      <c r="DN219" s="356">
        <f t="shared" si="208"/>
        <v>100</v>
      </c>
      <c r="DO219" s="308">
        <f t="shared" si="209"/>
        <v>0.16500000000000001</v>
      </c>
      <c r="DP219" s="359">
        <f t="shared" si="217"/>
        <v>0.16500000000000001</v>
      </c>
      <c r="DQ219" s="306">
        <f t="shared" si="210"/>
        <v>0.16500000000000001</v>
      </c>
      <c r="DR219" s="379">
        <f t="shared" si="211"/>
        <v>1</v>
      </c>
      <c r="DS219" s="378">
        <f t="shared" si="212"/>
        <v>0</v>
      </c>
      <c r="DT219" s="173">
        <v>257</v>
      </c>
      <c r="DU219" s="174" t="s">
        <v>118</v>
      </c>
      <c r="DV219" s="173"/>
      <c r="DW219" s="174" t="s">
        <v>84</v>
      </c>
      <c r="DX219" s="173"/>
      <c r="DY219" s="173"/>
      <c r="DZ219" s="173"/>
      <c r="EA219" s="665"/>
      <c r="EB219" s="1254" t="s">
        <v>2536</v>
      </c>
      <c r="EC219" s="537">
        <v>1047000000</v>
      </c>
      <c r="EE219" s="733">
        <v>6396</v>
      </c>
      <c r="EF219" s="706"/>
    </row>
    <row r="220" spans="4:136" s="302" customFormat="1" ht="114.75" hidden="1">
      <c r="D220" s="520">
        <v>217</v>
      </c>
      <c r="E220" s="534">
        <v>264</v>
      </c>
      <c r="F220" s="523" t="s">
        <v>43</v>
      </c>
      <c r="G220" s="479" t="s">
        <v>81</v>
      </c>
      <c r="H220" s="526" t="s">
        <v>2658</v>
      </c>
      <c r="I220" s="462" t="s">
        <v>583</v>
      </c>
      <c r="J220" s="335" t="s">
        <v>594</v>
      </c>
      <c r="K220" s="335" t="s">
        <v>595</v>
      </c>
      <c r="L220" s="454" t="s">
        <v>1827</v>
      </c>
      <c r="M220" s="334" t="s">
        <v>1771</v>
      </c>
      <c r="N220" s="334">
        <v>3</v>
      </c>
      <c r="O220" s="333">
        <f t="shared" si="216"/>
        <v>11</v>
      </c>
      <c r="P220" s="332">
        <v>8</v>
      </c>
      <c r="Q220" s="390">
        <v>0.16500000000000001</v>
      </c>
      <c r="R220" s="342">
        <f t="shared" si="190"/>
        <v>4.1250000000000002E-2</v>
      </c>
      <c r="S220" s="389">
        <v>2</v>
      </c>
      <c r="T220" s="387">
        <f t="shared" si="174"/>
        <v>0.25</v>
      </c>
      <c r="U220" s="670">
        <v>5</v>
      </c>
      <c r="V220" s="388">
        <f t="shared" si="175"/>
        <v>5</v>
      </c>
      <c r="W220" s="356">
        <f t="shared" si="176"/>
        <v>250</v>
      </c>
      <c r="X220" s="356">
        <f t="shared" si="191"/>
        <v>100</v>
      </c>
      <c r="Y220" s="356">
        <f t="shared" si="215"/>
        <v>4.1250000000000002E-2</v>
      </c>
      <c r="Z220" s="356">
        <f t="shared" si="192"/>
        <v>100</v>
      </c>
      <c r="AA220" s="355">
        <v>715329000</v>
      </c>
      <c r="AB220" s="355">
        <v>715329000</v>
      </c>
      <c r="AC220" s="355">
        <v>0</v>
      </c>
      <c r="AD220" s="355">
        <v>0</v>
      </c>
      <c r="AE220" s="355">
        <v>0</v>
      </c>
      <c r="AF220" s="355">
        <v>0</v>
      </c>
      <c r="AG220" s="355">
        <v>0</v>
      </c>
      <c r="AH220" s="355">
        <v>0</v>
      </c>
      <c r="AI220" s="355">
        <v>0</v>
      </c>
      <c r="AJ220" s="355">
        <v>0</v>
      </c>
      <c r="AK220" s="355">
        <v>0</v>
      </c>
      <c r="AL220" s="355">
        <v>0</v>
      </c>
      <c r="AM220" s="355">
        <v>0</v>
      </c>
      <c r="AN220" s="355">
        <v>0</v>
      </c>
      <c r="AO220" s="355">
        <v>0</v>
      </c>
      <c r="AP220" s="355">
        <v>0</v>
      </c>
      <c r="AQ220" s="355">
        <v>0</v>
      </c>
      <c r="AR220" s="355">
        <v>0</v>
      </c>
      <c r="AS220" s="355">
        <v>0</v>
      </c>
      <c r="AT220" s="333">
        <f t="shared" si="193"/>
        <v>4.1250000000000002E-2</v>
      </c>
      <c r="AU220" s="334">
        <v>2</v>
      </c>
      <c r="AV220" s="387">
        <f t="shared" si="177"/>
        <v>0.25</v>
      </c>
      <c r="AW220" s="677">
        <v>4</v>
      </c>
      <c r="AX220" s="366">
        <f t="shared" si="178"/>
        <v>4</v>
      </c>
      <c r="AY220" s="366">
        <f t="shared" si="179"/>
        <v>200</v>
      </c>
      <c r="AZ220" s="366">
        <f t="shared" si="194"/>
        <v>100</v>
      </c>
      <c r="BA220" s="354">
        <f t="shared" si="195"/>
        <v>4.1250000000000002E-2</v>
      </c>
      <c r="BB220" s="354">
        <f t="shared" si="196"/>
        <v>100</v>
      </c>
      <c r="BC220" s="353">
        <v>1184000000</v>
      </c>
      <c r="BD220" s="353">
        <v>0</v>
      </c>
      <c r="BE220" s="353">
        <v>1184000000</v>
      </c>
      <c r="BF220" s="353">
        <v>0</v>
      </c>
      <c r="BG220" s="353">
        <v>0</v>
      </c>
      <c r="BH220" s="353">
        <v>0</v>
      </c>
      <c r="BI220" s="353">
        <v>0</v>
      </c>
      <c r="BJ220" s="353">
        <v>0</v>
      </c>
      <c r="BK220" s="452">
        <v>646016056</v>
      </c>
      <c r="BL220" s="351">
        <v>646016056</v>
      </c>
      <c r="BM220" s="351">
        <v>0</v>
      </c>
      <c r="BN220" s="351">
        <v>0</v>
      </c>
      <c r="BO220" s="351">
        <v>0</v>
      </c>
      <c r="BP220" s="351">
        <v>0</v>
      </c>
      <c r="BQ220" s="351">
        <v>0</v>
      </c>
      <c r="BR220" s="351">
        <v>0</v>
      </c>
      <c r="BS220" s="351">
        <v>0</v>
      </c>
      <c r="BT220" s="351">
        <v>0</v>
      </c>
      <c r="BU220" s="351">
        <v>0</v>
      </c>
      <c r="BV220" s="350">
        <f t="shared" si="197"/>
        <v>4.1250000000000002E-2</v>
      </c>
      <c r="BW220" s="350">
        <v>2</v>
      </c>
      <c r="BX220" s="385">
        <f t="shared" si="180"/>
        <v>0.25</v>
      </c>
      <c r="BY220" s="400">
        <v>2</v>
      </c>
      <c r="BZ220" s="416">
        <v>6</v>
      </c>
      <c r="CA220" s="691">
        <v>2</v>
      </c>
      <c r="CB220" s="324">
        <f t="shared" si="181"/>
        <v>2</v>
      </c>
      <c r="CC220" s="324">
        <f t="shared" si="182"/>
        <v>100</v>
      </c>
      <c r="CD220" s="384">
        <f t="shared" si="198"/>
        <v>100</v>
      </c>
      <c r="CE220" s="383">
        <f t="shared" si="199"/>
        <v>4.1250000000000002E-2</v>
      </c>
      <c r="CF220" s="367">
        <f t="shared" si="200"/>
        <v>100</v>
      </c>
      <c r="CG220" s="383">
        <f t="shared" si="201"/>
        <v>4.1250000000000002E-2</v>
      </c>
      <c r="CH220" s="320">
        <f t="shared" si="202"/>
        <v>4.1250000000000002E-2</v>
      </c>
      <c r="CI220" s="319">
        <v>2</v>
      </c>
      <c r="CJ220" s="318">
        <f t="shared" si="183"/>
        <v>0.25</v>
      </c>
      <c r="CK220" s="1259">
        <v>7</v>
      </c>
      <c r="CL220" s="301">
        <f t="shared" si="184"/>
        <v>-5</v>
      </c>
      <c r="CM220" s="381">
        <f t="shared" si="185"/>
        <v>7</v>
      </c>
      <c r="CN220" s="381">
        <f t="shared" si="186"/>
        <v>350</v>
      </c>
      <c r="CO220" s="316">
        <f t="shared" si="203"/>
        <v>100</v>
      </c>
      <c r="CP220" s="381">
        <f t="shared" si="204"/>
        <v>4.1250000000000002E-2</v>
      </c>
      <c r="CQ220" s="381">
        <f t="shared" si="205"/>
        <v>0.144375</v>
      </c>
      <c r="CR220" s="313">
        <v>1314000000</v>
      </c>
      <c r="CS220" s="313">
        <v>1314000000</v>
      </c>
      <c r="CT220" s="313">
        <v>0</v>
      </c>
      <c r="CU220" s="313">
        <v>0</v>
      </c>
      <c r="CV220" s="313">
        <v>0</v>
      </c>
      <c r="CW220" s="313">
        <v>0</v>
      </c>
      <c r="CX220" s="313">
        <v>0</v>
      </c>
      <c r="CY220" s="313">
        <v>0</v>
      </c>
      <c r="CZ220" s="380">
        <v>0</v>
      </c>
      <c r="DA220" s="380">
        <v>0</v>
      </c>
      <c r="DB220" s="380">
        <v>0</v>
      </c>
      <c r="DC220" s="380">
        <v>0</v>
      </c>
      <c r="DD220" s="380">
        <v>0</v>
      </c>
      <c r="DE220" s="380">
        <v>0</v>
      </c>
      <c r="DF220" s="380">
        <v>0</v>
      </c>
      <c r="DG220" s="380">
        <v>0</v>
      </c>
      <c r="DH220" s="380">
        <v>0</v>
      </c>
      <c r="DI220" s="380">
        <v>0</v>
      </c>
      <c r="DJ220" s="380">
        <v>0</v>
      </c>
      <c r="DK220" s="702">
        <f t="shared" si="187"/>
        <v>18</v>
      </c>
      <c r="DL220" s="311">
        <f t="shared" si="206"/>
        <v>0.16500000000000001</v>
      </c>
      <c r="DM220" s="310">
        <f t="shared" si="207"/>
        <v>225</v>
      </c>
      <c r="DN220" s="356">
        <f t="shared" si="208"/>
        <v>100</v>
      </c>
      <c r="DO220" s="308">
        <f t="shared" si="209"/>
        <v>0.16500000000000001</v>
      </c>
      <c r="DP220" s="359">
        <f t="shared" si="217"/>
        <v>0.16500000000000001</v>
      </c>
      <c r="DQ220" s="306">
        <f t="shared" si="210"/>
        <v>0.16500000000000001</v>
      </c>
      <c r="DR220" s="379">
        <f t="shared" si="211"/>
        <v>1</v>
      </c>
      <c r="DS220" s="378">
        <f t="shared" si="212"/>
        <v>0</v>
      </c>
      <c r="DT220" s="173">
        <v>257</v>
      </c>
      <c r="DU220" s="174" t="s">
        <v>118</v>
      </c>
      <c r="DV220" s="173"/>
      <c r="DW220" s="174" t="s">
        <v>84</v>
      </c>
      <c r="DX220" s="173"/>
      <c r="DY220" s="173"/>
      <c r="DZ220" s="173"/>
      <c r="EA220" s="665"/>
      <c r="EB220" s="1254" t="s">
        <v>2537</v>
      </c>
      <c r="EC220" s="537">
        <v>32580000000</v>
      </c>
      <c r="EE220" s="734">
        <v>53339</v>
      </c>
      <c r="EF220" s="706"/>
    </row>
    <row r="221" spans="4:136" s="302" customFormat="1" ht="38.25" hidden="1">
      <c r="D221" s="520">
        <v>218</v>
      </c>
      <c r="E221" s="534">
        <v>265</v>
      </c>
      <c r="F221" s="523" t="s">
        <v>43</v>
      </c>
      <c r="G221" s="479" t="s">
        <v>15</v>
      </c>
      <c r="H221" s="526" t="s">
        <v>2658</v>
      </c>
      <c r="I221" s="462" t="s">
        <v>583</v>
      </c>
      <c r="J221" s="335" t="s">
        <v>596</v>
      </c>
      <c r="K221" s="335" t="s">
        <v>597</v>
      </c>
      <c r="L221" s="454" t="s">
        <v>1958</v>
      </c>
      <c r="M221" s="334" t="s">
        <v>1771</v>
      </c>
      <c r="N221" s="334">
        <v>1</v>
      </c>
      <c r="O221" s="333">
        <f t="shared" si="216"/>
        <v>7</v>
      </c>
      <c r="P221" s="332">
        <v>6</v>
      </c>
      <c r="Q221" s="390">
        <v>8.8999999999999996E-2</v>
      </c>
      <c r="R221" s="342">
        <f t="shared" si="190"/>
        <v>1.4833333333333332E-2</v>
      </c>
      <c r="S221" s="389">
        <v>1</v>
      </c>
      <c r="T221" s="387">
        <f t="shared" si="174"/>
        <v>0.16666666666666666</v>
      </c>
      <c r="U221" s="670">
        <v>1</v>
      </c>
      <c r="V221" s="388">
        <f t="shared" si="175"/>
        <v>1</v>
      </c>
      <c r="W221" s="356">
        <f t="shared" si="176"/>
        <v>100</v>
      </c>
      <c r="X221" s="356">
        <f t="shared" si="191"/>
        <v>100</v>
      </c>
      <c r="Y221" s="356">
        <f t="shared" si="215"/>
        <v>1.4833333333333332E-2</v>
      </c>
      <c r="Z221" s="356">
        <f t="shared" si="192"/>
        <v>100</v>
      </c>
      <c r="AA221" s="355">
        <v>70000000</v>
      </c>
      <c r="AB221" s="355">
        <v>70000000</v>
      </c>
      <c r="AC221" s="355">
        <v>0</v>
      </c>
      <c r="AD221" s="355">
        <v>0</v>
      </c>
      <c r="AE221" s="355">
        <v>0</v>
      </c>
      <c r="AF221" s="355">
        <v>0</v>
      </c>
      <c r="AG221" s="355">
        <v>0</v>
      </c>
      <c r="AH221" s="355">
        <v>0</v>
      </c>
      <c r="AI221" s="355">
        <v>587836000</v>
      </c>
      <c r="AJ221" s="355">
        <v>544978000</v>
      </c>
      <c r="AK221" s="355">
        <v>0</v>
      </c>
      <c r="AL221" s="355">
        <v>0</v>
      </c>
      <c r="AM221" s="355">
        <v>0</v>
      </c>
      <c r="AN221" s="355">
        <v>0</v>
      </c>
      <c r="AO221" s="355">
        <v>42858000</v>
      </c>
      <c r="AP221" s="355">
        <v>0</v>
      </c>
      <c r="AQ221" s="355">
        <v>0</v>
      </c>
      <c r="AR221" s="355">
        <v>0</v>
      </c>
      <c r="AS221" s="355">
        <v>0</v>
      </c>
      <c r="AT221" s="333">
        <f t="shared" si="193"/>
        <v>2.9666666666666664E-2</v>
      </c>
      <c r="AU221" s="334">
        <v>2</v>
      </c>
      <c r="AV221" s="387">
        <f t="shared" si="177"/>
        <v>0.33333333333333331</v>
      </c>
      <c r="AW221" s="685">
        <v>3</v>
      </c>
      <c r="AX221" s="366">
        <f t="shared" si="178"/>
        <v>3</v>
      </c>
      <c r="AY221" s="366">
        <f t="shared" si="179"/>
        <v>150</v>
      </c>
      <c r="AZ221" s="366">
        <f t="shared" si="194"/>
        <v>100</v>
      </c>
      <c r="BA221" s="354">
        <f t="shared" si="195"/>
        <v>2.9666666666666664E-2</v>
      </c>
      <c r="BB221" s="354">
        <f t="shared" si="196"/>
        <v>100</v>
      </c>
      <c r="BC221" s="353">
        <v>500000000</v>
      </c>
      <c r="BD221" s="353">
        <v>0</v>
      </c>
      <c r="BE221" s="353">
        <v>500000000</v>
      </c>
      <c r="BF221" s="353">
        <v>0</v>
      </c>
      <c r="BG221" s="353">
        <v>0</v>
      </c>
      <c r="BH221" s="353">
        <v>0</v>
      </c>
      <c r="BI221" s="353">
        <v>0</v>
      </c>
      <c r="BJ221" s="353">
        <v>0</v>
      </c>
      <c r="BK221" s="452">
        <v>1623558965</v>
      </c>
      <c r="BL221" s="351">
        <v>1536070540</v>
      </c>
      <c r="BM221" s="351">
        <v>0</v>
      </c>
      <c r="BN221" s="351">
        <v>0</v>
      </c>
      <c r="BO221" s="351">
        <v>0</v>
      </c>
      <c r="BP221" s="351">
        <v>0</v>
      </c>
      <c r="BQ221" s="351">
        <v>0</v>
      </c>
      <c r="BR221" s="351">
        <v>87488425</v>
      </c>
      <c r="BS221" s="351">
        <v>0</v>
      </c>
      <c r="BT221" s="351">
        <v>545307663</v>
      </c>
      <c r="BU221" s="351">
        <v>0</v>
      </c>
      <c r="BV221" s="350">
        <f t="shared" si="197"/>
        <v>2.9666666666666664E-2</v>
      </c>
      <c r="BW221" s="350">
        <v>2</v>
      </c>
      <c r="BX221" s="385">
        <f t="shared" si="180"/>
        <v>0.33333333333333331</v>
      </c>
      <c r="BY221" s="400">
        <v>0.25</v>
      </c>
      <c r="BZ221" s="416">
        <v>0</v>
      </c>
      <c r="CA221" s="691">
        <v>2</v>
      </c>
      <c r="CB221" s="324">
        <f t="shared" si="181"/>
        <v>2</v>
      </c>
      <c r="CC221" s="324">
        <f t="shared" si="182"/>
        <v>100</v>
      </c>
      <c r="CD221" s="384">
        <f t="shared" si="198"/>
        <v>100</v>
      </c>
      <c r="CE221" s="383">
        <f t="shared" si="199"/>
        <v>2.9666666666666664E-2</v>
      </c>
      <c r="CF221" s="367">
        <f t="shared" si="200"/>
        <v>100</v>
      </c>
      <c r="CG221" s="383">
        <f t="shared" si="201"/>
        <v>2.9666666666666664E-2</v>
      </c>
      <c r="CH221" s="320">
        <f t="shared" si="202"/>
        <v>1.4833333333333332E-2</v>
      </c>
      <c r="CI221" s="319">
        <v>1</v>
      </c>
      <c r="CJ221" s="318">
        <f t="shared" si="183"/>
        <v>0.16666666666666666</v>
      </c>
      <c r="CK221" s="1259">
        <v>0</v>
      </c>
      <c r="CL221" s="301">
        <f t="shared" si="184"/>
        <v>1</v>
      </c>
      <c r="CM221" s="381">
        <f t="shared" si="185"/>
        <v>0</v>
      </c>
      <c r="CN221" s="381">
        <f t="shared" si="186"/>
        <v>0</v>
      </c>
      <c r="CO221" s="316">
        <f t="shared" si="203"/>
        <v>0</v>
      </c>
      <c r="CP221" s="381">
        <f t="shared" si="204"/>
        <v>0</v>
      </c>
      <c r="CQ221" s="381">
        <f t="shared" si="205"/>
        <v>0</v>
      </c>
      <c r="CR221" s="313">
        <v>1500000000</v>
      </c>
      <c r="CS221" s="313">
        <v>1500000000</v>
      </c>
      <c r="CT221" s="313">
        <v>0</v>
      </c>
      <c r="CU221" s="313">
        <v>0</v>
      </c>
      <c r="CV221" s="313">
        <v>0</v>
      </c>
      <c r="CW221" s="313">
        <v>0</v>
      </c>
      <c r="CX221" s="313">
        <v>0</v>
      </c>
      <c r="CY221" s="313">
        <v>0</v>
      </c>
      <c r="CZ221" s="380">
        <v>0</v>
      </c>
      <c r="DA221" s="380">
        <v>0</v>
      </c>
      <c r="DB221" s="380">
        <v>0</v>
      </c>
      <c r="DC221" s="380">
        <v>0</v>
      </c>
      <c r="DD221" s="380">
        <v>0</v>
      </c>
      <c r="DE221" s="380">
        <v>0</v>
      </c>
      <c r="DF221" s="380">
        <v>0</v>
      </c>
      <c r="DG221" s="380">
        <v>0</v>
      </c>
      <c r="DH221" s="380">
        <v>0</v>
      </c>
      <c r="DI221" s="380">
        <v>0</v>
      </c>
      <c r="DJ221" s="380">
        <v>0</v>
      </c>
      <c r="DK221" s="702">
        <f t="shared" si="187"/>
        <v>6</v>
      </c>
      <c r="DL221" s="311">
        <f t="shared" si="206"/>
        <v>8.8999999999999996E-2</v>
      </c>
      <c r="DM221" s="310">
        <f t="shared" si="207"/>
        <v>100</v>
      </c>
      <c r="DN221" s="356">
        <f t="shared" si="208"/>
        <v>100</v>
      </c>
      <c r="DO221" s="308">
        <f t="shared" si="209"/>
        <v>8.900000000000001E-2</v>
      </c>
      <c r="DP221" s="359">
        <f t="shared" si="217"/>
        <v>8.8999999999999996E-2</v>
      </c>
      <c r="DQ221" s="306">
        <f t="shared" si="210"/>
        <v>8.8999999999999996E-2</v>
      </c>
      <c r="DR221" s="379">
        <f t="shared" si="211"/>
        <v>0.99999999999999989</v>
      </c>
      <c r="DS221" s="378">
        <f t="shared" si="212"/>
        <v>0</v>
      </c>
      <c r="DT221" s="173">
        <v>257</v>
      </c>
      <c r="DU221" s="174" t="s">
        <v>118</v>
      </c>
      <c r="DV221" s="173"/>
      <c r="DW221" s="174" t="s">
        <v>84</v>
      </c>
      <c r="DX221" s="173"/>
      <c r="DY221" s="173"/>
      <c r="DZ221" s="173"/>
      <c r="EA221" s="665"/>
      <c r="EB221" s="1254" t="s">
        <v>2394</v>
      </c>
      <c r="EC221" s="537">
        <v>0</v>
      </c>
      <c r="EE221" s="733">
        <v>116</v>
      </c>
      <c r="EF221" s="706"/>
    </row>
    <row r="222" spans="4:136" s="302" customFormat="1" ht="84" hidden="1">
      <c r="D222" s="520">
        <v>219</v>
      </c>
      <c r="E222" s="534">
        <v>266</v>
      </c>
      <c r="F222" s="523" t="s">
        <v>43</v>
      </c>
      <c r="G222" s="479" t="s">
        <v>15</v>
      </c>
      <c r="H222" s="526" t="s">
        <v>2658</v>
      </c>
      <c r="I222" s="462" t="s">
        <v>583</v>
      </c>
      <c r="J222" s="335" t="s">
        <v>598</v>
      </c>
      <c r="K222" s="335" t="s">
        <v>599</v>
      </c>
      <c r="L222" s="454" t="s">
        <v>1802</v>
      </c>
      <c r="M222" s="334" t="s">
        <v>1771</v>
      </c>
      <c r="N222" s="334">
        <v>0</v>
      </c>
      <c r="O222" s="333">
        <f t="shared" si="216"/>
        <v>1</v>
      </c>
      <c r="P222" s="332">
        <v>1</v>
      </c>
      <c r="Q222" s="390">
        <v>8.8999999999999996E-2</v>
      </c>
      <c r="R222" s="342">
        <f t="shared" si="190"/>
        <v>0</v>
      </c>
      <c r="S222" s="389">
        <v>0</v>
      </c>
      <c r="T222" s="387">
        <f t="shared" si="174"/>
        <v>0</v>
      </c>
      <c r="U222" s="670">
        <v>0</v>
      </c>
      <c r="V222" s="388">
        <f t="shared" si="175"/>
        <v>0</v>
      </c>
      <c r="W222" s="356">
        <f t="shared" si="176"/>
        <v>0</v>
      </c>
      <c r="X222" s="356">
        <f t="shared" si="191"/>
        <v>0</v>
      </c>
      <c r="Y222" s="356">
        <f t="shared" si="215"/>
        <v>0</v>
      </c>
      <c r="Z222" s="356">
        <f t="shared" si="192"/>
        <v>0</v>
      </c>
      <c r="AA222" s="355">
        <v>0</v>
      </c>
      <c r="AB222" s="355">
        <v>0</v>
      </c>
      <c r="AC222" s="355">
        <v>0</v>
      </c>
      <c r="AD222" s="355">
        <v>0</v>
      </c>
      <c r="AE222" s="355">
        <v>0</v>
      </c>
      <c r="AF222" s="355">
        <v>0</v>
      </c>
      <c r="AG222" s="355">
        <v>0</v>
      </c>
      <c r="AH222" s="355">
        <v>0</v>
      </c>
      <c r="AI222" s="355">
        <v>150000000</v>
      </c>
      <c r="AJ222" s="355">
        <v>0</v>
      </c>
      <c r="AK222" s="355">
        <v>0</v>
      </c>
      <c r="AL222" s="355">
        <v>0</v>
      </c>
      <c r="AM222" s="355">
        <v>0</v>
      </c>
      <c r="AN222" s="355">
        <v>0</v>
      </c>
      <c r="AO222" s="355">
        <v>150000000</v>
      </c>
      <c r="AP222" s="355">
        <v>0</v>
      </c>
      <c r="AQ222" s="355">
        <v>0</v>
      </c>
      <c r="AR222" s="355">
        <v>0</v>
      </c>
      <c r="AS222" s="355">
        <v>0</v>
      </c>
      <c r="AT222" s="333">
        <f t="shared" si="193"/>
        <v>0</v>
      </c>
      <c r="AU222" s="334">
        <v>0</v>
      </c>
      <c r="AV222" s="387">
        <f t="shared" si="177"/>
        <v>0</v>
      </c>
      <c r="AW222" s="686">
        <v>0</v>
      </c>
      <c r="AX222" s="366">
        <f t="shared" si="178"/>
        <v>0</v>
      </c>
      <c r="AY222" s="366">
        <f t="shared" si="179"/>
        <v>0</v>
      </c>
      <c r="AZ222" s="366">
        <f t="shared" si="194"/>
        <v>0</v>
      </c>
      <c r="BA222" s="354">
        <f t="shared" si="195"/>
        <v>0</v>
      </c>
      <c r="BB222" s="354">
        <f t="shared" si="196"/>
        <v>0</v>
      </c>
      <c r="BC222" s="353">
        <v>600000000</v>
      </c>
      <c r="BD222" s="353">
        <v>0</v>
      </c>
      <c r="BE222" s="353">
        <v>200000000</v>
      </c>
      <c r="BF222" s="353">
        <v>0</v>
      </c>
      <c r="BG222" s="353">
        <v>0</v>
      </c>
      <c r="BH222" s="353">
        <v>0</v>
      </c>
      <c r="BI222" s="353">
        <v>0</v>
      </c>
      <c r="BJ222" s="353">
        <v>400000000</v>
      </c>
      <c r="BK222" s="452">
        <v>0</v>
      </c>
      <c r="BL222" s="351">
        <v>0</v>
      </c>
      <c r="BM222" s="351">
        <v>0</v>
      </c>
      <c r="BN222" s="351">
        <v>0</v>
      </c>
      <c r="BO222" s="351">
        <v>0</v>
      </c>
      <c r="BP222" s="351">
        <v>0</v>
      </c>
      <c r="BQ222" s="351">
        <v>0</v>
      </c>
      <c r="BR222" s="351">
        <v>0</v>
      </c>
      <c r="BS222" s="351">
        <v>0</v>
      </c>
      <c r="BT222" s="351">
        <v>2011815729</v>
      </c>
      <c r="BU222" s="351">
        <v>0</v>
      </c>
      <c r="BV222" s="350">
        <f t="shared" si="197"/>
        <v>0</v>
      </c>
      <c r="BW222" s="350">
        <v>0</v>
      </c>
      <c r="BX222" s="385">
        <f t="shared" si="180"/>
        <v>0</v>
      </c>
      <c r="BY222" s="369">
        <v>0</v>
      </c>
      <c r="BZ222" s="391">
        <v>0</v>
      </c>
      <c r="CA222" s="689">
        <v>0</v>
      </c>
      <c r="CB222" s="324">
        <f t="shared" si="181"/>
        <v>0</v>
      </c>
      <c r="CC222" s="324">
        <f t="shared" si="182"/>
        <v>0</v>
      </c>
      <c r="CD222" s="384">
        <f t="shared" si="198"/>
        <v>0</v>
      </c>
      <c r="CE222" s="383">
        <f t="shared" si="199"/>
        <v>0</v>
      </c>
      <c r="CF222" s="367">
        <f t="shared" si="200"/>
        <v>0</v>
      </c>
      <c r="CG222" s="383">
        <f t="shared" si="201"/>
        <v>0</v>
      </c>
      <c r="CH222" s="320">
        <f t="shared" si="202"/>
        <v>8.8999999999999996E-2</v>
      </c>
      <c r="CI222" s="319">
        <v>1</v>
      </c>
      <c r="CJ222" s="318">
        <f t="shared" si="183"/>
        <v>1</v>
      </c>
      <c r="CK222" s="1258">
        <v>1</v>
      </c>
      <c r="CL222" s="301">
        <f t="shared" si="184"/>
        <v>0</v>
      </c>
      <c r="CM222" s="381">
        <f t="shared" si="185"/>
        <v>1</v>
      </c>
      <c r="CN222" s="381">
        <f t="shared" si="186"/>
        <v>100</v>
      </c>
      <c r="CO222" s="316">
        <f t="shared" si="203"/>
        <v>100</v>
      </c>
      <c r="CP222" s="381">
        <f t="shared" si="204"/>
        <v>8.900000000000001E-2</v>
      </c>
      <c r="CQ222" s="381">
        <f t="shared" si="205"/>
        <v>8.900000000000001E-2</v>
      </c>
      <c r="CR222" s="313">
        <v>800000000</v>
      </c>
      <c r="CS222" s="313">
        <v>400000000</v>
      </c>
      <c r="CT222" s="313">
        <v>0</v>
      </c>
      <c r="CU222" s="313">
        <v>0</v>
      </c>
      <c r="CV222" s="313">
        <v>0</v>
      </c>
      <c r="CW222" s="313">
        <v>0</v>
      </c>
      <c r="CX222" s="313">
        <v>0</v>
      </c>
      <c r="CY222" s="313">
        <v>400000000</v>
      </c>
      <c r="CZ222" s="380">
        <v>0</v>
      </c>
      <c r="DA222" s="380">
        <v>0</v>
      </c>
      <c r="DB222" s="380">
        <v>0</v>
      </c>
      <c r="DC222" s="380">
        <v>0</v>
      </c>
      <c r="DD222" s="380">
        <v>0</v>
      </c>
      <c r="DE222" s="380">
        <v>0</v>
      </c>
      <c r="DF222" s="380">
        <v>0</v>
      </c>
      <c r="DG222" s="380">
        <v>0</v>
      </c>
      <c r="DH222" s="380">
        <v>0</v>
      </c>
      <c r="DI222" s="380">
        <v>0</v>
      </c>
      <c r="DJ222" s="380">
        <v>0</v>
      </c>
      <c r="DK222" s="702">
        <f t="shared" si="187"/>
        <v>1</v>
      </c>
      <c r="DL222" s="311">
        <f t="shared" si="206"/>
        <v>8.8999999999999996E-2</v>
      </c>
      <c r="DM222" s="310">
        <f t="shared" si="207"/>
        <v>100</v>
      </c>
      <c r="DN222" s="356">
        <f t="shared" si="208"/>
        <v>100</v>
      </c>
      <c r="DO222" s="308">
        <f t="shared" si="209"/>
        <v>8.900000000000001E-2</v>
      </c>
      <c r="DP222" s="359">
        <f t="shared" si="217"/>
        <v>8.8999999999999996E-2</v>
      </c>
      <c r="DQ222" s="306">
        <f t="shared" si="210"/>
        <v>8.8999999999999996E-2</v>
      </c>
      <c r="DR222" s="379">
        <f t="shared" si="211"/>
        <v>1</v>
      </c>
      <c r="DS222" s="378">
        <f t="shared" si="212"/>
        <v>0</v>
      </c>
      <c r="DT222" s="173">
        <v>200</v>
      </c>
      <c r="DU222" s="174" t="s">
        <v>397</v>
      </c>
      <c r="DV222" s="173">
        <v>202</v>
      </c>
      <c r="DW222" s="174" t="s">
        <v>121</v>
      </c>
      <c r="DX222" s="173">
        <v>257</v>
      </c>
      <c r="DY222" s="173"/>
      <c r="DZ222" s="173"/>
      <c r="EA222" s="665"/>
      <c r="EB222" s="1254" t="s">
        <v>2395</v>
      </c>
      <c r="EC222" s="537">
        <v>68000000</v>
      </c>
      <c r="EE222" s="734">
        <v>8</v>
      </c>
      <c r="EF222" s="706"/>
    </row>
    <row r="223" spans="4:136" s="302" customFormat="1" ht="63.75" hidden="1">
      <c r="D223" s="520">
        <v>220</v>
      </c>
      <c r="E223" s="534">
        <v>267</v>
      </c>
      <c r="F223" s="523" t="s">
        <v>43</v>
      </c>
      <c r="G223" s="479" t="s">
        <v>15</v>
      </c>
      <c r="H223" s="526" t="s">
        <v>2658</v>
      </c>
      <c r="I223" s="462" t="s">
        <v>583</v>
      </c>
      <c r="J223" s="335" t="s">
        <v>600</v>
      </c>
      <c r="K223" s="335" t="s">
        <v>601</v>
      </c>
      <c r="L223" s="457" t="s">
        <v>1791</v>
      </c>
      <c r="M223" s="334" t="s">
        <v>1771</v>
      </c>
      <c r="N223" s="334">
        <v>0</v>
      </c>
      <c r="O223" s="333">
        <f t="shared" si="216"/>
        <v>1</v>
      </c>
      <c r="P223" s="332">
        <v>1</v>
      </c>
      <c r="Q223" s="390">
        <v>8.8999999999999996E-2</v>
      </c>
      <c r="R223" s="342">
        <f t="shared" si="190"/>
        <v>8.8999999999999999E-3</v>
      </c>
      <c r="S223" s="389">
        <v>0.1</v>
      </c>
      <c r="T223" s="387">
        <f t="shared" si="174"/>
        <v>0.1</v>
      </c>
      <c r="U223" s="670">
        <v>0</v>
      </c>
      <c r="V223" s="388">
        <f t="shared" si="175"/>
        <v>0</v>
      </c>
      <c r="W223" s="356">
        <f t="shared" si="176"/>
        <v>0</v>
      </c>
      <c r="X223" s="356">
        <f t="shared" si="191"/>
        <v>0</v>
      </c>
      <c r="Y223" s="356">
        <f t="shared" si="215"/>
        <v>0</v>
      </c>
      <c r="Z223" s="356">
        <f t="shared" si="192"/>
        <v>0</v>
      </c>
      <c r="AA223" s="355">
        <v>248000000</v>
      </c>
      <c r="AB223" s="355">
        <v>248000000</v>
      </c>
      <c r="AC223" s="355">
        <v>0</v>
      </c>
      <c r="AD223" s="355">
        <v>0</v>
      </c>
      <c r="AE223" s="355">
        <v>0</v>
      </c>
      <c r="AF223" s="355">
        <v>0</v>
      </c>
      <c r="AG223" s="355">
        <v>0</v>
      </c>
      <c r="AH223" s="355">
        <v>0</v>
      </c>
      <c r="AI223" s="355">
        <v>0</v>
      </c>
      <c r="AJ223" s="355">
        <v>0</v>
      </c>
      <c r="AK223" s="355">
        <v>0</v>
      </c>
      <c r="AL223" s="355">
        <v>0</v>
      </c>
      <c r="AM223" s="355">
        <v>0</v>
      </c>
      <c r="AN223" s="355">
        <v>0</v>
      </c>
      <c r="AO223" s="355">
        <v>0</v>
      </c>
      <c r="AP223" s="355">
        <v>0</v>
      </c>
      <c r="AQ223" s="355">
        <v>0</v>
      </c>
      <c r="AR223" s="355">
        <v>0</v>
      </c>
      <c r="AS223" s="355">
        <v>0</v>
      </c>
      <c r="AT223" s="333">
        <f t="shared" si="193"/>
        <v>2.6699999999999998E-2</v>
      </c>
      <c r="AU223" s="334">
        <v>0.3</v>
      </c>
      <c r="AV223" s="387">
        <f t="shared" si="177"/>
        <v>0.3</v>
      </c>
      <c r="AW223" s="677">
        <v>0.66</v>
      </c>
      <c r="AX223" s="366">
        <f t="shared" si="178"/>
        <v>0.66</v>
      </c>
      <c r="AY223" s="366">
        <f t="shared" si="179"/>
        <v>220</v>
      </c>
      <c r="AZ223" s="366">
        <f t="shared" si="194"/>
        <v>100</v>
      </c>
      <c r="BA223" s="354">
        <f t="shared" si="195"/>
        <v>2.6699999999999998E-2</v>
      </c>
      <c r="BB223" s="354">
        <f t="shared" si="196"/>
        <v>100</v>
      </c>
      <c r="BC223" s="353">
        <v>2400000000</v>
      </c>
      <c r="BD223" s="353">
        <v>0</v>
      </c>
      <c r="BE223" s="353">
        <v>400000000</v>
      </c>
      <c r="BF223" s="353">
        <v>0</v>
      </c>
      <c r="BG223" s="353">
        <v>0</v>
      </c>
      <c r="BH223" s="353">
        <v>0</v>
      </c>
      <c r="BI223" s="353">
        <v>0</v>
      </c>
      <c r="BJ223" s="353">
        <v>2000000000</v>
      </c>
      <c r="BK223" s="452">
        <v>0</v>
      </c>
      <c r="BL223" s="351">
        <v>0</v>
      </c>
      <c r="BM223" s="351">
        <v>0</v>
      </c>
      <c r="BN223" s="351">
        <v>0</v>
      </c>
      <c r="BO223" s="351">
        <v>0</v>
      </c>
      <c r="BP223" s="351">
        <v>0</v>
      </c>
      <c r="BQ223" s="351">
        <v>0</v>
      </c>
      <c r="BR223" s="351">
        <v>0</v>
      </c>
      <c r="BS223" s="351">
        <v>0</v>
      </c>
      <c r="BT223" s="351">
        <v>0</v>
      </c>
      <c r="BU223" s="351">
        <v>0</v>
      </c>
      <c r="BV223" s="350">
        <f t="shared" si="197"/>
        <v>5.3399999999999996E-2</v>
      </c>
      <c r="BW223" s="350">
        <v>0.6</v>
      </c>
      <c r="BX223" s="385">
        <f t="shared" si="180"/>
        <v>0.6</v>
      </c>
      <c r="BY223" s="369">
        <v>0.66</v>
      </c>
      <c r="BZ223" s="391">
        <v>0</v>
      </c>
      <c r="CA223" s="689">
        <v>0.1</v>
      </c>
      <c r="CB223" s="324">
        <f t="shared" si="181"/>
        <v>0.1</v>
      </c>
      <c r="CC223" s="324">
        <f t="shared" si="182"/>
        <v>16.666666666666668</v>
      </c>
      <c r="CD223" s="384">
        <f t="shared" si="198"/>
        <v>16.666666666666668</v>
      </c>
      <c r="CE223" s="383">
        <f t="shared" si="199"/>
        <v>8.8999999999999999E-3</v>
      </c>
      <c r="CF223" s="367">
        <f t="shared" si="200"/>
        <v>16.666666666666668</v>
      </c>
      <c r="CG223" s="383">
        <f t="shared" si="201"/>
        <v>8.8999999999999999E-3</v>
      </c>
      <c r="CH223" s="320">
        <f t="shared" si="202"/>
        <v>0</v>
      </c>
      <c r="CI223" s="319">
        <v>0</v>
      </c>
      <c r="CJ223" s="318">
        <f t="shared" si="183"/>
        <v>0</v>
      </c>
      <c r="CK223" s="1258">
        <v>1</v>
      </c>
      <c r="CL223" s="301">
        <f t="shared" si="184"/>
        <v>-1</v>
      </c>
      <c r="CM223" s="381">
        <f t="shared" si="185"/>
        <v>1</v>
      </c>
      <c r="CN223" s="381">
        <f t="shared" si="186"/>
        <v>0</v>
      </c>
      <c r="CO223" s="316">
        <f t="shared" si="203"/>
        <v>0</v>
      </c>
      <c r="CP223" s="381">
        <f t="shared" si="204"/>
        <v>0</v>
      </c>
      <c r="CQ223" s="381">
        <f t="shared" si="205"/>
        <v>0</v>
      </c>
      <c r="CR223" s="313">
        <v>0</v>
      </c>
      <c r="CS223" s="313">
        <v>0</v>
      </c>
      <c r="CT223" s="313">
        <v>0</v>
      </c>
      <c r="CU223" s="313">
        <v>0</v>
      </c>
      <c r="CV223" s="313">
        <v>0</v>
      </c>
      <c r="CW223" s="313">
        <v>0</v>
      </c>
      <c r="CX223" s="313">
        <v>0</v>
      </c>
      <c r="CY223" s="313">
        <v>0</v>
      </c>
      <c r="CZ223" s="380">
        <v>0</v>
      </c>
      <c r="DA223" s="380">
        <v>0</v>
      </c>
      <c r="DB223" s="380">
        <v>0</v>
      </c>
      <c r="DC223" s="380">
        <v>0</v>
      </c>
      <c r="DD223" s="380">
        <v>0</v>
      </c>
      <c r="DE223" s="380">
        <v>0</v>
      </c>
      <c r="DF223" s="380">
        <v>0</v>
      </c>
      <c r="DG223" s="380">
        <v>0</v>
      </c>
      <c r="DH223" s="380">
        <v>0</v>
      </c>
      <c r="DI223" s="380">
        <v>0</v>
      </c>
      <c r="DJ223" s="380">
        <v>0</v>
      </c>
      <c r="DK223" s="702">
        <f t="shared" si="187"/>
        <v>1.76</v>
      </c>
      <c r="DL223" s="311">
        <f t="shared" si="206"/>
        <v>8.8999999999999996E-2</v>
      </c>
      <c r="DM223" s="310">
        <f t="shared" si="207"/>
        <v>176</v>
      </c>
      <c r="DN223" s="356">
        <f t="shared" si="208"/>
        <v>100</v>
      </c>
      <c r="DO223" s="308">
        <f t="shared" si="209"/>
        <v>8.900000000000001E-2</v>
      </c>
      <c r="DP223" s="359">
        <f t="shared" si="217"/>
        <v>8.8999999999999996E-2</v>
      </c>
      <c r="DQ223" s="306">
        <f t="shared" si="210"/>
        <v>8.8999999999999996E-2</v>
      </c>
      <c r="DR223" s="379">
        <f t="shared" si="211"/>
        <v>1</v>
      </c>
      <c r="DS223" s="378">
        <f t="shared" si="212"/>
        <v>-6.9388939039072284E-18</v>
      </c>
      <c r="DT223" s="173">
        <v>257</v>
      </c>
      <c r="DU223" s="174" t="s">
        <v>118</v>
      </c>
      <c r="DV223" s="173"/>
      <c r="DW223" s="174" t="s">
        <v>84</v>
      </c>
      <c r="DX223" s="173"/>
      <c r="DY223" s="173"/>
      <c r="DZ223" s="173"/>
      <c r="EA223" s="665"/>
      <c r="EB223" s="1254" t="s">
        <v>2396</v>
      </c>
      <c r="EC223" s="537">
        <v>5831000000</v>
      </c>
      <c r="EE223" s="734">
        <v>10820</v>
      </c>
      <c r="EF223" s="706"/>
    </row>
    <row r="224" spans="4:136" s="302" customFormat="1" ht="89.25" hidden="1">
      <c r="D224" s="520">
        <v>221</v>
      </c>
      <c r="E224" s="534">
        <v>268</v>
      </c>
      <c r="F224" s="523" t="s">
        <v>43</v>
      </c>
      <c r="G224" s="479" t="s">
        <v>15</v>
      </c>
      <c r="H224" s="526" t="s">
        <v>2658</v>
      </c>
      <c r="I224" s="462" t="s">
        <v>583</v>
      </c>
      <c r="J224" s="335" t="s">
        <v>602</v>
      </c>
      <c r="K224" s="335" t="s">
        <v>603</v>
      </c>
      <c r="L224" s="454" t="s">
        <v>1774</v>
      </c>
      <c r="M224" s="334" t="s">
        <v>1771</v>
      </c>
      <c r="N224" s="334">
        <v>14</v>
      </c>
      <c r="O224" s="333">
        <f t="shared" si="216"/>
        <v>35</v>
      </c>
      <c r="P224" s="332">
        <v>21</v>
      </c>
      <c r="Q224" s="390">
        <v>2.92E-2</v>
      </c>
      <c r="R224" s="342">
        <f t="shared" si="190"/>
        <v>2.7809523809523809E-3</v>
      </c>
      <c r="S224" s="389">
        <v>2</v>
      </c>
      <c r="T224" s="387">
        <f t="shared" si="174"/>
        <v>9.5238095238095233E-2</v>
      </c>
      <c r="U224" s="670">
        <v>1</v>
      </c>
      <c r="V224" s="388">
        <f t="shared" si="175"/>
        <v>1</v>
      </c>
      <c r="W224" s="356">
        <f t="shared" si="176"/>
        <v>50</v>
      </c>
      <c r="X224" s="356">
        <f t="shared" si="191"/>
        <v>50</v>
      </c>
      <c r="Y224" s="356">
        <f t="shared" si="215"/>
        <v>1.3904761904761907E-3</v>
      </c>
      <c r="Z224" s="356">
        <f t="shared" si="192"/>
        <v>50</v>
      </c>
      <c r="AA224" s="355">
        <v>240000000</v>
      </c>
      <c r="AB224" s="355">
        <v>240000000</v>
      </c>
      <c r="AC224" s="355">
        <v>0</v>
      </c>
      <c r="AD224" s="355">
        <v>0</v>
      </c>
      <c r="AE224" s="355">
        <v>0</v>
      </c>
      <c r="AF224" s="355">
        <v>0</v>
      </c>
      <c r="AG224" s="355">
        <v>0</v>
      </c>
      <c r="AH224" s="355">
        <v>0</v>
      </c>
      <c r="AI224" s="355">
        <v>137000000</v>
      </c>
      <c r="AJ224" s="355">
        <v>137000000</v>
      </c>
      <c r="AK224" s="355">
        <v>0</v>
      </c>
      <c r="AL224" s="355">
        <v>0</v>
      </c>
      <c r="AM224" s="355">
        <v>0</v>
      </c>
      <c r="AN224" s="355">
        <v>0</v>
      </c>
      <c r="AO224" s="355">
        <v>0</v>
      </c>
      <c r="AP224" s="355">
        <v>0</v>
      </c>
      <c r="AQ224" s="355">
        <v>0</v>
      </c>
      <c r="AR224" s="355">
        <v>0</v>
      </c>
      <c r="AS224" s="355">
        <v>0</v>
      </c>
      <c r="AT224" s="333">
        <f t="shared" si="193"/>
        <v>9.7333333333333334E-3</v>
      </c>
      <c r="AU224" s="334">
        <v>7</v>
      </c>
      <c r="AV224" s="387">
        <f t="shared" si="177"/>
        <v>0.33333333333333331</v>
      </c>
      <c r="AW224" s="677">
        <v>5</v>
      </c>
      <c r="AX224" s="366">
        <f t="shared" si="178"/>
        <v>5</v>
      </c>
      <c r="AY224" s="366">
        <f t="shared" si="179"/>
        <v>71.428571428571431</v>
      </c>
      <c r="AZ224" s="366">
        <f t="shared" si="194"/>
        <v>71.428571428571431</v>
      </c>
      <c r="BA224" s="354">
        <f t="shared" si="195"/>
        <v>6.9523809523809521E-3</v>
      </c>
      <c r="BB224" s="354">
        <f t="shared" si="196"/>
        <v>71.428571428571431</v>
      </c>
      <c r="BC224" s="353">
        <v>60000000</v>
      </c>
      <c r="BD224" s="353">
        <v>0</v>
      </c>
      <c r="BE224" s="353">
        <v>60000000</v>
      </c>
      <c r="BF224" s="353">
        <v>0</v>
      </c>
      <c r="BG224" s="353">
        <v>0</v>
      </c>
      <c r="BH224" s="353">
        <v>0</v>
      </c>
      <c r="BI224" s="353">
        <v>0</v>
      </c>
      <c r="BJ224" s="353">
        <v>0</v>
      </c>
      <c r="BK224" s="452">
        <v>0</v>
      </c>
      <c r="BL224" s="351">
        <v>0</v>
      </c>
      <c r="BM224" s="351">
        <v>0</v>
      </c>
      <c r="BN224" s="351">
        <v>0</v>
      </c>
      <c r="BO224" s="351">
        <v>0</v>
      </c>
      <c r="BP224" s="351">
        <v>0</v>
      </c>
      <c r="BQ224" s="351">
        <v>0</v>
      </c>
      <c r="BR224" s="351">
        <v>0</v>
      </c>
      <c r="BS224" s="351">
        <v>0</v>
      </c>
      <c r="BT224" s="351">
        <v>0</v>
      </c>
      <c r="BU224" s="351">
        <v>0</v>
      </c>
      <c r="BV224" s="350">
        <f t="shared" si="197"/>
        <v>8.3428571428571432E-3</v>
      </c>
      <c r="BW224" s="350">
        <v>6</v>
      </c>
      <c r="BX224" s="385">
        <f t="shared" si="180"/>
        <v>0.2857142857142857</v>
      </c>
      <c r="BY224" s="369">
        <v>0</v>
      </c>
      <c r="BZ224" s="391">
        <v>0</v>
      </c>
      <c r="CA224" s="689">
        <v>0</v>
      </c>
      <c r="CB224" s="324">
        <f t="shared" si="181"/>
        <v>0</v>
      </c>
      <c r="CC224" s="324">
        <f t="shared" si="182"/>
        <v>0</v>
      </c>
      <c r="CD224" s="384">
        <f t="shared" si="198"/>
        <v>0</v>
      </c>
      <c r="CE224" s="383">
        <f t="shared" si="199"/>
        <v>0</v>
      </c>
      <c r="CF224" s="367">
        <f t="shared" si="200"/>
        <v>0</v>
      </c>
      <c r="CG224" s="383">
        <f t="shared" si="201"/>
        <v>0</v>
      </c>
      <c r="CH224" s="320">
        <f t="shared" si="202"/>
        <v>8.3428571428571432E-3</v>
      </c>
      <c r="CI224" s="319">
        <v>6</v>
      </c>
      <c r="CJ224" s="318">
        <f t="shared" si="183"/>
        <v>0.2857142857142857</v>
      </c>
      <c r="CK224" s="1258">
        <v>11</v>
      </c>
      <c r="CL224" s="301">
        <f t="shared" si="184"/>
        <v>-5</v>
      </c>
      <c r="CM224" s="381">
        <f t="shared" si="185"/>
        <v>11</v>
      </c>
      <c r="CN224" s="381">
        <f t="shared" si="186"/>
        <v>183.33333333333334</v>
      </c>
      <c r="CO224" s="316">
        <f t="shared" si="203"/>
        <v>100</v>
      </c>
      <c r="CP224" s="381">
        <f t="shared" si="204"/>
        <v>8.3428571428571432E-3</v>
      </c>
      <c r="CQ224" s="381">
        <f t="shared" si="205"/>
        <v>1.5295238095238098E-2</v>
      </c>
      <c r="CR224" s="313">
        <v>137000000</v>
      </c>
      <c r="CS224" s="313">
        <v>137000000</v>
      </c>
      <c r="CT224" s="313">
        <v>0</v>
      </c>
      <c r="CU224" s="313">
        <v>0</v>
      </c>
      <c r="CV224" s="313">
        <v>0</v>
      </c>
      <c r="CW224" s="313">
        <v>0</v>
      </c>
      <c r="CX224" s="313">
        <v>0</v>
      </c>
      <c r="CY224" s="313">
        <v>0</v>
      </c>
      <c r="CZ224" s="380">
        <v>0</v>
      </c>
      <c r="DA224" s="380">
        <v>0</v>
      </c>
      <c r="DB224" s="380">
        <v>0</v>
      </c>
      <c r="DC224" s="380">
        <v>0</v>
      </c>
      <c r="DD224" s="380">
        <v>0</v>
      </c>
      <c r="DE224" s="380">
        <v>0</v>
      </c>
      <c r="DF224" s="380">
        <v>0</v>
      </c>
      <c r="DG224" s="380">
        <v>0</v>
      </c>
      <c r="DH224" s="380">
        <v>0</v>
      </c>
      <c r="DI224" s="380">
        <v>0</v>
      </c>
      <c r="DJ224" s="380">
        <v>0</v>
      </c>
      <c r="DK224" s="702">
        <f t="shared" si="187"/>
        <v>17</v>
      </c>
      <c r="DL224" s="311">
        <f t="shared" si="206"/>
        <v>2.9200000000000004E-2</v>
      </c>
      <c r="DM224" s="310">
        <f t="shared" si="207"/>
        <v>80.952380952380949</v>
      </c>
      <c r="DN224" s="356">
        <f t="shared" si="208"/>
        <v>80.952380952380949</v>
      </c>
      <c r="DO224" s="308">
        <f t="shared" si="209"/>
        <v>2.3638095238095236E-2</v>
      </c>
      <c r="DP224" s="359">
        <f t="shared" si="217"/>
        <v>2.3638095238095236E-2</v>
      </c>
      <c r="DQ224" s="306">
        <f t="shared" si="210"/>
        <v>2.3638095238095236E-2</v>
      </c>
      <c r="DR224" s="379">
        <f t="shared" si="211"/>
        <v>0.99999999999999989</v>
      </c>
      <c r="DS224" s="378">
        <f t="shared" si="212"/>
        <v>0</v>
      </c>
      <c r="DT224" s="173">
        <v>257</v>
      </c>
      <c r="DU224" s="174" t="s">
        <v>118</v>
      </c>
      <c r="DV224" s="173"/>
      <c r="DW224" s="174" t="s">
        <v>84</v>
      </c>
      <c r="DX224" s="173"/>
      <c r="DY224" s="173"/>
      <c r="DZ224" s="173"/>
      <c r="EA224" s="665"/>
      <c r="EB224" s="1254" t="s">
        <v>2397</v>
      </c>
      <c r="EC224" s="537">
        <v>1039000000</v>
      </c>
      <c r="EE224" s="734">
        <v>0.08</v>
      </c>
      <c r="EF224" s="706"/>
    </row>
    <row r="225" spans="4:136" s="302" customFormat="1" ht="76.5" hidden="1">
      <c r="D225" s="520">
        <v>222</v>
      </c>
      <c r="E225" s="534">
        <v>270</v>
      </c>
      <c r="F225" s="523" t="s">
        <v>43</v>
      </c>
      <c r="G225" s="479" t="s">
        <v>9</v>
      </c>
      <c r="H225" s="526" t="s">
        <v>2659</v>
      </c>
      <c r="I225" s="462" t="s">
        <v>604</v>
      </c>
      <c r="J225" s="335" t="s">
        <v>605</v>
      </c>
      <c r="K225" s="335" t="s">
        <v>606</v>
      </c>
      <c r="L225" s="454" t="s">
        <v>1781</v>
      </c>
      <c r="M225" s="334" t="s">
        <v>1771</v>
      </c>
      <c r="N225" s="334">
        <v>19</v>
      </c>
      <c r="O225" s="333">
        <f t="shared" si="216"/>
        <v>116</v>
      </c>
      <c r="P225" s="332">
        <v>97</v>
      </c>
      <c r="Q225" s="390">
        <v>0.16500000000000001</v>
      </c>
      <c r="R225" s="342">
        <f t="shared" si="190"/>
        <v>1.7010309278350514E-2</v>
      </c>
      <c r="S225" s="389">
        <v>10</v>
      </c>
      <c r="T225" s="387">
        <f t="shared" si="174"/>
        <v>0.10309278350515463</v>
      </c>
      <c r="U225" s="670">
        <v>18</v>
      </c>
      <c r="V225" s="388">
        <f t="shared" si="175"/>
        <v>18</v>
      </c>
      <c r="W225" s="356">
        <f t="shared" si="176"/>
        <v>180</v>
      </c>
      <c r="X225" s="356">
        <f t="shared" si="191"/>
        <v>100</v>
      </c>
      <c r="Y225" s="356">
        <f t="shared" si="215"/>
        <v>1.7010309278350514E-2</v>
      </c>
      <c r="Z225" s="356">
        <f t="shared" si="192"/>
        <v>100</v>
      </c>
      <c r="AA225" s="355">
        <v>60000000</v>
      </c>
      <c r="AB225" s="355">
        <v>60000000</v>
      </c>
      <c r="AC225" s="355">
        <v>0</v>
      </c>
      <c r="AD225" s="355">
        <v>0</v>
      </c>
      <c r="AE225" s="355">
        <v>0</v>
      </c>
      <c r="AF225" s="355">
        <v>0</v>
      </c>
      <c r="AG225" s="355">
        <v>0</v>
      </c>
      <c r="AH225" s="355">
        <v>0</v>
      </c>
      <c r="AI225" s="355">
        <v>0</v>
      </c>
      <c r="AJ225" s="355">
        <v>0</v>
      </c>
      <c r="AK225" s="355">
        <v>0</v>
      </c>
      <c r="AL225" s="355">
        <v>0</v>
      </c>
      <c r="AM225" s="355">
        <v>0</v>
      </c>
      <c r="AN225" s="355">
        <v>0</v>
      </c>
      <c r="AO225" s="355">
        <v>0</v>
      </c>
      <c r="AP225" s="355">
        <v>0</v>
      </c>
      <c r="AQ225" s="355">
        <v>0</v>
      </c>
      <c r="AR225" s="355">
        <v>0</v>
      </c>
      <c r="AS225" s="355">
        <v>0</v>
      </c>
      <c r="AT225" s="333">
        <f t="shared" si="193"/>
        <v>5.1030927835051552E-2</v>
      </c>
      <c r="AU225" s="334">
        <v>30</v>
      </c>
      <c r="AV225" s="387">
        <f t="shared" si="177"/>
        <v>0.30927835051546393</v>
      </c>
      <c r="AW225" s="677">
        <v>20</v>
      </c>
      <c r="AX225" s="366">
        <f t="shared" si="178"/>
        <v>20</v>
      </c>
      <c r="AY225" s="366">
        <f t="shared" si="179"/>
        <v>66.666666666666671</v>
      </c>
      <c r="AZ225" s="366">
        <f t="shared" si="194"/>
        <v>66.666666666666671</v>
      </c>
      <c r="BA225" s="354">
        <f t="shared" si="195"/>
        <v>3.4020618556701042E-2</v>
      </c>
      <c r="BB225" s="354">
        <f t="shared" si="196"/>
        <v>66.666666666666671</v>
      </c>
      <c r="BC225" s="353">
        <v>17000000</v>
      </c>
      <c r="BD225" s="353">
        <v>0</v>
      </c>
      <c r="BE225" s="353">
        <v>7000000</v>
      </c>
      <c r="BF225" s="353">
        <v>0</v>
      </c>
      <c r="BG225" s="353">
        <v>0</v>
      </c>
      <c r="BH225" s="353">
        <v>0</v>
      </c>
      <c r="BI225" s="353">
        <v>0</v>
      </c>
      <c r="BJ225" s="353">
        <v>10000000</v>
      </c>
      <c r="BK225" s="452">
        <v>56800000</v>
      </c>
      <c r="BL225" s="351">
        <v>56800000</v>
      </c>
      <c r="BM225" s="351">
        <v>0</v>
      </c>
      <c r="BN225" s="351">
        <v>0</v>
      </c>
      <c r="BO225" s="351">
        <v>0</v>
      </c>
      <c r="BP225" s="351">
        <v>0</v>
      </c>
      <c r="BQ225" s="351">
        <v>0</v>
      </c>
      <c r="BR225" s="351">
        <v>0</v>
      </c>
      <c r="BS225" s="351">
        <v>0</v>
      </c>
      <c r="BT225" s="351">
        <v>0</v>
      </c>
      <c r="BU225" s="351">
        <v>0</v>
      </c>
      <c r="BV225" s="350">
        <f t="shared" si="197"/>
        <v>5.1030927835051552E-2</v>
      </c>
      <c r="BW225" s="350">
        <v>30</v>
      </c>
      <c r="BX225" s="385">
        <f t="shared" si="180"/>
        <v>0.30927835051546393</v>
      </c>
      <c r="BY225" s="369">
        <v>66</v>
      </c>
      <c r="BZ225" s="391">
        <v>56</v>
      </c>
      <c r="CA225" s="689">
        <v>79</v>
      </c>
      <c r="CB225" s="324">
        <f t="shared" si="181"/>
        <v>79</v>
      </c>
      <c r="CC225" s="324">
        <f t="shared" si="182"/>
        <v>263.33333333333331</v>
      </c>
      <c r="CD225" s="384">
        <f t="shared" si="198"/>
        <v>100</v>
      </c>
      <c r="CE225" s="383">
        <f t="shared" si="199"/>
        <v>5.1030927835051552E-2</v>
      </c>
      <c r="CF225" s="367">
        <f t="shared" si="200"/>
        <v>100</v>
      </c>
      <c r="CG225" s="383">
        <f t="shared" si="201"/>
        <v>0.13438144329896906</v>
      </c>
      <c r="CH225" s="320">
        <f t="shared" si="202"/>
        <v>4.5927835051546392E-2</v>
      </c>
      <c r="CI225" s="319">
        <v>27</v>
      </c>
      <c r="CJ225" s="318">
        <f t="shared" si="183"/>
        <v>0.27835051546391754</v>
      </c>
      <c r="CK225" s="1259">
        <v>1</v>
      </c>
      <c r="CL225" s="301">
        <f t="shared" si="184"/>
        <v>26</v>
      </c>
      <c r="CM225" s="381">
        <f t="shared" si="185"/>
        <v>1</v>
      </c>
      <c r="CN225" s="381">
        <f t="shared" si="186"/>
        <v>3.7037037037037037</v>
      </c>
      <c r="CO225" s="316">
        <f t="shared" si="203"/>
        <v>3.7037037037037037</v>
      </c>
      <c r="CP225" s="381">
        <f t="shared" si="204"/>
        <v>1.7010309278350517E-3</v>
      </c>
      <c r="CQ225" s="381">
        <f t="shared" si="205"/>
        <v>1.7010309278350517E-3</v>
      </c>
      <c r="CR225" s="313">
        <v>20000000</v>
      </c>
      <c r="CS225" s="313">
        <v>10000000</v>
      </c>
      <c r="CT225" s="313">
        <v>0</v>
      </c>
      <c r="CU225" s="313">
        <v>0</v>
      </c>
      <c r="CV225" s="313">
        <v>0</v>
      </c>
      <c r="CW225" s="313">
        <v>0</v>
      </c>
      <c r="CX225" s="313">
        <v>0</v>
      </c>
      <c r="CY225" s="313">
        <v>10000000</v>
      </c>
      <c r="CZ225" s="380">
        <v>0</v>
      </c>
      <c r="DA225" s="380">
        <v>0</v>
      </c>
      <c r="DB225" s="380">
        <v>0</v>
      </c>
      <c r="DC225" s="380">
        <v>0</v>
      </c>
      <c r="DD225" s="380">
        <v>0</v>
      </c>
      <c r="DE225" s="380">
        <v>0</v>
      </c>
      <c r="DF225" s="380">
        <v>0</v>
      </c>
      <c r="DG225" s="380">
        <v>0</v>
      </c>
      <c r="DH225" s="380">
        <v>0</v>
      </c>
      <c r="DI225" s="380">
        <v>0</v>
      </c>
      <c r="DJ225" s="380">
        <v>0</v>
      </c>
      <c r="DK225" s="702">
        <f t="shared" si="187"/>
        <v>118</v>
      </c>
      <c r="DL225" s="311">
        <f t="shared" si="206"/>
        <v>0.16500000000000004</v>
      </c>
      <c r="DM225" s="310">
        <f t="shared" si="207"/>
        <v>121.64948453608247</v>
      </c>
      <c r="DN225" s="356">
        <f t="shared" si="208"/>
        <v>100</v>
      </c>
      <c r="DO225" s="308">
        <f t="shared" si="209"/>
        <v>0.16500000000000001</v>
      </c>
      <c r="DP225" s="359">
        <f t="shared" si="217"/>
        <v>0.16500000000000001</v>
      </c>
      <c r="DQ225" s="306">
        <f t="shared" si="210"/>
        <v>0.16500000000000001</v>
      </c>
      <c r="DR225" s="379">
        <f t="shared" si="211"/>
        <v>1</v>
      </c>
      <c r="DS225" s="378">
        <f t="shared" si="212"/>
        <v>0</v>
      </c>
      <c r="DT225" s="173">
        <v>269</v>
      </c>
      <c r="DU225" s="174" t="s">
        <v>117</v>
      </c>
      <c r="DV225" s="173"/>
      <c r="DW225" s="174" t="s">
        <v>84</v>
      </c>
      <c r="DX225" s="173"/>
      <c r="DY225" s="173"/>
      <c r="DZ225" s="173"/>
      <c r="EA225" s="665"/>
      <c r="EB225" s="1254" t="s">
        <v>2103</v>
      </c>
      <c r="EC225" s="537">
        <v>0</v>
      </c>
      <c r="EE225" s="734">
        <v>0</v>
      </c>
      <c r="EF225" s="706"/>
    </row>
    <row r="226" spans="4:136" s="302" customFormat="1" ht="51" hidden="1">
      <c r="D226" s="520">
        <v>223</v>
      </c>
      <c r="E226" s="534">
        <v>271</v>
      </c>
      <c r="F226" s="523" t="s">
        <v>43</v>
      </c>
      <c r="G226" s="479" t="s">
        <v>9</v>
      </c>
      <c r="H226" s="526" t="s">
        <v>2659</v>
      </c>
      <c r="I226" s="462" t="s">
        <v>604</v>
      </c>
      <c r="J226" s="335" t="s">
        <v>607</v>
      </c>
      <c r="K226" s="335" t="s">
        <v>608</v>
      </c>
      <c r="L226" s="454" t="s">
        <v>1415</v>
      </c>
      <c r="M226" s="334" t="s">
        <v>1771</v>
      </c>
      <c r="N226" s="334">
        <v>19</v>
      </c>
      <c r="O226" s="333">
        <f t="shared" si="216"/>
        <v>116</v>
      </c>
      <c r="P226" s="332">
        <v>97</v>
      </c>
      <c r="Q226" s="390">
        <v>0.16500000000000001</v>
      </c>
      <c r="R226" s="342">
        <f t="shared" si="190"/>
        <v>1.7010309278350514E-2</v>
      </c>
      <c r="S226" s="389">
        <v>10</v>
      </c>
      <c r="T226" s="387">
        <f t="shared" si="174"/>
        <v>0.10309278350515463</v>
      </c>
      <c r="U226" s="670">
        <v>18</v>
      </c>
      <c r="V226" s="388">
        <f t="shared" si="175"/>
        <v>18</v>
      </c>
      <c r="W226" s="356">
        <f t="shared" si="176"/>
        <v>180</v>
      </c>
      <c r="X226" s="356">
        <f t="shared" si="191"/>
        <v>100</v>
      </c>
      <c r="Y226" s="356">
        <f t="shared" si="215"/>
        <v>1.7010309278350514E-2</v>
      </c>
      <c r="Z226" s="356">
        <f t="shared" si="192"/>
        <v>100</v>
      </c>
      <c r="AA226" s="355">
        <v>25000000</v>
      </c>
      <c r="AB226" s="355">
        <v>25000000</v>
      </c>
      <c r="AC226" s="355">
        <v>0</v>
      </c>
      <c r="AD226" s="355">
        <v>0</v>
      </c>
      <c r="AE226" s="355">
        <v>0</v>
      </c>
      <c r="AF226" s="355">
        <v>0</v>
      </c>
      <c r="AG226" s="355">
        <v>0</v>
      </c>
      <c r="AH226" s="355">
        <v>0</v>
      </c>
      <c r="AI226" s="355">
        <v>0</v>
      </c>
      <c r="AJ226" s="355">
        <v>0</v>
      </c>
      <c r="AK226" s="355">
        <v>0</v>
      </c>
      <c r="AL226" s="355">
        <v>0</v>
      </c>
      <c r="AM226" s="355">
        <v>0</v>
      </c>
      <c r="AN226" s="355">
        <v>0</v>
      </c>
      <c r="AO226" s="355">
        <v>0</v>
      </c>
      <c r="AP226" s="355">
        <v>0</v>
      </c>
      <c r="AQ226" s="355">
        <v>0</v>
      </c>
      <c r="AR226" s="355">
        <v>0</v>
      </c>
      <c r="AS226" s="355">
        <v>0</v>
      </c>
      <c r="AT226" s="333">
        <f t="shared" si="193"/>
        <v>5.1030927835051552E-2</v>
      </c>
      <c r="AU226" s="334">
        <v>30</v>
      </c>
      <c r="AV226" s="387">
        <f t="shared" si="177"/>
        <v>0.30927835051546393</v>
      </c>
      <c r="AW226" s="677">
        <v>20</v>
      </c>
      <c r="AX226" s="366">
        <f t="shared" si="178"/>
        <v>20</v>
      </c>
      <c r="AY226" s="366">
        <f t="shared" si="179"/>
        <v>66.666666666666671</v>
      </c>
      <c r="AZ226" s="366">
        <f t="shared" si="194"/>
        <v>66.666666666666671</v>
      </c>
      <c r="BA226" s="354">
        <f t="shared" si="195"/>
        <v>3.4020618556701042E-2</v>
      </c>
      <c r="BB226" s="354">
        <f t="shared" si="196"/>
        <v>66.666666666666671</v>
      </c>
      <c r="BC226" s="353">
        <v>7000000</v>
      </c>
      <c r="BD226" s="353">
        <v>0</v>
      </c>
      <c r="BE226" s="353">
        <v>7000000</v>
      </c>
      <c r="BF226" s="353">
        <v>0</v>
      </c>
      <c r="BG226" s="353">
        <v>0</v>
      </c>
      <c r="BH226" s="353">
        <v>0</v>
      </c>
      <c r="BI226" s="353">
        <v>0</v>
      </c>
      <c r="BJ226" s="353">
        <v>0</v>
      </c>
      <c r="BK226" s="452">
        <v>62000000</v>
      </c>
      <c r="BL226" s="351">
        <v>62000000</v>
      </c>
      <c r="BM226" s="351">
        <v>0</v>
      </c>
      <c r="BN226" s="351">
        <v>0</v>
      </c>
      <c r="BO226" s="351">
        <v>0</v>
      </c>
      <c r="BP226" s="351">
        <v>0</v>
      </c>
      <c r="BQ226" s="351">
        <v>0</v>
      </c>
      <c r="BR226" s="351">
        <v>0</v>
      </c>
      <c r="BS226" s="351">
        <v>0</v>
      </c>
      <c r="BT226" s="351">
        <v>0</v>
      </c>
      <c r="BU226" s="351">
        <v>0</v>
      </c>
      <c r="BV226" s="350">
        <f t="shared" si="197"/>
        <v>5.1030927835051552E-2</v>
      </c>
      <c r="BW226" s="350">
        <v>30</v>
      </c>
      <c r="BX226" s="385">
        <f t="shared" si="180"/>
        <v>0.30927835051546393</v>
      </c>
      <c r="BY226" s="369">
        <v>66</v>
      </c>
      <c r="BZ226" s="391">
        <v>56</v>
      </c>
      <c r="CA226" s="689">
        <v>79</v>
      </c>
      <c r="CB226" s="324">
        <f t="shared" si="181"/>
        <v>79</v>
      </c>
      <c r="CC226" s="324">
        <f t="shared" si="182"/>
        <v>263.33333333333331</v>
      </c>
      <c r="CD226" s="384">
        <f t="shared" si="198"/>
        <v>100</v>
      </c>
      <c r="CE226" s="383">
        <f t="shared" si="199"/>
        <v>5.1030927835051552E-2</v>
      </c>
      <c r="CF226" s="367">
        <f t="shared" si="200"/>
        <v>100</v>
      </c>
      <c r="CG226" s="383">
        <f t="shared" si="201"/>
        <v>0.13438144329896906</v>
      </c>
      <c r="CH226" s="320">
        <f t="shared" si="202"/>
        <v>4.5927835051546392E-2</v>
      </c>
      <c r="CI226" s="319">
        <v>27</v>
      </c>
      <c r="CJ226" s="318">
        <f t="shared" si="183"/>
        <v>0.27835051546391754</v>
      </c>
      <c r="CK226" s="1259">
        <v>1</v>
      </c>
      <c r="CL226" s="301">
        <f t="shared" si="184"/>
        <v>26</v>
      </c>
      <c r="CM226" s="381">
        <f t="shared" si="185"/>
        <v>1</v>
      </c>
      <c r="CN226" s="381">
        <f t="shared" si="186"/>
        <v>3.7037037037037037</v>
      </c>
      <c r="CO226" s="316">
        <f t="shared" si="203"/>
        <v>3.7037037037037037</v>
      </c>
      <c r="CP226" s="381">
        <f t="shared" si="204"/>
        <v>1.7010309278350517E-3</v>
      </c>
      <c r="CQ226" s="381">
        <f t="shared" si="205"/>
        <v>1.7010309278350517E-3</v>
      </c>
      <c r="CR226" s="313">
        <v>10000000</v>
      </c>
      <c r="CS226" s="313">
        <v>10000000</v>
      </c>
      <c r="CT226" s="313">
        <v>0</v>
      </c>
      <c r="CU226" s="313">
        <v>0</v>
      </c>
      <c r="CV226" s="313">
        <v>0</v>
      </c>
      <c r="CW226" s="313">
        <v>0</v>
      </c>
      <c r="CX226" s="313">
        <v>0</v>
      </c>
      <c r="CY226" s="313">
        <v>0</v>
      </c>
      <c r="CZ226" s="380">
        <v>0</v>
      </c>
      <c r="DA226" s="380">
        <v>0</v>
      </c>
      <c r="DB226" s="380">
        <v>0</v>
      </c>
      <c r="DC226" s="380">
        <v>0</v>
      </c>
      <c r="DD226" s="380">
        <v>0</v>
      </c>
      <c r="DE226" s="380">
        <v>0</v>
      </c>
      <c r="DF226" s="380">
        <v>0</v>
      </c>
      <c r="DG226" s="380">
        <v>0</v>
      </c>
      <c r="DH226" s="380">
        <v>0</v>
      </c>
      <c r="DI226" s="380">
        <v>0</v>
      </c>
      <c r="DJ226" s="380">
        <v>0</v>
      </c>
      <c r="DK226" s="702">
        <f t="shared" si="187"/>
        <v>118</v>
      </c>
      <c r="DL226" s="311">
        <f t="shared" si="206"/>
        <v>0.16500000000000004</v>
      </c>
      <c r="DM226" s="310">
        <f t="shared" si="207"/>
        <v>121.64948453608247</v>
      </c>
      <c r="DN226" s="356">
        <f t="shared" si="208"/>
        <v>100</v>
      </c>
      <c r="DO226" s="308">
        <f t="shared" si="209"/>
        <v>0.16500000000000001</v>
      </c>
      <c r="DP226" s="359">
        <f t="shared" si="217"/>
        <v>0.16500000000000001</v>
      </c>
      <c r="DQ226" s="306">
        <f t="shared" si="210"/>
        <v>0.16500000000000001</v>
      </c>
      <c r="DR226" s="379">
        <f t="shared" si="211"/>
        <v>1</v>
      </c>
      <c r="DS226" s="378">
        <f t="shared" si="212"/>
        <v>0</v>
      </c>
      <c r="DT226" s="173">
        <v>269</v>
      </c>
      <c r="DU226" s="174" t="s">
        <v>117</v>
      </c>
      <c r="DV226" s="173"/>
      <c r="DW226" s="174" t="s">
        <v>84</v>
      </c>
      <c r="DX226" s="173"/>
      <c r="DY226" s="173"/>
      <c r="DZ226" s="173"/>
      <c r="EA226" s="665"/>
      <c r="EB226" s="1254" t="s">
        <v>2104</v>
      </c>
      <c r="EC226" s="537">
        <v>0</v>
      </c>
      <c r="EE226" s="734">
        <v>0</v>
      </c>
      <c r="EF226" s="706"/>
    </row>
    <row r="227" spans="4:136" s="302" customFormat="1" ht="76.5" hidden="1">
      <c r="D227" s="520">
        <v>224</v>
      </c>
      <c r="E227" s="534">
        <v>272</v>
      </c>
      <c r="F227" s="523" t="s">
        <v>43</v>
      </c>
      <c r="G227" s="479" t="s">
        <v>9</v>
      </c>
      <c r="H227" s="526" t="s">
        <v>2659</v>
      </c>
      <c r="I227" s="462" t="s">
        <v>604</v>
      </c>
      <c r="J227" s="335" t="s">
        <v>609</v>
      </c>
      <c r="K227" s="335" t="s">
        <v>610</v>
      </c>
      <c r="L227" s="453" t="s">
        <v>1947</v>
      </c>
      <c r="M227" s="334" t="s">
        <v>1785</v>
      </c>
      <c r="N227" s="334">
        <v>0</v>
      </c>
      <c r="O227" s="333">
        <f>+P227</f>
        <v>100</v>
      </c>
      <c r="P227" s="332">
        <v>100</v>
      </c>
      <c r="Q227" s="390">
        <v>0.16500000000000001</v>
      </c>
      <c r="R227" s="342">
        <f t="shared" si="190"/>
        <v>4.1250000000000002E-2</v>
      </c>
      <c r="S227" s="389">
        <v>100</v>
      </c>
      <c r="T227" s="387">
        <f t="shared" si="174"/>
        <v>0.25</v>
      </c>
      <c r="U227" s="670">
        <v>100</v>
      </c>
      <c r="V227" s="388">
        <f t="shared" si="175"/>
        <v>25</v>
      </c>
      <c r="W227" s="356">
        <f t="shared" si="176"/>
        <v>100</v>
      </c>
      <c r="X227" s="356">
        <f t="shared" si="191"/>
        <v>100</v>
      </c>
      <c r="Y227" s="356">
        <f t="shared" si="215"/>
        <v>4.1250000000000002E-2</v>
      </c>
      <c r="Z227" s="356">
        <f t="shared" si="192"/>
        <v>100</v>
      </c>
      <c r="AA227" s="355">
        <v>50000000</v>
      </c>
      <c r="AB227" s="355">
        <v>50000000</v>
      </c>
      <c r="AC227" s="355">
        <v>0</v>
      </c>
      <c r="AD227" s="355">
        <v>0</v>
      </c>
      <c r="AE227" s="355">
        <v>0</v>
      </c>
      <c r="AF227" s="355">
        <v>0</v>
      </c>
      <c r="AG227" s="355">
        <v>0</v>
      </c>
      <c r="AH227" s="355">
        <v>0</v>
      </c>
      <c r="AI227" s="355">
        <v>100000000</v>
      </c>
      <c r="AJ227" s="355">
        <v>100000000</v>
      </c>
      <c r="AK227" s="355">
        <v>0</v>
      </c>
      <c r="AL227" s="355">
        <v>0</v>
      </c>
      <c r="AM227" s="355">
        <v>0</v>
      </c>
      <c r="AN227" s="355">
        <v>0</v>
      </c>
      <c r="AO227" s="355">
        <v>0</v>
      </c>
      <c r="AP227" s="355">
        <v>0</v>
      </c>
      <c r="AQ227" s="355">
        <v>0</v>
      </c>
      <c r="AR227" s="355">
        <v>0</v>
      </c>
      <c r="AS227" s="355">
        <v>0</v>
      </c>
      <c r="AT227" s="333">
        <f t="shared" si="193"/>
        <v>4.1250000000000002E-2</v>
      </c>
      <c r="AU227" s="334">
        <v>100</v>
      </c>
      <c r="AV227" s="387">
        <f t="shared" si="177"/>
        <v>0.25</v>
      </c>
      <c r="AW227" s="677">
        <v>100</v>
      </c>
      <c r="AX227" s="366">
        <f t="shared" si="178"/>
        <v>25</v>
      </c>
      <c r="AY227" s="366">
        <f t="shared" si="179"/>
        <v>100</v>
      </c>
      <c r="AZ227" s="366">
        <f t="shared" si="194"/>
        <v>100</v>
      </c>
      <c r="BA227" s="354">
        <f t="shared" si="195"/>
        <v>4.1250000000000002E-2</v>
      </c>
      <c r="BB227" s="354">
        <f t="shared" si="196"/>
        <v>100</v>
      </c>
      <c r="BC227" s="353">
        <v>243000000</v>
      </c>
      <c r="BD227" s="353">
        <v>0</v>
      </c>
      <c r="BE227" s="353">
        <v>163000000</v>
      </c>
      <c r="BF227" s="353">
        <v>0</v>
      </c>
      <c r="BG227" s="353">
        <v>0</v>
      </c>
      <c r="BH227" s="353">
        <v>0</v>
      </c>
      <c r="BI227" s="353">
        <v>0</v>
      </c>
      <c r="BJ227" s="353">
        <v>80000000</v>
      </c>
      <c r="BK227" s="452">
        <v>0</v>
      </c>
      <c r="BL227" s="351">
        <v>0</v>
      </c>
      <c r="BM227" s="351">
        <v>0</v>
      </c>
      <c r="BN227" s="351">
        <v>0</v>
      </c>
      <c r="BO227" s="351">
        <v>0</v>
      </c>
      <c r="BP227" s="351">
        <v>0</v>
      </c>
      <c r="BQ227" s="351">
        <v>0</v>
      </c>
      <c r="BR227" s="351">
        <v>0</v>
      </c>
      <c r="BS227" s="351">
        <v>0</v>
      </c>
      <c r="BT227" s="351">
        <v>0</v>
      </c>
      <c r="BU227" s="351">
        <v>0</v>
      </c>
      <c r="BV227" s="350">
        <f t="shared" si="197"/>
        <v>4.1250000000000002E-2</v>
      </c>
      <c r="BW227" s="350">
        <v>100</v>
      </c>
      <c r="BX227" s="385">
        <f t="shared" si="180"/>
        <v>0.25</v>
      </c>
      <c r="BY227" s="369">
        <v>50</v>
      </c>
      <c r="BZ227" s="391">
        <v>100</v>
      </c>
      <c r="CA227" s="689">
        <v>100</v>
      </c>
      <c r="CB227" s="324">
        <f t="shared" si="181"/>
        <v>25</v>
      </c>
      <c r="CC227" s="324">
        <f t="shared" si="182"/>
        <v>100</v>
      </c>
      <c r="CD227" s="384">
        <f t="shared" si="198"/>
        <v>100</v>
      </c>
      <c r="CE227" s="383">
        <f t="shared" si="199"/>
        <v>4.1250000000000002E-2</v>
      </c>
      <c r="CF227" s="367">
        <f t="shared" si="200"/>
        <v>100</v>
      </c>
      <c r="CG227" s="383">
        <f t="shared" si="201"/>
        <v>4.1250000000000002E-2</v>
      </c>
      <c r="CH227" s="320">
        <f t="shared" si="202"/>
        <v>4.1250000000000002E-2</v>
      </c>
      <c r="CI227" s="319">
        <v>100</v>
      </c>
      <c r="CJ227" s="318">
        <f t="shared" si="183"/>
        <v>0.25</v>
      </c>
      <c r="CK227" s="1259">
        <v>100</v>
      </c>
      <c r="CL227" s="301">
        <f t="shared" si="184"/>
        <v>0</v>
      </c>
      <c r="CM227" s="381">
        <f t="shared" si="185"/>
        <v>25</v>
      </c>
      <c r="CN227" s="381">
        <f t="shared" si="186"/>
        <v>100</v>
      </c>
      <c r="CO227" s="381">
        <f t="shared" si="203"/>
        <v>100</v>
      </c>
      <c r="CP227" s="381">
        <f t="shared" si="204"/>
        <v>4.1250000000000002E-2</v>
      </c>
      <c r="CQ227" s="381">
        <f t="shared" si="205"/>
        <v>4.1250000000000002E-2</v>
      </c>
      <c r="CR227" s="313">
        <v>243000000</v>
      </c>
      <c r="CS227" s="313">
        <v>163000000</v>
      </c>
      <c r="CT227" s="313">
        <v>0</v>
      </c>
      <c r="CU227" s="313">
        <v>0</v>
      </c>
      <c r="CV227" s="313">
        <v>0</v>
      </c>
      <c r="CW227" s="313">
        <v>0</v>
      </c>
      <c r="CX227" s="313">
        <v>0</v>
      </c>
      <c r="CY227" s="313">
        <v>80000000</v>
      </c>
      <c r="CZ227" s="380">
        <v>0</v>
      </c>
      <c r="DA227" s="380">
        <v>0</v>
      </c>
      <c r="DB227" s="380">
        <v>0</v>
      </c>
      <c r="DC227" s="380">
        <v>0</v>
      </c>
      <c r="DD227" s="380">
        <v>0</v>
      </c>
      <c r="DE227" s="380">
        <v>0</v>
      </c>
      <c r="DF227" s="380">
        <v>0</v>
      </c>
      <c r="DG227" s="380">
        <v>0</v>
      </c>
      <c r="DH227" s="380">
        <v>0</v>
      </c>
      <c r="DI227" s="380">
        <v>0</v>
      </c>
      <c r="DJ227" s="380">
        <v>0</v>
      </c>
      <c r="DK227" s="702">
        <f t="shared" si="187"/>
        <v>100</v>
      </c>
      <c r="DL227" s="311">
        <f t="shared" si="206"/>
        <v>0.16500000000000001</v>
      </c>
      <c r="DM227" s="310">
        <f t="shared" si="207"/>
        <v>100</v>
      </c>
      <c r="DN227" s="356">
        <f t="shared" si="208"/>
        <v>100</v>
      </c>
      <c r="DO227" s="308">
        <f t="shared" si="209"/>
        <v>0.16500000000000001</v>
      </c>
      <c r="DP227" s="359">
        <f>+IF(M227="M",DO227,0)</f>
        <v>0.16500000000000001</v>
      </c>
      <c r="DQ227" s="306">
        <f t="shared" si="210"/>
        <v>0.16500000000000001</v>
      </c>
      <c r="DR227" s="379">
        <f t="shared" si="211"/>
        <v>1</v>
      </c>
      <c r="DS227" s="378">
        <f t="shared" si="212"/>
        <v>0</v>
      </c>
      <c r="DT227" s="173">
        <v>269</v>
      </c>
      <c r="DU227" s="174" t="s">
        <v>117</v>
      </c>
      <c r="DV227" s="173"/>
      <c r="DW227" s="174" t="s">
        <v>84</v>
      </c>
      <c r="DX227" s="173"/>
      <c r="DY227" s="173"/>
      <c r="DZ227" s="173"/>
      <c r="EA227" s="665"/>
      <c r="EB227" s="1254" t="s">
        <v>2105</v>
      </c>
      <c r="EC227" s="537">
        <v>0</v>
      </c>
      <c r="EE227" s="734">
        <v>0</v>
      </c>
      <c r="EF227" s="706"/>
    </row>
    <row r="228" spans="4:136" s="302" customFormat="1" ht="38.25" hidden="1">
      <c r="D228" s="520">
        <v>225</v>
      </c>
      <c r="E228" s="534">
        <v>273</v>
      </c>
      <c r="F228" s="523" t="s">
        <v>43</v>
      </c>
      <c r="G228" s="479" t="s">
        <v>9</v>
      </c>
      <c r="H228" s="526" t="s">
        <v>2659</v>
      </c>
      <c r="I228" s="462" t="s">
        <v>604</v>
      </c>
      <c r="J228" s="335" t="s">
        <v>611</v>
      </c>
      <c r="K228" s="335" t="s">
        <v>612</v>
      </c>
      <c r="L228" s="454" t="s">
        <v>1957</v>
      </c>
      <c r="M228" s="334" t="s">
        <v>1785</v>
      </c>
      <c r="N228" s="334">
        <v>0</v>
      </c>
      <c r="O228" s="333">
        <f>+P228</f>
        <v>116</v>
      </c>
      <c r="P228" s="332">
        <v>116</v>
      </c>
      <c r="Q228" s="390">
        <v>0.16500000000000001</v>
      </c>
      <c r="R228" s="342">
        <f t="shared" si="190"/>
        <v>4.1250000000000002E-2</v>
      </c>
      <c r="S228" s="389">
        <v>116</v>
      </c>
      <c r="T228" s="387">
        <f t="shared" si="174"/>
        <v>0.25</v>
      </c>
      <c r="U228" s="670">
        <v>116</v>
      </c>
      <c r="V228" s="388">
        <f t="shared" si="175"/>
        <v>29</v>
      </c>
      <c r="W228" s="356">
        <f t="shared" si="176"/>
        <v>100</v>
      </c>
      <c r="X228" s="356">
        <f t="shared" si="191"/>
        <v>100</v>
      </c>
      <c r="Y228" s="356">
        <f t="shared" si="215"/>
        <v>4.1250000000000002E-2</v>
      </c>
      <c r="Z228" s="356">
        <f t="shared" si="192"/>
        <v>100</v>
      </c>
      <c r="AA228" s="355">
        <v>0</v>
      </c>
      <c r="AB228" s="355">
        <v>0</v>
      </c>
      <c r="AC228" s="355">
        <v>0</v>
      </c>
      <c r="AD228" s="355">
        <v>0</v>
      </c>
      <c r="AE228" s="355">
        <v>0</v>
      </c>
      <c r="AF228" s="355">
        <v>0</v>
      </c>
      <c r="AG228" s="355">
        <v>0</v>
      </c>
      <c r="AH228" s="355">
        <v>0</v>
      </c>
      <c r="AI228" s="355">
        <v>0</v>
      </c>
      <c r="AJ228" s="355">
        <v>0</v>
      </c>
      <c r="AK228" s="355">
        <v>0</v>
      </c>
      <c r="AL228" s="355">
        <v>0</v>
      </c>
      <c r="AM228" s="355">
        <v>0</v>
      </c>
      <c r="AN228" s="355">
        <v>0</v>
      </c>
      <c r="AO228" s="355">
        <v>0</v>
      </c>
      <c r="AP228" s="355">
        <v>0</v>
      </c>
      <c r="AQ228" s="355">
        <v>0</v>
      </c>
      <c r="AR228" s="355">
        <v>0</v>
      </c>
      <c r="AS228" s="355">
        <v>0</v>
      </c>
      <c r="AT228" s="333">
        <f t="shared" si="193"/>
        <v>4.1250000000000002E-2</v>
      </c>
      <c r="AU228" s="334">
        <v>116</v>
      </c>
      <c r="AV228" s="387">
        <f t="shared" si="177"/>
        <v>0.25</v>
      </c>
      <c r="AW228" s="687">
        <v>116</v>
      </c>
      <c r="AX228" s="366">
        <f t="shared" si="178"/>
        <v>29</v>
      </c>
      <c r="AY228" s="366">
        <f t="shared" si="179"/>
        <v>100</v>
      </c>
      <c r="AZ228" s="366">
        <f t="shared" si="194"/>
        <v>100</v>
      </c>
      <c r="BA228" s="354">
        <f t="shared" si="195"/>
        <v>4.1250000000000002E-2</v>
      </c>
      <c r="BB228" s="354">
        <f t="shared" si="196"/>
        <v>100</v>
      </c>
      <c r="BC228" s="353">
        <v>130000000</v>
      </c>
      <c r="BD228" s="353">
        <v>0</v>
      </c>
      <c r="BE228" s="353">
        <v>10000000</v>
      </c>
      <c r="BF228" s="353">
        <v>0</v>
      </c>
      <c r="BG228" s="353">
        <v>0</v>
      </c>
      <c r="BH228" s="353">
        <v>0</v>
      </c>
      <c r="BI228" s="353">
        <v>0</v>
      </c>
      <c r="BJ228" s="353">
        <v>120000000</v>
      </c>
      <c r="BK228" s="452">
        <v>94867000</v>
      </c>
      <c r="BL228" s="351">
        <v>94867000</v>
      </c>
      <c r="BM228" s="351">
        <v>0</v>
      </c>
      <c r="BN228" s="351">
        <v>0</v>
      </c>
      <c r="BO228" s="351">
        <v>0</v>
      </c>
      <c r="BP228" s="351">
        <v>0</v>
      </c>
      <c r="BQ228" s="351">
        <v>0</v>
      </c>
      <c r="BR228" s="351">
        <v>0</v>
      </c>
      <c r="BS228" s="351">
        <v>0</v>
      </c>
      <c r="BT228" s="351">
        <v>0</v>
      </c>
      <c r="BU228" s="351">
        <v>0</v>
      </c>
      <c r="BV228" s="350">
        <f t="shared" si="197"/>
        <v>4.1250000000000002E-2</v>
      </c>
      <c r="BW228" s="350">
        <v>116</v>
      </c>
      <c r="BX228" s="385">
        <f t="shared" si="180"/>
        <v>0.25</v>
      </c>
      <c r="BY228" s="369">
        <v>116</v>
      </c>
      <c r="BZ228" s="391">
        <v>116</v>
      </c>
      <c r="CA228" s="689">
        <v>116</v>
      </c>
      <c r="CB228" s="324">
        <f t="shared" si="181"/>
        <v>29</v>
      </c>
      <c r="CC228" s="324">
        <f t="shared" si="182"/>
        <v>100</v>
      </c>
      <c r="CD228" s="384">
        <f t="shared" si="198"/>
        <v>100</v>
      </c>
      <c r="CE228" s="383">
        <f t="shared" si="199"/>
        <v>4.1250000000000002E-2</v>
      </c>
      <c r="CF228" s="367">
        <f t="shared" si="200"/>
        <v>100</v>
      </c>
      <c r="CG228" s="383">
        <f t="shared" si="201"/>
        <v>4.1250000000000002E-2</v>
      </c>
      <c r="CH228" s="320">
        <f t="shared" si="202"/>
        <v>4.1250000000000002E-2</v>
      </c>
      <c r="CI228" s="319">
        <v>36</v>
      </c>
      <c r="CJ228" s="318">
        <f t="shared" si="183"/>
        <v>0.25</v>
      </c>
      <c r="CK228" s="1259">
        <v>116</v>
      </c>
      <c r="CL228" s="301">
        <f t="shared" si="184"/>
        <v>-80</v>
      </c>
      <c r="CM228" s="381">
        <f t="shared" si="185"/>
        <v>29</v>
      </c>
      <c r="CN228" s="381">
        <f t="shared" si="186"/>
        <v>322.22222222222223</v>
      </c>
      <c r="CO228" s="381">
        <f t="shared" si="203"/>
        <v>100</v>
      </c>
      <c r="CP228" s="381">
        <f t="shared" si="204"/>
        <v>4.1250000000000002E-2</v>
      </c>
      <c r="CQ228" s="381">
        <f t="shared" si="205"/>
        <v>0.13291666666666668</v>
      </c>
      <c r="CR228" s="313">
        <v>155000000</v>
      </c>
      <c r="CS228" s="313">
        <v>35000000</v>
      </c>
      <c r="CT228" s="313">
        <v>0</v>
      </c>
      <c r="CU228" s="313">
        <v>0</v>
      </c>
      <c r="CV228" s="313">
        <v>0</v>
      </c>
      <c r="CW228" s="313">
        <v>0</v>
      </c>
      <c r="CX228" s="313">
        <v>0</v>
      </c>
      <c r="CY228" s="313">
        <v>120000000</v>
      </c>
      <c r="CZ228" s="380">
        <v>0</v>
      </c>
      <c r="DA228" s="380">
        <v>0</v>
      </c>
      <c r="DB228" s="380">
        <v>0</v>
      </c>
      <c r="DC228" s="380">
        <v>0</v>
      </c>
      <c r="DD228" s="380">
        <v>0</v>
      </c>
      <c r="DE228" s="380">
        <v>0</v>
      </c>
      <c r="DF228" s="380">
        <v>0</v>
      </c>
      <c r="DG228" s="380">
        <v>0</v>
      </c>
      <c r="DH228" s="380">
        <v>0</v>
      </c>
      <c r="DI228" s="380">
        <v>0</v>
      </c>
      <c r="DJ228" s="380">
        <v>0</v>
      </c>
      <c r="DK228" s="702">
        <f t="shared" si="187"/>
        <v>116</v>
      </c>
      <c r="DL228" s="311">
        <f t="shared" si="206"/>
        <v>0.16500000000000001</v>
      </c>
      <c r="DM228" s="310">
        <f t="shared" si="207"/>
        <v>100</v>
      </c>
      <c r="DN228" s="356">
        <f t="shared" si="208"/>
        <v>100</v>
      </c>
      <c r="DO228" s="308">
        <f t="shared" si="209"/>
        <v>0.16500000000000001</v>
      </c>
      <c r="DP228" s="359">
        <f>+IF(M228="M",DO228,0)</f>
        <v>0.16500000000000001</v>
      </c>
      <c r="DQ228" s="306">
        <f t="shared" si="210"/>
        <v>0.16500000000000001</v>
      </c>
      <c r="DR228" s="379">
        <f t="shared" si="211"/>
        <v>1</v>
      </c>
      <c r="DS228" s="378">
        <f t="shared" si="212"/>
        <v>0</v>
      </c>
      <c r="DT228" s="173">
        <v>269</v>
      </c>
      <c r="DU228" s="174" t="s">
        <v>117</v>
      </c>
      <c r="DV228" s="173"/>
      <c r="DW228" s="174" t="s">
        <v>84</v>
      </c>
      <c r="DX228" s="173"/>
      <c r="DY228" s="173"/>
      <c r="DZ228" s="173"/>
      <c r="EA228" s="665"/>
      <c r="EB228" s="1254" t="s">
        <v>2106</v>
      </c>
      <c r="EC228" s="537">
        <v>0</v>
      </c>
      <c r="EE228" s="734">
        <v>0</v>
      </c>
      <c r="EF228" s="706"/>
    </row>
    <row r="229" spans="4:136" s="302" customFormat="1" ht="51" hidden="1">
      <c r="D229" s="520">
        <v>226</v>
      </c>
      <c r="E229" s="534">
        <v>274</v>
      </c>
      <c r="F229" s="523" t="s">
        <v>43</v>
      </c>
      <c r="G229" s="479" t="s">
        <v>9</v>
      </c>
      <c r="H229" s="526" t="s">
        <v>2659</v>
      </c>
      <c r="I229" s="462" t="s">
        <v>604</v>
      </c>
      <c r="J229" s="335" t="s">
        <v>613</v>
      </c>
      <c r="K229" s="335" t="s">
        <v>614</v>
      </c>
      <c r="L229" s="453" t="s">
        <v>1956</v>
      </c>
      <c r="M229" s="334" t="s">
        <v>1785</v>
      </c>
      <c r="N229" s="334">
        <v>0</v>
      </c>
      <c r="O229" s="333">
        <f>+P229</f>
        <v>100</v>
      </c>
      <c r="P229" s="332">
        <v>100</v>
      </c>
      <c r="Q229" s="390">
        <v>0.16500000000000001</v>
      </c>
      <c r="R229" s="342">
        <f t="shared" si="190"/>
        <v>4.1250000000000002E-2</v>
      </c>
      <c r="S229" s="389">
        <v>100</v>
      </c>
      <c r="T229" s="387">
        <f t="shared" si="174"/>
        <v>0.25</v>
      </c>
      <c r="U229" s="670">
        <v>100</v>
      </c>
      <c r="V229" s="388">
        <f t="shared" si="175"/>
        <v>25</v>
      </c>
      <c r="W229" s="356">
        <f t="shared" si="176"/>
        <v>100</v>
      </c>
      <c r="X229" s="356">
        <f t="shared" si="191"/>
        <v>100</v>
      </c>
      <c r="Y229" s="356">
        <f t="shared" si="215"/>
        <v>4.1250000000000002E-2</v>
      </c>
      <c r="Z229" s="356">
        <f t="shared" si="192"/>
        <v>100</v>
      </c>
      <c r="AA229" s="355">
        <v>20000000</v>
      </c>
      <c r="AB229" s="355">
        <v>20000000</v>
      </c>
      <c r="AC229" s="355">
        <v>0</v>
      </c>
      <c r="AD229" s="355">
        <v>0</v>
      </c>
      <c r="AE229" s="355">
        <v>0</v>
      </c>
      <c r="AF229" s="355">
        <v>0</v>
      </c>
      <c r="AG229" s="355">
        <v>0</v>
      </c>
      <c r="AH229" s="355">
        <v>0</v>
      </c>
      <c r="AI229" s="355">
        <v>0</v>
      </c>
      <c r="AJ229" s="355">
        <v>0</v>
      </c>
      <c r="AK229" s="355">
        <v>0</v>
      </c>
      <c r="AL229" s="355">
        <v>0</v>
      </c>
      <c r="AM229" s="355">
        <v>0</v>
      </c>
      <c r="AN229" s="355">
        <v>0</v>
      </c>
      <c r="AO229" s="355">
        <v>0</v>
      </c>
      <c r="AP229" s="355">
        <v>0</v>
      </c>
      <c r="AQ229" s="355">
        <v>0</v>
      </c>
      <c r="AR229" s="355">
        <v>0</v>
      </c>
      <c r="AS229" s="355">
        <v>0</v>
      </c>
      <c r="AT229" s="333">
        <f t="shared" si="193"/>
        <v>4.1250000000000002E-2</v>
      </c>
      <c r="AU229" s="334">
        <v>100</v>
      </c>
      <c r="AV229" s="387">
        <f t="shared" si="177"/>
        <v>0.25</v>
      </c>
      <c r="AW229" s="677">
        <v>100</v>
      </c>
      <c r="AX229" s="366">
        <f t="shared" si="178"/>
        <v>25</v>
      </c>
      <c r="AY229" s="366">
        <f t="shared" si="179"/>
        <v>100</v>
      </c>
      <c r="AZ229" s="366">
        <f t="shared" si="194"/>
        <v>100</v>
      </c>
      <c r="BA229" s="354">
        <f t="shared" si="195"/>
        <v>4.1250000000000002E-2</v>
      </c>
      <c r="BB229" s="354">
        <f t="shared" si="196"/>
        <v>100</v>
      </c>
      <c r="BC229" s="353">
        <v>55000000</v>
      </c>
      <c r="BD229" s="353">
        <v>0</v>
      </c>
      <c r="BE229" s="353">
        <v>25000000</v>
      </c>
      <c r="BF229" s="353">
        <v>0</v>
      </c>
      <c r="BG229" s="353">
        <v>0</v>
      </c>
      <c r="BH229" s="353">
        <v>0</v>
      </c>
      <c r="BI229" s="353">
        <v>0</v>
      </c>
      <c r="BJ229" s="353">
        <v>30000000</v>
      </c>
      <c r="BK229" s="452">
        <v>0</v>
      </c>
      <c r="BL229" s="351">
        <v>0</v>
      </c>
      <c r="BM229" s="351">
        <v>0</v>
      </c>
      <c r="BN229" s="351">
        <v>0</v>
      </c>
      <c r="BO229" s="351">
        <v>0</v>
      </c>
      <c r="BP229" s="351">
        <v>0</v>
      </c>
      <c r="BQ229" s="351">
        <v>0</v>
      </c>
      <c r="BR229" s="351">
        <v>0</v>
      </c>
      <c r="BS229" s="351">
        <v>0</v>
      </c>
      <c r="BT229" s="351">
        <v>0</v>
      </c>
      <c r="BU229" s="351">
        <v>0</v>
      </c>
      <c r="BV229" s="350">
        <f t="shared" si="197"/>
        <v>4.1250000000000002E-2</v>
      </c>
      <c r="BW229" s="350">
        <v>100</v>
      </c>
      <c r="BX229" s="385">
        <f t="shared" si="180"/>
        <v>0.25</v>
      </c>
      <c r="BY229" s="369">
        <v>50</v>
      </c>
      <c r="BZ229" s="391">
        <v>50</v>
      </c>
      <c r="CA229" s="689">
        <v>100</v>
      </c>
      <c r="CB229" s="324">
        <f t="shared" si="181"/>
        <v>25</v>
      </c>
      <c r="CC229" s="324">
        <f t="shared" si="182"/>
        <v>100</v>
      </c>
      <c r="CD229" s="384">
        <f t="shared" si="198"/>
        <v>100</v>
      </c>
      <c r="CE229" s="383">
        <f t="shared" si="199"/>
        <v>4.1250000000000002E-2</v>
      </c>
      <c r="CF229" s="367">
        <f t="shared" si="200"/>
        <v>100</v>
      </c>
      <c r="CG229" s="383">
        <f t="shared" si="201"/>
        <v>4.1250000000000002E-2</v>
      </c>
      <c r="CH229" s="320">
        <f t="shared" si="202"/>
        <v>4.1250000000000002E-2</v>
      </c>
      <c r="CI229" s="319">
        <v>100</v>
      </c>
      <c r="CJ229" s="318">
        <f t="shared" si="183"/>
        <v>0.25</v>
      </c>
      <c r="CK229" s="1260">
        <v>100</v>
      </c>
      <c r="CL229" s="301">
        <f t="shared" si="184"/>
        <v>0</v>
      </c>
      <c r="CM229" s="381">
        <f t="shared" si="185"/>
        <v>25</v>
      </c>
      <c r="CN229" s="381">
        <f t="shared" si="186"/>
        <v>100</v>
      </c>
      <c r="CO229" s="381">
        <f t="shared" si="203"/>
        <v>100</v>
      </c>
      <c r="CP229" s="381">
        <f t="shared" si="204"/>
        <v>4.1250000000000002E-2</v>
      </c>
      <c r="CQ229" s="381">
        <f t="shared" si="205"/>
        <v>4.1250000000000002E-2</v>
      </c>
      <c r="CR229" s="313">
        <v>55000000</v>
      </c>
      <c r="CS229" s="313">
        <v>15000000</v>
      </c>
      <c r="CT229" s="313">
        <v>0</v>
      </c>
      <c r="CU229" s="313">
        <v>0</v>
      </c>
      <c r="CV229" s="313">
        <v>0</v>
      </c>
      <c r="CW229" s="313">
        <v>0</v>
      </c>
      <c r="CX229" s="313">
        <v>0</v>
      </c>
      <c r="CY229" s="313">
        <v>40000000</v>
      </c>
      <c r="CZ229" s="380">
        <v>0</v>
      </c>
      <c r="DA229" s="380">
        <v>0</v>
      </c>
      <c r="DB229" s="380">
        <v>0</v>
      </c>
      <c r="DC229" s="380">
        <v>0</v>
      </c>
      <c r="DD229" s="380">
        <v>0</v>
      </c>
      <c r="DE229" s="380">
        <v>0</v>
      </c>
      <c r="DF229" s="380">
        <v>0</v>
      </c>
      <c r="DG229" s="380">
        <v>0</v>
      </c>
      <c r="DH229" s="380">
        <v>0</v>
      </c>
      <c r="DI229" s="380">
        <v>0</v>
      </c>
      <c r="DJ229" s="380">
        <v>0</v>
      </c>
      <c r="DK229" s="702">
        <f t="shared" si="187"/>
        <v>100</v>
      </c>
      <c r="DL229" s="311">
        <f t="shared" si="206"/>
        <v>0.16500000000000001</v>
      </c>
      <c r="DM229" s="310">
        <f t="shared" si="207"/>
        <v>100</v>
      </c>
      <c r="DN229" s="356">
        <f t="shared" si="208"/>
        <v>100</v>
      </c>
      <c r="DO229" s="308">
        <f t="shared" si="209"/>
        <v>0.16500000000000001</v>
      </c>
      <c r="DP229" s="359">
        <f>+IF(M229="M",DO229,0)</f>
        <v>0.16500000000000001</v>
      </c>
      <c r="DQ229" s="306">
        <f t="shared" si="210"/>
        <v>0.16500000000000001</v>
      </c>
      <c r="DR229" s="379">
        <f t="shared" si="211"/>
        <v>1</v>
      </c>
      <c r="DS229" s="378">
        <f t="shared" si="212"/>
        <v>0</v>
      </c>
      <c r="DT229" s="173">
        <v>269</v>
      </c>
      <c r="DU229" s="174" t="s">
        <v>117</v>
      </c>
      <c r="DV229" s="173"/>
      <c r="DW229" s="174" t="s">
        <v>84</v>
      </c>
      <c r="DX229" s="173"/>
      <c r="DY229" s="173"/>
      <c r="DZ229" s="173"/>
      <c r="EA229" s="665"/>
      <c r="EB229" s="1254" t="s">
        <v>2107</v>
      </c>
      <c r="EC229" s="537">
        <v>10000000000</v>
      </c>
      <c r="EE229" s="733">
        <v>0</v>
      </c>
      <c r="EF229" s="706"/>
    </row>
    <row r="230" spans="4:136" s="302" customFormat="1" ht="76.5" hidden="1">
      <c r="D230" s="520">
        <v>227</v>
      </c>
      <c r="E230" s="534">
        <v>275</v>
      </c>
      <c r="F230" s="523" t="s">
        <v>43</v>
      </c>
      <c r="G230" s="479" t="s">
        <v>9</v>
      </c>
      <c r="H230" s="526" t="s">
        <v>2659</v>
      </c>
      <c r="I230" s="462" t="s">
        <v>604</v>
      </c>
      <c r="J230" s="335" t="s">
        <v>615</v>
      </c>
      <c r="K230" s="335" t="s">
        <v>616</v>
      </c>
      <c r="L230" s="453" t="s">
        <v>1523</v>
      </c>
      <c r="M230" s="334" t="s">
        <v>1771</v>
      </c>
      <c r="N230" s="334">
        <v>0</v>
      </c>
      <c r="O230" s="333">
        <f>+N230+P230</f>
        <v>6</v>
      </c>
      <c r="P230" s="332">
        <v>6</v>
      </c>
      <c r="Q230" s="390">
        <v>0.16500000000000001</v>
      </c>
      <c r="R230" s="342">
        <f t="shared" si="190"/>
        <v>0</v>
      </c>
      <c r="S230" s="389">
        <v>0</v>
      </c>
      <c r="T230" s="387">
        <f t="shared" si="174"/>
        <v>0</v>
      </c>
      <c r="U230" s="670">
        <v>0</v>
      </c>
      <c r="V230" s="388">
        <f t="shared" si="175"/>
        <v>0</v>
      </c>
      <c r="W230" s="356">
        <f t="shared" si="176"/>
        <v>0</v>
      </c>
      <c r="X230" s="356">
        <f t="shared" si="191"/>
        <v>0</v>
      </c>
      <c r="Y230" s="356">
        <f t="shared" si="215"/>
        <v>0</v>
      </c>
      <c r="Z230" s="356">
        <f t="shared" si="192"/>
        <v>0</v>
      </c>
      <c r="AA230" s="355">
        <v>30000000</v>
      </c>
      <c r="AB230" s="355">
        <v>30000000</v>
      </c>
      <c r="AC230" s="355">
        <v>0</v>
      </c>
      <c r="AD230" s="355">
        <v>0</v>
      </c>
      <c r="AE230" s="355">
        <v>0</v>
      </c>
      <c r="AF230" s="355">
        <v>0</v>
      </c>
      <c r="AG230" s="355">
        <v>0</v>
      </c>
      <c r="AH230" s="355">
        <v>0</v>
      </c>
      <c r="AI230" s="355">
        <v>0</v>
      </c>
      <c r="AJ230" s="355">
        <v>0</v>
      </c>
      <c r="AK230" s="355">
        <v>0</v>
      </c>
      <c r="AL230" s="355">
        <v>0</v>
      </c>
      <c r="AM230" s="355">
        <v>0</v>
      </c>
      <c r="AN230" s="355">
        <v>0</v>
      </c>
      <c r="AO230" s="355">
        <v>0</v>
      </c>
      <c r="AP230" s="355">
        <v>0</v>
      </c>
      <c r="AQ230" s="355">
        <v>0</v>
      </c>
      <c r="AR230" s="355">
        <v>0</v>
      </c>
      <c r="AS230" s="355">
        <v>0</v>
      </c>
      <c r="AT230" s="333">
        <f t="shared" si="193"/>
        <v>0</v>
      </c>
      <c r="AU230" s="334">
        <v>0</v>
      </c>
      <c r="AV230" s="387">
        <f t="shared" si="177"/>
        <v>0</v>
      </c>
      <c r="AW230" s="677">
        <v>0</v>
      </c>
      <c r="AX230" s="366">
        <f t="shared" si="178"/>
        <v>0</v>
      </c>
      <c r="AY230" s="366">
        <f t="shared" si="179"/>
        <v>0</v>
      </c>
      <c r="AZ230" s="366">
        <f t="shared" si="194"/>
        <v>0</v>
      </c>
      <c r="BA230" s="354">
        <f t="shared" si="195"/>
        <v>0</v>
      </c>
      <c r="BB230" s="354">
        <f t="shared" si="196"/>
        <v>0</v>
      </c>
      <c r="BC230" s="353">
        <v>40000000</v>
      </c>
      <c r="BD230" s="353">
        <v>0</v>
      </c>
      <c r="BE230" s="353">
        <v>10000000</v>
      </c>
      <c r="BF230" s="353">
        <v>0</v>
      </c>
      <c r="BG230" s="353">
        <v>0</v>
      </c>
      <c r="BH230" s="353">
        <v>0</v>
      </c>
      <c r="BI230" s="353">
        <v>0</v>
      </c>
      <c r="BJ230" s="353">
        <v>30000000</v>
      </c>
      <c r="BK230" s="452">
        <v>0</v>
      </c>
      <c r="BL230" s="351">
        <v>0</v>
      </c>
      <c r="BM230" s="351">
        <v>0</v>
      </c>
      <c r="BN230" s="351">
        <v>0</v>
      </c>
      <c r="BO230" s="351">
        <v>0</v>
      </c>
      <c r="BP230" s="351">
        <v>0</v>
      </c>
      <c r="BQ230" s="351">
        <v>0</v>
      </c>
      <c r="BR230" s="351">
        <v>0</v>
      </c>
      <c r="BS230" s="351">
        <v>0</v>
      </c>
      <c r="BT230" s="351">
        <v>0</v>
      </c>
      <c r="BU230" s="351">
        <v>0</v>
      </c>
      <c r="BV230" s="350">
        <f t="shared" si="197"/>
        <v>0.16500000000000001</v>
      </c>
      <c r="BW230" s="350">
        <v>6</v>
      </c>
      <c r="BX230" s="385">
        <f t="shared" si="180"/>
        <v>1</v>
      </c>
      <c r="BY230" s="369">
        <v>75</v>
      </c>
      <c r="BZ230" s="391">
        <v>75</v>
      </c>
      <c r="CA230" s="689">
        <v>6</v>
      </c>
      <c r="CB230" s="324">
        <f t="shared" si="181"/>
        <v>6</v>
      </c>
      <c r="CC230" s="324">
        <f t="shared" si="182"/>
        <v>100</v>
      </c>
      <c r="CD230" s="384">
        <f t="shared" si="198"/>
        <v>100</v>
      </c>
      <c r="CE230" s="383">
        <f t="shared" si="199"/>
        <v>0.16500000000000001</v>
      </c>
      <c r="CF230" s="367">
        <f t="shared" si="200"/>
        <v>100</v>
      </c>
      <c r="CG230" s="383">
        <f t="shared" si="201"/>
        <v>0.16500000000000001</v>
      </c>
      <c r="CH230" s="320">
        <f t="shared" si="202"/>
        <v>0</v>
      </c>
      <c r="CI230" s="319">
        <v>0</v>
      </c>
      <c r="CJ230" s="318">
        <f t="shared" si="183"/>
        <v>0</v>
      </c>
      <c r="CK230" s="1259">
        <v>100</v>
      </c>
      <c r="CL230" s="301">
        <f t="shared" si="184"/>
        <v>-100</v>
      </c>
      <c r="CM230" s="381">
        <f t="shared" si="185"/>
        <v>100</v>
      </c>
      <c r="CN230" s="381">
        <f t="shared" si="186"/>
        <v>0</v>
      </c>
      <c r="CO230" s="316">
        <f t="shared" si="203"/>
        <v>0</v>
      </c>
      <c r="CP230" s="381">
        <f t="shared" si="204"/>
        <v>0</v>
      </c>
      <c r="CQ230" s="381">
        <f t="shared" si="205"/>
        <v>0</v>
      </c>
      <c r="CR230" s="313">
        <v>50000000</v>
      </c>
      <c r="CS230" s="313">
        <v>10000000</v>
      </c>
      <c r="CT230" s="313">
        <v>0</v>
      </c>
      <c r="CU230" s="313">
        <v>0</v>
      </c>
      <c r="CV230" s="313">
        <v>0</v>
      </c>
      <c r="CW230" s="313">
        <v>0</v>
      </c>
      <c r="CX230" s="313">
        <v>0</v>
      </c>
      <c r="CY230" s="313">
        <v>40000000</v>
      </c>
      <c r="CZ230" s="380">
        <v>0</v>
      </c>
      <c r="DA230" s="380">
        <v>0</v>
      </c>
      <c r="DB230" s="380">
        <v>0</v>
      </c>
      <c r="DC230" s="380">
        <v>0</v>
      </c>
      <c r="DD230" s="380">
        <v>0</v>
      </c>
      <c r="DE230" s="380">
        <v>0</v>
      </c>
      <c r="DF230" s="380">
        <v>0</v>
      </c>
      <c r="DG230" s="380">
        <v>0</v>
      </c>
      <c r="DH230" s="380">
        <v>0</v>
      </c>
      <c r="DI230" s="380">
        <v>0</v>
      </c>
      <c r="DJ230" s="380">
        <v>0</v>
      </c>
      <c r="DK230" s="702">
        <f t="shared" si="187"/>
        <v>106</v>
      </c>
      <c r="DL230" s="311">
        <f t="shared" si="206"/>
        <v>0.16500000000000001</v>
      </c>
      <c r="DM230" s="310">
        <f t="shared" si="207"/>
        <v>1766.6666666666667</v>
      </c>
      <c r="DN230" s="356">
        <f t="shared" si="208"/>
        <v>100</v>
      </c>
      <c r="DO230" s="308">
        <f t="shared" si="209"/>
        <v>0.16500000000000001</v>
      </c>
      <c r="DP230" s="359">
        <f>+IF(((DN230*Q230)/100)&lt;Q230, ((DN230*Q230)/100),Q230)</f>
        <v>0.16500000000000001</v>
      </c>
      <c r="DQ230" s="306">
        <f t="shared" si="210"/>
        <v>0.16500000000000001</v>
      </c>
      <c r="DR230" s="379">
        <f t="shared" si="211"/>
        <v>1</v>
      </c>
      <c r="DS230" s="378">
        <f t="shared" si="212"/>
        <v>0</v>
      </c>
      <c r="DT230" s="173">
        <v>269</v>
      </c>
      <c r="DU230" s="174" t="s">
        <v>117</v>
      </c>
      <c r="DV230" s="173"/>
      <c r="DW230" s="174" t="s">
        <v>84</v>
      </c>
      <c r="DX230" s="173"/>
      <c r="DY230" s="173"/>
      <c r="DZ230" s="173"/>
      <c r="EA230" s="665"/>
      <c r="EB230" s="1254" t="s">
        <v>2108</v>
      </c>
      <c r="EC230" s="537">
        <v>0</v>
      </c>
      <c r="EE230" s="733">
        <v>0</v>
      </c>
      <c r="EF230" s="706"/>
    </row>
    <row r="231" spans="4:136" s="302" customFormat="1" ht="76.5" hidden="1">
      <c r="D231" s="520">
        <v>228</v>
      </c>
      <c r="E231" s="534">
        <v>276</v>
      </c>
      <c r="F231" s="523" t="s">
        <v>43</v>
      </c>
      <c r="G231" s="479" t="s">
        <v>81</v>
      </c>
      <c r="H231" s="526" t="s">
        <v>2659</v>
      </c>
      <c r="I231" s="462" t="s">
        <v>604</v>
      </c>
      <c r="J231" s="335" t="s">
        <v>1955</v>
      </c>
      <c r="K231" s="335" t="s">
        <v>617</v>
      </c>
      <c r="L231" s="453" t="s">
        <v>1954</v>
      </c>
      <c r="M231" s="334" t="s">
        <v>1771</v>
      </c>
      <c r="N231" s="334">
        <v>0</v>
      </c>
      <c r="O231" s="333">
        <f>+N231+P231</f>
        <v>4</v>
      </c>
      <c r="P231" s="332">
        <v>4</v>
      </c>
      <c r="Q231" s="390">
        <v>0.16500000000000001</v>
      </c>
      <c r="R231" s="342">
        <f t="shared" si="190"/>
        <v>4.1250000000000002E-2</v>
      </c>
      <c r="S231" s="389">
        <v>1</v>
      </c>
      <c r="T231" s="387">
        <f t="shared" si="174"/>
        <v>0.25</v>
      </c>
      <c r="U231" s="670">
        <v>1</v>
      </c>
      <c r="V231" s="388">
        <f t="shared" si="175"/>
        <v>1</v>
      </c>
      <c r="W231" s="356">
        <f t="shared" si="176"/>
        <v>100</v>
      </c>
      <c r="X231" s="356">
        <f t="shared" si="191"/>
        <v>100</v>
      </c>
      <c r="Y231" s="356">
        <f t="shared" si="215"/>
        <v>4.1250000000000002E-2</v>
      </c>
      <c r="Z231" s="356">
        <f t="shared" si="192"/>
        <v>100</v>
      </c>
      <c r="AA231" s="355">
        <v>0</v>
      </c>
      <c r="AB231" s="355">
        <v>0</v>
      </c>
      <c r="AC231" s="355">
        <v>0</v>
      </c>
      <c r="AD231" s="355">
        <v>0</v>
      </c>
      <c r="AE231" s="355">
        <v>0</v>
      </c>
      <c r="AF231" s="355">
        <v>0</v>
      </c>
      <c r="AG231" s="355">
        <v>0</v>
      </c>
      <c r="AH231" s="355">
        <v>0</v>
      </c>
      <c r="AI231" s="355">
        <v>0</v>
      </c>
      <c r="AJ231" s="355">
        <v>0</v>
      </c>
      <c r="AK231" s="355">
        <v>0</v>
      </c>
      <c r="AL231" s="355">
        <v>0</v>
      </c>
      <c r="AM231" s="355">
        <v>0</v>
      </c>
      <c r="AN231" s="355">
        <v>0</v>
      </c>
      <c r="AO231" s="355">
        <v>0</v>
      </c>
      <c r="AP231" s="355">
        <v>0</v>
      </c>
      <c r="AQ231" s="355">
        <v>0</v>
      </c>
      <c r="AR231" s="355">
        <v>0</v>
      </c>
      <c r="AS231" s="355">
        <v>0</v>
      </c>
      <c r="AT231" s="333">
        <f t="shared" si="193"/>
        <v>4.1250000000000002E-2</v>
      </c>
      <c r="AU231" s="334">
        <v>1</v>
      </c>
      <c r="AV231" s="387">
        <f t="shared" si="177"/>
        <v>0.25</v>
      </c>
      <c r="AW231" s="677">
        <v>1</v>
      </c>
      <c r="AX231" s="366">
        <f t="shared" si="178"/>
        <v>1</v>
      </c>
      <c r="AY231" s="366">
        <f t="shared" si="179"/>
        <v>100</v>
      </c>
      <c r="AZ231" s="366">
        <f t="shared" si="194"/>
        <v>100</v>
      </c>
      <c r="BA231" s="354">
        <f t="shared" si="195"/>
        <v>4.1250000000000002E-2</v>
      </c>
      <c r="BB231" s="354">
        <f t="shared" si="196"/>
        <v>100</v>
      </c>
      <c r="BC231" s="353">
        <v>60000000</v>
      </c>
      <c r="BD231" s="353">
        <v>0</v>
      </c>
      <c r="BE231" s="353">
        <v>0</v>
      </c>
      <c r="BF231" s="353">
        <v>0</v>
      </c>
      <c r="BG231" s="353">
        <v>0</v>
      </c>
      <c r="BH231" s="353">
        <v>0</v>
      </c>
      <c r="BI231" s="353">
        <v>0</v>
      </c>
      <c r="BJ231" s="353">
        <v>60000000</v>
      </c>
      <c r="BK231" s="452">
        <v>25000000</v>
      </c>
      <c r="BL231" s="351">
        <v>25000000</v>
      </c>
      <c r="BM231" s="351">
        <v>0</v>
      </c>
      <c r="BN231" s="351">
        <v>0</v>
      </c>
      <c r="BO231" s="351">
        <v>0</v>
      </c>
      <c r="BP231" s="351">
        <v>0</v>
      </c>
      <c r="BQ231" s="351">
        <v>0</v>
      </c>
      <c r="BR231" s="351">
        <v>0</v>
      </c>
      <c r="BS231" s="351">
        <v>0</v>
      </c>
      <c r="BT231" s="351">
        <v>0</v>
      </c>
      <c r="BU231" s="351">
        <v>0</v>
      </c>
      <c r="BV231" s="350">
        <f t="shared" si="197"/>
        <v>4.1250000000000002E-2</v>
      </c>
      <c r="BW231" s="350">
        <v>1</v>
      </c>
      <c r="BX231" s="385">
        <f t="shared" si="180"/>
        <v>0.25</v>
      </c>
      <c r="BY231" s="369">
        <v>0</v>
      </c>
      <c r="BZ231" s="391">
        <v>0</v>
      </c>
      <c r="CA231" s="689">
        <v>1</v>
      </c>
      <c r="CB231" s="324">
        <f t="shared" si="181"/>
        <v>1</v>
      </c>
      <c r="CC231" s="324">
        <f t="shared" si="182"/>
        <v>100</v>
      </c>
      <c r="CD231" s="384">
        <f t="shared" si="198"/>
        <v>100</v>
      </c>
      <c r="CE231" s="383">
        <f t="shared" si="199"/>
        <v>4.1250000000000002E-2</v>
      </c>
      <c r="CF231" s="367">
        <f t="shared" si="200"/>
        <v>100</v>
      </c>
      <c r="CG231" s="383">
        <f t="shared" si="201"/>
        <v>4.1250000000000002E-2</v>
      </c>
      <c r="CH231" s="320">
        <f t="shared" si="202"/>
        <v>4.1250000000000002E-2</v>
      </c>
      <c r="CI231" s="319">
        <v>1</v>
      </c>
      <c r="CJ231" s="318">
        <f t="shared" si="183"/>
        <v>0.25</v>
      </c>
      <c r="CK231" s="1259">
        <v>1</v>
      </c>
      <c r="CL231" s="301">
        <f t="shared" si="184"/>
        <v>0</v>
      </c>
      <c r="CM231" s="381">
        <f t="shared" si="185"/>
        <v>1</v>
      </c>
      <c r="CN231" s="381">
        <f t="shared" si="186"/>
        <v>100</v>
      </c>
      <c r="CO231" s="316">
        <f t="shared" si="203"/>
        <v>100</v>
      </c>
      <c r="CP231" s="381">
        <f t="shared" si="204"/>
        <v>4.1250000000000002E-2</v>
      </c>
      <c r="CQ231" s="381">
        <f t="shared" si="205"/>
        <v>4.1250000000000002E-2</v>
      </c>
      <c r="CR231" s="313">
        <v>60000000</v>
      </c>
      <c r="CS231" s="313">
        <v>0</v>
      </c>
      <c r="CT231" s="313">
        <v>0</v>
      </c>
      <c r="CU231" s="313">
        <v>0</v>
      </c>
      <c r="CV231" s="313">
        <v>0</v>
      </c>
      <c r="CW231" s="313">
        <v>0</v>
      </c>
      <c r="CX231" s="313">
        <v>0</v>
      </c>
      <c r="CY231" s="313">
        <v>60000000</v>
      </c>
      <c r="CZ231" s="380">
        <v>0</v>
      </c>
      <c r="DA231" s="380">
        <v>0</v>
      </c>
      <c r="DB231" s="380">
        <v>0</v>
      </c>
      <c r="DC231" s="380">
        <v>0</v>
      </c>
      <c r="DD231" s="380">
        <v>0</v>
      </c>
      <c r="DE231" s="380">
        <v>0</v>
      </c>
      <c r="DF231" s="380">
        <v>0</v>
      </c>
      <c r="DG231" s="380">
        <v>0</v>
      </c>
      <c r="DH231" s="380">
        <v>0</v>
      </c>
      <c r="DI231" s="380">
        <v>0</v>
      </c>
      <c r="DJ231" s="380">
        <v>0</v>
      </c>
      <c r="DK231" s="702">
        <f t="shared" si="187"/>
        <v>4</v>
      </c>
      <c r="DL231" s="311">
        <f t="shared" si="206"/>
        <v>0.16500000000000001</v>
      </c>
      <c r="DM231" s="310">
        <f t="shared" si="207"/>
        <v>100</v>
      </c>
      <c r="DN231" s="356">
        <f t="shared" si="208"/>
        <v>100</v>
      </c>
      <c r="DO231" s="308">
        <f t="shared" si="209"/>
        <v>0.16500000000000001</v>
      </c>
      <c r="DP231" s="359">
        <f>+IF(((DN231*Q231)/100)&lt;Q231, ((DN231*Q231)/100),Q231)</f>
        <v>0.16500000000000001</v>
      </c>
      <c r="DQ231" s="306">
        <f t="shared" si="210"/>
        <v>0.16500000000000001</v>
      </c>
      <c r="DR231" s="379">
        <f t="shared" si="211"/>
        <v>1</v>
      </c>
      <c r="DS231" s="378">
        <f t="shared" si="212"/>
        <v>0</v>
      </c>
      <c r="DT231" s="173">
        <v>269</v>
      </c>
      <c r="DU231" s="174" t="s">
        <v>117</v>
      </c>
      <c r="DV231" s="173"/>
      <c r="DW231" s="174" t="s">
        <v>84</v>
      </c>
      <c r="DX231" s="173"/>
      <c r="DY231" s="173"/>
      <c r="DZ231" s="173"/>
      <c r="EA231" s="665"/>
      <c r="EB231" s="1254" t="s">
        <v>2538</v>
      </c>
      <c r="EC231" s="537">
        <v>4008000000</v>
      </c>
      <c r="EE231" s="734">
        <v>500</v>
      </c>
      <c r="EF231" s="706"/>
    </row>
    <row r="232" spans="4:136" s="302" customFormat="1" ht="38.25" hidden="1">
      <c r="D232" s="520">
        <v>229</v>
      </c>
      <c r="E232" s="534">
        <v>277</v>
      </c>
      <c r="F232" s="523" t="s">
        <v>43</v>
      </c>
      <c r="G232" s="479" t="s">
        <v>9</v>
      </c>
      <c r="H232" s="526" t="s">
        <v>2659</v>
      </c>
      <c r="I232" s="462" t="s">
        <v>618</v>
      </c>
      <c r="J232" s="335" t="s">
        <v>619</v>
      </c>
      <c r="K232" s="335" t="s">
        <v>620</v>
      </c>
      <c r="L232" s="453" t="s">
        <v>1947</v>
      </c>
      <c r="M232" s="334" t="s">
        <v>1785</v>
      </c>
      <c r="N232" s="334">
        <v>100</v>
      </c>
      <c r="O232" s="333">
        <f>+P232</f>
        <v>100</v>
      </c>
      <c r="P232" s="332">
        <v>100</v>
      </c>
      <c r="Q232" s="390">
        <v>0.16500000000000001</v>
      </c>
      <c r="R232" s="342">
        <f t="shared" si="190"/>
        <v>4.1250000000000002E-2</v>
      </c>
      <c r="S232" s="389">
        <v>100</v>
      </c>
      <c r="T232" s="387">
        <f t="shared" si="174"/>
        <v>0.25</v>
      </c>
      <c r="U232" s="670">
        <v>100</v>
      </c>
      <c r="V232" s="388">
        <f t="shared" si="175"/>
        <v>25</v>
      </c>
      <c r="W232" s="356">
        <f t="shared" si="176"/>
        <v>100</v>
      </c>
      <c r="X232" s="356">
        <f t="shared" si="191"/>
        <v>100</v>
      </c>
      <c r="Y232" s="356">
        <f t="shared" si="215"/>
        <v>4.1250000000000002E-2</v>
      </c>
      <c r="Z232" s="356">
        <f t="shared" si="192"/>
        <v>100</v>
      </c>
      <c r="AA232" s="355">
        <v>0</v>
      </c>
      <c r="AB232" s="355">
        <v>0</v>
      </c>
      <c r="AC232" s="355">
        <v>0</v>
      </c>
      <c r="AD232" s="355">
        <v>0</v>
      </c>
      <c r="AE232" s="355">
        <v>0</v>
      </c>
      <c r="AF232" s="355">
        <v>0</v>
      </c>
      <c r="AG232" s="355">
        <v>0</v>
      </c>
      <c r="AH232" s="355">
        <v>0</v>
      </c>
      <c r="AI232" s="355">
        <v>0</v>
      </c>
      <c r="AJ232" s="355">
        <v>0</v>
      </c>
      <c r="AK232" s="355">
        <v>0</v>
      </c>
      <c r="AL232" s="355">
        <v>0</v>
      </c>
      <c r="AM232" s="355">
        <v>0</v>
      </c>
      <c r="AN232" s="355">
        <v>0</v>
      </c>
      <c r="AO232" s="355">
        <v>0</v>
      </c>
      <c r="AP232" s="355">
        <v>0</v>
      </c>
      <c r="AQ232" s="355">
        <v>0</v>
      </c>
      <c r="AR232" s="355">
        <v>0</v>
      </c>
      <c r="AS232" s="355">
        <v>0</v>
      </c>
      <c r="AT232" s="333">
        <f t="shared" si="193"/>
        <v>4.1250000000000002E-2</v>
      </c>
      <c r="AU232" s="334">
        <v>100</v>
      </c>
      <c r="AV232" s="387">
        <f t="shared" si="177"/>
        <v>0.25</v>
      </c>
      <c r="AW232" s="677">
        <v>100</v>
      </c>
      <c r="AX232" s="366">
        <f t="shared" si="178"/>
        <v>25</v>
      </c>
      <c r="AY232" s="366">
        <f t="shared" si="179"/>
        <v>100</v>
      </c>
      <c r="AZ232" s="366">
        <f t="shared" si="194"/>
        <v>100</v>
      </c>
      <c r="BA232" s="354">
        <f t="shared" si="195"/>
        <v>4.1250000000000002E-2</v>
      </c>
      <c r="BB232" s="354">
        <f t="shared" si="196"/>
        <v>100</v>
      </c>
      <c r="BC232" s="353">
        <v>250000000</v>
      </c>
      <c r="BD232" s="353">
        <v>0</v>
      </c>
      <c r="BE232" s="353">
        <v>250000000</v>
      </c>
      <c r="BF232" s="353">
        <v>0</v>
      </c>
      <c r="BG232" s="353">
        <v>0</v>
      </c>
      <c r="BH232" s="353">
        <v>0</v>
      </c>
      <c r="BI232" s="353">
        <v>0</v>
      </c>
      <c r="BJ232" s="353">
        <v>0</v>
      </c>
      <c r="BK232" s="452">
        <v>247222713</v>
      </c>
      <c r="BL232" s="351">
        <v>247222713</v>
      </c>
      <c r="BM232" s="351">
        <v>0</v>
      </c>
      <c r="BN232" s="351">
        <v>0</v>
      </c>
      <c r="BO232" s="351">
        <v>0</v>
      </c>
      <c r="BP232" s="351">
        <v>0</v>
      </c>
      <c r="BQ232" s="351">
        <v>0</v>
      </c>
      <c r="BR232" s="351">
        <v>0</v>
      </c>
      <c r="BS232" s="351">
        <v>0</v>
      </c>
      <c r="BT232" s="351">
        <v>0</v>
      </c>
      <c r="BU232" s="351">
        <v>0</v>
      </c>
      <c r="BV232" s="350">
        <f t="shared" si="197"/>
        <v>4.1250000000000002E-2</v>
      </c>
      <c r="BW232" s="350">
        <v>100</v>
      </c>
      <c r="BX232" s="385">
        <f t="shared" si="180"/>
        <v>0.25</v>
      </c>
      <c r="BY232" s="369">
        <v>50</v>
      </c>
      <c r="BZ232" s="391">
        <v>100</v>
      </c>
      <c r="CA232" s="689">
        <v>100</v>
      </c>
      <c r="CB232" s="324">
        <f t="shared" si="181"/>
        <v>25</v>
      </c>
      <c r="CC232" s="324">
        <f t="shared" si="182"/>
        <v>100</v>
      </c>
      <c r="CD232" s="384">
        <f t="shared" si="198"/>
        <v>100</v>
      </c>
      <c r="CE232" s="383">
        <f t="shared" si="199"/>
        <v>4.1250000000000002E-2</v>
      </c>
      <c r="CF232" s="367">
        <f t="shared" si="200"/>
        <v>100</v>
      </c>
      <c r="CG232" s="383">
        <f t="shared" si="201"/>
        <v>4.1250000000000002E-2</v>
      </c>
      <c r="CH232" s="320">
        <f t="shared" si="202"/>
        <v>4.1250000000000002E-2</v>
      </c>
      <c r="CI232" s="319">
        <v>100</v>
      </c>
      <c r="CJ232" s="318">
        <f t="shared" si="183"/>
        <v>0.25</v>
      </c>
      <c r="CK232" s="1259">
        <v>116</v>
      </c>
      <c r="CL232" s="301">
        <f t="shared" si="184"/>
        <v>-16</v>
      </c>
      <c r="CM232" s="381">
        <f t="shared" si="185"/>
        <v>29</v>
      </c>
      <c r="CN232" s="381">
        <f t="shared" si="186"/>
        <v>116</v>
      </c>
      <c r="CO232" s="381">
        <f t="shared" si="203"/>
        <v>100</v>
      </c>
      <c r="CP232" s="381">
        <f t="shared" si="204"/>
        <v>4.1250000000000002E-2</v>
      </c>
      <c r="CQ232" s="381">
        <f t="shared" si="205"/>
        <v>4.7850000000000004E-2</v>
      </c>
      <c r="CR232" s="313">
        <v>300000000</v>
      </c>
      <c r="CS232" s="313">
        <v>300000000</v>
      </c>
      <c r="CT232" s="313">
        <v>0</v>
      </c>
      <c r="CU232" s="313">
        <v>0</v>
      </c>
      <c r="CV232" s="313">
        <v>0</v>
      </c>
      <c r="CW232" s="313">
        <v>0</v>
      </c>
      <c r="CX232" s="313">
        <v>0</v>
      </c>
      <c r="CY232" s="313">
        <v>0</v>
      </c>
      <c r="CZ232" s="380">
        <v>0</v>
      </c>
      <c r="DA232" s="380">
        <v>0</v>
      </c>
      <c r="DB232" s="380">
        <v>0</v>
      </c>
      <c r="DC232" s="380">
        <v>0</v>
      </c>
      <c r="DD232" s="380">
        <v>0</v>
      </c>
      <c r="DE232" s="380">
        <v>0</v>
      </c>
      <c r="DF232" s="380">
        <v>0</v>
      </c>
      <c r="DG232" s="380">
        <v>0</v>
      </c>
      <c r="DH232" s="380">
        <v>0</v>
      </c>
      <c r="DI232" s="380">
        <v>0</v>
      </c>
      <c r="DJ232" s="380">
        <v>0</v>
      </c>
      <c r="DK232" s="702">
        <f t="shared" si="187"/>
        <v>104</v>
      </c>
      <c r="DL232" s="311">
        <f t="shared" si="206"/>
        <v>0.16500000000000001</v>
      </c>
      <c r="DM232" s="310">
        <f t="shared" si="207"/>
        <v>104</v>
      </c>
      <c r="DN232" s="356">
        <f t="shared" si="208"/>
        <v>100</v>
      </c>
      <c r="DO232" s="308">
        <f t="shared" si="209"/>
        <v>0.16500000000000001</v>
      </c>
      <c r="DP232" s="359">
        <f>+IF(M232="M",DO232,0)</f>
        <v>0.16500000000000001</v>
      </c>
      <c r="DQ232" s="306">
        <f t="shared" si="210"/>
        <v>0.16500000000000001</v>
      </c>
      <c r="DR232" s="379">
        <f t="shared" si="211"/>
        <v>1</v>
      </c>
      <c r="DS232" s="378">
        <f t="shared" si="212"/>
        <v>0</v>
      </c>
      <c r="DT232" s="173">
        <v>269</v>
      </c>
      <c r="DU232" s="174" t="s">
        <v>117</v>
      </c>
      <c r="DV232" s="173"/>
      <c r="DW232" s="174" t="s">
        <v>84</v>
      </c>
      <c r="DX232" s="173"/>
      <c r="DY232" s="173"/>
      <c r="DZ232" s="173"/>
      <c r="EA232" s="665"/>
      <c r="EB232" s="1254" t="s">
        <v>2109</v>
      </c>
      <c r="EC232" s="537">
        <v>267000000</v>
      </c>
      <c r="EE232" s="733">
        <v>0</v>
      </c>
      <c r="EF232" s="706"/>
    </row>
    <row r="233" spans="4:136" s="302" customFormat="1" ht="76.5" hidden="1">
      <c r="D233" s="520">
        <v>230</v>
      </c>
      <c r="E233" s="534">
        <v>278</v>
      </c>
      <c r="F233" s="523" t="s">
        <v>43</v>
      </c>
      <c r="G233" s="479" t="s">
        <v>11</v>
      </c>
      <c r="H233" s="526" t="s">
        <v>2659</v>
      </c>
      <c r="I233" s="462" t="s">
        <v>618</v>
      </c>
      <c r="J233" s="335" t="s">
        <v>621</v>
      </c>
      <c r="K233" s="335" t="s">
        <v>622</v>
      </c>
      <c r="L233" s="453" t="s">
        <v>1947</v>
      </c>
      <c r="M233" s="334" t="s">
        <v>1785</v>
      </c>
      <c r="N233" s="334">
        <v>100</v>
      </c>
      <c r="O233" s="333">
        <f>+P233</f>
        <v>100</v>
      </c>
      <c r="P233" s="332">
        <v>100</v>
      </c>
      <c r="Q233" s="390">
        <v>0.16500000000000001</v>
      </c>
      <c r="R233" s="342">
        <f t="shared" si="190"/>
        <v>4.1250000000000002E-2</v>
      </c>
      <c r="S233" s="389">
        <v>100</v>
      </c>
      <c r="T233" s="387">
        <f t="shared" si="174"/>
        <v>0.25</v>
      </c>
      <c r="U233" s="670">
        <v>100</v>
      </c>
      <c r="V233" s="388">
        <f t="shared" si="175"/>
        <v>25</v>
      </c>
      <c r="W233" s="356">
        <f t="shared" si="176"/>
        <v>100</v>
      </c>
      <c r="X233" s="356">
        <f t="shared" si="191"/>
        <v>100</v>
      </c>
      <c r="Y233" s="356">
        <f t="shared" si="215"/>
        <v>4.1250000000000002E-2</v>
      </c>
      <c r="Z233" s="356">
        <f t="shared" si="192"/>
        <v>100</v>
      </c>
      <c r="AA233" s="355">
        <v>0</v>
      </c>
      <c r="AB233" s="355">
        <v>0</v>
      </c>
      <c r="AC233" s="355">
        <v>0</v>
      </c>
      <c r="AD233" s="355">
        <v>0</v>
      </c>
      <c r="AE233" s="355">
        <v>0</v>
      </c>
      <c r="AF233" s="355">
        <v>0</v>
      </c>
      <c r="AG233" s="355">
        <v>0</v>
      </c>
      <c r="AH233" s="355">
        <v>0</v>
      </c>
      <c r="AI233" s="355">
        <v>0</v>
      </c>
      <c r="AJ233" s="355">
        <v>0</v>
      </c>
      <c r="AK233" s="355">
        <v>0</v>
      </c>
      <c r="AL233" s="355">
        <v>0</v>
      </c>
      <c r="AM233" s="355">
        <v>0</v>
      </c>
      <c r="AN233" s="355">
        <v>0</v>
      </c>
      <c r="AO233" s="355">
        <v>0</v>
      </c>
      <c r="AP233" s="355">
        <v>0</v>
      </c>
      <c r="AQ233" s="355">
        <v>0</v>
      </c>
      <c r="AR233" s="355">
        <v>0</v>
      </c>
      <c r="AS233" s="355">
        <v>0</v>
      </c>
      <c r="AT233" s="333">
        <f t="shared" si="193"/>
        <v>4.1250000000000002E-2</v>
      </c>
      <c r="AU233" s="334">
        <v>100</v>
      </c>
      <c r="AV233" s="387">
        <f t="shared" si="177"/>
        <v>0.25</v>
      </c>
      <c r="AW233" s="677">
        <v>100</v>
      </c>
      <c r="AX233" s="366">
        <f t="shared" si="178"/>
        <v>25</v>
      </c>
      <c r="AY233" s="366">
        <f t="shared" si="179"/>
        <v>100</v>
      </c>
      <c r="AZ233" s="366">
        <f t="shared" si="194"/>
        <v>100</v>
      </c>
      <c r="BA233" s="354">
        <f t="shared" si="195"/>
        <v>4.1250000000000002E-2</v>
      </c>
      <c r="BB233" s="354">
        <f t="shared" si="196"/>
        <v>100</v>
      </c>
      <c r="BC233" s="353">
        <v>1118000000</v>
      </c>
      <c r="BD233" s="353">
        <v>0</v>
      </c>
      <c r="BE233" s="353">
        <v>1118000000</v>
      </c>
      <c r="BF233" s="353">
        <v>0</v>
      </c>
      <c r="BG233" s="353">
        <v>0</v>
      </c>
      <c r="BH233" s="353">
        <v>0</v>
      </c>
      <c r="BI233" s="353">
        <v>0</v>
      </c>
      <c r="BJ233" s="353">
        <v>0</v>
      </c>
      <c r="BK233" s="452">
        <v>0</v>
      </c>
      <c r="BL233" s="351">
        <v>0</v>
      </c>
      <c r="BM233" s="351">
        <v>0</v>
      </c>
      <c r="BN233" s="351">
        <v>0</v>
      </c>
      <c r="BO233" s="351">
        <v>0</v>
      </c>
      <c r="BP233" s="351">
        <v>0</v>
      </c>
      <c r="BQ233" s="351">
        <v>0</v>
      </c>
      <c r="BR233" s="351">
        <v>0</v>
      </c>
      <c r="BS233" s="351">
        <v>0</v>
      </c>
      <c r="BT233" s="351">
        <v>0</v>
      </c>
      <c r="BU233" s="351">
        <v>0</v>
      </c>
      <c r="BV233" s="350">
        <f t="shared" si="197"/>
        <v>4.1250000000000002E-2</v>
      </c>
      <c r="BW233" s="350">
        <v>100</v>
      </c>
      <c r="BX233" s="385">
        <f t="shared" si="180"/>
        <v>0.25</v>
      </c>
      <c r="BY233" s="1384">
        <v>136</v>
      </c>
      <c r="BZ233" s="1384">
        <v>100</v>
      </c>
      <c r="CA233" s="691">
        <v>100</v>
      </c>
      <c r="CB233" s="324">
        <f t="shared" si="181"/>
        <v>25</v>
      </c>
      <c r="CC233" s="324">
        <f t="shared" si="182"/>
        <v>100</v>
      </c>
      <c r="CD233" s="384">
        <f t="shared" si="198"/>
        <v>100</v>
      </c>
      <c r="CE233" s="383">
        <f t="shared" si="199"/>
        <v>4.1250000000000002E-2</v>
      </c>
      <c r="CF233" s="367">
        <f t="shared" si="200"/>
        <v>100</v>
      </c>
      <c r="CG233" s="383">
        <f t="shared" si="201"/>
        <v>4.1250000000000002E-2</v>
      </c>
      <c r="CH233" s="320">
        <f t="shared" si="202"/>
        <v>4.1250000000000002E-2</v>
      </c>
      <c r="CI233" s="319">
        <v>100</v>
      </c>
      <c r="CJ233" s="318">
        <f t="shared" si="183"/>
        <v>0.25</v>
      </c>
      <c r="CK233" s="1258">
        <v>100</v>
      </c>
      <c r="CL233" s="301">
        <f t="shared" si="184"/>
        <v>0</v>
      </c>
      <c r="CM233" s="381">
        <f t="shared" si="185"/>
        <v>25</v>
      </c>
      <c r="CN233" s="381">
        <f t="shared" si="186"/>
        <v>100</v>
      </c>
      <c r="CO233" s="381">
        <f t="shared" si="203"/>
        <v>100</v>
      </c>
      <c r="CP233" s="381">
        <f t="shared" si="204"/>
        <v>4.1250000000000002E-2</v>
      </c>
      <c r="CQ233" s="381">
        <f t="shared" si="205"/>
        <v>4.1250000000000002E-2</v>
      </c>
      <c r="CR233" s="313">
        <v>1200000000</v>
      </c>
      <c r="CS233" s="313">
        <v>1200000000</v>
      </c>
      <c r="CT233" s="313">
        <v>0</v>
      </c>
      <c r="CU233" s="313">
        <v>0</v>
      </c>
      <c r="CV233" s="313">
        <v>0</v>
      </c>
      <c r="CW233" s="313">
        <v>0</v>
      </c>
      <c r="CX233" s="313">
        <v>0</v>
      </c>
      <c r="CY233" s="313">
        <v>0</v>
      </c>
      <c r="CZ233" s="380">
        <v>0</v>
      </c>
      <c r="DA233" s="380">
        <v>0</v>
      </c>
      <c r="DB233" s="380">
        <v>0</v>
      </c>
      <c r="DC233" s="380">
        <v>0</v>
      </c>
      <c r="DD233" s="380">
        <v>0</v>
      </c>
      <c r="DE233" s="380">
        <v>0</v>
      </c>
      <c r="DF233" s="380">
        <v>0</v>
      </c>
      <c r="DG233" s="380">
        <v>0</v>
      </c>
      <c r="DH233" s="380">
        <v>0</v>
      </c>
      <c r="DI233" s="380">
        <v>0</v>
      </c>
      <c r="DJ233" s="380">
        <v>0</v>
      </c>
      <c r="DK233" s="702">
        <f t="shared" si="187"/>
        <v>100</v>
      </c>
      <c r="DL233" s="311">
        <f t="shared" si="206"/>
        <v>0.16500000000000001</v>
      </c>
      <c r="DM233" s="310">
        <f t="shared" si="207"/>
        <v>100</v>
      </c>
      <c r="DN233" s="356">
        <f t="shared" si="208"/>
        <v>100</v>
      </c>
      <c r="DO233" s="308">
        <f t="shared" si="209"/>
        <v>0.16500000000000001</v>
      </c>
      <c r="DP233" s="359">
        <f>+IF(M233="M",DO233,0)</f>
        <v>0.16500000000000001</v>
      </c>
      <c r="DQ233" s="306">
        <f t="shared" si="210"/>
        <v>0.16500000000000001</v>
      </c>
      <c r="DR233" s="379">
        <f t="shared" si="211"/>
        <v>1</v>
      </c>
      <c r="DS233" s="378">
        <f t="shared" si="212"/>
        <v>0</v>
      </c>
      <c r="DT233" s="173">
        <v>269</v>
      </c>
      <c r="DU233" s="174" t="s">
        <v>117</v>
      </c>
      <c r="DV233" s="173"/>
      <c r="DW233" s="174" t="s">
        <v>84</v>
      </c>
      <c r="DX233" s="173"/>
      <c r="DY233" s="173"/>
      <c r="DZ233" s="173"/>
      <c r="EA233" s="665"/>
      <c r="EB233" s="1254" t="s">
        <v>2110</v>
      </c>
      <c r="EC233" s="537">
        <v>2379000000</v>
      </c>
      <c r="EE233" s="733">
        <v>4000</v>
      </c>
      <c r="EF233" s="706"/>
    </row>
    <row r="234" spans="4:136" s="302" customFormat="1" ht="63.75" hidden="1">
      <c r="D234" s="520">
        <v>231</v>
      </c>
      <c r="E234" s="534">
        <v>279</v>
      </c>
      <c r="F234" s="523" t="s">
        <v>43</v>
      </c>
      <c r="G234" s="479" t="s">
        <v>9</v>
      </c>
      <c r="H234" s="526" t="s">
        <v>2659</v>
      </c>
      <c r="I234" s="462" t="s">
        <v>623</v>
      </c>
      <c r="J234" s="335" t="s">
        <v>624</v>
      </c>
      <c r="K234" s="335" t="s">
        <v>625</v>
      </c>
      <c r="L234" s="454" t="s">
        <v>1773</v>
      </c>
      <c r="M234" s="334" t="s">
        <v>1771</v>
      </c>
      <c r="N234" s="334">
        <v>0</v>
      </c>
      <c r="O234" s="333">
        <f>+N234+P234</f>
        <v>5</v>
      </c>
      <c r="P234" s="332">
        <v>5</v>
      </c>
      <c r="Q234" s="390">
        <v>0.16500000000000001</v>
      </c>
      <c r="R234" s="342">
        <f t="shared" si="190"/>
        <v>0</v>
      </c>
      <c r="S234" s="389">
        <v>0</v>
      </c>
      <c r="T234" s="387">
        <f t="shared" si="174"/>
        <v>0</v>
      </c>
      <c r="U234" s="670">
        <v>0</v>
      </c>
      <c r="V234" s="388">
        <f t="shared" si="175"/>
        <v>0</v>
      </c>
      <c r="W234" s="356">
        <f t="shared" si="176"/>
        <v>0</v>
      </c>
      <c r="X234" s="356">
        <f t="shared" si="191"/>
        <v>0</v>
      </c>
      <c r="Y234" s="356">
        <f t="shared" si="215"/>
        <v>0</v>
      </c>
      <c r="Z234" s="356">
        <f t="shared" si="192"/>
        <v>0</v>
      </c>
      <c r="AA234" s="355">
        <v>0</v>
      </c>
      <c r="AB234" s="355">
        <v>0</v>
      </c>
      <c r="AC234" s="355">
        <v>0</v>
      </c>
      <c r="AD234" s="355">
        <v>0</v>
      </c>
      <c r="AE234" s="355">
        <v>0</v>
      </c>
      <c r="AF234" s="355">
        <v>0</v>
      </c>
      <c r="AG234" s="355">
        <v>0</v>
      </c>
      <c r="AH234" s="355">
        <v>0</v>
      </c>
      <c r="AI234" s="355">
        <v>0</v>
      </c>
      <c r="AJ234" s="355">
        <v>0</v>
      </c>
      <c r="AK234" s="355">
        <v>0</v>
      </c>
      <c r="AL234" s="355">
        <v>0</v>
      </c>
      <c r="AM234" s="355">
        <v>0</v>
      </c>
      <c r="AN234" s="355">
        <v>0</v>
      </c>
      <c r="AO234" s="355">
        <v>0</v>
      </c>
      <c r="AP234" s="355">
        <v>0</v>
      </c>
      <c r="AQ234" s="355">
        <v>0</v>
      </c>
      <c r="AR234" s="355">
        <v>0</v>
      </c>
      <c r="AS234" s="355">
        <v>0</v>
      </c>
      <c r="AT234" s="333">
        <f t="shared" si="193"/>
        <v>3.3000000000000002E-2</v>
      </c>
      <c r="AU234" s="334">
        <v>1</v>
      </c>
      <c r="AV234" s="387">
        <f t="shared" si="177"/>
        <v>0.2</v>
      </c>
      <c r="AW234" s="677">
        <v>1</v>
      </c>
      <c r="AX234" s="366">
        <f t="shared" si="178"/>
        <v>1</v>
      </c>
      <c r="AY234" s="366">
        <f t="shared" si="179"/>
        <v>100</v>
      </c>
      <c r="AZ234" s="366">
        <f t="shared" si="194"/>
        <v>100</v>
      </c>
      <c r="BA234" s="354">
        <f t="shared" si="195"/>
        <v>3.3000000000000002E-2</v>
      </c>
      <c r="BB234" s="354">
        <f t="shared" si="196"/>
        <v>100</v>
      </c>
      <c r="BC234" s="353">
        <v>0</v>
      </c>
      <c r="BD234" s="353">
        <v>0</v>
      </c>
      <c r="BE234" s="353">
        <v>0</v>
      </c>
      <c r="BF234" s="353">
        <v>0</v>
      </c>
      <c r="BG234" s="353">
        <v>0</v>
      </c>
      <c r="BH234" s="353">
        <v>0</v>
      </c>
      <c r="BI234" s="353">
        <v>0</v>
      </c>
      <c r="BJ234" s="353">
        <v>0</v>
      </c>
      <c r="BK234" s="452">
        <v>0</v>
      </c>
      <c r="BL234" s="351">
        <v>0</v>
      </c>
      <c r="BM234" s="351">
        <v>0</v>
      </c>
      <c r="BN234" s="351">
        <v>0</v>
      </c>
      <c r="BO234" s="351">
        <v>0</v>
      </c>
      <c r="BP234" s="351">
        <v>0</v>
      </c>
      <c r="BQ234" s="351">
        <v>0</v>
      </c>
      <c r="BR234" s="351">
        <v>0</v>
      </c>
      <c r="BS234" s="351">
        <v>0</v>
      </c>
      <c r="BT234" s="351">
        <v>0</v>
      </c>
      <c r="BU234" s="351">
        <v>0</v>
      </c>
      <c r="BV234" s="350">
        <f t="shared" si="197"/>
        <v>6.6000000000000003E-2</v>
      </c>
      <c r="BW234" s="350">
        <v>2</v>
      </c>
      <c r="BX234" s="385">
        <f t="shared" si="180"/>
        <v>0.4</v>
      </c>
      <c r="BY234" s="369">
        <v>6</v>
      </c>
      <c r="BZ234" s="391">
        <v>6</v>
      </c>
      <c r="CA234" s="689">
        <v>6</v>
      </c>
      <c r="CB234" s="324">
        <f t="shared" si="181"/>
        <v>6</v>
      </c>
      <c r="CC234" s="324">
        <f t="shared" si="182"/>
        <v>300</v>
      </c>
      <c r="CD234" s="384">
        <f t="shared" si="198"/>
        <v>100</v>
      </c>
      <c r="CE234" s="383">
        <f t="shared" si="199"/>
        <v>6.6000000000000003E-2</v>
      </c>
      <c r="CF234" s="367">
        <f t="shared" si="200"/>
        <v>100</v>
      </c>
      <c r="CG234" s="383">
        <f t="shared" si="201"/>
        <v>0.19800000000000001</v>
      </c>
      <c r="CH234" s="320">
        <f t="shared" si="202"/>
        <v>6.6000000000000003E-2</v>
      </c>
      <c r="CI234" s="319">
        <v>2</v>
      </c>
      <c r="CJ234" s="318">
        <f t="shared" si="183"/>
        <v>0.4</v>
      </c>
      <c r="CK234" s="1259">
        <v>2</v>
      </c>
      <c r="CL234" s="301">
        <f t="shared" si="184"/>
        <v>0</v>
      </c>
      <c r="CM234" s="381">
        <f t="shared" si="185"/>
        <v>2</v>
      </c>
      <c r="CN234" s="381">
        <f t="shared" si="186"/>
        <v>100</v>
      </c>
      <c r="CO234" s="316">
        <f t="shared" si="203"/>
        <v>100</v>
      </c>
      <c r="CP234" s="381">
        <f t="shared" si="204"/>
        <v>6.6000000000000003E-2</v>
      </c>
      <c r="CQ234" s="381">
        <f t="shared" si="205"/>
        <v>6.6000000000000003E-2</v>
      </c>
      <c r="CR234" s="313">
        <v>0</v>
      </c>
      <c r="CS234" s="313">
        <v>0</v>
      </c>
      <c r="CT234" s="313">
        <v>0</v>
      </c>
      <c r="CU234" s="313">
        <v>0</v>
      </c>
      <c r="CV234" s="313">
        <v>0</v>
      </c>
      <c r="CW234" s="313">
        <v>0</v>
      </c>
      <c r="CX234" s="313">
        <v>0</v>
      </c>
      <c r="CY234" s="313">
        <v>0</v>
      </c>
      <c r="CZ234" s="380">
        <v>0</v>
      </c>
      <c r="DA234" s="380">
        <v>0</v>
      </c>
      <c r="DB234" s="380">
        <v>0</v>
      </c>
      <c r="DC234" s="380">
        <v>0</v>
      </c>
      <c r="DD234" s="380">
        <v>0</v>
      </c>
      <c r="DE234" s="380">
        <v>0</v>
      </c>
      <c r="DF234" s="380">
        <v>0</v>
      </c>
      <c r="DG234" s="380">
        <v>0</v>
      </c>
      <c r="DH234" s="380">
        <v>0</v>
      </c>
      <c r="DI234" s="380">
        <v>0</v>
      </c>
      <c r="DJ234" s="380">
        <v>0</v>
      </c>
      <c r="DK234" s="702">
        <f t="shared" si="187"/>
        <v>9</v>
      </c>
      <c r="DL234" s="311">
        <f t="shared" si="206"/>
        <v>0.16500000000000001</v>
      </c>
      <c r="DM234" s="310">
        <f t="shared" si="207"/>
        <v>180</v>
      </c>
      <c r="DN234" s="356">
        <f t="shared" si="208"/>
        <v>100</v>
      </c>
      <c r="DO234" s="308">
        <f t="shared" si="209"/>
        <v>0.16500000000000001</v>
      </c>
      <c r="DP234" s="359">
        <f>+IF(((DN234*Q234)/100)&lt;Q234, ((DN234*Q234)/100),Q234)</f>
        <v>0.16500000000000001</v>
      </c>
      <c r="DQ234" s="306">
        <f t="shared" si="210"/>
        <v>0.16500000000000001</v>
      </c>
      <c r="DR234" s="379">
        <f t="shared" si="211"/>
        <v>1</v>
      </c>
      <c r="DS234" s="378">
        <f t="shared" si="212"/>
        <v>0</v>
      </c>
      <c r="DT234" s="173">
        <v>269</v>
      </c>
      <c r="DU234" s="174" t="s">
        <v>117</v>
      </c>
      <c r="DV234" s="173"/>
      <c r="DW234" s="174" t="s">
        <v>84</v>
      </c>
      <c r="DX234" s="173"/>
      <c r="DY234" s="173"/>
      <c r="DZ234" s="173"/>
      <c r="EA234" s="665"/>
      <c r="EB234" s="1254" t="s">
        <v>2111</v>
      </c>
      <c r="EC234" s="537">
        <v>1372000000</v>
      </c>
      <c r="EE234" s="733">
        <v>50</v>
      </c>
      <c r="EF234" s="706"/>
    </row>
    <row r="235" spans="4:136" s="302" customFormat="1" ht="84" hidden="1">
      <c r="D235" s="520">
        <v>232</v>
      </c>
      <c r="E235" s="534">
        <v>280</v>
      </c>
      <c r="F235" s="523" t="s">
        <v>43</v>
      </c>
      <c r="G235" s="479" t="s">
        <v>7</v>
      </c>
      <c r="H235" s="526" t="s">
        <v>2659</v>
      </c>
      <c r="I235" s="462" t="s">
        <v>623</v>
      </c>
      <c r="J235" s="335" t="s">
        <v>626</v>
      </c>
      <c r="K235" s="335" t="s">
        <v>627</v>
      </c>
      <c r="L235" s="453" t="s">
        <v>1947</v>
      </c>
      <c r="M235" s="334" t="s">
        <v>1785</v>
      </c>
      <c r="N235" s="334">
        <v>31969</v>
      </c>
      <c r="O235" s="333">
        <f t="shared" ref="O235:O241" si="218">+P235</f>
        <v>100</v>
      </c>
      <c r="P235" s="332">
        <v>100</v>
      </c>
      <c r="Q235" s="390">
        <v>8.8999999999999996E-2</v>
      </c>
      <c r="R235" s="342">
        <f t="shared" si="190"/>
        <v>2.2249999999999999E-2</v>
      </c>
      <c r="S235" s="389">
        <v>100</v>
      </c>
      <c r="T235" s="387">
        <f t="shared" si="174"/>
        <v>0.25</v>
      </c>
      <c r="U235" s="670">
        <v>0</v>
      </c>
      <c r="V235" s="388">
        <f t="shared" si="175"/>
        <v>0</v>
      </c>
      <c r="W235" s="356">
        <f t="shared" si="176"/>
        <v>0</v>
      </c>
      <c r="X235" s="356">
        <f t="shared" si="191"/>
        <v>0</v>
      </c>
      <c r="Y235" s="356">
        <f t="shared" si="215"/>
        <v>0</v>
      </c>
      <c r="Z235" s="356">
        <f t="shared" si="192"/>
        <v>0</v>
      </c>
      <c r="AA235" s="355">
        <v>0</v>
      </c>
      <c r="AB235" s="355">
        <v>0</v>
      </c>
      <c r="AC235" s="355">
        <v>0</v>
      </c>
      <c r="AD235" s="355">
        <v>0</v>
      </c>
      <c r="AE235" s="355">
        <v>0</v>
      </c>
      <c r="AF235" s="355">
        <v>0</v>
      </c>
      <c r="AG235" s="355">
        <v>0</v>
      </c>
      <c r="AH235" s="355">
        <v>0</v>
      </c>
      <c r="AI235" s="355">
        <v>0</v>
      </c>
      <c r="AJ235" s="355">
        <v>0</v>
      </c>
      <c r="AK235" s="355">
        <v>0</v>
      </c>
      <c r="AL235" s="355">
        <v>0</v>
      </c>
      <c r="AM235" s="355">
        <v>0</v>
      </c>
      <c r="AN235" s="355">
        <v>0</v>
      </c>
      <c r="AO235" s="355">
        <v>0</v>
      </c>
      <c r="AP235" s="355">
        <v>0</v>
      </c>
      <c r="AQ235" s="355">
        <v>0</v>
      </c>
      <c r="AR235" s="355">
        <v>0</v>
      </c>
      <c r="AS235" s="355">
        <v>0</v>
      </c>
      <c r="AT235" s="333">
        <f t="shared" si="193"/>
        <v>2.2249999999999999E-2</v>
      </c>
      <c r="AU235" s="334">
        <v>100</v>
      </c>
      <c r="AV235" s="387">
        <f t="shared" si="177"/>
        <v>0.25</v>
      </c>
      <c r="AW235" s="677">
        <v>100</v>
      </c>
      <c r="AX235" s="366">
        <f t="shared" si="178"/>
        <v>25</v>
      </c>
      <c r="AY235" s="366">
        <f t="shared" si="179"/>
        <v>100</v>
      </c>
      <c r="AZ235" s="366">
        <f t="shared" si="194"/>
        <v>100</v>
      </c>
      <c r="BA235" s="354">
        <f t="shared" si="195"/>
        <v>2.2250000000000002E-2</v>
      </c>
      <c r="BB235" s="354">
        <f t="shared" si="196"/>
        <v>100</v>
      </c>
      <c r="BC235" s="353">
        <v>11000000</v>
      </c>
      <c r="BD235" s="353">
        <v>0</v>
      </c>
      <c r="BE235" s="353">
        <v>3000000</v>
      </c>
      <c r="BF235" s="353">
        <v>0</v>
      </c>
      <c r="BG235" s="353">
        <v>0</v>
      </c>
      <c r="BH235" s="353">
        <v>0</v>
      </c>
      <c r="BI235" s="353">
        <v>0</v>
      </c>
      <c r="BJ235" s="353">
        <v>8000000</v>
      </c>
      <c r="BK235" s="452">
        <v>0</v>
      </c>
      <c r="BL235" s="351">
        <v>0</v>
      </c>
      <c r="BM235" s="351">
        <v>0</v>
      </c>
      <c r="BN235" s="351">
        <v>0</v>
      </c>
      <c r="BO235" s="351">
        <v>0</v>
      </c>
      <c r="BP235" s="351">
        <v>0</v>
      </c>
      <c r="BQ235" s="351">
        <v>0</v>
      </c>
      <c r="BR235" s="351">
        <v>0</v>
      </c>
      <c r="BS235" s="351">
        <v>0</v>
      </c>
      <c r="BT235" s="351">
        <v>0</v>
      </c>
      <c r="BU235" s="351">
        <v>0</v>
      </c>
      <c r="BV235" s="350">
        <f t="shared" si="197"/>
        <v>2.2249999999999999E-2</v>
      </c>
      <c r="BW235" s="350">
        <v>100</v>
      </c>
      <c r="BX235" s="385">
        <f t="shared" si="180"/>
        <v>0.25</v>
      </c>
      <c r="BY235" s="399">
        <v>40</v>
      </c>
      <c r="BZ235" s="398">
        <v>40</v>
      </c>
      <c r="CA235" s="690">
        <v>100</v>
      </c>
      <c r="CB235" s="324">
        <f t="shared" si="181"/>
        <v>25</v>
      </c>
      <c r="CC235" s="324">
        <f t="shared" si="182"/>
        <v>100</v>
      </c>
      <c r="CD235" s="384">
        <f t="shared" si="198"/>
        <v>100</v>
      </c>
      <c r="CE235" s="383">
        <f t="shared" si="199"/>
        <v>2.2250000000000002E-2</v>
      </c>
      <c r="CF235" s="367">
        <f t="shared" si="200"/>
        <v>100</v>
      </c>
      <c r="CG235" s="383">
        <f t="shared" si="201"/>
        <v>2.2250000000000002E-2</v>
      </c>
      <c r="CH235" s="320">
        <f t="shared" si="202"/>
        <v>2.2249999999999999E-2</v>
      </c>
      <c r="CI235" s="319">
        <v>100</v>
      </c>
      <c r="CJ235" s="318">
        <f t="shared" si="183"/>
        <v>0.25</v>
      </c>
      <c r="CK235" s="1259">
        <v>100</v>
      </c>
      <c r="CL235" s="301">
        <f t="shared" si="184"/>
        <v>0</v>
      </c>
      <c r="CM235" s="381">
        <f t="shared" si="185"/>
        <v>25</v>
      </c>
      <c r="CN235" s="381">
        <f t="shared" si="186"/>
        <v>100</v>
      </c>
      <c r="CO235" s="381">
        <f t="shared" si="203"/>
        <v>100</v>
      </c>
      <c r="CP235" s="381">
        <f t="shared" si="204"/>
        <v>2.2250000000000002E-2</v>
      </c>
      <c r="CQ235" s="381">
        <f t="shared" si="205"/>
        <v>2.2250000000000002E-2</v>
      </c>
      <c r="CR235" s="313">
        <v>14000000</v>
      </c>
      <c r="CS235" s="313">
        <v>6000000</v>
      </c>
      <c r="CT235" s="313">
        <v>0</v>
      </c>
      <c r="CU235" s="313">
        <v>0</v>
      </c>
      <c r="CV235" s="313">
        <v>0</v>
      </c>
      <c r="CW235" s="313">
        <v>0</v>
      </c>
      <c r="CX235" s="313">
        <v>0</v>
      </c>
      <c r="CY235" s="313">
        <v>8000000</v>
      </c>
      <c r="CZ235" s="380">
        <v>0</v>
      </c>
      <c r="DA235" s="380">
        <v>0</v>
      </c>
      <c r="DB235" s="380">
        <v>0</v>
      </c>
      <c r="DC235" s="380">
        <v>0</v>
      </c>
      <c r="DD235" s="380">
        <v>0</v>
      </c>
      <c r="DE235" s="380">
        <v>0</v>
      </c>
      <c r="DF235" s="380">
        <v>0</v>
      </c>
      <c r="DG235" s="380">
        <v>0</v>
      </c>
      <c r="DH235" s="380">
        <v>0</v>
      </c>
      <c r="DI235" s="380">
        <v>0</v>
      </c>
      <c r="DJ235" s="380">
        <v>0</v>
      </c>
      <c r="DK235" s="702">
        <f t="shared" si="187"/>
        <v>75</v>
      </c>
      <c r="DL235" s="311">
        <f t="shared" si="206"/>
        <v>8.8999999999999996E-2</v>
      </c>
      <c r="DM235" s="310">
        <f t="shared" si="207"/>
        <v>75</v>
      </c>
      <c r="DN235" s="356">
        <f t="shared" si="208"/>
        <v>75</v>
      </c>
      <c r="DO235" s="308">
        <f t="shared" si="209"/>
        <v>6.6750000000000004E-2</v>
      </c>
      <c r="DP235" s="359">
        <f t="shared" ref="DP235:DP241" si="219">+IF(M235="M",DO235,0)</f>
        <v>6.6750000000000004E-2</v>
      </c>
      <c r="DQ235" s="306">
        <f t="shared" si="210"/>
        <v>6.6750000000000004E-2</v>
      </c>
      <c r="DR235" s="379">
        <f t="shared" si="211"/>
        <v>1</v>
      </c>
      <c r="DS235" s="378">
        <f t="shared" si="212"/>
        <v>0</v>
      </c>
      <c r="DT235" s="173">
        <v>200</v>
      </c>
      <c r="DU235" s="174" t="s">
        <v>397</v>
      </c>
      <c r="DV235" s="173">
        <v>202</v>
      </c>
      <c r="DW235" s="174" t="s">
        <v>121</v>
      </c>
      <c r="DX235" s="173"/>
      <c r="DY235" s="173"/>
      <c r="DZ235" s="173"/>
      <c r="EA235" s="665"/>
      <c r="EB235" s="1254" t="s">
        <v>2432</v>
      </c>
      <c r="EC235" s="537">
        <v>6381000000</v>
      </c>
      <c r="EE235" s="734">
        <v>0</v>
      </c>
      <c r="EF235" s="706"/>
    </row>
    <row r="236" spans="4:136" s="302" customFormat="1" ht="84" hidden="1">
      <c r="D236" s="520">
        <v>233</v>
      </c>
      <c r="E236" s="534">
        <v>281</v>
      </c>
      <c r="F236" s="336" t="s">
        <v>43</v>
      </c>
      <c r="G236" s="336" t="s">
        <v>7</v>
      </c>
      <c r="H236" s="336" t="s">
        <v>2659</v>
      </c>
      <c r="I236" s="336" t="s">
        <v>623</v>
      </c>
      <c r="J236" s="335" t="s">
        <v>1277</v>
      </c>
      <c r="K236" s="335" t="s">
        <v>628</v>
      </c>
      <c r="L236" s="453" t="s">
        <v>1953</v>
      </c>
      <c r="M236" s="334" t="s">
        <v>1785</v>
      </c>
      <c r="N236" s="334">
        <v>0</v>
      </c>
      <c r="O236" s="333">
        <f t="shared" si="218"/>
        <v>50</v>
      </c>
      <c r="P236" s="332">
        <v>50</v>
      </c>
      <c r="Q236" s="393">
        <v>0.16500000000000001</v>
      </c>
      <c r="R236" s="342">
        <f t="shared" si="190"/>
        <v>4.1250000000000002E-2</v>
      </c>
      <c r="S236" s="389">
        <v>100</v>
      </c>
      <c r="T236" s="387">
        <f t="shared" si="174"/>
        <v>0.25</v>
      </c>
      <c r="U236" s="670">
        <v>0</v>
      </c>
      <c r="V236" s="388">
        <f t="shared" si="175"/>
        <v>0</v>
      </c>
      <c r="W236" s="356">
        <f t="shared" si="176"/>
        <v>0</v>
      </c>
      <c r="X236" s="356">
        <f t="shared" si="191"/>
        <v>0</v>
      </c>
      <c r="Y236" s="356">
        <f t="shared" si="215"/>
        <v>0</v>
      </c>
      <c r="Z236" s="356">
        <f t="shared" si="192"/>
        <v>0</v>
      </c>
      <c r="AA236" s="355">
        <v>0</v>
      </c>
      <c r="AB236" s="355">
        <v>0</v>
      </c>
      <c r="AC236" s="355">
        <v>0</v>
      </c>
      <c r="AD236" s="355">
        <v>0</v>
      </c>
      <c r="AE236" s="355">
        <v>0</v>
      </c>
      <c r="AF236" s="355">
        <v>0</v>
      </c>
      <c r="AG236" s="355">
        <v>0</v>
      </c>
      <c r="AH236" s="355">
        <v>0</v>
      </c>
      <c r="AI236" s="355">
        <v>0</v>
      </c>
      <c r="AJ236" s="355">
        <v>0</v>
      </c>
      <c r="AK236" s="355">
        <v>0</v>
      </c>
      <c r="AL236" s="355">
        <v>0</v>
      </c>
      <c r="AM236" s="355">
        <v>0</v>
      </c>
      <c r="AN236" s="355">
        <v>0</v>
      </c>
      <c r="AO236" s="355">
        <v>0</v>
      </c>
      <c r="AP236" s="355">
        <v>0</v>
      </c>
      <c r="AQ236" s="355">
        <v>0</v>
      </c>
      <c r="AR236" s="355">
        <v>0</v>
      </c>
      <c r="AS236" s="355">
        <v>0</v>
      </c>
      <c r="AT236" s="392">
        <f t="shared" si="193"/>
        <v>4.1250000000000002E-2</v>
      </c>
      <c r="AU236" s="334">
        <v>100</v>
      </c>
      <c r="AV236" s="387">
        <f t="shared" si="177"/>
        <v>0.25</v>
      </c>
      <c r="AW236" s="677">
        <v>0</v>
      </c>
      <c r="AX236" s="366">
        <f t="shared" si="178"/>
        <v>0</v>
      </c>
      <c r="AY236" s="366">
        <f t="shared" si="179"/>
        <v>0</v>
      </c>
      <c r="AZ236" s="366">
        <f t="shared" si="194"/>
        <v>0</v>
      </c>
      <c r="BA236" s="354">
        <f t="shared" si="195"/>
        <v>0</v>
      </c>
      <c r="BB236" s="354">
        <f t="shared" si="196"/>
        <v>0</v>
      </c>
      <c r="BC236" s="353">
        <v>5000000</v>
      </c>
      <c r="BD236" s="353">
        <v>0</v>
      </c>
      <c r="BE236" s="353">
        <v>5000000</v>
      </c>
      <c r="BF236" s="353">
        <v>0</v>
      </c>
      <c r="BG236" s="353">
        <v>0</v>
      </c>
      <c r="BH236" s="353">
        <v>0</v>
      </c>
      <c r="BI236" s="353">
        <v>0</v>
      </c>
      <c r="BJ236" s="353">
        <v>0</v>
      </c>
      <c r="BK236" s="452">
        <v>0</v>
      </c>
      <c r="BL236" s="351">
        <v>0</v>
      </c>
      <c r="BM236" s="351">
        <v>0</v>
      </c>
      <c r="BN236" s="351">
        <v>0</v>
      </c>
      <c r="BO236" s="351">
        <v>0</v>
      </c>
      <c r="BP236" s="351">
        <v>0</v>
      </c>
      <c r="BQ236" s="351">
        <v>0</v>
      </c>
      <c r="BR236" s="351">
        <v>0</v>
      </c>
      <c r="BS236" s="351">
        <v>0</v>
      </c>
      <c r="BT236" s="351">
        <v>0</v>
      </c>
      <c r="BU236" s="351">
        <v>0</v>
      </c>
      <c r="BV236" s="350">
        <f t="shared" si="197"/>
        <v>4.1250000000000002E-2</v>
      </c>
      <c r="BW236" s="350">
        <v>100</v>
      </c>
      <c r="BX236" s="385">
        <f t="shared" si="180"/>
        <v>0.25</v>
      </c>
      <c r="BY236" s="399">
        <v>80</v>
      </c>
      <c r="BZ236" s="398">
        <v>80</v>
      </c>
      <c r="CA236" s="690">
        <v>100</v>
      </c>
      <c r="CB236" s="324">
        <f t="shared" si="181"/>
        <v>25</v>
      </c>
      <c r="CC236" s="324">
        <f t="shared" si="182"/>
        <v>100</v>
      </c>
      <c r="CD236" s="384">
        <f t="shared" si="198"/>
        <v>100</v>
      </c>
      <c r="CE236" s="383">
        <f t="shared" si="199"/>
        <v>4.1250000000000002E-2</v>
      </c>
      <c r="CF236" s="367">
        <f t="shared" si="200"/>
        <v>100</v>
      </c>
      <c r="CG236" s="383">
        <f t="shared" si="201"/>
        <v>4.1250000000000002E-2</v>
      </c>
      <c r="CH236" s="320">
        <f t="shared" si="202"/>
        <v>4.1250000000000002E-2</v>
      </c>
      <c r="CI236" s="319">
        <v>100</v>
      </c>
      <c r="CJ236" s="318">
        <f t="shared" si="183"/>
        <v>0.25</v>
      </c>
      <c r="CK236" s="1259">
        <v>100</v>
      </c>
      <c r="CL236" s="301">
        <f t="shared" si="184"/>
        <v>0</v>
      </c>
      <c r="CM236" s="381">
        <f t="shared" si="185"/>
        <v>25</v>
      </c>
      <c r="CN236" s="381">
        <f t="shared" si="186"/>
        <v>100</v>
      </c>
      <c r="CO236" s="381">
        <f t="shared" si="203"/>
        <v>100</v>
      </c>
      <c r="CP236" s="381">
        <f t="shared" si="204"/>
        <v>4.1250000000000002E-2</v>
      </c>
      <c r="CQ236" s="381">
        <f t="shared" si="205"/>
        <v>4.1250000000000002E-2</v>
      </c>
      <c r="CR236" s="313">
        <v>12000000</v>
      </c>
      <c r="CS236" s="313">
        <v>12000000</v>
      </c>
      <c r="CT236" s="313">
        <v>0</v>
      </c>
      <c r="CU236" s="313">
        <v>0</v>
      </c>
      <c r="CV236" s="313">
        <v>0</v>
      </c>
      <c r="CW236" s="313">
        <v>0</v>
      </c>
      <c r="CX236" s="313">
        <v>0</v>
      </c>
      <c r="CY236" s="313">
        <v>0</v>
      </c>
      <c r="CZ236" s="380">
        <v>0</v>
      </c>
      <c r="DA236" s="380">
        <v>0</v>
      </c>
      <c r="DB236" s="380">
        <v>0</v>
      </c>
      <c r="DC236" s="380">
        <v>0</v>
      </c>
      <c r="DD236" s="380">
        <v>0</v>
      </c>
      <c r="DE236" s="380">
        <v>0</v>
      </c>
      <c r="DF236" s="380">
        <v>0</v>
      </c>
      <c r="DG236" s="380">
        <v>0</v>
      </c>
      <c r="DH236" s="380">
        <v>0</v>
      </c>
      <c r="DI236" s="380">
        <v>0</v>
      </c>
      <c r="DJ236" s="380">
        <v>0</v>
      </c>
      <c r="DK236" s="702">
        <f t="shared" si="187"/>
        <v>50</v>
      </c>
      <c r="DL236" s="311">
        <f t="shared" si="206"/>
        <v>0.16500000000000001</v>
      </c>
      <c r="DM236" s="310">
        <f t="shared" si="207"/>
        <v>100</v>
      </c>
      <c r="DN236" s="356">
        <f t="shared" si="208"/>
        <v>100</v>
      </c>
      <c r="DO236" s="308">
        <f t="shared" si="209"/>
        <v>0.16500000000000001</v>
      </c>
      <c r="DP236" s="359">
        <f t="shared" si="219"/>
        <v>0.16500000000000001</v>
      </c>
      <c r="DQ236" s="306">
        <f t="shared" si="210"/>
        <v>0.16500000000000001</v>
      </c>
      <c r="DR236" s="379">
        <f t="shared" si="211"/>
        <v>1</v>
      </c>
      <c r="DS236" s="378">
        <f t="shared" si="212"/>
        <v>0</v>
      </c>
      <c r="DT236" s="173">
        <v>200</v>
      </c>
      <c r="DU236" s="174" t="s">
        <v>397</v>
      </c>
      <c r="DV236" s="173">
        <v>202</v>
      </c>
      <c r="DW236" s="174" t="s">
        <v>121</v>
      </c>
      <c r="DX236" s="173">
        <v>269</v>
      </c>
      <c r="DY236" s="173"/>
      <c r="DZ236" s="173"/>
      <c r="EA236" s="665"/>
      <c r="EB236" s="1254" t="s">
        <v>3246</v>
      </c>
      <c r="EC236" s="537">
        <v>929000000</v>
      </c>
      <c r="EE236" s="734">
        <v>1200</v>
      </c>
      <c r="EF236" s="706"/>
    </row>
    <row r="237" spans="4:136" s="302" customFormat="1" ht="51" hidden="1">
      <c r="D237" s="520">
        <v>234</v>
      </c>
      <c r="E237" s="534">
        <v>282</v>
      </c>
      <c r="F237" s="523" t="s">
        <v>43</v>
      </c>
      <c r="G237" s="479" t="s">
        <v>10</v>
      </c>
      <c r="H237" s="526" t="s">
        <v>2659</v>
      </c>
      <c r="I237" s="462" t="s">
        <v>623</v>
      </c>
      <c r="J237" s="335" t="s">
        <v>629</v>
      </c>
      <c r="K237" s="335" t="s">
        <v>630</v>
      </c>
      <c r="L237" s="453" t="s">
        <v>1947</v>
      </c>
      <c r="M237" s="334" t="s">
        <v>1785</v>
      </c>
      <c r="N237" s="334">
        <v>1</v>
      </c>
      <c r="O237" s="333">
        <f t="shared" si="218"/>
        <v>100</v>
      </c>
      <c r="P237" s="332">
        <v>100</v>
      </c>
      <c r="Q237" s="390">
        <v>0.16500000000000001</v>
      </c>
      <c r="R237" s="342">
        <f t="shared" si="190"/>
        <v>4.1250000000000002E-2</v>
      </c>
      <c r="S237" s="389">
        <v>100</v>
      </c>
      <c r="T237" s="387">
        <f t="shared" si="174"/>
        <v>0.25</v>
      </c>
      <c r="U237" s="670">
        <v>100</v>
      </c>
      <c r="V237" s="388">
        <f t="shared" si="175"/>
        <v>25</v>
      </c>
      <c r="W237" s="356">
        <f t="shared" si="176"/>
        <v>100</v>
      </c>
      <c r="X237" s="356">
        <f t="shared" si="191"/>
        <v>100</v>
      </c>
      <c r="Y237" s="356">
        <f t="shared" si="215"/>
        <v>4.1250000000000002E-2</v>
      </c>
      <c r="Z237" s="356">
        <f t="shared" si="192"/>
        <v>100</v>
      </c>
      <c r="AA237" s="355">
        <v>41000000</v>
      </c>
      <c r="AB237" s="355">
        <v>41000000</v>
      </c>
      <c r="AC237" s="355">
        <v>0</v>
      </c>
      <c r="AD237" s="355">
        <v>0</v>
      </c>
      <c r="AE237" s="355">
        <v>0</v>
      </c>
      <c r="AF237" s="355">
        <v>0</v>
      </c>
      <c r="AG237" s="355">
        <v>0</v>
      </c>
      <c r="AH237" s="355">
        <v>0</v>
      </c>
      <c r="AI237" s="355">
        <v>43000000</v>
      </c>
      <c r="AJ237" s="355">
        <v>0</v>
      </c>
      <c r="AK237" s="355">
        <v>0</v>
      </c>
      <c r="AL237" s="355">
        <v>0</v>
      </c>
      <c r="AM237" s="355">
        <v>0</v>
      </c>
      <c r="AN237" s="355">
        <v>0</v>
      </c>
      <c r="AO237" s="355">
        <v>0</v>
      </c>
      <c r="AP237" s="355">
        <v>43000000</v>
      </c>
      <c r="AQ237" s="355">
        <v>0</v>
      </c>
      <c r="AR237" s="355">
        <v>0</v>
      </c>
      <c r="AS237" s="355">
        <v>0</v>
      </c>
      <c r="AT237" s="333">
        <f t="shared" si="193"/>
        <v>4.1250000000000002E-2</v>
      </c>
      <c r="AU237" s="334">
        <v>100</v>
      </c>
      <c r="AV237" s="387">
        <f t="shared" si="177"/>
        <v>0.25</v>
      </c>
      <c r="AW237" s="677">
        <v>100</v>
      </c>
      <c r="AX237" s="366">
        <f t="shared" si="178"/>
        <v>25</v>
      </c>
      <c r="AY237" s="366">
        <f t="shared" si="179"/>
        <v>100</v>
      </c>
      <c r="AZ237" s="366">
        <f t="shared" si="194"/>
        <v>100</v>
      </c>
      <c r="BA237" s="354">
        <f t="shared" si="195"/>
        <v>4.1250000000000002E-2</v>
      </c>
      <c r="BB237" s="354">
        <f t="shared" si="196"/>
        <v>100</v>
      </c>
      <c r="BC237" s="353">
        <v>0</v>
      </c>
      <c r="BD237" s="353">
        <v>0</v>
      </c>
      <c r="BE237" s="353">
        <v>0</v>
      </c>
      <c r="BF237" s="353">
        <v>0</v>
      </c>
      <c r="BG237" s="353">
        <v>0</v>
      </c>
      <c r="BH237" s="353">
        <v>0</v>
      </c>
      <c r="BI237" s="353">
        <v>0</v>
      </c>
      <c r="BJ237" s="353">
        <v>0</v>
      </c>
      <c r="BK237" s="452">
        <v>1000000</v>
      </c>
      <c r="BL237" s="351">
        <v>0</v>
      </c>
      <c r="BM237" s="351">
        <v>1000000</v>
      </c>
      <c r="BN237" s="351">
        <v>0</v>
      </c>
      <c r="BO237" s="351">
        <v>0</v>
      </c>
      <c r="BP237" s="351">
        <v>0</v>
      </c>
      <c r="BQ237" s="351">
        <v>0</v>
      </c>
      <c r="BR237" s="351">
        <v>0</v>
      </c>
      <c r="BS237" s="351">
        <v>0</v>
      </c>
      <c r="BT237" s="351">
        <v>0</v>
      </c>
      <c r="BU237" s="351">
        <v>0</v>
      </c>
      <c r="BV237" s="350">
        <f t="shared" si="197"/>
        <v>4.1250000000000002E-2</v>
      </c>
      <c r="BW237" s="350">
        <v>100</v>
      </c>
      <c r="BX237" s="385">
        <f t="shared" si="180"/>
        <v>0.25</v>
      </c>
      <c r="BY237" s="369">
        <v>100</v>
      </c>
      <c r="BZ237" s="391">
        <v>100</v>
      </c>
      <c r="CA237" s="689">
        <v>100</v>
      </c>
      <c r="CB237" s="324">
        <f t="shared" si="181"/>
        <v>25</v>
      </c>
      <c r="CC237" s="324">
        <f t="shared" si="182"/>
        <v>100</v>
      </c>
      <c r="CD237" s="384">
        <f t="shared" si="198"/>
        <v>100</v>
      </c>
      <c r="CE237" s="383">
        <f t="shared" si="199"/>
        <v>4.1250000000000002E-2</v>
      </c>
      <c r="CF237" s="367">
        <f t="shared" si="200"/>
        <v>100</v>
      </c>
      <c r="CG237" s="383">
        <f t="shared" si="201"/>
        <v>4.1250000000000002E-2</v>
      </c>
      <c r="CH237" s="320">
        <f t="shared" si="202"/>
        <v>4.1250000000000002E-2</v>
      </c>
      <c r="CI237" s="319">
        <v>100</v>
      </c>
      <c r="CJ237" s="318">
        <f t="shared" si="183"/>
        <v>0.25</v>
      </c>
      <c r="CK237" s="1259">
        <v>100</v>
      </c>
      <c r="CL237" s="301">
        <f t="shared" si="184"/>
        <v>0</v>
      </c>
      <c r="CM237" s="381">
        <f t="shared" si="185"/>
        <v>25</v>
      </c>
      <c r="CN237" s="381">
        <f t="shared" si="186"/>
        <v>100</v>
      </c>
      <c r="CO237" s="381">
        <f t="shared" si="203"/>
        <v>100</v>
      </c>
      <c r="CP237" s="381">
        <f t="shared" si="204"/>
        <v>4.1250000000000002E-2</v>
      </c>
      <c r="CQ237" s="381">
        <f t="shared" si="205"/>
        <v>4.1250000000000002E-2</v>
      </c>
      <c r="CR237" s="313">
        <v>0</v>
      </c>
      <c r="CS237" s="313">
        <v>0</v>
      </c>
      <c r="CT237" s="313">
        <v>0</v>
      </c>
      <c r="CU237" s="313">
        <v>0</v>
      </c>
      <c r="CV237" s="313">
        <v>0</v>
      </c>
      <c r="CW237" s="313">
        <v>0</v>
      </c>
      <c r="CX237" s="313">
        <v>0</v>
      </c>
      <c r="CY237" s="313">
        <v>0</v>
      </c>
      <c r="CZ237" s="380">
        <v>0</v>
      </c>
      <c r="DA237" s="380">
        <v>0</v>
      </c>
      <c r="DB237" s="380">
        <v>0</v>
      </c>
      <c r="DC237" s="380">
        <v>0</v>
      </c>
      <c r="DD237" s="380">
        <v>0</v>
      </c>
      <c r="DE237" s="380">
        <v>0</v>
      </c>
      <c r="DF237" s="380">
        <v>0</v>
      </c>
      <c r="DG237" s="380">
        <v>0</v>
      </c>
      <c r="DH237" s="380">
        <v>0</v>
      </c>
      <c r="DI237" s="380">
        <v>0</v>
      </c>
      <c r="DJ237" s="380">
        <v>0</v>
      </c>
      <c r="DK237" s="702">
        <f t="shared" si="187"/>
        <v>100</v>
      </c>
      <c r="DL237" s="311">
        <f t="shared" si="206"/>
        <v>0.16500000000000001</v>
      </c>
      <c r="DM237" s="310">
        <f t="shared" si="207"/>
        <v>100</v>
      </c>
      <c r="DN237" s="356">
        <f t="shared" si="208"/>
        <v>100</v>
      </c>
      <c r="DO237" s="308">
        <f t="shared" si="209"/>
        <v>0.16500000000000001</v>
      </c>
      <c r="DP237" s="359">
        <f t="shared" si="219"/>
        <v>0.16500000000000001</v>
      </c>
      <c r="DQ237" s="306">
        <f t="shared" si="210"/>
        <v>0.16500000000000001</v>
      </c>
      <c r="DR237" s="379">
        <f t="shared" si="211"/>
        <v>1</v>
      </c>
      <c r="DS237" s="378">
        <f t="shared" si="212"/>
        <v>0</v>
      </c>
      <c r="DT237" s="173">
        <v>269</v>
      </c>
      <c r="DU237" s="174" t="s">
        <v>117</v>
      </c>
      <c r="DV237" s="173"/>
      <c r="DW237" s="174" t="s">
        <v>84</v>
      </c>
      <c r="DX237" s="173"/>
      <c r="DY237" s="173"/>
      <c r="DZ237" s="173"/>
      <c r="EA237" s="665"/>
      <c r="EB237" s="1254" t="s">
        <v>2263</v>
      </c>
      <c r="EC237" s="537">
        <v>4712000000</v>
      </c>
      <c r="EE237" s="739">
        <v>10</v>
      </c>
      <c r="EF237" s="706"/>
    </row>
    <row r="238" spans="4:136" s="302" customFormat="1" ht="84" hidden="1">
      <c r="D238" s="520">
        <v>235</v>
      </c>
      <c r="E238" s="534">
        <v>283</v>
      </c>
      <c r="F238" s="523" t="s">
        <v>43</v>
      </c>
      <c r="G238" s="479" t="s">
        <v>7</v>
      </c>
      <c r="H238" s="526" t="s">
        <v>2659</v>
      </c>
      <c r="I238" s="462" t="s">
        <v>623</v>
      </c>
      <c r="J238" s="335" t="s">
        <v>631</v>
      </c>
      <c r="K238" s="335" t="s">
        <v>632</v>
      </c>
      <c r="L238" s="453" t="s">
        <v>1947</v>
      </c>
      <c r="M238" s="334" t="s">
        <v>1785</v>
      </c>
      <c r="N238" s="334">
        <v>100</v>
      </c>
      <c r="O238" s="333">
        <f t="shared" si="218"/>
        <v>100</v>
      </c>
      <c r="P238" s="332">
        <v>100</v>
      </c>
      <c r="Q238" s="390">
        <v>0.16500000000000001</v>
      </c>
      <c r="R238" s="342">
        <f t="shared" si="190"/>
        <v>4.1250000000000002E-2</v>
      </c>
      <c r="S238" s="389">
        <v>100</v>
      </c>
      <c r="T238" s="387">
        <f t="shared" si="174"/>
        <v>0.25</v>
      </c>
      <c r="U238" s="670">
        <v>100</v>
      </c>
      <c r="V238" s="388">
        <f t="shared" si="175"/>
        <v>25</v>
      </c>
      <c r="W238" s="356">
        <f t="shared" si="176"/>
        <v>100</v>
      </c>
      <c r="X238" s="356">
        <f t="shared" si="191"/>
        <v>100</v>
      </c>
      <c r="Y238" s="356">
        <f t="shared" si="215"/>
        <v>4.1250000000000002E-2</v>
      </c>
      <c r="Z238" s="356">
        <f t="shared" si="192"/>
        <v>100</v>
      </c>
      <c r="AA238" s="355">
        <v>50000000</v>
      </c>
      <c r="AB238" s="355">
        <v>0</v>
      </c>
      <c r="AC238" s="355">
        <v>50000000</v>
      </c>
      <c r="AD238" s="355">
        <v>0</v>
      </c>
      <c r="AE238" s="355">
        <v>0</v>
      </c>
      <c r="AF238" s="355">
        <v>0</v>
      </c>
      <c r="AG238" s="355">
        <v>0</v>
      </c>
      <c r="AH238" s="355">
        <v>0</v>
      </c>
      <c r="AI238" s="355">
        <v>0</v>
      </c>
      <c r="AJ238" s="355">
        <v>0</v>
      </c>
      <c r="AK238" s="355">
        <v>0</v>
      </c>
      <c r="AL238" s="355">
        <v>0</v>
      </c>
      <c r="AM238" s="355">
        <v>0</v>
      </c>
      <c r="AN238" s="355">
        <v>0</v>
      </c>
      <c r="AO238" s="355">
        <v>0</v>
      </c>
      <c r="AP238" s="355">
        <v>0</v>
      </c>
      <c r="AQ238" s="355">
        <v>0</v>
      </c>
      <c r="AR238" s="355">
        <v>0</v>
      </c>
      <c r="AS238" s="355">
        <v>0</v>
      </c>
      <c r="AT238" s="333">
        <f t="shared" si="193"/>
        <v>4.1250000000000002E-2</v>
      </c>
      <c r="AU238" s="334">
        <v>100</v>
      </c>
      <c r="AV238" s="387">
        <f t="shared" si="177"/>
        <v>0.25</v>
      </c>
      <c r="AW238" s="677">
        <v>100</v>
      </c>
      <c r="AX238" s="366">
        <f t="shared" si="178"/>
        <v>25</v>
      </c>
      <c r="AY238" s="366">
        <f t="shared" si="179"/>
        <v>100</v>
      </c>
      <c r="AZ238" s="366">
        <f t="shared" si="194"/>
        <v>100</v>
      </c>
      <c r="BA238" s="354">
        <f t="shared" si="195"/>
        <v>4.1250000000000002E-2</v>
      </c>
      <c r="BB238" s="354">
        <f t="shared" si="196"/>
        <v>100</v>
      </c>
      <c r="BC238" s="353">
        <v>26000000</v>
      </c>
      <c r="BD238" s="353">
        <v>0</v>
      </c>
      <c r="BE238" s="353">
        <v>26000000</v>
      </c>
      <c r="BF238" s="353">
        <v>0</v>
      </c>
      <c r="BG238" s="353">
        <v>0</v>
      </c>
      <c r="BH238" s="353">
        <v>0</v>
      </c>
      <c r="BI238" s="353">
        <v>0</v>
      </c>
      <c r="BJ238" s="353">
        <v>0</v>
      </c>
      <c r="BK238" s="452">
        <v>0</v>
      </c>
      <c r="BL238" s="351">
        <v>0</v>
      </c>
      <c r="BM238" s="351">
        <v>0</v>
      </c>
      <c r="BN238" s="351">
        <v>0</v>
      </c>
      <c r="BO238" s="351">
        <v>0</v>
      </c>
      <c r="BP238" s="351">
        <v>0</v>
      </c>
      <c r="BQ238" s="351">
        <v>0</v>
      </c>
      <c r="BR238" s="351">
        <v>0</v>
      </c>
      <c r="BS238" s="351">
        <v>0</v>
      </c>
      <c r="BT238" s="351">
        <v>0</v>
      </c>
      <c r="BU238" s="351">
        <v>0</v>
      </c>
      <c r="BV238" s="350">
        <f t="shared" si="197"/>
        <v>4.1250000000000002E-2</v>
      </c>
      <c r="BW238" s="350">
        <v>100</v>
      </c>
      <c r="BX238" s="385">
        <f t="shared" si="180"/>
        <v>0.25</v>
      </c>
      <c r="BY238" s="399">
        <v>99</v>
      </c>
      <c r="BZ238" s="398">
        <v>99</v>
      </c>
      <c r="CA238" s="690">
        <v>100</v>
      </c>
      <c r="CB238" s="324">
        <f t="shared" si="181"/>
        <v>25</v>
      </c>
      <c r="CC238" s="324">
        <f t="shared" si="182"/>
        <v>100</v>
      </c>
      <c r="CD238" s="384">
        <f t="shared" si="198"/>
        <v>100</v>
      </c>
      <c r="CE238" s="383">
        <f t="shared" si="199"/>
        <v>4.1250000000000002E-2</v>
      </c>
      <c r="CF238" s="367">
        <f t="shared" si="200"/>
        <v>100</v>
      </c>
      <c r="CG238" s="383">
        <f t="shared" si="201"/>
        <v>4.1250000000000002E-2</v>
      </c>
      <c r="CH238" s="320">
        <f t="shared" si="202"/>
        <v>4.1250000000000002E-2</v>
      </c>
      <c r="CI238" s="319">
        <v>100</v>
      </c>
      <c r="CJ238" s="318">
        <f t="shared" si="183"/>
        <v>0.25</v>
      </c>
      <c r="CK238" s="1260">
        <v>100</v>
      </c>
      <c r="CL238" s="301">
        <f t="shared" si="184"/>
        <v>0</v>
      </c>
      <c r="CM238" s="381">
        <f t="shared" si="185"/>
        <v>25</v>
      </c>
      <c r="CN238" s="381">
        <f t="shared" si="186"/>
        <v>100</v>
      </c>
      <c r="CO238" s="381">
        <f t="shared" si="203"/>
        <v>100</v>
      </c>
      <c r="CP238" s="381">
        <f t="shared" si="204"/>
        <v>4.1250000000000002E-2</v>
      </c>
      <c r="CQ238" s="381">
        <f t="shared" si="205"/>
        <v>4.1250000000000002E-2</v>
      </c>
      <c r="CR238" s="313">
        <v>60000000</v>
      </c>
      <c r="CS238" s="313">
        <v>60000000</v>
      </c>
      <c r="CT238" s="313">
        <v>0</v>
      </c>
      <c r="CU238" s="313">
        <v>0</v>
      </c>
      <c r="CV238" s="313">
        <v>0</v>
      </c>
      <c r="CW238" s="313">
        <v>0</v>
      </c>
      <c r="CX238" s="313">
        <v>0</v>
      </c>
      <c r="CY238" s="313">
        <v>0</v>
      </c>
      <c r="CZ238" s="380">
        <v>0</v>
      </c>
      <c r="DA238" s="380">
        <v>0</v>
      </c>
      <c r="DB238" s="380">
        <v>0</v>
      </c>
      <c r="DC238" s="380">
        <v>0</v>
      </c>
      <c r="DD238" s="380">
        <v>0</v>
      </c>
      <c r="DE238" s="380">
        <v>0</v>
      </c>
      <c r="DF238" s="380">
        <v>0</v>
      </c>
      <c r="DG238" s="380">
        <v>0</v>
      </c>
      <c r="DH238" s="380">
        <v>0</v>
      </c>
      <c r="DI238" s="380">
        <v>0</v>
      </c>
      <c r="DJ238" s="380">
        <v>0</v>
      </c>
      <c r="DK238" s="702">
        <f t="shared" si="187"/>
        <v>100</v>
      </c>
      <c r="DL238" s="311">
        <f t="shared" si="206"/>
        <v>0.16500000000000001</v>
      </c>
      <c r="DM238" s="310">
        <f t="shared" si="207"/>
        <v>100</v>
      </c>
      <c r="DN238" s="356">
        <f t="shared" si="208"/>
        <v>100</v>
      </c>
      <c r="DO238" s="308">
        <f t="shared" si="209"/>
        <v>0.16500000000000001</v>
      </c>
      <c r="DP238" s="359">
        <f t="shared" si="219"/>
        <v>0.16500000000000001</v>
      </c>
      <c r="DQ238" s="306">
        <f t="shared" si="210"/>
        <v>0.16500000000000001</v>
      </c>
      <c r="DR238" s="379">
        <f t="shared" si="211"/>
        <v>1</v>
      </c>
      <c r="DS238" s="378">
        <f t="shared" si="212"/>
        <v>0</v>
      </c>
      <c r="DT238" s="173">
        <v>7</v>
      </c>
      <c r="DU238" s="174" t="s">
        <v>142</v>
      </c>
      <c r="DV238" s="173">
        <v>8</v>
      </c>
      <c r="DW238" s="174" t="s">
        <v>141</v>
      </c>
      <c r="DX238" s="173">
        <v>179</v>
      </c>
      <c r="DY238" s="173">
        <v>269</v>
      </c>
      <c r="DZ238" s="173"/>
      <c r="EA238" s="665"/>
      <c r="EB238" s="1254" t="s">
        <v>3247</v>
      </c>
      <c r="EC238" s="537">
        <v>247000000</v>
      </c>
      <c r="EE238" s="734">
        <v>0</v>
      </c>
      <c r="EF238" s="706"/>
    </row>
    <row r="239" spans="4:136" s="302" customFormat="1" ht="84" hidden="1">
      <c r="D239" s="520">
        <v>236</v>
      </c>
      <c r="E239" s="534">
        <v>284</v>
      </c>
      <c r="F239" s="523" t="s">
        <v>43</v>
      </c>
      <c r="G239" s="479" t="s">
        <v>7</v>
      </c>
      <c r="H239" s="526" t="s">
        <v>2659</v>
      </c>
      <c r="I239" s="462" t="s">
        <v>623</v>
      </c>
      <c r="J239" s="335" t="s">
        <v>633</v>
      </c>
      <c r="K239" s="335" t="s">
        <v>634</v>
      </c>
      <c r="L239" s="453" t="s">
        <v>1947</v>
      </c>
      <c r="M239" s="334" t="s">
        <v>1785</v>
      </c>
      <c r="N239" s="334">
        <v>100</v>
      </c>
      <c r="O239" s="333">
        <f t="shared" si="218"/>
        <v>100</v>
      </c>
      <c r="P239" s="332">
        <v>100</v>
      </c>
      <c r="Q239" s="390">
        <v>0.16500000000000001</v>
      </c>
      <c r="R239" s="342">
        <f t="shared" si="190"/>
        <v>4.1250000000000002E-2</v>
      </c>
      <c r="S239" s="389">
        <v>100</v>
      </c>
      <c r="T239" s="387">
        <f t="shared" si="174"/>
        <v>0.25</v>
      </c>
      <c r="U239" s="670">
        <v>100</v>
      </c>
      <c r="V239" s="388">
        <f t="shared" si="175"/>
        <v>25</v>
      </c>
      <c r="W239" s="356">
        <f t="shared" si="176"/>
        <v>100</v>
      </c>
      <c r="X239" s="356">
        <f t="shared" si="191"/>
        <v>100</v>
      </c>
      <c r="Y239" s="356">
        <f t="shared" si="215"/>
        <v>4.1250000000000002E-2</v>
      </c>
      <c r="Z239" s="356">
        <f t="shared" si="192"/>
        <v>100</v>
      </c>
      <c r="AA239" s="355">
        <v>0</v>
      </c>
      <c r="AB239" s="355">
        <v>0</v>
      </c>
      <c r="AC239" s="355">
        <v>0</v>
      </c>
      <c r="AD239" s="355">
        <v>0</v>
      </c>
      <c r="AE239" s="355">
        <v>0</v>
      </c>
      <c r="AF239" s="355">
        <v>0</v>
      </c>
      <c r="AG239" s="355">
        <v>0</v>
      </c>
      <c r="AH239" s="355">
        <v>0</v>
      </c>
      <c r="AI239" s="355">
        <v>0</v>
      </c>
      <c r="AJ239" s="355">
        <v>0</v>
      </c>
      <c r="AK239" s="355">
        <v>0</v>
      </c>
      <c r="AL239" s="355">
        <v>0</v>
      </c>
      <c r="AM239" s="355">
        <v>0</v>
      </c>
      <c r="AN239" s="355">
        <v>0</v>
      </c>
      <c r="AO239" s="355">
        <v>0</v>
      </c>
      <c r="AP239" s="355">
        <v>0</v>
      </c>
      <c r="AQ239" s="355">
        <v>0</v>
      </c>
      <c r="AR239" s="355">
        <v>0</v>
      </c>
      <c r="AS239" s="355">
        <v>0</v>
      </c>
      <c r="AT239" s="333">
        <f t="shared" si="193"/>
        <v>4.1250000000000002E-2</v>
      </c>
      <c r="AU239" s="334">
        <v>100</v>
      </c>
      <c r="AV239" s="387">
        <f t="shared" si="177"/>
        <v>0.25</v>
      </c>
      <c r="AW239" s="677">
        <v>100</v>
      </c>
      <c r="AX239" s="366">
        <f t="shared" si="178"/>
        <v>25</v>
      </c>
      <c r="AY239" s="366">
        <f t="shared" si="179"/>
        <v>100</v>
      </c>
      <c r="AZ239" s="366">
        <f t="shared" si="194"/>
        <v>100</v>
      </c>
      <c r="BA239" s="354">
        <f t="shared" si="195"/>
        <v>4.1250000000000002E-2</v>
      </c>
      <c r="BB239" s="354">
        <f t="shared" si="196"/>
        <v>100</v>
      </c>
      <c r="BC239" s="353">
        <v>26000000</v>
      </c>
      <c r="BD239" s="353">
        <v>0</v>
      </c>
      <c r="BE239" s="353">
        <v>26000000</v>
      </c>
      <c r="BF239" s="353">
        <v>0</v>
      </c>
      <c r="BG239" s="353">
        <v>0</v>
      </c>
      <c r="BH239" s="353">
        <v>0</v>
      </c>
      <c r="BI239" s="353">
        <v>0</v>
      </c>
      <c r="BJ239" s="353">
        <v>0</v>
      </c>
      <c r="BK239" s="452">
        <v>0</v>
      </c>
      <c r="BL239" s="351">
        <v>0</v>
      </c>
      <c r="BM239" s="351">
        <v>0</v>
      </c>
      <c r="BN239" s="351">
        <v>0</v>
      </c>
      <c r="BO239" s="351">
        <v>0</v>
      </c>
      <c r="BP239" s="351">
        <v>0</v>
      </c>
      <c r="BQ239" s="351">
        <v>0</v>
      </c>
      <c r="BR239" s="351">
        <v>0</v>
      </c>
      <c r="BS239" s="351">
        <v>0</v>
      </c>
      <c r="BT239" s="351">
        <v>0</v>
      </c>
      <c r="BU239" s="351">
        <v>0</v>
      </c>
      <c r="BV239" s="350">
        <f t="shared" si="197"/>
        <v>4.1250000000000002E-2</v>
      </c>
      <c r="BW239" s="350">
        <v>100</v>
      </c>
      <c r="BX239" s="385">
        <f t="shared" si="180"/>
        <v>0.25</v>
      </c>
      <c r="BY239" s="399">
        <v>100</v>
      </c>
      <c r="BZ239" s="398">
        <v>100</v>
      </c>
      <c r="CA239" s="690">
        <v>100</v>
      </c>
      <c r="CB239" s="324">
        <f t="shared" si="181"/>
        <v>25</v>
      </c>
      <c r="CC239" s="324">
        <f t="shared" si="182"/>
        <v>100</v>
      </c>
      <c r="CD239" s="384">
        <f t="shared" si="198"/>
        <v>100</v>
      </c>
      <c r="CE239" s="383">
        <f t="shared" si="199"/>
        <v>4.1250000000000002E-2</v>
      </c>
      <c r="CF239" s="367">
        <f t="shared" si="200"/>
        <v>100</v>
      </c>
      <c r="CG239" s="383">
        <f t="shared" si="201"/>
        <v>4.1250000000000002E-2</v>
      </c>
      <c r="CH239" s="320">
        <f t="shared" si="202"/>
        <v>4.1250000000000002E-2</v>
      </c>
      <c r="CI239" s="319">
        <v>100</v>
      </c>
      <c r="CJ239" s="318">
        <f t="shared" si="183"/>
        <v>0.25</v>
      </c>
      <c r="CK239" s="1260">
        <v>100</v>
      </c>
      <c r="CL239" s="301">
        <f t="shared" si="184"/>
        <v>0</v>
      </c>
      <c r="CM239" s="381">
        <f t="shared" si="185"/>
        <v>25</v>
      </c>
      <c r="CN239" s="381">
        <f t="shared" si="186"/>
        <v>100</v>
      </c>
      <c r="CO239" s="381">
        <f t="shared" si="203"/>
        <v>100</v>
      </c>
      <c r="CP239" s="381">
        <f t="shared" si="204"/>
        <v>4.1250000000000002E-2</v>
      </c>
      <c r="CQ239" s="381">
        <f t="shared" si="205"/>
        <v>4.1250000000000002E-2</v>
      </c>
      <c r="CR239" s="313">
        <v>60000000</v>
      </c>
      <c r="CS239" s="313">
        <v>60000000</v>
      </c>
      <c r="CT239" s="313">
        <v>0</v>
      </c>
      <c r="CU239" s="313">
        <v>0</v>
      </c>
      <c r="CV239" s="313">
        <v>0</v>
      </c>
      <c r="CW239" s="313">
        <v>0</v>
      </c>
      <c r="CX239" s="313">
        <v>0</v>
      </c>
      <c r="CY239" s="313">
        <v>0</v>
      </c>
      <c r="CZ239" s="380">
        <v>0</v>
      </c>
      <c r="DA239" s="380">
        <v>0</v>
      </c>
      <c r="DB239" s="380">
        <v>0</v>
      </c>
      <c r="DC239" s="380">
        <v>0</v>
      </c>
      <c r="DD239" s="380">
        <v>0</v>
      </c>
      <c r="DE239" s="380">
        <v>0</v>
      </c>
      <c r="DF239" s="380">
        <v>0</v>
      </c>
      <c r="DG239" s="380">
        <v>0</v>
      </c>
      <c r="DH239" s="380">
        <v>0</v>
      </c>
      <c r="DI239" s="380">
        <v>0</v>
      </c>
      <c r="DJ239" s="380">
        <v>0</v>
      </c>
      <c r="DK239" s="702">
        <f t="shared" si="187"/>
        <v>100</v>
      </c>
      <c r="DL239" s="311">
        <f t="shared" si="206"/>
        <v>0.16500000000000001</v>
      </c>
      <c r="DM239" s="310">
        <f t="shared" si="207"/>
        <v>100</v>
      </c>
      <c r="DN239" s="356">
        <f t="shared" si="208"/>
        <v>100</v>
      </c>
      <c r="DO239" s="308">
        <f t="shared" si="209"/>
        <v>0.16500000000000001</v>
      </c>
      <c r="DP239" s="359">
        <f t="shared" si="219"/>
        <v>0.16500000000000001</v>
      </c>
      <c r="DQ239" s="306">
        <f t="shared" si="210"/>
        <v>0.16500000000000001</v>
      </c>
      <c r="DR239" s="379">
        <f t="shared" si="211"/>
        <v>1</v>
      </c>
      <c r="DS239" s="378">
        <f t="shared" si="212"/>
        <v>0</v>
      </c>
      <c r="DT239" s="173">
        <v>7</v>
      </c>
      <c r="DU239" s="174" t="s">
        <v>142</v>
      </c>
      <c r="DV239" s="173">
        <v>8</v>
      </c>
      <c r="DW239" s="174" t="s">
        <v>141</v>
      </c>
      <c r="DX239" s="173">
        <v>269</v>
      </c>
      <c r="DY239" s="173"/>
      <c r="DZ239" s="173"/>
      <c r="EA239" s="665"/>
      <c r="EB239" s="1254" t="s">
        <v>3248</v>
      </c>
      <c r="EC239" s="537">
        <v>210000000</v>
      </c>
      <c r="EE239" s="734">
        <v>3</v>
      </c>
      <c r="EF239" s="706"/>
    </row>
    <row r="240" spans="4:136" s="302" customFormat="1" ht="76.5" hidden="1">
      <c r="D240" s="520">
        <v>237</v>
      </c>
      <c r="E240" s="534">
        <v>285</v>
      </c>
      <c r="F240" s="336" t="s">
        <v>43</v>
      </c>
      <c r="G240" s="336" t="s">
        <v>7</v>
      </c>
      <c r="H240" s="336" t="s">
        <v>2659</v>
      </c>
      <c r="I240" s="336" t="s">
        <v>623</v>
      </c>
      <c r="J240" s="335" t="s">
        <v>1278</v>
      </c>
      <c r="K240" s="335" t="s">
        <v>635</v>
      </c>
      <c r="L240" s="453" t="s">
        <v>1953</v>
      </c>
      <c r="M240" s="334" t="s">
        <v>1785</v>
      </c>
      <c r="N240" s="334">
        <v>0</v>
      </c>
      <c r="O240" s="333">
        <f t="shared" si="218"/>
        <v>50</v>
      </c>
      <c r="P240" s="332">
        <v>50</v>
      </c>
      <c r="Q240" s="393">
        <v>0.16500000000000001</v>
      </c>
      <c r="R240" s="342">
        <f t="shared" si="190"/>
        <v>4.1250000000000002E-2</v>
      </c>
      <c r="S240" s="389">
        <v>100</v>
      </c>
      <c r="T240" s="387">
        <f t="shared" si="174"/>
        <v>0.25</v>
      </c>
      <c r="U240" s="670">
        <v>100</v>
      </c>
      <c r="V240" s="388">
        <f t="shared" si="175"/>
        <v>25</v>
      </c>
      <c r="W240" s="356">
        <f t="shared" si="176"/>
        <v>100</v>
      </c>
      <c r="X240" s="356">
        <f t="shared" si="191"/>
        <v>100</v>
      </c>
      <c r="Y240" s="356">
        <f t="shared" si="215"/>
        <v>4.1250000000000002E-2</v>
      </c>
      <c r="Z240" s="356">
        <f t="shared" si="192"/>
        <v>100</v>
      </c>
      <c r="AA240" s="355">
        <v>0</v>
      </c>
      <c r="AB240" s="355">
        <v>0</v>
      </c>
      <c r="AC240" s="355">
        <v>0</v>
      </c>
      <c r="AD240" s="355">
        <v>0</v>
      </c>
      <c r="AE240" s="355">
        <v>0</v>
      </c>
      <c r="AF240" s="355">
        <v>0</v>
      </c>
      <c r="AG240" s="355">
        <v>0</v>
      </c>
      <c r="AH240" s="355">
        <v>0</v>
      </c>
      <c r="AI240" s="355">
        <v>0</v>
      </c>
      <c r="AJ240" s="355">
        <v>0</v>
      </c>
      <c r="AK240" s="355">
        <v>0</v>
      </c>
      <c r="AL240" s="355">
        <v>0</v>
      </c>
      <c r="AM240" s="355">
        <v>0</v>
      </c>
      <c r="AN240" s="355">
        <v>0</v>
      </c>
      <c r="AO240" s="355">
        <v>0</v>
      </c>
      <c r="AP240" s="355">
        <v>0</v>
      </c>
      <c r="AQ240" s="355">
        <v>0</v>
      </c>
      <c r="AR240" s="355">
        <v>0</v>
      </c>
      <c r="AS240" s="355">
        <v>0</v>
      </c>
      <c r="AT240" s="392">
        <f t="shared" si="193"/>
        <v>4.1250000000000002E-2</v>
      </c>
      <c r="AU240" s="334">
        <v>100</v>
      </c>
      <c r="AV240" s="387">
        <f t="shared" si="177"/>
        <v>0.25</v>
      </c>
      <c r="AW240" s="677">
        <v>100</v>
      </c>
      <c r="AX240" s="366">
        <f t="shared" si="178"/>
        <v>25</v>
      </c>
      <c r="AY240" s="366">
        <f t="shared" si="179"/>
        <v>100</v>
      </c>
      <c r="AZ240" s="366">
        <f t="shared" si="194"/>
        <v>100</v>
      </c>
      <c r="BA240" s="354">
        <f t="shared" si="195"/>
        <v>4.1250000000000002E-2</v>
      </c>
      <c r="BB240" s="354">
        <f t="shared" si="196"/>
        <v>100</v>
      </c>
      <c r="BC240" s="353">
        <v>15500000</v>
      </c>
      <c r="BD240" s="353">
        <v>0</v>
      </c>
      <c r="BE240" s="353">
        <v>13000000</v>
      </c>
      <c r="BF240" s="353">
        <v>0</v>
      </c>
      <c r="BG240" s="353">
        <v>0</v>
      </c>
      <c r="BH240" s="353">
        <v>0</v>
      </c>
      <c r="BI240" s="353">
        <v>0</v>
      </c>
      <c r="BJ240" s="353">
        <v>2500000</v>
      </c>
      <c r="BK240" s="452">
        <v>0</v>
      </c>
      <c r="BL240" s="351">
        <v>0</v>
      </c>
      <c r="BM240" s="351">
        <v>0</v>
      </c>
      <c r="BN240" s="351">
        <v>0</v>
      </c>
      <c r="BO240" s="351">
        <v>0</v>
      </c>
      <c r="BP240" s="351">
        <v>0</v>
      </c>
      <c r="BQ240" s="351">
        <v>0</v>
      </c>
      <c r="BR240" s="351">
        <v>0</v>
      </c>
      <c r="BS240" s="351">
        <v>0</v>
      </c>
      <c r="BT240" s="351">
        <v>0</v>
      </c>
      <c r="BU240" s="351">
        <v>0</v>
      </c>
      <c r="BV240" s="350">
        <f t="shared" si="197"/>
        <v>4.1250000000000002E-2</v>
      </c>
      <c r="BW240" s="350">
        <v>100</v>
      </c>
      <c r="BX240" s="385">
        <f t="shared" si="180"/>
        <v>0.25</v>
      </c>
      <c r="BY240" s="399">
        <v>50</v>
      </c>
      <c r="BZ240" s="398">
        <v>60</v>
      </c>
      <c r="CA240" s="690">
        <v>100</v>
      </c>
      <c r="CB240" s="324">
        <f t="shared" si="181"/>
        <v>25</v>
      </c>
      <c r="CC240" s="324">
        <f t="shared" si="182"/>
        <v>100</v>
      </c>
      <c r="CD240" s="384">
        <f t="shared" si="198"/>
        <v>100</v>
      </c>
      <c r="CE240" s="383">
        <f t="shared" si="199"/>
        <v>4.1250000000000002E-2</v>
      </c>
      <c r="CF240" s="367">
        <f t="shared" si="200"/>
        <v>100</v>
      </c>
      <c r="CG240" s="383">
        <f t="shared" si="201"/>
        <v>4.1250000000000002E-2</v>
      </c>
      <c r="CH240" s="320">
        <f t="shared" si="202"/>
        <v>4.1250000000000002E-2</v>
      </c>
      <c r="CI240" s="319">
        <v>100</v>
      </c>
      <c r="CJ240" s="318">
        <f t="shared" si="183"/>
        <v>0.25</v>
      </c>
      <c r="CK240" s="1260">
        <v>100</v>
      </c>
      <c r="CL240" s="301">
        <f t="shared" si="184"/>
        <v>0</v>
      </c>
      <c r="CM240" s="381">
        <f t="shared" si="185"/>
        <v>25</v>
      </c>
      <c r="CN240" s="381">
        <f t="shared" si="186"/>
        <v>100</v>
      </c>
      <c r="CO240" s="381">
        <f t="shared" si="203"/>
        <v>100</v>
      </c>
      <c r="CP240" s="381">
        <f t="shared" si="204"/>
        <v>4.1250000000000002E-2</v>
      </c>
      <c r="CQ240" s="381">
        <f t="shared" si="205"/>
        <v>4.1250000000000002E-2</v>
      </c>
      <c r="CR240" s="313">
        <v>32500000</v>
      </c>
      <c r="CS240" s="313">
        <v>30000000</v>
      </c>
      <c r="CT240" s="313">
        <v>0</v>
      </c>
      <c r="CU240" s="313">
        <v>0</v>
      </c>
      <c r="CV240" s="313">
        <v>0</v>
      </c>
      <c r="CW240" s="313">
        <v>0</v>
      </c>
      <c r="CX240" s="313">
        <v>0</v>
      </c>
      <c r="CY240" s="313">
        <v>2500000</v>
      </c>
      <c r="CZ240" s="380">
        <v>0</v>
      </c>
      <c r="DA240" s="380">
        <v>0</v>
      </c>
      <c r="DB240" s="380">
        <v>0</v>
      </c>
      <c r="DC240" s="380">
        <v>0</v>
      </c>
      <c r="DD240" s="380">
        <v>0</v>
      </c>
      <c r="DE240" s="380">
        <v>0</v>
      </c>
      <c r="DF240" s="380">
        <v>0</v>
      </c>
      <c r="DG240" s="380">
        <v>0</v>
      </c>
      <c r="DH240" s="380">
        <v>0</v>
      </c>
      <c r="DI240" s="380">
        <v>0</v>
      </c>
      <c r="DJ240" s="380">
        <v>0</v>
      </c>
      <c r="DK240" s="702">
        <f t="shared" si="187"/>
        <v>100</v>
      </c>
      <c r="DL240" s="311">
        <f t="shared" si="206"/>
        <v>0.16500000000000001</v>
      </c>
      <c r="DM240" s="310">
        <f t="shared" si="207"/>
        <v>200</v>
      </c>
      <c r="DN240" s="356">
        <f t="shared" si="208"/>
        <v>100</v>
      </c>
      <c r="DO240" s="308">
        <f t="shared" si="209"/>
        <v>0.16500000000000001</v>
      </c>
      <c r="DP240" s="359">
        <f t="shared" si="219"/>
        <v>0.16500000000000001</v>
      </c>
      <c r="DQ240" s="306">
        <f t="shared" si="210"/>
        <v>0.16500000000000001</v>
      </c>
      <c r="DR240" s="379">
        <f t="shared" si="211"/>
        <v>1</v>
      </c>
      <c r="DS240" s="378">
        <f t="shared" si="212"/>
        <v>0</v>
      </c>
      <c r="DT240" s="173">
        <v>269</v>
      </c>
      <c r="DU240" s="174" t="s">
        <v>117</v>
      </c>
      <c r="DV240" s="173"/>
      <c r="DW240" s="174" t="s">
        <v>84</v>
      </c>
      <c r="DX240" s="173"/>
      <c r="DY240" s="173"/>
      <c r="DZ240" s="173"/>
      <c r="EA240" s="665"/>
      <c r="EB240" s="1254" t="s">
        <v>3249</v>
      </c>
      <c r="EC240" s="537">
        <v>799000000</v>
      </c>
      <c r="EE240" s="734">
        <v>4</v>
      </c>
      <c r="EF240" s="706"/>
    </row>
    <row r="241" spans="4:136" s="302" customFormat="1" ht="84" hidden="1">
      <c r="D241" s="520">
        <v>238</v>
      </c>
      <c r="E241" s="534">
        <v>286</v>
      </c>
      <c r="F241" s="523" t="s">
        <v>43</v>
      </c>
      <c r="G241" s="479" t="s">
        <v>10</v>
      </c>
      <c r="H241" s="526" t="s">
        <v>2659</v>
      </c>
      <c r="I241" s="462" t="s">
        <v>623</v>
      </c>
      <c r="J241" s="335" t="s">
        <v>636</v>
      </c>
      <c r="K241" s="335" t="s">
        <v>637</v>
      </c>
      <c r="L241" s="453" t="s">
        <v>1947</v>
      </c>
      <c r="M241" s="334" t="s">
        <v>1785</v>
      </c>
      <c r="N241" s="334">
        <v>100</v>
      </c>
      <c r="O241" s="333">
        <f t="shared" si="218"/>
        <v>100</v>
      </c>
      <c r="P241" s="332">
        <v>100</v>
      </c>
      <c r="Q241" s="390">
        <v>0.16500000000000001</v>
      </c>
      <c r="R241" s="342">
        <f t="shared" si="190"/>
        <v>4.1250000000000002E-2</v>
      </c>
      <c r="S241" s="389">
        <v>100</v>
      </c>
      <c r="T241" s="387">
        <f t="shared" si="174"/>
        <v>0.25</v>
      </c>
      <c r="U241" s="670">
        <v>100</v>
      </c>
      <c r="V241" s="388">
        <f t="shared" si="175"/>
        <v>25</v>
      </c>
      <c r="W241" s="356">
        <f t="shared" si="176"/>
        <v>100</v>
      </c>
      <c r="X241" s="356">
        <f t="shared" si="191"/>
        <v>100</v>
      </c>
      <c r="Y241" s="356">
        <f t="shared" si="215"/>
        <v>4.1250000000000002E-2</v>
      </c>
      <c r="Z241" s="356">
        <f t="shared" si="192"/>
        <v>100</v>
      </c>
      <c r="AA241" s="355">
        <v>6000000</v>
      </c>
      <c r="AB241" s="355">
        <v>6000000</v>
      </c>
      <c r="AC241" s="355">
        <v>0</v>
      </c>
      <c r="AD241" s="355">
        <v>0</v>
      </c>
      <c r="AE241" s="355">
        <v>0</v>
      </c>
      <c r="AF241" s="355">
        <v>0</v>
      </c>
      <c r="AG241" s="355">
        <v>0</v>
      </c>
      <c r="AH241" s="355">
        <v>0</v>
      </c>
      <c r="AI241" s="355">
        <v>0</v>
      </c>
      <c r="AJ241" s="355">
        <v>0</v>
      </c>
      <c r="AK241" s="355">
        <v>0</v>
      </c>
      <c r="AL241" s="355">
        <v>0</v>
      </c>
      <c r="AM241" s="355">
        <v>0</v>
      </c>
      <c r="AN241" s="355">
        <v>0</v>
      </c>
      <c r="AO241" s="355">
        <v>0</v>
      </c>
      <c r="AP241" s="355">
        <v>0</v>
      </c>
      <c r="AQ241" s="355">
        <v>0</v>
      </c>
      <c r="AR241" s="355">
        <v>0</v>
      </c>
      <c r="AS241" s="355">
        <v>0</v>
      </c>
      <c r="AT241" s="333">
        <f t="shared" si="193"/>
        <v>4.1250000000000002E-2</v>
      </c>
      <c r="AU241" s="334">
        <v>100</v>
      </c>
      <c r="AV241" s="387">
        <f t="shared" si="177"/>
        <v>0.25</v>
      </c>
      <c r="AW241" s="677">
        <v>100</v>
      </c>
      <c r="AX241" s="366">
        <f t="shared" si="178"/>
        <v>25</v>
      </c>
      <c r="AY241" s="366">
        <f t="shared" si="179"/>
        <v>100</v>
      </c>
      <c r="AZ241" s="366">
        <f t="shared" si="194"/>
        <v>100</v>
      </c>
      <c r="BA241" s="354">
        <f t="shared" si="195"/>
        <v>4.1250000000000002E-2</v>
      </c>
      <c r="BB241" s="354">
        <f t="shared" si="196"/>
        <v>100</v>
      </c>
      <c r="BC241" s="353">
        <v>2021000000</v>
      </c>
      <c r="BD241" s="353">
        <v>1921000000</v>
      </c>
      <c r="BE241" s="353">
        <v>100000000</v>
      </c>
      <c r="BF241" s="353">
        <v>0</v>
      </c>
      <c r="BG241" s="353">
        <v>0</v>
      </c>
      <c r="BH241" s="353">
        <v>0</v>
      </c>
      <c r="BI241" s="353">
        <v>0</v>
      </c>
      <c r="BJ241" s="353">
        <v>0</v>
      </c>
      <c r="BK241" s="452">
        <v>150000000</v>
      </c>
      <c r="BL241" s="351">
        <v>0</v>
      </c>
      <c r="BM241" s="351">
        <v>150000000</v>
      </c>
      <c r="BN241" s="351">
        <v>0</v>
      </c>
      <c r="BO241" s="351">
        <v>0</v>
      </c>
      <c r="BP241" s="351">
        <v>0</v>
      </c>
      <c r="BQ241" s="351">
        <v>0</v>
      </c>
      <c r="BR241" s="351">
        <v>0</v>
      </c>
      <c r="BS241" s="351">
        <v>0</v>
      </c>
      <c r="BT241" s="351">
        <v>0</v>
      </c>
      <c r="BU241" s="351">
        <v>0</v>
      </c>
      <c r="BV241" s="350">
        <f t="shared" si="197"/>
        <v>4.1250000000000002E-2</v>
      </c>
      <c r="BW241" s="350">
        <v>100</v>
      </c>
      <c r="BX241" s="385">
        <f t="shared" si="180"/>
        <v>0.25</v>
      </c>
      <c r="BY241" s="369">
        <v>100</v>
      </c>
      <c r="BZ241" s="391">
        <v>100</v>
      </c>
      <c r="CA241" s="689">
        <v>100</v>
      </c>
      <c r="CB241" s="324">
        <f t="shared" si="181"/>
        <v>25</v>
      </c>
      <c r="CC241" s="324">
        <f t="shared" si="182"/>
        <v>100</v>
      </c>
      <c r="CD241" s="384">
        <f t="shared" si="198"/>
        <v>100</v>
      </c>
      <c r="CE241" s="383">
        <f t="shared" si="199"/>
        <v>4.1250000000000002E-2</v>
      </c>
      <c r="CF241" s="367">
        <f t="shared" si="200"/>
        <v>100</v>
      </c>
      <c r="CG241" s="383">
        <f t="shared" si="201"/>
        <v>4.1250000000000002E-2</v>
      </c>
      <c r="CH241" s="320">
        <f t="shared" si="202"/>
        <v>4.1250000000000002E-2</v>
      </c>
      <c r="CI241" s="319">
        <v>100</v>
      </c>
      <c r="CJ241" s="318">
        <f t="shared" si="183"/>
        <v>0.25</v>
      </c>
      <c r="CK241" s="1259">
        <v>100</v>
      </c>
      <c r="CL241" s="301">
        <f t="shared" si="184"/>
        <v>0</v>
      </c>
      <c r="CM241" s="381">
        <f t="shared" si="185"/>
        <v>25</v>
      </c>
      <c r="CN241" s="381">
        <f t="shared" si="186"/>
        <v>100</v>
      </c>
      <c r="CO241" s="381">
        <f t="shared" si="203"/>
        <v>100</v>
      </c>
      <c r="CP241" s="381">
        <f t="shared" si="204"/>
        <v>4.1250000000000002E-2</v>
      </c>
      <c r="CQ241" s="381">
        <f t="shared" si="205"/>
        <v>4.1250000000000002E-2</v>
      </c>
      <c r="CR241" s="313">
        <v>2021000000</v>
      </c>
      <c r="CS241" s="313">
        <v>100000000</v>
      </c>
      <c r="CT241" s="313">
        <v>1921000000</v>
      </c>
      <c r="CU241" s="313">
        <v>0</v>
      </c>
      <c r="CV241" s="313">
        <v>0</v>
      </c>
      <c r="CW241" s="313">
        <v>0</v>
      </c>
      <c r="CX241" s="313">
        <v>0</v>
      </c>
      <c r="CY241" s="313">
        <v>0</v>
      </c>
      <c r="CZ241" s="380">
        <v>0</v>
      </c>
      <c r="DA241" s="380">
        <v>0</v>
      </c>
      <c r="DB241" s="380">
        <v>0</v>
      </c>
      <c r="DC241" s="380">
        <v>0</v>
      </c>
      <c r="DD241" s="380">
        <v>0</v>
      </c>
      <c r="DE241" s="380">
        <v>0</v>
      </c>
      <c r="DF241" s="380">
        <v>0</v>
      </c>
      <c r="DG241" s="380">
        <v>0</v>
      </c>
      <c r="DH241" s="380">
        <v>0</v>
      </c>
      <c r="DI241" s="380">
        <v>0</v>
      </c>
      <c r="DJ241" s="380">
        <v>0</v>
      </c>
      <c r="DK241" s="702">
        <f t="shared" si="187"/>
        <v>100</v>
      </c>
      <c r="DL241" s="311">
        <f t="shared" si="206"/>
        <v>0.16500000000000001</v>
      </c>
      <c r="DM241" s="310">
        <f t="shared" si="207"/>
        <v>100</v>
      </c>
      <c r="DN241" s="356">
        <f t="shared" si="208"/>
        <v>100</v>
      </c>
      <c r="DO241" s="308">
        <f t="shared" si="209"/>
        <v>0.16500000000000001</v>
      </c>
      <c r="DP241" s="359">
        <f t="shared" si="219"/>
        <v>0.16500000000000001</v>
      </c>
      <c r="DQ241" s="306">
        <f t="shared" si="210"/>
        <v>0.16500000000000001</v>
      </c>
      <c r="DR241" s="379">
        <f t="shared" si="211"/>
        <v>1</v>
      </c>
      <c r="DS241" s="378">
        <f t="shared" si="212"/>
        <v>0</v>
      </c>
      <c r="DT241" s="173">
        <v>203</v>
      </c>
      <c r="DU241" s="174" t="s">
        <v>120</v>
      </c>
      <c r="DV241" s="173"/>
      <c r="DW241" s="174" t="s">
        <v>84</v>
      </c>
      <c r="DX241" s="173"/>
      <c r="DY241" s="173"/>
      <c r="DZ241" s="173"/>
      <c r="EA241" s="665"/>
      <c r="EB241" s="1254" t="s">
        <v>2349</v>
      </c>
      <c r="EC241" s="537">
        <v>5000000000</v>
      </c>
      <c r="EE241" s="740">
        <v>6</v>
      </c>
      <c r="EF241" s="706"/>
    </row>
    <row r="242" spans="4:136" s="302" customFormat="1" ht="127.5" hidden="1">
      <c r="D242" s="520">
        <v>239</v>
      </c>
      <c r="E242" s="534">
        <v>287</v>
      </c>
      <c r="F242" s="523" t="s">
        <v>43</v>
      </c>
      <c r="G242" s="479" t="s">
        <v>10</v>
      </c>
      <c r="H242" s="526" t="s">
        <v>2659</v>
      </c>
      <c r="I242" s="462" t="s">
        <v>623</v>
      </c>
      <c r="J242" s="335" t="s">
        <v>638</v>
      </c>
      <c r="K242" s="335" t="s">
        <v>639</v>
      </c>
      <c r="L242" s="453" t="s">
        <v>1404</v>
      </c>
      <c r="M242" s="334" t="s">
        <v>1771</v>
      </c>
      <c r="N242" s="334">
        <v>56</v>
      </c>
      <c r="O242" s="333">
        <f>+N242+P242</f>
        <v>100</v>
      </c>
      <c r="P242" s="332">
        <v>44</v>
      </c>
      <c r="Q242" s="390">
        <v>0.16500000000000001</v>
      </c>
      <c r="R242" s="342">
        <f t="shared" si="190"/>
        <v>1.5000000000000001E-2</v>
      </c>
      <c r="S242" s="389">
        <v>4</v>
      </c>
      <c r="T242" s="387">
        <f t="shared" si="174"/>
        <v>9.0909090909090912E-2</v>
      </c>
      <c r="U242" s="670">
        <v>15</v>
      </c>
      <c r="V242" s="388">
        <f t="shared" si="175"/>
        <v>15</v>
      </c>
      <c r="W242" s="356">
        <f t="shared" si="176"/>
        <v>375</v>
      </c>
      <c r="X242" s="356">
        <f t="shared" si="191"/>
        <v>100</v>
      </c>
      <c r="Y242" s="356">
        <f t="shared" si="215"/>
        <v>1.5000000000000003E-2</v>
      </c>
      <c r="Z242" s="356">
        <f t="shared" si="192"/>
        <v>100</v>
      </c>
      <c r="AA242" s="355">
        <v>6500000</v>
      </c>
      <c r="AB242" s="355">
        <v>6500000</v>
      </c>
      <c r="AC242" s="355">
        <v>0</v>
      </c>
      <c r="AD242" s="355">
        <v>0</v>
      </c>
      <c r="AE242" s="355">
        <v>0</v>
      </c>
      <c r="AF242" s="355">
        <v>0</v>
      </c>
      <c r="AG242" s="355">
        <v>0</v>
      </c>
      <c r="AH242" s="355">
        <v>0</v>
      </c>
      <c r="AI242" s="355">
        <v>0</v>
      </c>
      <c r="AJ242" s="355">
        <v>0</v>
      </c>
      <c r="AK242" s="355">
        <v>0</v>
      </c>
      <c r="AL242" s="355">
        <v>0</v>
      </c>
      <c r="AM242" s="355">
        <v>0</v>
      </c>
      <c r="AN242" s="355">
        <v>0</v>
      </c>
      <c r="AO242" s="355">
        <v>0</v>
      </c>
      <c r="AP242" s="355">
        <v>0</v>
      </c>
      <c r="AQ242" s="355">
        <v>0</v>
      </c>
      <c r="AR242" s="355">
        <v>0</v>
      </c>
      <c r="AS242" s="355">
        <v>0</v>
      </c>
      <c r="AT242" s="333">
        <f t="shared" si="193"/>
        <v>5.6250000000000001E-2</v>
      </c>
      <c r="AU242" s="334">
        <v>15</v>
      </c>
      <c r="AV242" s="387">
        <f t="shared" si="177"/>
        <v>0.34090909090909088</v>
      </c>
      <c r="AW242" s="677">
        <v>15</v>
      </c>
      <c r="AX242" s="366">
        <f t="shared" si="178"/>
        <v>15</v>
      </c>
      <c r="AY242" s="366">
        <f t="shared" si="179"/>
        <v>100</v>
      </c>
      <c r="AZ242" s="366">
        <f t="shared" si="194"/>
        <v>100</v>
      </c>
      <c r="BA242" s="354">
        <f t="shared" si="195"/>
        <v>5.6250000000000001E-2</v>
      </c>
      <c r="BB242" s="354">
        <f t="shared" si="196"/>
        <v>100</v>
      </c>
      <c r="BC242" s="353">
        <v>65000000</v>
      </c>
      <c r="BD242" s="353">
        <v>0</v>
      </c>
      <c r="BE242" s="353">
        <v>65000000</v>
      </c>
      <c r="BF242" s="353">
        <v>0</v>
      </c>
      <c r="BG242" s="353">
        <v>0</v>
      </c>
      <c r="BH242" s="353">
        <v>0</v>
      </c>
      <c r="BI242" s="353">
        <v>0</v>
      </c>
      <c r="BJ242" s="353">
        <v>0</v>
      </c>
      <c r="BK242" s="452">
        <v>0</v>
      </c>
      <c r="BL242" s="351">
        <v>0</v>
      </c>
      <c r="BM242" s="351">
        <v>0</v>
      </c>
      <c r="BN242" s="351">
        <v>0</v>
      </c>
      <c r="BO242" s="351">
        <v>0</v>
      </c>
      <c r="BP242" s="351">
        <v>0</v>
      </c>
      <c r="BQ242" s="351">
        <v>0</v>
      </c>
      <c r="BR242" s="351">
        <v>0</v>
      </c>
      <c r="BS242" s="351">
        <v>0</v>
      </c>
      <c r="BT242" s="351">
        <v>0</v>
      </c>
      <c r="BU242" s="351">
        <v>0</v>
      </c>
      <c r="BV242" s="350">
        <f t="shared" si="197"/>
        <v>7.4999999999999997E-2</v>
      </c>
      <c r="BW242" s="350">
        <v>20</v>
      </c>
      <c r="BX242" s="385">
        <f t="shared" si="180"/>
        <v>0.45454545454545453</v>
      </c>
      <c r="BY242" s="369">
        <v>10</v>
      </c>
      <c r="BZ242" s="391">
        <v>7</v>
      </c>
      <c r="CA242" s="689">
        <v>20</v>
      </c>
      <c r="CB242" s="324">
        <f t="shared" si="181"/>
        <v>20</v>
      </c>
      <c r="CC242" s="324">
        <f t="shared" si="182"/>
        <v>100</v>
      </c>
      <c r="CD242" s="384">
        <f t="shared" si="198"/>
        <v>100</v>
      </c>
      <c r="CE242" s="383">
        <f t="shared" si="199"/>
        <v>7.4999999999999997E-2</v>
      </c>
      <c r="CF242" s="367">
        <f t="shared" si="200"/>
        <v>100</v>
      </c>
      <c r="CG242" s="383">
        <f t="shared" si="201"/>
        <v>7.4999999999999997E-2</v>
      </c>
      <c r="CH242" s="320">
        <f t="shared" si="202"/>
        <v>1.8749999999999999E-2</v>
      </c>
      <c r="CI242" s="319">
        <v>5</v>
      </c>
      <c r="CJ242" s="318">
        <f t="shared" si="183"/>
        <v>0.11363636363636363</v>
      </c>
      <c r="CK242" s="1259">
        <v>100</v>
      </c>
      <c r="CL242" s="301">
        <f t="shared" si="184"/>
        <v>-95</v>
      </c>
      <c r="CM242" s="381">
        <f t="shared" si="185"/>
        <v>100</v>
      </c>
      <c r="CN242" s="381">
        <f t="shared" si="186"/>
        <v>2000</v>
      </c>
      <c r="CO242" s="316">
        <f t="shared" si="203"/>
        <v>100</v>
      </c>
      <c r="CP242" s="381">
        <f t="shared" si="204"/>
        <v>1.8749999999999999E-2</v>
      </c>
      <c r="CQ242" s="381">
        <f t="shared" si="205"/>
        <v>0.375</v>
      </c>
      <c r="CR242" s="313">
        <v>150000000</v>
      </c>
      <c r="CS242" s="313">
        <v>150000000</v>
      </c>
      <c r="CT242" s="313">
        <v>0</v>
      </c>
      <c r="CU242" s="313">
        <v>0</v>
      </c>
      <c r="CV242" s="313">
        <v>0</v>
      </c>
      <c r="CW242" s="313">
        <v>0</v>
      </c>
      <c r="CX242" s="313">
        <v>0</v>
      </c>
      <c r="CY242" s="313">
        <v>0</v>
      </c>
      <c r="CZ242" s="380">
        <v>0</v>
      </c>
      <c r="DA242" s="380">
        <v>0</v>
      </c>
      <c r="DB242" s="380">
        <v>0</v>
      </c>
      <c r="DC242" s="380">
        <v>0</v>
      </c>
      <c r="DD242" s="380">
        <v>0</v>
      </c>
      <c r="DE242" s="380">
        <v>0</v>
      </c>
      <c r="DF242" s="380">
        <v>0</v>
      </c>
      <c r="DG242" s="380">
        <v>0</v>
      </c>
      <c r="DH242" s="380">
        <v>0</v>
      </c>
      <c r="DI242" s="380">
        <v>0</v>
      </c>
      <c r="DJ242" s="380">
        <v>0</v>
      </c>
      <c r="DK242" s="702">
        <f t="shared" si="187"/>
        <v>150</v>
      </c>
      <c r="DL242" s="311">
        <f t="shared" si="206"/>
        <v>0.16499999999999998</v>
      </c>
      <c r="DM242" s="310">
        <f t="shared" si="207"/>
        <v>340.90909090909093</v>
      </c>
      <c r="DN242" s="356">
        <f t="shared" si="208"/>
        <v>100</v>
      </c>
      <c r="DO242" s="308">
        <f t="shared" si="209"/>
        <v>0.16500000000000001</v>
      </c>
      <c r="DP242" s="359">
        <f>+IF(((DN242*Q242)/100)&lt;Q242, ((DN242*Q242)/100),Q242)</f>
        <v>0.16500000000000001</v>
      </c>
      <c r="DQ242" s="306">
        <f t="shared" si="210"/>
        <v>0.16500000000000001</v>
      </c>
      <c r="DR242" s="379">
        <f t="shared" si="211"/>
        <v>0.99999999999999989</v>
      </c>
      <c r="DS242" s="378">
        <f t="shared" si="212"/>
        <v>0</v>
      </c>
      <c r="DT242" s="173">
        <v>203</v>
      </c>
      <c r="DU242" s="174" t="s">
        <v>120</v>
      </c>
      <c r="DV242" s="173"/>
      <c r="DW242" s="174" t="s">
        <v>84</v>
      </c>
      <c r="DX242" s="173"/>
      <c r="DY242" s="173"/>
      <c r="DZ242" s="173"/>
      <c r="EA242" s="665"/>
      <c r="EB242" s="1254" t="s">
        <v>2350</v>
      </c>
      <c r="EC242" s="537">
        <v>14415000000</v>
      </c>
      <c r="EE242" s="744">
        <v>2000</v>
      </c>
      <c r="EF242" s="706"/>
    </row>
    <row r="243" spans="4:136" s="302" customFormat="1" ht="102" hidden="1">
      <c r="D243" s="520">
        <v>240</v>
      </c>
      <c r="E243" s="534">
        <v>288</v>
      </c>
      <c r="F243" s="523" t="s">
        <v>43</v>
      </c>
      <c r="G243" s="479" t="s">
        <v>10</v>
      </c>
      <c r="H243" s="526" t="s">
        <v>2659</v>
      </c>
      <c r="I243" s="462" t="s">
        <v>623</v>
      </c>
      <c r="J243" s="335" t="s">
        <v>640</v>
      </c>
      <c r="K243" s="335" t="s">
        <v>641</v>
      </c>
      <c r="L243" s="453" t="s">
        <v>1523</v>
      </c>
      <c r="M243" s="334" t="s">
        <v>1771</v>
      </c>
      <c r="N243" s="334">
        <v>10</v>
      </c>
      <c r="O243" s="333">
        <f>+N243+P243</f>
        <v>60</v>
      </c>
      <c r="P243" s="332">
        <v>50</v>
      </c>
      <c r="Q243" s="390">
        <v>0.16500000000000001</v>
      </c>
      <c r="R243" s="342">
        <f t="shared" si="190"/>
        <v>1.6500000000000001E-2</v>
      </c>
      <c r="S243" s="389">
        <v>5</v>
      </c>
      <c r="T243" s="387">
        <f t="shared" si="174"/>
        <v>0.1</v>
      </c>
      <c r="U243" s="670">
        <v>5</v>
      </c>
      <c r="V243" s="388">
        <f t="shared" si="175"/>
        <v>5</v>
      </c>
      <c r="W243" s="356">
        <f t="shared" si="176"/>
        <v>100</v>
      </c>
      <c r="X243" s="356">
        <f t="shared" si="191"/>
        <v>100</v>
      </c>
      <c r="Y243" s="356">
        <f t="shared" si="215"/>
        <v>1.6500000000000001E-2</v>
      </c>
      <c r="Z243" s="356">
        <f t="shared" si="192"/>
        <v>100</v>
      </c>
      <c r="AA243" s="355">
        <v>0</v>
      </c>
      <c r="AB243" s="355">
        <v>0</v>
      </c>
      <c r="AC243" s="355">
        <v>0</v>
      </c>
      <c r="AD243" s="355">
        <v>0</v>
      </c>
      <c r="AE243" s="355">
        <v>0</v>
      </c>
      <c r="AF243" s="355">
        <v>0</v>
      </c>
      <c r="AG243" s="355">
        <v>0</v>
      </c>
      <c r="AH243" s="355">
        <v>0</v>
      </c>
      <c r="AI243" s="355">
        <v>0</v>
      </c>
      <c r="AJ243" s="355">
        <v>0</v>
      </c>
      <c r="AK243" s="355">
        <v>0</v>
      </c>
      <c r="AL243" s="355">
        <v>0</v>
      </c>
      <c r="AM243" s="355">
        <v>0</v>
      </c>
      <c r="AN243" s="355">
        <v>0</v>
      </c>
      <c r="AO243" s="355">
        <v>0</v>
      </c>
      <c r="AP243" s="355">
        <v>0</v>
      </c>
      <c r="AQ243" s="355">
        <v>0</v>
      </c>
      <c r="AR243" s="355">
        <v>0</v>
      </c>
      <c r="AS243" s="355">
        <v>0</v>
      </c>
      <c r="AT243" s="333">
        <f t="shared" si="193"/>
        <v>6.6000000000000003E-2</v>
      </c>
      <c r="AU243" s="334">
        <v>20</v>
      </c>
      <c r="AV243" s="387">
        <f t="shared" si="177"/>
        <v>0.4</v>
      </c>
      <c r="AW243" s="677">
        <v>20</v>
      </c>
      <c r="AX243" s="366">
        <f t="shared" si="178"/>
        <v>20</v>
      </c>
      <c r="AY243" s="366">
        <f t="shared" si="179"/>
        <v>100</v>
      </c>
      <c r="AZ243" s="366">
        <f t="shared" si="194"/>
        <v>100</v>
      </c>
      <c r="BA243" s="354">
        <f t="shared" si="195"/>
        <v>6.6000000000000003E-2</v>
      </c>
      <c r="BB243" s="354">
        <f t="shared" si="196"/>
        <v>100</v>
      </c>
      <c r="BC243" s="353">
        <v>65000000</v>
      </c>
      <c r="BD243" s="353">
        <v>0</v>
      </c>
      <c r="BE243" s="353">
        <v>65000000</v>
      </c>
      <c r="BF243" s="353">
        <v>0</v>
      </c>
      <c r="BG243" s="353">
        <v>0</v>
      </c>
      <c r="BH243" s="353">
        <v>0</v>
      </c>
      <c r="BI243" s="353">
        <v>0</v>
      </c>
      <c r="BJ243" s="353">
        <v>0</v>
      </c>
      <c r="BK243" s="452">
        <v>0</v>
      </c>
      <c r="BL243" s="351">
        <v>0</v>
      </c>
      <c r="BM243" s="351">
        <v>0</v>
      </c>
      <c r="BN243" s="351">
        <v>0</v>
      </c>
      <c r="BO243" s="351">
        <v>0</v>
      </c>
      <c r="BP243" s="351">
        <v>0</v>
      </c>
      <c r="BQ243" s="351">
        <v>0</v>
      </c>
      <c r="BR243" s="351">
        <v>0</v>
      </c>
      <c r="BS243" s="351">
        <v>0</v>
      </c>
      <c r="BT243" s="351">
        <v>0</v>
      </c>
      <c r="BU243" s="351">
        <v>0</v>
      </c>
      <c r="BV243" s="350">
        <f t="shared" si="197"/>
        <v>6.6000000000000003E-2</v>
      </c>
      <c r="BW243" s="350">
        <v>20</v>
      </c>
      <c r="BX243" s="385">
        <f t="shared" si="180"/>
        <v>0.4</v>
      </c>
      <c r="BY243" s="369">
        <v>10</v>
      </c>
      <c r="BZ243" s="391">
        <v>15</v>
      </c>
      <c r="CA243" s="689">
        <v>20</v>
      </c>
      <c r="CB243" s="324">
        <f t="shared" si="181"/>
        <v>20</v>
      </c>
      <c r="CC243" s="324">
        <f t="shared" si="182"/>
        <v>100</v>
      </c>
      <c r="CD243" s="384">
        <f t="shared" si="198"/>
        <v>100</v>
      </c>
      <c r="CE243" s="383">
        <f t="shared" si="199"/>
        <v>6.6000000000000003E-2</v>
      </c>
      <c r="CF243" s="367">
        <f t="shared" si="200"/>
        <v>100</v>
      </c>
      <c r="CG243" s="383">
        <f t="shared" si="201"/>
        <v>6.6000000000000003E-2</v>
      </c>
      <c r="CH243" s="320">
        <f t="shared" si="202"/>
        <v>1.6500000000000001E-2</v>
      </c>
      <c r="CI243" s="319">
        <v>5</v>
      </c>
      <c r="CJ243" s="318">
        <f t="shared" si="183"/>
        <v>0.1</v>
      </c>
      <c r="CK243" s="1259">
        <v>5</v>
      </c>
      <c r="CL243" s="301">
        <f t="shared" si="184"/>
        <v>0</v>
      </c>
      <c r="CM243" s="381">
        <f t="shared" si="185"/>
        <v>5</v>
      </c>
      <c r="CN243" s="381">
        <f t="shared" si="186"/>
        <v>100</v>
      </c>
      <c r="CO243" s="316">
        <f t="shared" si="203"/>
        <v>100</v>
      </c>
      <c r="CP243" s="381">
        <f t="shared" si="204"/>
        <v>1.6500000000000001E-2</v>
      </c>
      <c r="CQ243" s="381">
        <f t="shared" si="205"/>
        <v>1.6500000000000001E-2</v>
      </c>
      <c r="CR243" s="313">
        <v>150000000</v>
      </c>
      <c r="CS243" s="313">
        <v>150000000</v>
      </c>
      <c r="CT243" s="313">
        <v>0</v>
      </c>
      <c r="CU243" s="313">
        <v>0</v>
      </c>
      <c r="CV243" s="313">
        <v>0</v>
      </c>
      <c r="CW243" s="313">
        <v>0</v>
      </c>
      <c r="CX243" s="313">
        <v>0</v>
      </c>
      <c r="CY243" s="313">
        <v>0</v>
      </c>
      <c r="CZ243" s="380">
        <v>0</v>
      </c>
      <c r="DA243" s="380">
        <v>0</v>
      </c>
      <c r="DB243" s="380">
        <v>0</v>
      </c>
      <c r="DC243" s="380">
        <v>0</v>
      </c>
      <c r="DD243" s="380">
        <v>0</v>
      </c>
      <c r="DE243" s="380">
        <v>0</v>
      </c>
      <c r="DF243" s="380">
        <v>0</v>
      </c>
      <c r="DG243" s="380">
        <v>0</v>
      </c>
      <c r="DH243" s="380">
        <v>0</v>
      </c>
      <c r="DI243" s="380">
        <v>0</v>
      </c>
      <c r="DJ243" s="380">
        <v>0</v>
      </c>
      <c r="DK243" s="702">
        <f t="shared" si="187"/>
        <v>50</v>
      </c>
      <c r="DL243" s="311">
        <f t="shared" si="206"/>
        <v>0.16500000000000004</v>
      </c>
      <c r="DM243" s="310">
        <f t="shared" si="207"/>
        <v>100</v>
      </c>
      <c r="DN243" s="356">
        <f t="shared" si="208"/>
        <v>100</v>
      </c>
      <c r="DO243" s="308">
        <f t="shared" si="209"/>
        <v>0.16500000000000001</v>
      </c>
      <c r="DP243" s="359">
        <f>+IF(((DN243*Q243)/100)&lt;Q243, ((DN243*Q243)/100),Q243)</f>
        <v>0.16500000000000001</v>
      </c>
      <c r="DQ243" s="306">
        <f t="shared" si="210"/>
        <v>0.16500000000000001</v>
      </c>
      <c r="DR243" s="379">
        <f t="shared" si="211"/>
        <v>1</v>
      </c>
      <c r="DS243" s="378">
        <f t="shared" si="212"/>
        <v>0</v>
      </c>
      <c r="DT243" s="173">
        <v>203</v>
      </c>
      <c r="DU243" s="174" t="s">
        <v>120</v>
      </c>
      <c r="DV243" s="173"/>
      <c r="DW243" s="174" t="s">
        <v>84</v>
      </c>
      <c r="DX243" s="173"/>
      <c r="DY243" s="173"/>
      <c r="DZ243" s="173"/>
      <c r="EA243" s="665"/>
      <c r="EB243" s="1254" t="s">
        <v>2351</v>
      </c>
      <c r="EC243" s="537">
        <v>2410000000</v>
      </c>
      <c r="EE243" s="744">
        <v>4</v>
      </c>
      <c r="EF243" s="706"/>
    </row>
    <row r="244" spans="4:136" s="302" customFormat="1" ht="51" hidden="1">
      <c r="D244" s="520">
        <v>241</v>
      </c>
      <c r="E244" s="534">
        <v>289</v>
      </c>
      <c r="F244" s="523" t="s">
        <v>43</v>
      </c>
      <c r="G244" s="479" t="s">
        <v>10</v>
      </c>
      <c r="H244" s="526" t="s">
        <v>2659</v>
      </c>
      <c r="I244" s="462" t="s">
        <v>623</v>
      </c>
      <c r="J244" s="335" t="s">
        <v>642</v>
      </c>
      <c r="K244" s="335" t="s">
        <v>643</v>
      </c>
      <c r="L244" s="453" t="s">
        <v>1947</v>
      </c>
      <c r="M244" s="334" t="s">
        <v>1785</v>
      </c>
      <c r="N244" s="334">
        <v>100</v>
      </c>
      <c r="O244" s="333">
        <f>+P244</f>
        <v>100</v>
      </c>
      <c r="P244" s="332">
        <v>100</v>
      </c>
      <c r="Q244" s="390">
        <v>0.16500000000000001</v>
      </c>
      <c r="R244" s="342">
        <f t="shared" si="190"/>
        <v>4.1250000000000002E-2</v>
      </c>
      <c r="S244" s="389">
        <v>100</v>
      </c>
      <c r="T244" s="387">
        <f t="shared" ref="T244:T307" si="220">IF($M244="M",0.25,(IF($P244&gt;0,S244/$P244," ")))</f>
        <v>0.25</v>
      </c>
      <c r="U244" s="670">
        <v>100</v>
      </c>
      <c r="V244" s="388">
        <f t="shared" ref="V244:V307" si="221">+IF(M244="I",(+U244),IF(M244="M",(+U244)/4,))</f>
        <v>25</v>
      </c>
      <c r="W244" s="356">
        <f t="shared" ref="W244:W307" si="222">IF(S244=0,0,+U244*100/S244)</f>
        <v>100</v>
      </c>
      <c r="X244" s="356">
        <f t="shared" si="191"/>
        <v>100</v>
      </c>
      <c r="Y244" s="356">
        <f t="shared" si="215"/>
        <v>4.1250000000000002E-2</v>
      </c>
      <c r="Z244" s="356">
        <f t="shared" si="192"/>
        <v>100</v>
      </c>
      <c r="AA244" s="355">
        <v>30000000</v>
      </c>
      <c r="AB244" s="355">
        <v>30000000</v>
      </c>
      <c r="AC244" s="355">
        <v>0</v>
      </c>
      <c r="AD244" s="355">
        <v>0</v>
      </c>
      <c r="AE244" s="355">
        <v>0</v>
      </c>
      <c r="AF244" s="355">
        <v>0</v>
      </c>
      <c r="AG244" s="355">
        <v>0</v>
      </c>
      <c r="AH244" s="355">
        <v>0</v>
      </c>
      <c r="AI244" s="355">
        <v>0</v>
      </c>
      <c r="AJ244" s="355">
        <v>0</v>
      </c>
      <c r="AK244" s="355">
        <v>0</v>
      </c>
      <c r="AL244" s="355">
        <v>0</v>
      </c>
      <c r="AM244" s="355">
        <v>0</v>
      </c>
      <c r="AN244" s="355">
        <v>0</v>
      </c>
      <c r="AO244" s="355">
        <v>0</v>
      </c>
      <c r="AP244" s="355">
        <v>0</v>
      </c>
      <c r="AQ244" s="355">
        <v>0</v>
      </c>
      <c r="AR244" s="355">
        <v>0</v>
      </c>
      <c r="AS244" s="355">
        <v>0</v>
      </c>
      <c r="AT244" s="333">
        <f t="shared" si="193"/>
        <v>4.1250000000000002E-2</v>
      </c>
      <c r="AU244" s="334">
        <v>100</v>
      </c>
      <c r="AV244" s="387">
        <f t="shared" ref="AV244:AV307" si="223">IF($M244="M",0.25,(IF($P244&gt;0,AU244/$P244," ")))</f>
        <v>0.25</v>
      </c>
      <c r="AW244" s="677">
        <v>100</v>
      </c>
      <c r="AX244" s="366">
        <f t="shared" ref="AX244:AX307" si="224">+IF(M244="I",(+AW244),IF(M244="M",(+AW244)/4,))</f>
        <v>25</v>
      </c>
      <c r="AY244" s="366">
        <f t="shared" ref="AY244:AY307" si="225">IF(AU244=0,0,+AW244*100/AU244)</f>
        <v>100</v>
      </c>
      <c r="AZ244" s="366">
        <f t="shared" si="194"/>
        <v>100</v>
      </c>
      <c r="BA244" s="354">
        <f t="shared" si="195"/>
        <v>4.1250000000000002E-2</v>
      </c>
      <c r="BB244" s="354">
        <f t="shared" si="196"/>
        <v>100</v>
      </c>
      <c r="BC244" s="353">
        <v>48000000</v>
      </c>
      <c r="BD244" s="353">
        <v>0</v>
      </c>
      <c r="BE244" s="353">
        <v>48000000</v>
      </c>
      <c r="BF244" s="353">
        <v>0</v>
      </c>
      <c r="BG244" s="353">
        <v>0</v>
      </c>
      <c r="BH244" s="353">
        <v>0</v>
      </c>
      <c r="BI244" s="353">
        <v>0</v>
      </c>
      <c r="BJ244" s="353">
        <v>0</v>
      </c>
      <c r="BK244" s="452">
        <v>33551666</v>
      </c>
      <c r="BL244" s="351">
        <v>33225000</v>
      </c>
      <c r="BM244" s="351">
        <v>326666</v>
      </c>
      <c r="BN244" s="351">
        <v>0</v>
      </c>
      <c r="BO244" s="351">
        <v>0</v>
      </c>
      <c r="BP244" s="351">
        <v>0</v>
      </c>
      <c r="BQ244" s="351">
        <v>0</v>
      </c>
      <c r="BR244" s="351">
        <v>0</v>
      </c>
      <c r="BS244" s="351">
        <v>0</v>
      </c>
      <c r="BT244" s="351">
        <v>0</v>
      </c>
      <c r="BU244" s="351">
        <v>0</v>
      </c>
      <c r="BV244" s="350">
        <f t="shared" si="197"/>
        <v>4.1250000000000002E-2</v>
      </c>
      <c r="BW244" s="350">
        <v>100</v>
      </c>
      <c r="BX244" s="385">
        <f t="shared" ref="BX244:BX307" si="226">IF($M244="M",0.25,(IF($P244&gt;0,BW244/$P244," ")))</f>
        <v>0.25</v>
      </c>
      <c r="BY244" s="369">
        <v>100</v>
      </c>
      <c r="BZ244" s="391">
        <v>100</v>
      </c>
      <c r="CA244" s="689">
        <v>100</v>
      </c>
      <c r="CB244" s="324">
        <f t="shared" ref="CB244:CB307" si="227">+IF(M244="I",(+CA244),IF(M244="M",(+CA244)/4,))</f>
        <v>25</v>
      </c>
      <c r="CC244" s="324">
        <f t="shared" ref="CC244:CC307" si="228">IF(BW244=0,0,+CA244*100/BW244)</f>
        <v>100</v>
      </c>
      <c r="CD244" s="384">
        <f t="shared" si="198"/>
        <v>100</v>
      </c>
      <c r="CE244" s="383">
        <f t="shared" si="199"/>
        <v>4.1250000000000002E-2</v>
      </c>
      <c r="CF244" s="367">
        <f t="shared" si="200"/>
        <v>100</v>
      </c>
      <c r="CG244" s="383">
        <f t="shared" si="201"/>
        <v>4.1250000000000002E-2</v>
      </c>
      <c r="CH244" s="320">
        <f t="shared" si="202"/>
        <v>4.1250000000000002E-2</v>
      </c>
      <c r="CI244" s="319">
        <v>100</v>
      </c>
      <c r="CJ244" s="318">
        <f t="shared" ref="CJ244:CJ307" si="229">IF($M244="M",0.25,(IF($P244&gt;0,CI244/$P244," ")))</f>
        <v>0.25</v>
      </c>
      <c r="CK244" s="1258">
        <v>100</v>
      </c>
      <c r="CL244" s="301">
        <f t="shared" ref="CL244:CL307" si="230">+CI244-CK244</f>
        <v>0</v>
      </c>
      <c r="CM244" s="381">
        <f t="shared" ref="CM244:CM307" si="231">+IF(M244="I",(+CK244),IF(M244="M",(+CK244)/4,))</f>
        <v>25</v>
      </c>
      <c r="CN244" s="381">
        <f t="shared" ref="CN244:CN307" si="232">IF(CI244=0,0,+CK244*100/CI244)</f>
        <v>100</v>
      </c>
      <c r="CO244" s="381">
        <f t="shared" si="203"/>
        <v>100</v>
      </c>
      <c r="CP244" s="381">
        <f t="shared" si="204"/>
        <v>4.1250000000000002E-2</v>
      </c>
      <c r="CQ244" s="381">
        <f t="shared" si="205"/>
        <v>4.1250000000000002E-2</v>
      </c>
      <c r="CR244" s="313">
        <v>110000000</v>
      </c>
      <c r="CS244" s="313">
        <v>110000000</v>
      </c>
      <c r="CT244" s="313">
        <v>0</v>
      </c>
      <c r="CU244" s="313">
        <v>0</v>
      </c>
      <c r="CV244" s="313">
        <v>0</v>
      </c>
      <c r="CW244" s="313">
        <v>0</v>
      </c>
      <c r="CX244" s="313">
        <v>0</v>
      </c>
      <c r="CY244" s="313">
        <v>0</v>
      </c>
      <c r="CZ244" s="380">
        <v>0</v>
      </c>
      <c r="DA244" s="380">
        <v>0</v>
      </c>
      <c r="DB244" s="380">
        <v>0</v>
      </c>
      <c r="DC244" s="380">
        <v>0</v>
      </c>
      <c r="DD244" s="380">
        <v>0</v>
      </c>
      <c r="DE244" s="380">
        <v>0</v>
      </c>
      <c r="DF244" s="380">
        <v>0</v>
      </c>
      <c r="DG244" s="380">
        <v>0</v>
      </c>
      <c r="DH244" s="380">
        <v>0</v>
      </c>
      <c r="DI244" s="380">
        <v>0</v>
      </c>
      <c r="DJ244" s="380">
        <v>0</v>
      </c>
      <c r="DK244" s="702">
        <f t="shared" ref="DK244:DK307" si="233">+IF(M244="I",(+U244+AW244+CA244+CK244),IF(M244="M",(+U244+AW244+CA244+CK244)/4,))</f>
        <v>100</v>
      </c>
      <c r="DL244" s="311">
        <f t="shared" si="206"/>
        <v>0.16500000000000001</v>
      </c>
      <c r="DM244" s="310">
        <f t="shared" si="207"/>
        <v>100</v>
      </c>
      <c r="DN244" s="356">
        <f t="shared" si="208"/>
        <v>100</v>
      </c>
      <c r="DO244" s="308">
        <f t="shared" si="209"/>
        <v>0.16500000000000001</v>
      </c>
      <c r="DP244" s="359">
        <f>+IF(M244="M",DO244,0)</f>
        <v>0.16500000000000001</v>
      </c>
      <c r="DQ244" s="306">
        <f t="shared" si="210"/>
        <v>0.16500000000000001</v>
      </c>
      <c r="DR244" s="379">
        <f t="shared" si="211"/>
        <v>1</v>
      </c>
      <c r="DS244" s="378">
        <f t="shared" si="212"/>
        <v>0</v>
      </c>
      <c r="DT244" s="173">
        <v>269</v>
      </c>
      <c r="DU244" s="174" t="s">
        <v>117</v>
      </c>
      <c r="DV244" s="173"/>
      <c r="DW244" s="174" t="s">
        <v>84</v>
      </c>
      <c r="DX244" s="173"/>
      <c r="DY244" s="173"/>
      <c r="DZ244" s="173"/>
      <c r="EA244" s="665"/>
      <c r="EB244" s="1254" t="s">
        <v>2264</v>
      </c>
      <c r="EC244" s="537">
        <v>1324000000</v>
      </c>
      <c r="EE244" s="745">
        <v>0</v>
      </c>
      <c r="EF244" s="706"/>
    </row>
    <row r="245" spans="4:136" s="302" customFormat="1" ht="51" hidden="1">
      <c r="D245" s="520">
        <v>242</v>
      </c>
      <c r="E245" s="534">
        <v>290</v>
      </c>
      <c r="F245" s="523" t="s">
        <v>43</v>
      </c>
      <c r="G245" s="479" t="s">
        <v>10</v>
      </c>
      <c r="H245" s="526" t="s">
        <v>2659</v>
      </c>
      <c r="I245" s="462" t="s">
        <v>623</v>
      </c>
      <c r="J245" s="335" t="s">
        <v>644</v>
      </c>
      <c r="K245" s="335" t="s">
        <v>645</v>
      </c>
      <c r="L245" s="453" t="s">
        <v>1947</v>
      </c>
      <c r="M245" s="334" t="s">
        <v>1785</v>
      </c>
      <c r="N245" s="334">
        <v>100</v>
      </c>
      <c r="O245" s="333">
        <f>+P245</f>
        <v>100</v>
      </c>
      <c r="P245" s="332">
        <v>100</v>
      </c>
      <c r="Q245" s="390">
        <v>0.16500000000000001</v>
      </c>
      <c r="R245" s="342">
        <f t="shared" si="190"/>
        <v>4.1250000000000002E-2</v>
      </c>
      <c r="S245" s="389">
        <v>100</v>
      </c>
      <c r="T245" s="387">
        <f t="shared" si="220"/>
        <v>0.25</v>
      </c>
      <c r="U245" s="670">
        <v>100</v>
      </c>
      <c r="V245" s="388">
        <f t="shared" si="221"/>
        <v>25</v>
      </c>
      <c r="W245" s="356">
        <f t="shared" si="222"/>
        <v>100</v>
      </c>
      <c r="X245" s="356">
        <f t="shared" si="191"/>
        <v>100</v>
      </c>
      <c r="Y245" s="356">
        <f t="shared" si="215"/>
        <v>4.1250000000000002E-2</v>
      </c>
      <c r="Z245" s="356">
        <f t="shared" si="192"/>
        <v>100</v>
      </c>
      <c r="AA245" s="355">
        <v>107436000</v>
      </c>
      <c r="AB245" s="355">
        <v>62199000</v>
      </c>
      <c r="AC245" s="355">
        <v>0</v>
      </c>
      <c r="AD245" s="355">
        <v>45237000</v>
      </c>
      <c r="AE245" s="355">
        <v>0</v>
      </c>
      <c r="AF245" s="355">
        <v>0</v>
      </c>
      <c r="AG245" s="355">
        <v>0</v>
      </c>
      <c r="AH245" s="355">
        <v>0</v>
      </c>
      <c r="AI245" s="355">
        <v>133020000</v>
      </c>
      <c r="AJ245" s="355">
        <v>133020000</v>
      </c>
      <c r="AK245" s="355">
        <v>0</v>
      </c>
      <c r="AL245" s="355">
        <v>0</v>
      </c>
      <c r="AM245" s="355">
        <v>0</v>
      </c>
      <c r="AN245" s="355">
        <v>0</v>
      </c>
      <c r="AO245" s="355">
        <v>0</v>
      </c>
      <c r="AP245" s="355">
        <v>0</v>
      </c>
      <c r="AQ245" s="355">
        <v>0</v>
      </c>
      <c r="AR245" s="355">
        <v>0</v>
      </c>
      <c r="AS245" s="355">
        <v>0</v>
      </c>
      <c r="AT245" s="333">
        <f t="shared" si="193"/>
        <v>4.1250000000000002E-2</v>
      </c>
      <c r="AU245" s="334">
        <v>100</v>
      </c>
      <c r="AV245" s="387">
        <f t="shared" si="223"/>
        <v>0.25</v>
      </c>
      <c r="AW245" s="677">
        <v>100</v>
      </c>
      <c r="AX245" s="366">
        <f t="shared" si="224"/>
        <v>25</v>
      </c>
      <c r="AY245" s="366">
        <f t="shared" si="225"/>
        <v>100</v>
      </c>
      <c r="AZ245" s="366">
        <f t="shared" si="194"/>
        <v>100</v>
      </c>
      <c r="BA245" s="354">
        <f t="shared" si="195"/>
        <v>4.1250000000000002E-2</v>
      </c>
      <c r="BB245" s="354">
        <f t="shared" si="196"/>
        <v>100</v>
      </c>
      <c r="BC245" s="353">
        <v>35000000</v>
      </c>
      <c r="BD245" s="353">
        <v>0</v>
      </c>
      <c r="BE245" s="353">
        <v>35000000</v>
      </c>
      <c r="BF245" s="353">
        <v>0</v>
      </c>
      <c r="BG245" s="353">
        <v>0</v>
      </c>
      <c r="BH245" s="353">
        <v>0</v>
      </c>
      <c r="BI245" s="353">
        <v>0</v>
      </c>
      <c r="BJ245" s="353">
        <v>0</v>
      </c>
      <c r="BK245" s="452">
        <v>0</v>
      </c>
      <c r="BL245" s="351">
        <v>0</v>
      </c>
      <c r="BM245" s="351">
        <v>0</v>
      </c>
      <c r="BN245" s="351">
        <v>0</v>
      </c>
      <c r="BO245" s="351">
        <v>0</v>
      </c>
      <c r="BP245" s="351">
        <v>0</v>
      </c>
      <c r="BQ245" s="351">
        <v>0</v>
      </c>
      <c r="BR245" s="351">
        <v>0</v>
      </c>
      <c r="BS245" s="351">
        <v>0</v>
      </c>
      <c r="BT245" s="351">
        <v>0</v>
      </c>
      <c r="BU245" s="351">
        <v>0</v>
      </c>
      <c r="BV245" s="350">
        <f t="shared" si="197"/>
        <v>4.1250000000000002E-2</v>
      </c>
      <c r="BW245" s="350">
        <v>100</v>
      </c>
      <c r="BX245" s="385">
        <f t="shared" si="226"/>
        <v>0.25</v>
      </c>
      <c r="BY245" s="369">
        <v>100</v>
      </c>
      <c r="BZ245" s="391">
        <v>100</v>
      </c>
      <c r="CA245" s="689">
        <v>100</v>
      </c>
      <c r="CB245" s="324">
        <f t="shared" si="227"/>
        <v>25</v>
      </c>
      <c r="CC245" s="324">
        <f t="shared" si="228"/>
        <v>100</v>
      </c>
      <c r="CD245" s="384">
        <f t="shared" si="198"/>
        <v>100</v>
      </c>
      <c r="CE245" s="383">
        <f t="shared" si="199"/>
        <v>4.1250000000000002E-2</v>
      </c>
      <c r="CF245" s="367">
        <f t="shared" si="200"/>
        <v>100</v>
      </c>
      <c r="CG245" s="383">
        <f t="shared" si="201"/>
        <v>4.1250000000000002E-2</v>
      </c>
      <c r="CH245" s="320">
        <f t="shared" si="202"/>
        <v>4.1250000000000002E-2</v>
      </c>
      <c r="CI245" s="319">
        <v>100</v>
      </c>
      <c r="CJ245" s="318">
        <f t="shared" si="229"/>
        <v>0.25</v>
      </c>
      <c r="CK245" s="1259">
        <v>100</v>
      </c>
      <c r="CL245" s="301">
        <f t="shared" si="230"/>
        <v>0</v>
      </c>
      <c r="CM245" s="381">
        <f t="shared" si="231"/>
        <v>25</v>
      </c>
      <c r="CN245" s="381">
        <f t="shared" si="232"/>
        <v>100</v>
      </c>
      <c r="CO245" s="381">
        <f t="shared" si="203"/>
        <v>100</v>
      </c>
      <c r="CP245" s="381">
        <f t="shared" si="204"/>
        <v>4.1250000000000002E-2</v>
      </c>
      <c r="CQ245" s="381">
        <f t="shared" si="205"/>
        <v>4.1250000000000002E-2</v>
      </c>
      <c r="CR245" s="313">
        <v>80000000</v>
      </c>
      <c r="CS245" s="313">
        <v>80000000</v>
      </c>
      <c r="CT245" s="313">
        <v>0</v>
      </c>
      <c r="CU245" s="313">
        <v>0</v>
      </c>
      <c r="CV245" s="313">
        <v>0</v>
      </c>
      <c r="CW245" s="313">
        <v>0</v>
      </c>
      <c r="CX245" s="313">
        <v>0</v>
      </c>
      <c r="CY245" s="313">
        <v>0</v>
      </c>
      <c r="CZ245" s="380">
        <v>0</v>
      </c>
      <c r="DA245" s="380">
        <v>0</v>
      </c>
      <c r="DB245" s="380">
        <v>0</v>
      </c>
      <c r="DC245" s="380">
        <v>0</v>
      </c>
      <c r="DD245" s="380">
        <v>0</v>
      </c>
      <c r="DE245" s="380">
        <v>0</v>
      </c>
      <c r="DF245" s="380">
        <v>0</v>
      </c>
      <c r="DG245" s="380">
        <v>0</v>
      </c>
      <c r="DH245" s="380">
        <v>0</v>
      </c>
      <c r="DI245" s="380">
        <v>0</v>
      </c>
      <c r="DJ245" s="380">
        <v>0</v>
      </c>
      <c r="DK245" s="702">
        <f t="shared" si="233"/>
        <v>100</v>
      </c>
      <c r="DL245" s="311">
        <f t="shared" si="206"/>
        <v>0.16500000000000001</v>
      </c>
      <c r="DM245" s="310">
        <f t="shared" si="207"/>
        <v>100</v>
      </c>
      <c r="DN245" s="356">
        <f t="shared" si="208"/>
        <v>100</v>
      </c>
      <c r="DO245" s="308">
        <f t="shared" si="209"/>
        <v>0.16500000000000001</v>
      </c>
      <c r="DP245" s="359">
        <f>+IF(M245="M",DO245,0)</f>
        <v>0.16500000000000001</v>
      </c>
      <c r="DQ245" s="306">
        <f t="shared" si="210"/>
        <v>0.16500000000000001</v>
      </c>
      <c r="DR245" s="379">
        <f t="shared" si="211"/>
        <v>1</v>
      </c>
      <c r="DS245" s="378">
        <f t="shared" si="212"/>
        <v>0</v>
      </c>
      <c r="DT245" s="173">
        <v>269</v>
      </c>
      <c r="DU245" s="174" t="s">
        <v>117</v>
      </c>
      <c r="DV245" s="173"/>
      <c r="DW245" s="174" t="s">
        <v>84</v>
      </c>
      <c r="DX245" s="173"/>
      <c r="DY245" s="173"/>
      <c r="DZ245" s="173"/>
      <c r="EA245" s="665"/>
      <c r="EB245" s="1254" t="s">
        <v>2265</v>
      </c>
      <c r="EC245" s="537">
        <v>0</v>
      </c>
      <c r="EE245" s="745">
        <v>4000</v>
      </c>
      <c r="EF245" s="706"/>
    </row>
    <row r="246" spans="4:136" s="302" customFormat="1" ht="51" hidden="1">
      <c r="D246" s="520">
        <v>243</v>
      </c>
      <c r="E246" s="534">
        <v>291</v>
      </c>
      <c r="F246" s="523" t="s">
        <v>43</v>
      </c>
      <c r="G246" s="479" t="s">
        <v>10</v>
      </c>
      <c r="H246" s="526" t="s">
        <v>2659</v>
      </c>
      <c r="I246" s="462" t="s">
        <v>623</v>
      </c>
      <c r="J246" s="335" t="s">
        <v>646</v>
      </c>
      <c r="K246" s="335" t="s">
        <v>647</v>
      </c>
      <c r="L246" s="454" t="s">
        <v>1501</v>
      </c>
      <c r="M246" s="334" t="s">
        <v>1771</v>
      </c>
      <c r="N246" s="334">
        <v>100</v>
      </c>
      <c r="O246" s="333">
        <f>+N246+P246</f>
        <v>700</v>
      </c>
      <c r="P246" s="332">
        <v>600</v>
      </c>
      <c r="Q246" s="390">
        <v>0.16500000000000001</v>
      </c>
      <c r="R246" s="342">
        <f t="shared" si="190"/>
        <v>0</v>
      </c>
      <c r="S246" s="389">
        <v>0</v>
      </c>
      <c r="T246" s="387">
        <f t="shared" si="220"/>
        <v>0</v>
      </c>
      <c r="U246" s="670">
        <v>0</v>
      </c>
      <c r="V246" s="388">
        <f t="shared" si="221"/>
        <v>0</v>
      </c>
      <c r="W246" s="356">
        <f t="shared" si="222"/>
        <v>0</v>
      </c>
      <c r="X246" s="356">
        <f t="shared" si="191"/>
        <v>0</v>
      </c>
      <c r="Y246" s="356">
        <f t="shared" si="215"/>
        <v>0</v>
      </c>
      <c r="Z246" s="356">
        <f t="shared" si="192"/>
        <v>0</v>
      </c>
      <c r="AA246" s="355">
        <v>0</v>
      </c>
      <c r="AB246" s="355">
        <v>0</v>
      </c>
      <c r="AC246" s="355">
        <v>0</v>
      </c>
      <c r="AD246" s="355">
        <v>0</v>
      </c>
      <c r="AE246" s="355">
        <v>0</v>
      </c>
      <c r="AF246" s="355">
        <v>0</v>
      </c>
      <c r="AG246" s="355">
        <v>0</v>
      </c>
      <c r="AH246" s="355">
        <v>0</v>
      </c>
      <c r="AI246" s="355">
        <v>0</v>
      </c>
      <c r="AJ246" s="355">
        <v>0</v>
      </c>
      <c r="AK246" s="355">
        <v>0</v>
      </c>
      <c r="AL246" s="355">
        <v>0</v>
      </c>
      <c r="AM246" s="355">
        <v>0</v>
      </c>
      <c r="AN246" s="355">
        <v>0</v>
      </c>
      <c r="AO246" s="355">
        <v>0</v>
      </c>
      <c r="AP246" s="355">
        <v>0</v>
      </c>
      <c r="AQ246" s="355">
        <v>0</v>
      </c>
      <c r="AR246" s="355">
        <v>0</v>
      </c>
      <c r="AS246" s="355">
        <v>0</v>
      </c>
      <c r="AT246" s="333">
        <f t="shared" si="193"/>
        <v>5.5E-2</v>
      </c>
      <c r="AU246" s="334">
        <v>200</v>
      </c>
      <c r="AV246" s="387">
        <f t="shared" si="223"/>
        <v>0.33333333333333331</v>
      </c>
      <c r="AW246" s="677">
        <v>256</v>
      </c>
      <c r="AX246" s="366">
        <f t="shared" si="224"/>
        <v>256</v>
      </c>
      <c r="AY246" s="366">
        <f t="shared" si="225"/>
        <v>128</v>
      </c>
      <c r="AZ246" s="366">
        <f t="shared" si="194"/>
        <v>100</v>
      </c>
      <c r="BA246" s="354">
        <f t="shared" si="195"/>
        <v>5.5E-2</v>
      </c>
      <c r="BB246" s="354">
        <f t="shared" si="196"/>
        <v>100</v>
      </c>
      <c r="BC246" s="353">
        <v>26000000</v>
      </c>
      <c r="BD246" s="353">
        <v>0</v>
      </c>
      <c r="BE246" s="353">
        <v>26000000</v>
      </c>
      <c r="BF246" s="353">
        <v>0</v>
      </c>
      <c r="BG246" s="353">
        <v>0</v>
      </c>
      <c r="BH246" s="353">
        <v>0</v>
      </c>
      <c r="BI246" s="353">
        <v>0</v>
      </c>
      <c r="BJ246" s="353">
        <v>0</v>
      </c>
      <c r="BK246" s="452">
        <v>24155000</v>
      </c>
      <c r="BL246" s="351">
        <v>24155000</v>
      </c>
      <c r="BM246" s="351">
        <v>0</v>
      </c>
      <c r="BN246" s="351">
        <v>0</v>
      </c>
      <c r="BO246" s="351">
        <v>0</v>
      </c>
      <c r="BP246" s="351">
        <v>0</v>
      </c>
      <c r="BQ246" s="351">
        <v>0</v>
      </c>
      <c r="BR246" s="351">
        <v>0</v>
      </c>
      <c r="BS246" s="351">
        <v>0</v>
      </c>
      <c r="BT246" s="351">
        <v>0</v>
      </c>
      <c r="BU246" s="351">
        <v>0</v>
      </c>
      <c r="BV246" s="350">
        <f t="shared" si="197"/>
        <v>5.5E-2</v>
      </c>
      <c r="BW246" s="350">
        <v>200</v>
      </c>
      <c r="BX246" s="385">
        <f t="shared" si="226"/>
        <v>0.33333333333333331</v>
      </c>
      <c r="BY246" s="369">
        <v>0</v>
      </c>
      <c r="BZ246" s="391">
        <v>17</v>
      </c>
      <c r="CA246" s="689">
        <v>18</v>
      </c>
      <c r="CB246" s="324">
        <f t="shared" si="227"/>
        <v>18</v>
      </c>
      <c r="CC246" s="324">
        <f t="shared" si="228"/>
        <v>9</v>
      </c>
      <c r="CD246" s="384">
        <f t="shared" si="198"/>
        <v>9</v>
      </c>
      <c r="CE246" s="383">
        <f t="shared" si="199"/>
        <v>4.9499999999999995E-3</v>
      </c>
      <c r="CF246" s="367">
        <f t="shared" si="200"/>
        <v>9</v>
      </c>
      <c r="CG246" s="383">
        <f t="shared" si="201"/>
        <v>4.9499999999999995E-3</v>
      </c>
      <c r="CH246" s="320">
        <f t="shared" si="202"/>
        <v>5.5E-2</v>
      </c>
      <c r="CI246" s="319">
        <v>200</v>
      </c>
      <c r="CJ246" s="318">
        <f t="shared" si="229"/>
        <v>0.33333333333333331</v>
      </c>
      <c r="CK246" s="1259">
        <v>541</v>
      </c>
      <c r="CL246" s="301">
        <f t="shared" si="230"/>
        <v>-341</v>
      </c>
      <c r="CM246" s="381">
        <f t="shared" si="231"/>
        <v>541</v>
      </c>
      <c r="CN246" s="381">
        <f t="shared" si="232"/>
        <v>270.5</v>
      </c>
      <c r="CO246" s="316">
        <f t="shared" si="203"/>
        <v>100</v>
      </c>
      <c r="CP246" s="381">
        <f t="shared" si="204"/>
        <v>5.5E-2</v>
      </c>
      <c r="CQ246" s="381">
        <f t="shared" si="205"/>
        <v>0.14877499999999999</v>
      </c>
      <c r="CR246" s="313">
        <v>60000000</v>
      </c>
      <c r="CS246" s="313">
        <v>60000000</v>
      </c>
      <c r="CT246" s="313">
        <v>0</v>
      </c>
      <c r="CU246" s="313">
        <v>0</v>
      </c>
      <c r="CV246" s="313">
        <v>0</v>
      </c>
      <c r="CW246" s="313">
        <v>0</v>
      </c>
      <c r="CX246" s="313">
        <v>0</v>
      </c>
      <c r="CY246" s="313">
        <v>0</v>
      </c>
      <c r="CZ246" s="380">
        <v>0</v>
      </c>
      <c r="DA246" s="380">
        <v>0</v>
      </c>
      <c r="DB246" s="380">
        <v>0</v>
      </c>
      <c r="DC246" s="380">
        <v>0</v>
      </c>
      <c r="DD246" s="380">
        <v>0</v>
      </c>
      <c r="DE246" s="380">
        <v>0</v>
      </c>
      <c r="DF246" s="380">
        <v>0</v>
      </c>
      <c r="DG246" s="380">
        <v>0</v>
      </c>
      <c r="DH246" s="380">
        <v>0</v>
      </c>
      <c r="DI246" s="380">
        <v>0</v>
      </c>
      <c r="DJ246" s="380">
        <v>0</v>
      </c>
      <c r="DK246" s="702">
        <f t="shared" si="233"/>
        <v>815</v>
      </c>
      <c r="DL246" s="311">
        <f t="shared" si="206"/>
        <v>0.16500000000000001</v>
      </c>
      <c r="DM246" s="310">
        <f t="shared" si="207"/>
        <v>135.83333333333334</v>
      </c>
      <c r="DN246" s="356">
        <f t="shared" si="208"/>
        <v>100</v>
      </c>
      <c r="DO246" s="308">
        <f t="shared" si="209"/>
        <v>0.16500000000000001</v>
      </c>
      <c r="DP246" s="359">
        <f>+IF(((DN246*Q246)/100)&lt;Q246, ((DN246*Q246)/100),Q246)</f>
        <v>0.16500000000000001</v>
      </c>
      <c r="DQ246" s="306">
        <f t="shared" si="210"/>
        <v>0.16500000000000001</v>
      </c>
      <c r="DR246" s="379">
        <f t="shared" si="211"/>
        <v>1</v>
      </c>
      <c r="DS246" s="378">
        <f t="shared" si="212"/>
        <v>0</v>
      </c>
      <c r="DT246" s="173">
        <v>269</v>
      </c>
      <c r="DU246" s="174" t="s">
        <v>117</v>
      </c>
      <c r="DV246" s="173"/>
      <c r="DW246" s="174" t="s">
        <v>84</v>
      </c>
      <c r="DX246" s="173"/>
      <c r="DY246" s="173"/>
      <c r="DZ246" s="173"/>
      <c r="EA246" s="665"/>
      <c r="EB246" s="1254" t="s">
        <v>2266</v>
      </c>
      <c r="EC246" s="537">
        <v>0</v>
      </c>
      <c r="EE246" s="744">
        <v>12</v>
      </c>
      <c r="EF246" s="706"/>
    </row>
    <row r="247" spans="4:136" s="302" customFormat="1" ht="51" hidden="1">
      <c r="D247" s="520">
        <v>244</v>
      </c>
      <c r="E247" s="534">
        <v>292</v>
      </c>
      <c r="F247" s="523" t="s">
        <v>43</v>
      </c>
      <c r="G247" s="479" t="s">
        <v>7</v>
      </c>
      <c r="H247" s="526" t="s">
        <v>2659</v>
      </c>
      <c r="I247" s="462" t="s">
        <v>623</v>
      </c>
      <c r="J247" s="335" t="s">
        <v>648</v>
      </c>
      <c r="K247" s="335" t="s">
        <v>649</v>
      </c>
      <c r="L247" s="453" t="s">
        <v>1947</v>
      </c>
      <c r="M247" s="334" t="s">
        <v>1785</v>
      </c>
      <c r="N247" s="334">
        <v>0</v>
      </c>
      <c r="O247" s="333">
        <f>+P247</f>
        <v>100</v>
      </c>
      <c r="P247" s="332">
        <v>100</v>
      </c>
      <c r="Q247" s="390">
        <v>0.25</v>
      </c>
      <c r="R247" s="342">
        <f t="shared" si="190"/>
        <v>6.25E-2</v>
      </c>
      <c r="S247" s="389">
        <v>100</v>
      </c>
      <c r="T247" s="387">
        <f t="shared" si="220"/>
        <v>0.25</v>
      </c>
      <c r="U247" s="670">
        <v>0</v>
      </c>
      <c r="V247" s="388">
        <f t="shared" si="221"/>
        <v>0</v>
      </c>
      <c r="W247" s="356">
        <f t="shared" si="222"/>
        <v>0</v>
      </c>
      <c r="X247" s="356">
        <f t="shared" si="191"/>
        <v>0</v>
      </c>
      <c r="Y247" s="356">
        <f t="shared" si="215"/>
        <v>0</v>
      </c>
      <c r="Z247" s="356">
        <f t="shared" si="192"/>
        <v>0</v>
      </c>
      <c r="AA247" s="355">
        <v>0</v>
      </c>
      <c r="AB247" s="355">
        <v>0</v>
      </c>
      <c r="AC247" s="355">
        <v>0</v>
      </c>
      <c r="AD247" s="355">
        <v>0</v>
      </c>
      <c r="AE247" s="355">
        <v>0</v>
      </c>
      <c r="AF247" s="355">
        <v>0</v>
      </c>
      <c r="AG247" s="355">
        <v>0</v>
      </c>
      <c r="AH247" s="355">
        <v>0</v>
      </c>
      <c r="AI247" s="355">
        <v>0</v>
      </c>
      <c r="AJ247" s="355">
        <v>0</v>
      </c>
      <c r="AK247" s="355">
        <v>0</v>
      </c>
      <c r="AL247" s="355">
        <v>0</v>
      </c>
      <c r="AM247" s="355">
        <v>0</v>
      </c>
      <c r="AN247" s="355">
        <v>0</v>
      </c>
      <c r="AO247" s="355">
        <v>0</v>
      </c>
      <c r="AP247" s="355">
        <v>0</v>
      </c>
      <c r="AQ247" s="355">
        <v>0</v>
      </c>
      <c r="AR247" s="355">
        <v>0</v>
      </c>
      <c r="AS247" s="355">
        <v>0</v>
      </c>
      <c r="AT247" s="333">
        <f t="shared" si="193"/>
        <v>6.25E-2</v>
      </c>
      <c r="AU247" s="334">
        <v>100</v>
      </c>
      <c r="AV247" s="387">
        <f t="shared" si="223"/>
        <v>0.25</v>
      </c>
      <c r="AW247" s="677">
        <v>0</v>
      </c>
      <c r="AX247" s="366">
        <f t="shared" si="224"/>
        <v>0</v>
      </c>
      <c r="AY247" s="366">
        <f t="shared" si="225"/>
        <v>0</v>
      </c>
      <c r="AZ247" s="366">
        <f t="shared" si="194"/>
        <v>0</v>
      </c>
      <c r="BA247" s="354">
        <f t="shared" si="195"/>
        <v>0</v>
      </c>
      <c r="BB247" s="354">
        <f t="shared" si="196"/>
        <v>0</v>
      </c>
      <c r="BC247" s="353">
        <v>16000000</v>
      </c>
      <c r="BD247" s="353">
        <v>0</v>
      </c>
      <c r="BE247" s="353">
        <v>7000000</v>
      </c>
      <c r="BF247" s="353">
        <v>0</v>
      </c>
      <c r="BG247" s="353">
        <v>0</v>
      </c>
      <c r="BH247" s="353">
        <v>0</v>
      </c>
      <c r="BI247" s="353">
        <v>0</v>
      </c>
      <c r="BJ247" s="353">
        <v>9000000</v>
      </c>
      <c r="BK247" s="452">
        <v>7000000</v>
      </c>
      <c r="BL247" s="351">
        <v>7000000</v>
      </c>
      <c r="BM247" s="351">
        <v>0</v>
      </c>
      <c r="BN247" s="351">
        <v>0</v>
      </c>
      <c r="BO247" s="351">
        <v>0</v>
      </c>
      <c r="BP247" s="351">
        <v>0</v>
      </c>
      <c r="BQ247" s="351">
        <v>0</v>
      </c>
      <c r="BR247" s="351">
        <v>0</v>
      </c>
      <c r="BS247" s="351">
        <v>0</v>
      </c>
      <c r="BT247" s="351">
        <v>0</v>
      </c>
      <c r="BU247" s="351">
        <v>0</v>
      </c>
      <c r="BV247" s="350">
        <f t="shared" si="197"/>
        <v>6.25E-2</v>
      </c>
      <c r="BW247" s="350">
        <v>100</v>
      </c>
      <c r="BX247" s="385">
        <f t="shared" si="226"/>
        <v>0.25</v>
      </c>
      <c r="BY247" s="399">
        <v>66.8</v>
      </c>
      <c r="BZ247" s="398">
        <v>76.8</v>
      </c>
      <c r="CA247" s="690">
        <v>100</v>
      </c>
      <c r="CB247" s="324">
        <f t="shared" si="227"/>
        <v>25</v>
      </c>
      <c r="CC247" s="324">
        <f t="shared" si="228"/>
        <v>100</v>
      </c>
      <c r="CD247" s="384">
        <f t="shared" si="198"/>
        <v>100</v>
      </c>
      <c r="CE247" s="383">
        <f t="shared" si="199"/>
        <v>6.25E-2</v>
      </c>
      <c r="CF247" s="367">
        <f t="shared" si="200"/>
        <v>100</v>
      </c>
      <c r="CG247" s="383">
        <f t="shared" si="201"/>
        <v>6.25E-2</v>
      </c>
      <c r="CH247" s="320">
        <f t="shared" si="202"/>
        <v>6.25E-2</v>
      </c>
      <c r="CI247" s="319">
        <v>100</v>
      </c>
      <c r="CJ247" s="318">
        <f t="shared" si="229"/>
        <v>0.25</v>
      </c>
      <c r="CK247" s="1260">
        <v>100</v>
      </c>
      <c r="CL247" s="301">
        <f t="shared" si="230"/>
        <v>0</v>
      </c>
      <c r="CM247" s="381">
        <f t="shared" si="231"/>
        <v>25</v>
      </c>
      <c r="CN247" s="381">
        <f t="shared" si="232"/>
        <v>100</v>
      </c>
      <c r="CO247" s="381">
        <f t="shared" si="203"/>
        <v>100</v>
      </c>
      <c r="CP247" s="381">
        <f t="shared" si="204"/>
        <v>6.25E-2</v>
      </c>
      <c r="CQ247" s="381">
        <f t="shared" si="205"/>
        <v>6.25E-2</v>
      </c>
      <c r="CR247" s="313">
        <v>24000000</v>
      </c>
      <c r="CS247" s="313">
        <v>15000000</v>
      </c>
      <c r="CT247" s="313">
        <v>0</v>
      </c>
      <c r="CU247" s="313">
        <v>0</v>
      </c>
      <c r="CV247" s="313">
        <v>0</v>
      </c>
      <c r="CW247" s="313">
        <v>0</v>
      </c>
      <c r="CX247" s="313">
        <v>0</v>
      </c>
      <c r="CY247" s="313">
        <v>9000000</v>
      </c>
      <c r="CZ247" s="380">
        <v>0</v>
      </c>
      <c r="DA247" s="380">
        <v>0</v>
      </c>
      <c r="DB247" s="380">
        <v>0</v>
      </c>
      <c r="DC247" s="380">
        <v>0</v>
      </c>
      <c r="DD247" s="380">
        <v>0</v>
      </c>
      <c r="DE247" s="380">
        <v>0</v>
      </c>
      <c r="DF247" s="380">
        <v>0</v>
      </c>
      <c r="DG247" s="380">
        <v>0</v>
      </c>
      <c r="DH247" s="380">
        <v>0</v>
      </c>
      <c r="DI247" s="380">
        <v>0</v>
      </c>
      <c r="DJ247" s="380">
        <v>0</v>
      </c>
      <c r="DK247" s="702">
        <f t="shared" si="233"/>
        <v>50</v>
      </c>
      <c r="DL247" s="311">
        <f t="shared" si="206"/>
        <v>0.25</v>
      </c>
      <c r="DM247" s="310">
        <f t="shared" si="207"/>
        <v>50</v>
      </c>
      <c r="DN247" s="356">
        <f t="shared" si="208"/>
        <v>50</v>
      </c>
      <c r="DO247" s="308">
        <f t="shared" si="209"/>
        <v>0.125</v>
      </c>
      <c r="DP247" s="359">
        <f>+IF(M247="M",DO247,0)</f>
        <v>0.125</v>
      </c>
      <c r="DQ247" s="306">
        <f t="shared" si="210"/>
        <v>0.125</v>
      </c>
      <c r="DR247" s="379">
        <f t="shared" si="211"/>
        <v>1</v>
      </c>
      <c r="DS247" s="378">
        <f t="shared" si="212"/>
        <v>0</v>
      </c>
      <c r="DT247" s="173">
        <v>269</v>
      </c>
      <c r="DU247" s="174" t="s">
        <v>117</v>
      </c>
      <c r="DV247" s="173"/>
      <c r="DW247" s="174" t="s">
        <v>84</v>
      </c>
      <c r="DX247" s="173"/>
      <c r="DY247" s="173"/>
      <c r="DZ247" s="173"/>
      <c r="EA247" s="665"/>
      <c r="EB247" s="1254" t="s">
        <v>3250</v>
      </c>
      <c r="EC247" s="537">
        <v>1998000000</v>
      </c>
      <c r="EE247" s="734">
        <v>1000</v>
      </c>
      <c r="EF247" s="706"/>
    </row>
    <row r="248" spans="4:136" s="302" customFormat="1" ht="102" hidden="1">
      <c r="D248" s="520">
        <v>245</v>
      </c>
      <c r="E248" s="534">
        <v>293</v>
      </c>
      <c r="F248" s="523" t="s">
        <v>43</v>
      </c>
      <c r="G248" s="479" t="s">
        <v>7</v>
      </c>
      <c r="H248" s="526" t="s">
        <v>2659</v>
      </c>
      <c r="I248" s="462" t="s">
        <v>623</v>
      </c>
      <c r="J248" s="335" t="s">
        <v>650</v>
      </c>
      <c r="K248" s="335" t="s">
        <v>651</v>
      </c>
      <c r="L248" s="453" t="s">
        <v>1947</v>
      </c>
      <c r="M248" s="334" t="s">
        <v>1785</v>
      </c>
      <c r="N248" s="334">
        <v>0</v>
      </c>
      <c r="O248" s="333">
        <f>+P248</f>
        <v>100</v>
      </c>
      <c r="P248" s="332">
        <v>100</v>
      </c>
      <c r="Q248" s="390">
        <v>0.25</v>
      </c>
      <c r="R248" s="342">
        <f t="shared" si="190"/>
        <v>6.25E-2</v>
      </c>
      <c r="S248" s="389">
        <v>100</v>
      </c>
      <c r="T248" s="387">
        <f t="shared" si="220"/>
        <v>0.25</v>
      </c>
      <c r="U248" s="670">
        <v>100</v>
      </c>
      <c r="V248" s="388">
        <f t="shared" si="221"/>
        <v>25</v>
      </c>
      <c r="W248" s="356">
        <f t="shared" si="222"/>
        <v>100</v>
      </c>
      <c r="X248" s="356">
        <f t="shared" si="191"/>
        <v>100</v>
      </c>
      <c r="Y248" s="356">
        <f t="shared" si="215"/>
        <v>6.25E-2</v>
      </c>
      <c r="Z248" s="356">
        <f t="shared" si="192"/>
        <v>100</v>
      </c>
      <c r="AA248" s="355">
        <v>0</v>
      </c>
      <c r="AB248" s="355">
        <v>0</v>
      </c>
      <c r="AC248" s="355">
        <v>0</v>
      </c>
      <c r="AD248" s="355">
        <v>0</v>
      </c>
      <c r="AE248" s="355">
        <v>0</v>
      </c>
      <c r="AF248" s="355">
        <v>0</v>
      </c>
      <c r="AG248" s="355">
        <v>0</v>
      </c>
      <c r="AH248" s="355">
        <v>0</v>
      </c>
      <c r="AI248" s="355">
        <v>0</v>
      </c>
      <c r="AJ248" s="355">
        <v>0</v>
      </c>
      <c r="AK248" s="355">
        <v>0</v>
      </c>
      <c r="AL248" s="355">
        <v>0</v>
      </c>
      <c r="AM248" s="355">
        <v>0</v>
      </c>
      <c r="AN248" s="355">
        <v>0</v>
      </c>
      <c r="AO248" s="355">
        <v>0</v>
      </c>
      <c r="AP248" s="355">
        <v>0</v>
      </c>
      <c r="AQ248" s="355">
        <v>0</v>
      </c>
      <c r="AR248" s="355">
        <v>0</v>
      </c>
      <c r="AS248" s="355">
        <v>0</v>
      </c>
      <c r="AT248" s="333">
        <f t="shared" si="193"/>
        <v>6.25E-2</v>
      </c>
      <c r="AU248" s="334">
        <v>100</v>
      </c>
      <c r="AV248" s="387">
        <f t="shared" si="223"/>
        <v>0.25</v>
      </c>
      <c r="AW248" s="677">
        <v>100</v>
      </c>
      <c r="AX248" s="366">
        <f t="shared" si="224"/>
        <v>25</v>
      </c>
      <c r="AY248" s="366">
        <f t="shared" si="225"/>
        <v>100</v>
      </c>
      <c r="AZ248" s="366">
        <f t="shared" si="194"/>
        <v>100</v>
      </c>
      <c r="BA248" s="354">
        <f t="shared" si="195"/>
        <v>6.25E-2</v>
      </c>
      <c r="BB248" s="354">
        <f t="shared" si="196"/>
        <v>100</v>
      </c>
      <c r="BC248" s="353">
        <v>32250000</v>
      </c>
      <c r="BD248" s="353">
        <v>0</v>
      </c>
      <c r="BE248" s="353">
        <v>26000000</v>
      </c>
      <c r="BF248" s="353">
        <v>0</v>
      </c>
      <c r="BG248" s="353">
        <v>0</v>
      </c>
      <c r="BH248" s="353">
        <v>0</v>
      </c>
      <c r="BI248" s="353">
        <v>0</v>
      </c>
      <c r="BJ248" s="353">
        <v>6250000</v>
      </c>
      <c r="BK248" s="452">
        <v>26000000</v>
      </c>
      <c r="BL248" s="351">
        <v>26000000</v>
      </c>
      <c r="BM248" s="351">
        <v>0</v>
      </c>
      <c r="BN248" s="351">
        <v>0</v>
      </c>
      <c r="BO248" s="351">
        <v>0</v>
      </c>
      <c r="BP248" s="351">
        <v>0</v>
      </c>
      <c r="BQ248" s="351">
        <v>0</v>
      </c>
      <c r="BR248" s="351">
        <v>0</v>
      </c>
      <c r="BS248" s="351">
        <v>0</v>
      </c>
      <c r="BT248" s="351">
        <v>0</v>
      </c>
      <c r="BU248" s="351">
        <v>0</v>
      </c>
      <c r="BV248" s="350">
        <f t="shared" si="197"/>
        <v>6.25E-2</v>
      </c>
      <c r="BW248" s="350">
        <v>100</v>
      </c>
      <c r="BX248" s="385">
        <f t="shared" si="226"/>
        <v>0.25</v>
      </c>
      <c r="BY248" s="399">
        <v>20</v>
      </c>
      <c r="BZ248" s="398">
        <v>20</v>
      </c>
      <c r="CA248" s="690">
        <v>100</v>
      </c>
      <c r="CB248" s="324">
        <f t="shared" si="227"/>
        <v>25</v>
      </c>
      <c r="CC248" s="324">
        <f t="shared" si="228"/>
        <v>100</v>
      </c>
      <c r="CD248" s="384">
        <f t="shared" si="198"/>
        <v>100</v>
      </c>
      <c r="CE248" s="383">
        <f t="shared" si="199"/>
        <v>6.25E-2</v>
      </c>
      <c r="CF248" s="367">
        <f t="shared" si="200"/>
        <v>100</v>
      </c>
      <c r="CG248" s="383">
        <f t="shared" si="201"/>
        <v>6.25E-2</v>
      </c>
      <c r="CH248" s="320">
        <f t="shared" si="202"/>
        <v>6.25E-2</v>
      </c>
      <c r="CI248" s="319">
        <v>100</v>
      </c>
      <c r="CJ248" s="318">
        <f t="shared" si="229"/>
        <v>0.25</v>
      </c>
      <c r="CK248" s="1260">
        <v>100</v>
      </c>
      <c r="CL248" s="301">
        <f t="shared" si="230"/>
        <v>0</v>
      </c>
      <c r="CM248" s="381">
        <f t="shared" si="231"/>
        <v>25</v>
      </c>
      <c r="CN248" s="381">
        <f t="shared" si="232"/>
        <v>100</v>
      </c>
      <c r="CO248" s="381">
        <f t="shared" si="203"/>
        <v>100</v>
      </c>
      <c r="CP248" s="381">
        <f t="shared" si="204"/>
        <v>6.25E-2</v>
      </c>
      <c r="CQ248" s="381">
        <f t="shared" si="205"/>
        <v>6.25E-2</v>
      </c>
      <c r="CR248" s="313">
        <v>66250000</v>
      </c>
      <c r="CS248" s="313">
        <v>60000000</v>
      </c>
      <c r="CT248" s="313">
        <v>0</v>
      </c>
      <c r="CU248" s="313">
        <v>0</v>
      </c>
      <c r="CV248" s="313">
        <v>0</v>
      </c>
      <c r="CW248" s="313">
        <v>0</v>
      </c>
      <c r="CX248" s="313">
        <v>0</v>
      </c>
      <c r="CY248" s="313">
        <v>6250000</v>
      </c>
      <c r="CZ248" s="380">
        <v>0</v>
      </c>
      <c r="DA248" s="380">
        <v>0</v>
      </c>
      <c r="DB248" s="380">
        <v>0</v>
      </c>
      <c r="DC248" s="380">
        <v>0</v>
      </c>
      <c r="DD248" s="380">
        <v>0</v>
      </c>
      <c r="DE248" s="380">
        <v>0</v>
      </c>
      <c r="DF248" s="380">
        <v>0</v>
      </c>
      <c r="DG248" s="380">
        <v>0</v>
      </c>
      <c r="DH248" s="380">
        <v>0</v>
      </c>
      <c r="DI248" s="380">
        <v>0</v>
      </c>
      <c r="DJ248" s="380">
        <v>0</v>
      </c>
      <c r="DK248" s="702">
        <f t="shared" si="233"/>
        <v>100</v>
      </c>
      <c r="DL248" s="311">
        <f t="shared" si="206"/>
        <v>0.25</v>
      </c>
      <c r="DM248" s="310">
        <f t="shared" si="207"/>
        <v>100</v>
      </c>
      <c r="DN248" s="356">
        <f t="shared" si="208"/>
        <v>100</v>
      </c>
      <c r="DO248" s="308">
        <f t="shared" si="209"/>
        <v>0.25</v>
      </c>
      <c r="DP248" s="359">
        <f>+IF(M248="M",DO248,0)</f>
        <v>0.25</v>
      </c>
      <c r="DQ248" s="306">
        <f t="shared" si="210"/>
        <v>0.25</v>
      </c>
      <c r="DR248" s="379">
        <f t="shared" si="211"/>
        <v>1</v>
      </c>
      <c r="DS248" s="378">
        <f t="shared" si="212"/>
        <v>0</v>
      </c>
      <c r="DT248" s="173">
        <v>269</v>
      </c>
      <c r="DU248" s="174" t="s">
        <v>117</v>
      </c>
      <c r="DV248" s="173"/>
      <c r="DW248" s="174" t="s">
        <v>84</v>
      </c>
      <c r="DX248" s="173"/>
      <c r="DY248" s="173"/>
      <c r="DZ248" s="173"/>
      <c r="EA248" s="665"/>
      <c r="EB248" s="1254" t="s">
        <v>3251</v>
      </c>
      <c r="EC248" s="537">
        <v>499000000</v>
      </c>
      <c r="EE248" s="734">
        <v>2</v>
      </c>
      <c r="EF248" s="706"/>
    </row>
    <row r="249" spans="4:136" s="302" customFormat="1" ht="120" hidden="1">
      <c r="D249" s="520">
        <v>246</v>
      </c>
      <c r="E249" s="534">
        <v>294</v>
      </c>
      <c r="F249" s="523" t="s">
        <v>43</v>
      </c>
      <c r="G249" s="479" t="s">
        <v>8</v>
      </c>
      <c r="H249" s="526" t="s">
        <v>2659</v>
      </c>
      <c r="I249" s="462" t="s">
        <v>623</v>
      </c>
      <c r="J249" s="335" t="s">
        <v>652</v>
      </c>
      <c r="K249" s="335" t="s">
        <v>653</v>
      </c>
      <c r="L249" s="454" t="s">
        <v>1501</v>
      </c>
      <c r="M249" s="334" t="s">
        <v>1771</v>
      </c>
      <c r="N249" s="334">
        <v>742</v>
      </c>
      <c r="O249" s="333">
        <f>+N249+P249</f>
        <v>3742</v>
      </c>
      <c r="P249" s="332">
        <v>3000</v>
      </c>
      <c r="Q249" s="390">
        <v>0.25</v>
      </c>
      <c r="R249" s="342">
        <f t="shared" si="190"/>
        <v>4.1416666666666664E-2</v>
      </c>
      <c r="S249" s="389">
        <v>497</v>
      </c>
      <c r="T249" s="387">
        <f t="shared" si="220"/>
        <v>0.16566666666666666</v>
      </c>
      <c r="U249" s="670">
        <v>497</v>
      </c>
      <c r="V249" s="388">
        <f t="shared" si="221"/>
        <v>497</v>
      </c>
      <c r="W249" s="356">
        <f t="shared" si="222"/>
        <v>100</v>
      </c>
      <c r="X249" s="356">
        <f t="shared" si="191"/>
        <v>100</v>
      </c>
      <c r="Y249" s="356">
        <f t="shared" si="215"/>
        <v>4.1416666666666664E-2</v>
      </c>
      <c r="Z249" s="356">
        <f t="shared" si="192"/>
        <v>100</v>
      </c>
      <c r="AA249" s="355">
        <v>0</v>
      </c>
      <c r="AB249" s="355">
        <v>0</v>
      </c>
      <c r="AC249" s="355">
        <v>0</v>
      </c>
      <c r="AD249" s="355">
        <v>0</v>
      </c>
      <c r="AE249" s="355">
        <v>0</v>
      </c>
      <c r="AF249" s="355">
        <v>0</v>
      </c>
      <c r="AG249" s="355">
        <v>0</v>
      </c>
      <c r="AH249" s="355">
        <v>0</v>
      </c>
      <c r="AI249" s="355">
        <v>0</v>
      </c>
      <c r="AJ249" s="355">
        <v>0</v>
      </c>
      <c r="AK249" s="355">
        <v>0</v>
      </c>
      <c r="AL249" s="355">
        <v>0</v>
      </c>
      <c r="AM249" s="355">
        <v>0</v>
      </c>
      <c r="AN249" s="355">
        <v>0</v>
      </c>
      <c r="AO249" s="355">
        <v>0</v>
      </c>
      <c r="AP249" s="355">
        <v>0</v>
      </c>
      <c r="AQ249" s="355">
        <v>0</v>
      </c>
      <c r="AR249" s="355">
        <v>0</v>
      </c>
      <c r="AS249" s="355">
        <v>0</v>
      </c>
      <c r="AT249" s="333">
        <f t="shared" si="193"/>
        <v>6.25E-2</v>
      </c>
      <c r="AU249" s="334">
        <v>750</v>
      </c>
      <c r="AV249" s="387">
        <f t="shared" si="223"/>
        <v>0.25</v>
      </c>
      <c r="AW249" s="677">
        <v>750</v>
      </c>
      <c r="AX249" s="366">
        <f t="shared" si="224"/>
        <v>750</v>
      </c>
      <c r="AY249" s="366">
        <f t="shared" si="225"/>
        <v>100</v>
      </c>
      <c r="AZ249" s="366">
        <f t="shared" si="194"/>
        <v>100</v>
      </c>
      <c r="BA249" s="354">
        <f t="shared" si="195"/>
        <v>6.25E-2</v>
      </c>
      <c r="BB249" s="354">
        <f t="shared" si="196"/>
        <v>100</v>
      </c>
      <c r="BC249" s="353">
        <v>91000000</v>
      </c>
      <c r="BD249" s="353">
        <v>0</v>
      </c>
      <c r="BE249" s="353">
        <v>91000000</v>
      </c>
      <c r="BF249" s="353">
        <v>0</v>
      </c>
      <c r="BG249" s="353">
        <v>0</v>
      </c>
      <c r="BH249" s="353">
        <v>0</v>
      </c>
      <c r="BI249" s="353">
        <v>0</v>
      </c>
      <c r="BJ249" s="353">
        <v>0</v>
      </c>
      <c r="BK249" s="452">
        <v>37632000</v>
      </c>
      <c r="BL249" s="351">
        <v>37632000</v>
      </c>
      <c r="BM249" s="351">
        <v>0</v>
      </c>
      <c r="BN249" s="351">
        <v>0</v>
      </c>
      <c r="BO249" s="351">
        <v>0</v>
      </c>
      <c r="BP249" s="351">
        <v>0</v>
      </c>
      <c r="BQ249" s="351">
        <v>0</v>
      </c>
      <c r="BR249" s="351">
        <v>0</v>
      </c>
      <c r="BS249" s="351">
        <v>0</v>
      </c>
      <c r="BT249" s="351">
        <v>0</v>
      </c>
      <c r="BU249" s="351">
        <v>0</v>
      </c>
      <c r="BV249" s="350">
        <f t="shared" si="197"/>
        <v>7.2999999999999995E-2</v>
      </c>
      <c r="BW249" s="350">
        <v>876</v>
      </c>
      <c r="BX249" s="385">
        <f t="shared" si="226"/>
        <v>0.29199999999999998</v>
      </c>
      <c r="BY249" s="369">
        <v>1</v>
      </c>
      <c r="BZ249" s="391">
        <v>0</v>
      </c>
      <c r="CA249" s="689">
        <v>758</v>
      </c>
      <c r="CB249" s="324">
        <f t="shared" si="227"/>
        <v>758</v>
      </c>
      <c r="CC249" s="324">
        <f t="shared" si="228"/>
        <v>86.529680365296798</v>
      </c>
      <c r="CD249" s="384">
        <f t="shared" si="198"/>
        <v>86.529680365296798</v>
      </c>
      <c r="CE249" s="383">
        <f t="shared" si="199"/>
        <v>6.3166666666666649E-2</v>
      </c>
      <c r="CF249" s="367">
        <f t="shared" si="200"/>
        <v>86.529680365296798</v>
      </c>
      <c r="CG249" s="383">
        <f t="shared" si="201"/>
        <v>6.3166666666666649E-2</v>
      </c>
      <c r="CH249" s="320">
        <f t="shared" si="202"/>
        <v>7.3083333333333333E-2</v>
      </c>
      <c r="CI249" s="319">
        <v>877</v>
      </c>
      <c r="CJ249" s="318">
        <f t="shared" si="229"/>
        <v>0.29233333333333333</v>
      </c>
      <c r="CK249" s="1259">
        <v>1070</v>
      </c>
      <c r="CL249" s="301">
        <f t="shared" si="230"/>
        <v>-193</v>
      </c>
      <c r="CM249" s="381">
        <f t="shared" si="231"/>
        <v>1070</v>
      </c>
      <c r="CN249" s="381">
        <f t="shared" si="232"/>
        <v>122.00684150513113</v>
      </c>
      <c r="CO249" s="316">
        <f t="shared" si="203"/>
        <v>100</v>
      </c>
      <c r="CP249" s="381">
        <f t="shared" si="204"/>
        <v>7.3083333333333333E-2</v>
      </c>
      <c r="CQ249" s="381">
        <f t="shared" si="205"/>
        <v>8.9166666666666672E-2</v>
      </c>
      <c r="CR249" s="313">
        <v>210000000</v>
      </c>
      <c r="CS249" s="313">
        <v>210000000</v>
      </c>
      <c r="CT249" s="313">
        <v>0</v>
      </c>
      <c r="CU249" s="313">
        <v>0</v>
      </c>
      <c r="CV249" s="313">
        <v>0</v>
      </c>
      <c r="CW249" s="313">
        <v>0</v>
      </c>
      <c r="CX249" s="313">
        <v>0</v>
      </c>
      <c r="CY249" s="313">
        <v>0</v>
      </c>
      <c r="CZ249" s="380">
        <v>0</v>
      </c>
      <c r="DA249" s="380">
        <v>0</v>
      </c>
      <c r="DB249" s="380">
        <v>0</v>
      </c>
      <c r="DC249" s="380">
        <v>0</v>
      </c>
      <c r="DD249" s="380">
        <v>0</v>
      </c>
      <c r="DE249" s="380">
        <v>0</v>
      </c>
      <c r="DF249" s="380">
        <v>0</v>
      </c>
      <c r="DG249" s="380">
        <v>0</v>
      </c>
      <c r="DH249" s="380">
        <v>0</v>
      </c>
      <c r="DI249" s="380">
        <v>0</v>
      </c>
      <c r="DJ249" s="380">
        <v>0</v>
      </c>
      <c r="DK249" s="702">
        <f t="shared" si="233"/>
        <v>3075</v>
      </c>
      <c r="DL249" s="311">
        <f t="shared" si="206"/>
        <v>0.25</v>
      </c>
      <c r="DM249" s="310">
        <f t="shared" si="207"/>
        <v>102.5</v>
      </c>
      <c r="DN249" s="356">
        <f t="shared" si="208"/>
        <v>100</v>
      </c>
      <c r="DO249" s="308">
        <f t="shared" si="209"/>
        <v>0.25</v>
      </c>
      <c r="DP249" s="359">
        <f>+IF(((DN249*Q249)/100)&lt;Q249, ((DN249*Q249)/100),Q249)</f>
        <v>0.25</v>
      </c>
      <c r="DQ249" s="306">
        <f t="shared" si="210"/>
        <v>0.25</v>
      </c>
      <c r="DR249" s="379">
        <f t="shared" si="211"/>
        <v>1</v>
      </c>
      <c r="DS249" s="378">
        <f t="shared" si="212"/>
        <v>0</v>
      </c>
      <c r="DT249" s="173">
        <v>35</v>
      </c>
      <c r="DU249" s="174" t="s">
        <v>137</v>
      </c>
      <c r="DV249" s="173">
        <v>36</v>
      </c>
      <c r="DW249" s="174" t="s">
        <v>136</v>
      </c>
      <c r="DX249" s="173">
        <v>37</v>
      </c>
      <c r="DY249" s="173">
        <v>38</v>
      </c>
      <c r="DZ249" s="173"/>
      <c r="EA249" s="665"/>
      <c r="EB249" s="1254" t="s">
        <v>2463</v>
      </c>
      <c r="EC249" s="537">
        <v>60000000</v>
      </c>
      <c r="EE249" s="734">
        <v>30</v>
      </c>
      <c r="EF249" s="706"/>
    </row>
    <row r="250" spans="4:136" s="302" customFormat="1" ht="120" hidden="1">
      <c r="D250" s="520">
        <v>247</v>
      </c>
      <c r="E250" s="534">
        <v>295</v>
      </c>
      <c r="F250" s="523" t="s">
        <v>43</v>
      </c>
      <c r="G250" s="479" t="s">
        <v>8</v>
      </c>
      <c r="H250" s="526" t="s">
        <v>2659</v>
      </c>
      <c r="I250" s="462" t="s">
        <v>623</v>
      </c>
      <c r="J250" s="335" t="s">
        <v>654</v>
      </c>
      <c r="K250" s="335" t="s">
        <v>655</v>
      </c>
      <c r="L250" s="453" t="s">
        <v>1947</v>
      </c>
      <c r="M250" s="334" t="s">
        <v>1785</v>
      </c>
      <c r="N250" s="334">
        <v>100</v>
      </c>
      <c r="O250" s="333">
        <f>+P250</f>
        <v>100</v>
      </c>
      <c r="P250" s="332">
        <v>100</v>
      </c>
      <c r="Q250" s="390">
        <v>0.16500000000000001</v>
      </c>
      <c r="R250" s="342">
        <f t="shared" si="190"/>
        <v>4.1250000000000002E-2</v>
      </c>
      <c r="S250" s="389">
        <v>100</v>
      </c>
      <c r="T250" s="387">
        <f t="shared" si="220"/>
        <v>0.25</v>
      </c>
      <c r="U250" s="670">
        <v>100</v>
      </c>
      <c r="V250" s="388">
        <f t="shared" si="221"/>
        <v>25</v>
      </c>
      <c r="W250" s="356">
        <f t="shared" si="222"/>
        <v>100</v>
      </c>
      <c r="X250" s="356">
        <f t="shared" si="191"/>
        <v>100</v>
      </c>
      <c r="Y250" s="356">
        <f t="shared" si="215"/>
        <v>4.1250000000000002E-2</v>
      </c>
      <c r="Z250" s="356">
        <f t="shared" si="192"/>
        <v>100</v>
      </c>
      <c r="AA250" s="355">
        <v>0</v>
      </c>
      <c r="AB250" s="355">
        <v>0</v>
      </c>
      <c r="AC250" s="355">
        <v>0</v>
      </c>
      <c r="AD250" s="355">
        <v>0</v>
      </c>
      <c r="AE250" s="355">
        <v>0</v>
      </c>
      <c r="AF250" s="355">
        <v>0</v>
      </c>
      <c r="AG250" s="355">
        <v>0</v>
      </c>
      <c r="AH250" s="355">
        <v>0</v>
      </c>
      <c r="AI250" s="355">
        <v>0</v>
      </c>
      <c r="AJ250" s="355">
        <v>0</v>
      </c>
      <c r="AK250" s="355">
        <v>0</v>
      </c>
      <c r="AL250" s="355">
        <v>0</v>
      </c>
      <c r="AM250" s="355">
        <v>0</v>
      </c>
      <c r="AN250" s="355">
        <v>0</v>
      </c>
      <c r="AO250" s="355">
        <v>0</v>
      </c>
      <c r="AP250" s="355">
        <v>0</v>
      </c>
      <c r="AQ250" s="355">
        <v>0</v>
      </c>
      <c r="AR250" s="355">
        <v>0</v>
      </c>
      <c r="AS250" s="355">
        <v>0</v>
      </c>
      <c r="AT250" s="333">
        <f t="shared" si="193"/>
        <v>4.1250000000000002E-2</v>
      </c>
      <c r="AU250" s="334">
        <v>100</v>
      </c>
      <c r="AV250" s="387">
        <f t="shared" si="223"/>
        <v>0.25</v>
      </c>
      <c r="AW250" s="677">
        <v>100</v>
      </c>
      <c r="AX250" s="366">
        <f t="shared" si="224"/>
        <v>25</v>
      </c>
      <c r="AY250" s="366">
        <f t="shared" si="225"/>
        <v>100</v>
      </c>
      <c r="AZ250" s="366">
        <f t="shared" si="194"/>
        <v>100</v>
      </c>
      <c r="BA250" s="354">
        <f t="shared" si="195"/>
        <v>4.1250000000000002E-2</v>
      </c>
      <c r="BB250" s="354">
        <f t="shared" si="196"/>
        <v>100</v>
      </c>
      <c r="BC250" s="353">
        <v>0</v>
      </c>
      <c r="BD250" s="353">
        <v>0</v>
      </c>
      <c r="BE250" s="353">
        <v>0</v>
      </c>
      <c r="BF250" s="353">
        <v>0</v>
      </c>
      <c r="BG250" s="353">
        <v>0</v>
      </c>
      <c r="BH250" s="353">
        <v>0</v>
      </c>
      <c r="BI250" s="353">
        <v>0</v>
      </c>
      <c r="BJ250" s="353">
        <v>0</v>
      </c>
      <c r="BK250" s="452">
        <v>0</v>
      </c>
      <c r="BL250" s="351">
        <v>0</v>
      </c>
      <c r="BM250" s="351">
        <v>0</v>
      </c>
      <c r="BN250" s="351">
        <v>0</v>
      </c>
      <c r="BO250" s="351">
        <v>0</v>
      </c>
      <c r="BP250" s="351">
        <v>0</v>
      </c>
      <c r="BQ250" s="351">
        <v>0</v>
      </c>
      <c r="BR250" s="351">
        <v>0</v>
      </c>
      <c r="BS250" s="351">
        <v>0</v>
      </c>
      <c r="BT250" s="351">
        <v>0</v>
      </c>
      <c r="BU250" s="351">
        <v>0</v>
      </c>
      <c r="BV250" s="350">
        <f t="shared" si="197"/>
        <v>4.1250000000000002E-2</v>
      </c>
      <c r="BW250" s="350">
        <v>100</v>
      </c>
      <c r="BX250" s="385">
        <f t="shared" si="226"/>
        <v>0.25</v>
      </c>
      <c r="BY250" s="369">
        <v>100</v>
      </c>
      <c r="BZ250" s="391">
        <v>100</v>
      </c>
      <c r="CA250" s="689">
        <v>100</v>
      </c>
      <c r="CB250" s="324">
        <f t="shared" si="227"/>
        <v>25</v>
      </c>
      <c r="CC250" s="324">
        <f t="shared" si="228"/>
        <v>100</v>
      </c>
      <c r="CD250" s="384">
        <f t="shared" si="198"/>
        <v>100</v>
      </c>
      <c r="CE250" s="383">
        <f t="shared" si="199"/>
        <v>4.1250000000000002E-2</v>
      </c>
      <c r="CF250" s="367">
        <f t="shared" si="200"/>
        <v>100</v>
      </c>
      <c r="CG250" s="383">
        <f t="shared" si="201"/>
        <v>4.1250000000000002E-2</v>
      </c>
      <c r="CH250" s="320">
        <f t="shared" si="202"/>
        <v>4.1250000000000002E-2</v>
      </c>
      <c r="CI250" s="319">
        <v>100</v>
      </c>
      <c r="CJ250" s="318">
        <f t="shared" si="229"/>
        <v>0.25</v>
      </c>
      <c r="CK250" s="1259">
        <v>100</v>
      </c>
      <c r="CL250" s="301">
        <f t="shared" si="230"/>
        <v>0</v>
      </c>
      <c r="CM250" s="381">
        <f t="shared" si="231"/>
        <v>25</v>
      </c>
      <c r="CN250" s="381">
        <f t="shared" si="232"/>
        <v>100</v>
      </c>
      <c r="CO250" s="381">
        <f t="shared" si="203"/>
        <v>100</v>
      </c>
      <c r="CP250" s="381">
        <f t="shared" si="204"/>
        <v>4.1250000000000002E-2</v>
      </c>
      <c r="CQ250" s="381">
        <f t="shared" si="205"/>
        <v>4.1250000000000002E-2</v>
      </c>
      <c r="CR250" s="313">
        <v>0</v>
      </c>
      <c r="CS250" s="313">
        <v>0</v>
      </c>
      <c r="CT250" s="313">
        <v>0</v>
      </c>
      <c r="CU250" s="313">
        <v>0</v>
      </c>
      <c r="CV250" s="313">
        <v>0</v>
      </c>
      <c r="CW250" s="313">
        <v>0</v>
      </c>
      <c r="CX250" s="313">
        <v>0</v>
      </c>
      <c r="CY250" s="313">
        <v>0</v>
      </c>
      <c r="CZ250" s="380">
        <v>0</v>
      </c>
      <c r="DA250" s="380">
        <v>0</v>
      </c>
      <c r="DB250" s="380">
        <v>0</v>
      </c>
      <c r="DC250" s="380">
        <v>0</v>
      </c>
      <c r="DD250" s="380">
        <v>0</v>
      </c>
      <c r="DE250" s="380">
        <v>0</v>
      </c>
      <c r="DF250" s="380">
        <v>0</v>
      </c>
      <c r="DG250" s="380">
        <v>0</v>
      </c>
      <c r="DH250" s="380">
        <v>0</v>
      </c>
      <c r="DI250" s="380">
        <v>0</v>
      </c>
      <c r="DJ250" s="380">
        <v>0</v>
      </c>
      <c r="DK250" s="702">
        <f t="shared" si="233"/>
        <v>100</v>
      </c>
      <c r="DL250" s="311">
        <f t="shared" si="206"/>
        <v>0.16500000000000001</v>
      </c>
      <c r="DM250" s="310">
        <f t="shared" si="207"/>
        <v>100</v>
      </c>
      <c r="DN250" s="356">
        <f t="shared" si="208"/>
        <v>100</v>
      </c>
      <c r="DO250" s="308">
        <f t="shared" si="209"/>
        <v>0.16500000000000001</v>
      </c>
      <c r="DP250" s="359">
        <f>+IF(M250="M",DO250,0)</f>
        <v>0.16500000000000001</v>
      </c>
      <c r="DQ250" s="306">
        <f t="shared" si="210"/>
        <v>0.16500000000000001</v>
      </c>
      <c r="DR250" s="379">
        <f t="shared" si="211"/>
        <v>1</v>
      </c>
      <c r="DS250" s="378">
        <f t="shared" si="212"/>
        <v>0</v>
      </c>
      <c r="DT250" s="173">
        <v>35</v>
      </c>
      <c r="DU250" s="174" t="s">
        <v>137</v>
      </c>
      <c r="DV250" s="173">
        <v>36</v>
      </c>
      <c r="DW250" s="174" t="s">
        <v>136</v>
      </c>
      <c r="DX250" s="173">
        <v>78</v>
      </c>
      <c r="DY250" s="173"/>
      <c r="DZ250" s="173"/>
      <c r="EA250" s="665"/>
      <c r="EB250" s="1254" t="s">
        <v>2464</v>
      </c>
      <c r="EC250" s="537">
        <v>7000000</v>
      </c>
      <c r="EE250" s="734">
        <v>0</v>
      </c>
      <c r="EF250" s="706"/>
    </row>
    <row r="251" spans="4:136" s="302" customFormat="1" ht="120" hidden="1">
      <c r="D251" s="520">
        <v>248</v>
      </c>
      <c r="E251" s="534">
        <v>296</v>
      </c>
      <c r="F251" s="523" t="s">
        <v>43</v>
      </c>
      <c r="G251" s="479" t="s">
        <v>8</v>
      </c>
      <c r="H251" s="526" t="s">
        <v>2659</v>
      </c>
      <c r="I251" s="462" t="s">
        <v>623</v>
      </c>
      <c r="J251" s="335" t="s">
        <v>656</v>
      </c>
      <c r="K251" s="335" t="s">
        <v>657</v>
      </c>
      <c r="L251" s="453" t="s">
        <v>1947</v>
      </c>
      <c r="M251" s="334" t="s">
        <v>1785</v>
      </c>
      <c r="N251" s="334">
        <v>100</v>
      </c>
      <c r="O251" s="333">
        <f>+P251</f>
        <v>100</v>
      </c>
      <c r="P251" s="332">
        <v>100</v>
      </c>
      <c r="Q251" s="390">
        <v>0.16500000000000001</v>
      </c>
      <c r="R251" s="342">
        <f t="shared" si="190"/>
        <v>4.1250000000000002E-2</v>
      </c>
      <c r="S251" s="389">
        <v>100</v>
      </c>
      <c r="T251" s="387">
        <f t="shared" si="220"/>
        <v>0.25</v>
      </c>
      <c r="U251" s="670">
        <v>95</v>
      </c>
      <c r="V251" s="388">
        <f t="shared" si="221"/>
        <v>23.75</v>
      </c>
      <c r="W251" s="356">
        <f t="shared" si="222"/>
        <v>95</v>
      </c>
      <c r="X251" s="356">
        <f t="shared" si="191"/>
        <v>95</v>
      </c>
      <c r="Y251" s="356">
        <f t="shared" si="215"/>
        <v>3.91875E-2</v>
      </c>
      <c r="Z251" s="356">
        <f t="shared" si="192"/>
        <v>95</v>
      </c>
      <c r="AA251" s="355">
        <v>0</v>
      </c>
      <c r="AB251" s="355">
        <v>0</v>
      </c>
      <c r="AC251" s="355">
        <v>0</v>
      </c>
      <c r="AD251" s="355">
        <v>0</v>
      </c>
      <c r="AE251" s="355">
        <v>0</v>
      </c>
      <c r="AF251" s="355">
        <v>0</v>
      </c>
      <c r="AG251" s="355">
        <v>0</v>
      </c>
      <c r="AH251" s="355">
        <v>0</v>
      </c>
      <c r="AI251" s="355">
        <v>0</v>
      </c>
      <c r="AJ251" s="355">
        <v>0</v>
      </c>
      <c r="AK251" s="355">
        <v>0</v>
      </c>
      <c r="AL251" s="355">
        <v>0</v>
      </c>
      <c r="AM251" s="355">
        <v>0</v>
      </c>
      <c r="AN251" s="355">
        <v>0</v>
      </c>
      <c r="AO251" s="355">
        <v>0</v>
      </c>
      <c r="AP251" s="355">
        <v>0</v>
      </c>
      <c r="AQ251" s="355">
        <v>0</v>
      </c>
      <c r="AR251" s="355">
        <v>0</v>
      </c>
      <c r="AS251" s="355">
        <v>0</v>
      </c>
      <c r="AT251" s="333">
        <f t="shared" si="193"/>
        <v>4.1250000000000002E-2</v>
      </c>
      <c r="AU251" s="334">
        <v>100</v>
      </c>
      <c r="AV251" s="387">
        <f t="shared" si="223"/>
        <v>0.25</v>
      </c>
      <c r="AW251" s="677">
        <v>100</v>
      </c>
      <c r="AX251" s="366">
        <f t="shared" si="224"/>
        <v>25</v>
      </c>
      <c r="AY251" s="366">
        <f t="shared" si="225"/>
        <v>100</v>
      </c>
      <c r="AZ251" s="366">
        <f t="shared" si="194"/>
        <v>100</v>
      </c>
      <c r="BA251" s="354">
        <f t="shared" si="195"/>
        <v>4.1250000000000002E-2</v>
      </c>
      <c r="BB251" s="354">
        <f t="shared" si="196"/>
        <v>100</v>
      </c>
      <c r="BC251" s="353">
        <v>0</v>
      </c>
      <c r="BD251" s="353">
        <v>0</v>
      </c>
      <c r="BE251" s="353">
        <v>0</v>
      </c>
      <c r="BF251" s="353">
        <v>0</v>
      </c>
      <c r="BG251" s="353">
        <v>0</v>
      </c>
      <c r="BH251" s="353">
        <v>0</v>
      </c>
      <c r="BI251" s="353">
        <v>0</v>
      </c>
      <c r="BJ251" s="353">
        <v>0</v>
      </c>
      <c r="BK251" s="452">
        <v>0</v>
      </c>
      <c r="BL251" s="351">
        <v>0</v>
      </c>
      <c r="BM251" s="351">
        <v>0</v>
      </c>
      <c r="BN251" s="351">
        <v>0</v>
      </c>
      <c r="BO251" s="351">
        <v>0</v>
      </c>
      <c r="BP251" s="351">
        <v>0</v>
      </c>
      <c r="BQ251" s="351">
        <v>0</v>
      </c>
      <c r="BR251" s="351">
        <v>0</v>
      </c>
      <c r="BS251" s="351">
        <v>0</v>
      </c>
      <c r="BT251" s="351">
        <v>0</v>
      </c>
      <c r="BU251" s="351">
        <v>0</v>
      </c>
      <c r="BV251" s="350">
        <f t="shared" si="197"/>
        <v>4.1250000000000002E-2</v>
      </c>
      <c r="BW251" s="350">
        <v>100</v>
      </c>
      <c r="BX251" s="385">
        <f t="shared" si="226"/>
        <v>0.25</v>
      </c>
      <c r="BY251" s="369">
        <v>0</v>
      </c>
      <c r="BZ251" s="391">
        <v>0</v>
      </c>
      <c r="CA251" s="689">
        <v>100</v>
      </c>
      <c r="CB251" s="324">
        <f t="shared" si="227"/>
        <v>25</v>
      </c>
      <c r="CC251" s="324">
        <f t="shared" si="228"/>
        <v>100</v>
      </c>
      <c r="CD251" s="384">
        <f t="shared" si="198"/>
        <v>100</v>
      </c>
      <c r="CE251" s="383">
        <f t="shared" si="199"/>
        <v>4.1250000000000002E-2</v>
      </c>
      <c r="CF251" s="367">
        <f t="shared" si="200"/>
        <v>100</v>
      </c>
      <c r="CG251" s="383">
        <f t="shared" si="201"/>
        <v>4.1250000000000002E-2</v>
      </c>
      <c r="CH251" s="320">
        <f t="shared" si="202"/>
        <v>4.1250000000000002E-2</v>
      </c>
      <c r="CI251" s="319">
        <v>100</v>
      </c>
      <c r="CJ251" s="318">
        <f t="shared" si="229"/>
        <v>0.25</v>
      </c>
      <c r="CK251" s="1259">
        <v>100</v>
      </c>
      <c r="CL251" s="301">
        <f t="shared" si="230"/>
        <v>0</v>
      </c>
      <c r="CM251" s="381">
        <f t="shared" si="231"/>
        <v>25</v>
      </c>
      <c r="CN251" s="381">
        <f t="shared" si="232"/>
        <v>100</v>
      </c>
      <c r="CO251" s="381">
        <f t="shared" si="203"/>
        <v>100</v>
      </c>
      <c r="CP251" s="381">
        <f t="shared" si="204"/>
        <v>4.1250000000000002E-2</v>
      </c>
      <c r="CQ251" s="381">
        <f t="shared" si="205"/>
        <v>4.1250000000000002E-2</v>
      </c>
      <c r="CR251" s="313">
        <v>0</v>
      </c>
      <c r="CS251" s="313">
        <v>0</v>
      </c>
      <c r="CT251" s="313">
        <v>0</v>
      </c>
      <c r="CU251" s="313">
        <v>0</v>
      </c>
      <c r="CV251" s="313">
        <v>0</v>
      </c>
      <c r="CW251" s="313">
        <v>0</v>
      </c>
      <c r="CX251" s="313">
        <v>0</v>
      </c>
      <c r="CY251" s="313">
        <v>0</v>
      </c>
      <c r="CZ251" s="380">
        <v>0</v>
      </c>
      <c r="DA251" s="380">
        <v>0</v>
      </c>
      <c r="DB251" s="380">
        <v>0</v>
      </c>
      <c r="DC251" s="380">
        <v>0</v>
      </c>
      <c r="DD251" s="380">
        <v>0</v>
      </c>
      <c r="DE251" s="380">
        <v>0</v>
      </c>
      <c r="DF251" s="380">
        <v>0</v>
      </c>
      <c r="DG251" s="380">
        <v>0</v>
      </c>
      <c r="DH251" s="380">
        <v>0</v>
      </c>
      <c r="DI251" s="380">
        <v>0</v>
      </c>
      <c r="DJ251" s="380">
        <v>0</v>
      </c>
      <c r="DK251" s="702">
        <f t="shared" si="233"/>
        <v>98.75</v>
      </c>
      <c r="DL251" s="311">
        <f t="shared" si="206"/>
        <v>0.16500000000000001</v>
      </c>
      <c r="DM251" s="310">
        <f t="shared" si="207"/>
        <v>98.75</v>
      </c>
      <c r="DN251" s="356">
        <f t="shared" si="208"/>
        <v>98.75</v>
      </c>
      <c r="DO251" s="308">
        <f t="shared" si="209"/>
        <v>0.16293749999999999</v>
      </c>
      <c r="DP251" s="359">
        <f>+IF(M251="M",DO251,0)</f>
        <v>0.16293749999999999</v>
      </c>
      <c r="DQ251" s="306">
        <f t="shared" si="210"/>
        <v>0.16293749999999999</v>
      </c>
      <c r="DR251" s="379">
        <f t="shared" si="211"/>
        <v>1</v>
      </c>
      <c r="DS251" s="378">
        <f t="shared" si="212"/>
        <v>0</v>
      </c>
      <c r="DT251" s="173">
        <v>35</v>
      </c>
      <c r="DU251" s="174" t="s">
        <v>137</v>
      </c>
      <c r="DV251" s="173">
        <v>36</v>
      </c>
      <c r="DW251" s="174" t="s">
        <v>136</v>
      </c>
      <c r="DX251" s="173">
        <v>37</v>
      </c>
      <c r="DY251" s="173">
        <v>78</v>
      </c>
      <c r="DZ251" s="173"/>
      <c r="EA251" s="665"/>
      <c r="EB251" s="1254" t="s">
        <v>2465</v>
      </c>
      <c r="EC251" s="537">
        <v>0</v>
      </c>
      <c r="EE251" s="733">
        <v>0</v>
      </c>
      <c r="EF251" s="706"/>
    </row>
    <row r="252" spans="4:136" s="302" customFormat="1" ht="63.75" hidden="1">
      <c r="D252" s="520">
        <v>249</v>
      </c>
      <c r="E252" s="534">
        <v>297</v>
      </c>
      <c r="F252" s="523" t="s">
        <v>43</v>
      </c>
      <c r="G252" s="479" t="s">
        <v>3</v>
      </c>
      <c r="H252" s="526" t="s">
        <v>2659</v>
      </c>
      <c r="I252" s="462" t="s">
        <v>623</v>
      </c>
      <c r="J252" s="335" t="s">
        <v>658</v>
      </c>
      <c r="K252" s="335" t="s">
        <v>659</v>
      </c>
      <c r="L252" s="454" t="s">
        <v>1501</v>
      </c>
      <c r="M252" s="334" t="s">
        <v>1771</v>
      </c>
      <c r="N252" s="334">
        <v>0</v>
      </c>
      <c r="O252" s="333">
        <f>+N252+P252</f>
        <v>3776</v>
      </c>
      <c r="P252" s="332">
        <v>3776</v>
      </c>
      <c r="Q252" s="390">
        <v>0.16500000000000001</v>
      </c>
      <c r="R252" s="342">
        <f t="shared" si="190"/>
        <v>0</v>
      </c>
      <c r="S252" s="389">
        <v>0</v>
      </c>
      <c r="T252" s="387">
        <f t="shared" si="220"/>
        <v>0</v>
      </c>
      <c r="U252" s="670">
        <v>0</v>
      </c>
      <c r="V252" s="388">
        <f t="shared" si="221"/>
        <v>0</v>
      </c>
      <c r="W252" s="356">
        <f t="shared" si="222"/>
        <v>0</v>
      </c>
      <c r="X252" s="356">
        <f t="shared" si="191"/>
        <v>0</v>
      </c>
      <c r="Y252" s="356">
        <f t="shared" si="215"/>
        <v>0</v>
      </c>
      <c r="Z252" s="356">
        <f t="shared" si="192"/>
        <v>0</v>
      </c>
      <c r="AA252" s="355">
        <v>0</v>
      </c>
      <c r="AB252" s="355">
        <v>0</v>
      </c>
      <c r="AC252" s="355">
        <v>0</v>
      </c>
      <c r="AD252" s="355">
        <v>0</v>
      </c>
      <c r="AE252" s="355">
        <v>0</v>
      </c>
      <c r="AF252" s="355">
        <v>0</v>
      </c>
      <c r="AG252" s="355">
        <v>0</v>
      </c>
      <c r="AH252" s="355">
        <v>0</v>
      </c>
      <c r="AI252" s="355">
        <v>0</v>
      </c>
      <c r="AJ252" s="355">
        <v>0</v>
      </c>
      <c r="AK252" s="355">
        <v>0</v>
      </c>
      <c r="AL252" s="355">
        <v>0</v>
      </c>
      <c r="AM252" s="355">
        <v>0</v>
      </c>
      <c r="AN252" s="355">
        <v>0</v>
      </c>
      <c r="AO252" s="355">
        <v>0</v>
      </c>
      <c r="AP252" s="355">
        <v>0</v>
      </c>
      <c r="AQ252" s="355">
        <v>0</v>
      </c>
      <c r="AR252" s="355">
        <v>0</v>
      </c>
      <c r="AS252" s="355">
        <v>0</v>
      </c>
      <c r="AT252" s="333">
        <f t="shared" si="193"/>
        <v>5.4970868644067791E-2</v>
      </c>
      <c r="AU252" s="334">
        <v>1258</v>
      </c>
      <c r="AV252" s="387">
        <f t="shared" si="223"/>
        <v>0.33315677966101692</v>
      </c>
      <c r="AW252" s="677">
        <v>1277</v>
      </c>
      <c r="AX252" s="366">
        <f t="shared" si="224"/>
        <v>1277</v>
      </c>
      <c r="AY252" s="366">
        <f t="shared" si="225"/>
        <v>101.51033386327504</v>
      </c>
      <c r="AZ252" s="366">
        <f t="shared" si="194"/>
        <v>100</v>
      </c>
      <c r="BA252" s="354">
        <f t="shared" si="195"/>
        <v>5.4970868644067791E-2</v>
      </c>
      <c r="BB252" s="354">
        <f t="shared" si="196"/>
        <v>100</v>
      </c>
      <c r="BC252" s="353">
        <v>26000000</v>
      </c>
      <c r="BD252" s="353">
        <v>0</v>
      </c>
      <c r="BE252" s="353">
        <v>26000000</v>
      </c>
      <c r="BF252" s="353">
        <v>0</v>
      </c>
      <c r="BG252" s="353">
        <v>0</v>
      </c>
      <c r="BH252" s="353">
        <v>0</v>
      </c>
      <c r="BI252" s="353">
        <v>0</v>
      </c>
      <c r="BJ252" s="353">
        <v>0</v>
      </c>
      <c r="BK252" s="452">
        <v>12160743</v>
      </c>
      <c r="BL252" s="351">
        <v>12160743</v>
      </c>
      <c r="BM252" s="351">
        <v>0</v>
      </c>
      <c r="BN252" s="351">
        <v>0</v>
      </c>
      <c r="BO252" s="351">
        <v>0</v>
      </c>
      <c r="BP252" s="351">
        <v>0</v>
      </c>
      <c r="BQ252" s="351">
        <v>0</v>
      </c>
      <c r="BR252" s="351">
        <v>0</v>
      </c>
      <c r="BS252" s="351">
        <v>0</v>
      </c>
      <c r="BT252" s="351">
        <v>0</v>
      </c>
      <c r="BU252" s="351">
        <v>0</v>
      </c>
      <c r="BV252" s="350">
        <f t="shared" si="197"/>
        <v>5.5014565677966101E-2</v>
      </c>
      <c r="BW252" s="350">
        <v>1259</v>
      </c>
      <c r="BX252" s="385">
        <f t="shared" si="226"/>
        <v>0.33342161016949151</v>
      </c>
      <c r="BY252" s="369">
        <v>1420</v>
      </c>
      <c r="BZ252" s="391">
        <v>1420</v>
      </c>
      <c r="CA252" s="689">
        <v>1420</v>
      </c>
      <c r="CB252" s="324">
        <f t="shared" si="227"/>
        <v>1420</v>
      </c>
      <c r="CC252" s="324">
        <f t="shared" si="228"/>
        <v>112.78792692613185</v>
      </c>
      <c r="CD252" s="384">
        <f t="shared" si="198"/>
        <v>100</v>
      </c>
      <c r="CE252" s="383">
        <f t="shared" si="199"/>
        <v>5.5014565677966101E-2</v>
      </c>
      <c r="CF252" s="367">
        <f t="shared" si="200"/>
        <v>100</v>
      </c>
      <c r="CG252" s="383">
        <f t="shared" si="201"/>
        <v>6.2049788135593219E-2</v>
      </c>
      <c r="CH252" s="320">
        <f t="shared" si="202"/>
        <v>5.5014565677966101E-2</v>
      </c>
      <c r="CI252" s="319">
        <v>1259</v>
      </c>
      <c r="CJ252" s="318">
        <f t="shared" si="229"/>
        <v>0.33342161016949151</v>
      </c>
      <c r="CK252" s="1259">
        <v>1247</v>
      </c>
      <c r="CL252" s="301">
        <f t="shared" si="230"/>
        <v>12</v>
      </c>
      <c r="CM252" s="381">
        <f t="shared" si="231"/>
        <v>1247</v>
      </c>
      <c r="CN252" s="381">
        <f t="shared" si="232"/>
        <v>99.046862589356635</v>
      </c>
      <c r="CO252" s="316">
        <f t="shared" si="203"/>
        <v>99.046862589356635</v>
      </c>
      <c r="CP252" s="381">
        <f t="shared" si="204"/>
        <v>5.4490201271186443E-2</v>
      </c>
      <c r="CQ252" s="381">
        <f t="shared" si="205"/>
        <v>5.4490201271186443E-2</v>
      </c>
      <c r="CR252" s="313">
        <v>28000000</v>
      </c>
      <c r="CS252" s="313">
        <v>28000000</v>
      </c>
      <c r="CT252" s="313">
        <v>0</v>
      </c>
      <c r="CU252" s="313">
        <v>0</v>
      </c>
      <c r="CV252" s="313">
        <v>0</v>
      </c>
      <c r="CW252" s="313">
        <v>0</v>
      </c>
      <c r="CX252" s="313">
        <v>0</v>
      </c>
      <c r="CY252" s="313">
        <v>0</v>
      </c>
      <c r="CZ252" s="380">
        <v>0</v>
      </c>
      <c r="DA252" s="380">
        <v>0</v>
      </c>
      <c r="DB252" s="380">
        <v>0</v>
      </c>
      <c r="DC252" s="380">
        <v>0</v>
      </c>
      <c r="DD252" s="380">
        <v>0</v>
      </c>
      <c r="DE252" s="380">
        <v>0</v>
      </c>
      <c r="DF252" s="380">
        <v>0</v>
      </c>
      <c r="DG252" s="380">
        <v>0</v>
      </c>
      <c r="DH252" s="380">
        <v>0</v>
      </c>
      <c r="DI252" s="380">
        <v>0</v>
      </c>
      <c r="DJ252" s="380">
        <v>0</v>
      </c>
      <c r="DK252" s="702">
        <f t="shared" si="233"/>
        <v>3944</v>
      </c>
      <c r="DL252" s="311">
        <f t="shared" si="206"/>
        <v>0.16499999999999998</v>
      </c>
      <c r="DM252" s="310">
        <f t="shared" si="207"/>
        <v>104.44915254237289</v>
      </c>
      <c r="DN252" s="356">
        <f t="shared" si="208"/>
        <v>100</v>
      </c>
      <c r="DO252" s="308">
        <f t="shared" si="209"/>
        <v>0.16500000000000001</v>
      </c>
      <c r="DP252" s="359">
        <f>+IF(((DN252*Q252)/100)&lt;Q252, ((DN252*Q252)/100),Q252)</f>
        <v>0.16500000000000001</v>
      </c>
      <c r="DQ252" s="306">
        <f t="shared" si="210"/>
        <v>0.16500000000000001</v>
      </c>
      <c r="DR252" s="379">
        <f t="shared" si="211"/>
        <v>1</v>
      </c>
      <c r="DS252" s="378">
        <f t="shared" si="212"/>
        <v>0</v>
      </c>
      <c r="DT252" s="173">
        <v>269</v>
      </c>
      <c r="DU252" s="174" t="s">
        <v>117</v>
      </c>
      <c r="DV252" s="173"/>
      <c r="DW252" s="174" t="s">
        <v>84</v>
      </c>
      <c r="DX252" s="173"/>
      <c r="DY252" s="173"/>
      <c r="DZ252" s="173"/>
      <c r="EA252" s="665"/>
      <c r="EB252" s="1254" t="s">
        <v>2227</v>
      </c>
      <c r="EC252" s="537">
        <v>8000000</v>
      </c>
      <c r="EE252" s="734">
        <v>0</v>
      </c>
      <c r="EF252" s="706"/>
    </row>
    <row r="253" spans="4:136" s="302" customFormat="1" ht="76.5" hidden="1">
      <c r="D253" s="520">
        <v>250</v>
      </c>
      <c r="E253" s="534">
        <v>298</v>
      </c>
      <c r="F253" s="523" t="s">
        <v>43</v>
      </c>
      <c r="G253" s="479" t="s">
        <v>3</v>
      </c>
      <c r="H253" s="526" t="s">
        <v>2659</v>
      </c>
      <c r="I253" s="462" t="s">
        <v>623</v>
      </c>
      <c r="J253" s="335" t="s">
        <v>660</v>
      </c>
      <c r="K253" s="335" t="s">
        <v>661</v>
      </c>
      <c r="L253" s="454" t="s">
        <v>1501</v>
      </c>
      <c r="M253" s="334" t="s">
        <v>1771</v>
      </c>
      <c r="N253" s="334">
        <v>0</v>
      </c>
      <c r="O253" s="333">
        <f>+N253+P253</f>
        <v>400</v>
      </c>
      <c r="P253" s="332">
        <v>400</v>
      </c>
      <c r="Q253" s="390">
        <v>0.16500000000000001</v>
      </c>
      <c r="R253" s="342">
        <f t="shared" si="190"/>
        <v>0</v>
      </c>
      <c r="S253" s="389">
        <v>0</v>
      </c>
      <c r="T253" s="387">
        <f t="shared" si="220"/>
        <v>0</v>
      </c>
      <c r="U253" s="670">
        <v>0</v>
      </c>
      <c r="V253" s="388">
        <f t="shared" si="221"/>
        <v>0</v>
      </c>
      <c r="W253" s="356">
        <f t="shared" si="222"/>
        <v>0</v>
      </c>
      <c r="X253" s="356">
        <f t="shared" si="191"/>
        <v>0</v>
      </c>
      <c r="Y253" s="356">
        <f t="shared" si="215"/>
        <v>0</v>
      </c>
      <c r="Z253" s="356">
        <f t="shared" si="192"/>
        <v>0</v>
      </c>
      <c r="AA253" s="355">
        <v>0</v>
      </c>
      <c r="AB253" s="355">
        <v>0</v>
      </c>
      <c r="AC253" s="355">
        <v>0</v>
      </c>
      <c r="AD253" s="355">
        <v>0</v>
      </c>
      <c r="AE253" s="355">
        <v>0</v>
      </c>
      <c r="AF253" s="355">
        <v>0</v>
      </c>
      <c r="AG253" s="355">
        <v>0</v>
      </c>
      <c r="AH253" s="355">
        <v>0</v>
      </c>
      <c r="AI253" s="355">
        <v>0</v>
      </c>
      <c r="AJ253" s="355">
        <v>0</v>
      </c>
      <c r="AK253" s="355">
        <v>0</v>
      </c>
      <c r="AL253" s="355">
        <v>0</v>
      </c>
      <c r="AM253" s="355">
        <v>0</v>
      </c>
      <c r="AN253" s="355">
        <v>0</v>
      </c>
      <c r="AO253" s="355">
        <v>0</v>
      </c>
      <c r="AP253" s="355">
        <v>0</v>
      </c>
      <c r="AQ253" s="355">
        <v>0</v>
      </c>
      <c r="AR253" s="355">
        <v>0</v>
      </c>
      <c r="AS253" s="355">
        <v>0</v>
      </c>
      <c r="AT253" s="333">
        <f t="shared" si="193"/>
        <v>5.4862500000000008E-2</v>
      </c>
      <c r="AU253" s="334">
        <v>133</v>
      </c>
      <c r="AV253" s="387">
        <f t="shared" si="223"/>
        <v>0.33250000000000002</v>
      </c>
      <c r="AW253" s="677">
        <v>140</v>
      </c>
      <c r="AX253" s="366">
        <f t="shared" si="224"/>
        <v>140</v>
      </c>
      <c r="AY253" s="366">
        <f t="shared" si="225"/>
        <v>105.26315789473684</v>
      </c>
      <c r="AZ253" s="366">
        <f t="shared" si="194"/>
        <v>100</v>
      </c>
      <c r="BA253" s="354">
        <f t="shared" si="195"/>
        <v>5.4862500000000008E-2</v>
      </c>
      <c r="BB253" s="354">
        <f t="shared" si="196"/>
        <v>100</v>
      </c>
      <c r="BC253" s="353">
        <v>26000000</v>
      </c>
      <c r="BD253" s="353">
        <v>0</v>
      </c>
      <c r="BE253" s="353">
        <v>26000000</v>
      </c>
      <c r="BF253" s="353">
        <v>0</v>
      </c>
      <c r="BG253" s="353">
        <v>0</v>
      </c>
      <c r="BH253" s="353">
        <v>0</v>
      </c>
      <c r="BI253" s="353">
        <v>0</v>
      </c>
      <c r="BJ253" s="353">
        <v>0</v>
      </c>
      <c r="BK253" s="452">
        <v>12160743</v>
      </c>
      <c r="BL253" s="351">
        <v>12160743</v>
      </c>
      <c r="BM253" s="351">
        <v>0</v>
      </c>
      <c r="BN253" s="351">
        <v>0</v>
      </c>
      <c r="BO253" s="351">
        <v>0</v>
      </c>
      <c r="BP253" s="351">
        <v>0</v>
      </c>
      <c r="BQ253" s="351">
        <v>0</v>
      </c>
      <c r="BR253" s="351">
        <v>0</v>
      </c>
      <c r="BS253" s="351">
        <v>0</v>
      </c>
      <c r="BT253" s="351">
        <v>0</v>
      </c>
      <c r="BU253" s="351">
        <v>0</v>
      </c>
      <c r="BV253" s="350">
        <f t="shared" si="197"/>
        <v>5.4862500000000008E-2</v>
      </c>
      <c r="BW253" s="350">
        <v>133</v>
      </c>
      <c r="BX253" s="385">
        <f t="shared" si="226"/>
        <v>0.33250000000000002</v>
      </c>
      <c r="BY253" s="369">
        <v>138</v>
      </c>
      <c r="BZ253" s="391">
        <v>138</v>
      </c>
      <c r="CA253" s="689">
        <v>138</v>
      </c>
      <c r="CB253" s="324">
        <f t="shared" si="227"/>
        <v>138</v>
      </c>
      <c r="CC253" s="324">
        <f t="shared" si="228"/>
        <v>103.75939849624061</v>
      </c>
      <c r="CD253" s="384">
        <f t="shared" si="198"/>
        <v>100</v>
      </c>
      <c r="CE253" s="383">
        <f t="shared" si="199"/>
        <v>5.4862500000000008E-2</v>
      </c>
      <c r="CF253" s="367">
        <f t="shared" si="200"/>
        <v>100</v>
      </c>
      <c r="CG253" s="383">
        <f t="shared" si="201"/>
        <v>5.692500000000001E-2</v>
      </c>
      <c r="CH253" s="320">
        <f t="shared" si="202"/>
        <v>5.5275000000000005E-2</v>
      </c>
      <c r="CI253" s="319">
        <v>134</v>
      </c>
      <c r="CJ253" s="318">
        <f t="shared" si="229"/>
        <v>0.33500000000000002</v>
      </c>
      <c r="CK253" s="1259">
        <v>157</v>
      </c>
      <c r="CL253" s="301">
        <f t="shared" si="230"/>
        <v>-23</v>
      </c>
      <c r="CM253" s="381">
        <f t="shared" si="231"/>
        <v>157</v>
      </c>
      <c r="CN253" s="381">
        <f t="shared" si="232"/>
        <v>117.16417910447761</v>
      </c>
      <c r="CO253" s="316">
        <f t="shared" si="203"/>
        <v>100</v>
      </c>
      <c r="CP253" s="381">
        <f t="shared" si="204"/>
        <v>5.5275000000000005E-2</v>
      </c>
      <c r="CQ253" s="381">
        <f t="shared" si="205"/>
        <v>6.4762500000000001E-2</v>
      </c>
      <c r="CR253" s="313">
        <v>28000000</v>
      </c>
      <c r="CS253" s="313">
        <v>28000000</v>
      </c>
      <c r="CT253" s="313">
        <v>0</v>
      </c>
      <c r="CU253" s="313">
        <v>0</v>
      </c>
      <c r="CV253" s="313">
        <v>0</v>
      </c>
      <c r="CW253" s="313">
        <v>0</v>
      </c>
      <c r="CX253" s="313">
        <v>0</v>
      </c>
      <c r="CY253" s="313">
        <v>0</v>
      </c>
      <c r="CZ253" s="380">
        <v>0</v>
      </c>
      <c r="DA253" s="380">
        <v>0</v>
      </c>
      <c r="DB253" s="380">
        <v>0</v>
      </c>
      <c r="DC253" s="380">
        <v>0</v>
      </c>
      <c r="DD253" s="380">
        <v>0</v>
      </c>
      <c r="DE253" s="380">
        <v>0</v>
      </c>
      <c r="DF253" s="380">
        <v>0</v>
      </c>
      <c r="DG253" s="380">
        <v>0</v>
      </c>
      <c r="DH253" s="380">
        <v>0</v>
      </c>
      <c r="DI253" s="380">
        <v>0</v>
      </c>
      <c r="DJ253" s="380">
        <v>0</v>
      </c>
      <c r="DK253" s="702">
        <f t="shared" si="233"/>
        <v>435</v>
      </c>
      <c r="DL253" s="311">
        <f t="shared" si="206"/>
        <v>0.16500000000000004</v>
      </c>
      <c r="DM253" s="310">
        <f t="shared" si="207"/>
        <v>108.75</v>
      </c>
      <c r="DN253" s="356">
        <f t="shared" si="208"/>
        <v>100</v>
      </c>
      <c r="DO253" s="308">
        <f t="shared" si="209"/>
        <v>0.16500000000000001</v>
      </c>
      <c r="DP253" s="359">
        <f>+IF(((DN253*Q253)/100)&lt;Q253, ((DN253*Q253)/100),Q253)</f>
        <v>0.16500000000000001</v>
      </c>
      <c r="DQ253" s="306">
        <f t="shared" si="210"/>
        <v>0.16500000000000001</v>
      </c>
      <c r="DR253" s="379">
        <f t="shared" si="211"/>
        <v>1</v>
      </c>
      <c r="DS253" s="378">
        <f t="shared" si="212"/>
        <v>0</v>
      </c>
      <c r="DT253" s="173">
        <v>269</v>
      </c>
      <c r="DU253" s="174" t="s">
        <v>117</v>
      </c>
      <c r="DV253" s="173"/>
      <c r="DW253" s="174" t="s">
        <v>84</v>
      </c>
      <c r="DX253" s="173"/>
      <c r="DY253" s="173"/>
      <c r="DZ253" s="173"/>
      <c r="EA253" s="665"/>
      <c r="EB253" s="1254" t="s">
        <v>2228</v>
      </c>
      <c r="EC253" s="537">
        <v>0</v>
      </c>
      <c r="EE253" s="734">
        <v>0</v>
      </c>
      <c r="EF253" s="706"/>
    </row>
    <row r="254" spans="4:136" s="302" customFormat="1" ht="63.75" hidden="1">
      <c r="D254" s="520">
        <v>251</v>
      </c>
      <c r="E254" s="534">
        <v>299</v>
      </c>
      <c r="F254" s="523" t="s">
        <v>43</v>
      </c>
      <c r="G254" s="479" t="s">
        <v>3</v>
      </c>
      <c r="H254" s="526" t="s">
        <v>2659</v>
      </c>
      <c r="I254" s="462" t="s">
        <v>623</v>
      </c>
      <c r="J254" s="335" t="s">
        <v>662</v>
      </c>
      <c r="K254" s="335" t="s">
        <v>663</v>
      </c>
      <c r="L254" s="454" t="s">
        <v>1501</v>
      </c>
      <c r="M254" s="334" t="s">
        <v>1771</v>
      </c>
      <c r="N254" s="334">
        <v>0</v>
      </c>
      <c r="O254" s="333">
        <f>+N254+P254</f>
        <v>1363</v>
      </c>
      <c r="P254" s="332">
        <v>1363</v>
      </c>
      <c r="Q254" s="390">
        <v>0.16500000000000001</v>
      </c>
      <c r="R254" s="342">
        <f t="shared" si="190"/>
        <v>4.1159207630227443E-2</v>
      </c>
      <c r="S254" s="389">
        <v>340</v>
      </c>
      <c r="T254" s="387">
        <f t="shared" si="220"/>
        <v>0.24944974321349964</v>
      </c>
      <c r="U254" s="670">
        <v>346</v>
      </c>
      <c r="V254" s="388">
        <f t="shared" si="221"/>
        <v>346</v>
      </c>
      <c r="W254" s="356">
        <f t="shared" si="222"/>
        <v>101.76470588235294</v>
      </c>
      <c r="X254" s="356">
        <f t="shared" si="191"/>
        <v>100</v>
      </c>
      <c r="Y254" s="356">
        <f t="shared" si="215"/>
        <v>4.1159207630227443E-2</v>
      </c>
      <c r="Z254" s="356">
        <f t="shared" si="192"/>
        <v>100</v>
      </c>
      <c r="AA254" s="355">
        <v>10000000</v>
      </c>
      <c r="AB254" s="355">
        <v>10000000</v>
      </c>
      <c r="AC254" s="355">
        <v>0</v>
      </c>
      <c r="AD254" s="355">
        <v>0</v>
      </c>
      <c r="AE254" s="355">
        <v>0</v>
      </c>
      <c r="AF254" s="355">
        <v>0</v>
      </c>
      <c r="AG254" s="355">
        <v>0</v>
      </c>
      <c r="AH254" s="355">
        <v>0</v>
      </c>
      <c r="AI254" s="355">
        <v>10000000</v>
      </c>
      <c r="AJ254" s="355">
        <v>10000000</v>
      </c>
      <c r="AK254" s="355">
        <v>0</v>
      </c>
      <c r="AL254" s="355">
        <v>0</v>
      </c>
      <c r="AM254" s="355">
        <v>0</v>
      </c>
      <c r="AN254" s="355">
        <v>0</v>
      </c>
      <c r="AO254" s="355">
        <v>0</v>
      </c>
      <c r="AP254" s="355">
        <v>0</v>
      </c>
      <c r="AQ254" s="355">
        <v>0</v>
      </c>
      <c r="AR254" s="355">
        <v>0</v>
      </c>
      <c r="AS254" s="355">
        <v>0</v>
      </c>
      <c r="AT254" s="333">
        <f t="shared" si="193"/>
        <v>4.1280264123257519E-2</v>
      </c>
      <c r="AU254" s="334">
        <v>341</v>
      </c>
      <c r="AV254" s="387">
        <f t="shared" si="223"/>
        <v>0.25018341892883345</v>
      </c>
      <c r="AW254" s="677">
        <v>346</v>
      </c>
      <c r="AX254" s="366">
        <f t="shared" si="224"/>
        <v>346</v>
      </c>
      <c r="AY254" s="366">
        <f t="shared" si="225"/>
        <v>101.46627565982405</v>
      </c>
      <c r="AZ254" s="366">
        <f t="shared" si="194"/>
        <v>100</v>
      </c>
      <c r="BA254" s="354">
        <f t="shared" si="195"/>
        <v>4.1280264123257512E-2</v>
      </c>
      <c r="BB254" s="354">
        <f t="shared" si="196"/>
        <v>100</v>
      </c>
      <c r="BC254" s="353">
        <v>20000000</v>
      </c>
      <c r="BD254" s="353">
        <v>0</v>
      </c>
      <c r="BE254" s="353">
        <v>20000000</v>
      </c>
      <c r="BF254" s="353">
        <v>0</v>
      </c>
      <c r="BG254" s="353">
        <v>0</v>
      </c>
      <c r="BH254" s="353">
        <v>0</v>
      </c>
      <c r="BI254" s="353">
        <v>0</v>
      </c>
      <c r="BJ254" s="353">
        <v>0</v>
      </c>
      <c r="BK254" s="452">
        <v>14202286</v>
      </c>
      <c r="BL254" s="351">
        <v>14202286</v>
      </c>
      <c r="BM254" s="351">
        <v>0</v>
      </c>
      <c r="BN254" s="351">
        <v>0</v>
      </c>
      <c r="BO254" s="351">
        <v>0</v>
      </c>
      <c r="BP254" s="351">
        <v>0</v>
      </c>
      <c r="BQ254" s="351">
        <v>0</v>
      </c>
      <c r="BR254" s="351">
        <v>0</v>
      </c>
      <c r="BS254" s="351">
        <v>0</v>
      </c>
      <c r="BT254" s="351">
        <v>0</v>
      </c>
      <c r="BU254" s="351">
        <v>0</v>
      </c>
      <c r="BV254" s="350">
        <f t="shared" si="197"/>
        <v>4.1280264123257519E-2</v>
      </c>
      <c r="BW254" s="350">
        <v>341</v>
      </c>
      <c r="BX254" s="385">
        <f t="shared" si="226"/>
        <v>0.25018341892883345</v>
      </c>
      <c r="BY254" s="369">
        <v>224</v>
      </c>
      <c r="BZ254" s="391">
        <v>224</v>
      </c>
      <c r="CA254" s="689">
        <v>390</v>
      </c>
      <c r="CB254" s="324">
        <f t="shared" si="227"/>
        <v>390</v>
      </c>
      <c r="CC254" s="324">
        <f t="shared" si="228"/>
        <v>114.36950146627566</v>
      </c>
      <c r="CD254" s="384">
        <f t="shared" si="198"/>
        <v>100</v>
      </c>
      <c r="CE254" s="383">
        <f t="shared" si="199"/>
        <v>4.1280264123257512E-2</v>
      </c>
      <c r="CF254" s="367">
        <f t="shared" si="200"/>
        <v>100</v>
      </c>
      <c r="CG254" s="383">
        <f t="shared" si="201"/>
        <v>4.7212032281731479E-2</v>
      </c>
      <c r="CH254" s="320">
        <f t="shared" si="202"/>
        <v>4.1280264123257519E-2</v>
      </c>
      <c r="CI254" s="319">
        <v>341</v>
      </c>
      <c r="CJ254" s="318">
        <f t="shared" si="229"/>
        <v>0.25018341892883345</v>
      </c>
      <c r="CK254" s="1259">
        <v>595</v>
      </c>
      <c r="CL254" s="301">
        <f t="shared" si="230"/>
        <v>-254</v>
      </c>
      <c r="CM254" s="381">
        <f t="shared" si="231"/>
        <v>595</v>
      </c>
      <c r="CN254" s="381">
        <f t="shared" si="232"/>
        <v>174.4868035190616</v>
      </c>
      <c r="CO254" s="316">
        <f t="shared" si="203"/>
        <v>100</v>
      </c>
      <c r="CP254" s="381">
        <f t="shared" si="204"/>
        <v>4.1280264123257512E-2</v>
      </c>
      <c r="CQ254" s="381">
        <f t="shared" si="205"/>
        <v>7.2028613352898022E-2</v>
      </c>
      <c r="CR254" s="313">
        <v>20000000</v>
      </c>
      <c r="CS254" s="313">
        <v>20000000</v>
      </c>
      <c r="CT254" s="313">
        <v>0</v>
      </c>
      <c r="CU254" s="313">
        <v>0</v>
      </c>
      <c r="CV254" s="313">
        <v>0</v>
      </c>
      <c r="CW254" s="313">
        <v>0</v>
      </c>
      <c r="CX254" s="313">
        <v>0</v>
      </c>
      <c r="CY254" s="313">
        <v>0</v>
      </c>
      <c r="CZ254" s="380">
        <v>0</v>
      </c>
      <c r="DA254" s="380">
        <v>0</v>
      </c>
      <c r="DB254" s="380">
        <v>0</v>
      </c>
      <c r="DC254" s="380">
        <v>0</v>
      </c>
      <c r="DD254" s="380">
        <v>0</v>
      </c>
      <c r="DE254" s="380">
        <v>0</v>
      </c>
      <c r="DF254" s="380">
        <v>0</v>
      </c>
      <c r="DG254" s="380">
        <v>0</v>
      </c>
      <c r="DH254" s="380">
        <v>0</v>
      </c>
      <c r="DI254" s="380">
        <v>0</v>
      </c>
      <c r="DJ254" s="380">
        <v>0</v>
      </c>
      <c r="DK254" s="702">
        <f t="shared" si="233"/>
        <v>1677</v>
      </c>
      <c r="DL254" s="311">
        <f t="shared" si="206"/>
        <v>0.16500000000000001</v>
      </c>
      <c r="DM254" s="310">
        <f t="shared" si="207"/>
        <v>123.03741746148202</v>
      </c>
      <c r="DN254" s="356">
        <f t="shared" si="208"/>
        <v>100</v>
      </c>
      <c r="DO254" s="308">
        <f t="shared" si="209"/>
        <v>0.16500000000000001</v>
      </c>
      <c r="DP254" s="359">
        <f>+IF(((DN254*Q254)/100)&lt;Q254, ((DN254*Q254)/100),Q254)</f>
        <v>0.16500000000000001</v>
      </c>
      <c r="DQ254" s="306">
        <f t="shared" si="210"/>
        <v>0.16500000000000001</v>
      </c>
      <c r="DR254" s="379">
        <f t="shared" si="211"/>
        <v>1</v>
      </c>
      <c r="DS254" s="378">
        <f t="shared" si="212"/>
        <v>0</v>
      </c>
      <c r="DT254" s="173">
        <v>39</v>
      </c>
      <c r="DU254" s="174" t="s">
        <v>217</v>
      </c>
      <c r="DV254" s="173"/>
      <c r="DW254" s="174" t="s">
        <v>84</v>
      </c>
      <c r="DX254" s="173"/>
      <c r="DY254" s="173"/>
      <c r="DZ254" s="173"/>
      <c r="EA254" s="665"/>
      <c r="EB254" s="1254" t="s">
        <v>2229</v>
      </c>
      <c r="EC254" s="537">
        <v>20000000</v>
      </c>
      <c r="EE254" s="734">
        <v>5</v>
      </c>
      <c r="EF254" s="706"/>
    </row>
    <row r="255" spans="4:136" s="302" customFormat="1" ht="51" hidden="1">
      <c r="D255" s="520">
        <v>252</v>
      </c>
      <c r="E255" s="534">
        <v>300</v>
      </c>
      <c r="F255" s="523" t="s">
        <v>43</v>
      </c>
      <c r="G255" s="479" t="s">
        <v>3</v>
      </c>
      <c r="H255" s="526" t="s">
        <v>2659</v>
      </c>
      <c r="I255" s="462" t="s">
        <v>623</v>
      </c>
      <c r="J255" s="335" t="s">
        <v>664</v>
      </c>
      <c r="K255" s="335" t="s">
        <v>665</v>
      </c>
      <c r="L255" s="453" t="s">
        <v>1501</v>
      </c>
      <c r="M255" s="334" t="s">
        <v>1785</v>
      </c>
      <c r="N255" s="334">
        <v>0</v>
      </c>
      <c r="O255" s="333">
        <f>+P255</f>
        <v>2000</v>
      </c>
      <c r="P255" s="332">
        <v>2000</v>
      </c>
      <c r="Q255" s="390">
        <v>0.16500000000000001</v>
      </c>
      <c r="R255" s="342">
        <f t="shared" si="190"/>
        <v>4.1250000000000002E-2</v>
      </c>
      <c r="S255" s="389">
        <v>2000</v>
      </c>
      <c r="T255" s="387">
        <f t="shared" si="220"/>
        <v>0.25</v>
      </c>
      <c r="U255" s="670">
        <v>2040</v>
      </c>
      <c r="V255" s="388">
        <f t="shared" si="221"/>
        <v>510</v>
      </c>
      <c r="W255" s="356">
        <f t="shared" si="222"/>
        <v>102</v>
      </c>
      <c r="X255" s="356">
        <f t="shared" si="191"/>
        <v>100</v>
      </c>
      <c r="Y255" s="356">
        <f t="shared" si="215"/>
        <v>4.1250000000000002E-2</v>
      </c>
      <c r="Z255" s="356">
        <f t="shared" si="192"/>
        <v>100</v>
      </c>
      <c r="AA255" s="355">
        <v>5000000</v>
      </c>
      <c r="AB255" s="355">
        <v>5000000</v>
      </c>
      <c r="AC255" s="355">
        <v>0</v>
      </c>
      <c r="AD255" s="355">
        <v>0</v>
      </c>
      <c r="AE255" s="355">
        <v>0</v>
      </c>
      <c r="AF255" s="355">
        <v>0</v>
      </c>
      <c r="AG255" s="355">
        <v>0</v>
      </c>
      <c r="AH255" s="355">
        <v>0</v>
      </c>
      <c r="AI255" s="355">
        <v>5000000</v>
      </c>
      <c r="AJ255" s="355">
        <v>5000000</v>
      </c>
      <c r="AK255" s="355">
        <v>0</v>
      </c>
      <c r="AL255" s="355">
        <v>0</v>
      </c>
      <c r="AM255" s="355">
        <v>0</v>
      </c>
      <c r="AN255" s="355">
        <v>0</v>
      </c>
      <c r="AO255" s="355">
        <v>0</v>
      </c>
      <c r="AP255" s="355">
        <v>0</v>
      </c>
      <c r="AQ255" s="355">
        <v>0</v>
      </c>
      <c r="AR255" s="355">
        <v>0</v>
      </c>
      <c r="AS255" s="355">
        <v>0</v>
      </c>
      <c r="AT255" s="333">
        <f t="shared" si="193"/>
        <v>4.1250000000000002E-2</v>
      </c>
      <c r="AU255" s="334">
        <v>2000</v>
      </c>
      <c r="AV255" s="387">
        <f t="shared" si="223"/>
        <v>0.25</v>
      </c>
      <c r="AW255" s="684">
        <v>2043</v>
      </c>
      <c r="AX255" s="366">
        <f t="shared" si="224"/>
        <v>510.75</v>
      </c>
      <c r="AY255" s="366">
        <f t="shared" si="225"/>
        <v>102.15</v>
      </c>
      <c r="AZ255" s="366">
        <f t="shared" si="194"/>
        <v>100</v>
      </c>
      <c r="BA255" s="354">
        <f t="shared" si="195"/>
        <v>4.1250000000000002E-2</v>
      </c>
      <c r="BB255" s="354">
        <f t="shared" si="196"/>
        <v>100</v>
      </c>
      <c r="BC255" s="353">
        <v>3000000</v>
      </c>
      <c r="BD255" s="353">
        <v>0</v>
      </c>
      <c r="BE255" s="353">
        <v>3000000</v>
      </c>
      <c r="BF255" s="353">
        <v>0</v>
      </c>
      <c r="BG255" s="353">
        <v>0</v>
      </c>
      <c r="BH255" s="353">
        <v>0</v>
      </c>
      <c r="BI255" s="353">
        <v>0</v>
      </c>
      <c r="BJ255" s="353">
        <v>0</v>
      </c>
      <c r="BK255" s="452">
        <v>12160743</v>
      </c>
      <c r="BL255" s="351">
        <v>12160743</v>
      </c>
      <c r="BM255" s="351">
        <v>0</v>
      </c>
      <c r="BN255" s="351">
        <v>0</v>
      </c>
      <c r="BO255" s="351">
        <v>0</v>
      </c>
      <c r="BP255" s="351">
        <v>0</v>
      </c>
      <c r="BQ255" s="351">
        <v>0</v>
      </c>
      <c r="BR255" s="351">
        <v>0</v>
      </c>
      <c r="BS255" s="351">
        <v>0</v>
      </c>
      <c r="BT255" s="351">
        <v>0</v>
      </c>
      <c r="BU255" s="351">
        <v>0</v>
      </c>
      <c r="BV255" s="350">
        <f t="shared" si="197"/>
        <v>4.1250000000000002E-2</v>
      </c>
      <c r="BW255" s="350">
        <v>2000</v>
      </c>
      <c r="BX255" s="385">
        <f t="shared" si="226"/>
        <v>0.25</v>
      </c>
      <c r="BY255" s="369">
        <v>0</v>
      </c>
      <c r="BZ255" s="391">
        <v>0</v>
      </c>
      <c r="CA255" s="689">
        <v>2000</v>
      </c>
      <c r="CB255" s="324">
        <f t="shared" si="227"/>
        <v>500</v>
      </c>
      <c r="CC255" s="324">
        <f t="shared" si="228"/>
        <v>100</v>
      </c>
      <c r="CD255" s="384">
        <f t="shared" si="198"/>
        <v>100</v>
      </c>
      <c r="CE255" s="383">
        <f t="shared" si="199"/>
        <v>4.1250000000000002E-2</v>
      </c>
      <c r="CF255" s="367">
        <f t="shared" si="200"/>
        <v>100</v>
      </c>
      <c r="CG255" s="383">
        <f t="shared" si="201"/>
        <v>4.1250000000000002E-2</v>
      </c>
      <c r="CH255" s="320">
        <f t="shared" si="202"/>
        <v>4.1250000000000002E-2</v>
      </c>
      <c r="CI255" s="319">
        <v>2000</v>
      </c>
      <c r="CJ255" s="318">
        <f t="shared" si="229"/>
        <v>0.25</v>
      </c>
      <c r="CK255" s="1259">
        <v>2046</v>
      </c>
      <c r="CL255" s="301">
        <f t="shared" si="230"/>
        <v>-46</v>
      </c>
      <c r="CM255" s="381">
        <f t="shared" si="231"/>
        <v>511.5</v>
      </c>
      <c r="CN255" s="381">
        <f t="shared" si="232"/>
        <v>102.3</v>
      </c>
      <c r="CO255" s="381">
        <f t="shared" si="203"/>
        <v>100</v>
      </c>
      <c r="CP255" s="381">
        <f t="shared" si="204"/>
        <v>4.1250000000000002E-2</v>
      </c>
      <c r="CQ255" s="381">
        <f t="shared" si="205"/>
        <v>4.219875E-2</v>
      </c>
      <c r="CR255" s="313">
        <v>5000000</v>
      </c>
      <c r="CS255" s="313">
        <v>5000000</v>
      </c>
      <c r="CT255" s="313">
        <v>0</v>
      </c>
      <c r="CU255" s="313">
        <v>0</v>
      </c>
      <c r="CV255" s="313">
        <v>0</v>
      </c>
      <c r="CW255" s="313">
        <v>0</v>
      </c>
      <c r="CX255" s="313">
        <v>0</v>
      </c>
      <c r="CY255" s="313">
        <v>0</v>
      </c>
      <c r="CZ255" s="380">
        <v>0</v>
      </c>
      <c r="DA255" s="380">
        <v>0</v>
      </c>
      <c r="DB255" s="380">
        <v>0</v>
      </c>
      <c r="DC255" s="380">
        <v>0</v>
      </c>
      <c r="DD255" s="380">
        <v>0</v>
      </c>
      <c r="DE255" s="380">
        <v>0</v>
      </c>
      <c r="DF255" s="380">
        <v>0</v>
      </c>
      <c r="DG255" s="380">
        <v>0</v>
      </c>
      <c r="DH255" s="380">
        <v>0</v>
      </c>
      <c r="DI255" s="380">
        <v>0</v>
      </c>
      <c r="DJ255" s="380">
        <v>0</v>
      </c>
      <c r="DK255" s="702">
        <f t="shared" si="233"/>
        <v>2032.25</v>
      </c>
      <c r="DL255" s="311">
        <f t="shared" si="206"/>
        <v>0.16500000000000001</v>
      </c>
      <c r="DM255" s="310">
        <f t="shared" si="207"/>
        <v>101.6125</v>
      </c>
      <c r="DN255" s="356">
        <f t="shared" si="208"/>
        <v>100</v>
      </c>
      <c r="DO255" s="308">
        <f t="shared" si="209"/>
        <v>0.16500000000000001</v>
      </c>
      <c r="DP255" s="359">
        <f>+IF(M255="M",DO255,0)</f>
        <v>0.16500000000000001</v>
      </c>
      <c r="DQ255" s="306">
        <f t="shared" si="210"/>
        <v>0.16500000000000001</v>
      </c>
      <c r="DR255" s="379">
        <f t="shared" si="211"/>
        <v>1</v>
      </c>
      <c r="DS255" s="378">
        <f t="shared" si="212"/>
        <v>0</v>
      </c>
      <c r="DT255" s="173">
        <v>39</v>
      </c>
      <c r="DU255" s="174" t="s">
        <v>217</v>
      </c>
      <c r="DV255" s="173"/>
      <c r="DW255" s="174" t="s">
        <v>84</v>
      </c>
      <c r="DX255" s="173"/>
      <c r="DY255" s="173"/>
      <c r="DZ255" s="173"/>
      <c r="EA255" s="665"/>
      <c r="EB255" s="1254" t="s">
        <v>2230</v>
      </c>
      <c r="EC255" s="537">
        <v>6000000</v>
      </c>
      <c r="EE255" s="734">
        <v>0</v>
      </c>
      <c r="EF255" s="706"/>
    </row>
    <row r="256" spans="4:136" s="302" customFormat="1" ht="120" hidden="1">
      <c r="D256" s="520">
        <v>253</v>
      </c>
      <c r="E256" s="534">
        <v>301</v>
      </c>
      <c r="F256" s="523" t="s">
        <v>43</v>
      </c>
      <c r="G256" s="479" t="s">
        <v>3</v>
      </c>
      <c r="H256" s="526" t="s">
        <v>2659</v>
      </c>
      <c r="I256" s="462" t="s">
        <v>623</v>
      </c>
      <c r="J256" s="335" t="s">
        <v>666</v>
      </c>
      <c r="K256" s="335" t="s">
        <v>667</v>
      </c>
      <c r="L256" s="453" t="s">
        <v>1947</v>
      </c>
      <c r="M256" s="334" t="s">
        <v>1785</v>
      </c>
      <c r="N256" s="334">
        <v>0</v>
      </c>
      <c r="O256" s="333">
        <f>+P256</f>
        <v>100</v>
      </c>
      <c r="P256" s="332">
        <v>100</v>
      </c>
      <c r="Q256" s="390">
        <v>0.16500000000000001</v>
      </c>
      <c r="R256" s="342">
        <f t="shared" si="190"/>
        <v>4.1250000000000002E-2</v>
      </c>
      <c r="S256" s="389">
        <v>100</v>
      </c>
      <c r="T256" s="387">
        <f t="shared" si="220"/>
        <v>0.25</v>
      </c>
      <c r="U256" s="670">
        <v>100</v>
      </c>
      <c r="V256" s="388">
        <f t="shared" si="221"/>
        <v>25</v>
      </c>
      <c r="W256" s="356">
        <f t="shared" si="222"/>
        <v>100</v>
      </c>
      <c r="X256" s="356">
        <f t="shared" si="191"/>
        <v>100</v>
      </c>
      <c r="Y256" s="356">
        <f t="shared" si="215"/>
        <v>4.1250000000000002E-2</v>
      </c>
      <c r="Z256" s="356">
        <f t="shared" si="192"/>
        <v>100</v>
      </c>
      <c r="AA256" s="355">
        <v>10000000</v>
      </c>
      <c r="AB256" s="355">
        <v>10000000</v>
      </c>
      <c r="AC256" s="355">
        <v>0</v>
      </c>
      <c r="AD256" s="355">
        <v>0</v>
      </c>
      <c r="AE256" s="355">
        <v>0</v>
      </c>
      <c r="AF256" s="355">
        <v>0</v>
      </c>
      <c r="AG256" s="355">
        <v>0</v>
      </c>
      <c r="AH256" s="355">
        <v>0</v>
      </c>
      <c r="AI256" s="355">
        <v>10000000</v>
      </c>
      <c r="AJ256" s="355">
        <v>10000000</v>
      </c>
      <c r="AK256" s="355">
        <v>0</v>
      </c>
      <c r="AL256" s="355">
        <v>0</v>
      </c>
      <c r="AM256" s="355">
        <v>0</v>
      </c>
      <c r="AN256" s="355">
        <v>0</v>
      </c>
      <c r="AO256" s="355">
        <v>0</v>
      </c>
      <c r="AP256" s="355">
        <v>0</v>
      </c>
      <c r="AQ256" s="355">
        <v>0</v>
      </c>
      <c r="AR256" s="355">
        <v>0</v>
      </c>
      <c r="AS256" s="355">
        <v>0</v>
      </c>
      <c r="AT256" s="333">
        <f t="shared" si="193"/>
        <v>4.1250000000000002E-2</v>
      </c>
      <c r="AU256" s="334">
        <v>100</v>
      </c>
      <c r="AV256" s="387">
        <f t="shared" si="223"/>
        <v>0.25</v>
      </c>
      <c r="AW256" s="681">
        <v>100</v>
      </c>
      <c r="AX256" s="366">
        <f t="shared" si="224"/>
        <v>25</v>
      </c>
      <c r="AY256" s="366">
        <f t="shared" si="225"/>
        <v>100</v>
      </c>
      <c r="AZ256" s="366">
        <f t="shared" si="194"/>
        <v>100</v>
      </c>
      <c r="BA256" s="354">
        <f t="shared" si="195"/>
        <v>4.1250000000000002E-2</v>
      </c>
      <c r="BB256" s="354">
        <f t="shared" si="196"/>
        <v>100</v>
      </c>
      <c r="BC256" s="353">
        <v>20000000</v>
      </c>
      <c r="BD256" s="353">
        <v>0</v>
      </c>
      <c r="BE256" s="353">
        <v>20000000</v>
      </c>
      <c r="BF256" s="353">
        <v>0</v>
      </c>
      <c r="BG256" s="353">
        <v>0</v>
      </c>
      <c r="BH256" s="353">
        <v>0</v>
      </c>
      <c r="BI256" s="353">
        <v>0</v>
      </c>
      <c r="BJ256" s="353">
        <v>0</v>
      </c>
      <c r="BK256" s="452">
        <v>12160743</v>
      </c>
      <c r="BL256" s="351">
        <v>12160743</v>
      </c>
      <c r="BM256" s="351">
        <v>0</v>
      </c>
      <c r="BN256" s="351">
        <v>0</v>
      </c>
      <c r="BO256" s="351">
        <v>0</v>
      </c>
      <c r="BP256" s="351">
        <v>0</v>
      </c>
      <c r="BQ256" s="351">
        <v>0</v>
      </c>
      <c r="BR256" s="351">
        <v>0</v>
      </c>
      <c r="BS256" s="351">
        <v>0</v>
      </c>
      <c r="BT256" s="351">
        <v>0</v>
      </c>
      <c r="BU256" s="351">
        <v>0</v>
      </c>
      <c r="BV256" s="350">
        <f t="shared" si="197"/>
        <v>4.1250000000000002E-2</v>
      </c>
      <c r="BW256" s="350">
        <v>100</v>
      </c>
      <c r="BX256" s="385">
        <f t="shared" si="226"/>
        <v>0.25</v>
      </c>
      <c r="BY256" s="369">
        <v>0</v>
      </c>
      <c r="BZ256" s="391">
        <v>100</v>
      </c>
      <c r="CA256" s="689">
        <v>100</v>
      </c>
      <c r="CB256" s="324">
        <f t="shared" si="227"/>
        <v>25</v>
      </c>
      <c r="CC256" s="324">
        <f t="shared" si="228"/>
        <v>100</v>
      </c>
      <c r="CD256" s="384">
        <f t="shared" si="198"/>
        <v>100</v>
      </c>
      <c r="CE256" s="383">
        <f t="shared" si="199"/>
        <v>4.1250000000000002E-2</v>
      </c>
      <c r="CF256" s="367">
        <f t="shared" si="200"/>
        <v>100</v>
      </c>
      <c r="CG256" s="383">
        <f t="shared" si="201"/>
        <v>4.1250000000000002E-2</v>
      </c>
      <c r="CH256" s="320">
        <f t="shared" si="202"/>
        <v>4.1250000000000002E-2</v>
      </c>
      <c r="CI256" s="319">
        <v>100</v>
      </c>
      <c r="CJ256" s="318">
        <f t="shared" si="229"/>
        <v>0.25</v>
      </c>
      <c r="CK256" s="1259">
        <v>100</v>
      </c>
      <c r="CL256" s="301">
        <f t="shared" si="230"/>
        <v>0</v>
      </c>
      <c r="CM256" s="381">
        <f t="shared" si="231"/>
        <v>25</v>
      </c>
      <c r="CN256" s="381">
        <f t="shared" si="232"/>
        <v>100</v>
      </c>
      <c r="CO256" s="381">
        <f t="shared" si="203"/>
        <v>100</v>
      </c>
      <c r="CP256" s="381">
        <f t="shared" si="204"/>
        <v>4.1250000000000002E-2</v>
      </c>
      <c r="CQ256" s="381">
        <f t="shared" si="205"/>
        <v>4.1250000000000002E-2</v>
      </c>
      <c r="CR256" s="313">
        <v>20000000</v>
      </c>
      <c r="CS256" s="313">
        <v>20000000</v>
      </c>
      <c r="CT256" s="313">
        <v>0</v>
      </c>
      <c r="CU256" s="313">
        <v>0</v>
      </c>
      <c r="CV256" s="313">
        <v>0</v>
      </c>
      <c r="CW256" s="313">
        <v>0</v>
      </c>
      <c r="CX256" s="313">
        <v>0</v>
      </c>
      <c r="CY256" s="313">
        <v>0</v>
      </c>
      <c r="CZ256" s="380">
        <v>0</v>
      </c>
      <c r="DA256" s="380">
        <v>0</v>
      </c>
      <c r="DB256" s="380">
        <v>0</v>
      </c>
      <c r="DC256" s="380">
        <v>0</v>
      </c>
      <c r="DD256" s="380">
        <v>0</v>
      </c>
      <c r="DE256" s="380">
        <v>0</v>
      </c>
      <c r="DF256" s="380">
        <v>0</v>
      </c>
      <c r="DG256" s="380">
        <v>0</v>
      </c>
      <c r="DH256" s="380">
        <v>0</v>
      </c>
      <c r="DI256" s="380">
        <v>0</v>
      </c>
      <c r="DJ256" s="380">
        <v>0</v>
      </c>
      <c r="DK256" s="702">
        <f t="shared" si="233"/>
        <v>100</v>
      </c>
      <c r="DL256" s="311">
        <f t="shared" si="206"/>
        <v>0.16500000000000001</v>
      </c>
      <c r="DM256" s="310">
        <f t="shared" si="207"/>
        <v>100</v>
      </c>
      <c r="DN256" s="356">
        <f t="shared" si="208"/>
        <v>100</v>
      </c>
      <c r="DO256" s="308">
        <f t="shared" si="209"/>
        <v>0.16500000000000001</v>
      </c>
      <c r="DP256" s="359">
        <f>+IF(M256="M",DO256,0)</f>
        <v>0.16500000000000001</v>
      </c>
      <c r="DQ256" s="306">
        <f t="shared" si="210"/>
        <v>0.16500000000000001</v>
      </c>
      <c r="DR256" s="379">
        <f t="shared" si="211"/>
        <v>1</v>
      </c>
      <c r="DS256" s="378">
        <f t="shared" si="212"/>
        <v>0</v>
      </c>
      <c r="DT256" s="173">
        <v>39</v>
      </c>
      <c r="DU256" s="174" t="s">
        <v>217</v>
      </c>
      <c r="DV256" s="173">
        <v>74</v>
      </c>
      <c r="DW256" s="174" t="s">
        <v>283</v>
      </c>
      <c r="DX256" s="173">
        <v>118</v>
      </c>
      <c r="DY256" s="173"/>
      <c r="DZ256" s="173"/>
      <c r="EA256" s="665"/>
      <c r="EB256" s="1254" t="s">
        <v>2231</v>
      </c>
      <c r="EC256" s="537">
        <v>6000000</v>
      </c>
      <c r="EE256" s="734">
        <v>0</v>
      </c>
      <c r="EF256" s="706"/>
    </row>
    <row r="257" spans="4:136" s="302" customFormat="1" ht="63.75" hidden="1">
      <c r="D257" s="520">
        <v>254</v>
      </c>
      <c r="E257" s="534">
        <v>302</v>
      </c>
      <c r="F257" s="523" t="s">
        <v>43</v>
      </c>
      <c r="G257" s="479" t="s">
        <v>3</v>
      </c>
      <c r="H257" s="526" t="s">
        <v>2659</v>
      </c>
      <c r="I257" s="462" t="s">
        <v>623</v>
      </c>
      <c r="J257" s="335" t="s">
        <v>668</v>
      </c>
      <c r="K257" s="335" t="s">
        <v>669</v>
      </c>
      <c r="L257" s="454" t="s">
        <v>1501</v>
      </c>
      <c r="M257" s="334" t="s">
        <v>1771</v>
      </c>
      <c r="N257" s="334">
        <v>0</v>
      </c>
      <c r="O257" s="333">
        <f>+N257+P257</f>
        <v>1500</v>
      </c>
      <c r="P257" s="332">
        <v>1500</v>
      </c>
      <c r="Q257" s="390">
        <v>0.16500000000000001</v>
      </c>
      <c r="R257" s="342">
        <f t="shared" si="190"/>
        <v>4.1250000000000002E-2</v>
      </c>
      <c r="S257" s="389">
        <v>375</v>
      </c>
      <c r="T257" s="387">
        <f t="shared" si="220"/>
        <v>0.25</v>
      </c>
      <c r="U257" s="670">
        <v>752</v>
      </c>
      <c r="V257" s="388">
        <f t="shared" si="221"/>
        <v>752</v>
      </c>
      <c r="W257" s="356">
        <f t="shared" si="222"/>
        <v>200.53333333333333</v>
      </c>
      <c r="X257" s="356">
        <f t="shared" si="191"/>
        <v>100</v>
      </c>
      <c r="Y257" s="356">
        <f t="shared" si="215"/>
        <v>4.1250000000000002E-2</v>
      </c>
      <c r="Z257" s="356">
        <f t="shared" si="192"/>
        <v>100</v>
      </c>
      <c r="AA257" s="355">
        <v>10000000</v>
      </c>
      <c r="AB257" s="355">
        <v>10000000</v>
      </c>
      <c r="AC257" s="355">
        <v>0</v>
      </c>
      <c r="AD257" s="355">
        <v>0</v>
      </c>
      <c r="AE257" s="355">
        <v>0</v>
      </c>
      <c r="AF257" s="355">
        <v>0</v>
      </c>
      <c r="AG257" s="355">
        <v>0</v>
      </c>
      <c r="AH257" s="355">
        <v>0</v>
      </c>
      <c r="AI257" s="355">
        <v>10000000</v>
      </c>
      <c r="AJ257" s="355">
        <v>10000000</v>
      </c>
      <c r="AK257" s="355">
        <v>0</v>
      </c>
      <c r="AL257" s="355">
        <v>0</v>
      </c>
      <c r="AM257" s="355">
        <v>0</v>
      </c>
      <c r="AN257" s="355">
        <v>0</v>
      </c>
      <c r="AO257" s="355">
        <v>0</v>
      </c>
      <c r="AP257" s="355">
        <v>0</v>
      </c>
      <c r="AQ257" s="355">
        <v>0</v>
      </c>
      <c r="AR257" s="355">
        <v>0</v>
      </c>
      <c r="AS257" s="355">
        <v>0</v>
      </c>
      <c r="AT257" s="333">
        <f t="shared" si="193"/>
        <v>4.1250000000000002E-2</v>
      </c>
      <c r="AU257" s="334">
        <v>375</v>
      </c>
      <c r="AV257" s="387">
        <f t="shared" si="223"/>
        <v>0.25</v>
      </c>
      <c r="AW257" s="684">
        <v>418</v>
      </c>
      <c r="AX257" s="366">
        <f t="shared" si="224"/>
        <v>418</v>
      </c>
      <c r="AY257" s="366">
        <f t="shared" si="225"/>
        <v>111.46666666666667</v>
      </c>
      <c r="AZ257" s="366">
        <f t="shared" si="194"/>
        <v>100</v>
      </c>
      <c r="BA257" s="354">
        <f t="shared" si="195"/>
        <v>4.1250000000000002E-2</v>
      </c>
      <c r="BB257" s="354">
        <f t="shared" si="196"/>
        <v>100</v>
      </c>
      <c r="BC257" s="353">
        <v>20000000</v>
      </c>
      <c r="BD257" s="353">
        <v>0</v>
      </c>
      <c r="BE257" s="353">
        <v>20000000</v>
      </c>
      <c r="BF257" s="353">
        <v>0</v>
      </c>
      <c r="BG257" s="353">
        <v>0</v>
      </c>
      <c r="BH257" s="353">
        <v>0</v>
      </c>
      <c r="BI257" s="353">
        <v>0</v>
      </c>
      <c r="BJ257" s="353">
        <v>0</v>
      </c>
      <c r="BK257" s="452">
        <v>14202286</v>
      </c>
      <c r="BL257" s="351">
        <v>14202286</v>
      </c>
      <c r="BM257" s="351">
        <v>0</v>
      </c>
      <c r="BN257" s="351">
        <v>0</v>
      </c>
      <c r="BO257" s="351">
        <v>0</v>
      </c>
      <c r="BP257" s="351">
        <v>0</v>
      </c>
      <c r="BQ257" s="351">
        <v>0</v>
      </c>
      <c r="BR257" s="351">
        <v>0</v>
      </c>
      <c r="BS257" s="351">
        <v>0</v>
      </c>
      <c r="BT257" s="351">
        <v>0</v>
      </c>
      <c r="BU257" s="351">
        <v>0</v>
      </c>
      <c r="BV257" s="350">
        <f t="shared" si="197"/>
        <v>4.1250000000000002E-2</v>
      </c>
      <c r="BW257" s="350">
        <v>375</v>
      </c>
      <c r="BX257" s="385">
        <f t="shared" si="226"/>
        <v>0.25</v>
      </c>
      <c r="BY257" s="369">
        <v>527</v>
      </c>
      <c r="BZ257" s="391">
        <v>527</v>
      </c>
      <c r="CA257" s="689">
        <v>527</v>
      </c>
      <c r="CB257" s="324">
        <f t="shared" si="227"/>
        <v>527</v>
      </c>
      <c r="CC257" s="324">
        <f t="shared" si="228"/>
        <v>140.53333333333333</v>
      </c>
      <c r="CD257" s="384">
        <f t="shared" si="198"/>
        <v>100</v>
      </c>
      <c r="CE257" s="383">
        <f t="shared" si="199"/>
        <v>4.1250000000000002E-2</v>
      </c>
      <c r="CF257" s="367">
        <f t="shared" si="200"/>
        <v>100</v>
      </c>
      <c r="CG257" s="383">
        <f t="shared" si="201"/>
        <v>5.7970000000000008E-2</v>
      </c>
      <c r="CH257" s="320">
        <f t="shared" si="202"/>
        <v>4.1250000000000002E-2</v>
      </c>
      <c r="CI257" s="319">
        <v>375</v>
      </c>
      <c r="CJ257" s="318">
        <f t="shared" si="229"/>
        <v>0.25</v>
      </c>
      <c r="CK257" s="1259">
        <v>695</v>
      </c>
      <c r="CL257" s="301">
        <f t="shared" si="230"/>
        <v>-320</v>
      </c>
      <c r="CM257" s="381">
        <f t="shared" si="231"/>
        <v>695</v>
      </c>
      <c r="CN257" s="381">
        <f t="shared" si="232"/>
        <v>185.33333333333334</v>
      </c>
      <c r="CO257" s="316">
        <f t="shared" si="203"/>
        <v>100</v>
      </c>
      <c r="CP257" s="381">
        <f t="shared" si="204"/>
        <v>4.1250000000000002E-2</v>
      </c>
      <c r="CQ257" s="381">
        <f t="shared" si="205"/>
        <v>7.6450000000000004E-2</v>
      </c>
      <c r="CR257" s="313">
        <v>20000000</v>
      </c>
      <c r="CS257" s="313">
        <v>20000000</v>
      </c>
      <c r="CT257" s="313">
        <v>0</v>
      </c>
      <c r="CU257" s="313">
        <v>0</v>
      </c>
      <c r="CV257" s="313">
        <v>0</v>
      </c>
      <c r="CW257" s="313">
        <v>0</v>
      </c>
      <c r="CX257" s="313">
        <v>0</v>
      </c>
      <c r="CY257" s="313">
        <v>0</v>
      </c>
      <c r="CZ257" s="380">
        <v>0</v>
      </c>
      <c r="DA257" s="380">
        <v>0</v>
      </c>
      <c r="DB257" s="380">
        <v>0</v>
      </c>
      <c r="DC257" s="380">
        <v>0</v>
      </c>
      <c r="DD257" s="380">
        <v>0</v>
      </c>
      <c r="DE257" s="380">
        <v>0</v>
      </c>
      <c r="DF257" s="380">
        <v>0</v>
      </c>
      <c r="DG257" s="380">
        <v>0</v>
      </c>
      <c r="DH257" s="380">
        <v>0</v>
      </c>
      <c r="DI257" s="380">
        <v>0</v>
      </c>
      <c r="DJ257" s="380">
        <v>0</v>
      </c>
      <c r="DK257" s="702">
        <f t="shared" si="233"/>
        <v>2392</v>
      </c>
      <c r="DL257" s="311">
        <f t="shared" si="206"/>
        <v>0.16500000000000001</v>
      </c>
      <c r="DM257" s="310">
        <f t="shared" si="207"/>
        <v>159.46666666666667</v>
      </c>
      <c r="DN257" s="356">
        <f t="shared" si="208"/>
        <v>100</v>
      </c>
      <c r="DO257" s="308">
        <f t="shared" si="209"/>
        <v>0.16500000000000001</v>
      </c>
      <c r="DP257" s="359">
        <f>+IF(((DN257*Q257)/100)&lt;Q257, ((DN257*Q257)/100),Q257)</f>
        <v>0.16500000000000001</v>
      </c>
      <c r="DQ257" s="306">
        <f t="shared" si="210"/>
        <v>0.16500000000000001</v>
      </c>
      <c r="DR257" s="379">
        <f t="shared" si="211"/>
        <v>1</v>
      </c>
      <c r="DS257" s="378">
        <f t="shared" si="212"/>
        <v>0</v>
      </c>
      <c r="DT257" s="173">
        <v>74</v>
      </c>
      <c r="DU257" s="174" t="s">
        <v>283</v>
      </c>
      <c r="DV257" s="173"/>
      <c r="DW257" s="174" t="s">
        <v>84</v>
      </c>
      <c r="DX257" s="173"/>
      <c r="DY257" s="173"/>
      <c r="DZ257" s="173"/>
      <c r="EA257" s="665"/>
      <c r="EB257" s="1254" t="s">
        <v>2232</v>
      </c>
      <c r="EC257" s="537">
        <v>10000000</v>
      </c>
      <c r="EE257" s="734">
        <v>10</v>
      </c>
      <c r="EF257" s="706"/>
    </row>
    <row r="258" spans="4:136" s="302" customFormat="1" ht="63.75" hidden="1">
      <c r="D258" s="520">
        <v>255</v>
      </c>
      <c r="E258" s="534">
        <v>303</v>
      </c>
      <c r="F258" s="523" t="s">
        <v>43</v>
      </c>
      <c r="G258" s="479" t="s">
        <v>3</v>
      </c>
      <c r="H258" s="526" t="s">
        <v>2659</v>
      </c>
      <c r="I258" s="462" t="s">
        <v>623</v>
      </c>
      <c r="J258" s="335" t="s">
        <v>670</v>
      </c>
      <c r="K258" s="335" t="s">
        <v>671</v>
      </c>
      <c r="L258" s="454" t="s">
        <v>1501</v>
      </c>
      <c r="M258" s="334" t="s">
        <v>1785</v>
      </c>
      <c r="N258" s="334">
        <v>0</v>
      </c>
      <c r="O258" s="333">
        <f>+P258</f>
        <v>2329</v>
      </c>
      <c r="P258" s="332">
        <v>2329</v>
      </c>
      <c r="Q258" s="390">
        <v>0.16500000000000001</v>
      </c>
      <c r="R258" s="342">
        <f t="shared" si="190"/>
        <v>4.1250000000000002E-2</v>
      </c>
      <c r="S258" s="389">
        <v>2329</v>
      </c>
      <c r="T258" s="387">
        <f t="shared" si="220"/>
        <v>0.25</v>
      </c>
      <c r="U258" s="670">
        <v>2362</v>
      </c>
      <c r="V258" s="388">
        <f t="shared" si="221"/>
        <v>590.5</v>
      </c>
      <c r="W258" s="356">
        <f t="shared" si="222"/>
        <v>101.41691713181623</v>
      </c>
      <c r="X258" s="356">
        <f t="shared" si="191"/>
        <v>100</v>
      </c>
      <c r="Y258" s="356">
        <f t="shared" si="215"/>
        <v>4.1250000000000002E-2</v>
      </c>
      <c r="Z258" s="356">
        <f t="shared" si="192"/>
        <v>100</v>
      </c>
      <c r="AA258" s="355">
        <v>5000000</v>
      </c>
      <c r="AB258" s="355">
        <v>5000000</v>
      </c>
      <c r="AC258" s="355">
        <v>0</v>
      </c>
      <c r="AD258" s="355">
        <v>0</v>
      </c>
      <c r="AE258" s="355">
        <v>0</v>
      </c>
      <c r="AF258" s="355">
        <v>0</v>
      </c>
      <c r="AG258" s="355">
        <v>0</v>
      </c>
      <c r="AH258" s="355">
        <v>0</v>
      </c>
      <c r="AI258" s="355">
        <v>5000000</v>
      </c>
      <c r="AJ258" s="355">
        <v>5000000</v>
      </c>
      <c r="AK258" s="355">
        <v>0</v>
      </c>
      <c r="AL258" s="355">
        <v>0</v>
      </c>
      <c r="AM258" s="355">
        <v>0</v>
      </c>
      <c r="AN258" s="355">
        <v>0</v>
      </c>
      <c r="AO258" s="355">
        <v>0</v>
      </c>
      <c r="AP258" s="355">
        <v>0</v>
      </c>
      <c r="AQ258" s="355">
        <v>0</v>
      </c>
      <c r="AR258" s="355">
        <v>0</v>
      </c>
      <c r="AS258" s="355">
        <v>0</v>
      </c>
      <c r="AT258" s="333">
        <f t="shared" si="193"/>
        <v>4.1250000000000002E-2</v>
      </c>
      <c r="AU258" s="334">
        <v>2329</v>
      </c>
      <c r="AV258" s="387">
        <f t="shared" si="223"/>
        <v>0.25</v>
      </c>
      <c r="AW258" s="684">
        <v>2465</v>
      </c>
      <c r="AX258" s="366">
        <f t="shared" si="224"/>
        <v>616.25</v>
      </c>
      <c r="AY258" s="366">
        <f t="shared" si="225"/>
        <v>105.83941605839416</v>
      </c>
      <c r="AZ258" s="366">
        <f t="shared" si="194"/>
        <v>100</v>
      </c>
      <c r="BA258" s="354">
        <f t="shared" si="195"/>
        <v>4.1250000000000002E-2</v>
      </c>
      <c r="BB258" s="354">
        <f t="shared" si="196"/>
        <v>100</v>
      </c>
      <c r="BC258" s="353">
        <v>3000000</v>
      </c>
      <c r="BD258" s="353">
        <v>0</v>
      </c>
      <c r="BE258" s="353">
        <v>3000000</v>
      </c>
      <c r="BF258" s="353">
        <v>0</v>
      </c>
      <c r="BG258" s="353">
        <v>0</v>
      </c>
      <c r="BH258" s="353">
        <v>0</v>
      </c>
      <c r="BI258" s="353">
        <v>0</v>
      </c>
      <c r="BJ258" s="353">
        <v>0</v>
      </c>
      <c r="BK258" s="452">
        <v>12160743</v>
      </c>
      <c r="BL258" s="351">
        <v>12160743</v>
      </c>
      <c r="BM258" s="351">
        <v>0</v>
      </c>
      <c r="BN258" s="351">
        <v>0</v>
      </c>
      <c r="BO258" s="351">
        <v>0</v>
      </c>
      <c r="BP258" s="351">
        <v>0</v>
      </c>
      <c r="BQ258" s="351">
        <v>0</v>
      </c>
      <c r="BR258" s="351">
        <v>0</v>
      </c>
      <c r="BS258" s="351">
        <v>0</v>
      </c>
      <c r="BT258" s="351">
        <v>0</v>
      </c>
      <c r="BU258" s="351">
        <v>0</v>
      </c>
      <c r="BV258" s="350">
        <f t="shared" si="197"/>
        <v>4.1250000000000002E-2</v>
      </c>
      <c r="BW258" s="350">
        <v>2329</v>
      </c>
      <c r="BX258" s="385">
        <f t="shared" si="226"/>
        <v>0.25</v>
      </c>
      <c r="BY258" s="369">
        <v>2331</v>
      </c>
      <c r="BZ258" s="391">
        <v>2331</v>
      </c>
      <c r="CA258" s="689">
        <v>2331</v>
      </c>
      <c r="CB258" s="324">
        <f t="shared" si="227"/>
        <v>582.75</v>
      </c>
      <c r="CC258" s="324">
        <f t="shared" si="228"/>
        <v>100.08587376556461</v>
      </c>
      <c r="CD258" s="384">
        <f t="shared" si="198"/>
        <v>100</v>
      </c>
      <c r="CE258" s="383">
        <f t="shared" si="199"/>
        <v>4.1250000000000002E-2</v>
      </c>
      <c r="CF258" s="367">
        <f t="shared" si="200"/>
        <v>100</v>
      </c>
      <c r="CG258" s="383">
        <f t="shared" si="201"/>
        <v>4.1285422928295408E-2</v>
      </c>
      <c r="CH258" s="320">
        <f t="shared" si="202"/>
        <v>4.1250000000000002E-2</v>
      </c>
      <c r="CI258" s="319">
        <v>2329</v>
      </c>
      <c r="CJ258" s="318">
        <f t="shared" si="229"/>
        <v>0.25</v>
      </c>
      <c r="CK258" s="1259">
        <v>2498</v>
      </c>
      <c r="CL258" s="301">
        <f t="shared" si="230"/>
        <v>-169</v>
      </c>
      <c r="CM258" s="381">
        <f t="shared" si="231"/>
        <v>624.5</v>
      </c>
      <c r="CN258" s="381">
        <f t="shared" si="232"/>
        <v>107.25633319021038</v>
      </c>
      <c r="CO258" s="381">
        <f t="shared" si="203"/>
        <v>100</v>
      </c>
      <c r="CP258" s="381">
        <f t="shared" si="204"/>
        <v>4.1250000000000002E-2</v>
      </c>
      <c r="CQ258" s="381">
        <f t="shared" si="205"/>
        <v>4.4243237440961786E-2</v>
      </c>
      <c r="CR258" s="313">
        <v>3000000</v>
      </c>
      <c r="CS258" s="313">
        <v>3000000</v>
      </c>
      <c r="CT258" s="313">
        <v>0</v>
      </c>
      <c r="CU258" s="313">
        <v>0</v>
      </c>
      <c r="CV258" s="313">
        <v>0</v>
      </c>
      <c r="CW258" s="313">
        <v>0</v>
      </c>
      <c r="CX258" s="313">
        <v>0</v>
      </c>
      <c r="CY258" s="313">
        <v>0</v>
      </c>
      <c r="CZ258" s="380">
        <v>0</v>
      </c>
      <c r="DA258" s="380">
        <v>0</v>
      </c>
      <c r="DB258" s="380">
        <v>0</v>
      </c>
      <c r="DC258" s="380">
        <v>0</v>
      </c>
      <c r="DD258" s="380">
        <v>0</v>
      </c>
      <c r="DE258" s="380">
        <v>0</v>
      </c>
      <c r="DF258" s="380">
        <v>0</v>
      </c>
      <c r="DG258" s="380">
        <v>0</v>
      </c>
      <c r="DH258" s="380">
        <v>0</v>
      </c>
      <c r="DI258" s="380">
        <v>0</v>
      </c>
      <c r="DJ258" s="380">
        <v>0</v>
      </c>
      <c r="DK258" s="702">
        <f t="shared" si="233"/>
        <v>2414</v>
      </c>
      <c r="DL258" s="311">
        <f t="shared" si="206"/>
        <v>0.16500000000000001</v>
      </c>
      <c r="DM258" s="310">
        <f t="shared" si="207"/>
        <v>103.64963503649635</v>
      </c>
      <c r="DN258" s="356">
        <f t="shared" si="208"/>
        <v>100</v>
      </c>
      <c r="DO258" s="308">
        <f t="shared" si="209"/>
        <v>0.16500000000000001</v>
      </c>
      <c r="DP258" s="359">
        <f>+IF(M258="M",DO258,0)</f>
        <v>0.16500000000000001</v>
      </c>
      <c r="DQ258" s="306">
        <f t="shared" si="210"/>
        <v>0.16500000000000001</v>
      </c>
      <c r="DR258" s="379">
        <f t="shared" si="211"/>
        <v>1</v>
      </c>
      <c r="DS258" s="378">
        <f t="shared" si="212"/>
        <v>0</v>
      </c>
      <c r="DT258" s="173">
        <v>74</v>
      </c>
      <c r="DU258" s="174" t="s">
        <v>283</v>
      </c>
      <c r="DV258" s="173"/>
      <c r="DW258" s="174" t="s">
        <v>84</v>
      </c>
      <c r="DX258" s="173"/>
      <c r="DY258" s="173"/>
      <c r="DZ258" s="173"/>
      <c r="EA258" s="665"/>
      <c r="EB258" s="1254" t="s">
        <v>2233</v>
      </c>
      <c r="EC258" s="537">
        <v>100000000</v>
      </c>
      <c r="EE258" s="734">
        <v>1</v>
      </c>
      <c r="EF258" s="706"/>
    </row>
    <row r="259" spans="4:136" s="302" customFormat="1" ht="51" hidden="1">
      <c r="D259" s="520">
        <v>256</v>
      </c>
      <c r="E259" s="534">
        <v>304</v>
      </c>
      <c r="F259" s="523" t="s">
        <v>43</v>
      </c>
      <c r="G259" s="479" t="s">
        <v>3</v>
      </c>
      <c r="H259" s="526" t="s">
        <v>2659</v>
      </c>
      <c r="I259" s="462" t="s">
        <v>623</v>
      </c>
      <c r="J259" s="335" t="s">
        <v>672</v>
      </c>
      <c r="K259" s="335" t="s">
        <v>673</v>
      </c>
      <c r="L259" s="454" t="s">
        <v>1501</v>
      </c>
      <c r="M259" s="334" t="s">
        <v>1771</v>
      </c>
      <c r="N259" s="334">
        <v>0</v>
      </c>
      <c r="O259" s="333">
        <f>+N259+P259</f>
        <v>3600</v>
      </c>
      <c r="P259" s="332">
        <v>3600</v>
      </c>
      <c r="Q259" s="390">
        <v>0.16500000000000001</v>
      </c>
      <c r="R259" s="342">
        <f t="shared" si="190"/>
        <v>4.1250000000000002E-2</v>
      </c>
      <c r="S259" s="389">
        <v>900</v>
      </c>
      <c r="T259" s="387">
        <f t="shared" si="220"/>
        <v>0.25</v>
      </c>
      <c r="U259" s="670">
        <v>910</v>
      </c>
      <c r="V259" s="388">
        <f t="shared" si="221"/>
        <v>910</v>
      </c>
      <c r="W259" s="356">
        <f t="shared" si="222"/>
        <v>101.11111111111111</v>
      </c>
      <c r="X259" s="356">
        <f t="shared" si="191"/>
        <v>100</v>
      </c>
      <c r="Y259" s="356">
        <f t="shared" si="215"/>
        <v>4.1250000000000002E-2</v>
      </c>
      <c r="Z259" s="356">
        <f t="shared" si="192"/>
        <v>100</v>
      </c>
      <c r="AA259" s="355">
        <v>18000000</v>
      </c>
      <c r="AB259" s="355">
        <v>18000000</v>
      </c>
      <c r="AC259" s="355">
        <v>0</v>
      </c>
      <c r="AD259" s="355">
        <v>0</v>
      </c>
      <c r="AE259" s="355">
        <v>0</v>
      </c>
      <c r="AF259" s="355">
        <v>0</v>
      </c>
      <c r="AG259" s="355">
        <v>0</v>
      </c>
      <c r="AH259" s="355">
        <v>0</v>
      </c>
      <c r="AI259" s="355">
        <v>18000000</v>
      </c>
      <c r="AJ259" s="355">
        <v>18000000</v>
      </c>
      <c r="AK259" s="355">
        <v>0</v>
      </c>
      <c r="AL259" s="355">
        <v>0</v>
      </c>
      <c r="AM259" s="355">
        <v>0</v>
      </c>
      <c r="AN259" s="355">
        <v>0</v>
      </c>
      <c r="AO259" s="355">
        <v>0</v>
      </c>
      <c r="AP259" s="355">
        <v>0</v>
      </c>
      <c r="AQ259" s="355">
        <v>0</v>
      </c>
      <c r="AR259" s="355">
        <v>0</v>
      </c>
      <c r="AS259" s="355">
        <v>0</v>
      </c>
      <c r="AT259" s="333">
        <f t="shared" si="193"/>
        <v>4.1250000000000002E-2</v>
      </c>
      <c r="AU259" s="334">
        <v>900</v>
      </c>
      <c r="AV259" s="387">
        <f t="shared" si="223"/>
        <v>0.25</v>
      </c>
      <c r="AW259" s="684">
        <v>912</v>
      </c>
      <c r="AX259" s="366">
        <f t="shared" si="224"/>
        <v>912</v>
      </c>
      <c r="AY259" s="366">
        <f t="shared" si="225"/>
        <v>101.33333333333333</v>
      </c>
      <c r="AZ259" s="366">
        <f t="shared" si="194"/>
        <v>100</v>
      </c>
      <c r="BA259" s="354">
        <f t="shared" si="195"/>
        <v>4.1250000000000002E-2</v>
      </c>
      <c r="BB259" s="354">
        <f t="shared" si="196"/>
        <v>100</v>
      </c>
      <c r="BC259" s="353">
        <v>18000000</v>
      </c>
      <c r="BD259" s="353">
        <v>0</v>
      </c>
      <c r="BE259" s="353">
        <v>18000000</v>
      </c>
      <c r="BF259" s="353">
        <v>0</v>
      </c>
      <c r="BG259" s="353">
        <v>0</v>
      </c>
      <c r="BH259" s="353">
        <v>0</v>
      </c>
      <c r="BI259" s="353">
        <v>0</v>
      </c>
      <c r="BJ259" s="353">
        <v>0</v>
      </c>
      <c r="BK259" s="452">
        <v>12160743</v>
      </c>
      <c r="BL259" s="351">
        <v>12160743</v>
      </c>
      <c r="BM259" s="351">
        <v>0</v>
      </c>
      <c r="BN259" s="351">
        <v>0</v>
      </c>
      <c r="BO259" s="351">
        <v>0</v>
      </c>
      <c r="BP259" s="351">
        <v>0</v>
      </c>
      <c r="BQ259" s="351">
        <v>0</v>
      </c>
      <c r="BR259" s="351">
        <v>0</v>
      </c>
      <c r="BS259" s="351">
        <v>0</v>
      </c>
      <c r="BT259" s="351">
        <v>0</v>
      </c>
      <c r="BU259" s="351">
        <v>0</v>
      </c>
      <c r="BV259" s="350">
        <f t="shared" si="197"/>
        <v>4.1250000000000002E-2</v>
      </c>
      <c r="BW259" s="350">
        <v>900</v>
      </c>
      <c r="BX259" s="385">
        <f t="shared" si="226"/>
        <v>0.25</v>
      </c>
      <c r="BY259" s="369">
        <v>951</v>
      </c>
      <c r="BZ259" s="391">
        <v>951</v>
      </c>
      <c r="CA259" s="689">
        <v>951</v>
      </c>
      <c r="CB259" s="324">
        <f t="shared" si="227"/>
        <v>951</v>
      </c>
      <c r="CC259" s="324">
        <f t="shared" si="228"/>
        <v>105.66666666666667</v>
      </c>
      <c r="CD259" s="384">
        <f t="shared" si="198"/>
        <v>100</v>
      </c>
      <c r="CE259" s="383">
        <f t="shared" si="199"/>
        <v>4.1250000000000002E-2</v>
      </c>
      <c r="CF259" s="367">
        <f t="shared" si="200"/>
        <v>100</v>
      </c>
      <c r="CG259" s="383">
        <f t="shared" si="201"/>
        <v>4.3587500000000008E-2</v>
      </c>
      <c r="CH259" s="320">
        <f t="shared" si="202"/>
        <v>4.1250000000000002E-2</v>
      </c>
      <c r="CI259" s="319">
        <v>900</v>
      </c>
      <c r="CJ259" s="318">
        <f t="shared" si="229"/>
        <v>0.25</v>
      </c>
      <c r="CK259" s="1259">
        <v>366</v>
      </c>
      <c r="CL259" s="301">
        <f t="shared" si="230"/>
        <v>534</v>
      </c>
      <c r="CM259" s="381">
        <f t="shared" si="231"/>
        <v>366</v>
      </c>
      <c r="CN259" s="381">
        <f t="shared" si="232"/>
        <v>40.666666666666664</v>
      </c>
      <c r="CO259" s="316">
        <f t="shared" si="203"/>
        <v>40.666666666666664</v>
      </c>
      <c r="CP259" s="381">
        <f t="shared" si="204"/>
        <v>1.6774999999999998E-2</v>
      </c>
      <c r="CQ259" s="381">
        <f t="shared" si="205"/>
        <v>1.6774999999999998E-2</v>
      </c>
      <c r="CR259" s="313">
        <v>19000000</v>
      </c>
      <c r="CS259" s="313">
        <v>19000000</v>
      </c>
      <c r="CT259" s="313">
        <v>0</v>
      </c>
      <c r="CU259" s="313">
        <v>0</v>
      </c>
      <c r="CV259" s="313">
        <v>0</v>
      </c>
      <c r="CW259" s="313">
        <v>0</v>
      </c>
      <c r="CX259" s="313">
        <v>0</v>
      </c>
      <c r="CY259" s="313">
        <v>0</v>
      </c>
      <c r="CZ259" s="380">
        <v>0</v>
      </c>
      <c r="DA259" s="380">
        <v>0</v>
      </c>
      <c r="DB259" s="380">
        <v>0</v>
      </c>
      <c r="DC259" s="380">
        <v>0</v>
      </c>
      <c r="DD259" s="380">
        <v>0</v>
      </c>
      <c r="DE259" s="380">
        <v>0</v>
      </c>
      <c r="DF259" s="380">
        <v>0</v>
      </c>
      <c r="DG259" s="380">
        <v>0</v>
      </c>
      <c r="DH259" s="380">
        <v>0</v>
      </c>
      <c r="DI259" s="380">
        <v>0</v>
      </c>
      <c r="DJ259" s="380">
        <v>0</v>
      </c>
      <c r="DK259" s="702">
        <f t="shared" si="233"/>
        <v>3139</v>
      </c>
      <c r="DL259" s="311">
        <f t="shared" si="206"/>
        <v>0.16500000000000001</v>
      </c>
      <c r="DM259" s="310">
        <f t="shared" si="207"/>
        <v>87.194444444444443</v>
      </c>
      <c r="DN259" s="356">
        <f t="shared" si="208"/>
        <v>87.194444444444443</v>
      </c>
      <c r="DO259" s="308">
        <f t="shared" si="209"/>
        <v>0.14387083333333334</v>
      </c>
      <c r="DP259" s="359">
        <f>+IF(((DN259*Q259)/100)&lt;Q259, ((DN259*Q259)/100),Q259)</f>
        <v>0.14387083333333334</v>
      </c>
      <c r="DQ259" s="306">
        <f t="shared" si="210"/>
        <v>0.14387083333333334</v>
      </c>
      <c r="DR259" s="379">
        <f t="shared" si="211"/>
        <v>1</v>
      </c>
      <c r="DS259" s="378">
        <f t="shared" si="212"/>
        <v>0</v>
      </c>
      <c r="DT259" s="173">
        <v>160</v>
      </c>
      <c r="DU259" s="174" t="s">
        <v>416</v>
      </c>
      <c r="DV259" s="173"/>
      <c r="DW259" s="174" t="s">
        <v>84</v>
      </c>
      <c r="DX259" s="173"/>
      <c r="DY259" s="173"/>
      <c r="DZ259" s="173"/>
      <c r="EA259" s="665"/>
      <c r="EB259" s="1254" t="s">
        <v>2234</v>
      </c>
      <c r="EC259" s="537">
        <v>40000000</v>
      </c>
      <c r="EE259" s="734">
        <v>1</v>
      </c>
      <c r="EF259" s="706"/>
    </row>
    <row r="260" spans="4:136" s="302" customFormat="1" ht="51" hidden="1">
      <c r="D260" s="520">
        <v>257</v>
      </c>
      <c r="E260" s="534">
        <v>305</v>
      </c>
      <c r="F260" s="523" t="s">
        <v>43</v>
      </c>
      <c r="G260" s="479" t="s">
        <v>3</v>
      </c>
      <c r="H260" s="526" t="s">
        <v>2659</v>
      </c>
      <c r="I260" s="462" t="s">
        <v>623</v>
      </c>
      <c r="J260" s="335" t="s">
        <v>674</v>
      </c>
      <c r="K260" s="335" t="s">
        <v>675</v>
      </c>
      <c r="L260" s="454" t="s">
        <v>1501</v>
      </c>
      <c r="M260" s="334" t="s">
        <v>1785</v>
      </c>
      <c r="N260" s="334">
        <v>0</v>
      </c>
      <c r="O260" s="333">
        <f>+P260</f>
        <v>2000</v>
      </c>
      <c r="P260" s="332">
        <v>2000</v>
      </c>
      <c r="Q260" s="390">
        <v>0.16500000000000001</v>
      </c>
      <c r="R260" s="342">
        <f t="shared" si="190"/>
        <v>4.1250000000000002E-2</v>
      </c>
      <c r="S260" s="389">
        <v>2000</v>
      </c>
      <c r="T260" s="387">
        <f t="shared" si="220"/>
        <v>0.25</v>
      </c>
      <c r="U260" s="670">
        <v>2050</v>
      </c>
      <c r="V260" s="388">
        <f t="shared" si="221"/>
        <v>512.5</v>
      </c>
      <c r="W260" s="356">
        <f t="shared" si="222"/>
        <v>102.5</v>
      </c>
      <c r="X260" s="356">
        <f t="shared" si="191"/>
        <v>100</v>
      </c>
      <c r="Y260" s="356">
        <f t="shared" si="215"/>
        <v>4.1250000000000002E-2</v>
      </c>
      <c r="Z260" s="356">
        <f t="shared" si="192"/>
        <v>100</v>
      </c>
      <c r="AA260" s="355">
        <v>6000000</v>
      </c>
      <c r="AB260" s="355">
        <v>6000000</v>
      </c>
      <c r="AC260" s="355">
        <v>0</v>
      </c>
      <c r="AD260" s="355">
        <v>0</v>
      </c>
      <c r="AE260" s="355">
        <v>0</v>
      </c>
      <c r="AF260" s="355">
        <v>0</v>
      </c>
      <c r="AG260" s="355">
        <v>0</v>
      </c>
      <c r="AH260" s="355">
        <v>0</v>
      </c>
      <c r="AI260" s="355">
        <v>6000000</v>
      </c>
      <c r="AJ260" s="355">
        <v>6000000</v>
      </c>
      <c r="AK260" s="355">
        <v>0</v>
      </c>
      <c r="AL260" s="355">
        <v>0</v>
      </c>
      <c r="AM260" s="355">
        <v>0</v>
      </c>
      <c r="AN260" s="355">
        <v>0</v>
      </c>
      <c r="AO260" s="355">
        <v>0</v>
      </c>
      <c r="AP260" s="355">
        <v>0</v>
      </c>
      <c r="AQ260" s="355">
        <v>0</v>
      </c>
      <c r="AR260" s="355">
        <v>0</v>
      </c>
      <c r="AS260" s="355">
        <v>0</v>
      </c>
      <c r="AT260" s="333">
        <f t="shared" si="193"/>
        <v>4.1250000000000002E-2</v>
      </c>
      <c r="AU260" s="334">
        <v>2000</v>
      </c>
      <c r="AV260" s="387">
        <f t="shared" si="223"/>
        <v>0.25</v>
      </c>
      <c r="AW260" s="684">
        <v>2131</v>
      </c>
      <c r="AX260" s="366">
        <f t="shared" si="224"/>
        <v>532.75</v>
      </c>
      <c r="AY260" s="366">
        <f t="shared" si="225"/>
        <v>106.55</v>
      </c>
      <c r="AZ260" s="366">
        <f t="shared" si="194"/>
        <v>100</v>
      </c>
      <c r="BA260" s="354">
        <f t="shared" si="195"/>
        <v>4.1250000000000002E-2</v>
      </c>
      <c r="BB260" s="354">
        <f t="shared" si="196"/>
        <v>100</v>
      </c>
      <c r="BC260" s="353">
        <v>5000000</v>
      </c>
      <c r="BD260" s="353">
        <v>0</v>
      </c>
      <c r="BE260" s="353">
        <v>5000000</v>
      </c>
      <c r="BF260" s="353">
        <v>0</v>
      </c>
      <c r="BG260" s="353">
        <v>0</v>
      </c>
      <c r="BH260" s="353">
        <v>0</v>
      </c>
      <c r="BI260" s="353">
        <v>0</v>
      </c>
      <c r="BJ260" s="353">
        <v>0</v>
      </c>
      <c r="BK260" s="452">
        <v>12160743</v>
      </c>
      <c r="BL260" s="351">
        <v>12160743</v>
      </c>
      <c r="BM260" s="351">
        <v>0</v>
      </c>
      <c r="BN260" s="351">
        <v>0</v>
      </c>
      <c r="BO260" s="351">
        <v>0</v>
      </c>
      <c r="BP260" s="351">
        <v>0</v>
      </c>
      <c r="BQ260" s="351">
        <v>0</v>
      </c>
      <c r="BR260" s="351">
        <v>0</v>
      </c>
      <c r="BS260" s="351">
        <v>0</v>
      </c>
      <c r="BT260" s="351">
        <v>0</v>
      </c>
      <c r="BU260" s="351">
        <v>0</v>
      </c>
      <c r="BV260" s="350">
        <f t="shared" si="197"/>
        <v>4.1250000000000002E-2</v>
      </c>
      <c r="BW260" s="350">
        <v>2000</v>
      </c>
      <c r="BX260" s="385">
        <f t="shared" si="226"/>
        <v>0.25</v>
      </c>
      <c r="BY260" s="369">
        <v>853</v>
      </c>
      <c r="BZ260" s="391">
        <v>853</v>
      </c>
      <c r="CA260" s="689">
        <v>1919</v>
      </c>
      <c r="CB260" s="324">
        <f t="shared" si="227"/>
        <v>479.75</v>
      </c>
      <c r="CC260" s="324">
        <f t="shared" si="228"/>
        <v>95.95</v>
      </c>
      <c r="CD260" s="384">
        <f t="shared" si="198"/>
        <v>95.95</v>
      </c>
      <c r="CE260" s="383">
        <f t="shared" si="199"/>
        <v>3.9579375E-2</v>
      </c>
      <c r="CF260" s="367">
        <f t="shared" si="200"/>
        <v>95.95</v>
      </c>
      <c r="CG260" s="383">
        <f t="shared" si="201"/>
        <v>3.9579375E-2</v>
      </c>
      <c r="CH260" s="320">
        <f t="shared" si="202"/>
        <v>4.1250000000000002E-2</v>
      </c>
      <c r="CI260" s="319">
        <v>2000</v>
      </c>
      <c r="CJ260" s="318">
        <f t="shared" si="229"/>
        <v>0.25</v>
      </c>
      <c r="CK260" s="1259">
        <v>672</v>
      </c>
      <c r="CL260" s="301">
        <f t="shared" si="230"/>
        <v>1328</v>
      </c>
      <c r="CM260" s="381">
        <f t="shared" si="231"/>
        <v>168</v>
      </c>
      <c r="CN260" s="381">
        <f t="shared" si="232"/>
        <v>33.6</v>
      </c>
      <c r="CO260" s="381">
        <f t="shared" si="203"/>
        <v>33.6</v>
      </c>
      <c r="CP260" s="381">
        <f t="shared" si="204"/>
        <v>1.3860000000000001E-2</v>
      </c>
      <c r="CQ260" s="381">
        <f t="shared" si="205"/>
        <v>1.3860000000000001E-2</v>
      </c>
      <c r="CR260" s="313">
        <v>5000000</v>
      </c>
      <c r="CS260" s="313">
        <v>5000000</v>
      </c>
      <c r="CT260" s="313">
        <v>0</v>
      </c>
      <c r="CU260" s="313">
        <v>0</v>
      </c>
      <c r="CV260" s="313">
        <v>0</v>
      </c>
      <c r="CW260" s="313">
        <v>0</v>
      </c>
      <c r="CX260" s="313">
        <v>0</v>
      </c>
      <c r="CY260" s="313">
        <v>0</v>
      </c>
      <c r="CZ260" s="380">
        <v>0</v>
      </c>
      <c r="DA260" s="380">
        <v>0</v>
      </c>
      <c r="DB260" s="380">
        <v>0</v>
      </c>
      <c r="DC260" s="380">
        <v>0</v>
      </c>
      <c r="DD260" s="380">
        <v>0</v>
      </c>
      <c r="DE260" s="380">
        <v>0</v>
      </c>
      <c r="DF260" s="380">
        <v>0</v>
      </c>
      <c r="DG260" s="380">
        <v>0</v>
      </c>
      <c r="DH260" s="380">
        <v>0</v>
      </c>
      <c r="DI260" s="380">
        <v>0</v>
      </c>
      <c r="DJ260" s="380">
        <v>0</v>
      </c>
      <c r="DK260" s="702">
        <f t="shared" si="233"/>
        <v>1693</v>
      </c>
      <c r="DL260" s="311">
        <f t="shared" si="206"/>
        <v>0.16500000000000001</v>
      </c>
      <c r="DM260" s="310">
        <f t="shared" si="207"/>
        <v>84.65</v>
      </c>
      <c r="DN260" s="356">
        <f t="shared" si="208"/>
        <v>84.65</v>
      </c>
      <c r="DO260" s="308">
        <f t="shared" si="209"/>
        <v>0.1396725</v>
      </c>
      <c r="DP260" s="359">
        <f>+IF(M260="M",DO260,0)</f>
        <v>0.1396725</v>
      </c>
      <c r="DQ260" s="306">
        <f t="shared" si="210"/>
        <v>0.1396725</v>
      </c>
      <c r="DR260" s="379">
        <f t="shared" si="211"/>
        <v>1</v>
      </c>
      <c r="DS260" s="378">
        <f t="shared" si="212"/>
        <v>0</v>
      </c>
      <c r="DT260" s="173">
        <v>201</v>
      </c>
      <c r="DU260" s="174" t="s">
        <v>122</v>
      </c>
      <c r="DV260" s="173"/>
      <c r="DW260" s="174" t="s">
        <v>84</v>
      </c>
      <c r="DX260" s="173"/>
      <c r="DY260" s="173"/>
      <c r="DZ260" s="173"/>
      <c r="EA260" s="665"/>
      <c r="EB260" s="1254" t="s">
        <v>2235</v>
      </c>
      <c r="EC260" s="537">
        <v>0</v>
      </c>
      <c r="EE260" s="733">
        <v>0</v>
      </c>
      <c r="EF260" s="706"/>
    </row>
    <row r="261" spans="4:136" s="302" customFormat="1" ht="51" hidden="1">
      <c r="D261" s="520">
        <v>258</v>
      </c>
      <c r="E261" s="534">
        <v>306</v>
      </c>
      <c r="F261" s="523" t="s">
        <v>43</v>
      </c>
      <c r="G261" s="479" t="s">
        <v>3</v>
      </c>
      <c r="H261" s="526" t="s">
        <v>2659</v>
      </c>
      <c r="I261" s="462" t="s">
        <v>623</v>
      </c>
      <c r="J261" s="335" t="s">
        <v>676</v>
      </c>
      <c r="K261" s="335" t="s">
        <v>677</v>
      </c>
      <c r="L261" s="454" t="s">
        <v>1501</v>
      </c>
      <c r="M261" s="334" t="s">
        <v>1771</v>
      </c>
      <c r="N261" s="334">
        <v>0</v>
      </c>
      <c r="O261" s="333">
        <f>+N261+P261</f>
        <v>2500</v>
      </c>
      <c r="P261" s="332">
        <v>2500</v>
      </c>
      <c r="Q261" s="390">
        <v>0.16500000000000001</v>
      </c>
      <c r="R261" s="342">
        <f t="shared" ref="R261:R324" si="234">+Q261*T261</f>
        <v>4.1250000000000002E-2</v>
      </c>
      <c r="S261" s="389">
        <v>625</v>
      </c>
      <c r="T261" s="387">
        <f t="shared" si="220"/>
        <v>0.25</v>
      </c>
      <c r="U261" s="670">
        <v>750</v>
      </c>
      <c r="V261" s="388">
        <f t="shared" si="221"/>
        <v>750</v>
      </c>
      <c r="W261" s="356">
        <f t="shared" si="222"/>
        <v>120</v>
      </c>
      <c r="X261" s="356">
        <f t="shared" ref="X261:X324" si="235">+IF(W261&lt;100,W261,100)</f>
        <v>100</v>
      </c>
      <c r="Y261" s="356">
        <f t="shared" si="215"/>
        <v>4.1250000000000002E-2</v>
      </c>
      <c r="Z261" s="356">
        <f t="shared" ref="Z261:Z324" si="236">+IF(U261&gt;S261,100,X261)</f>
        <v>100</v>
      </c>
      <c r="AA261" s="355">
        <v>10000000</v>
      </c>
      <c r="AB261" s="355">
        <v>10000000</v>
      </c>
      <c r="AC261" s="355">
        <v>0</v>
      </c>
      <c r="AD261" s="355">
        <v>0</v>
      </c>
      <c r="AE261" s="355">
        <v>0</v>
      </c>
      <c r="AF261" s="355">
        <v>0</v>
      </c>
      <c r="AG261" s="355">
        <v>0</v>
      </c>
      <c r="AH261" s="355">
        <v>0</v>
      </c>
      <c r="AI261" s="355">
        <v>10000000</v>
      </c>
      <c r="AJ261" s="355">
        <v>10000000</v>
      </c>
      <c r="AK261" s="355">
        <v>0</v>
      </c>
      <c r="AL261" s="355">
        <v>0</v>
      </c>
      <c r="AM261" s="355">
        <v>0</v>
      </c>
      <c r="AN261" s="355">
        <v>0</v>
      </c>
      <c r="AO261" s="355">
        <v>0</v>
      </c>
      <c r="AP261" s="355">
        <v>0</v>
      </c>
      <c r="AQ261" s="355">
        <v>0</v>
      </c>
      <c r="AR261" s="355">
        <v>0</v>
      </c>
      <c r="AS261" s="355">
        <v>0</v>
      </c>
      <c r="AT261" s="333">
        <f t="shared" ref="AT261:AT324" si="237">+Q261*AV261</f>
        <v>4.1250000000000002E-2</v>
      </c>
      <c r="AU261" s="334">
        <v>625</v>
      </c>
      <c r="AV261" s="387">
        <f t="shared" si="223"/>
        <v>0.25</v>
      </c>
      <c r="AW261" s="684">
        <v>639</v>
      </c>
      <c r="AX261" s="366">
        <f t="shared" si="224"/>
        <v>639</v>
      </c>
      <c r="AY261" s="366">
        <f t="shared" si="225"/>
        <v>102.24</v>
      </c>
      <c r="AZ261" s="366">
        <f t="shared" ref="AZ261:AZ324" si="238">+IF(AY261&lt;100,AY261,100)</f>
        <v>100</v>
      </c>
      <c r="BA261" s="354">
        <f t="shared" ref="BA261:BA324" si="239">+(AZ261*AT261)/100</f>
        <v>4.1250000000000002E-2</v>
      </c>
      <c r="BB261" s="354">
        <f t="shared" ref="BB261:BB324" si="240">+IF(AW261&gt;AU261,100,AZ261)</f>
        <v>100</v>
      </c>
      <c r="BC261" s="353">
        <v>10000000</v>
      </c>
      <c r="BD261" s="353">
        <v>0</v>
      </c>
      <c r="BE261" s="353">
        <v>10000000</v>
      </c>
      <c r="BF261" s="353">
        <v>0</v>
      </c>
      <c r="BG261" s="353">
        <v>0</v>
      </c>
      <c r="BH261" s="353">
        <v>0</v>
      </c>
      <c r="BI261" s="353">
        <v>0</v>
      </c>
      <c r="BJ261" s="353">
        <v>0</v>
      </c>
      <c r="BK261" s="452">
        <v>12160743</v>
      </c>
      <c r="BL261" s="351">
        <v>12160743</v>
      </c>
      <c r="BM261" s="351">
        <v>0</v>
      </c>
      <c r="BN261" s="351">
        <v>0</v>
      </c>
      <c r="BO261" s="351">
        <v>0</v>
      </c>
      <c r="BP261" s="351">
        <v>0</v>
      </c>
      <c r="BQ261" s="351">
        <v>0</v>
      </c>
      <c r="BR261" s="351">
        <v>0</v>
      </c>
      <c r="BS261" s="351">
        <v>0</v>
      </c>
      <c r="BT261" s="351">
        <v>0</v>
      </c>
      <c r="BU261" s="351">
        <v>0</v>
      </c>
      <c r="BV261" s="350">
        <f t="shared" ref="BV261:BV324" si="241">+Q261*BX261</f>
        <v>4.1250000000000002E-2</v>
      </c>
      <c r="BW261" s="350">
        <v>625</v>
      </c>
      <c r="BX261" s="385">
        <f t="shared" si="226"/>
        <v>0.25</v>
      </c>
      <c r="BY261" s="369">
        <v>0</v>
      </c>
      <c r="BZ261" s="391">
        <v>0</v>
      </c>
      <c r="CA261" s="689">
        <v>670</v>
      </c>
      <c r="CB261" s="324">
        <f t="shared" si="227"/>
        <v>670</v>
      </c>
      <c r="CC261" s="324">
        <f t="shared" si="228"/>
        <v>107.2</v>
      </c>
      <c r="CD261" s="384">
        <f t="shared" ref="CD261:CD324" si="242">+IF(CC261&lt;100,CC261,100)</f>
        <v>100</v>
      </c>
      <c r="CE261" s="383">
        <f t="shared" ref="CE261:CE324" si="243">+(CD261*BV261)/100</f>
        <v>4.1250000000000002E-2</v>
      </c>
      <c r="CF261" s="367">
        <f t="shared" ref="CF261:CF324" si="244">+IF(BZ261&gt;BW261,100,CD261)</f>
        <v>100</v>
      </c>
      <c r="CG261" s="383">
        <f t="shared" ref="CG261:CG324" si="245">(CC261*BV261)/100</f>
        <v>4.4220000000000009E-2</v>
      </c>
      <c r="CH261" s="320">
        <f t="shared" ref="CH261:CH324" si="246">+Q261*CJ261</f>
        <v>4.1250000000000002E-2</v>
      </c>
      <c r="CI261" s="319">
        <v>625</v>
      </c>
      <c r="CJ261" s="318">
        <f t="shared" si="229"/>
        <v>0.25</v>
      </c>
      <c r="CK261" s="1259">
        <v>0</v>
      </c>
      <c r="CL261" s="301">
        <f t="shared" si="230"/>
        <v>625</v>
      </c>
      <c r="CM261" s="381">
        <f t="shared" si="231"/>
        <v>0</v>
      </c>
      <c r="CN261" s="381">
        <f t="shared" si="232"/>
        <v>0</v>
      </c>
      <c r="CO261" s="316">
        <f t="shared" ref="CO261:CO324" si="247">+IF(CN261&lt;100,CN261,100)</f>
        <v>0</v>
      </c>
      <c r="CP261" s="381">
        <f t="shared" ref="CP261:CP324" si="248">+(CO261*CH261)/100</f>
        <v>0</v>
      </c>
      <c r="CQ261" s="381">
        <f t="shared" ref="CQ261:CQ324" si="249">+(CN261*CH261)/100</f>
        <v>0</v>
      </c>
      <c r="CR261" s="313">
        <v>10000000</v>
      </c>
      <c r="CS261" s="313">
        <v>10000000</v>
      </c>
      <c r="CT261" s="313">
        <v>0</v>
      </c>
      <c r="CU261" s="313">
        <v>0</v>
      </c>
      <c r="CV261" s="313">
        <v>0</v>
      </c>
      <c r="CW261" s="313">
        <v>0</v>
      </c>
      <c r="CX261" s="313">
        <v>0</v>
      </c>
      <c r="CY261" s="313">
        <v>0</v>
      </c>
      <c r="CZ261" s="380">
        <v>0</v>
      </c>
      <c r="DA261" s="380">
        <v>0</v>
      </c>
      <c r="DB261" s="380">
        <v>0</v>
      </c>
      <c r="DC261" s="380">
        <v>0</v>
      </c>
      <c r="DD261" s="380">
        <v>0</v>
      </c>
      <c r="DE261" s="380">
        <v>0</v>
      </c>
      <c r="DF261" s="380">
        <v>0</v>
      </c>
      <c r="DG261" s="380">
        <v>0</v>
      </c>
      <c r="DH261" s="380">
        <v>0</v>
      </c>
      <c r="DI261" s="380">
        <v>0</v>
      </c>
      <c r="DJ261" s="380">
        <v>0</v>
      </c>
      <c r="DK261" s="702">
        <f t="shared" si="233"/>
        <v>2059</v>
      </c>
      <c r="DL261" s="311">
        <f t="shared" ref="DL261:DL324" si="250">+R261+AT261+BV261+CH261</f>
        <v>0.16500000000000001</v>
      </c>
      <c r="DM261" s="310">
        <f t="shared" ref="DM261:DM324" si="251">+DK261*100/P261</f>
        <v>82.36</v>
      </c>
      <c r="DN261" s="356">
        <f t="shared" ref="DN261:DN324" si="252">+IF(DM261&lt;100,DM261,100)</f>
        <v>82.36</v>
      </c>
      <c r="DO261" s="308">
        <f t="shared" ref="DO261:DO324" si="253">+(DN261*Q261)/100</f>
        <v>0.13589400000000001</v>
      </c>
      <c r="DP261" s="359">
        <f>+IF(((DN261*Q261)/100)&lt;Q261, ((DN261*Q261)/100),Q261)</f>
        <v>0.13589400000000001</v>
      </c>
      <c r="DQ261" s="306">
        <f t="shared" ref="DQ261:DQ324" si="254">+IF(DL261&lt;DP261,DL261,DP261)</f>
        <v>0.13589400000000001</v>
      </c>
      <c r="DR261" s="379">
        <f t="shared" ref="DR261:DR324" si="255">+T261+AV261+BX261+CJ261</f>
        <v>1</v>
      </c>
      <c r="DS261" s="378">
        <f t="shared" ref="DS261:DS324" si="256">+Q261-R261-AT261-BV261-CH261</f>
        <v>0</v>
      </c>
      <c r="DT261" s="173">
        <v>160</v>
      </c>
      <c r="DU261" s="174" t="s">
        <v>416</v>
      </c>
      <c r="DV261" s="173"/>
      <c r="DW261" s="174" t="s">
        <v>84</v>
      </c>
      <c r="DX261" s="173"/>
      <c r="DY261" s="173"/>
      <c r="DZ261" s="173"/>
      <c r="EA261" s="665"/>
      <c r="EB261" s="1254" t="s">
        <v>2539</v>
      </c>
      <c r="EC261" s="537">
        <v>373000000</v>
      </c>
      <c r="EE261" s="740">
        <v>29</v>
      </c>
      <c r="EF261" s="706"/>
    </row>
    <row r="262" spans="4:136" s="302" customFormat="1" ht="72" hidden="1">
      <c r="D262" s="520">
        <v>259</v>
      </c>
      <c r="E262" s="534">
        <v>307</v>
      </c>
      <c r="F262" s="523" t="s">
        <v>43</v>
      </c>
      <c r="G262" s="479" t="s">
        <v>3</v>
      </c>
      <c r="H262" s="526" t="s">
        <v>2659</v>
      </c>
      <c r="I262" s="462" t="s">
        <v>623</v>
      </c>
      <c r="J262" s="335" t="s">
        <v>678</v>
      </c>
      <c r="K262" s="335" t="s">
        <v>679</v>
      </c>
      <c r="L262" s="454" t="s">
        <v>1501</v>
      </c>
      <c r="M262" s="334" t="s">
        <v>1771</v>
      </c>
      <c r="N262" s="334">
        <v>0</v>
      </c>
      <c r="O262" s="333">
        <f>+N262+P262</f>
        <v>2800</v>
      </c>
      <c r="P262" s="332">
        <v>2800</v>
      </c>
      <c r="Q262" s="390">
        <v>0.16500000000000001</v>
      </c>
      <c r="R262" s="342">
        <f t="shared" si="234"/>
        <v>4.1250000000000002E-2</v>
      </c>
      <c r="S262" s="389">
        <v>700</v>
      </c>
      <c r="T262" s="387">
        <f t="shared" si="220"/>
        <v>0.25</v>
      </c>
      <c r="U262" s="670">
        <v>721</v>
      </c>
      <c r="V262" s="388">
        <f t="shared" si="221"/>
        <v>721</v>
      </c>
      <c r="W262" s="356">
        <f t="shared" si="222"/>
        <v>103</v>
      </c>
      <c r="X262" s="356">
        <f t="shared" si="235"/>
        <v>100</v>
      </c>
      <c r="Y262" s="356">
        <f t="shared" si="215"/>
        <v>4.1250000000000002E-2</v>
      </c>
      <c r="Z262" s="356">
        <f t="shared" si="236"/>
        <v>100</v>
      </c>
      <c r="AA262" s="355">
        <v>10000000</v>
      </c>
      <c r="AB262" s="355">
        <v>10000000</v>
      </c>
      <c r="AC262" s="355">
        <v>0</v>
      </c>
      <c r="AD262" s="355">
        <v>0</v>
      </c>
      <c r="AE262" s="355">
        <v>0</v>
      </c>
      <c r="AF262" s="355">
        <v>0</v>
      </c>
      <c r="AG262" s="355">
        <v>0</v>
      </c>
      <c r="AH262" s="355">
        <v>0</v>
      </c>
      <c r="AI262" s="355">
        <v>10000000</v>
      </c>
      <c r="AJ262" s="355">
        <v>10000000</v>
      </c>
      <c r="AK262" s="355">
        <v>0</v>
      </c>
      <c r="AL262" s="355">
        <v>0</v>
      </c>
      <c r="AM262" s="355">
        <v>0</v>
      </c>
      <c r="AN262" s="355">
        <v>0</v>
      </c>
      <c r="AO262" s="355">
        <v>0</v>
      </c>
      <c r="AP262" s="355">
        <v>0</v>
      </c>
      <c r="AQ262" s="355">
        <v>0</v>
      </c>
      <c r="AR262" s="355">
        <v>0</v>
      </c>
      <c r="AS262" s="355">
        <v>0</v>
      </c>
      <c r="AT262" s="333">
        <f t="shared" si="237"/>
        <v>4.1250000000000002E-2</v>
      </c>
      <c r="AU262" s="334">
        <v>700</v>
      </c>
      <c r="AV262" s="387">
        <f t="shared" si="223"/>
        <v>0.25</v>
      </c>
      <c r="AW262" s="684">
        <v>740</v>
      </c>
      <c r="AX262" s="366">
        <f t="shared" si="224"/>
        <v>740</v>
      </c>
      <c r="AY262" s="366">
        <f t="shared" si="225"/>
        <v>105.71428571428571</v>
      </c>
      <c r="AZ262" s="366">
        <f t="shared" si="238"/>
        <v>100</v>
      </c>
      <c r="BA262" s="354">
        <f t="shared" si="239"/>
        <v>4.1250000000000002E-2</v>
      </c>
      <c r="BB262" s="354">
        <f t="shared" si="240"/>
        <v>100</v>
      </c>
      <c r="BC262" s="353">
        <v>20000000</v>
      </c>
      <c r="BD262" s="353">
        <v>0</v>
      </c>
      <c r="BE262" s="353">
        <v>20000000</v>
      </c>
      <c r="BF262" s="353">
        <v>0</v>
      </c>
      <c r="BG262" s="353">
        <v>0</v>
      </c>
      <c r="BH262" s="353">
        <v>0</v>
      </c>
      <c r="BI262" s="353">
        <v>0</v>
      </c>
      <c r="BJ262" s="353">
        <v>0</v>
      </c>
      <c r="BK262" s="452">
        <v>12160743</v>
      </c>
      <c r="BL262" s="351">
        <v>12160743</v>
      </c>
      <c r="BM262" s="351">
        <v>0</v>
      </c>
      <c r="BN262" s="351">
        <v>0</v>
      </c>
      <c r="BO262" s="351">
        <v>0</v>
      </c>
      <c r="BP262" s="351">
        <v>0</v>
      </c>
      <c r="BQ262" s="351">
        <v>0</v>
      </c>
      <c r="BR262" s="351">
        <v>0</v>
      </c>
      <c r="BS262" s="351">
        <v>0</v>
      </c>
      <c r="BT262" s="351">
        <v>0</v>
      </c>
      <c r="BU262" s="351">
        <v>0</v>
      </c>
      <c r="BV262" s="350">
        <f t="shared" si="241"/>
        <v>4.1250000000000002E-2</v>
      </c>
      <c r="BW262" s="350">
        <v>700</v>
      </c>
      <c r="BX262" s="385">
        <f t="shared" si="226"/>
        <v>0.25</v>
      </c>
      <c r="BY262" s="369">
        <v>731</v>
      </c>
      <c r="BZ262" s="391">
        <v>731</v>
      </c>
      <c r="CA262" s="689">
        <v>731</v>
      </c>
      <c r="CB262" s="324">
        <f t="shared" si="227"/>
        <v>731</v>
      </c>
      <c r="CC262" s="324">
        <f t="shared" si="228"/>
        <v>104.42857142857143</v>
      </c>
      <c r="CD262" s="384">
        <f t="shared" si="242"/>
        <v>100</v>
      </c>
      <c r="CE262" s="383">
        <f t="shared" si="243"/>
        <v>4.1250000000000002E-2</v>
      </c>
      <c r="CF262" s="367">
        <f t="shared" si="244"/>
        <v>100</v>
      </c>
      <c r="CG262" s="383">
        <f t="shared" si="245"/>
        <v>4.307678571428572E-2</v>
      </c>
      <c r="CH262" s="320">
        <f t="shared" si="246"/>
        <v>4.1250000000000002E-2</v>
      </c>
      <c r="CI262" s="319">
        <v>700</v>
      </c>
      <c r="CJ262" s="318">
        <f t="shared" si="229"/>
        <v>0.25</v>
      </c>
      <c r="CK262" s="1259">
        <v>765</v>
      </c>
      <c r="CL262" s="301">
        <f t="shared" si="230"/>
        <v>-65</v>
      </c>
      <c r="CM262" s="381">
        <f t="shared" si="231"/>
        <v>765</v>
      </c>
      <c r="CN262" s="381">
        <f t="shared" si="232"/>
        <v>109.28571428571429</v>
      </c>
      <c r="CO262" s="316">
        <f t="shared" si="247"/>
        <v>100</v>
      </c>
      <c r="CP262" s="381">
        <f t="shared" si="248"/>
        <v>4.1250000000000002E-2</v>
      </c>
      <c r="CQ262" s="381">
        <f t="shared" si="249"/>
        <v>4.5080357142857144E-2</v>
      </c>
      <c r="CR262" s="313">
        <v>20000000</v>
      </c>
      <c r="CS262" s="313">
        <v>20000000</v>
      </c>
      <c r="CT262" s="313">
        <v>0</v>
      </c>
      <c r="CU262" s="313">
        <v>0</v>
      </c>
      <c r="CV262" s="313">
        <v>0</v>
      </c>
      <c r="CW262" s="313">
        <v>0</v>
      </c>
      <c r="CX262" s="313">
        <v>0</v>
      </c>
      <c r="CY262" s="313">
        <v>0</v>
      </c>
      <c r="CZ262" s="380">
        <v>0</v>
      </c>
      <c r="DA262" s="380">
        <v>0</v>
      </c>
      <c r="DB262" s="380">
        <v>0</v>
      </c>
      <c r="DC262" s="380">
        <v>0</v>
      </c>
      <c r="DD262" s="380">
        <v>0</v>
      </c>
      <c r="DE262" s="380">
        <v>0</v>
      </c>
      <c r="DF262" s="380">
        <v>0</v>
      </c>
      <c r="DG262" s="380">
        <v>0</v>
      </c>
      <c r="DH262" s="380">
        <v>0</v>
      </c>
      <c r="DI262" s="380">
        <v>0</v>
      </c>
      <c r="DJ262" s="380">
        <v>0</v>
      </c>
      <c r="DK262" s="702">
        <f t="shared" si="233"/>
        <v>2957</v>
      </c>
      <c r="DL262" s="311">
        <f t="shared" si="250"/>
        <v>0.16500000000000001</v>
      </c>
      <c r="DM262" s="310">
        <f t="shared" si="251"/>
        <v>105.60714285714286</v>
      </c>
      <c r="DN262" s="356">
        <f t="shared" si="252"/>
        <v>100</v>
      </c>
      <c r="DO262" s="308">
        <f t="shared" si="253"/>
        <v>0.16500000000000001</v>
      </c>
      <c r="DP262" s="359">
        <f>+IF(((DN262*Q262)/100)&lt;Q262, ((DN262*Q262)/100),Q262)</f>
        <v>0.16500000000000001</v>
      </c>
      <c r="DQ262" s="306">
        <f t="shared" si="254"/>
        <v>0.16500000000000001</v>
      </c>
      <c r="DR262" s="379">
        <f t="shared" si="255"/>
        <v>1</v>
      </c>
      <c r="DS262" s="378">
        <f t="shared" si="256"/>
        <v>0</v>
      </c>
      <c r="DT262" s="173">
        <v>179</v>
      </c>
      <c r="DU262" s="174" t="s">
        <v>446</v>
      </c>
      <c r="DV262" s="173"/>
      <c r="DW262" s="174" t="s">
        <v>84</v>
      </c>
      <c r="DX262" s="173"/>
      <c r="DY262" s="173"/>
      <c r="DZ262" s="173"/>
      <c r="EA262" s="665"/>
      <c r="EB262" s="1254" t="s">
        <v>2234</v>
      </c>
      <c r="EC262" s="537">
        <v>35000000</v>
      </c>
      <c r="EE262" s="734">
        <v>10</v>
      </c>
      <c r="EF262" s="706"/>
    </row>
    <row r="263" spans="4:136" s="302" customFormat="1" ht="72" hidden="1">
      <c r="D263" s="520">
        <v>260</v>
      </c>
      <c r="E263" s="534">
        <v>308</v>
      </c>
      <c r="F263" s="523" t="s">
        <v>43</v>
      </c>
      <c r="G263" s="479" t="s">
        <v>3</v>
      </c>
      <c r="H263" s="526" t="s">
        <v>2659</v>
      </c>
      <c r="I263" s="462" t="s">
        <v>623</v>
      </c>
      <c r="J263" s="335" t="s">
        <v>680</v>
      </c>
      <c r="K263" s="335" t="s">
        <v>681</v>
      </c>
      <c r="L263" s="454" t="s">
        <v>1501</v>
      </c>
      <c r="M263" s="334" t="s">
        <v>1785</v>
      </c>
      <c r="N263" s="334">
        <v>0</v>
      </c>
      <c r="O263" s="333">
        <f>+P263</f>
        <v>2500</v>
      </c>
      <c r="P263" s="332">
        <v>2500</v>
      </c>
      <c r="Q263" s="390">
        <v>0.16500000000000001</v>
      </c>
      <c r="R263" s="342">
        <f t="shared" si="234"/>
        <v>4.1250000000000002E-2</v>
      </c>
      <c r="S263" s="389">
        <v>2500</v>
      </c>
      <c r="T263" s="387">
        <f t="shared" si="220"/>
        <v>0.25</v>
      </c>
      <c r="U263" s="670">
        <v>2500</v>
      </c>
      <c r="V263" s="388">
        <f t="shared" si="221"/>
        <v>625</v>
      </c>
      <c r="W263" s="356">
        <f t="shared" si="222"/>
        <v>100</v>
      </c>
      <c r="X263" s="356">
        <f t="shared" si="235"/>
        <v>100</v>
      </c>
      <c r="Y263" s="356">
        <f t="shared" si="215"/>
        <v>4.1250000000000002E-2</v>
      </c>
      <c r="Z263" s="356">
        <f t="shared" si="236"/>
        <v>100</v>
      </c>
      <c r="AA263" s="355">
        <v>5000000</v>
      </c>
      <c r="AB263" s="355">
        <v>5000000</v>
      </c>
      <c r="AC263" s="355">
        <v>0</v>
      </c>
      <c r="AD263" s="355">
        <v>0</v>
      </c>
      <c r="AE263" s="355">
        <v>0</v>
      </c>
      <c r="AF263" s="355">
        <v>0</v>
      </c>
      <c r="AG263" s="355">
        <v>0</v>
      </c>
      <c r="AH263" s="355">
        <v>0</v>
      </c>
      <c r="AI263" s="355">
        <v>5000000</v>
      </c>
      <c r="AJ263" s="355">
        <v>5000000</v>
      </c>
      <c r="AK263" s="355">
        <v>0</v>
      </c>
      <c r="AL263" s="355">
        <v>0</v>
      </c>
      <c r="AM263" s="355">
        <v>0</v>
      </c>
      <c r="AN263" s="355">
        <v>0</v>
      </c>
      <c r="AO263" s="355">
        <v>0</v>
      </c>
      <c r="AP263" s="355">
        <v>0</v>
      </c>
      <c r="AQ263" s="355">
        <v>0</v>
      </c>
      <c r="AR263" s="355">
        <v>0</v>
      </c>
      <c r="AS263" s="355">
        <v>0</v>
      </c>
      <c r="AT263" s="333">
        <f t="shared" si="237"/>
        <v>4.1250000000000002E-2</v>
      </c>
      <c r="AU263" s="334">
        <v>2500</v>
      </c>
      <c r="AV263" s="387">
        <f t="shared" si="223"/>
        <v>0.25</v>
      </c>
      <c r="AW263" s="684">
        <v>2686</v>
      </c>
      <c r="AX263" s="366">
        <f t="shared" si="224"/>
        <v>671.5</v>
      </c>
      <c r="AY263" s="366">
        <f t="shared" si="225"/>
        <v>107.44</v>
      </c>
      <c r="AZ263" s="366">
        <f t="shared" si="238"/>
        <v>100</v>
      </c>
      <c r="BA263" s="354">
        <f t="shared" si="239"/>
        <v>4.1250000000000002E-2</v>
      </c>
      <c r="BB263" s="354">
        <f t="shared" si="240"/>
        <v>100</v>
      </c>
      <c r="BC263" s="353">
        <v>3000000</v>
      </c>
      <c r="BD263" s="353">
        <v>0</v>
      </c>
      <c r="BE263" s="353">
        <v>3000000</v>
      </c>
      <c r="BF263" s="353">
        <v>0</v>
      </c>
      <c r="BG263" s="353">
        <v>0</v>
      </c>
      <c r="BH263" s="353">
        <v>0</v>
      </c>
      <c r="BI263" s="353">
        <v>0</v>
      </c>
      <c r="BJ263" s="353">
        <v>0</v>
      </c>
      <c r="BK263" s="452">
        <v>12160743</v>
      </c>
      <c r="BL263" s="351">
        <v>12160743</v>
      </c>
      <c r="BM263" s="351">
        <v>0</v>
      </c>
      <c r="BN263" s="351">
        <v>0</v>
      </c>
      <c r="BO263" s="351">
        <v>0</v>
      </c>
      <c r="BP263" s="351">
        <v>0</v>
      </c>
      <c r="BQ263" s="351">
        <v>0</v>
      </c>
      <c r="BR263" s="351">
        <v>0</v>
      </c>
      <c r="BS263" s="351">
        <v>0</v>
      </c>
      <c r="BT263" s="351">
        <v>0</v>
      </c>
      <c r="BU263" s="351">
        <v>0</v>
      </c>
      <c r="BV263" s="350">
        <f t="shared" si="241"/>
        <v>4.1250000000000002E-2</v>
      </c>
      <c r="BW263" s="350">
        <v>2500</v>
      </c>
      <c r="BX263" s="385">
        <f t="shared" si="226"/>
        <v>0.25</v>
      </c>
      <c r="BY263" s="369">
        <v>482</v>
      </c>
      <c r="BZ263" s="391">
        <v>482</v>
      </c>
      <c r="CA263" s="689">
        <v>2411</v>
      </c>
      <c r="CB263" s="324">
        <f t="shared" si="227"/>
        <v>602.75</v>
      </c>
      <c r="CC263" s="324">
        <f t="shared" si="228"/>
        <v>96.44</v>
      </c>
      <c r="CD263" s="384">
        <f t="shared" si="242"/>
        <v>96.44</v>
      </c>
      <c r="CE263" s="383">
        <f t="shared" si="243"/>
        <v>3.9781500000000004E-2</v>
      </c>
      <c r="CF263" s="367">
        <f t="shared" si="244"/>
        <v>96.44</v>
      </c>
      <c r="CG263" s="383">
        <f t="shared" si="245"/>
        <v>3.9781500000000004E-2</v>
      </c>
      <c r="CH263" s="320">
        <f t="shared" si="246"/>
        <v>4.1250000000000002E-2</v>
      </c>
      <c r="CI263" s="319">
        <v>2500</v>
      </c>
      <c r="CJ263" s="318">
        <f t="shared" si="229"/>
        <v>0.25</v>
      </c>
      <c r="CK263" s="1259">
        <v>2576</v>
      </c>
      <c r="CL263" s="301">
        <f t="shared" si="230"/>
        <v>-76</v>
      </c>
      <c r="CM263" s="381">
        <f t="shared" si="231"/>
        <v>644</v>
      </c>
      <c r="CN263" s="381">
        <f t="shared" si="232"/>
        <v>103.04</v>
      </c>
      <c r="CO263" s="381">
        <f t="shared" si="247"/>
        <v>100</v>
      </c>
      <c r="CP263" s="381">
        <f t="shared" si="248"/>
        <v>4.1250000000000002E-2</v>
      </c>
      <c r="CQ263" s="381">
        <f t="shared" si="249"/>
        <v>4.2504000000000007E-2</v>
      </c>
      <c r="CR263" s="313">
        <v>5000000</v>
      </c>
      <c r="CS263" s="313">
        <v>5000000</v>
      </c>
      <c r="CT263" s="313">
        <v>0</v>
      </c>
      <c r="CU263" s="313">
        <v>0</v>
      </c>
      <c r="CV263" s="313">
        <v>0</v>
      </c>
      <c r="CW263" s="313">
        <v>0</v>
      </c>
      <c r="CX263" s="313">
        <v>0</v>
      </c>
      <c r="CY263" s="313">
        <v>0</v>
      </c>
      <c r="CZ263" s="380">
        <v>0</v>
      </c>
      <c r="DA263" s="380">
        <v>0</v>
      </c>
      <c r="DB263" s="380">
        <v>0</v>
      </c>
      <c r="DC263" s="380">
        <v>0</v>
      </c>
      <c r="DD263" s="380">
        <v>0</v>
      </c>
      <c r="DE263" s="380">
        <v>0</v>
      </c>
      <c r="DF263" s="380">
        <v>0</v>
      </c>
      <c r="DG263" s="380">
        <v>0</v>
      </c>
      <c r="DH263" s="380">
        <v>0</v>
      </c>
      <c r="DI263" s="380">
        <v>0</v>
      </c>
      <c r="DJ263" s="380">
        <v>0</v>
      </c>
      <c r="DK263" s="702">
        <f t="shared" si="233"/>
        <v>2543.25</v>
      </c>
      <c r="DL263" s="311">
        <f t="shared" si="250"/>
        <v>0.16500000000000001</v>
      </c>
      <c r="DM263" s="310">
        <f t="shared" si="251"/>
        <v>101.73</v>
      </c>
      <c r="DN263" s="356">
        <f t="shared" si="252"/>
        <v>100</v>
      </c>
      <c r="DO263" s="308">
        <f t="shared" si="253"/>
        <v>0.16500000000000001</v>
      </c>
      <c r="DP263" s="359">
        <f>+IF(M263="M",DO263,0)</f>
        <v>0.16500000000000001</v>
      </c>
      <c r="DQ263" s="306">
        <f t="shared" si="254"/>
        <v>0.16500000000000001</v>
      </c>
      <c r="DR263" s="379">
        <f t="shared" si="255"/>
        <v>1</v>
      </c>
      <c r="DS263" s="378">
        <f t="shared" si="256"/>
        <v>0</v>
      </c>
      <c r="DT263" s="173">
        <v>179</v>
      </c>
      <c r="DU263" s="174" t="s">
        <v>446</v>
      </c>
      <c r="DV263" s="173"/>
      <c r="DW263" s="174" t="s">
        <v>84</v>
      </c>
      <c r="DX263" s="173"/>
      <c r="DY263" s="173"/>
      <c r="DZ263" s="173"/>
      <c r="EA263" s="665"/>
      <c r="EB263" s="1254" t="s">
        <v>2235</v>
      </c>
      <c r="EC263" s="537">
        <v>0</v>
      </c>
      <c r="EE263" s="734">
        <v>100</v>
      </c>
      <c r="EF263" s="706"/>
    </row>
    <row r="264" spans="4:136" s="302" customFormat="1" ht="63.75" hidden="1">
      <c r="D264" s="520">
        <v>261</v>
      </c>
      <c r="E264" s="534">
        <v>309</v>
      </c>
      <c r="F264" s="523" t="s">
        <v>43</v>
      </c>
      <c r="G264" s="479" t="s">
        <v>17</v>
      </c>
      <c r="H264" s="526" t="s">
        <v>2659</v>
      </c>
      <c r="I264" s="462" t="s">
        <v>623</v>
      </c>
      <c r="J264" s="335" t="s">
        <v>682</v>
      </c>
      <c r="K264" s="335" t="s">
        <v>683</v>
      </c>
      <c r="L264" s="453" t="s">
        <v>1947</v>
      </c>
      <c r="M264" s="334" t="s">
        <v>1771</v>
      </c>
      <c r="N264" s="334">
        <v>0</v>
      </c>
      <c r="O264" s="333">
        <f t="shared" ref="O264:O273" si="257">+N264+P264</f>
        <v>100</v>
      </c>
      <c r="P264" s="332">
        <v>100</v>
      </c>
      <c r="Q264" s="390">
        <v>0.16500000000000001</v>
      </c>
      <c r="R264" s="342">
        <f t="shared" si="234"/>
        <v>8.2500000000000004E-3</v>
      </c>
      <c r="S264" s="389">
        <v>5</v>
      </c>
      <c r="T264" s="387">
        <f t="shared" si="220"/>
        <v>0.05</v>
      </c>
      <c r="U264" s="670">
        <v>0</v>
      </c>
      <c r="V264" s="388">
        <f t="shared" si="221"/>
        <v>0</v>
      </c>
      <c r="W264" s="356">
        <f t="shared" si="222"/>
        <v>0</v>
      </c>
      <c r="X264" s="356">
        <f t="shared" si="235"/>
        <v>0</v>
      </c>
      <c r="Y264" s="356">
        <f t="shared" si="215"/>
        <v>0</v>
      </c>
      <c r="Z264" s="356">
        <f t="shared" si="236"/>
        <v>0</v>
      </c>
      <c r="AA264" s="355">
        <v>11000000</v>
      </c>
      <c r="AB264" s="355">
        <v>11000000</v>
      </c>
      <c r="AC264" s="355">
        <v>0</v>
      </c>
      <c r="AD264" s="355">
        <v>0</v>
      </c>
      <c r="AE264" s="355">
        <v>0</v>
      </c>
      <c r="AF264" s="355">
        <v>0</v>
      </c>
      <c r="AG264" s="355">
        <v>0</v>
      </c>
      <c r="AH264" s="355">
        <v>0</v>
      </c>
      <c r="AI264" s="355">
        <v>0</v>
      </c>
      <c r="AJ264" s="355">
        <v>0</v>
      </c>
      <c r="AK264" s="355">
        <v>0</v>
      </c>
      <c r="AL264" s="355">
        <v>0</v>
      </c>
      <c r="AM264" s="355">
        <v>0</v>
      </c>
      <c r="AN264" s="355">
        <v>0</v>
      </c>
      <c r="AO264" s="355">
        <v>0</v>
      </c>
      <c r="AP264" s="355">
        <v>0</v>
      </c>
      <c r="AQ264" s="355">
        <v>0</v>
      </c>
      <c r="AR264" s="355">
        <v>0</v>
      </c>
      <c r="AS264" s="355">
        <v>0</v>
      </c>
      <c r="AT264" s="333">
        <f t="shared" si="237"/>
        <v>4.9500000000000002E-2</v>
      </c>
      <c r="AU264" s="334">
        <v>30</v>
      </c>
      <c r="AV264" s="387">
        <f t="shared" si="223"/>
        <v>0.3</v>
      </c>
      <c r="AW264" s="684">
        <v>53.2</v>
      </c>
      <c r="AX264" s="366">
        <f t="shared" si="224"/>
        <v>53.2</v>
      </c>
      <c r="AY264" s="366">
        <f t="shared" si="225"/>
        <v>177.33333333333334</v>
      </c>
      <c r="AZ264" s="366">
        <f t="shared" si="238"/>
        <v>100</v>
      </c>
      <c r="BA264" s="354">
        <f t="shared" si="239"/>
        <v>4.9500000000000002E-2</v>
      </c>
      <c r="BB264" s="354">
        <f t="shared" si="240"/>
        <v>100</v>
      </c>
      <c r="BC264" s="353">
        <v>0</v>
      </c>
      <c r="BD264" s="353">
        <v>0</v>
      </c>
      <c r="BE264" s="353">
        <v>0</v>
      </c>
      <c r="BF264" s="353">
        <v>0</v>
      </c>
      <c r="BG264" s="353">
        <v>0</v>
      </c>
      <c r="BH264" s="353">
        <v>0</v>
      </c>
      <c r="BI264" s="353">
        <v>0</v>
      </c>
      <c r="BJ264" s="353">
        <v>0</v>
      </c>
      <c r="BK264" s="452">
        <v>94400000</v>
      </c>
      <c r="BL264" s="351">
        <v>94400000</v>
      </c>
      <c r="BM264" s="351">
        <v>0</v>
      </c>
      <c r="BN264" s="351">
        <v>0</v>
      </c>
      <c r="BO264" s="351">
        <v>0</v>
      </c>
      <c r="BP264" s="351">
        <v>0</v>
      </c>
      <c r="BQ264" s="351">
        <v>0</v>
      </c>
      <c r="BR264" s="351">
        <v>0</v>
      </c>
      <c r="BS264" s="351">
        <v>0</v>
      </c>
      <c r="BT264" s="351">
        <v>0</v>
      </c>
      <c r="BU264" s="351">
        <v>0</v>
      </c>
      <c r="BV264" s="350">
        <f t="shared" si="241"/>
        <v>4.9500000000000002E-2</v>
      </c>
      <c r="BW264" s="350">
        <v>30</v>
      </c>
      <c r="BX264" s="385">
        <f t="shared" si="226"/>
        <v>0.3</v>
      </c>
      <c r="BY264" s="369">
        <v>0.18000000715255737</v>
      </c>
      <c r="BZ264" s="391">
        <v>0</v>
      </c>
      <c r="CA264" s="689">
        <v>20.72</v>
      </c>
      <c r="CB264" s="324">
        <f t="shared" si="227"/>
        <v>20.72</v>
      </c>
      <c r="CC264" s="324">
        <f t="shared" si="228"/>
        <v>69.066666666666663</v>
      </c>
      <c r="CD264" s="384">
        <f t="shared" si="242"/>
        <v>69.066666666666663</v>
      </c>
      <c r="CE264" s="383">
        <f t="shared" si="243"/>
        <v>3.4188000000000003E-2</v>
      </c>
      <c r="CF264" s="367">
        <f t="shared" si="244"/>
        <v>69.066666666666663</v>
      </c>
      <c r="CG264" s="383">
        <f t="shared" si="245"/>
        <v>3.4188000000000003E-2</v>
      </c>
      <c r="CH264" s="320">
        <f t="shared" si="246"/>
        <v>5.7749999999999996E-2</v>
      </c>
      <c r="CI264" s="319">
        <v>35</v>
      </c>
      <c r="CJ264" s="318">
        <f t="shared" si="229"/>
        <v>0.35</v>
      </c>
      <c r="CK264" s="1259">
        <v>10</v>
      </c>
      <c r="CL264" s="301">
        <f t="shared" si="230"/>
        <v>25</v>
      </c>
      <c r="CM264" s="381">
        <f t="shared" si="231"/>
        <v>10</v>
      </c>
      <c r="CN264" s="381">
        <f t="shared" si="232"/>
        <v>28.571428571428573</v>
      </c>
      <c r="CO264" s="316">
        <f t="shared" si="247"/>
        <v>28.571428571428573</v>
      </c>
      <c r="CP264" s="381">
        <f t="shared" si="248"/>
        <v>1.6500000000000001E-2</v>
      </c>
      <c r="CQ264" s="381">
        <f t="shared" si="249"/>
        <v>1.6500000000000001E-2</v>
      </c>
      <c r="CR264" s="313">
        <v>0</v>
      </c>
      <c r="CS264" s="313">
        <v>0</v>
      </c>
      <c r="CT264" s="313">
        <v>0</v>
      </c>
      <c r="CU264" s="313">
        <v>0</v>
      </c>
      <c r="CV264" s="313">
        <v>0</v>
      </c>
      <c r="CW264" s="313">
        <v>0</v>
      </c>
      <c r="CX264" s="313">
        <v>0</v>
      </c>
      <c r="CY264" s="313">
        <v>0</v>
      </c>
      <c r="CZ264" s="380">
        <v>0</v>
      </c>
      <c r="DA264" s="380">
        <v>0</v>
      </c>
      <c r="DB264" s="380">
        <v>0</v>
      </c>
      <c r="DC264" s="380">
        <v>0</v>
      </c>
      <c r="DD264" s="380">
        <v>0</v>
      </c>
      <c r="DE264" s="380">
        <v>0</v>
      </c>
      <c r="DF264" s="380">
        <v>0</v>
      </c>
      <c r="DG264" s="380">
        <v>0</v>
      </c>
      <c r="DH264" s="380">
        <v>0</v>
      </c>
      <c r="DI264" s="380">
        <v>0</v>
      </c>
      <c r="DJ264" s="380">
        <v>0</v>
      </c>
      <c r="DK264" s="702">
        <f t="shared" si="233"/>
        <v>83.92</v>
      </c>
      <c r="DL264" s="311">
        <f t="shared" si="250"/>
        <v>0.16500000000000001</v>
      </c>
      <c r="DM264" s="310">
        <f t="shared" si="251"/>
        <v>83.92</v>
      </c>
      <c r="DN264" s="356">
        <f t="shared" si="252"/>
        <v>83.92</v>
      </c>
      <c r="DO264" s="308">
        <f t="shared" si="253"/>
        <v>0.13846800000000001</v>
      </c>
      <c r="DP264" s="359">
        <f t="shared" ref="DP264:DP273" si="258">+IF(((DN264*Q264)/100)&lt;Q264, ((DN264*Q264)/100),Q264)</f>
        <v>0.13846800000000001</v>
      </c>
      <c r="DQ264" s="306">
        <f t="shared" si="254"/>
        <v>0.13846800000000001</v>
      </c>
      <c r="DR264" s="379">
        <f t="shared" si="255"/>
        <v>0.99999999999999989</v>
      </c>
      <c r="DS264" s="378">
        <f t="shared" si="256"/>
        <v>0</v>
      </c>
      <c r="DT264" s="173">
        <v>269</v>
      </c>
      <c r="DU264" s="174" t="s">
        <v>117</v>
      </c>
      <c r="DV264" s="173"/>
      <c r="DW264" s="174" t="s">
        <v>84</v>
      </c>
      <c r="DX264" s="173"/>
      <c r="DY264" s="173"/>
      <c r="DZ264" s="173"/>
      <c r="EA264" s="665"/>
      <c r="EB264" s="1254" t="s">
        <v>2540</v>
      </c>
      <c r="EC264" s="537">
        <v>137000000</v>
      </c>
      <c r="EE264" s="733">
        <v>4</v>
      </c>
      <c r="EF264" s="706"/>
    </row>
    <row r="265" spans="4:136" s="302" customFormat="1" ht="89.25" hidden="1">
      <c r="D265" s="520">
        <v>262</v>
      </c>
      <c r="E265" s="534">
        <v>310</v>
      </c>
      <c r="F265" s="523" t="s">
        <v>43</v>
      </c>
      <c r="G265" s="479" t="s">
        <v>17</v>
      </c>
      <c r="H265" s="526" t="s">
        <v>2659</v>
      </c>
      <c r="I265" s="462" t="s">
        <v>623</v>
      </c>
      <c r="J265" s="335" t="s">
        <v>684</v>
      </c>
      <c r="K265" s="335" t="s">
        <v>685</v>
      </c>
      <c r="L265" s="453" t="s">
        <v>1947</v>
      </c>
      <c r="M265" s="334" t="s">
        <v>1771</v>
      </c>
      <c r="N265" s="334">
        <v>0</v>
      </c>
      <c r="O265" s="333">
        <f t="shared" si="257"/>
        <v>100</v>
      </c>
      <c r="P265" s="332">
        <v>100</v>
      </c>
      <c r="Q265" s="390">
        <v>0.16500000000000001</v>
      </c>
      <c r="R265" s="342">
        <f t="shared" si="234"/>
        <v>1.6500000000000001E-2</v>
      </c>
      <c r="S265" s="389">
        <v>10</v>
      </c>
      <c r="T265" s="387">
        <f t="shared" si="220"/>
        <v>0.1</v>
      </c>
      <c r="U265" s="670">
        <v>0.57999999999999996</v>
      </c>
      <c r="V265" s="388">
        <f t="shared" si="221"/>
        <v>0.57999999999999996</v>
      </c>
      <c r="W265" s="356">
        <f t="shared" si="222"/>
        <v>5.7999999999999989</v>
      </c>
      <c r="X265" s="356">
        <f t="shared" si="235"/>
        <v>5.7999999999999989</v>
      </c>
      <c r="Y265" s="356">
        <f t="shared" si="215"/>
        <v>9.5699999999999995E-4</v>
      </c>
      <c r="Z265" s="356">
        <f t="shared" si="236"/>
        <v>5.7999999999999989</v>
      </c>
      <c r="AA265" s="355">
        <v>128958000</v>
      </c>
      <c r="AB265" s="355">
        <v>128958000</v>
      </c>
      <c r="AC265" s="355">
        <v>0</v>
      </c>
      <c r="AD265" s="355">
        <v>0</v>
      </c>
      <c r="AE265" s="355">
        <v>0</v>
      </c>
      <c r="AF265" s="355">
        <v>0</v>
      </c>
      <c r="AG265" s="355">
        <v>0</v>
      </c>
      <c r="AH265" s="355">
        <v>0</v>
      </c>
      <c r="AI265" s="355">
        <v>7978000</v>
      </c>
      <c r="AJ265" s="355">
        <v>7978000</v>
      </c>
      <c r="AK265" s="355">
        <v>0</v>
      </c>
      <c r="AL265" s="355">
        <v>0</v>
      </c>
      <c r="AM265" s="355">
        <v>0</v>
      </c>
      <c r="AN265" s="355">
        <v>0</v>
      </c>
      <c r="AO265" s="355">
        <v>0</v>
      </c>
      <c r="AP265" s="355">
        <v>0</v>
      </c>
      <c r="AQ265" s="355">
        <v>0</v>
      </c>
      <c r="AR265" s="355">
        <v>0</v>
      </c>
      <c r="AS265" s="355">
        <v>0</v>
      </c>
      <c r="AT265" s="333">
        <f t="shared" si="237"/>
        <v>4.9500000000000002E-2</v>
      </c>
      <c r="AU265" s="334">
        <v>30</v>
      </c>
      <c r="AV265" s="387">
        <f t="shared" si="223"/>
        <v>0.3</v>
      </c>
      <c r="AW265" s="684">
        <v>29.2</v>
      </c>
      <c r="AX265" s="366">
        <f t="shared" si="224"/>
        <v>29.2</v>
      </c>
      <c r="AY265" s="366">
        <f t="shared" si="225"/>
        <v>97.333333333333329</v>
      </c>
      <c r="AZ265" s="366">
        <f t="shared" si="238"/>
        <v>97.333333333333329</v>
      </c>
      <c r="BA265" s="354">
        <f t="shared" si="239"/>
        <v>4.8179999999999994E-2</v>
      </c>
      <c r="BB265" s="354">
        <f t="shared" si="240"/>
        <v>97.333333333333329</v>
      </c>
      <c r="BC265" s="353">
        <v>0</v>
      </c>
      <c r="BD265" s="353">
        <v>0</v>
      </c>
      <c r="BE265" s="353">
        <v>0</v>
      </c>
      <c r="BF265" s="353">
        <v>0</v>
      </c>
      <c r="BG265" s="353">
        <v>0</v>
      </c>
      <c r="BH265" s="353">
        <v>0</v>
      </c>
      <c r="BI265" s="353">
        <v>0</v>
      </c>
      <c r="BJ265" s="353">
        <v>0</v>
      </c>
      <c r="BK265" s="452">
        <v>639000000</v>
      </c>
      <c r="BL265" s="351">
        <v>639000000</v>
      </c>
      <c r="BM265" s="351">
        <v>0</v>
      </c>
      <c r="BN265" s="351">
        <v>0</v>
      </c>
      <c r="BO265" s="351">
        <v>0</v>
      </c>
      <c r="BP265" s="351">
        <v>0</v>
      </c>
      <c r="BQ265" s="351">
        <v>0</v>
      </c>
      <c r="BR265" s="351">
        <v>0</v>
      </c>
      <c r="BS265" s="351">
        <v>0</v>
      </c>
      <c r="BT265" s="351">
        <v>0</v>
      </c>
      <c r="BU265" s="351">
        <v>0</v>
      </c>
      <c r="BV265" s="350">
        <f t="shared" si="241"/>
        <v>4.9500000000000002E-2</v>
      </c>
      <c r="BW265" s="350">
        <v>30</v>
      </c>
      <c r="BX265" s="385">
        <f t="shared" si="226"/>
        <v>0.3</v>
      </c>
      <c r="BY265" s="369">
        <v>0</v>
      </c>
      <c r="BZ265" s="391">
        <v>0</v>
      </c>
      <c r="CA265" s="689">
        <v>17.82</v>
      </c>
      <c r="CB265" s="324">
        <f t="shared" si="227"/>
        <v>17.82</v>
      </c>
      <c r="CC265" s="324">
        <f t="shared" si="228"/>
        <v>59.4</v>
      </c>
      <c r="CD265" s="384">
        <f t="shared" si="242"/>
        <v>59.4</v>
      </c>
      <c r="CE265" s="383">
        <f t="shared" si="243"/>
        <v>2.9403000000000002E-2</v>
      </c>
      <c r="CF265" s="367">
        <f t="shared" si="244"/>
        <v>59.4</v>
      </c>
      <c r="CG265" s="383">
        <f t="shared" si="245"/>
        <v>2.9403000000000002E-2</v>
      </c>
      <c r="CH265" s="320">
        <f t="shared" si="246"/>
        <v>4.9500000000000002E-2</v>
      </c>
      <c r="CI265" s="319">
        <v>30</v>
      </c>
      <c r="CJ265" s="318">
        <f t="shared" si="229"/>
        <v>0.3</v>
      </c>
      <c r="CK265" s="1259">
        <v>8</v>
      </c>
      <c r="CL265" s="301">
        <f t="shared" si="230"/>
        <v>22</v>
      </c>
      <c r="CM265" s="381">
        <f t="shared" si="231"/>
        <v>8</v>
      </c>
      <c r="CN265" s="381">
        <f t="shared" si="232"/>
        <v>26.666666666666668</v>
      </c>
      <c r="CO265" s="316">
        <f t="shared" si="247"/>
        <v>26.666666666666668</v>
      </c>
      <c r="CP265" s="381">
        <f t="shared" si="248"/>
        <v>1.32E-2</v>
      </c>
      <c r="CQ265" s="381">
        <f t="shared" si="249"/>
        <v>1.32E-2</v>
      </c>
      <c r="CR265" s="313">
        <v>0</v>
      </c>
      <c r="CS265" s="313">
        <v>0</v>
      </c>
      <c r="CT265" s="313">
        <v>0</v>
      </c>
      <c r="CU265" s="313">
        <v>0</v>
      </c>
      <c r="CV265" s="313">
        <v>0</v>
      </c>
      <c r="CW265" s="313">
        <v>0</v>
      </c>
      <c r="CX265" s="313">
        <v>0</v>
      </c>
      <c r="CY265" s="313">
        <v>0</v>
      </c>
      <c r="CZ265" s="380">
        <v>0</v>
      </c>
      <c r="DA265" s="380">
        <v>0</v>
      </c>
      <c r="DB265" s="380">
        <v>0</v>
      </c>
      <c r="DC265" s="380">
        <v>0</v>
      </c>
      <c r="DD265" s="380">
        <v>0</v>
      </c>
      <c r="DE265" s="380">
        <v>0</v>
      </c>
      <c r="DF265" s="380">
        <v>0</v>
      </c>
      <c r="DG265" s="380">
        <v>0</v>
      </c>
      <c r="DH265" s="380">
        <v>0</v>
      </c>
      <c r="DI265" s="380">
        <v>0</v>
      </c>
      <c r="DJ265" s="380">
        <v>0</v>
      </c>
      <c r="DK265" s="702">
        <f t="shared" si="233"/>
        <v>55.599999999999994</v>
      </c>
      <c r="DL265" s="311">
        <f t="shared" si="250"/>
        <v>0.16500000000000001</v>
      </c>
      <c r="DM265" s="310">
        <f t="shared" si="251"/>
        <v>55.599999999999994</v>
      </c>
      <c r="DN265" s="356">
        <f t="shared" si="252"/>
        <v>55.599999999999994</v>
      </c>
      <c r="DO265" s="308">
        <f t="shared" si="253"/>
        <v>9.1739999999999988E-2</v>
      </c>
      <c r="DP265" s="359">
        <f t="shared" si="258"/>
        <v>9.1739999999999988E-2</v>
      </c>
      <c r="DQ265" s="306">
        <f t="shared" si="254"/>
        <v>9.1739999999999988E-2</v>
      </c>
      <c r="DR265" s="379">
        <f t="shared" si="255"/>
        <v>1</v>
      </c>
      <c r="DS265" s="378">
        <f t="shared" si="256"/>
        <v>0</v>
      </c>
      <c r="DT265" s="173">
        <v>269</v>
      </c>
      <c r="DU265" s="174" t="s">
        <v>117</v>
      </c>
      <c r="DV265" s="173"/>
      <c r="DW265" s="174" t="s">
        <v>84</v>
      </c>
      <c r="DX265" s="173"/>
      <c r="DY265" s="173"/>
      <c r="DZ265" s="173"/>
      <c r="EA265" s="665"/>
      <c r="EB265" s="1254" t="s">
        <v>2541</v>
      </c>
      <c r="EC265" s="537">
        <v>20000000</v>
      </c>
      <c r="EE265" s="734">
        <v>1</v>
      </c>
      <c r="EF265" s="706"/>
    </row>
    <row r="266" spans="4:136" s="302" customFormat="1" ht="51" hidden="1">
      <c r="D266" s="520">
        <v>263</v>
      </c>
      <c r="E266" s="534">
        <v>311</v>
      </c>
      <c r="F266" s="523" t="s">
        <v>43</v>
      </c>
      <c r="G266" s="479" t="s">
        <v>16</v>
      </c>
      <c r="H266" s="526" t="s">
        <v>2659</v>
      </c>
      <c r="I266" s="462" t="s">
        <v>623</v>
      </c>
      <c r="J266" s="335" t="s">
        <v>686</v>
      </c>
      <c r="K266" s="335" t="s">
        <v>687</v>
      </c>
      <c r="L266" s="454" t="s">
        <v>1463</v>
      </c>
      <c r="M266" s="334" t="s">
        <v>1771</v>
      </c>
      <c r="N266" s="334">
        <v>200</v>
      </c>
      <c r="O266" s="333">
        <f t="shared" si="257"/>
        <v>700</v>
      </c>
      <c r="P266" s="332">
        <v>500</v>
      </c>
      <c r="Q266" s="390">
        <v>0.16500000000000001</v>
      </c>
      <c r="R266" s="342">
        <f t="shared" si="234"/>
        <v>3.3000000000000002E-2</v>
      </c>
      <c r="S266" s="389">
        <v>100</v>
      </c>
      <c r="T266" s="387">
        <f t="shared" si="220"/>
        <v>0.2</v>
      </c>
      <c r="U266" s="670">
        <v>154</v>
      </c>
      <c r="V266" s="388">
        <f t="shared" si="221"/>
        <v>154</v>
      </c>
      <c r="W266" s="356">
        <f t="shared" si="222"/>
        <v>154</v>
      </c>
      <c r="X266" s="356">
        <f t="shared" si="235"/>
        <v>100</v>
      </c>
      <c r="Y266" s="356">
        <f t="shared" si="215"/>
        <v>3.3000000000000002E-2</v>
      </c>
      <c r="Z266" s="356">
        <f t="shared" si="236"/>
        <v>100</v>
      </c>
      <c r="AA266" s="355">
        <v>200000000</v>
      </c>
      <c r="AB266" s="355">
        <v>200000000</v>
      </c>
      <c r="AC266" s="355">
        <v>0</v>
      </c>
      <c r="AD266" s="355">
        <v>0</v>
      </c>
      <c r="AE266" s="355">
        <v>0</v>
      </c>
      <c r="AF266" s="355">
        <v>0</v>
      </c>
      <c r="AG266" s="355">
        <v>0</v>
      </c>
      <c r="AH266" s="355">
        <v>0</v>
      </c>
      <c r="AI266" s="355">
        <v>200000000</v>
      </c>
      <c r="AJ266" s="355">
        <v>200000000</v>
      </c>
      <c r="AK266" s="355">
        <v>0</v>
      </c>
      <c r="AL266" s="355">
        <v>0</v>
      </c>
      <c r="AM266" s="355">
        <v>0</v>
      </c>
      <c r="AN266" s="355">
        <v>0</v>
      </c>
      <c r="AO266" s="355">
        <v>0</v>
      </c>
      <c r="AP266" s="355">
        <v>0</v>
      </c>
      <c r="AQ266" s="355">
        <v>0</v>
      </c>
      <c r="AR266" s="355">
        <v>25000000</v>
      </c>
      <c r="AS266" s="355" t="s">
        <v>1415</v>
      </c>
      <c r="AT266" s="333">
        <f t="shared" si="237"/>
        <v>3.3000000000000002E-2</v>
      </c>
      <c r="AU266" s="334">
        <v>100</v>
      </c>
      <c r="AV266" s="387">
        <f t="shared" si="223"/>
        <v>0.2</v>
      </c>
      <c r="AW266" s="677">
        <v>110</v>
      </c>
      <c r="AX266" s="366">
        <f t="shared" si="224"/>
        <v>110</v>
      </c>
      <c r="AY266" s="366">
        <f t="shared" si="225"/>
        <v>110</v>
      </c>
      <c r="AZ266" s="366">
        <f t="shared" si="238"/>
        <v>100</v>
      </c>
      <c r="BA266" s="354">
        <f t="shared" si="239"/>
        <v>3.3000000000000002E-2</v>
      </c>
      <c r="BB266" s="354">
        <f t="shared" si="240"/>
        <v>100</v>
      </c>
      <c r="BC266" s="353">
        <v>130000000</v>
      </c>
      <c r="BD266" s="353">
        <v>0</v>
      </c>
      <c r="BE266" s="353">
        <v>130000000</v>
      </c>
      <c r="BF266" s="353">
        <v>0</v>
      </c>
      <c r="BG266" s="353">
        <v>0</v>
      </c>
      <c r="BH266" s="353">
        <v>0</v>
      </c>
      <c r="BI266" s="353">
        <v>0</v>
      </c>
      <c r="BJ266" s="353">
        <v>0</v>
      </c>
      <c r="BK266" s="452">
        <v>97500000</v>
      </c>
      <c r="BL266" s="351">
        <v>97500000</v>
      </c>
      <c r="BM266" s="351">
        <v>0</v>
      </c>
      <c r="BN266" s="351">
        <v>0</v>
      </c>
      <c r="BO266" s="351">
        <v>0</v>
      </c>
      <c r="BP266" s="351">
        <v>0</v>
      </c>
      <c r="BQ266" s="351">
        <v>0</v>
      </c>
      <c r="BR266" s="351">
        <v>0</v>
      </c>
      <c r="BS266" s="351">
        <v>0</v>
      </c>
      <c r="BT266" s="351">
        <v>10000000</v>
      </c>
      <c r="BU266" s="351" t="s">
        <v>1930</v>
      </c>
      <c r="BV266" s="350">
        <f t="shared" si="241"/>
        <v>3.3000000000000002E-2</v>
      </c>
      <c r="BW266" s="350">
        <v>100</v>
      </c>
      <c r="BX266" s="385">
        <f t="shared" si="226"/>
        <v>0.2</v>
      </c>
      <c r="BY266" s="399">
        <v>159</v>
      </c>
      <c r="BZ266" s="398">
        <v>247</v>
      </c>
      <c r="CA266" s="690">
        <v>304</v>
      </c>
      <c r="CB266" s="324">
        <f t="shared" si="227"/>
        <v>304</v>
      </c>
      <c r="CC266" s="324">
        <f t="shared" si="228"/>
        <v>304</v>
      </c>
      <c r="CD266" s="384">
        <f t="shared" si="242"/>
        <v>100</v>
      </c>
      <c r="CE266" s="383">
        <f t="shared" si="243"/>
        <v>3.3000000000000002E-2</v>
      </c>
      <c r="CF266" s="367">
        <f t="shared" si="244"/>
        <v>100</v>
      </c>
      <c r="CG266" s="383">
        <f t="shared" si="245"/>
        <v>0.10032000000000001</v>
      </c>
      <c r="CH266" s="320">
        <f t="shared" si="246"/>
        <v>6.6000000000000003E-2</v>
      </c>
      <c r="CI266" s="319">
        <v>200</v>
      </c>
      <c r="CJ266" s="318">
        <f t="shared" si="229"/>
        <v>0.4</v>
      </c>
      <c r="CK266" s="1259">
        <v>74</v>
      </c>
      <c r="CL266" s="301">
        <f t="shared" si="230"/>
        <v>126</v>
      </c>
      <c r="CM266" s="381">
        <f t="shared" si="231"/>
        <v>74</v>
      </c>
      <c r="CN266" s="381">
        <f t="shared" si="232"/>
        <v>37</v>
      </c>
      <c r="CO266" s="316">
        <f t="shared" si="247"/>
        <v>37</v>
      </c>
      <c r="CP266" s="381">
        <f t="shared" si="248"/>
        <v>2.4420000000000001E-2</v>
      </c>
      <c r="CQ266" s="381">
        <f t="shared" si="249"/>
        <v>2.4420000000000001E-2</v>
      </c>
      <c r="CR266" s="313">
        <v>300000000</v>
      </c>
      <c r="CS266" s="313">
        <v>300000000</v>
      </c>
      <c r="CT266" s="313">
        <v>0</v>
      </c>
      <c r="CU266" s="313">
        <v>0</v>
      </c>
      <c r="CV266" s="313">
        <v>0</v>
      </c>
      <c r="CW266" s="313">
        <v>0</v>
      </c>
      <c r="CX266" s="313">
        <v>0</v>
      </c>
      <c r="CY266" s="313">
        <v>0</v>
      </c>
      <c r="CZ266" s="380">
        <v>0</v>
      </c>
      <c r="DA266" s="380">
        <v>0</v>
      </c>
      <c r="DB266" s="380">
        <v>0</v>
      </c>
      <c r="DC266" s="380">
        <v>0</v>
      </c>
      <c r="DD266" s="380">
        <v>0</v>
      </c>
      <c r="DE266" s="380">
        <v>0</v>
      </c>
      <c r="DF266" s="380">
        <v>0</v>
      </c>
      <c r="DG266" s="380">
        <v>0</v>
      </c>
      <c r="DH266" s="380">
        <v>0</v>
      </c>
      <c r="DI266" s="380">
        <v>0</v>
      </c>
      <c r="DJ266" s="380">
        <v>0</v>
      </c>
      <c r="DK266" s="702">
        <f t="shared" si="233"/>
        <v>642</v>
      </c>
      <c r="DL266" s="311">
        <f t="shared" si="250"/>
        <v>0.16500000000000001</v>
      </c>
      <c r="DM266" s="310">
        <f t="shared" si="251"/>
        <v>128.4</v>
      </c>
      <c r="DN266" s="356">
        <f t="shared" si="252"/>
        <v>100</v>
      </c>
      <c r="DO266" s="308">
        <f t="shared" si="253"/>
        <v>0.16500000000000001</v>
      </c>
      <c r="DP266" s="359">
        <f t="shared" si="258"/>
        <v>0.16500000000000001</v>
      </c>
      <c r="DQ266" s="306">
        <f t="shared" si="254"/>
        <v>0.16500000000000001</v>
      </c>
      <c r="DR266" s="379">
        <f t="shared" si="255"/>
        <v>1</v>
      </c>
      <c r="DS266" s="378">
        <f t="shared" si="256"/>
        <v>0</v>
      </c>
      <c r="DT266" s="173">
        <v>269</v>
      </c>
      <c r="DU266" s="174" t="s">
        <v>117</v>
      </c>
      <c r="DV266" s="173"/>
      <c r="DW266" s="174" t="s">
        <v>84</v>
      </c>
      <c r="DX266" s="173"/>
      <c r="DY266" s="173"/>
      <c r="DZ266" s="173"/>
      <c r="EA266" s="665"/>
      <c r="EB266" s="1254" t="s">
        <v>2542</v>
      </c>
      <c r="EC266" s="537">
        <v>0</v>
      </c>
      <c r="EE266" s="734">
        <v>5</v>
      </c>
      <c r="EF266" s="706"/>
    </row>
    <row r="267" spans="4:136" s="302" customFormat="1" ht="51" hidden="1">
      <c r="D267" s="520">
        <v>264</v>
      </c>
      <c r="E267" s="534">
        <v>312</v>
      </c>
      <c r="F267" s="523" t="s">
        <v>43</v>
      </c>
      <c r="G267" s="479" t="s">
        <v>16</v>
      </c>
      <c r="H267" s="526" t="s">
        <v>2659</v>
      </c>
      <c r="I267" s="462" t="s">
        <v>623</v>
      </c>
      <c r="J267" s="335" t="s">
        <v>688</v>
      </c>
      <c r="K267" s="335" t="s">
        <v>689</v>
      </c>
      <c r="L267" s="454" t="s">
        <v>1501</v>
      </c>
      <c r="M267" s="334" t="s">
        <v>1771</v>
      </c>
      <c r="N267" s="334">
        <v>0</v>
      </c>
      <c r="O267" s="333">
        <f t="shared" si="257"/>
        <v>150</v>
      </c>
      <c r="P267" s="332">
        <v>150</v>
      </c>
      <c r="Q267" s="390">
        <v>0.16500000000000001</v>
      </c>
      <c r="R267" s="342">
        <f t="shared" si="234"/>
        <v>2.2000000000000002E-2</v>
      </c>
      <c r="S267" s="389">
        <v>20</v>
      </c>
      <c r="T267" s="387">
        <f t="shared" si="220"/>
        <v>0.13333333333333333</v>
      </c>
      <c r="U267" s="670">
        <v>102</v>
      </c>
      <c r="V267" s="388">
        <f t="shared" si="221"/>
        <v>102</v>
      </c>
      <c r="W267" s="356">
        <f t="shared" si="222"/>
        <v>510</v>
      </c>
      <c r="X267" s="356">
        <f t="shared" si="235"/>
        <v>100</v>
      </c>
      <c r="Y267" s="356">
        <f t="shared" si="215"/>
        <v>2.2000000000000002E-2</v>
      </c>
      <c r="Z267" s="356">
        <f t="shared" si="236"/>
        <v>100</v>
      </c>
      <c r="AA267" s="355">
        <v>0</v>
      </c>
      <c r="AB267" s="355">
        <v>0</v>
      </c>
      <c r="AC267" s="355">
        <v>0</v>
      </c>
      <c r="AD267" s="355">
        <v>0</v>
      </c>
      <c r="AE267" s="355">
        <v>0</v>
      </c>
      <c r="AF267" s="355">
        <v>0</v>
      </c>
      <c r="AG267" s="355">
        <v>0</v>
      </c>
      <c r="AH267" s="355">
        <v>0</v>
      </c>
      <c r="AI267" s="355">
        <v>0</v>
      </c>
      <c r="AJ267" s="355">
        <v>0</v>
      </c>
      <c r="AK267" s="355">
        <v>0</v>
      </c>
      <c r="AL267" s="355">
        <v>0</v>
      </c>
      <c r="AM267" s="355">
        <v>0</v>
      </c>
      <c r="AN267" s="355">
        <v>0</v>
      </c>
      <c r="AO267" s="355">
        <v>0</v>
      </c>
      <c r="AP267" s="355">
        <v>0</v>
      </c>
      <c r="AQ267" s="355">
        <v>0</v>
      </c>
      <c r="AR267" s="355">
        <v>0</v>
      </c>
      <c r="AS267" s="355">
        <v>0</v>
      </c>
      <c r="AT267" s="333">
        <f t="shared" si="237"/>
        <v>5.5E-2</v>
      </c>
      <c r="AU267" s="334">
        <v>50</v>
      </c>
      <c r="AV267" s="387">
        <f t="shared" si="223"/>
        <v>0.33333333333333331</v>
      </c>
      <c r="AW267" s="677">
        <v>0</v>
      </c>
      <c r="AX267" s="366">
        <f t="shared" si="224"/>
        <v>0</v>
      </c>
      <c r="AY267" s="366">
        <f t="shared" si="225"/>
        <v>0</v>
      </c>
      <c r="AZ267" s="366">
        <f t="shared" si="238"/>
        <v>0</v>
      </c>
      <c r="BA267" s="354">
        <f t="shared" si="239"/>
        <v>0</v>
      </c>
      <c r="BB267" s="354">
        <f t="shared" si="240"/>
        <v>0</v>
      </c>
      <c r="BC267" s="353">
        <v>46000000</v>
      </c>
      <c r="BD267" s="353">
        <v>0</v>
      </c>
      <c r="BE267" s="353">
        <v>46000000</v>
      </c>
      <c r="BF267" s="353">
        <v>0</v>
      </c>
      <c r="BG267" s="353">
        <v>0</v>
      </c>
      <c r="BH267" s="353">
        <v>0</v>
      </c>
      <c r="BI267" s="353">
        <v>0</v>
      </c>
      <c r="BJ267" s="353">
        <v>0</v>
      </c>
      <c r="BK267" s="452">
        <v>0</v>
      </c>
      <c r="BL267" s="351">
        <v>0</v>
      </c>
      <c r="BM267" s="351">
        <v>0</v>
      </c>
      <c r="BN267" s="351">
        <v>0</v>
      </c>
      <c r="BO267" s="351">
        <v>0</v>
      </c>
      <c r="BP267" s="351">
        <v>0</v>
      </c>
      <c r="BQ267" s="351">
        <v>0</v>
      </c>
      <c r="BR267" s="351">
        <v>0</v>
      </c>
      <c r="BS267" s="351">
        <v>0</v>
      </c>
      <c r="BT267" s="351">
        <v>0</v>
      </c>
      <c r="BU267" s="351">
        <v>0</v>
      </c>
      <c r="BV267" s="350">
        <f t="shared" si="241"/>
        <v>5.5E-2</v>
      </c>
      <c r="BW267" s="350">
        <v>50</v>
      </c>
      <c r="BX267" s="385">
        <f t="shared" si="226"/>
        <v>0.33333333333333331</v>
      </c>
      <c r="BY267" s="399">
        <v>49</v>
      </c>
      <c r="BZ267" s="398">
        <v>79</v>
      </c>
      <c r="CA267" s="690">
        <v>79</v>
      </c>
      <c r="CB267" s="324">
        <f t="shared" si="227"/>
        <v>79</v>
      </c>
      <c r="CC267" s="324">
        <f t="shared" si="228"/>
        <v>158</v>
      </c>
      <c r="CD267" s="384">
        <f t="shared" si="242"/>
        <v>100</v>
      </c>
      <c r="CE267" s="383">
        <f t="shared" si="243"/>
        <v>5.5E-2</v>
      </c>
      <c r="CF267" s="367">
        <f t="shared" si="244"/>
        <v>100</v>
      </c>
      <c r="CG267" s="383">
        <f t="shared" si="245"/>
        <v>8.6899999999999991E-2</v>
      </c>
      <c r="CH267" s="320">
        <f t="shared" si="246"/>
        <v>3.3000000000000002E-2</v>
      </c>
      <c r="CI267" s="319">
        <v>30</v>
      </c>
      <c r="CJ267" s="318">
        <f t="shared" si="229"/>
        <v>0.2</v>
      </c>
      <c r="CK267" s="1258">
        <v>0</v>
      </c>
      <c r="CL267" s="301">
        <f t="shared" si="230"/>
        <v>30</v>
      </c>
      <c r="CM267" s="381">
        <f t="shared" si="231"/>
        <v>0</v>
      </c>
      <c r="CN267" s="381">
        <f t="shared" si="232"/>
        <v>0</v>
      </c>
      <c r="CO267" s="316">
        <f t="shared" si="247"/>
        <v>0</v>
      </c>
      <c r="CP267" s="381">
        <f t="shared" si="248"/>
        <v>0</v>
      </c>
      <c r="CQ267" s="381">
        <f t="shared" si="249"/>
        <v>0</v>
      </c>
      <c r="CR267" s="313">
        <v>105000000</v>
      </c>
      <c r="CS267" s="313">
        <v>105000000</v>
      </c>
      <c r="CT267" s="313">
        <v>0</v>
      </c>
      <c r="CU267" s="313">
        <v>0</v>
      </c>
      <c r="CV267" s="313">
        <v>0</v>
      </c>
      <c r="CW267" s="313">
        <v>0</v>
      </c>
      <c r="CX267" s="313">
        <v>0</v>
      </c>
      <c r="CY267" s="313">
        <v>0</v>
      </c>
      <c r="CZ267" s="380">
        <v>0</v>
      </c>
      <c r="DA267" s="380">
        <v>0</v>
      </c>
      <c r="DB267" s="380">
        <v>0</v>
      </c>
      <c r="DC267" s="380">
        <v>0</v>
      </c>
      <c r="DD267" s="380">
        <v>0</v>
      </c>
      <c r="DE267" s="380">
        <v>0</v>
      </c>
      <c r="DF267" s="380">
        <v>0</v>
      </c>
      <c r="DG267" s="380">
        <v>0</v>
      </c>
      <c r="DH267" s="380">
        <v>0</v>
      </c>
      <c r="DI267" s="380">
        <v>0</v>
      </c>
      <c r="DJ267" s="380">
        <v>0</v>
      </c>
      <c r="DK267" s="702">
        <f t="shared" si="233"/>
        <v>181</v>
      </c>
      <c r="DL267" s="311">
        <f t="shared" si="250"/>
        <v>0.16500000000000001</v>
      </c>
      <c r="DM267" s="310">
        <f t="shared" si="251"/>
        <v>120.66666666666667</v>
      </c>
      <c r="DN267" s="356">
        <f t="shared" si="252"/>
        <v>100</v>
      </c>
      <c r="DO267" s="308">
        <f t="shared" si="253"/>
        <v>0.16500000000000001</v>
      </c>
      <c r="DP267" s="359">
        <f t="shared" si="258"/>
        <v>0.16500000000000001</v>
      </c>
      <c r="DQ267" s="306">
        <f t="shared" si="254"/>
        <v>0.16500000000000001</v>
      </c>
      <c r="DR267" s="379">
        <f t="shared" si="255"/>
        <v>1</v>
      </c>
      <c r="DS267" s="378">
        <f t="shared" si="256"/>
        <v>0</v>
      </c>
      <c r="DT267" s="173">
        <v>269</v>
      </c>
      <c r="DU267" s="174" t="s">
        <v>117</v>
      </c>
      <c r="DV267" s="173"/>
      <c r="DW267" s="174" t="s">
        <v>84</v>
      </c>
      <c r="DX267" s="173"/>
      <c r="DY267" s="173"/>
      <c r="DZ267" s="173"/>
      <c r="EA267" s="665"/>
      <c r="EB267" s="1254" t="s">
        <v>2543</v>
      </c>
      <c r="EC267" s="537">
        <v>0</v>
      </c>
      <c r="EE267" s="733">
        <v>0</v>
      </c>
      <c r="EF267" s="706"/>
    </row>
    <row r="268" spans="4:136" s="302" customFormat="1" ht="51" hidden="1">
      <c r="D268" s="520">
        <v>265</v>
      </c>
      <c r="E268" s="534">
        <v>313</v>
      </c>
      <c r="F268" s="523" t="s">
        <v>43</v>
      </c>
      <c r="G268" s="479" t="s">
        <v>16</v>
      </c>
      <c r="H268" s="526" t="s">
        <v>2659</v>
      </c>
      <c r="I268" s="462" t="s">
        <v>623</v>
      </c>
      <c r="J268" s="335" t="s">
        <v>690</v>
      </c>
      <c r="K268" s="335" t="s">
        <v>691</v>
      </c>
      <c r="L268" s="454" t="s">
        <v>1463</v>
      </c>
      <c r="M268" s="334" t="s">
        <v>1771</v>
      </c>
      <c r="N268" s="334">
        <v>0</v>
      </c>
      <c r="O268" s="333">
        <f t="shared" si="257"/>
        <v>50</v>
      </c>
      <c r="P268" s="332">
        <v>50</v>
      </c>
      <c r="Q268" s="390">
        <v>0.16500000000000001</v>
      </c>
      <c r="R268" s="342">
        <f t="shared" si="234"/>
        <v>3.3000000000000002E-2</v>
      </c>
      <c r="S268" s="389">
        <v>10</v>
      </c>
      <c r="T268" s="387">
        <f t="shared" si="220"/>
        <v>0.2</v>
      </c>
      <c r="U268" s="670">
        <v>0</v>
      </c>
      <c r="V268" s="388">
        <f t="shared" si="221"/>
        <v>0</v>
      </c>
      <c r="W268" s="356">
        <f t="shared" si="222"/>
        <v>0</v>
      </c>
      <c r="X268" s="356">
        <f t="shared" si="235"/>
        <v>0</v>
      </c>
      <c r="Y268" s="356">
        <f t="shared" si="215"/>
        <v>0</v>
      </c>
      <c r="Z268" s="356">
        <f t="shared" si="236"/>
        <v>0</v>
      </c>
      <c r="AA268" s="355">
        <v>0</v>
      </c>
      <c r="AB268" s="355">
        <v>0</v>
      </c>
      <c r="AC268" s="355">
        <v>0</v>
      </c>
      <c r="AD268" s="355">
        <v>0</v>
      </c>
      <c r="AE268" s="355">
        <v>0</v>
      </c>
      <c r="AF268" s="355">
        <v>0</v>
      </c>
      <c r="AG268" s="355">
        <v>0</v>
      </c>
      <c r="AH268" s="355">
        <v>0</v>
      </c>
      <c r="AI268" s="355">
        <v>0</v>
      </c>
      <c r="AJ268" s="355">
        <v>0</v>
      </c>
      <c r="AK268" s="355">
        <v>0</v>
      </c>
      <c r="AL268" s="355">
        <v>0</v>
      </c>
      <c r="AM268" s="355">
        <v>0</v>
      </c>
      <c r="AN268" s="355">
        <v>0</v>
      </c>
      <c r="AO268" s="355">
        <v>0</v>
      </c>
      <c r="AP268" s="355">
        <v>0</v>
      </c>
      <c r="AQ268" s="355">
        <v>0</v>
      </c>
      <c r="AR268" s="355">
        <v>0</v>
      </c>
      <c r="AS268" s="355">
        <v>0</v>
      </c>
      <c r="AT268" s="333">
        <f t="shared" si="237"/>
        <v>3.3000000000000002E-2</v>
      </c>
      <c r="AU268" s="334">
        <v>10</v>
      </c>
      <c r="AV268" s="387">
        <f t="shared" si="223"/>
        <v>0.2</v>
      </c>
      <c r="AW268" s="677">
        <v>0</v>
      </c>
      <c r="AX268" s="366">
        <f t="shared" si="224"/>
        <v>0</v>
      </c>
      <c r="AY268" s="366">
        <f t="shared" si="225"/>
        <v>0</v>
      </c>
      <c r="AZ268" s="366">
        <f t="shared" si="238"/>
        <v>0</v>
      </c>
      <c r="BA268" s="354">
        <f t="shared" si="239"/>
        <v>0</v>
      </c>
      <c r="BB268" s="354">
        <f t="shared" si="240"/>
        <v>0</v>
      </c>
      <c r="BC268" s="353">
        <v>20000000</v>
      </c>
      <c r="BD268" s="353">
        <v>0</v>
      </c>
      <c r="BE268" s="353">
        <v>20000000</v>
      </c>
      <c r="BF268" s="353">
        <v>0</v>
      </c>
      <c r="BG268" s="353">
        <v>0</v>
      </c>
      <c r="BH268" s="353">
        <v>0</v>
      </c>
      <c r="BI268" s="353">
        <v>0</v>
      </c>
      <c r="BJ268" s="353">
        <v>0</v>
      </c>
      <c r="BK268" s="452">
        <v>0</v>
      </c>
      <c r="BL268" s="351">
        <v>0</v>
      </c>
      <c r="BM268" s="351">
        <v>0</v>
      </c>
      <c r="BN268" s="351">
        <v>0</v>
      </c>
      <c r="BO268" s="351">
        <v>0</v>
      </c>
      <c r="BP268" s="351">
        <v>0</v>
      </c>
      <c r="BQ268" s="351">
        <v>0</v>
      </c>
      <c r="BR268" s="351">
        <v>0</v>
      </c>
      <c r="BS268" s="351">
        <v>0</v>
      </c>
      <c r="BT268" s="351">
        <v>0</v>
      </c>
      <c r="BU268" s="351">
        <v>0</v>
      </c>
      <c r="BV268" s="350">
        <f t="shared" si="241"/>
        <v>3.3000000000000002E-2</v>
      </c>
      <c r="BW268" s="350">
        <v>10</v>
      </c>
      <c r="BX268" s="385">
        <f t="shared" si="226"/>
        <v>0.2</v>
      </c>
      <c r="BY268" s="399">
        <v>0</v>
      </c>
      <c r="BZ268" s="398">
        <v>0</v>
      </c>
      <c r="CA268" s="690">
        <v>12</v>
      </c>
      <c r="CB268" s="324">
        <f t="shared" si="227"/>
        <v>12</v>
      </c>
      <c r="CC268" s="324">
        <f t="shared" si="228"/>
        <v>120</v>
      </c>
      <c r="CD268" s="384">
        <f t="shared" si="242"/>
        <v>100</v>
      </c>
      <c r="CE268" s="383">
        <f t="shared" si="243"/>
        <v>3.3000000000000002E-2</v>
      </c>
      <c r="CF268" s="367">
        <f t="shared" si="244"/>
        <v>100</v>
      </c>
      <c r="CG268" s="383">
        <f t="shared" si="245"/>
        <v>3.9599999999999996E-2</v>
      </c>
      <c r="CH268" s="320">
        <f t="shared" si="246"/>
        <v>6.6000000000000003E-2</v>
      </c>
      <c r="CI268" s="319">
        <v>20</v>
      </c>
      <c r="CJ268" s="318">
        <f t="shared" si="229"/>
        <v>0.4</v>
      </c>
      <c r="CK268" s="1259">
        <v>34</v>
      </c>
      <c r="CL268" s="301">
        <f t="shared" si="230"/>
        <v>-14</v>
      </c>
      <c r="CM268" s="381">
        <f t="shared" si="231"/>
        <v>34</v>
      </c>
      <c r="CN268" s="381">
        <f t="shared" si="232"/>
        <v>170</v>
      </c>
      <c r="CO268" s="316">
        <f t="shared" si="247"/>
        <v>100</v>
      </c>
      <c r="CP268" s="381">
        <f t="shared" si="248"/>
        <v>6.6000000000000003E-2</v>
      </c>
      <c r="CQ268" s="381">
        <f t="shared" si="249"/>
        <v>0.11220000000000001</v>
      </c>
      <c r="CR268" s="313">
        <v>45000000</v>
      </c>
      <c r="CS268" s="313">
        <v>45000000</v>
      </c>
      <c r="CT268" s="313">
        <v>0</v>
      </c>
      <c r="CU268" s="313">
        <v>0</v>
      </c>
      <c r="CV268" s="313">
        <v>0</v>
      </c>
      <c r="CW268" s="313">
        <v>0</v>
      </c>
      <c r="CX268" s="313">
        <v>0</v>
      </c>
      <c r="CY268" s="313">
        <v>0</v>
      </c>
      <c r="CZ268" s="380">
        <v>0</v>
      </c>
      <c r="DA268" s="380">
        <v>0</v>
      </c>
      <c r="DB268" s="380">
        <v>0</v>
      </c>
      <c r="DC268" s="380">
        <v>0</v>
      </c>
      <c r="DD268" s="380">
        <v>0</v>
      </c>
      <c r="DE268" s="380">
        <v>0</v>
      </c>
      <c r="DF268" s="380">
        <v>0</v>
      </c>
      <c r="DG268" s="380">
        <v>0</v>
      </c>
      <c r="DH268" s="380">
        <v>0</v>
      </c>
      <c r="DI268" s="380">
        <v>0</v>
      </c>
      <c r="DJ268" s="380">
        <v>0</v>
      </c>
      <c r="DK268" s="702">
        <f t="shared" si="233"/>
        <v>46</v>
      </c>
      <c r="DL268" s="311">
        <f t="shared" si="250"/>
        <v>0.16500000000000001</v>
      </c>
      <c r="DM268" s="310">
        <f t="shared" si="251"/>
        <v>92</v>
      </c>
      <c r="DN268" s="356">
        <f t="shared" si="252"/>
        <v>92</v>
      </c>
      <c r="DO268" s="308">
        <f t="shared" si="253"/>
        <v>0.15180000000000002</v>
      </c>
      <c r="DP268" s="359">
        <f t="shared" si="258"/>
        <v>0.15180000000000002</v>
      </c>
      <c r="DQ268" s="306">
        <f t="shared" si="254"/>
        <v>0.15180000000000002</v>
      </c>
      <c r="DR268" s="379">
        <f t="shared" si="255"/>
        <v>1</v>
      </c>
      <c r="DS268" s="378">
        <f t="shared" si="256"/>
        <v>0</v>
      </c>
      <c r="DT268" s="173">
        <v>269</v>
      </c>
      <c r="DU268" s="174" t="s">
        <v>117</v>
      </c>
      <c r="DV268" s="173"/>
      <c r="DW268" s="174" t="s">
        <v>84</v>
      </c>
      <c r="DX268" s="173"/>
      <c r="DY268" s="173"/>
      <c r="DZ268" s="173"/>
      <c r="EA268" s="665"/>
      <c r="EB268" s="1254" t="s">
        <v>2613</v>
      </c>
      <c r="EC268" s="537">
        <v>0</v>
      </c>
      <c r="EE268" s="734">
        <v>1</v>
      </c>
      <c r="EF268" s="706"/>
    </row>
    <row r="269" spans="4:136" s="302" customFormat="1" ht="89.25" hidden="1">
      <c r="D269" s="520">
        <v>266</v>
      </c>
      <c r="E269" s="534">
        <v>314</v>
      </c>
      <c r="F269" s="523" t="s">
        <v>43</v>
      </c>
      <c r="G269" s="479" t="s">
        <v>7</v>
      </c>
      <c r="H269" s="526" t="s">
        <v>2659</v>
      </c>
      <c r="I269" s="462" t="s">
        <v>623</v>
      </c>
      <c r="J269" s="335" t="s">
        <v>692</v>
      </c>
      <c r="K269" s="335" t="s">
        <v>693</v>
      </c>
      <c r="L269" s="454" t="s">
        <v>1952</v>
      </c>
      <c r="M269" s="334" t="s">
        <v>1771</v>
      </c>
      <c r="N269" s="334">
        <v>0</v>
      </c>
      <c r="O269" s="333">
        <f t="shared" si="257"/>
        <v>3</v>
      </c>
      <c r="P269" s="332">
        <v>3</v>
      </c>
      <c r="Q269" s="390">
        <v>0.16500000000000001</v>
      </c>
      <c r="R269" s="342">
        <f t="shared" si="234"/>
        <v>0</v>
      </c>
      <c r="S269" s="389">
        <v>0</v>
      </c>
      <c r="T269" s="387">
        <f t="shared" si="220"/>
        <v>0</v>
      </c>
      <c r="U269" s="670">
        <v>0</v>
      </c>
      <c r="V269" s="388">
        <f t="shared" si="221"/>
        <v>0</v>
      </c>
      <c r="W269" s="356">
        <f t="shared" si="222"/>
        <v>0</v>
      </c>
      <c r="X269" s="356">
        <f t="shared" si="235"/>
        <v>0</v>
      </c>
      <c r="Y269" s="356">
        <f t="shared" si="215"/>
        <v>0</v>
      </c>
      <c r="Z269" s="356">
        <f t="shared" si="236"/>
        <v>0</v>
      </c>
      <c r="AA269" s="355">
        <v>0</v>
      </c>
      <c r="AB269" s="355">
        <v>0</v>
      </c>
      <c r="AC269" s="355">
        <v>0</v>
      </c>
      <c r="AD269" s="355">
        <v>0</v>
      </c>
      <c r="AE269" s="355">
        <v>0</v>
      </c>
      <c r="AF269" s="355">
        <v>0</v>
      </c>
      <c r="AG269" s="355">
        <v>0</v>
      </c>
      <c r="AH269" s="355">
        <v>0</v>
      </c>
      <c r="AI269" s="355">
        <v>0</v>
      </c>
      <c r="AJ269" s="355">
        <v>0</v>
      </c>
      <c r="AK269" s="355">
        <v>0</v>
      </c>
      <c r="AL269" s="355">
        <v>0</v>
      </c>
      <c r="AM269" s="355">
        <v>0</v>
      </c>
      <c r="AN269" s="355">
        <v>0</v>
      </c>
      <c r="AO269" s="355">
        <v>0</v>
      </c>
      <c r="AP269" s="355">
        <v>0</v>
      </c>
      <c r="AQ269" s="355">
        <v>0</v>
      </c>
      <c r="AR269" s="355">
        <v>0</v>
      </c>
      <c r="AS269" s="355">
        <v>0</v>
      </c>
      <c r="AT269" s="333">
        <f t="shared" si="237"/>
        <v>5.5E-2</v>
      </c>
      <c r="AU269" s="334">
        <v>1</v>
      </c>
      <c r="AV269" s="387">
        <f t="shared" si="223"/>
        <v>0.33333333333333331</v>
      </c>
      <c r="AW269" s="677">
        <v>0</v>
      </c>
      <c r="AX269" s="366">
        <f t="shared" si="224"/>
        <v>0</v>
      </c>
      <c r="AY269" s="366">
        <f t="shared" si="225"/>
        <v>0</v>
      </c>
      <c r="AZ269" s="366">
        <f t="shared" si="238"/>
        <v>0</v>
      </c>
      <c r="BA269" s="354">
        <f t="shared" si="239"/>
        <v>0</v>
      </c>
      <c r="BB269" s="354">
        <f t="shared" si="240"/>
        <v>0</v>
      </c>
      <c r="BC269" s="353">
        <v>12500000</v>
      </c>
      <c r="BD269" s="353">
        <v>0</v>
      </c>
      <c r="BE269" s="353">
        <v>5000000</v>
      </c>
      <c r="BF269" s="353">
        <v>0</v>
      </c>
      <c r="BG269" s="353">
        <v>0</v>
      </c>
      <c r="BH269" s="353">
        <v>0</v>
      </c>
      <c r="BI269" s="353">
        <v>0</v>
      </c>
      <c r="BJ269" s="353">
        <v>7500000</v>
      </c>
      <c r="BK269" s="452">
        <v>26000000</v>
      </c>
      <c r="BL269" s="351">
        <v>26000000</v>
      </c>
      <c r="BM269" s="351">
        <v>0</v>
      </c>
      <c r="BN269" s="351">
        <v>0</v>
      </c>
      <c r="BO269" s="351">
        <v>0</v>
      </c>
      <c r="BP269" s="351">
        <v>0</v>
      </c>
      <c r="BQ269" s="351">
        <v>0</v>
      </c>
      <c r="BR269" s="351">
        <v>0</v>
      </c>
      <c r="BS269" s="351">
        <v>0</v>
      </c>
      <c r="BT269" s="351">
        <v>0</v>
      </c>
      <c r="BU269" s="351">
        <v>0</v>
      </c>
      <c r="BV269" s="350">
        <f t="shared" si="241"/>
        <v>5.5E-2</v>
      </c>
      <c r="BW269" s="350">
        <v>1</v>
      </c>
      <c r="BX269" s="385">
        <f t="shared" si="226"/>
        <v>0.33333333333333331</v>
      </c>
      <c r="BY269" s="399">
        <v>0</v>
      </c>
      <c r="BZ269" s="398">
        <v>0</v>
      </c>
      <c r="CA269" s="690">
        <v>1</v>
      </c>
      <c r="CB269" s="324">
        <f t="shared" si="227"/>
        <v>1</v>
      </c>
      <c r="CC269" s="324">
        <f t="shared" si="228"/>
        <v>100</v>
      </c>
      <c r="CD269" s="384">
        <f t="shared" si="242"/>
        <v>100</v>
      </c>
      <c r="CE269" s="383">
        <f t="shared" si="243"/>
        <v>5.5E-2</v>
      </c>
      <c r="CF269" s="367">
        <f t="shared" si="244"/>
        <v>100</v>
      </c>
      <c r="CG269" s="383">
        <f t="shared" si="245"/>
        <v>5.5E-2</v>
      </c>
      <c r="CH269" s="320">
        <f t="shared" si="246"/>
        <v>5.5E-2</v>
      </c>
      <c r="CI269" s="319">
        <v>1</v>
      </c>
      <c r="CJ269" s="318">
        <f t="shared" si="229"/>
        <v>0.33333333333333331</v>
      </c>
      <c r="CK269" s="1260">
        <v>3</v>
      </c>
      <c r="CL269" s="301">
        <f t="shared" si="230"/>
        <v>-2</v>
      </c>
      <c r="CM269" s="381">
        <f t="shared" si="231"/>
        <v>3</v>
      </c>
      <c r="CN269" s="381">
        <f t="shared" si="232"/>
        <v>300</v>
      </c>
      <c r="CO269" s="316">
        <f t="shared" si="247"/>
        <v>100</v>
      </c>
      <c r="CP269" s="381">
        <f t="shared" si="248"/>
        <v>5.5E-2</v>
      </c>
      <c r="CQ269" s="381">
        <f t="shared" si="249"/>
        <v>0.16500000000000001</v>
      </c>
      <c r="CR269" s="313">
        <v>19500000</v>
      </c>
      <c r="CS269" s="313">
        <v>12000000</v>
      </c>
      <c r="CT269" s="313">
        <v>0</v>
      </c>
      <c r="CU269" s="313">
        <v>0</v>
      </c>
      <c r="CV269" s="313">
        <v>0</v>
      </c>
      <c r="CW269" s="313">
        <v>0</v>
      </c>
      <c r="CX269" s="313">
        <v>0</v>
      </c>
      <c r="CY269" s="313">
        <v>7500000</v>
      </c>
      <c r="CZ269" s="380">
        <v>0</v>
      </c>
      <c r="DA269" s="380">
        <v>0</v>
      </c>
      <c r="DB269" s="380">
        <v>0</v>
      </c>
      <c r="DC269" s="380">
        <v>0</v>
      </c>
      <c r="DD269" s="380">
        <v>0</v>
      </c>
      <c r="DE269" s="380">
        <v>0</v>
      </c>
      <c r="DF269" s="380">
        <v>0</v>
      </c>
      <c r="DG269" s="380">
        <v>0</v>
      </c>
      <c r="DH269" s="380">
        <v>0</v>
      </c>
      <c r="DI269" s="380">
        <v>0</v>
      </c>
      <c r="DJ269" s="380">
        <v>0</v>
      </c>
      <c r="DK269" s="702">
        <f t="shared" si="233"/>
        <v>4</v>
      </c>
      <c r="DL269" s="311">
        <f t="shared" si="250"/>
        <v>0.16500000000000001</v>
      </c>
      <c r="DM269" s="310">
        <f t="shared" si="251"/>
        <v>133.33333333333334</v>
      </c>
      <c r="DN269" s="356">
        <f t="shared" si="252"/>
        <v>100</v>
      </c>
      <c r="DO269" s="308">
        <f t="shared" si="253"/>
        <v>0.16500000000000001</v>
      </c>
      <c r="DP269" s="359">
        <f t="shared" si="258"/>
        <v>0.16500000000000001</v>
      </c>
      <c r="DQ269" s="306">
        <f t="shared" si="254"/>
        <v>0.16500000000000001</v>
      </c>
      <c r="DR269" s="379">
        <f t="shared" si="255"/>
        <v>1</v>
      </c>
      <c r="DS269" s="378">
        <f t="shared" si="256"/>
        <v>0</v>
      </c>
      <c r="DT269" s="173">
        <v>269</v>
      </c>
      <c r="DU269" s="174" t="s">
        <v>117</v>
      </c>
      <c r="DV269" s="173"/>
      <c r="DW269" s="174" t="s">
        <v>84</v>
      </c>
      <c r="DX269" s="173"/>
      <c r="DY269" s="173"/>
      <c r="DZ269" s="173"/>
      <c r="EA269" s="665"/>
      <c r="EB269" s="1254" t="s">
        <v>3252</v>
      </c>
      <c r="EC269" s="537">
        <v>150000000</v>
      </c>
      <c r="EE269" s="734">
        <v>2</v>
      </c>
      <c r="EF269" s="706"/>
    </row>
    <row r="270" spans="4:136" s="302" customFormat="1" ht="38.25" hidden="1">
      <c r="D270" s="520">
        <v>267</v>
      </c>
      <c r="E270" s="534">
        <v>315</v>
      </c>
      <c r="F270" s="523" t="s">
        <v>43</v>
      </c>
      <c r="G270" s="479" t="s">
        <v>81</v>
      </c>
      <c r="H270" s="526" t="s">
        <v>2659</v>
      </c>
      <c r="I270" s="462" t="s">
        <v>623</v>
      </c>
      <c r="J270" s="335" t="s">
        <v>694</v>
      </c>
      <c r="K270" s="335" t="s">
        <v>695</v>
      </c>
      <c r="L270" s="454" t="s">
        <v>1884</v>
      </c>
      <c r="M270" s="334" t="s">
        <v>1771</v>
      </c>
      <c r="N270" s="334">
        <v>0</v>
      </c>
      <c r="O270" s="333">
        <f t="shared" si="257"/>
        <v>20</v>
      </c>
      <c r="P270" s="332">
        <v>20</v>
      </c>
      <c r="Q270" s="390">
        <v>0.16500000000000001</v>
      </c>
      <c r="R270" s="342">
        <f t="shared" si="234"/>
        <v>0</v>
      </c>
      <c r="S270" s="389">
        <v>0</v>
      </c>
      <c r="T270" s="387">
        <f t="shared" si="220"/>
        <v>0</v>
      </c>
      <c r="U270" s="670">
        <v>0</v>
      </c>
      <c r="V270" s="388">
        <f t="shared" si="221"/>
        <v>0</v>
      </c>
      <c r="W270" s="356">
        <f t="shared" si="222"/>
        <v>0</v>
      </c>
      <c r="X270" s="356">
        <f t="shared" si="235"/>
        <v>0</v>
      </c>
      <c r="Y270" s="356">
        <f t="shared" si="215"/>
        <v>0</v>
      </c>
      <c r="Z270" s="356">
        <f t="shared" si="236"/>
        <v>0</v>
      </c>
      <c r="AA270" s="355">
        <v>0</v>
      </c>
      <c r="AB270" s="355">
        <v>0</v>
      </c>
      <c r="AC270" s="355">
        <v>0</v>
      </c>
      <c r="AD270" s="355">
        <v>0</v>
      </c>
      <c r="AE270" s="355">
        <v>0</v>
      </c>
      <c r="AF270" s="355">
        <v>0</v>
      </c>
      <c r="AG270" s="355">
        <v>0</v>
      </c>
      <c r="AH270" s="355">
        <v>0</v>
      </c>
      <c r="AI270" s="355">
        <v>0</v>
      </c>
      <c r="AJ270" s="355">
        <v>0</v>
      </c>
      <c r="AK270" s="355">
        <v>0</v>
      </c>
      <c r="AL270" s="355">
        <v>0</v>
      </c>
      <c r="AM270" s="355">
        <v>0</v>
      </c>
      <c r="AN270" s="355">
        <v>0</v>
      </c>
      <c r="AO270" s="355">
        <v>0</v>
      </c>
      <c r="AP270" s="355">
        <v>0</v>
      </c>
      <c r="AQ270" s="355">
        <v>0</v>
      </c>
      <c r="AR270" s="355">
        <v>0</v>
      </c>
      <c r="AS270" s="355">
        <v>0</v>
      </c>
      <c r="AT270" s="333">
        <f t="shared" si="237"/>
        <v>0</v>
      </c>
      <c r="AU270" s="334">
        <v>0</v>
      </c>
      <c r="AV270" s="387">
        <f t="shared" si="223"/>
        <v>0</v>
      </c>
      <c r="AW270" s="677">
        <v>0</v>
      </c>
      <c r="AX270" s="366">
        <f t="shared" si="224"/>
        <v>0</v>
      </c>
      <c r="AY270" s="366">
        <f t="shared" si="225"/>
        <v>0</v>
      </c>
      <c r="AZ270" s="366">
        <f t="shared" si="238"/>
        <v>0</v>
      </c>
      <c r="BA270" s="354">
        <f t="shared" si="239"/>
        <v>0</v>
      </c>
      <c r="BB270" s="354">
        <f t="shared" si="240"/>
        <v>0</v>
      </c>
      <c r="BC270" s="353">
        <v>25000000</v>
      </c>
      <c r="BD270" s="353">
        <v>0</v>
      </c>
      <c r="BE270" s="353">
        <v>25000000</v>
      </c>
      <c r="BF270" s="353">
        <v>0</v>
      </c>
      <c r="BG270" s="353">
        <v>0</v>
      </c>
      <c r="BH270" s="353">
        <v>0</v>
      </c>
      <c r="BI270" s="353">
        <v>0</v>
      </c>
      <c r="BJ270" s="353">
        <v>0</v>
      </c>
      <c r="BK270" s="452">
        <v>50000000</v>
      </c>
      <c r="BL270" s="351">
        <v>50000000</v>
      </c>
      <c r="BM270" s="351">
        <v>0</v>
      </c>
      <c r="BN270" s="351">
        <v>0</v>
      </c>
      <c r="BO270" s="351">
        <v>0</v>
      </c>
      <c r="BP270" s="351">
        <v>0</v>
      </c>
      <c r="BQ270" s="351">
        <v>0</v>
      </c>
      <c r="BR270" s="351">
        <v>0</v>
      </c>
      <c r="BS270" s="351">
        <v>0</v>
      </c>
      <c r="BT270" s="351">
        <v>0</v>
      </c>
      <c r="BU270" s="351">
        <v>0</v>
      </c>
      <c r="BV270" s="350">
        <f t="shared" si="241"/>
        <v>0</v>
      </c>
      <c r="BW270" s="350">
        <v>0</v>
      </c>
      <c r="BX270" s="385">
        <f t="shared" si="226"/>
        <v>0</v>
      </c>
      <c r="BY270" s="369">
        <v>0</v>
      </c>
      <c r="BZ270" s="391">
        <v>0</v>
      </c>
      <c r="CA270" s="689">
        <v>0</v>
      </c>
      <c r="CB270" s="324">
        <f t="shared" si="227"/>
        <v>0</v>
      </c>
      <c r="CC270" s="324">
        <f t="shared" si="228"/>
        <v>0</v>
      </c>
      <c r="CD270" s="384">
        <f t="shared" si="242"/>
        <v>0</v>
      </c>
      <c r="CE270" s="383">
        <f t="shared" si="243"/>
        <v>0</v>
      </c>
      <c r="CF270" s="367">
        <f t="shared" si="244"/>
        <v>0</v>
      </c>
      <c r="CG270" s="383">
        <f t="shared" si="245"/>
        <v>0</v>
      </c>
      <c r="CH270" s="320">
        <f t="shared" si="246"/>
        <v>0.16500000000000001</v>
      </c>
      <c r="CI270" s="319">
        <v>20</v>
      </c>
      <c r="CJ270" s="318">
        <f t="shared" si="229"/>
        <v>1</v>
      </c>
      <c r="CK270" s="1259">
        <v>0</v>
      </c>
      <c r="CL270" s="301">
        <f t="shared" si="230"/>
        <v>20</v>
      </c>
      <c r="CM270" s="381">
        <f t="shared" si="231"/>
        <v>0</v>
      </c>
      <c r="CN270" s="381">
        <f t="shared" si="232"/>
        <v>0</v>
      </c>
      <c r="CO270" s="316">
        <f t="shared" si="247"/>
        <v>0</v>
      </c>
      <c r="CP270" s="381">
        <f t="shared" si="248"/>
        <v>0</v>
      </c>
      <c r="CQ270" s="381">
        <f t="shared" si="249"/>
        <v>0</v>
      </c>
      <c r="CR270" s="313">
        <v>0</v>
      </c>
      <c r="CS270" s="313">
        <v>0</v>
      </c>
      <c r="CT270" s="313">
        <v>0</v>
      </c>
      <c r="CU270" s="313">
        <v>0</v>
      </c>
      <c r="CV270" s="313">
        <v>0</v>
      </c>
      <c r="CW270" s="313">
        <v>0</v>
      </c>
      <c r="CX270" s="313">
        <v>0</v>
      </c>
      <c r="CY270" s="313">
        <v>0</v>
      </c>
      <c r="CZ270" s="380">
        <v>0</v>
      </c>
      <c r="DA270" s="380">
        <v>0</v>
      </c>
      <c r="DB270" s="380">
        <v>0</v>
      </c>
      <c r="DC270" s="380">
        <v>0</v>
      </c>
      <c r="DD270" s="380">
        <v>0</v>
      </c>
      <c r="DE270" s="380">
        <v>0</v>
      </c>
      <c r="DF270" s="380">
        <v>0</v>
      </c>
      <c r="DG270" s="380">
        <v>0</v>
      </c>
      <c r="DH270" s="380">
        <v>0</v>
      </c>
      <c r="DI270" s="380">
        <v>0</v>
      </c>
      <c r="DJ270" s="380">
        <v>0</v>
      </c>
      <c r="DK270" s="702">
        <f t="shared" si="233"/>
        <v>0</v>
      </c>
      <c r="DL270" s="311">
        <f t="shared" si="250"/>
        <v>0.16500000000000001</v>
      </c>
      <c r="DM270" s="310">
        <f t="shared" si="251"/>
        <v>0</v>
      </c>
      <c r="DN270" s="356">
        <f t="shared" si="252"/>
        <v>0</v>
      </c>
      <c r="DO270" s="308">
        <f t="shared" si="253"/>
        <v>0</v>
      </c>
      <c r="DP270" s="359">
        <f t="shared" si="258"/>
        <v>0</v>
      </c>
      <c r="DQ270" s="306">
        <f t="shared" si="254"/>
        <v>0</v>
      </c>
      <c r="DR270" s="379">
        <f t="shared" si="255"/>
        <v>1</v>
      </c>
      <c r="DS270" s="378">
        <f t="shared" si="256"/>
        <v>0</v>
      </c>
      <c r="DT270" s="173">
        <v>269</v>
      </c>
      <c r="DU270" s="174" t="s">
        <v>117</v>
      </c>
      <c r="DV270" s="173"/>
      <c r="DW270" s="174" t="s">
        <v>84</v>
      </c>
      <c r="DX270" s="173"/>
      <c r="DY270" s="173"/>
      <c r="DZ270" s="173"/>
      <c r="EA270" s="665"/>
      <c r="EB270" s="1254" t="s">
        <v>2544</v>
      </c>
      <c r="EC270" s="537">
        <v>365000000</v>
      </c>
      <c r="EE270" s="735">
        <v>58</v>
      </c>
      <c r="EF270" s="706"/>
    </row>
    <row r="271" spans="4:136" s="302" customFormat="1" ht="102" hidden="1">
      <c r="D271" s="520">
        <v>268</v>
      </c>
      <c r="E271" s="534">
        <v>316</v>
      </c>
      <c r="F271" s="523" t="s">
        <v>43</v>
      </c>
      <c r="G271" s="479" t="s">
        <v>81</v>
      </c>
      <c r="H271" s="526" t="s">
        <v>2659</v>
      </c>
      <c r="I271" s="462" t="s">
        <v>623</v>
      </c>
      <c r="J271" s="335" t="s">
        <v>696</v>
      </c>
      <c r="K271" s="335" t="s">
        <v>697</v>
      </c>
      <c r="L271" s="454" t="s">
        <v>1951</v>
      </c>
      <c r="M271" s="334" t="s">
        <v>1771</v>
      </c>
      <c r="N271" s="334">
        <v>0</v>
      </c>
      <c r="O271" s="333">
        <f t="shared" si="257"/>
        <v>8</v>
      </c>
      <c r="P271" s="332">
        <v>8</v>
      </c>
      <c r="Q271" s="390">
        <v>0.16500000000000001</v>
      </c>
      <c r="R271" s="342">
        <f t="shared" si="234"/>
        <v>2.0625000000000001E-2</v>
      </c>
      <c r="S271" s="389">
        <v>1</v>
      </c>
      <c r="T271" s="387">
        <f t="shared" si="220"/>
        <v>0.125</v>
      </c>
      <c r="U271" s="670">
        <v>4</v>
      </c>
      <c r="V271" s="388">
        <f t="shared" si="221"/>
        <v>4</v>
      </c>
      <c r="W271" s="356">
        <f t="shared" si="222"/>
        <v>400</v>
      </c>
      <c r="X271" s="356">
        <f t="shared" si="235"/>
        <v>100</v>
      </c>
      <c r="Y271" s="356">
        <f t="shared" si="215"/>
        <v>2.0625000000000001E-2</v>
      </c>
      <c r="Z271" s="356">
        <f t="shared" si="236"/>
        <v>100</v>
      </c>
      <c r="AA271" s="355">
        <v>17000000</v>
      </c>
      <c r="AB271" s="355">
        <v>17000000</v>
      </c>
      <c r="AC271" s="355">
        <v>0</v>
      </c>
      <c r="AD271" s="355">
        <v>0</v>
      </c>
      <c r="AE271" s="355">
        <v>0</v>
      </c>
      <c r="AF271" s="355">
        <v>0</v>
      </c>
      <c r="AG271" s="355">
        <v>0</v>
      </c>
      <c r="AH271" s="355">
        <v>0</v>
      </c>
      <c r="AI271" s="355">
        <v>16500000</v>
      </c>
      <c r="AJ271" s="355">
        <v>16500000</v>
      </c>
      <c r="AK271" s="355">
        <v>0</v>
      </c>
      <c r="AL271" s="355">
        <v>0</v>
      </c>
      <c r="AM271" s="355">
        <v>0</v>
      </c>
      <c r="AN271" s="355">
        <v>0</v>
      </c>
      <c r="AO271" s="355">
        <v>0</v>
      </c>
      <c r="AP271" s="355">
        <v>0</v>
      </c>
      <c r="AQ271" s="355">
        <v>0</v>
      </c>
      <c r="AR271" s="355">
        <v>15500000</v>
      </c>
      <c r="AS271" s="355" t="s">
        <v>1950</v>
      </c>
      <c r="AT271" s="333">
        <f t="shared" si="237"/>
        <v>4.1250000000000002E-2</v>
      </c>
      <c r="AU271" s="334">
        <v>2</v>
      </c>
      <c r="AV271" s="387">
        <f t="shared" si="223"/>
        <v>0.25</v>
      </c>
      <c r="AW271" s="677">
        <v>1</v>
      </c>
      <c r="AX271" s="366">
        <f t="shared" si="224"/>
        <v>1</v>
      </c>
      <c r="AY271" s="366">
        <f t="shared" si="225"/>
        <v>50</v>
      </c>
      <c r="AZ271" s="366">
        <f t="shared" si="238"/>
        <v>50</v>
      </c>
      <c r="BA271" s="354">
        <f t="shared" si="239"/>
        <v>2.0625000000000001E-2</v>
      </c>
      <c r="BB271" s="354">
        <f t="shared" si="240"/>
        <v>50</v>
      </c>
      <c r="BC271" s="353">
        <v>22000000</v>
      </c>
      <c r="BD271" s="353">
        <v>0</v>
      </c>
      <c r="BE271" s="353">
        <v>22000000</v>
      </c>
      <c r="BF271" s="353">
        <v>0</v>
      </c>
      <c r="BG271" s="353">
        <v>0</v>
      </c>
      <c r="BH271" s="353">
        <v>0</v>
      </c>
      <c r="BI271" s="353">
        <v>0</v>
      </c>
      <c r="BJ271" s="353">
        <v>0</v>
      </c>
      <c r="BK271" s="452">
        <v>25000000</v>
      </c>
      <c r="BL271" s="351">
        <v>25000000</v>
      </c>
      <c r="BM271" s="351">
        <v>0</v>
      </c>
      <c r="BN271" s="351">
        <v>0</v>
      </c>
      <c r="BO271" s="351">
        <v>0</v>
      </c>
      <c r="BP271" s="351">
        <v>0</v>
      </c>
      <c r="BQ271" s="351">
        <v>0</v>
      </c>
      <c r="BR271" s="351">
        <v>0</v>
      </c>
      <c r="BS271" s="351">
        <v>0</v>
      </c>
      <c r="BT271" s="351">
        <v>0</v>
      </c>
      <c r="BU271" s="351">
        <v>0</v>
      </c>
      <c r="BV271" s="350">
        <f t="shared" si="241"/>
        <v>6.1874999999999999E-2</v>
      </c>
      <c r="BW271" s="350">
        <v>3</v>
      </c>
      <c r="BX271" s="385">
        <f t="shared" si="226"/>
        <v>0.375</v>
      </c>
      <c r="BY271" s="369">
        <v>0</v>
      </c>
      <c r="BZ271" s="391">
        <v>11</v>
      </c>
      <c r="CA271" s="689">
        <v>10</v>
      </c>
      <c r="CB271" s="324">
        <f t="shared" si="227"/>
        <v>10</v>
      </c>
      <c r="CC271" s="324">
        <f t="shared" si="228"/>
        <v>333.33333333333331</v>
      </c>
      <c r="CD271" s="384">
        <f t="shared" si="242"/>
        <v>100</v>
      </c>
      <c r="CE271" s="383">
        <f t="shared" si="243"/>
        <v>6.1874999999999999E-2</v>
      </c>
      <c r="CF271" s="367">
        <f t="shared" si="244"/>
        <v>100</v>
      </c>
      <c r="CG271" s="383">
        <f t="shared" si="245"/>
        <v>0.20624999999999999</v>
      </c>
      <c r="CH271" s="320">
        <f t="shared" si="246"/>
        <v>4.1250000000000002E-2</v>
      </c>
      <c r="CI271" s="319">
        <v>2</v>
      </c>
      <c r="CJ271" s="318">
        <f t="shared" si="229"/>
        <v>0.25</v>
      </c>
      <c r="CK271" s="1259">
        <v>5</v>
      </c>
      <c r="CL271" s="301">
        <f t="shared" si="230"/>
        <v>-3</v>
      </c>
      <c r="CM271" s="381">
        <f t="shared" si="231"/>
        <v>5</v>
      </c>
      <c r="CN271" s="381">
        <f t="shared" si="232"/>
        <v>250</v>
      </c>
      <c r="CO271" s="316">
        <f t="shared" si="247"/>
        <v>100</v>
      </c>
      <c r="CP271" s="381">
        <f t="shared" si="248"/>
        <v>4.1250000000000002E-2</v>
      </c>
      <c r="CQ271" s="381">
        <f t="shared" si="249"/>
        <v>0.10312499999999999</v>
      </c>
      <c r="CR271" s="313">
        <v>25000000</v>
      </c>
      <c r="CS271" s="313">
        <v>25000000</v>
      </c>
      <c r="CT271" s="313">
        <v>0</v>
      </c>
      <c r="CU271" s="313">
        <v>0</v>
      </c>
      <c r="CV271" s="313">
        <v>0</v>
      </c>
      <c r="CW271" s="313">
        <v>0</v>
      </c>
      <c r="CX271" s="313">
        <v>0</v>
      </c>
      <c r="CY271" s="313">
        <v>0</v>
      </c>
      <c r="CZ271" s="380">
        <v>0</v>
      </c>
      <c r="DA271" s="380">
        <v>0</v>
      </c>
      <c r="DB271" s="380">
        <v>0</v>
      </c>
      <c r="DC271" s="380">
        <v>0</v>
      </c>
      <c r="DD271" s="380">
        <v>0</v>
      </c>
      <c r="DE271" s="380">
        <v>0</v>
      </c>
      <c r="DF271" s="380">
        <v>0</v>
      </c>
      <c r="DG271" s="380">
        <v>0</v>
      </c>
      <c r="DH271" s="380">
        <v>0</v>
      </c>
      <c r="DI271" s="380">
        <v>0</v>
      </c>
      <c r="DJ271" s="380">
        <v>0</v>
      </c>
      <c r="DK271" s="702">
        <f t="shared" si="233"/>
        <v>20</v>
      </c>
      <c r="DL271" s="311">
        <f t="shared" si="250"/>
        <v>0.16500000000000001</v>
      </c>
      <c r="DM271" s="310">
        <f t="shared" si="251"/>
        <v>250</v>
      </c>
      <c r="DN271" s="356">
        <f t="shared" si="252"/>
        <v>100</v>
      </c>
      <c r="DO271" s="308">
        <f t="shared" si="253"/>
        <v>0.16500000000000001</v>
      </c>
      <c r="DP271" s="359">
        <f t="shared" si="258"/>
        <v>0.16500000000000001</v>
      </c>
      <c r="DQ271" s="306">
        <f t="shared" si="254"/>
        <v>0.16500000000000001</v>
      </c>
      <c r="DR271" s="379">
        <f t="shared" si="255"/>
        <v>1</v>
      </c>
      <c r="DS271" s="378">
        <f t="shared" si="256"/>
        <v>0</v>
      </c>
      <c r="DT271" s="173">
        <v>269</v>
      </c>
      <c r="DU271" s="174" t="s">
        <v>117</v>
      </c>
      <c r="DV271" s="173"/>
      <c r="DW271" s="174" t="s">
        <v>84</v>
      </c>
      <c r="DX271" s="173"/>
      <c r="DY271" s="173"/>
      <c r="DZ271" s="173"/>
      <c r="EA271" s="665"/>
      <c r="EB271" s="1254" t="s">
        <v>2466</v>
      </c>
      <c r="EC271" s="537">
        <v>783000000</v>
      </c>
      <c r="EE271" s="734">
        <v>5000</v>
      </c>
      <c r="EF271" s="706"/>
    </row>
    <row r="272" spans="4:136" s="302" customFormat="1" ht="51" hidden="1">
      <c r="D272" s="520">
        <v>269</v>
      </c>
      <c r="E272" s="534">
        <v>317</v>
      </c>
      <c r="F272" s="523" t="s">
        <v>43</v>
      </c>
      <c r="G272" s="479" t="s">
        <v>81</v>
      </c>
      <c r="H272" s="526" t="s">
        <v>2659</v>
      </c>
      <c r="I272" s="462" t="s">
        <v>623</v>
      </c>
      <c r="J272" s="335" t="s">
        <v>698</v>
      </c>
      <c r="K272" s="335" t="s">
        <v>699</v>
      </c>
      <c r="L272" s="454" t="s">
        <v>1949</v>
      </c>
      <c r="M272" s="334" t="s">
        <v>1771</v>
      </c>
      <c r="N272" s="334">
        <v>0</v>
      </c>
      <c r="O272" s="333">
        <f t="shared" si="257"/>
        <v>4</v>
      </c>
      <c r="P272" s="332">
        <v>4</v>
      </c>
      <c r="Q272" s="390">
        <v>0.16500000000000001</v>
      </c>
      <c r="R272" s="342">
        <f t="shared" si="234"/>
        <v>0</v>
      </c>
      <c r="S272" s="389">
        <v>0</v>
      </c>
      <c r="T272" s="387">
        <f t="shared" si="220"/>
        <v>0</v>
      </c>
      <c r="U272" s="670">
        <v>0</v>
      </c>
      <c r="V272" s="388">
        <f t="shared" si="221"/>
        <v>0</v>
      </c>
      <c r="W272" s="356">
        <f t="shared" si="222"/>
        <v>0</v>
      </c>
      <c r="X272" s="356">
        <f t="shared" si="235"/>
        <v>0</v>
      </c>
      <c r="Y272" s="356">
        <f t="shared" si="215"/>
        <v>0</v>
      </c>
      <c r="Z272" s="356">
        <f t="shared" si="236"/>
        <v>0</v>
      </c>
      <c r="AA272" s="355">
        <v>0</v>
      </c>
      <c r="AB272" s="355">
        <v>0</v>
      </c>
      <c r="AC272" s="355">
        <v>0</v>
      </c>
      <c r="AD272" s="355">
        <v>0</v>
      </c>
      <c r="AE272" s="355">
        <v>0</v>
      </c>
      <c r="AF272" s="355">
        <v>0</v>
      </c>
      <c r="AG272" s="355">
        <v>0</v>
      </c>
      <c r="AH272" s="355">
        <v>0</v>
      </c>
      <c r="AI272" s="355">
        <v>0</v>
      </c>
      <c r="AJ272" s="355">
        <v>0</v>
      </c>
      <c r="AK272" s="355">
        <v>0</v>
      </c>
      <c r="AL272" s="355">
        <v>0</v>
      </c>
      <c r="AM272" s="355">
        <v>0</v>
      </c>
      <c r="AN272" s="355">
        <v>0</v>
      </c>
      <c r="AO272" s="355">
        <v>0</v>
      </c>
      <c r="AP272" s="355">
        <v>0</v>
      </c>
      <c r="AQ272" s="355">
        <v>0</v>
      </c>
      <c r="AR272" s="355">
        <v>0</v>
      </c>
      <c r="AS272" s="355">
        <v>0</v>
      </c>
      <c r="AT272" s="333">
        <f t="shared" si="237"/>
        <v>8.2500000000000004E-2</v>
      </c>
      <c r="AU272" s="334">
        <v>2</v>
      </c>
      <c r="AV272" s="387">
        <f t="shared" si="223"/>
        <v>0.5</v>
      </c>
      <c r="AW272" s="677">
        <v>2</v>
      </c>
      <c r="AX272" s="366">
        <f t="shared" si="224"/>
        <v>2</v>
      </c>
      <c r="AY272" s="366">
        <f t="shared" si="225"/>
        <v>100</v>
      </c>
      <c r="AZ272" s="366">
        <f t="shared" si="238"/>
        <v>100</v>
      </c>
      <c r="BA272" s="354">
        <f t="shared" si="239"/>
        <v>8.2500000000000004E-2</v>
      </c>
      <c r="BB272" s="354">
        <f t="shared" si="240"/>
        <v>100</v>
      </c>
      <c r="BC272" s="353">
        <v>30000000</v>
      </c>
      <c r="BD272" s="353">
        <v>0</v>
      </c>
      <c r="BE272" s="353">
        <v>30000000</v>
      </c>
      <c r="BF272" s="353">
        <v>0</v>
      </c>
      <c r="BG272" s="353">
        <v>0</v>
      </c>
      <c r="BH272" s="353">
        <v>0</v>
      </c>
      <c r="BI272" s="353">
        <v>0</v>
      </c>
      <c r="BJ272" s="353">
        <v>0</v>
      </c>
      <c r="BK272" s="452">
        <v>28000000</v>
      </c>
      <c r="BL272" s="351">
        <v>28000000</v>
      </c>
      <c r="BM272" s="351">
        <v>0</v>
      </c>
      <c r="BN272" s="351">
        <v>0</v>
      </c>
      <c r="BO272" s="351">
        <v>0</v>
      </c>
      <c r="BP272" s="351">
        <v>0</v>
      </c>
      <c r="BQ272" s="351">
        <v>0</v>
      </c>
      <c r="BR272" s="351">
        <v>0</v>
      </c>
      <c r="BS272" s="351">
        <v>0</v>
      </c>
      <c r="BT272" s="351">
        <v>0</v>
      </c>
      <c r="BU272" s="351">
        <v>0</v>
      </c>
      <c r="BV272" s="350">
        <f t="shared" si="241"/>
        <v>4.1250000000000002E-2</v>
      </c>
      <c r="BW272" s="350">
        <v>1</v>
      </c>
      <c r="BX272" s="385">
        <f t="shared" si="226"/>
        <v>0.25</v>
      </c>
      <c r="BY272" s="399">
        <v>0</v>
      </c>
      <c r="BZ272" s="398">
        <v>0</v>
      </c>
      <c r="CA272" s="690">
        <v>2</v>
      </c>
      <c r="CB272" s="324">
        <f t="shared" si="227"/>
        <v>2</v>
      </c>
      <c r="CC272" s="324">
        <f t="shared" si="228"/>
        <v>200</v>
      </c>
      <c r="CD272" s="384">
        <f t="shared" si="242"/>
        <v>100</v>
      </c>
      <c r="CE272" s="383">
        <f t="shared" si="243"/>
        <v>4.1250000000000002E-2</v>
      </c>
      <c r="CF272" s="367">
        <f t="shared" si="244"/>
        <v>100</v>
      </c>
      <c r="CG272" s="383">
        <f t="shared" si="245"/>
        <v>8.2500000000000004E-2</v>
      </c>
      <c r="CH272" s="320">
        <f t="shared" si="246"/>
        <v>4.1250000000000002E-2</v>
      </c>
      <c r="CI272" s="319">
        <v>1</v>
      </c>
      <c r="CJ272" s="318">
        <f t="shared" si="229"/>
        <v>0.25</v>
      </c>
      <c r="CK272" s="1259">
        <v>1</v>
      </c>
      <c r="CL272" s="301">
        <f t="shared" si="230"/>
        <v>0</v>
      </c>
      <c r="CM272" s="381">
        <f t="shared" si="231"/>
        <v>1</v>
      </c>
      <c r="CN272" s="381">
        <f t="shared" si="232"/>
        <v>100</v>
      </c>
      <c r="CO272" s="316">
        <f t="shared" si="247"/>
        <v>100</v>
      </c>
      <c r="CP272" s="381">
        <f t="shared" si="248"/>
        <v>4.1250000000000002E-2</v>
      </c>
      <c r="CQ272" s="381">
        <f t="shared" si="249"/>
        <v>4.1250000000000002E-2</v>
      </c>
      <c r="CR272" s="313">
        <v>0</v>
      </c>
      <c r="CS272" s="313">
        <v>0</v>
      </c>
      <c r="CT272" s="313">
        <v>0</v>
      </c>
      <c r="CU272" s="313">
        <v>0</v>
      </c>
      <c r="CV272" s="313">
        <v>0</v>
      </c>
      <c r="CW272" s="313">
        <v>0</v>
      </c>
      <c r="CX272" s="313">
        <v>0</v>
      </c>
      <c r="CY272" s="313">
        <v>0</v>
      </c>
      <c r="CZ272" s="380">
        <v>0</v>
      </c>
      <c r="DA272" s="380">
        <v>0</v>
      </c>
      <c r="DB272" s="380">
        <v>0</v>
      </c>
      <c r="DC272" s="380">
        <v>0</v>
      </c>
      <c r="DD272" s="380">
        <v>0</v>
      </c>
      <c r="DE272" s="380">
        <v>0</v>
      </c>
      <c r="DF272" s="380">
        <v>0</v>
      </c>
      <c r="DG272" s="380">
        <v>0</v>
      </c>
      <c r="DH272" s="380">
        <v>0</v>
      </c>
      <c r="DI272" s="380">
        <v>0</v>
      </c>
      <c r="DJ272" s="380">
        <v>0</v>
      </c>
      <c r="DK272" s="702">
        <f t="shared" si="233"/>
        <v>5</v>
      </c>
      <c r="DL272" s="311">
        <f t="shared" si="250"/>
        <v>0.16500000000000001</v>
      </c>
      <c r="DM272" s="310">
        <f t="shared" si="251"/>
        <v>125</v>
      </c>
      <c r="DN272" s="356">
        <f t="shared" si="252"/>
        <v>100</v>
      </c>
      <c r="DO272" s="308">
        <f t="shared" si="253"/>
        <v>0.16500000000000001</v>
      </c>
      <c r="DP272" s="359">
        <f t="shared" si="258"/>
        <v>0.16500000000000001</v>
      </c>
      <c r="DQ272" s="306">
        <f t="shared" si="254"/>
        <v>0.16500000000000001</v>
      </c>
      <c r="DR272" s="379">
        <f t="shared" si="255"/>
        <v>1</v>
      </c>
      <c r="DS272" s="378">
        <f t="shared" si="256"/>
        <v>0</v>
      </c>
      <c r="DT272" s="173">
        <v>269</v>
      </c>
      <c r="DU272" s="174" t="s">
        <v>117</v>
      </c>
      <c r="DV272" s="173"/>
      <c r="DW272" s="174" t="s">
        <v>84</v>
      </c>
      <c r="DX272" s="173"/>
      <c r="DY272" s="173"/>
      <c r="DZ272" s="173"/>
      <c r="EA272" s="665"/>
      <c r="EB272" s="1254" t="s">
        <v>84</v>
      </c>
      <c r="EC272" s="537">
        <v>651000000</v>
      </c>
      <c r="EE272" s="734">
        <v>1</v>
      </c>
      <c r="EF272" s="706"/>
    </row>
    <row r="273" spans="4:136" s="302" customFormat="1" ht="63.75" hidden="1">
      <c r="D273" s="520">
        <v>270</v>
      </c>
      <c r="E273" s="534">
        <v>318</v>
      </c>
      <c r="F273" s="523" t="s">
        <v>43</v>
      </c>
      <c r="G273" s="523" t="s">
        <v>14</v>
      </c>
      <c r="H273" s="526" t="s">
        <v>2659</v>
      </c>
      <c r="I273" s="462" t="s">
        <v>623</v>
      </c>
      <c r="J273" s="335" t="s">
        <v>700</v>
      </c>
      <c r="K273" s="335" t="s">
        <v>701</v>
      </c>
      <c r="L273" s="454" t="s">
        <v>1877</v>
      </c>
      <c r="M273" s="334" t="s">
        <v>1771</v>
      </c>
      <c r="N273" s="334">
        <v>170</v>
      </c>
      <c r="O273" s="333">
        <f t="shared" si="257"/>
        <v>370</v>
      </c>
      <c r="P273" s="332">
        <v>200</v>
      </c>
      <c r="Q273" s="390">
        <v>0.25</v>
      </c>
      <c r="R273" s="342">
        <f t="shared" si="234"/>
        <v>2.5000000000000001E-2</v>
      </c>
      <c r="S273" s="389">
        <v>20</v>
      </c>
      <c r="T273" s="387">
        <f t="shared" si="220"/>
        <v>0.1</v>
      </c>
      <c r="U273" s="670">
        <v>59</v>
      </c>
      <c r="V273" s="388">
        <f t="shared" si="221"/>
        <v>59</v>
      </c>
      <c r="W273" s="356">
        <f t="shared" si="222"/>
        <v>295</v>
      </c>
      <c r="X273" s="356">
        <f t="shared" si="235"/>
        <v>100</v>
      </c>
      <c r="Y273" s="356">
        <f t="shared" si="215"/>
        <v>2.5000000000000001E-2</v>
      </c>
      <c r="Z273" s="356">
        <f t="shared" si="236"/>
        <v>100</v>
      </c>
      <c r="AA273" s="355">
        <v>400000000</v>
      </c>
      <c r="AB273" s="355">
        <v>400000000</v>
      </c>
      <c r="AC273" s="355">
        <v>0</v>
      </c>
      <c r="AD273" s="355">
        <v>0</v>
      </c>
      <c r="AE273" s="355">
        <v>0</v>
      </c>
      <c r="AF273" s="355">
        <v>0</v>
      </c>
      <c r="AG273" s="355">
        <v>0</v>
      </c>
      <c r="AH273" s="355">
        <v>0</v>
      </c>
      <c r="AI273" s="355">
        <v>423947000</v>
      </c>
      <c r="AJ273" s="355">
        <v>400000000</v>
      </c>
      <c r="AK273" s="355">
        <v>0</v>
      </c>
      <c r="AL273" s="355">
        <v>23947000</v>
      </c>
      <c r="AM273" s="355">
        <v>0</v>
      </c>
      <c r="AN273" s="355">
        <v>0</v>
      </c>
      <c r="AO273" s="355">
        <v>0</v>
      </c>
      <c r="AP273" s="355">
        <v>0</v>
      </c>
      <c r="AQ273" s="355">
        <v>0</v>
      </c>
      <c r="AR273" s="355">
        <v>0</v>
      </c>
      <c r="AS273" s="355">
        <v>0</v>
      </c>
      <c r="AT273" s="333">
        <f t="shared" si="237"/>
        <v>3.7499999999999999E-2</v>
      </c>
      <c r="AU273" s="334">
        <v>30</v>
      </c>
      <c r="AV273" s="387">
        <f t="shared" si="223"/>
        <v>0.15</v>
      </c>
      <c r="AW273" s="677">
        <v>7</v>
      </c>
      <c r="AX273" s="366">
        <f t="shared" si="224"/>
        <v>7</v>
      </c>
      <c r="AY273" s="366">
        <f t="shared" si="225"/>
        <v>23.333333333333332</v>
      </c>
      <c r="AZ273" s="366">
        <f t="shared" si="238"/>
        <v>23.333333333333332</v>
      </c>
      <c r="BA273" s="354">
        <f t="shared" si="239"/>
        <v>8.7499999999999991E-3</v>
      </c>
      <c r="BB273" s="354">
        <f t="shared" si="240"/>
        <v>23.333333333333332</v>
      </c>
      <c r="BC273" s="353">
        <v>260000000</v>
      </c>
      <c r="BD273" s="353">
        <v>0</v>
      </c>
      <c r="BE273" s="353">
        <v>260000000</v>
      </c>
      <c r="BF273" s="353">
        <v>0</v>
      </c>
      <c r="BG273" s="353">
        <v>0</v>
      </c>
      <c r="BH273" s="353">
        <v>0</v>
      </c>
      <c r="BI273" s="353">
        <v>0</v>
      </c>
      <c r="BJ273" s="353">
        <v>0</v>
      </c>
      <c r="BK273" s="452">
        <v>217210000</v>
      </c>
      <c r="BL273" s="351">
        <v>217210000</v>
      </c>
      <c r="BM273" s="351">
        <v>0</v>
      </c>
      <c r="BN273" s="351">
        <v>0</v>
      </c>
      <c r="BO273" s="351">
        <v>0</v>
      </c>
      <c r="BP273" s="351">
        <v>0</v>
      </c>
      <c r="BQ273" s="351">
        <v>0</v>
      </c>
      <c r="BR273" s="351">
        <v>0</v>
      </c>
      <c r="BS273" s="351">
        <v>0</v>
      </c>
      <c r="BT273" s="351">
        <v>0</v>
      </c>
      <c r="BU273" s="351">
        <v>0</v>
      </c>
      <c r="BV273" s="350">
        <f t="shared" si="241"/>
        <v>9.375E-2</v>
      </c>
      <c r="BW273" s="350">
        <v>75</v>
      </c>
      <c r="BX273" s="385">
        <f t="shared" si="226"/>
        <v>0.375</v>
      </c>
      <c r="BY273" s="369">
        <v>0</v>
      </c>
      <c r="BZ273" s="391">
        <v>0</v>
      </c>
      <c r="CA273" s="689">
        <v>100</v>
      </c>
      <c r="CB273" s="324">
        <f t="shared" si="227"/>
        <v>100</v>
      </c>
      <c r="CC273" s="324">
        <f t="shared" si="228"/>
        <v>133.33333333333334</v>
      </c>
      <c r="CD273" s="384">
        <f t="shared" si="242"/>
        <v>100</v>
      </c>
      <c r="CE273" s="383">
        <f t="shared" si="243"/>
        <v>9.375E-2</v>
      </c>
      <c r="CF273" s="367">
        <f t="shared" si="244"/>
        <v>100</v>
      </c>
      <c r="CG273" s="383">
        <f t="shared" si="245"/>
        <v>0.125</v>
      </c>
      <c r="CH273" s="320">
        <f t="shared" si="246"/>
        <v>9.375E-2</v>
      </c>
      <c r="CI273" s="319">
        <v>75</v>
      </c>
      <c r="CJ273" s="318">
        <f t="shared" si="229"/>
        <v>0.375</v>
      </c>
      <c r="CK273" s="1259">
        <v>24</v>
      </c>
      <c r="CL273" s="301">
        <f t="shared" si="230"/>
        <v>51</v>
      </c>
      <c r="CM273" s="381">
        <f t="shared" si="231"/>
        <v>24</v>
      </c>
      <c r="CN273" s="381">
        <f t="shared" si="232"/>
        <v>32</v>
      </c>
      <c r="CO273" s="316">
        <f t="shared" si="247"/>
        <v>32</v>
      </c>
      <c r="CP273" s="381">
        <f t="shared" si="248"/>
        <v>0.03</v>
      </c>
      <c r="CQ273" s="381">
        <f t="shared" si="249"/>
        <v>0.03</v>
      </c>
      <c r="CR273" s="313">
        <v>600000000</v>
      </c>
      <c r="CS273" s="313">
        <v>600000000</v>
      </c>
      <c r="CT273" s="313">
        <v>0</v>
      </c>
      <c r="CU273" s="313">
        <v>0</v>
      </c>
      <c r="CV273" s="313">
        <v>0</v>
      </c>
      <c r="CW273" s="313">
        <v>0</v>
      </c>
      <c r="CX273" s="313">
        <v>0</v>
      </c>
      <c r="CY273" s="313">
        <v>0</v>
      </c>
      <c r="CZ273" s="380">
        <v>0</v>
      </c>
      <c r="DA273" s="380">
        <v>0</v>
      </c>
      <c r="DB273" s="380">
        <v>0</v>
      </c>
      <c r="DC273" s="380">
        <v>0</v>
      </c>
      <c r="DD273" s="380">
        <v>0</v>
      </c>
      <c r="DE273" s="380">
        <v>0</v>
      </c>
      <c r="DF273" s="380">
        <v>0</v>
      </c>
      <c r="DG273" s="380">
        <v>0</v>
      </c>
      <c r="DH273" s="380">
        <v>0</v>
      </c>
      <c r="DI273" s="380">
        <v>0</v>
      </c>
      <c r="DJ273" s="380">
        <v>0</v>
      </c>
      <c r="DK273" s="702">
        <f t="shared" si="233"/>
        <v>190</v>
      </c>
      <c r="DL273" s="311">
        <f t="shared" si="250"/>
        <v>0.25</v>
      </c>
      <c r="DM273" s="310">
        <f t="shared" si="251"/>
        <v>95</v>
      </c>
      <c r="DN273" s="356">
        <f t="shared" si="252"/>
        <v>95</v>
      </c>
      <c r="DO273" s="308">
        <f t="shared" si="253"/>
        <v>0.23749999999999999</v>
      </c>
      <c r="DP273" s="359">
        <f t="shared" si="258"/>
        <v>0.23749999999999999</v>
      </c>
      <c r="DQ273" s="306">
        <f t="shared" si="254"/>
        <v>0.23749999999999999</v>
      </c>
      <c r="DR273" s="379">
        <f t="shared" si="255"/>
        <v>1</v>
      </c>
      <c r="DS273" s="378">
        <f t="shared" si="256"/>
        <v>0</v>
      </c>
      <c r="DT273" s="173">
        <v>269</v>
      </c>
      <c r="DU273" s="174" t="s">
        <v>117</v>
      </c>
      <c r="DV273" s="173"/>
      <c r="DW273" s="174" t="s">
        <v>84</v>
      </c>
      <c r="DX273" s="173"/>
      <c r="DY273" s="173"/>
      <c r="DZ273" s="173"/>
      <c r="EA273" s="665"/>
      <c r="EB273" s="1254" t="s">
        <v>2380</v>
      </c>
      <c r="EC273" s="537">
        <v>240000</v>
      </c>
      <c r="EE273" s="734">
        <v>1048</v>
      </c>
      <c r="EF273" s="706"/>
    </row>
    <row r="274" spans="4:136" s="302" customFormat="1" ht="89.25" hidden="1">
      <c r="D274" s="520">
        <v>271</v>
      </c>
      <c r="E274" s="534">
        <v>319</v>
      </c>
      <c r="F274" s="523" t="s">
        <v>43</v>
      </c>
      <c r="G274" s="479" t="s">
        <v>7</v>
      </c>
      <c r="H274" s="526" t="s">
        <v>2659</v>
      </c>
      <c r="I274" s="462" t="s">
        <v>623</v>
      </c>
      <c r="J274" s="335" t="s">
        <v>702</v>
      </c>
      <c r="K274" s="335" t="s">
        <v>703</v>
      </c>
      <c r="L274" s="453" t="s">
        <v>1947</v>
      </c>
      <c r="M274" s="334" t="s">
        <v>1785</v>
      </c>
      <c r="N274" s="334">
        <v>0</v>
      </c>
      <c r="O274" s="333">
        <f>+P274</f>
        <v>100</v>
      </c>
      <c r="P274" s="332">
        <v>100</v>
      </c>
      <c r="Q274" s="390">
        <v>0.16500000000000001</v>
      </c>
      <c r="R274" s="342">
        <f t="shared" si="234"/>
        <v>4.1250000000000002E-2</v>
      </c>
      <c r="S274" s="389">
        <v>100</v>
      </c>
      <c r="T274" s="387">
        <f t="shared" si="220"/>
        <v>0.25</v>
      </c>
      <c r="U274" s="670">
        <v>100</v>
      </c>
      <c r="V274" s="388">
        <f t="shared" si="221"/>
        <v>25</v>
      </c>
      <c r="W274" s="356">
        <f t="shared" si="222"/>
        <v>100</v>
      </c>
      <c r="X274" s="356">
        <f t="shared" si="235"/>
        <v>100</v>
      </c>
      <c r="Y274" s="356">
        <f t="shared" ref="Y274:Y337" si="259">+(X274*R274)/100</f>
        <v>4.1250000000000002E-2</v>
      </c>
      <c r="Z274" s="356">
        <f t="shared" si="236"/>
        <v>100</v>
      </c>
      <c r="AA274" s="355">
        <v>15000000</v>
      </c>
      <c r="AB274" s="355">
        <v>15000000</v>
      </c>
      <c r="AC274" s="355">
        <v>0</v>
      </c>
      <c r="AD274" s="355">
        <v>0</v>
      </c>
      <c r="AE274" s="355">
        <v>0</v>
      </c>
      <c r="AF274" s="355">
        <v>0</v>
      </c>
      <c r="AG274" s="355">
        <v>0</v>
      </c>
      <c r="AH274" s="355">
        <v>0</v>
      </c>
      <c r="AI274" s="355">
        <v>0</v>
      </c>
      <c r="AJ274" s="355">
        <v>0</v>
      </c>
      <c r="AK274" s="355">
        <v>0</v>
      </c>
      <c r="AL274" s="355">
        <v>0</v>
      </c>
      <c r="AM274" s="355">
        <v>0</v>
      </c>
      <c r="AN274" s="355">
        <v>0</v>
      </c>
      <c r="AO274" s="355">
        <v>0</v>
      </c>
      <c r="AP274" s="355">
        <v>0</v>
      </c>
      <c r="AQ274" s="355">
        <v>0</v>
      </c>
      <c r="AR274" s="355">
        <v>0</v>
      </c>
      <c r="AS274" s="355">
        <v>0</v>
      </c>
      <c r="AT274" s="333">
        <f t="shared" si="237"/>
        <v>4.1250000000000002E-2</v>
      </c>
      <c r="AU274" s="334">
        <v>100</v>
      </c>
      <c r="AV274" s="387">
        <f t="shared" si="223"/>
        <v>0.25</v>
      </c>
      <c r="AW274" s="677">
        <v>0</v>
      </c>
      <c r="AX274" s="366">
        <f t="shared" si="224"/>
        <v>0</v>
      </c>
      <c r="AY274" s="366">
        <f t="shared" si="225"/>
        <v>0</v>
      </c>
      <c r="AZ274" s="366">
        <f t="shared" si="238"/>
        <v>0</v>
      </c>
      <c r="BA274" s="354">
        <f t="shared" si="239"/>
        <v>0</v>
      </c>
      <c r="BB274" s="354">
        <f t="shared" si="240"/>
        <v>0</v>
      </c>
      <c r="BC274" s="353">
        <v>5000000</v>
      </c>
      <c r="BD274" s="353">
        <v>0</v>
      </c>
      <c r="BE274" s="353">
        <v>2500000</v>
      </c>
      <c r="BF274" s="353">
        <v>0</v>
      </c>
      <c r="BG274" s="353">
        <v>0</v>
      </c>
      <c r="BH274" s="353">
        <v>0</v>
      </c>
      <c r="BI274" s="353">
        <v>0</v>
      </c>
      <c r="BJ274" s="353">
        <v>2500000</v>
      </c>
      <c r="BK274" s="452">
        <v>0</v>
      </c>
      <c r="BL274" s="351">
        <v>0</v>
      </c>
      <c r="BM274" s="351">
        <v>0</v>
      </c>
      <c r="BN274" s="351">
        <v>0</v>
      </c>
      <c r="BO274" s="351">
        <v>0</v>
      </c>
      <c r="BP274" s="351">
        <v>0</v>
      </c>
      <c r="BQ274" s="351">
        <v>0</v>
      </c>
      <c r="BR274" s="351">
        <v>0</v>
      </c>
      <c r="BS274" s="351">
        <v>0</v>
      </c>
      <c r="BT274" s="351">
        <v>0</v>
      </c>
      <c r="BU274" s="351">
        <v>0</v>
      </c>
      <c r="BV274" s="350">
        <f t="shared" si="241"/>
        <v>4.1250000000000002E-2</v>
      </c>
      <c r="BW274" s="350">
        <v>100</v>
      </c>
      <c r="BX274" s="385">
        <f t="shared" si="226"/>
        <v>0.25</v>
      </c>
      <c r="BY274" s="399">
        <v>30</v>
      </c>
      <c r="BZ274" s="398">
        <v>30</v>
      </c>
      <c r="CA274" s="690">
        <v>100</v>
      </c>
      <c r="CB274" s="324">
        <f t="shared" si="227"/>
        <v>25</v>
      </c>
      <c r="CC274" s="324">
        <f t="shared" si="228"/>
        <v>100</v>
      </c>
      <c r="CD274" s="384">
        <f t="shared" si="242"/>
        <v>100</v>
      </c>
      <c r="CE274" s="383">
        <f t="shared" si="243"/>
        <v>4.1250000000000002E-2</v>
      </c>
      <c r="CF274" s="367">
        <f t="shared" si="244"/>
        <v>100</v>
      </c>
      <c r="CG274" s="383">
        <f t="shared" si="245"/>
        <v>4.1250000000000002E-2</v>
      </c>
      <c r="CH274" s="320">
        <f t="shared" si="246"/>
        <v>4.1250000000000002E-2</v>
      </c>
      <c r="CI274" s="319">
        <v>100</v>
      </c>
      <c r="CJ274" s="318">
        <f t="shared" si="229"/>
        <v>0.25</v>
      </c>
      <c r="CK274" s="1260">
        <v>0</v>
      </c>
      <c r="CL274" s="301">
        <f t="shared" si="230"/>
        <v>100</v>
      </c>
      <c r="CM274" s="381">
        <f t="shared" si="231"/>
        <v>0</v>
      </c>
      <c r="CN274" s="381">
        <f t="shared" si="232"/>
        <v>0</v>
      </c>
      <c r="CO274" s="381">
        <f t="shared" si="247"/>
        <v>0</v>
      </c>
      <c r="CP274" s="381">
        <f t="shared" si="248"/>
        <v>0</v>
      </c>
      <c r="CQ274" s="381">
        <f t="shared" si="249"/>
        <v>0</v>
      </c>
      <c r="CR274" s="313">
        <v>8500000</v>
      </c>
      <c r="CS274" s="313">
        <v>6000000</v>
      </c>
      <c r="CT274" s="313">
        <v>0</v>
      </c>
      <c r="CU274" s="313">
        <v>0</v>
      </c>
      <c r="CV274" s="313">
        <v>0</v>
      </c>
      <c r="CW274" s="313">
        <v>0</v>
      </c>
      <c r="CX274" s="313">
        <v>0</v>
      </c>
      <c r="CY274" s="313">
        <v>2500000</v>
      </c>
      <c r="CZ274" s="380">
        <v>0</v>
      </c>
      <c r="DA274" s="380">
        <v>0</v>
      </c>
      <c r="DB274" s="380">
        <v>0</v>
      </c>
      <c r="DC274" s="380">
        <v>0</v>
      </c>
      <c r="DD274" s="380">
        <v>0</v>
      </c>
      <c r="DE274" s="380">
        <v>0</v>
      </c>
      <c r="DF274" s="380">
        <v>0</v>
      </c>
      <c r="DG274" s="380">
        <v>0</v>
      </c>
      <c r="DH274" s="380">
        <v>0</v>
      </c>
      <c r="DI274" s="380">
        <v>0</v>
      </c>
      <c r="DJ274" s="380">
        <v>0</v>
      </c>
      <c r="DK274" s="702">
        <f t="shared" si="233"/>
        <v>50</v>
      </c>
      <c r="DL274" s="311">
        <f t="shared" si="250"/>
        <v>0.16500000000000001</v>
      </c>
      <c r="DM274" s="310">
        <f t="shared" si="251"/>
        <v>50</v>
      </c>
      <c r="DN274" s="356">
        <f t="shared" si="252"/>
        <v>50</v>
      </c>
      <c r="DO274" s="308">
        <f t="shared" si="253"/>
        <v>8.2500000000000004E-2</v>
      </c>
      <c r="DP274" s="359">
        <f>+IF(M274="M",DO274,0)</f>
        <v>8.2500000000000004E-2</v>
      </c>
      <c r="DQ274" s="306">
        <f t="shared" si="254"/>
        <v>8.2500000000000004E-2</v>
      </c>
      <c r="DR274" s="379">
        <f t="shared" si="255"/>
        <v>1</v>
      </c>
      <c r="DS274" s="378">
        <f t="shared" si="256"/>
        <v>0</v>
      </c>
      <c r="DT274" s="173">
        <v>269</v>
      </c>
      <c r="DU274" s="174" t="s">
        <v>117</v>
      </c>
      <c r="DV274" s="173"/>
      <c r="DW274" s="174" t="s">
        <v>84</v>
      </c>
      <c r="DX274" s="173"/>
      <c r="DY274" s="173"/>
      <c r="DZ274" s="173"/>
      <c r="EA274" s="665"/>
      <c r="EB274" s="1254" t="s">
        <v>2545</v>
      </c>
      <c r="EC274" s="537">
        <v>125000000</v>
      </c>
      <c r="EE274" s="735">
        <v>1</v>
      </c>
      <c r="EF274" s="706"/>
    </row>
    <row r="275" spans="4:136" s="302" customFormat="1" ht="51" hidden="1">
      <c r="D275" s="520">
        <v>272</v>
      </c>
      <c r="E275" s="534">
        <v>320</v>
      </c>
      <c r="F275" s="523" t="s">
        <v>43</v>
      </c>
      <c r="G275" s="479" t="s">
        <v>9</v>
      </c>
      <c r="H275" s="526" t="s">
        <v>2659</v>
      </c>
      <c r="I275" s="462" t="s">
        <v>623</v>
      </c>
      <c r="J275" s="335" t="s">
        <v>704</v>
      </c>
      <c r="K275" s="335" t="s">
        <v>705</v>
      </c>
      <c r="L275" s="453" t="s">
        <v>1948</v>
      </c>
      <c r="M275" s="334" t="s">
        <v>1771</v>
      </c>
      <c r="N275" s="334">
        <v>0</v>
      </c>
      <c r="O275" s="333">
        <f>+N275+P275</f>
        <v>100</v>
      </c>
      <c r="P275" s="332">
        <v>100</v>
      </c>
      <c r="Q275" s="390">
        <v>8.8999999999999996E-2</v>
      </c>
      <c r="R275" s="342">
        <f t="shared" si="234"/>
        <v>0</v>
      </c>
      <c r="S275" s="389">
        <v>0</v>
      </c>
      <c r="T275" s="387">
        <f t="shared" si="220"/>
        <v>0</v>
      </c>
      <c r="U275" s="670">
        <v>0</v>
      </c>
      <c r="V275" s="388">
        <f t="shared" si="221"/>
        <v>0</v>
      </c>
      <c r="W275" s="356">
        <f t="shared" si="222"/>
        <v>0</v>
      </c>
      <c r="X275" s="356">
        <f t="shared" si="235"/>
        <v>0</v>
      </c>
      <c r="Y275" s="356">
        <f t="shared" si="259"/>
        <v>0</v>
      </c>
      <c r="Z275" s="356">
        <f t="shared" si="236"/>
        <v>0</v>
      </c>
      <c r="AA275" s="355">
        <v>0</v>
      </c>
      <c r="AB275" s="355">
        <v>0</v>
      </c>
      <c r="AC275" s="355">
        <v>0</v>
      </c>
      <c r="AD275" s="355">
        <v>0</v>
      </c>
      <c r="AE275" s="355">
        <v>0</v>
      </c>
      <c r="AF275" s="355">
        <v>0</v>
      </c>
      <c r="AG275" s="355">
        <v>0</v>
      </c>
      <c r="AH275" s="355">
        <v>0</v>
      </c>
      <c r="AI275" s="355">
        <v>0</v>
      </c>
      <c r="AJ275" s="355">
        <v>0</v>
      </c>
      <c r="AK275" s="355">
        <v>0</v>
      </c>
      <c r="AL275" s="355">
        <v>0</v>
      </c>
      <c r="AM275" s="355">
        <v>0</v>
      </c>
      <c r="AN275" s="355">
        <v>0</v>
      </c>
      <c r="AO275" s="355">
        <v>0</v>
      </c>
      <c r="AP275" s="355">
        <v>0</v>
      </c>
      <c r="AQ275" s="355">
        <v>0</v>
      </c>
      <c r="AR275" s="355">
        <v>0</v>
      </c>
      <c r="AS275" s="355">
        <v>0</v>
      </c>
      <c r="AT275" s="333">
        <f t="shared" si="237"/>
        <v>1.3349999999999999E-2</v>
      </c>
      <c r="AU275" s="334">
        <v>15</v>
      </c>
      <c r="AV275" s="387">
        <f t="shared" si="223"/>
        <v>0.15</v>
      </c>
      <c r="AW275" s="677">
        <v>1</v>
      </c>
      <c r="AX275" s="366">
        <f t="shared" si="224"/>
        <v>1</v>
      </c>
      <c r="AY275" s="366">
        <f t="shared" si="225"/>
        <v>6.666666666666667</v>
      </c>
      <c r="AZ275" s="366">
        <f t="shared" si="238"/>
        <v>6.666666666666667</v>
      </c>
      <c r="BA275" s="354">
        <f t="shared" si="239"/>
        <v>8.8999999999999995E-4</v>
      </c>
      <c r="BB275" s="354">
        <f t="shared" si="240"/>
        <v>6.666666666666667</v>
      </c>
      <c r="BC275" s="353">
        <v>0</v>
      </c>
      <c r="BD275" s="353">
        <v>0</v>
      </c>
      <c r="BE275" s="353">
        <v>0</v>
      </c>
      <c r="BF275" s="353">
        <v>0</v>
      </c>
      <c r="BG275" s="353">
        <v>0</v>
      </c>
      <c r="BH275" s="353">
        <v>0</v>
      </c>
      <c r="BI275" s="353">
        <v>0</v>
      </c>
      <c r="BJ275" s="353">
        <v>0</v>
      </c>
      <c r="BK275" s="452">
        <v>50000000</v>
      </c>
      <c r="BL275" s="351">
        <v>50000000</v>
      </c>
      <c r="BM275" s="351">
        <v>0</v>
      </c>
      <c r="BN275" s="351">
        <v>0</v>
      </c>
      <c r="BO275" s="351">
        <v>0</v>
      </c>
      <c r="BP275" s="351">
        <v>0</v>
      </c>
      <c r="BQ275" s="351">
        <v>0</v>
      </c>
      <c r="BR275" s="351">
        <v>0</v>
      </c>
      <c r="BS275" s="351">
        <v>0</v>
      </c>
      <c r="BT275" s="351">
        <v>0</v>
      </c>
      <c r="BU275" s="351">
        <v>0</v>
      </c>
      <c r="BV275" s="350">
        <f t="shared" si="241"/>
        <v>6.2299999999999994E-2</v>
      </c>
      <c r="BW275" s="350">
        <v>70</v>
      </c>
      <c r="BX275" s="385">
        <f t="shared" si="226"/>
        <v>0.7</v>
      </c>
      <c r="BY275" s="369">
        <v>0</v>
      </c>
      <c r="BZ275" s="391">
        <v>0</v>
      </c>
      <c r="CA275" s="689">
        <v>100</v>
      </c>
      <c r="CB275" s="324">
        <f t="shared" si="227"/>
        <v>100</v>
      </c>
      <c r="CC275" s="324">
        <f t="shared" si="228"/>
        <v>142.85714285714286</v>
      </c>
      <c r="CD275" s="384">
        <f t="shared" si="242"/>
        <v>100</v>
      </c>
      <c r="CE275" s="383">
        <f t="shared" si="243"/>
        <v>6.2299999999999994E-2</v>
      </c>
      <c r="CF275" s="367">
        <f t="shared" si="244"/>
        <v>100</v>
      </c>
      <c r="CG275" s="383">
        <f t="shared" si="245"/>
        <v>8.8999999999999982E-2</v>
      </c>
      <c r="CH275" s="456">
        <f t="shared" si="246"/>
        <v>1.3349999999999999E-2</v>
      </c>
      <c r="CI275" s="319">
        <v>15</v>
      </c>
      <c r="CJ275" s="318">
        <f t="shared" si="229"/>
        <v>0.15</v>
      </c>
      <c r="CK275" s="1259">
        <v>16</v>
      </c>
      <c r="CL275" s="301">
        <f t="shared" si="230"/>
        <v>-1</v>
      </c>
      <c r="CM275" s="381">
        <f t="shared" si="231"/>
        <v>16</v>
      </c>
      <c r="CN275" s="381">
        <f t="shared" si="232"/>
        <v>106.66666666666667</v>
      </c>
      <c r="CO275" s="316">
        <f t="shared" si="247"/>
        <v>100</v>
      </c>
      <c r="CP275" s="381">
        <f t="shared" si="248"/>
        <v>1.3349999999999999E-2</v>
      </c>
      <c r="CQ275" s="381">
        <f t="shared" si="249"/>
        <v>1.4239999999999999E-2</v>
      </c>
      <c r="CR275" s="313">
        <v>0</v>
      </c>
      <c r="CS275" s="313">
        <v>0</v>
      </c>
      <c r="CT275" s="313">
        <v>0</v>
      </c>
      <c r="CU275" s="313">
        <v>0</v>
      </c>
      <c r="CV275" s="313">
        <v>0</v>
      </c>
      <c r="CW275" s="313">
        <v>0</v>
      </c>
      <c r="CX275" s="313">
        <v>0</v>
      </c>
      <c r="CY275" s="313">
        <v>0</v>
      </c>
      <c r="CZ275" s="380">
        <v>0</v>
      </c>
      <c r="DA275" s="380">
        <v>0</v>
      </c>
      <c r="DB275" s="380">
        <v>0</v>
      </c>
      <c r="DC275" s="380">
        <v>0</v>
      </c>
      <c r="DD275" s="380">
        <v>0</v>
      </c>
      <c r="DE275" s="380">
        <v>0</v>
      </c>
      <c r="DF275" s="380">
        <v>0</v>
      </c>
      <c r="DG275" s="380">
        <v>0</v>
      </c>
      <c r="DH275" s="380">
        <v>0</v>
      </c>
      <c r="DI275" s="380">
        <v>0</v>
      </c>
      <c r="DJ275" s="380">
        <v>0</v>
      </c>
      <c r="DK275" s="702">
        <f t="shared" si="233"/>
        <v>117</v>
      </c>
      <c r="DL275" s="311">
        <f t="shared" si="250"/>
        <v>8.8999999999999996E-2</v>
      </c>
      <c r="DM275" s="310">
        <f t="shared" si="251"/>
        <v>117</v>
      </c>
      <c r="DN275" s="356">
        <f t="shared" si="252"/>
        <v>100</v>
      </c>
      <c r="DO275" s="308">
        <f t="shared" si="253"/>
        <v>8.900000000000001E-2</v>
      </c>
      <c r="DP275" s="359">
        <f>+IF(((DN275*Q275)/100)&lt;Q275, ((DN275*Q275)/100),Q275)</f>
        <v>8.8999999999999996E-2</v>
      </c>
      <c r="DQ275" s="306">
        <f t="shared" si="254"/>
        <v>8.8999999999999996E-2</v>
      </c>
      <c r="DR275" s="379">
        <f t="shared" si="255"/>
        <v>1</v>
      </c>
      <c r="DS275" s="378">
        <f t="shared" si="256"/>
        <v>0</v>
      </c>
      <c r="DT275" s="173">
        <v>269</v>
      </c>
      <c r="DU275" s="174" t="s">
        <v>117</v>
      </c>
      <c r="DV275" s="173"/>
      <c r="DW275" s="174" t="s">
        <v>84</v>
      </c>
      <c r="DX275" s="173"/>
      <c r="DY275" s="173"/>
      <c r="DZ275" s="173"/>
      <c r="EA275" s="665"/>
      <c r="EB275" s="1254" t="s">
        <v>2112</v>
      </c>
      <c r="EC275" s="537">
        <v>0</v>
      </c>
      <c r="EE275" s="734">
        <v>5</v>
      </c>
      <c r="EF275" s="706"/>
    </row>
    <row r="276" spans="4:136" s="302" customFormat="1" ht="51" hidden="1">
      <c r="D276" s="520">
        <v>273</v>
      </c>
      <c r="E276" s="534">
        <v>321</v>
      </c>
      <c r="F276" s="336" t="s">
        <v>43</v>
      </c>
      <c r="G276" s="336" t="s">
        <v>9</v>
      </c>
      <c r="H276" s="336" t="s">
        <v>2659</v>
      </c>
      <c r="I276" s="336" t="s">
        <v>623</v>
      </c>
      <c r="J276" s="335" t="s">
        <v>1279</v>
      </c>
      <c r="K276" s="335" t="s">
        <v>706</v>
      </c>
      <c r="L276" s="453" t="s">
        <v>1948</v>
      </c>
      <c r="M276" s="334" t="s">
        <v>1771</v>
      </c>
      <c r="N276" s="334">
        <v>0</v>
      </c>
      <c r="O276" s="333">
        <f>+N276+P276</f>
        <v>100</v>
      </c>
      <c r="P276" s="332">
        <v>100</v>
      </c>
      <c r="Q276" s="393">
        <v>8.8999999999999996E-2</v>
      </c>
      <c r="R276" s="342">
        <f t="shared" si="234"/>
        <v>0</v>
      </c>
      <c r="S276" s="389">
        <v>0</v>
      </c>
      <c r="T276" s="387">
        <f t="shared" si="220"/>
        <v>0</v>
      </c>
      <c r="U276" s="670">
        <v>0</v>
      </c>
      <c r="V276" s="388">
        <f t="shared" si="221"/>
        <v>0</v>
      </c>
      <c r="W276" s="356">
        <f t="shared" si="222"/>
        <v>0</v>
      </c>
      <c r="X276" s="356">
        <f t="shared" si="235"/>
        <v>0</v>
      </c>
      <c r="Y276" s="356">
        <f t="shared" si="259"/>
        <v>0</v>
      </c>
      <c r="Z276" s="356">
        <f t="shared" si="236"/>
        <v>0</v>
      </c>
      <c r="AA276" s="355">
        <v>0</v>
      </c>
      <c r="AB276" s="355">
        <v>0</v>
      </c>
      <c r="AC276" s="355">
        <v>0</v>
      </c>
      <c r="AD276" s="355">
        <v>0</v>
      </c>
      <c r="AE276" s="355">
        <v>0</v>
      </c>
      <c r="AF276" s="355">
        <v>0</v>
      </c>
      <c r="AG276" s="355">
        <v>0</v>
      </c>
      <c r="AH276" s="355">
        <v>0</v>
      </c>
      <c r="AI276" s="355">
        <v>0</v>
      </c>
      <c r="AJ276" s="355">
        <v>0</v>
      </c>
      <c r="AK276" s="355">
        <v>0</v>
      </c>
      <c r="AL276" s="355">
        <v>0</v>
      </c>
      <c r="AM276" s="355">
        <v>0</v>
      </c>
      <c r="AN276" s="355">
        <v>0</v>
      </c>
      <c r="AO276" s="355">
        <v>0</v>
      </c>
      <c r="AP276" s="355">
        <v>0</v>
      </c>
      <c r="AQ276" s="355">
        <v>0</v>
      </c>
      <c r="AR276" s="355">
        <v>0</v>
      </c>
      <c r="AS276" s="355">
        <v>0</v>
      </c>
      <c r="AT276" s="392">
        <f t="shared" si="237"/>
        <v>0</v>
      </c>
      <c r="AU276" s="334">
        <v>0</v>
      </c>
      <c r="AV276" s="387">
        <f t="shared" si="223"/>
        <v>0</v>
      </c>
      <c r="AW276" s="677">
        <v>0</v>
      </c>
      <c r="AX276" s="366">
        <f t="shared" si="224"/>
        <v>0</v>
      </c>
      <c r="AY276" s="366">
        <f t="shared" si="225"/>
        <v>0</v>
      </c>
      <c r="AZ276" s="366">
        <f t="shared" si="238"/>
        <v>0</v>
      </c>
      <c r="BA276" s="354">
        <f t="shared" si="239"/>
        <v>0</v>
      </c>
      <c r="BB276" s="354">
        <f t="shared" si="240"/>
        <v>0</v>
      </c>
      <c r="BC276" s="353">
        <v>20000000</v>
      </c>
      <c r="BD276" s="353">
        <v>0</v>
      </c>
      <c r="BE276" s="353">
        <v>10000000</v>
      </c>
      <c r="BF276" s="353">
        <v>0</v>
      </c>
      <c r="BG276" s="353">
        <v>0</v>
      </c>
      <c r="BH276" s="353">
        <v>0</v>
      </c>
      <c r="BI276" s="353">
        <v>0</v>
      </c>
      <c r="BJ276" s="353">
        <v>10000000</v>
      </c>
      <c r="BK276" s="452">
        <v>0</v>
      </c>
      <c r="BL276" s="351">
        <v>0</v>
      </c>
      <c r="BM276" s="351">
        <v>0</v>
      </c>
      <c r="BN276" s="351">
        <v>0</v>
      </c>
      <c r="BO276" s="351">
        <v>0</v>
      </c>
      <c r="BP276" s="351">
        <v>0</v>
      </c>
      <c r="BQ276" s="351">
        <v>0</v>
      </c>
      <c r="BR276" s="351">
        <v>0</v>
      </c>
      <c r="BS276" s="351">
        <v>0</v>
      </c>
      <c r="BT276" s="351">
        <v>0</v>
      </c>
      <c r="BU276" s="351">
        <v>0</v>
      </c>
      <c r="BV276" s="350">
        <f t="shared" si="241"/>
        <v>8.8999999999999996E-2</v>
      </c>
      <c r="BW276" s="350">
        <v>100</v>
      </c>
      <c r="BX276" s="385">
        <f t="shared" si="226"/>
        <v>1</v>
      </c>
      <c r="BY276" s="399">
        <v>70</v>
      </c>
      <c r="BZ276" s="398">
        <v>75</v>
      </c>
      <c r="CA276" s="690">
        <v>100</v>
      </c>
      <c r="CB276" s="324">
        <f t="shared" si="227"/>
        <v>100</v>
      </c>
      <c r="CC276" s="324">
        <f t="shared" si="228"/>
        <v>100</v>
      </c>
      <c r="CD276" s="384">
        <f t="shared" si="242"/>
        <v>100</v>
      </c>
      <c r="CE276" s="383">
        <f t="shared" si="243"/>
        <v>8.900000000000001E-2</v>
      </c>
      <c r="CF276" s="367">
        <f t="shared" si="244"/>
        <v>100</v>
      </c>
      <c r="CG276" s="383">
        <f t="shared" si="245"/>
        <v>8.900000000000001E-2</v>
      </c>
      <c r="CH276" s="320">
        <f t="shared" si="246"/>
        <v>0</v>
      </c>
      <c r="CI276" s="319">
        <v>0</v>
      </c>
      <c r="CJ276" s="318">
        <f t="shared" si="229"/>
        <v>0</v>
      </c>
      <c r="CK276" s="1258">
        <v>16</v>
      </c>
      <c r="CL276" s="301">
        <f t="shared" si="230"/>
        <v>-16</v>
      </c>
      <c r="CM276" s="381">
        <f t="shared" si="231"/>
        <v>16</v>
      </c>
      <c r="CN276" s="381">
        <f t="shared" si="232"/>
        <v>0</v>
      </c>
      <c r="CO276" s="316">
        <f t="shared" si="247"/>
        <v>0</v>
      </c>
      <c r="CP276" s="381">
        <f t="shared" si="248"/>
        <v>0</v>
      </c>
      <c r="CQ276" s="381">
        <f t="shared" si="249"/>
        <v>0</v>
      </c>
      <c r="CR276" s="313">
        <v>0</v>
      </c>
      <c r="CS276" s="313">
        <v>0</v>
      </c>
      <c r="CT276" s="313">
        <v>0</v>
      </c>
      <c r="CU276" s="313">
        <v>0</v>
      </c>
      <c r="CV276" s="313">
        <v>0</v>
      </c>
      <c r="CW276" s="313">
        <v>0</v>
      </c>
      <c r="CX276" s="313">
        <v>0</v>
      </c>
      <c r="CY276" s="313">
        <v>0</v>
      </c>
      <c r="CZ276" s="380">
        <v>0</v>
      </c>
      <c r="DA276" s="380">
        <v>0</v>
      </c>
      <c r="DB276" s="380">
        <v>0</v>
      </c>
      <c r="DC276" s="380">
        <v>0</v>
      </c>
      <c r="DD276" s="380">
        <v>0</v>
      </c>
      <c r="DE276" s="380">
        <v>0</v>
      </c>
      <c r="DF276" s="380">
        <v>0</v>
      </c>
      <c r="DG276" s="380">
        <v>0</v>
      </c>
      <c r="DH276" s="380">
        <v>0</v>
      </c>
      <c r="DI276" s="380">
        <v>0</v>
      </c>
      <c r="DJ276" s="380">
        <v>0</v>
      </c>
      <c r="DK276" s="702">
        <f t="shared" si="233"/>
        <v>116</v>
      </c>
      <c r="DL276" s="311">
        <f t="shared" si="250"/>
        <v>8.8999999999999996E-2</v>
      </c>
      <c r="DM276" s="310">
        <f t="shared" si="251"/>
        <v>116</v>
      </c>
      <c r="DN276" s="356">
        <f t="shared" si="252"/>
        <v>100</v>
      </c>
      <c r="DO276" s="308">
        <f t="shared" si="253"/>
        <v>8.900000000000001E-2</v>
      </c>
      <c r="DP276" s="359">
        <f>+IF(((DN276*Q276)/100)&lt;Q276, ((DN276*Q276)/100),Q276)</f>
        <v>8.8999999999999996E-2</v>
      </c>
      <c r="DQ276" s="306">
        <f t="shared" si="254"/>
        <v>8.8999999999999996E-2</v>
      </c>
      <c r="DR276" s="379">
        <f t="shared" si="255"/>
        <v>1</v>
      </c>
      <c r="DS276" s="378">
        <f t="shared" si="256"/>
        <v>0</v>
      </c>
      <c r="DT276" s="173">
        <v>269</v>
      </c>
      <c r="DU276" s="174" t="s">
        <v>117</v>
      </c>
      <c r="DV276" s="173"/>
      <c r="DW276" s="174" t="s">
        <v>84</v>
      </c>
      <c r="DX276" s="173"/>
      <c r="DY276" s="173"/>
      <c r="DZ276" s="173"/>
      <c r="EA276" s="665"/>
      <c r="EB276" s="1254" t="s">
        <v>2113</v>
      </c>
      <c r="EC276" s="537">
        <v>408000000</v>
      </c>
      <c r="EE276" s="734">
        <v>1</v>
      </c>
      <c r="EF276" s="706"/>
    </row>
    <row r="277" spans="4:136" s="302" customFormat="1" ht="89.25" hidden="1">
      <c r="D277" s="520">
        <v>274</v>
      </c>
      <c r="E277" s="534">
        <v>322</v>
      </c>
      <c r="F277" s="523" t="s">
        <v>43</v>
      </c>
      <c r="G277" s="479" t="s">
        <v>82</v>
      </c>
      <c r="H277" s="526" t="s">
        <v>2659</v>
      </c>
      <c r="I277" s="462" t="s">
        <v>623</v>
      </c>
      <c r="J277" s="335" t="s">
        <v>707</v>
      </c>
      <c r="K277" s="335" t="s">
        <v>708</v>
      </c>
      <c r="L277" s="454" t="s">
        <v>1501</v>
      </c>
      <c r="M277" s="334" t="s">
        <v>1771</v>
      </c>
      <c r="N277" s="334">
        <v>0</v>
      </c>
      <c r="O277" s="333">
        <f>+N277+P277</f>
        <v>5000</v>
      </c>
      <c r="P277" s="332">
        <v>5000</v>
      </c>
      <c r="Q277" s="390">
        <v>0.25</v>
      </c>
      <c r="R277" s="342">
        <f t="shared" si="234"/>
        <v>0</v>
      </c>
      <c r="S277" s="389">
        <v>0</v>
      </c>
      <c r="T277" s="387">
        <f t="shared" si="220"/>
        <v>0</v>
      </c>
      <c r="U277" s="670">
        <v>0</v>
      </c>
      <c r="V277" s="388">
        <f t="shared" si="221"/>
        <v>0</v>
      </c>
      <c r="W277" s="356">
        <f t="shared" si="222"/>
        <v>0</v>
      </c>
      <c r="X277" s="356">
        <f t="shared" si="235"/>
        <v>0</v>
      </c>
      <c r="Y277" s="356">
        <f t="shared" si="259"/>
        <v>0</v>
      </c>
      <c r="Z277" s="356">
        <f t="shared" si="236"/>
        <v>0</v>
      </c>
      <c r="AA277" s="355">
        <v>0</v>
      </c>
      <c r="AB277" s="355">
        <v>0</v>
      </c>
      <c r="AC277" s="355">
        <v>0</v>
      </c>
      <c r="AD277" s="355">
        <v>0</v>
      </c>
      <c r="AE277" s="355">
        <v>0</v>
      </c>
      <c r="AF277" s="355">
        <v>0</v>
      </c>
      <c r="AG277" s="355">
        <v>0</v>
      </c>
      <c r="AH277" s="355">
        <v>0</v>
      </c>
      <c r="AI277" s="355">
        <v>0</v>
      </c>
      <c r="AJ277" s="355">
        <v>0</v>
      </c>
      <c r="AK277" s="355">
        <v>0</v>
      </c>
      <c r="AL277" s="355">
        <v>0</v>
      </c>
      <c r="AM277" s="355">
        <v>0</v>
      </c>
      <c r="AN277" s="355">
        <v>0</v>
      </c>
      <c r="AO277" s="355">
        <v>0</v>
      </c>
      <c r="AP277" s="355">
        <v>0</v>
      </c>
      <c r="AQ277" s="355">
        <v>0</v>
      </c>
      <c r="AR277" s="355">
        <v>0</v>
      </c>
      <c r="AS277" s="355">
        <v>0</v>
      </c>
      <c r="AT277" s="333">
        <f t="shared" si="237"/>
        <v>0.05</v>
      </c>
      <c r="AU277" s="334">
        <v>1000</v>
      </c>
      <c r="AV277" s="387">
        <f t="shared" si="223"/>
        <v>0.2</v>
      </c>
      <c r="AW277" s="677">
        <v>6</v>
      </c>
      <c r="AX277" s="366">
        <f t="shared" si="224"/>
        <v>6</v>
      </c>
      <c r="AY277" s="366">
        <f t="shared" si="225"/>
        <v>0.6</v>
      </c>
      <c r="AZ277" s="366">
        <f t="shared" si="238"/>
        <v>0.6</v>
      </c>
      <c r="BA277" s="354">
        <f t="shared" si="239"/>
        <v>2.9999999999999997E-4</v>
      </c>
      <c r="BB277" s="354">
        <f t="shared" si="240"/>
        <v>0.6</v>
      </c>
      <c r="BC277" s="353">
        <v>0</v>
      </c>
      <c r="BD277" s="353">
        <v>0</v>
      </c>
      <c r="BE277" s="353">
        <v>0</v>
      </c>
      <c r="BF277" s="353">
        <v>0</v>
      </c>
      <c r="BG277" s="353">
        <v>0</v>
      </c>
      <c r="BH277" s="353">
        <v>0</v>
      </c>
      <c r="BI277" s="353">
        <v>0</v>
      </c>
      <c r="BJ277" s="353">
        <v>0</v>
      </c>
      <c r="BK277" s="452">
        <v>3000000000</v>
      </c>
      <c r="BL277" s="351">
        <v>3000000000</v>
      </c>
      <c r="BM277" s="351">
        <v>0</v>
      </c>
      <c r="BN277" s="351">
        <v>0</v>
      </c>
      <c r="BO277" s="351">
        <v>0</v>
      </c>
      <c r="BP277" s="351">
        <v>0</v>
      </c>
      <c r="BQ277" s="351">
        <v>0</v>
      </c>
      <c r="BR277" s="351">
        <v>0</v>
      </c>
      <c r="BS277" s="351">
        <v>0</v>
      </c>
      <c r="BT277" s="351">
        <v>0</v>
      </c>
      <c r="BU277" s="351">
        <v>0</v>
      </c>
      <c r="BV277" s="350">
        <f t="shared" si="241"/>
        <v>0.1</v>
      </c>
      <c r="BW277" s="350">
        <v>2000</v>
      </c>
      <c r="BX277" s="385">
        <f t="shared" si="226"/>
        <v>0.4</v>
      </c>
      <c r="BY277" s="400">
        <v>3576</v>
      </c>
      <c r="BZ277" s="416">
        <v>3720</v>
      </c>
      <c r="CA277" s="691">
        <v>3720</v>
      </c>
      <c r="CB277" s="324">
        <f t="shared" si="227"/>
        <v>3720</v>
      </c>
      <c r="CC277" s="324">
        <f t="shared" si="228"/>
        <v>186</v>
      </c>
      <c r="CD277" s="384">
        <f t="shared" si="242"/>
        <v>100</v>
      </c>
      <c r="CE277" s="383">
        <f t="shared" si="243"/>
        <v>0.1</v>
      </c>
      <c r="CF277" s="367">
        <f t="shared" si="244"/>
        <v>100</v>
      </c>
      <c r="CG277" s="383">
        <f t="shared" si="245"/>
        <v>0.18600000000000003</v>
      </c>
      <c r="CH277" s="320">
        <f t="shared" si="246"/>
        <v>0.1</v>
      </c>
      <c r="CI277" s="319">
        <v>2000</v>
      </c>
      <c r="CJ277" s="318">
        <f t="shared" si="229"/>
        <v>0.4</v>
      </c>
      <c r="CK277" s="1259">
        <v>2418</v>
      </c>
      <c r="CL277" s="301">
        <f t="shared" si="230"/>
        <v>-418</v>
      </c>
      <c r="CM277" s="381">
        <f t="shared" si="231"/>
        <v>2418</v>
      </c>
      <c r="CN277" s="381">
        <f t="shared" si="232"/>
        <v>120.9</v>
      </c>
      <c r="CO277" s="316">
        <f t="shared" si="247"/>
        <v>100</v>
      </c>
      <c r="CP277" s="381">
        <f t="shared" si="248"/>
        <v>0.1</v>
      </c>
      <c r="CQ277" s="381">
        <f t="shared" si="249"/>
        <v>0.12090000000000002</v>
      </c>
      <c r="CR277" s="313">
        <v>0</v>
      </c>
      <c r="CS277" s="313">
        <v>0</v>
      </c>
      <c r="CT277" s="313">
        <v>0</v>
      </c>
      <c r="CU277" s="313">
        <v>0</v>
      </c>
      <c r="CV277" s="313">
        <v>0</v>
      </c>
      <c r="CW277" s="313">
        <v>0</v>
      </c>
      <c r="CX277" s="313">
        <v>0</v>
      </c>
      <c r="CY277" s="313">
        <v>0</v>
      </c>
      <c r="CZ277" s="380">
        <v>0</v>
      </c>
      <c r="DA277" s="380">
        <v>0</v>
      </c>
      <c r="DB277" s="380">
        <v>0</v>
      </c>
      <c r="DC277" s="380">
        <v>0</v>
      </c>
      <c r="DD277" s="380">
        <v>0</v>
      </c>
      <c r="DE277" s="380">
        <v>0</v>
      </c>
      <c r="DF277" s="380">
        <v>0</v>
      </c>
      <c r="DG277" s="380">
        <v>0</v>
      </c>
      <c r="DH277" s="380">
        <v>0</v>
      </c>
      <c r="DI277" s="380">
        <v>0</v>
      </c>
      <c r="DJ277" s="380">
        <v>0</v>
      </c>
      <c r="DK277" s="702">
        <f t="shared" si="233"/>
        <v>6144</v>
      </c>
      <c r="DL277" s="311">
        <f t="shared" si="250"/>
        <v>0.25</v>
      </c>
      <c r="DM277" s="310">
        <f t="shared" si="251"/>
        <v>122.88</v>
      </c>
      <c r="DN277" s="356">
        <f t="shared" si="252"/>
        <v>100</v>
      </c>
      <c r="DO277" s="308">
        <f t="shared" si="253"/>
        <v>0.25</v>
      </c>
      <c r="DP277" s="359">
        <f>+IF(((DN277*Q277)/100)&lt;Q277, ((DN277*Q277)/100),Q277)</f>
        <v>0.25</v>
      </c>
      <c r="DQ277" s="306">
        <f t="shared" si="254"/>
        <v>0.25</v>
      </c>
      <c r="DR277" s="379">
        <f t="shared" si="255"/>
        <v>1</v>
      </c>
      <c r="DS277" s="378">
        <f t="shared" si="256"/>
        <v>0</v>
      </c>
      <c r="DT277" s="173">
        <v>269</v>
      </c>
      <c r="DU277" s="174" t="s">
        <v>117</v>
      </c>
      <c r="DV277" s="173"/>
      <c r="DW277" s="174" t="s">
        <v>84</v>
      </c>
      <c r="DX277" s="173"/>
      <c r="DY277" s="173"/>
      <c r="DZ277" s="173"/>
      <c r="EA277" s="665"/>
      <c r="EB277" s="1254" t="s">
        <v>2546</v>
      </c>
      <c r="EC277" s="537">
        <v>3242000000</v>
      </c>
      <c r="EE277" s="734">
        <v>2000</v>
      </c>
      <c r="EF277" s="706"/>
    </row>
    <row r="278" spans="4:136" s="302" customFormat="1" ht="96" hidden="1">
      <c r="D278" s="520">
        <v>275</v>
      </c>
      <c r="E278" s="534">
        <v>323</v>
      </c>
      <c r="F278" s="523" t="s">
        <v>43</v>
      </c>
      <c r="G278" s="479" t="s">
        <v>12</v>
      </c>
      <c r="H278" s="526" t="s">
        <v>2659</v>
      </c>
      <c r="I278" s="462" t="s">
        <v>623</v>
      </c>
      <c r="J278" s="335" t="s">
        <v>709</v>
      </c>
      <c r="K278" s="335" t="s">
        <v>710</v>
      </c>
      <c r="L278" s="453" t="s">
        <v>1947</v>
      </c>
      <c r="M278" s="334" t="s">
        <v>1785</v>
      </c>
      <c r="N278" s="334">
        <v>0</v>
      </c>
      <c r="O278" s="333">
        <f>+P278</f>
        <v>100</v>
      </c>
      <c r="P278" s="332">
        <v>100</v>
      </c>
      <c r="Q278" s="390">
        <v>0.16500000000000001</v>
      </c>
      <c r="R278" s="342">
        <f t="shared" si="234"/>
        <v>4.1250000000000002E-2</v>
      </c>
      <c r="S278" s="389">
        <v>100</v>
      </c>
      <c r="T278" s="387">
        <f t="shared" si="220"/>
        <v>0.25</v>
      </c>
      <c r="U278" s="670">
        <v>100</v>
      </c>
      <c r="V278" s="388">
        <f t="shared" si="221"/>
        <v>25</v>
      </c>
      <c r="W278" s="356">
        <f t="shared" si="222"/>
        <v>100</v>
      </c>
      <c r="X278" s="356">
        <f t="shared" si="235"/>
        <v>100</v>
      </c>
      <c r="Y278" s="356">
        <f t="shared" si="259"/>
        <v>4.1250000000000002E-2</v>
      </c>
      <c r="Z278" s="356">
        <f t="shared" si="236"/>
        <v>100</v>
      </c>
      <c r="AA278" s="355">
        <v>10000000</v>
      </c>
      <c r="AB278" s="355">
        <v>10000000</v>
      </c>
      <c r="AC278" s="355">
        <v>0</v>
      </c>
      <c r="AD278" s="355">
        <v>0</v>
      </c>
      <c r="AE278" s="355">
        <v>0</v>
      </c>
      <c r="AF278" s="355">
        <v>0</v>
      </c>
      <c r="AG278" s="355">
        <v>0</v>
      </c>
      <c r="AH278" s="355">
        <v>0</v>
      </c>
      <c r="AI278" s="355">
        <v>0</v>
      </c>
      <c r="AJ278" s="355">
        <v>0</v>
      </c>
      <c r="AK278" s="355">
        <v>0</v>
      </c>
      <c r="AL278" s="355">
        <v>0</v>
      </c>
      <c r="AM278" s="355">
        <v>0</v>
      </c>
      <c r="AN278" s="355">
        <v>0</v>
      </c>
      <c r="AO278" s="355">
        <v>0</v>
      </c>
      <c r="AP278" s="355">
        <v>0</v>
      </c>
      <c r="AQ278" s="355">
        <v>0</v>
      </c>
      <c r="AR278" s="355">
        <v>0</v>
      </c>
      <c r="AS278" s="355">
        <v>0</v>
      </c>
      <c r="AT278" s="333">
        <f t="shared" si="237"/>
        <v>4.1250000000000002E-2</v>
      </c>
      <c r="AU278" s="334">
        <v>100</v>
      </c>
      <c r="AV278" s="387">
        <f t="shared" si="223"/>
        <v>0.25</v>
      </c>
      <c r="AW278" s="677">
        <v>100</v>
      </c>
      <c r="AX278" s="366">
        <f t="shared" si="224"/>
        <v>25</v>
      </c>
      <c r="AY278" s="366">
        <f t="shared" si="225"/>
        <v>100</v>
      </c>
      <c r="AZ278" s="366">
        <f t="shared" si="238"/>
        <v>100</v>
      </c>
      <c r="BA278" s="354">
        <f t="shared" si="239"/>
        <v>4.1250000000000002E-2</v>
      </c>
      <c r="BB278" s="354">
        <f t="shared" si="240"/>
        <v>100</v>
      </c>
      <c r="BC278" s="353">
        <v>0</v>
      </c>
      <c r="BD278" s="353">
        <v>0</v>
      </c>
      <c r="BE278" s="353">
        <v>0</v>
      </c>
      <c r="BF278" s="353">
        <v>0</v>
      </c>
      <c r="BG278" s="353">
        <v>0</v>
      </c>
      <c r="BH278" s="353">
        <v>0</v>
      </c>
      <c r="BI278" s="353">
        <v>0</v>
      </c>
      <c r="BJ278" s="353">
        <v>0</v>
      </c>
      <c r="BK278" s="452">
        <v>0</v>
      </c>
      <c r="BL278" s="351">
        <v>0</v>
      </c>
      <c r="BM278" s="351">
        <v>0</v>
      </c>
      <c r="BN278" s="351">
        <v>0</v>
      </c>
      <c r="BO278" s="351">
        <v>0</v>
      </c>
      <c r="BP278" s="351">
        <v>0</v>
      </c>
      <c r="BQ278" s="351">
        <v>0</v>
      </c>
      <c r="BR278" s="351">
        <v>0</v>
      </c>
      <c r="BS278" s="351">
        <v>0</v>
      </c>
      <c r="BT278" s="351">
        <v>0</v>
      </c>
      <c r="BU278" s="351">
        <v>0</v>
      </c>
      <c r="BV278" s="350">
        <f t="shared" si="241"/>
        <v>4.1250000000000002E-2</v>
      </c>
      <c r="BW278" s="350">
        <v>100</v>
      </c>
      <c r="BX278" s="385">
        <f t="shared" si="226"/>
        <v>0.25</v>
      </c>
      <c r="BY278" s="400">
        <v>100</v>
      </c>
      <c r="BZ278" s="416">
        <v>100</v>
      </c>
      <c r="CA278" s="691">
        <v>100</v>
      </c>
      <c r="CB278" s="324">
        <f t="shared" si="227"/>
        <v>25</v>
      </c>
      <c r="CC278" s="324">
        <f t="shared" si="228"/>
        <v>100</v>
      </c>
      <c r="CD278" s="384">
        <f t="shared" si="242"/>
        <v>100</v>
      </c>
      <c r="CE278" s="383">
        <f t="shared" si="243"/>
        <v>4.1250000000000002E-2</v>
      </c>
      <c r="CF278" s="367">
        <f t="shared" si="244"/>
        <v>100</v>
      </c>
      <c r="CG278" s="383">
        <f t="shared" si="245"/>
        <v>4.1250000000000002E-2</v>
      </c>
      <c r="CH278" s="320">
        <f t="shared" si="246"/>
        <v>4.1250000000000002E-2</v>
      </c>
      <c r="CI278" s="319">
        <v>100</v>
      </c>
      <c r="CJ278" s="318">
        <f t="shared" si="229"/>
        <v>0.25</v>
      </c>
      <c r="CK278" s="1259">
        <v>100</v>
      </c>
      <c r="CL278" s="301">
        <f t="shared" si="230"/>
        <v>0</v>
      </c>
      <c r="CM278" s="381">
        <f t="shared" si="231"/>
        <v>25</v>
      </c>
      <c r="CN278" s="381">
        <f t="shared" si="232"/>
        <v>100</v>
      </c>
      <c r="CO278" s="381">
        <f t="shared" si="247"/>
        <v>100</v>
      </c>
      <c r="CP278" s="381">
        <f t="shared" si="248"/>
        <v>4.1250000000000002E-2</v>
      </c>
      <c r="CQ278" s="381">
        <f t="shared" si="249"/>
        <v>4.1250000000000002E-2</v>
      </c>
      <c r="CR278" s="313">
        <v>0</v>
      </c>
      <c r="CS278" s="313">
        <v>0</v>
      </c>
      <c r="CT278" s="313">
        <v>0</v>
      </c>
      <c r="CU278" s="313">
        <v>0</v>
      </c>
      <c r="CV278" s="313">
        <v>0</v>
      </c>
      <c r="CW278" s="313">
        <v>0</v>
      </c>
      <c r="CX278" s="313">
        <v>0</v>
      </c>
      <c r="CY278" s="313">
        <v>0</v>
      </c>
      <c r="CZ278" s="380">
        <v>0</v>
      </c>
      <c r="DA278" s="380">
        <v>0</v>
      </c>
      <c r="DB278" s="380">
        <v>0</v>
      </c>
      <c r="DC278" s="380">
        <v>0</v>
      </c>
      <c r="DD278" s="380">
        <v>0</v>
      </c>
      <c r="DE278" s="380">
        <v>0</v>
      </c>
      <c r="DF278" s="380">
        <v>0</v>
      </c>
      <c r="DG278" s="380">
        <v>0</v>
      </c>
      <c r="DH278" s="380">
        <v>0</v>
      </c>
      <c r="DI278" s="380">
        <v>0</v>
      </c>
      <c r="DJ278" s="380">
        <v>0</v>
      </c>
      <c r="DK278" s="702">
        <f t="shared" si="233"/>
        <v>100</v>
      </c>
      <c r="DL278" s="311">
        <f t="shared" si="250"/>
        <v>0.16500000000000001</v>
      </c>
      <c r="DM278" s="310">
        <f t="shared" si="251"/>
        <v>100</v>
      </c>
      <c r="DN278" s="356">
        <f t="shared" si="252"/>
        <v>100</v>
      </c>
      <c r="DO278" s="308">
        <f t="shared" si="253"/>
        <v>0.16500000000000001</v>
      </c>
      <c r="DP278" s="359">
        <f>+IF(M278="M",DO278,0)</f>
        <v>0.16500000000000001</v>
      </c>
      <c r="DQ278" s="306">
        <f t="shared" si="254"/>
        <v>0.16500000000000001</v>
      </c>
      <c r="DR278" s="379">
        <f t="shared" si="255"/>
        <v>1</v>
      </c>
      <c r="DS278" s="378">
        <f t="shared" si="256"/>
        <v>0</v>
      </c>
      <c r="DT278" s="173">
        <v>619</v>
      </c>
      <c r="DU278" s="174" t="s">
        <v>272</v>
      </c>
      <c r="DV278" s="173"/>
      <c r="DW278" s="174" t="s">
        <v>84</v>
      </c>
      <c r="DX278" s="173"/>
      <c r="DY278" s="173"/>
      <c r="DZ278" s="173"/>
      <c r="EA278" s="665"/>
      <c r="EB278" s="1254" t="s">
        <v>2547</v>
      </c>
      <c r="EC278" s="537">
        <v>125000000</v>
      </c>
      <c r="EE278" s="734">
        <v>15000</v>
      </c>
      <c r="EF278" s="706"/>
    </row>
    <row r="279" spans="4:136" s="302" customFormat="1" ht="63.75" hidden="1">
      <c r="D279" s="520">
        <v>276</v>
      </c>
      <c r="E279" s="534">
        <v>324</v>
      </c>
      <c r="F279" s="523" t="s">
        <v>43</v>
      </c>
      <c r="G279" s="479" t="s">
        <v>15</v>
      </c>
      <c r="H279" s="526" t="s">
        <v>2659</v>
      </c>
      <c r="I279" s="435" t="s">
        <v>623</v>
      </c>
      <c r="J279" s="335" t="s">
        <v>711</v>
      </c>
      <c r="K279" s="335" t="s">
        <v>712</v>
      </c>
      <c r="L279" s="454" t="s">
        <v>1791</v>
      </c>
      <c r="M279" s="334" t="s">
        <v>1771</v>
      </c>
      <c r="N279" s="334">
        <v>0</v>
      </c>
      <c r="O279" s="333">
        <f t="shared" ref="O279:O288" si="260">+N279+P279</f>
        <v>1</v>
      </c>
      <c r="P279" s="332">
        <v>1</v>
      </c>
      <c r="Q279" s="390">
        <v>0.16500000000000001</v>
      </c>
      <c r="R279" s="342">
        <f t="shared" si="234"/>
        <v>1.6500000000000001E-2</v>
      </c>
      <c r="S279" s="389">
        <v>0.1</v>
      </c>
      <c r="T279" s="387">
        <f t="shared" si="220"/>
        <v>0.1</v>
      </c>
      <c r="U279" s="670">
        <v>0</v>
      </c>
      <c r="V279" s="388">
        <f t="shared" si="221"/>
        <v>0</v>
      </c>
      <c r="W279" s="356">
        <f t="shared" si="222"/>
        <v>0</v>
      </c>
      <c r="X279" s="356">
        <f t="shared" si="235"/>
        <v>0</v>
      </c>
      <c r="Y279" s="356">
        <f t="shared" si="259"/>
        <v>0</v>
      </c>
      <c r="Z279" s="356">
        <f t="shared" si="236"/>
        <v>0</v>
      </c>
      <c r="AA279" s="355">
        <v>0</v>
      </c>
      <c r="AB279" s="355">
        <v>0</v>
      </c>
      <c r="AC279" s="355">
        <v>0</v>
      </c>
      <c r="AD279" s="355">
        <v>0</v>
      </c>
      <c r="AE279" s="355">
        <v>0</v>
      </c>
      <c r="AF279" s="355">
        <v>0</v>
      </c>
      <c r="AG279" s="355">
        <v>0</v>
      </c>
      <c r="AH279" s="355">
        <v>0</v>
      </c>
      <c r="AI279" s="355">
        <v>421000000</v>
      </c>
      <c r="AJ279" s="355">
        <v>421000000</v>
      </c>
      <c r="AK279" s="355">
        <v>0</v>
      </c>
      <c r="AL279" s="355">
        <v>0</v>
      </c>
      <c r="AM279" s="355">
        <v>0</v>
      </c>
      <c r="AN279" s="355">
        <v>0</v>
      </c>
      <c r="AO279" s="355">
        <v>0</v>
      </c>
      <c r="AP279" s="355">
        <v>0</v>
      </c>
      <c r="AQ279" s="355">
        <v>0</v>
      </c>
      <c r="AR279" s="355">
        <v>0</v>
      </c>
      <c r="AS279" s="355">
        <v>0</v>
      </c>
      <c r="AT279" s="333">
        <f t="shared" si="237"/>
        <v>4.9500000000000002E-2</v>
      </c>
      <c r="AU279" s="334">
        <v>0.3</v>
      </c>
      <c r="AV279" s="387">
        <f t="shared" si="223"/>
        <v>0.3</v>
      </c>
      <c r="AW279" s="677">
        <v>0.66</v>
      </c>
      <c r="AX279" s="366">
        <f t="shared" si="224"/>
        <v>0.66</v>
      </c>
      <c r="AY279" s="366">
        <f t="shared" si="225"/>
        <v>220</v>
      </c>
      <c r="AZ279" s="366">
        <f t="shared" si="238"/>
        <v>100</v>
      </c>
      <c r="BA279" s="354">
        <f t="shared" si="239"/>
        <v>4.9500000000000002E-2</v>
      </c>
      <c r="BB279" s="354">
        <f t="shared" si="240"/>
        <v>100</v>
      </c>
      <c r="BC279" s="353">
        <v>815000000</v>
      </c>
      <c r="BD279" s="353">
        <v>0</v>
      </c>
      <c r="BE279" s="353">
        <v>65000000</v>
      </c>
      <c r="BF279" s="353">
        <v>0</v>
      </c>
      <c r="BG279" s="353">
        <v>0</v>
      </c>
      <c r="BH279" s="353">
        <v>0</v>
      </c>
      <c r="BI279" s="353">
        <v>0</v>
      </c>
      <c r="BJ279" s="353">
        <v>750000000</v>
      </c>
      <c r="BK279" s="452">
        <v>1397842063</v>
      </c>
      <c r="BL279" s="351">
        <v>398758342</v>
      </c>
      <c r="BM279" s="351">
        <v>0</v>
      </c>
      <c r="BN279" s="351">
        <v>0</v>
      </c>
      <c r="BO279" s="351">
        <v>0</v>
      </c>
      <c r="BP279" s="351">
        <v>0</v>
      </c>
      <c r="BQ279" s="351">
        <v>0</v>
      </c>
      <c r="BR279" s="351">
        <v>999083721</v>
      </c>
      <c r="BS279" s="351">
        <v>0</v>
      </c>
      <c r="BT279" s="351">
        <v>0</v>
      </c>
      <c r="BU279" s="351">
        <v>0</v>
      </c>
      <c r="BV279" s="350">
        <f t="shared" si="241"/>
        <v>0</v>
      </c>
      <c r="BW279" s="350">
        <v>0</v>
      </c>
      <c r="BX279" s="385">
        <f t="shared" si="226"/>
        <v>0</v>
      </c>
      <c r="BY279" s="395">
        <v>0</v>
      </c>
      <c r="BZ279" s="401">
        <v>0</v>
      </c>
      <c r="CA279" s="691">
        <v>0.1</v>
      </c>
      <c r="CB279" s="324">
        <f t="shared" si="227"/>
        <v>0.1</v>
      </c>
      <c r="CC279" s="324">
        <f t="shared" si="228"/>
        <v>0</v>
      </c>
      <c r="CD279" s="384">
        <f t="shared" si="242"/>
        <v>0</v>
      </c>
      <c r="CE279" s="383">
        <f t="shared" si="243"/>
        <v>0</v>
      </c>
      <c r="CF279" s="367">
        <f t="shared" si="244"/>
        <v>0</v>
      </c>
      <c r="CG279" s="383">
        <f t="shared" si="245"/>
        <v>0</v>
      </c>
      <c r="CH279" s="320">
        <f t="shared" si="246"/>
        <v>9.9000000000000005E-2</v>
      </c>
      <c r="CI279" s="455">
        <v>0.6</v>
      </c>
      <c r="CJ279" s="318">
        <f t="shared" si="229"/>
        <v>0.6</v>
      </c>
      <c r="CK279" s="1258">
        <v>0.2</v>
      </c>
      <c r="CL279" s="301">
        <f t="shared" si="230"/>
        <v>0.39999999999999997</v>
      </c>
      <c r="CM279" s="381">
        <f t="shared" si="231"/>
        <v>0.2</v>
      </c>
      <c r="CN279" s="381">
        <f t="shared" si="232"/>
        <v>33.333333333333336</v>
      </c>
      <c r="CO279" s="316">
        <f t="shared" si="247"/>
        <v>33.333333333333336</v>
      </c>
      <c r="CP279" s="381">
        <f t="shared" si="248"/>
        <v>3.3000000000000002E-2</v>
      </c>
      <c r="CQ279" s="381">
        <f t="shared" si="249"/>
        <v>3.3000000000000002E-2</v>
      </c>
      <c r="CR279" s="313">
        <v>900000000</v>
      </c>
      <c r="CS279" s="313">
        <v>150000000</v>
      </c>
      <c r="CT279" s="313">
        <v>0</v>
      </c>
      <c r="CU279" s="313">
        <v>0</v>
      </c>
      <c r="CV279" s="313">
        <v>0</v>
      </c>
      <c r="CW279" s="313">
        <v>0</v>
      </c>
      <c r="CX279" s="313">
        <v>0</v>
      </c>
      <c r="CY279" s="313">
        <v>750000000</v>
      </c>
      <c r="CZ279" s="380">
        <v>0</v>
      </c>
      <c r="DA279" s="380">
        <v>0</v>
      </c>
      <c r="DB279" s="380">
        <v>0</v>
      </c>
      <c r="DC279" s="380">
        <v>0</v>
      </c>
      <c r="DD279" s="380">
        <v>0</v>
      </c>
      <c r="DE279" s="380">
        <v>0</v>
      </c>
      <c r="DF279" s="380">
        <v>0</v>
      </c>
      <c r="DG279" s="380">
        <v>0</v>
      </c>
      <c r="DH279" s="380">
        <v>0</v>
      </c>
      <c r="DI279" s="380">
        <v>0</v>
      </c>
      <c r="DJ279" s="380">
        <v>0</v>
      </c>
      <c r="DK279" s="702">
        <f t="shared" si="233"/>
        <v>0.96</v>
      </c>
      <c r="DL279" s="311">
        <f t="shared" si="250"/>
        <v>0.16500000000000001</v>
      </c>
      <c r="DM279" s="310">
        <f t="shared" si="251"/>
        <v>96</v>
      </c>
      <c r="DN279" s="356">
        <f t="shared" si="252"/>
        <v>96</v>
      </c>
      <c r="DO279" s="308">
        <f t="shared" si="253"/>
        <v>0.15839999999999999</v>
      </c>
      <c r="DP279" s="359">
        <f t="shared" ref="DP279:DP288" si="261">+IF(((DN279*Q279)/100)&lt;Q279, ((DN279*Q279)/100),Q279)</f>
        <v>0.15839999999999999</v>
      </c>
      <c r="DQ279" s="306">
        <f t="shared" si="254"/>
        <v>0.15839999999999999</v>
      </c>
      <c r="DR279" s="379">
        <f t="shared" si="255"/>
        <v>1</v>
      </c>
      <c r="DS279" s="378">
        <f t="shared" si="256"/>
        <v>0</v>
      </c>
      <c r="DT279" s="173">
        <v>257</v>
      </c>
      <c r="DU279" s="174" t="s">
        <v>118</v>
      </c>
      <c r="DV279" s="173"/>
      <c r="DW279" s="174" t="s">
        <v>84</v>
      </c>
      <c r="DX279" s="173"/>
      <c r="DY279" s="173"/>
      <c r="DZ279" s="173"/>
      <c r="EA279" s="665"/>
      <c r="EB279" s="1254" t="s">
        <v>2396</v>
      </c>
      <c r="EC279" s="537">
        <v>350000000</v>
      </c>
      <c r="EE279" s="734">
        <v>50</v>
      </c>
      <c r="EF279" s="706"/>
    </row>
    <row r="280" spans="4:136" s="302" customFormat="1" ht="89.25" hidden="1">
      <c r="D280" s="520">
        <v>277</v>
      </c>
      <c r="E280" s="534">
        <v>325</v>
      </c>
      <c r="F280" s="336" t="s">
        <v>43</v>
      </c>
      <c r="G280" s="336" t="s">
        <v>9</v>
      </c>
      <c r="H280" s="336" t="s">
        <v>2659</v>
      </c>
      <c r="I280" s="336" t="s">
        <v>623</v>
      </c>
      <c r="J280" s="335" t="s">
        <v>1280</v>
      </c>
      <c r="K280" s="335" t="s">
        <v>713</v>
      </c>
      <c r="L280" s="454" t="s">
        <v>1791</v>
      </c>
      <c r="M280" s="334" t="s">
        <v>1771</v>
      </c>
      <c r="N280" s="334">
        <v>0</v>
      </c>
      <c r="O280" s="333">
        <f t="shared" si="260"/>
        <v>3</v>
      </c>
      <c r="P280" s="332">
        <v>3</v>
      </c>
      <c r="Q280" s="393">
        <v>0.16500000000000001</v>
      </c>
      <c r="R280" s="342">
        <f t="shared" si="234"/>
        <v>0</v>
      </c>
      <c r="S280" s="389">
        <v>0</v>
      </c>
      <c r="T280" s="387">
        <f t="shared" si="220"/>
        <v>0</v>
      </c>
      <c r="U280" s="670">
        <v>0</v>
      </c>
      <c r="V280" s="388">
        <f t="shared" si="221"/>
        <v>0</v>
      </c>
      <c r="W280" s="356">
        <f t="shared" si="222"/>
        <v>0</v>
      </c>
      <c r="X280" s="356">
        <f t="shared" si="235"/>
        <v>0</v>
      </c>
      <c r="Y280" s="356">
        <f t="shared" si="259"/>
        <v>0</v>
      </c>
      <c r="Z280" s="356">
        <f t="shared" si="236"/>
        <v>0</v>
      </c>
      <c r="AA280" s="355">
        <v>0</v>
      </c>
      <c r="AB280" s="355">
        <v>0</v>
      </c>
      <c r="AC280" s="355">
        <v>0</v>
      </c>
      <c r="AD280" s="355">
        <v>0</v>
      </c>
      <c r="AE280" s="355">
        <v>0</v>
      </c>
      <c r="AF280" s="355">
        <v>0</v>
      </c>
      <c r="AG280" s="355">
        <v>0</v>
      </c>
      <c r="AH280" s="355">
        <v>0</v>
      </c>
      <c r="AI280" s="355">
        <v>0</v>
      </c>
      <c r="AJ280" s="355">
        <v>0</v>
      </c>
      <c r="AK280" s="355">
        <v>0</v>
      </c>
      <c r="AL280" s="355">
        <v>0</v>
      </c>
      <c r="AM280" s="355">
        <v>0</v>
      </c>
      <c r="AN280" s="355">
        <v>0</v>
      </c>
      <c r="AO280" s="355">
        <v>0</v>
      </c>
      <c r="AP280" s="355">
        <v>0</v>
      </c>
      <c r="AQ280" s="355">
        <v>0</v>
      </c>
      <c r="AR280" s="355">
        <v>0</v>
      </c>
      <c r="AS280" s="355">
        <v>0</v>
      </c>
      <c r="AT280" s="392">
        <f t="shared" si="237"/>
        <v>5.5E-2</v>
      </c>
      <c r="AU280" s="334">
        <v>1</v>
      </c>
      <c r="AV280" s="387">
        <f t="shared" si="223"/>
        <v>0.33333333333333331</v>
      </c>
      <c r="AW280" s="677">
        <v>1</v>
      </c>
      <c r="AX280" s="366">
        <f t="shared" si="224"/>
        <v>1</v>
      </c>
      <c r="AY280" s="366">
        <f t="shared" si="225"/>
        <v>100</v>
      </c>
      <c r="AZ280" s="366">
        <f t="shared" si="238"/>
        <v>100</v>
      </c>
      <c r="BA280" s="354">
        <f t="shared" si="239"/>
        <v>5.5E-2</v>
      </c>
      <c r="BB280" s="354">
        <f t="shared" si="240"/>
        <v>100</v>
      </c>
      <c r="BC280" s="353">
        <v>0</v>
      </c>
      <c r="BD280" s="353">
        <v>0</v>
      </c>
      <c r="BE280" s="353">
        <v>0</v>
      </c>
      <c r="BF280" s="353">
        <v>0</v>
      </c>
      <c r="BG280" s="353">
        <v>0</v>
      </c>
      <c r="BH280" s="353">
        <v>0</v>
      </c>
      <c r="BI280" s="353">
        <v>0</v>
      </c>
      <c r="BJ280" s="353">
        <v>0</v>
      </c>
      <c r="BK280" s="452">
        <v>0</v>
      </c>
      <c r="BL280" s="351">
        <v>0</v>
      </c>
      <c r="BM280" s="351">
        <v>0</v>
      </c>
      <c r="BN280" s="351">
        <v>0</v>
      </c>
      <c r="BO280" s="351">
        <v>0</v>
      </c>
      <c r="BP280" s="351">
        <v>0</v>
      </c>
      <c r="BQ280" s="351">
        <v>0</v>
      </c>
      <c r="BR280" s="351">
        <v>0</v>
      </c>
      <c r="BS280" s="351">
        <v>0</v>
      </c>
      <c r="BT280" s="351">
        <v>0</v>
      </c>
      <c r="BU280" s="351">
        <v>0</v>
      </c>
      <c r="BV280" s="350">
        <f t="shared" si="241"/>
        <v>5.5E-2</v>
      </c>
      <c r="BW280" s="350">
        <v>1</v>
      </c>
      <c r="BX280" s="385">
        <f t="shared" si="226"/>
        <v>0.33333333333333331</v>
      </c>
      <c r="BY280" s="369">
        <v>3</v>
      </c>
      <c r="BZ280" s="391">
        <v>1</v>
      </c>
      <c r="CA280" s="689">
        <v>2</v>
      </c>
      <c r="CB280" s="324">
        <f t="shared" si="227"/>
        <v>2</v>
      </c>
      <c r="CC280" s="324">
        <f t="shared" si="228"/>
        <v>200</v>
      </c>
      <c r="CD280" s="384">
        <f t="shared" si="242"/>
        <v>100</v>
      </c>
      <c r="CE280" s="383">
        <f t="shared" si="243"/>
        <v>5.5E-2</v>
      </c>
      <c r="CF280" s="367">
        <f t="shared" si="244"/>
        <v>100</v>
      </c>
      <c r="CG280" s="383">
        <f t="shared" si="245"/>
        <v>0.11</v>
      </c>
      <c r="CH280" s="320">
        <f t="shared" si="246"/>
        <v>5.5E-2</v>
      </c>
      <c r="CI280" s="319">
        <v>1</v>
      </c>
      <c r="CJ280" s="318">
        <f t="shared" si="229"/>
        <v>0.33333333333333331</v>
      </c>
      <c r="CK280" s="1259">
        <v>1</v>
      </c>
      <c r="CL280" s="301">
        <f t="shared" si="230"/>
        <v>0</v>
      </c>
      <c r="CM280" s="381">
        <f t="shared" si="231"/>
        <v>1</v>
      </c>
      <c r="CN280" s="381">
        <f t="shared" si="232"/>
        <v>100</v>
      </c>
      <c r="CO280" s="316">
        <f t="shared" si="247"/>
        <v>100</v>
      </c>
      <c r="CP280" s="381">
        <f t="shared" si="248"/>
        <v>5.5E-2</v>
      </c>
      <c r="CQ280" s="381">
        <f t="shared" si="249"/>
        <v>5.5E-2</v>
      </c>
      <c r="CR280" s="313">
        <v>0</v>
      </c>
      <c r="CS280" s="313">
        <v>0</v>
      </c>
      <c r="CT280" s="313">
        <v>0</v>
      </c>
      <c r="CU280" s="313">
        <v>0</v>
      </c>
      <c r="CV280" s="313">
        <v>0</v>
      </c>
      <c r="CW280" s="313">
        <v>0</v>
      </c>
      <c r="CX280" s="313">
        <v>0</v>
      </c>
      <c r="CY280" s="313">
        <v>0</v>
      </c>
      <c r="CZ280" s="380">
        <v>0</v>
      </c>
      <c r="DA280" s="380">
        <v>0</v>
      </c>
      <c r="DB280" s="380">
        <v>0</v>
      </c>
      <c r="DC280" s="380">
        <v>0</v>
      </c>
      <c r="DD280" s="380">
        <v>0</v>
      </c>
      <c r="DE280" s="380">
        <v>0</v>
      </c>
      <c r="DF280" s="380">
        <v>0</v>
      </c>
      <c r="DG280" s="380">
        <v>0</v>
      </c>
      <c r="DH280" s="380">
        <v>0</v>
      </c>
      <c r="DI280" s="380">
        <v>0</v>
      </c>
      <c r="DJ280" s="380">
        <v>0</v>
      </c>
      <c r="DK280" s="702">
        <f t="shared" si="233"/>
        <v>4</v>
      </c>
      <c r="DL280" s="311">
        <f t="shared" si="250"/>
        <v>0.16500000000000001</v>
      </c>
      <c r="DM280" s="310">
        <f t="shared" si="251"/>
        <v>133.33333333333334</v>
      </c>
      <c r="DN280" s="356">
        <f t="shared" si="252"/>
        <v>100</v>
      </c>
      <c r="DO280" s="308">
        <f t="shared" si="253"/>
        <v>0.16500000000000001</v>
      </c>
      <c r="DP280" s="359">
        <f t="shared" si="261"/>
        <v>0.16500000000000001</v>
      </c>
      <c r="DQ280" s="306">
        <f t="shared" si="254"/>
        <v>0.16500000000000001</v>
      </c>
      <c r="DR280" s="379">
        <f t="shared" si="255"/>
        <v>1</v>
      </c>
      <c r="DS280" s="378">
        <f t="shared" si="256"/>
        <v>0</v>
      </c>
      <c r="DT280" s="173">
        <v>269</v>
      </c>
      <c r="DU280" s="174" t="s">
        <v>117</v>
      </c>
      <c r="DV280" s="173"/>
      <c r="DW280" s="174" t="s">
        <v>84</v>
      </c>
      <c r="DX280" s="173"/>
      <c r="DY280" s="173"/>
      <c r="DZ280" s="173"/>
      <c r="EA280" s="665"/>
      <c r="EB280" s="1254" t="s">
        <v>2114</v>
      </c>
      <c r="EC280" s="537">
        <v>853000000</v>
      </c>
      <c r="EE280" s="734">
        <v>1</v>
      </c>
      <c r="EF280" s="706"/>
    </row>
    <row r="281" spans="4:136" s="302" customFormat="1" ht="38.25" hidden="1">
      <c r="D281" s="520">
        <v>278</v>
      </c>
      <c r="E281" s="534">
        <v>326</v>
      </c>
      <c r="F281" s="523" t="s">
        <v>43</v>
      </c>
      <c r="G281" s="479" t="s">
        <v>9</v>
      </c>
      <c r="H281" s="526" t="s">
        <v>2659</v>
      </c>
      <c r="I281" s="462" t="s">
        <v>623</v>
      </c>
      <c r="J281" s="335" t="s">
        <v>714</v>
      </c>
      <c r="K281" s="335" t="s">
        <v>715</v>
      </c>
      <c r="L281" s="453" t="s">
        <v>1946</v>
      </c>
      <c r="M281" s="334" t="s">
        <v>1771</v>
      </c>
      <c r="N281" s="334">
        <v>0</v>
      </c>
      <c r="O281" s="333">
        <f t="shared" si="260"/>
        <v>4</v>
      </c>
      <c r="P281" s="332">
        <v>4</v>
      </c>
      <c r="Q281" s="390">
        <v>8.8999999999999996E-2</v>
      </c>
      <c r="R281" s="342">
        <f t="shared" si="234"/>
        <v>2.2249999999999999E-2</v>
      </c>
      <c r="S281" s="389">
        <v>1</v>
      </c>
      <c r="T281" s="387">
        <f t="shared" si="220"/>
        <v>0.25</v>
      </c>
      <c r="U281" s="670">
        <v>0</v>
      </c>
      <c r="V281" s="388">
        <f t="shared" si="221"/>
        <v>0</v>
      </c>
      <c r="W281" s="356">
        <f t="shared" si="222"/>
        <v>0</v>
      </c>
      <c r="X281" s="356">
        <f t="shared" si="235"/>
        <v>0</v>
      </c>
      <c r="Y281" s="356">
        <f t="shared" si="259"/>
        <v>0</v>
      </c>
      <c r="Z281" s="356">
        <f t="shared" si="236"/>
        <v>0</v>
      </c>
      <c r="AA281" s="355">
        <v>0</v>
      </c>
      <c r="AB281" s="355">
        <v>0</v>
      </c>
      <c r="AC281" s="355">
        <v>0</v>
      </c>
      <c r="AD281" s="355">
        <v>0</v>
      </c>
      <c r="AE281" s="355">
        <v>0</v>
      </c>
      <c r="AF281" s="355">
        <v>0</v>
      </c>
      <c r="AG281" s="355">
        <v>0</v>
      </c>
      <c r="AH281" s="355">
        <v>0</v>
      </c>
      <c r="AI281" s="355">
        <v>0</v>
      </c>
      <c r="AJ281" s="355">
        <v>0</v>
      </c>
      <c r="AK281" s="355">
        <v>0</v>
      </c>
      <c r="AL281" s="355">
        <v>0</v>
      </c>
      <c r="AM281" s="355">
        <v>0</v>
      </c>
      <c r="AN281" s="355">
        <v>0</v>
      </c>
      <c r="AO281" s="355">
        <v>0</v>
      </c>
      <c r="AP281" s="355">
        <v>0</v>
      </c>
      <c r="AQ281" s="355">
        <v>0</v>
      </c>
      <c r="AR281" s="355">
        <v>0</v>
      </c>
      <c r="AS281" s="355">
        <v>0</v>
      </c>
      <c r="AT281" s="333">
        <f t="shared" si="237"/>
        <v>2.2249999999999999E-2</v>
      </c>
      <c r="AU281" s="334">
        <v>1</v>
      </c>
      <c r="AV281" s="387">
        <f t="shared" si="223"/>
        <v>0.25</v>
      </c>
      <c r="AW281" s="677">
        <v>1</v>
      </c>
      <c r="AX281" s="366">
        <f t="shared" si="224"/>
        <v>1</v>
      </c>
      <c r="AY281" s="366">
        <f t="shared" si="225"/>
        <v>100</v>
      </c>
      <c r="AZ281" s="366">
        <f t="shared" si="238"/>
        <v>100</v>
      </c>
      <c r="BA281" s="354">
        <f t="shared" si="239"/>
        <v>2.2250000000000002E-2</v>
      </c>
      <c r="BB281" s="354">
        <f t="shared" si="240"/>
        <v>100</v>
      </c>
      <c r="BC281" s="353">
        <v>0</v>
      </c>
      <c r="BD281" s="353">
        <v>0</v>
      </c>
      <c r="BE281" s="353">
        <v>0</v>
      </c>
      <c r="BF281" s="353">
        <v>0</v>
      </c>
      <c r="BG281" s="353">
        <v>0</v>
      </c>
      <c r="BH281" s="353">
        <v>0</v>
      </c>
      <c r="BI281" s="353">
        <v>0</v>
      </c>
      <c r="BJ281" s="353">
        <v>0</v>
      </c>
      <c r="BK281" s="452">
        <v>0</v>
      </c>
      <c r="BL281" s="351">
        <v>0</v>
      </c>
      <c r="BM281" s="351">
        <v>0</v>
      </c>
      <c r="BN281" s="351">
        <v>0</v>
      </c>
      <c r="BO281" s="351">
        <v>0</v>
      </c>
      <c r="BP281" s="351">
        <v>0</v>
      </c>
      <c r="BQ281" s="351">
        <v>0</v>
      </c>
      <c r="BR281" s="351">
        <v>0</v>
      </c>
      <c r="BS281" s="351">
        <v>0</v>
      </c>
      <c r="BT281" s="351">
        <v>0</v>
      </c>
      <c r="BU281" s="351">
        <v>0</v>
      </c>
      <c r="BV281" s="350">
        <f t="shared" si="241"/>
        <v>2.2249999999999999E-2</v>
      </c>
      <c r="BW281" s="350">
        <v>1</v>
      </c>
      <c r="BX281" s="385">
        <f t="shared" si="226"/>
        <v>0.25</v>
      </c>
      <c r="BY281" s="369">
        <v>1</v>
      </c>
      <c r="BZ281" s="391">
        <v>1</v>
      </c>
      <c r="CA281" s="689">
        <v>1</v>
      </c>
      <c r="CB281" s="324">
        <f t="shared" si="227"/>
        <v>1</v>
      </c>
      <c r="CC281" s="324">
        <f t="shared" si="228"/>
        <v>100</v>
      </c>
      <c r="CD281" s="384">
        <f t="shared" si="242"/>
        <v>100</v>
      </c>
      <c r="CE281" s="383">
        <f t="shared" si="243"/>
        <v>2.2250000000000002E-2</v>
      </c>
      <c r="CF281" s="367">
        <f t="shared" si="244"/>
        <v>100</v>
      </c>
      <c r="CG281" s="383">
        <f t="shared" si="245"/>
        <v>2.2250000000000002E-2</v>
      </c>
      <c r="CH281" s="320">
        <f t="shared" si="246"/>
        <v>2.2249999999999999E-2</v>
      </c>
      <c r="CI281" s="319">
        <v>1</v>
      </c>
      <c r="CJ281" s="318">
        <f t="shared" si="229"/>
        <v>0.25</v>
      </c>
      <c r="CK281" s="1259">
        <v>2</v>
      </c>
      <c r="CL281" s="301">
        <f t="shared" si="230"/>
        <v>-1</v>
      </c>
      <c r="CM281" s="381">
        <f t="shared" si="231"/>
        <v>2</v>
      </c>
      <c r="CN281" s="381">
        <f t="shared" si="232"/>
        <v>200</v>
      </c>
      <c r="CO281" s="316">
        <f t="shared" si="247"/>
        <v>100</v>
      </c>
      <c r="CP281" s="381">
        <f t="shared" si="248"/>
        <v>2.2250000000000002E-2</v>
      </c>
      <c r="CQ281" s="381">
        <f t="shared" si="249"/>
        <v>4.4500000000000005E-2</v>
      </c>
      <c r="CR281" s="313">
        <v>0</v>
      </c>
      <c r="CS281" s="313">
        <v>0</v>
      </c>
      <c r="CT281" s="313">
        <v>0</v>
      </c>
      <c r="CU281" s="313">
        <v>0</v>
      </c>
      <c r="CV281" s="313">
        <v>0</v>
      </c>
      <c r="CW281" s="313">
        <v>0</v>
      </c>
      <c r="CX281" s="313">
        <v>0</v>
      </c>
      <c r="CY281" s="313">
        <v>0</v>
      </c>
      <c r="CZ281" s="380">
        <v>0</v>
      </c>
      <c r="DA281" s="380">
        <v>0</v>
      </c>
      <c r="DB281" s="380">
        <v>0</v>
      </c>
      <c r="DC281" s="380">
        <v>0</v>
      </c>
      <c r="DD281" s="380">
        <v>0</v>
      </c>
      <c r="DE281" s="380">
        <v>0</v>
      </c>
      <c r="DF281" s="380">
        <v>0</v>
      </c>
      <c r="DG281" s="380">
        <v>0</v>
      </c>
      <c r="DH281" s="380">
        <v>0</v>
      </c>
      <c r="DI281" s="380">
        <v>0</v>
      </c>
      <c r="DJ281" s="380">
        <v>0</v>
      </c>
      <c r="DK281" s="702">
        <f t="shared" si="233"/>
        <v>4</v>
      </c>
      <c r="DL281" s="311">
        <f t="shared" si="250"/>
        <v>8.8999999999999996E-2</v>
      </c>
      <c r="DM281" s="310">
        <f t="shared" si="251"/>
        <v>100</v>
      </c>
      <c r="DN281" s="356">
        <f t="shared" si="252"/>
        <v>100</v>
      </c>
      <c r="DO281" s="308">
        <f t="shared" si="253"/>
        <v>8.900000000000001E-2</v>
      </c>
      <c r="DP281" s="359">
        <f t="shared" si="261"/>
        <v>8.8999999999999996E-2</v>
      </c>
      <c r="DQ281" s="306">
        <f t="shared" si="254"/>
        <v>8.8999999999999996E-2</v>
      </c>
      <c r="DR281" s="379">
        <f t="shared" si="255"/>
        <v>1</v>
      </c>
      <c r="DS281" s="378">
        <f t="shared" si="256"/>
        <v>0</v>
      </c>
      <c r="DT281" s="173">
        <v>269</v>
      </c>
      <c r="DU281" s="174" t="s">
        <v>117</v>
      </c>
      <c r="DV281" s="173"/>
      <c r="DW281" s="174" t="s">
        <v>84</v>
      </c>
      <c r="DX281" s="173"/>
      <c r="DY281" s="173"/>
      <c r="DZ281" s="173"/>
      <c r="EA281" s="665"/>
      <c r="EB281" s="1254" t="s">
        <v>2115</v>
      </c>
      <c r="EC281" s="537">
        <v>0</v>
      </c>
      <c r="EE281" s="733">
        <v>0</v>
      </c>
      <c r="EF281" s="706"/>
    </row>
    <row r="282" spans="4:136" s="302" customFormat="1" ht="96">
      <c r="D282" s="520">
        <v>279</v>
      </c>
      <c r="E282" s="534">
        <v>328</v>
      </c>
      <c r="F282" s="479" t="s">
        <v>44</v>
      </c>
      <c r="G282" s="479" t="s">
        <v>19</v>
      </c>
      <c r="H282" s="479" t="s">
        <v>2661</v>
      </c>
      <c r="I282" s="435" t="s">
        <v>716</v>
      </c>
      <c r="J282" s="335" t="s">
        <v>717</v>
      </c>
      <c r="K282" s="335" t="s">
        <v>718</v>
      </c>
      <c r="L282" s="447" t="s">
        <v>1768</v>
      </c>
      <c r="M282" s="334" t="s">
        <v>1771</v>
      </c>
      <c r="N282" s="334">
        <v>16</v>
      </c>
      <c r="O282" s="333">
        <f t="shared" si="260"/>
        <v>41</v>
      </c>
      <c r="P282" s="332">
        <v>25</v>
      </c>
      <c r="Q282" s="390">
        <v>0.25</v>
      </c>
      <c r="R282" s="342">
        <f t="shared" si="234"/>
        <v>0</v>
      </c>
      <c r="S282" s="389">
        <v>0</v>
      </c>
      <c r="T282" s="387">
        <f t="shared" si="220"/>
        <v>0</v>
      </c>
      <c r="U282" s="670">
        <v>0</v>
      </c>
      <c r="V282" s="388">
        <f t="shared" si="221"/>
        <v>0</v>
      </c>
      <c r="W282" s="356">
        <f t="shared" si="222"/>
        <v>0</v>
      </c>
      <c r="X282" s="356">
        <f t="shared" si="235"/>
        <v>0</v>
      </c>
      <c r="Y282" s="356">
        <f t="shared" si="259"/>
        <v>0</v>
      </c>
      <c r="Z282" s="356">
        <f t="shared" si="236"/>
        <v>0</v>
      </c>
      <c r="AA282" s="355">
        <v>0</v>
      </c>
      <c r="AB282" s="355">
        <v>0</v>
      </c>
      <c r="AC282" s="355">
        <v>0</v>
      </c>
      <c r="AD282" s="355">
        <v>0</v>
      </c>
      <c r="AE282" s="355">
        <v>0</v>
      </c>
      <c r="AF282" s="355">
        <v>0</v>
      </c>
      <c r="AG282" s="355">
        <v>0</v>
      </c>
      <c r="AH282" s="355">
        <v>0</v>
      </c>
      <c r="AI282" s="355">
        <v>0</v>
      </c>
      <c r="AJ282" s="355">
        <v>0</v>
      </c>
      <c r="AK282" s="355">
        <v>0</v>
      </c>
      <c r="AL282" s="355">
        <v>0</v>
      </c>
      <c r="AM282" s="355">
        <v>0</v>
      </c>
      <c r="AN282" s="355">
        <v>0</v>
      </c>
      <c r="AO282" s="355">
        <v>0</v>
      </c>
      <c r="AP282" s="355">
        <v>0</v>
      </c>
      <c r="AQ282" s="355">
        <v>0</v>
      </c>
      <c r="AR282" s="355">
        <v>0</v>
      </c>
      <c r="AS282" s="355">
        <v>0</v>
      </c>
      <c r="AT282" s="333">
        <f t="shared" si="237"/>
        <v>0.05</v>
      </c>
      <c r="AU282" s="334">
        <v>5</v>
      </c>
      <c r="AV282" s="387">
        <f t="shared" si="223"/>
        <v>0.2</v>
      </c>
      <c r="AW282" s="677">
        <v>7</v>
      </c>
      <c r="AX282" s="366">
        <f t="shared" si="224"/>
        <v>7</v>
      </c>
      <c r="AY282" s="366">
        <f t="shared" si="225"/>
        <v>140</v>
      </c>
      <c r="AZ282" s="366">
        <f t="shared" si="238"/>
        <v>100</v>
      </c>
      <c r="BA282" s="354">
        <f t="shared" si="239"/>
        <v>0.05</v>
      </c>
      <c r="BB282" s="354">
        <f t="shared" si="240"/>
        <v>100</v>
      </c>
      <c r="BC282" s="353">
        <v>749000000</v>
      </c>
      <c r="BD282" s="353">
        <v>0</v>
      </c>
      <c r="BE282" s="353">
        <v>618000000</v>
      </c>
      <c r="BF282" s="353">
        <v>0</v>
      </c>
      <c r="BG282" s="353">
        <v>0</v>
      </c>
      <c r="BH282" s="353">
        <v>0</v>
      </c>
      <c r="BI282" s="353">
        <v>0</v>
      </c>
      <c r="BJ282" s="353">
        <v>131000000</v>
      </c>
      <c r="BK282" s="386">
        <v>2869940500</v>
      </c>
      <c r="BL282" s="351">
        <v>2869940500</v>
      </c>
      <c r="BM282" s="351">
        <v>0</v>
      </c>
      <c r="BN282" s="351">
        <v>0</v>
      </c>
      <c r="BO282" s="351">
        <v>0</v>
      </c>
      <c r="BP282" s="351">
        <v>0</v>
      </c>
      <c r="BQ282" s="351">
        <v>0</v>
      </c>
      <c r="BR282" s="351">
        <v>0</v>
      </c>
      <c r="BS282" s="351">
        <v>0</v>
      </c>
      <c r="BT282" s="351">
        <v>8468844586</v>
      </c>
      <c r="BU282" s="351" t="s">
        <v>1945</v>
      </c>
      <c r="BV282" s="350">
        <f t="shared" si="241"/>
        <v>0.08</v>
      </c>
      <c r="BW282" s="350">
        <v>8</v>
      </c>
      <c r="BX282" s="385">
        <f t="shared" si="226"/>
        <v>0.32</v>
      </c>
      <c r="BY282" s="349">
        <v>11</v>
      </c>
      <c r="BZ282" s="348">
        <v>0</v>
      </c>
      <c r="CA282" s="742">
        <v>8</v>
      </c>
      <c r="CB282" s="324">
        <f t="shared" si="227"/>
        <v>8</v>
      </c>
      <c r="CC282" s="324">
        <f t="shared" si="228"/>
        <v>100</v>
      </c>
      <c r="CD282" s="384">
        <f t="shared" si="242"/>
        <v>100</v>
      </c>
      <c r="CE282" s="383">
        <f t="shared" si="243"/>
        <v>0.08</v>
      </c>
      <c r="CF282" s="367">
        <f t="shared" si="244"/>
        <v>100</v>
      </c>
      <c r="CG282" s="383">
        <f t="shared" si="245"/>
        <v>0.08</v>
      </c>
      <c r="CH282" s="320">
        <f t="shared" si="246"/>
        <v>0.12</v>
      </c>
      <c r="CI282" s="319">
        <v>12</v>
      </c>
      <c r="CJ282" s="318">
        <f t="shared" si="229"/>
        <v>0.48</v>
      </c>
      <c r="CK282" s="1259">
        <v>40</v>
      </c>
      <c r="CL282" s="301">
        <f t="shared" si="230"/>
        <v>-28</v>
      </c>
      <c r="CM282" s="381">
        <f t="shared" si="231"/>
        <v>40</v>
      </c>
      <c r="CN282" s="381">
        <f t="shared" si="232"/>
        <v>333.33333333333331</v>
      </c>
      <c r="CO282" s="316">
        <f t="shared" si="247"/>
        <v>100</v>
      </c>
      <c r="CP282" s="381">
        <f t="shared" si="248"/>
        <v>0.12</v>
      </c>
      <c r="CQ282" s="381">
        <f t="shared" si="249"/>
        <v>0.39999999999999991</v>
      </c>
      <c r="CR282" s="313">
        <v>1559000000</v>
      </c>
      <c r="CS282" s="313">
        <v>1426000000</v>
      </c>
      <c r="CT282" s="313">
        <v>0</v>
      </c>
      <c r="CU282" s="313">
        <v>0</v>
      </c>
      <c r="CV282" s="313">
        <v>0</v>
      </c>
      <c r="CW282" s="313">
        <v>0</v>
      </c>
      <c r="CX282" s="313">
        <v>0</v>
      </c>
      <c r="CY282" s="313">
        <v>133000000</v>
      </c>
      <c r="CZ282" s="380">
        <v>0</v>
      </c>
      <c r="DA282" s="380">
        <v>0</v>
      </c>
      <c r="DB282" s="380">
        <v>0</v>
      </c>
      <c r="DC282" s="380">
        <v>0</v>
      </c>
      <c r="DD282" s="380">
        <v>0</v>
      </c>
      <c r="DE282" s="380">
        <v>0</v>
      </c>
      <c r="DF282" s="380">
        <v>0</v>
      </c>
      <c r="DG282" s="380">
        <v>0</v>
      </c>
      <c r="DH282" s="380">
        <v>0</v>
      </c>
      <c r="DI282" s="380">
        <v>0</v>
      </c>
      <c r="DJ282" s="380">
        <v>0</v>
      </c>
      <c r="DK282" s="702">
        <f t="shared" si="233"/>
        <v>55</v>
      </c>
      <c r="DL282" s="311">
        <f t="shared" si="250"/>
        <v>0.25</v>
      </c>
      <c r="DM282" s="310">
        <f t="shared" si="251"/>
        <v>220</v>
      </c>
      <c r="DN282" s="356">
        <f t="shared" si="252"/>
        <v>100</v>
      </c>
      <c r="DO282" s="308">
        <f t="shared" si="253"/>
        <v>0.25</v>
      </c>
      <c r="DP282" s="359">
        <f t="shared" si="261"/>
        <v>0.25</v>
      </c>
      <c r="DQ282" s="306">
        <f t="shared" si="254"/>
        <v>0.25</v>
      </c>
      <c r="DR282" s="379">
        <f t="shared" si="255"/>
        <v>1</v>
      </c>
      <c r="DS282" s="378">
        <f t="shared" si="256"/>
        <v>0</v>
      </c>
      <c r="DT282" s="173">
        <v>327</v>
      </c>
      <c r="DU282" s="174" t="s">
        <v>116</v>
      </c>
      <c r="DV282" s="173"/>
      <c r="DW282" s="174" t="s">
        <v>84</v>
      </c>
      <c r="DX282" s="173"/>
      <c r="DY282" s="173"/>
      <c r="DZ282" s="173"/>
      <c r="EA282" s="665"/>
      <c r="EB282" s="1254" t="s">
        <v>3187</v>
      </c>
      <c r="EC282" s="537">
        <v>90000000</v>
      </c>
      <c r="EE282" s="734">
        <v>10</v>
      </c>
      <c r="EF282" s="706"/>
    </row>
    <row r="283" spans="4:136" s="302" customFormat="1" ht="76.5">
      <c r="D283" s="520">
        <v>280</v>
      </c>
      <c r="E283" s="534">
        <v>329</v>
      </c>
      <c r="F283" s="479" t="s">
        <v>44</v>
      </c>
      <c r="G283" s="479" t="s">
        <v>19</v>
      </c>
      <c r="H283" s="479" t="s">
        <v>2661</v>
      </c>
      <c r="I283" s="435" t="s">
        <v>716</v>
      </c>
      <c r="J283" s="335" t="s">
        <v>719</v>
      </c>
      <c r="K283" s="335" t="s">
        <v>720</v>
      </c>
      <c r="L283" s="447" t="s">
        <v>1523</v>
      </c>
      <c r="M283" s="334" t="s">
        <v>1771</v>
      </c>
      <c r="N283" s="334">
        <v>0</v>
      </c>
      <c r="O283" s="333">
        <f t="shared" si="260"/>
        <v>50</v>
      </c>
      <c r="P283" s="332">
        <v>50</v>
      </c>
      <c r="Q283" s="390">
        <v>0.16500000000000001</v>
      </c>
      <c r="R283" s="342">
        <f t="shared" si="234"/>
        <v>0.1353</v>
      </c>
      <c r="S283" s="389">
        <v>41</v>
      </c>
      <c r="T283" s="387">
        <f t="shared" si="220"/>
        <v>0.82</v>
      </c>
      <c r="U283" s="670">
        <v>41</v>
      </c>
      <c r="V283" s="388">
        <f t="shared" si="221"/>
        <v>41</v>
      </c>
      <c r="W283" s="356">
        <f t="shared" si="222"/>
        <v>100</v>
      </c>
      <c r="X283" s="356">
        <f t="shared" si="235"/>
        <v>100</v>
      </c>
      <c r="Y283" s="356">
        <f t="shared" si="259"/>
        <v>0.1353</v>
      </c>
      <c r="Z283" s="356">
        <f t="shared" si="236"/>
        <v>100</v>
      </c>
      <c r="AA283" s="355">
        <v>0</v>
      </c>
      <c r="AB283" s="355">
        <v>0</v>
      </c>
      <c r="AC283" s="355">
        <v>0</v>
      </c>
      <c r="AD283" s="355">
        <v>0</v>
      </c>
      <c r="AE283" s="355">
        <v>0</v>
      </c>
      <c r="AF283" s="355">
        <v>0</v>
      </c>
      <c r="AG283" s="355">
        <v>0</v>
      </c>
      <c r="AH283" s="355">
        <v>0</v>
      </c>
      <c r="AI283" s="355">
        <v>0</v>
      </c>
      <c r="AJ283" s="355">
        <v>0</v>
      </c>
      <c r="AK283" s="355">
        <v>0</v>
      </c>
      <c r="AL283" s="355">
        <v>0</v>
      </c>
      <c r="AM283" s="355">
        <v>0</v>
      </c>
      <c r="AN283" s="355">
        <v>0</v>
      </c>
      <c r="AO283" s="355">
        <v>0</v>
      </c>
      <c r="AP283" s="355">
        <v>0</v>
      </c>
      <c r="AQ283" s="355">
        <v>0</v>
      </c>
      <c r="AR283" s="355">
        <v>0</v>
      </c>
      <c r="AS283" s="355">
        <v>0</v>
      </c>
      <c r="AT283" s="333">
        <f t="shared" si="237"/>
        <v>2.9700000000000001E-2</v>
      </c>
      <c r="AU283" s="334">
        <v>9</v>
      </c>
      <c r="AV283" s="387">
        <f t="shared" si="223"/>
        <v>0.18</v>
      </c>
      <c r="AW283" s="677">
        <v>9</v>
      </c>
      <c r="AX283" s="366">
        <f t="shared" si="224"/>
        <v>9</v>
      </c>
      <c r="AY283" s="366">
        <f t="shared" si="225"/>
        <v>100</v>
      </c>
      <c r="AZ283" s="366">
        <f t="shared" si="238"/>
        <v>100</v>
      </c>
      <c r="BA283" s="354">
        <f t="shared" si="239"/>
        <v>2.9700000000000001E-2</v>
      </c>
      <c r="BB283" s="354">
        <f t="shared" si="240"/>
        <v>100</v>
      </c>
      <c r="BC283" s="353">
        <v>0</v>
      </c>
      <c r="BD283" s="353">
        <v>0</v>
      </c>
      <c r="BE283" s="353">
        <v>0</v>
      </c>
      <c r="BF283" s="353">
        <v>0</v>
      </c>
      <c r="BG283" s="353">
        <v>0</v>
      </c>
      <c r="BH283" s="353">
        <v>0</v>
      </c>
      <c r="BI283" s="353">
        <v>0</v>
      </c>
      <c r="BJ283" s="353">
        <v>0</v>
      </c>
      <c r="BK283" s="386">
        <v>0</v>
      </c>
      <c r="BL283" s="351">
        <v>0</v>
      </c>
      <c r="BM283" s="351">
        <v>0</v>
      </c>
      <c r="BN283" s="351">
        <v>0</v>
      </c>
      <c r="BO283" s="351">
        <v>0</v>
      </c>
      <c r="BP283" s="351">
        <v>0</v>
      </c>
      <c r="BQ283" s="351">
        <v>0</v>
      </c>
      <c r="BR283" s="351">
        <v>0</v>
      </c>
      <c r="BS283" s="351">
        <v>0</v>
      </c>
      <c r="BT283" s="351">
        <v>0</v>
      </c>
      <c r="BU283" s="351">
        <v>0</v>
      </c>
      <c r="BV283" s="350">
        <f t="shared" si="241"/>
        <v>0</v>
      </c>
      <c r="BW283" s="350">
        <v>0</v>
      </c>
      <c r="BX283" s="385">
        <f t="shared" si="226"/>
        <v>0</v>
      </c>
      <c r="BY283" s="395">
        <v>0</v>
      </c>
      <c r="BZ283" s="394">
        <v>0</v>
      </c>
      <c r="CA283" s="691">
        <v>0</v>
      </c>
      <c r="CB283" s="324">
        <f t="shared" si="227"/>
        <v>0</v>
      </c>
      <c r="CC283" s="324">
        <f t="shared" si="228"/>
        <v>0</v>
      </c>
      <c r="CD283" s="384">
        <f t="shared" si="242"/>
        <v>0</v>
      </c>
      <c r="CE283" s="383">
        <f t="shared" si="243"/>
        <v>0</v>
      </c>
      <c r="CF283" s="367">
        <f t="shared" si="244"/>
        <v>0</v>
      </c>
      <c r="CG283" s="383">
        <f t="shared" si="245"/>
        <v>0</v>
      </c>
      <c r="CH283" s="320">
        <f t="shared" si="246"/>
        <v>0</v>
      </c>
      <c r="CI283" s="319">
        <v>0</v>
      </c>
      <c r="CJ283" s="318">
        <f t="shared" si="229"/>
        <v>0</v>
      </c>
      <c r="CK283" s="1258">
        <v>0</v>
      </c>
      <c r="CL283" s="301">
        <f t="shared" si="230"/>
        <v>0</v>
      </c>
      <c r="CM283" s="381">
        <f t="shared" si="231"/>
        <v>0</v>
      </c>
      <c r="CN283" s="381">
        <f t="shared" si="232"/>
        <v>0</v>
      </c>
      <c r="CO283" s="316">
        <f t="shared" si="247"/>
        <v>0</v>
      </c>
      <c r="CP283" s="381">
        <f t="shared" si="248"/>
        <v>0</v>
      </c>
      <c r="CQ283" s="381">
        <f t="shared" si="249"/>
        <v>0</v>
      </c>
      <c r="CR283" s="313">
        <v>0</v>
      </c>
      <c r="CS283" s="313">
        <v>0</v>
      </c>
      <c r="CT283" s="313">
        <v>0</v>
      </c>
      <c r="CU283" s="313">
        <v>0</v>
      </c>
      <c r="CV283" s="313">
        <v>0</v>
      </c>
      <c r="CW283" s="313">
        <v>0</v>
      </c>
      <c r="CX283" s="313">
        <v>0</v>
      </c>
      <c r="CY283" s="313">
        <v>0</v>
      </c>
      <c r="CZ283" s="380">
        <v>0</v>
      </c>
      <c r="DA283" s="380">
        <v>0</v>
      </c>
      <c r="DB283" s="380">
        <v>0</v>
      </c>
      <c r="DC283" s="380">
        <v>0</v>
      </c>
      <c r="DD283" s="380">
        <v>0</v>
      </c>
      <c r="DE283" s="380">
        <v>0</v>
      </c>
      <c r="DF283" s="380">
        <v>0</v>
      </c>
      <c r="DG283" s="380">
        <v>0</v>
      </c>
      <c r="DH283" s="380">
        <v>0</v>
      </c>
      <c r="DI283" s="380">
        <v>0</v>
      </c>
      <c r="DJ283" s="380">
        <v>0</v>
      </c>
      <c r="DK283" s="702">
        <f t="shared" si="233"/>
        <v>50</v>
      </c>
      <c r="DL283" s="311">
        <f t="shared" si="250"/>
        <v>0.16500000000000001</v>
      </c>
      <c r="DM283" s="310">
        <f t="shared" si="251"/>
        <v>100</v>
      </c>
      <c r="DN283" s="356">
        <f t="shared" si="252"/>
        <v>100</v>
      </c>
      <c r="DO283" s="308">
        <f t="shared" si="253"/>
        <v>0.16500000000000001</v>
      </c>
      <c r="DP283" s="359">
        <f t="shared" si="261"/>
        <v>0.16500000000000001</v>
      </c>
      <c r="DQ283" s="306">
        <f t="shared" si="254"/>
        <v>0.16500000000000001</v>
      </c>
      <c r="DR283" s="379">
        <f t="shared" si="255"/>
        <v>1</v>
      </c>
      <c r="DS283" s="378">
        <f t="shared" si="256"/>
        <v>3.4694469519536142E-18</v>
      </c>
      <c r="DT283" s="173">
        <v>622</v>
      </c>
      <c r="DU283" s="174" t="s">
        <v>88</v>
      </c>
      <c r="DV283" s="173"/>
      <c r="DW283" s="174" t="s">
        <v>84</v>
      </c>
      <c r="DX283" s="173"/>
      <c r="DY283" s="173"/>
      <c r="DZ283" s="173"/>
      <c r="EA283" s="665"/>
      <c r="EB283" s="1254" t="s">
        <v>2116</v>
      </c>
      <c r="EC283" s="537">
        <v>363000000</v>
      </c>
      <c r="EE283" s="734">
        <v>100</v>
      </c>
      <c r="EF283" s="706"/>
    </row>
    <row r="284" spans="4:136" s="302" customFormat="1" ht="153" hidden="1">
      <c r="D284" s="520">
        <v>281</v>
      </c>
      <c r="E284" s="534">
        <v>330</v>
      </c>
      <c r="F284" s="479" t="s">
        <v>44</v>
      </c>
      <c r="G284" s="479" t="s">
        <v>18</v>
      </c>
      <c r="H284" s="479" t="s">
        <v>2661</v>
      </c>
      <c r="I284" s="435" t="s">
        <v>716</v>
      </c>
      <c r="J284" s="335" t="s">
        <v>721</v>
      </c>
      <c r="K284" s="335" t="s">
        <v>722</v>
      </c>
      <c r="L284" s="443" t="s">
        <v>1889</v>
      </c>
      <c r="M284" s="334" t="s">
        <v>1771</v>
      </c>
      <c r="N284" s="334">
        <v>0</v>
      </c>
      <c r="O284" s="333">
        <f t="shared" si="260"/>
        <v>1</v>
      </c>
      <c r="P284" s="332">
        <v>1</v>
      </c>
      <c r="Q284" s="390">
        <v>0.25</v>
      </c>
      <c r="R284" s="342">
        <f t="shared" si="234"/>
        <v>0</v>
      </c>
      <c r="S284" s="389">
        <v>0</v>
      </c>
      <c r="T284" s="387">
        <f t="shared" si="220"/>
        <v>0</v>
      </c>
      <c r="U284" s="670">
        <v>0</v>
      </c>
      <c r="V284" s="388">
        <f t="shared" si="221"/>
        <v>0</v>
      </c>
      <c r="W284" s="356">
        <f t="shared" si="222"/>
        <v>0</v>
      </c>
      <c r="X284" s="356">
        <f t="shared" si="235"/>
        <v>0</v>
      </c>
      <c r="Y284" s="356">
        <f t="shared" si="259"/>
        <v>0</v>
      </c>
      <c r="Z284" s="356">
        <f t="shared" si="236"/>
        <v>0</v>
      </c>
      <c r="AA284" s="355">
        <v>0</v>
      </c>
      <c r="AB284" s="355">
        <v>0</v>
      </c>
      <c r="AC284" s="355">
        <v>0</v>
      </c>
      <c r="AD284" s="355">
        <v>0</v>
      </c>
      <c r="AE284" s="355">
        <v>0</v>
      </c>
      <c r="AF284" s="355">
        <v>0</v>
      </c>
      <c r="AG284" s="355">
        <v>0</v>
      </c>
      <c r="AH284" s="355">
        <v>0</v>
      </c>
      <c r="AI284" s="355">
        <v>0</v>
      </c>
      <c r="AJ284" s="355">
        <v>0</v>
      </c>
      <c r="AK284" s="355">
        <v>0</v>
      </c>
      <c r="AL284" s="355">
        <v>0</v>
      </c>
      <c r="AM284" s="355">
        <v>0</v>
      </c>
      <c r="AN284" s="355">
        <v>0</v>
      </c>
      <c r="AO284" s="355">
        <v>0</v>
      </c>
      <c r="AP284" s="355">
        <v>0</v>
      </c>
      <c r="AQ284" s="355">
        <v>0</v>
      </c>
      <c r="AR284" s="355">
        <v>0</v>
      </c>
      <c r="AS284" s="355">
        <v>0</v>
      </c>
      <c r="AT284" s="333">
        <f t="shared" si="237"/>
        <v>7.4999999999999997E-2</v>
      </c>
      <c r="AU284" s="334">
        <v>0.3</v>
      </c>
      <c r="AV284" s="387">
        <f t="shared" si="223"/>
        <v>0.3</v>
      </c>
      <c r="AW284" s="677">
        <v>0.3</v>
      </c>
      <c r="AX284" s="366">
        <f t="shared" si="224"/>
        <v>0.3</v>
      </c>
      <c r="AY284" s="366">
        <f t="shared" si="225"/>
        <v>100</v>
      </c>
      <c r="AZ284" s="366">
        <f t="shared" si="238"/>
        <v>100</v>
      </c>
      <c r="BA284" s="354">
        <f t="shared" si="239"/>
        <v>7.4999999999999997E-2</v>
      </c>
      <c r="BB284" s="354">
        <f t="shared" si="240"/>
        <v>100</v>
      </c>
      <c r="BC284" s="353">
        <v>397000000</v>
      </c>
      <c r="BD284" s="353">
        <v>0</v>
      </c>
      <c r="BE284" s="353">
        <v>327000000</v>
      </c>
      <c r="BF284" s="353">
        <v>0</v>
      </c>
      <c r="BG284" s="353">
        <v>0</v>
      </c>
      <c r="BH284" s="353">
        <v>0</v>
      </c>
      <c r="BI284" s="353">
        <v>0</v>
      </c>
      <c r="BJ284" s="353">
        <v>70000000</v>
      </c>
      <c r="BK284" s="386">
        <v>62000000</v>
      </c>
      <c r="BL284" s="351">
        <v>62000000</v>
      </c>
      <c r="BM284" s="351">
        <v>0</v>
      </c>
      <c r="BN284" s="351">
        <v>0</v>
      </c>
      <c r="BO284" s="351">
        <v>0</v>
      </c>
      <c r="BP284" s="351">
        <v>0</v>
      </c>
      <c r="BQ284" s="351">
        <v>0</v>
      </c>
      <c r="BR284" s="351">
        <v>0</v>
      </c>
      <c r="BS284" s="351">
        <v>0</v>
      </c>
      <c r="BT284" s="351">
        <v>150000000</v>
      </c>
      <c r="BU284" s="351" t="s">
        <v>2338</v>
      </c>
      <c r="BV284" s="350">
        <f t="shared" si="241"/>
        <v>0.15</v>
      </c>
      <c r="BW284" s="350">
        <v>0.6</v>
      </c>
      <c r="BX284" s="385">
        <f t="shared" si="226"/>
        <v>0.6</v>
      </c>
      <c r="BY284" s="369">
        <v>0</v>
      </c>
      <c r="BZ284" s="391">
        <v>0.30000001192092896</v>
      </c>
      <c r="CA284" s="689">
        <v>0.3</v>
      </c>
      <c r="CB284" s="324">
        <f t="shared" si="227"/>
        <v>0.3</v>
      </c>
      <c r="CC284" s="324">
        <f t="shared" si="228"/>
        <v>50</v>
      </c>
      <c r="CD284" s="384">
        <f t="shared" si="242"/>
        <v>50</v>
      </c>
      <c r="CE284" s="383">
        <f t="shared" si="243"/>
        <v>7.4999999999999997E-2</v>
      </c>
      <c r="CF284" s="367">
        <f t="shared" si="244"/>
        <v>50</v>
      </c>
      <c r="CG284" s="383">
        <f t="shared" si="245"/>
        <v>7.4999999999999997E-2</v>
      </c>
      <c r="CH284" s="320">
        <f t="shared" si="246"/>
        <v>2.5000000000000001E-2</v>
      </c>
      <c r="CI284" s="319">
        <v>0.1</v>
      </c>
      <c r="CJ284" s="318">
        <f t="shared" si="229"/>
        <v>0.1</v>
      </c>
      <c r="CK284" s="1259">
        <v>0.3</v>
      </c>
      <c r="CL284" s="301">
        <f t="shared" si="230"/>
        <v>-0.19999999999999998</v>
      </c>
      <c r="CM284" s="381">
        <f t="shared" si="231"/>
        <v>0.3</v>
      </c>
      <c r="CN284" s="381">
        <f t="shared" si="232"/>
        <v>300</v>
      </c>
      <c r="CO284" s="316">
        <f t="shared" si="247"/>
        <v>100</v>
      </c>
      <c r="CP284" s="381">
        <f t="shared" si="248"/>
        <v>2.5000000000000001E-2</v>
      </c>
      <c r="CQ284" s="381">
        <f t="shared" si="249"/>
        <v>7.4999999999999997E-2</v>
      </c>
      <c r="CR284" s="313">
        <v>824000000</v>
      </c>
      <c r="CS284" s="313">
        <v>754000000</v>
      </c>
      <c r="CT284" s="313">
        <v>0</v>
      </c>
      <c r="CU284" s="313">
        <v>0</v>
      </c>
      <c r="CV284" s="313">
        <v>0</v>
      </c>
      <c r="CW284" s="313">
        <v>0</v>
      </c>
      <c r="CX284" s="313">
        <v>0</v>
      </c>
      <c r="CY284" s="313">
        <v>70000000</v>
      </c>
      <c r="CZ284" s="380">
        <v>0</v>
      </c>
      <c r="DA284" s="380">
        <v>0</v>
      </c>
      <c r="DB284" s="380">
        <v>0</v>
      </c>
      <c r="DC284" s="380">
        <v>0</v>
      </c>
      <c r="DD284" s="380">
        <v>0</v>
      </c>
      <c r="DE284" s="380">
        <v>0</v>
      </c>
      <c r="DF284" s="380">
        <v>0</v>
      </c>
      <c r="DG284" s="380">
        <v>0</v>
      </c>
      <c r="DH284" s="380">
        <v>0</v>
      </c>
      <c r="DI284" s="380">
        <v>0</v>
      </c>
      <c r="DJ284" s="380">
        <v>0</v>
      </c>
      <c r="DK284" s="702">
        <f t="shared" si="233"/>
        <v>0.89999999999999991</v>
      </c>
      <c r="DL284" s="311">
        <f t="shared" si="250"/>
        <v>0.24999999999999997</v>
      </c>
      <c r="DM284" s="310">
        <f t="shared" si="251"/>
        <v>89.999999999999986</v>
      </c>
      <c r="DN284" s="356">
        <f t="shared" si="252"/>
        <v>89.999999999999986</v>
      </c>
      <c r="DO284" s="308">
        <f t="shared" si="253"/>
        <v>0.22499999999999998</v>
      </c>
      <c r="DP284" s="359">
        <f t="shared" si="261"/>
        <v>0.22499999999999998</v>
      </c>
      <c r="DQ284" s="306">
        <f t="shared" si="254"/>
        <v>0.22499999999999998</v>
      </c>
      <c r="DR284" s="379">
        <f t="shared" si="255"/>
        <v>0.99999999999999989</v>
      </c>
      <c r="DS284" s="378">
        <f t="shared" si="256"/>
        <v>0</v>
      </c>
      <c r="DT284" s="173">
        <v>327</v>
      </c>
      <c r="DU284" s="174" t="s">
        <v>116</v>
      </c>
      <c r="DV284" s="173"/>
      <c r="DW284" s="174" t="s">
        <v>84</v>
      </c>
      <c r="DX284" s="173"/>
      <c r="DY284" s="173"/>
      <c r="DZ284" s="173"/>
      <c r="EA284" s="665"/>
      <c r="EB284" s="1254" t="s">
        <v>3138</v>
      </c>
      <c r="EC284" s="537">
        <v>252000000</v>
      </c>
      <c r="EE284" s="733">
        <v>6</v>
      </c>
      <c r="EF284" s="706"/>
    </row>
    <row r="285" spans="4:136" s="302" customFormat="1" ht="96">
      <c r="D285" s="520">
        <v>282</v>
      </c>
      <c r="E285" s="534">
        <v>331</v>
      </c>
      <c r="F285" s="336" t="s">
        <v>44</v>
      </c>
      <c r="G285" s="336" t="s">
        <v>19</v>
      </c>
      <c r="H285" s="336" t="s">
        <v>2661</v>
      </c>
      <c r="I285" s="336" t="s">
        <v>716</v>
      </c>
      <c r="J285" s="335" t="s">
        <v>1281</v>
      </c>
      <c r="K285" s="335" t="s">
        <v>723</v>
      </c>
      <c r="L285" s="447" t="s">
        <v>1921</v>
      </c>
      <c r="M285" s="334" t="s">
        <v>1771</v>
      </c>
      <c r="N285" s="334">
        <v>3</v>
      </c>
      <c r="O285" s="333">
        <f t="shared" si="260"/>
        <v>7</v>
      </c>
      <c r="P285" s="332">
        <v>4</v>
      </c>
      <c r="Q285" s="393">
        <v>0.16500000000000001</v>
      </c>
      <c r="R285" s="342">
        <f t="shared" si="234"/>
        <v>0</v>
      </c>
      <c r="S285" s="389">
        <v>0</v>
      </c>
      <c r="T285" s="387">
        <f t="shared" si="220"/>
        <v>0</v>
      </c>
      <c r="U285" s="670">
        <v>0</v>
      </c>
      <c r="V285" s="388">
        <f t="shared" si="221"/>
        <v>0</v>
      </c>
      <c r="W285" s="356">
        <f t="shared" si="222"/>
        <v>0</v>
      </c>
      <c r="X285" s="356">
        <f t="shared" si="235"/>
        <v>0</v>
      </c>
      <c r="Y285" s="356">
        <f t="shared" si="259"/>
        <v>0</v>
      </c>
      <c r="Z285" s="356">
        <f t="shared" si="236"/>
        <v>0</v>
      </c>
      <c r="AA285" s="355">
        <v>0</v>
      </c>
      <c r="AB285" s="355">
        <v>0</v>
      </c>
      <c r="AC285" s="355">
        <v>0</v>
      </c>
      <c r="AD285" s="355">
        <v>0</v>
      </c>
      <c r="AE285" s="355">
        <v>0</v>
      </c>
      <c r="AF285" s="355">
        <v>0</v>
      </c>
      <c r="AG285" s="355">
        <v>0</v>
      </c>
      <c r="AH285" s="355">
        <v>0</v>
      </c>
      <c r="AI285" s="355">
        <v>0</v>
      </c>
      <c r="AJ285" s="355">
        <v>0</v>
      </c>
      <c r="AK285" s="355">
        <v>0</v>
      </c>
      <c r="AL285" s="355">
        <v>0</v>
      </c>
      <c r="AM285" s="355">
        <v>0</v>
      </c>
      <c r="AN285" s="355">
        <v>0</v>
      </c>
      <c r="AO285" s="355">
        <v>0</v>
      </c>
      <c r="AP285" s="355">
        <v>0</v>
      </c>
      <c r="AQ285" s="355">
        <v>0</v>
      </c>
      <c r="AR285" s="355">
        <v>0</v>
      </c>
      <c r="AS285" s="355">
        <v>0</v>
      </c>
      <c r="AT285" s="392">
        <f t="shared" si="237"/>
        <v>0</v>
      </c>
      <c r="AU285" s="334">
        <v>0</v>
      </c>
      <c r="AV285" s="387">
        <f t="shared" si="223"/>
        <v>0</v>
      </c>
      <c r="AW285" s="677">
        <v>0</v>
      </c>
      <c r="AX285" s="366">
        <f t="shared" si="224"/>
        <v>0</v>
      </c>
      <c r="AY285" s="366">
        <f t="shared" si="225"/>
        <v>0</v>
      </c>
      <c r="AZ285" s="366">
        <f t="shared" si="238"/>
        <v>0</v>
      </c>
      <c r="BA285" s="354">
        <f t="shared" si="239"/>
        <v>0</v>
      </c>
      <c r="BB285" s="354">
        <f t="shared" si="240"/>
        <v>0</v>
      </c>
      <c r="BC285" s="353">
        <v>190000000</v>
      </c>
      <c r="BD285" s="353">
        <v>0</v>
      </c>
      <c r="BE285" s="353">
        <v>65000000</v>
      </c>
      <c r="BF285" s="353">
        <v>0</v>
      </c>
      <c r="BG285" s="353">
        <v>0</v>
      </c>
      <c r="BH285" s="353">
        <v>0</v>
      </c>
      <c r="BI285" s="353">
        <v>0</v>
      </c>
      <c r="BJ285" s="353">
        <v>125000000</v>
      </c>
      <c r="BK285" s="386">
        <v>0</v>
      </c>
      <c r="BL285" s="351">
        <v>0</v>
      </c>
      <c r="BM285" s="351">
        <v>0</v>
      </c>
      <c r="BN285" s="351">
        <v>0</v>
      </c>
      <c r="BO285" s="351">
        <v>0</v>
      </c>
      <c r="BP285" s="351">
        <v>0</v>
      </c>
      <c r="BQ285" s="351">
        <v>0</v>
      </c>
      <c r="BR285" s="351">
        <v>0</v>
      </c>
      <c r="BS285" s="351">
        <v>0</v>
      </c>
      <c r="BT285" s="351">
        <v>0</v>
      </c>
      <c r="BU285" s="351">
        <v>0</v>
      </c>
      <c r="BV285" s="350">
        <f t="shared" si="241"/>
        <v>0</v>
      </c>
      <c r="BW285" s="350">
        <v>0</v>
      </c>
      <c r="BX285" s="385">
        <f t="shared" si="226"/>
        <v>0</v>
      </c>
      <c r="BY285" s="369">
        <v>0</v>
      </c>
      <c r="BZ285" s="368">
        <v>0</v>
      </c>
      <c r="CA285" s="742">
        <v>0</v>
      </c>
      <c r="CB285" s="324">
        <f t="shared" si="227"/>
        <v>0</v>
      </c>
      <c r="CC285" s="324">
        <f t="shared" si="228"/>
        <v>0</v>
      </c>
      <c r="CD285" s="384">
        <f t="shared" si="242"/>
        <v>0</v>
      </c>
      <c r="CE285" s="383">
        <f t="shared" si="243"/>
        <v>0</v>
      </c>
      <c r="CF285" s="367">
        <f t="shared" si="244"/>
        <v>0</v>
      </c>
      <c r="CG285" s="383">
        <f t="shared" si="245"/>
        <v>0</v>
      </c>
      <c r="CH285" s="320">
        <f t="shared" si="246"/>
        <v>0.16500000000000001</v>
      </c>
      <c r="CI285" s="319">
        <v>4</v>
      </c>
      <c r="CJ285" s="318">
        <f t="shared" si="229"/>
        <v>1</v>
      </c>
      <c r="CK285" s="1260">
        <v>0</v>
      </c>
      <c r="CL285" s="301">
        <f t="shared" si="230"/>
        <v>4</v>
      </c>
      <c r="CM285" s="381">
        <f t="shared" si="231"/>
        <v>0</v>
      </c>
      <c r="CN285" s="381">
        <f t="shared" si="232"/>
        <v>0</v>
      </c>
      <c r="CO285" s="316">
        <f t="shared" si="247"/>
        <v>0</v>
      </c>
      <c r="CP285" s="381">
        <f t="shared" si="248"/>
        <v>0</v>
      </c>
      <c r="CQ285" s="381">
        <f t="shared" si="249"/>
        <v>0</v>
      </c>
      <c r="CR285" s="313">
        <v>275000000</v>
      </c>
      <c r="CS285" s="313">
        <v>150000000</v>
      </c>
      <c r="CT285" s="313">
        <v>0</v>
      </c>
      <c r="CU285" s="313">
        <v>0</v>
      </c>
      <c r="CV285" s="313">
        <v>0</v>
      </c>
      <c r="CW285" s="313">
        <v>0</v>
      </c>
      <c r="CX285" s="313">
        <v>0</v>
      </c>
      <c r="CY285" s="313">
        <v>125000000</v>
      </c>
      <c r="CZ285" s="380">
        <v>0</v>
      </c>
      <c r="DA285" s="380">
        <v>0</v>
      </c>
      <c r="DB285" s="380">
        <v>0</v>
      </c>
      <c r="DC285" s="380">
        <v>0</v>
      </c>
      <c r="DD285" s="380">
        <v>0</v>
      </c>
      <c r="DE285" s="380">
        <v>0</v>
      </c>
      <c r="DF285" s="380">
        <v>0</v>
      </c>
      <c r="DG285" s="380">
        <v>0</v>
      </c>
      <c r="DH285" s="380">
        <v>0</v>
      </c>
      <c r="DI285" s="380">
        <v>0</v>
      </c>
      <c r="DJ285" s="380">
        <v>0</v>
      </c>
      <c r="DK285" s="702">
        <f t="shared" si="233"/>
        <v>0</v>
      </c>
      <c r="DL285" s="311">
        <f t="shared" si="250"/>
        <v>0.16500000000000001</v>
      </c>
      <c r="DM285" s="310">
        <f t="shared" si="251"/>
        <v>0</v>
      </c>
      <c r="DN285" s="356">
        <f t="shared" si="252"/>
        <v>0</v>
      </c>
      <c r="DO285" s="308">
        <f t="shared" si="253"/>
        <v>0</v>
      </c>
      <c r="DP285" s="359">
        <f t="shared" si="261"/>
        <v>0</v>
      </c>
      <c r="DQ285" s="306">
        <f t="shared" si="254"/>
        <v>0</v>
      </c>
      <c r="DR285" s="379">
        <f t="shared" si="255"/>
        <v>1</v>
      </c>
      <c r="DS285" s="378">
        <f t="shared" si="256"/>
        <v>0</v>
      </c>
      <c r="DT285" s="173">
        <v>327</v>
      </c>
      <c r="DU285" s="174" t="s">
        <v>116</v>
      </c>
      <c r="DV285" s="173"/>
      <c r="DW285" s="174" t="s">
        <v>84</v>
      </c>
      <c r="DX285" s="173"/>
      <c r="DY285" s="173"/>
      <c r="DZ285" s="173"/>
      <c r="EA285" s="665"/>
      <c r="EB285" s="1254" t="s">
        <v>3188</v>
      </c>
      <c r="EC285" s="537">
        <v>126778000000</v>
      </c>
      <c r="EE285" s="738">
        <v>45852</v>
      </c>
      <c r="EF285" s="706"/>
    </row>
    <row r="286" spans="4:136" s="302" customFormat="1" ht="96">
      <c r="D286" s="520">
        <v>283</v>
      </c>
      <c r="E286" s="534">
        <v>332</v>
      </c>
      <c r="F286" s="336" t="s">
        <v>44</v>
      </c>
      <c r="G286" s="336" t="s">
        <v>19</v>
      </c>
      <c r="H286" s="336" t="s">
        <v>2661</v>
      </c>
      <c r="I286" s="336" t="s">
        <v>724</v>
      </c>
      <c r="J286" s="335" t="s">
        <v>1282</v>
      </c>
      <c r="K286" s="335" t="s">
        <v>1320</v>
      </c>
      <c r="L286" s="447" t="s">
        <v>1944</v>
      </c>
      <c r="M286" s="334" t="s">
        <v>1771</v>
      </c>
      <c r="N286" s="334">
        <v>0</v>
      </c>
      <c r="O286" s="333">
        <f t="shared" si="260"/>
        <v>1</v>
      </c>
      <c r="P286" s="332">
        <v>1</v>
      </c>
      <c r="Q286" s="393">
        <v>0.33</v>
      </c>
      <c r="R286" s="342">
        <f t="shared" si="234"/>
        <v>0</v>
      </c>
      <c r="S286" s="389">
        <v>0</v>
      </c>
      <c r="T286" s="387">
        <f t="shared" si="220"/>
        <v>0</v>
      </c>
      <c r="U286" s="670">
        <v>0</v>
      </c>
      <c r="V286" s="388">
        <f t="shared" si="221"/>
        <v>0</v>
      </c>
      <c r="W286" s="356">
        <f t="shared" si="222"/>
        <v>0</v>
      </c>
      <c r="X286" s="356">
        <f t="shared" si="235"/>
        <v>0</v>
      </c>
      <c r="Y286" s="356">
        <f t="shared" si="259"/>
        <v>0</v>
      </c>
      <c r="Z286" s="356">
        <f t="shared" si="236"/>
        <v>0</v>
      </c>
      <c r="AA286" s="355">
        <v>0</v>
      </c>
      <c r="AB286" s="355">
        <v>0</v>
      </c>
      <c r="AC286" s="355">
        <v>0</v>
      </c>
      <c r="AD286" s="355">
        <v>0</v>
      </c>
      <c r="AE286" s="355">
        <v>0</v>
      </c>
      <c r="AF286" s="355">
        <v>0</v>
      </c>
      <c r="AG286" s="355">
        <v>0</v>
      </c>
      <c r="AH286" s="355">
        <v>0</v>
      </c>
      <c r="AI286" s="355">
        <v>0</v>
      </c>
      <c r="AJ286" s="355">
        <v>0</v>
      </c>
      <c r="AK286" s="355">
        <v>0</v>
      </c>
      <c r="AL286" s="355">
        <v>0</v>
      </c>
      <c r="AM286" s="355">
        <v>0</v>
      </c>
      <c r="AN286" s="355">
        <v>0</v>
      </c>
      <c r="AO286" s="355">
        <v>0</v>
      </c>
      <c r="AP286" s="355">
        <v>0</v>
      </c>
      <c r="AQ286" s="355">
        <v>0</v>
      </c>
      <c r="AR286" s="355">
        <v>0</v>
      </c>
      <c r="AS286" s="355">
        <v>0</v>
      </c>
      <c r="AT286" s="392">
        <f t="shared" si="237"/>
        <v>0</v>
      </c>
      <c r="AU286" s="334">
        <v>0</v>
      </c>
      <c r="AV286" s="387">
        <f t="shared" si="223"/>
        <v>0</v>
      </c>
      <c r="AW286" s="677">
        <v>0</v>
      </c>
      <c r="AX286" s="366">
        <f t="shared" si="224"/>
        <v>0</v>
      </c>
      <c r="AY286" s="366">
        <f t="shared" si="225"/>
        <v>0</v>
      </c>
      <c r="AZ286" s="366">
        <f t="shared" si="238"/>
        <v>0</v>
      </c>
      <c r="BA286" s="354">
        <f t="shared" si="239"/>
        <v>0</v>
      </c>
      <c r="BB286" s="354">
        <f t="shared" si="240"/>
        <v>0</v>
      </c>
      <c r="BC286" s="353">
        <v>0</v>
      </c>
      <c r="BD286" s="353">
        <v>0</v>
      </c>
      <c r="BE286" s="353">
        <v>0</v>
      </c>
      <c r="BF286" s="353">
        <v>0</v>
      </c>
      <c r="BG286" s="353">
        <v>0</v>
      </c>
      <c r="BH286" s="353">
        <v>0</v>
      </c>
      <c r="BI286" s="353">
        <v>0</v>
      </c>
      <c r="BJ286" s="353">
        <v>0</v>
      </c>
      <c r="BK286" s="386">
        <v>16000000</v>
      </c>
      <c r="BL286" s="351">
        <v>16000000</v>
      </c>
      <c r="BM286" s="351">
        <v>0</v>
      </c>
      <c r="BN286" s="351">
        <v>0</v>
      </c>
      <c r="BO286" s="351">
        <v>0</v>
      </c>
      <c r="BP286" s="351">
        <v>0</v>
      </c>
      <c r="BQ286" s="351">
        <v>0</v>
      </c>
      <c r="BR286" s="351">
        <v>0</v>
      </c>
      <c r="BS286" s="351">
        <v>0</v>
      </c>
      <c r="BT286" s="351">
        <v>0</v>
      </c>
      <c r="BU286" s="351">
        <v>0</v>
      </c>
      <c r="BV286" s="350">
        <f t="shared" si="241"/>
        <v>3.3000000000000002E-2</v>
      </c>
      <c r="BW286" s="350">
        <v>0.1</v>
      </c>
      <c r="BX286" s="385">
        <f t="shared" si="226"/>
        <v>0.1</v>
      </c>
      <c r="BY286" s="397">
        <v>0</v>
      </c>
      <c r="BZ286" s="1391">
        <v>0</v>
      </c>
      <c r="CA286" s="743">
        <v>0</v>
      </c>
      <c r="CB286" s="324">
        <f t="shared" si="227"/>
        <v>0</v>
      </c>
      <c r="CC286" s="324">
        <f t="shared" si="228"/>
        <v>0</v>
      </c>
      <c r="CD286" s="384">
        <f t="shared" si="242"/>
        <v>0</v>
      </c>
      <c r="CE286" s="383">
        <f t="shared" si="243"/>
        <v>0</v>
      </c>
      <c r="CF286" s="367">
        <f t="shared" si="244"/>
        <v>0</v>
      </c>
      <c r="CG286" s="383">
        <f t="shared" si="245"/>
        <v>0</v>
      </c>
      <c r="CH286" s="320">
        <f t="shared" si="246"/>
        <v>0.29700000000000004</v>
      </c>
      <c r="CI286" s="418">
        <v>0.9</v>
      </c>
      <c r="CJ286" s="318">
        <f t="shared" si="229"/>
        <v>0.9</v>
      </c>
      <c r="CK286" s="1259">
        <v>0.6</v>
      </c>
      <c r="CL286" s="301">
        <f t="shared" si="230"/>
        <v>0.30000000000000004</v>
      </c>
      <c r="CM286" s="381">
        <f t="shared" si="231"/>
        <v>0.6</v>
      </c>
      <c r="CN286" s="381">
        <f t="shared" si="232"/>
        <v>66.666666666666671</v>
      </c>
      <c r="CO286" s="316">
        <f t="shared" si="247"/>
        <v>66.666666666666671</v>
      </c>
      <c r="CP286" s="381">
        <f t="shared" si="248"/>
        <v>0.19800000000000004</v>
      </c>
      <c r="CQ286" s="381">
        <f t="shared" si="249"/>
        <v>0.19800000000000004</v>
      </c>
      <c r="CR286" s="313">
        <v>0</v>
      </c>
      <c r="CS286" s="313">
        <v>0</v>
      </c>
      <c r="CT286" s="313">
        <v>0</v>
      </c>
      <c r="CU286" s="313">
        <v>0</v>
      </c>
      <c r="CV286" s="313">
        <v>0</v>
      </c>
      <c r="CW286" s="313">
        <v>0</v>
      </c>
      <c r="CX286" s="313">
        <v>0</v>
      </c>
      <c r="CY286" s="313">
        <v>0</v>
      </c>
      <c r="CZ286" s="380">
        <v>0</v>
      </c>
      <c r="DA286" s="380">
        <v>0</v>
      </c>
      <c r="DB286" s="380">
        <v>0</v>
      </c>
      <c r="DC286" s="380">
        <v>0</v>
      </c>
      <c r="DD286" s="380">
        <v>0</v>
      </c>
      <c r="DE286" s="380">
        <v>0</v>
      </c>
      <c r="DF286" s="380">
        <v>0</v>
      </c>
      <c r="DG286" s="380">
        <v>0</v>
      </c>
      <c r="DH286" s="380">
        <v>0</v>
      </c>
      <c r="DI286" s="380">
        <v>0</v>
      </c>
      <c r="DJ286" s="380">
        <v>0</v>
      </c>
      <c r="DK286" s="702">
        <f t="shared" si="233"/>
        <v>0.6</v>
      </c>
      <c r="DL286" s="311">
        <f t="shared" si="250"/>
        <v>0.33000000000000007</v>
      </c>
      <c r="DM286" s="310">
        <f t="shared" si="251"/>
        <v>60</v>
      </c>
      <c r="DN286" s="356">
        <f t="shared" si="252"/>
        <v>60</v>
      </c>
      <c r="DO286" s="308">
        <f t="shared" si="253"/>
        <v>0.19800000000000001</v>
      </c>
      <c r="DP286" s="359">
        <f t="shared" si="261"/>
        <v>0.19800000000000001</v>
      </c>
      <c r="DQ286" s="306">
        <f t="shared" si="254"/>
        <v>0.19800000000000001</v>
      </c>
      <c r="DR286" s="379">
        <f t="shared" si="255"/>
        <v>1</v>
      </c>
      <c r="DS286" s="378">
        <f t="shared" si="256"/>
        <v>0</v>
      </c>
      <c r="DT286" s="173">
        <v>327</v>
      </c>
      <c r="DU286" s="174" t="s">
        <v>116</v>
      </c>
      <c r="DV286" s="173"/>
      <c r="DW286" s="174" t="s">
        <v>84</v>
      </c>
      <c r="DX286" s="173"/>
      <c r="DY286" s="173"/>
      <c r="DZ286" s="173"/>
      <c r="EA286" s="665"/>
      <c r="EB286" s="1254" t="s">
        <v>3189</v>
      </c>
      <c r="EC286" s="537">
        <v>3741000000</v>
      </c>
      <c r="EE286" s="737">
        <v>50</v>
      </c>
      <c r="EF286" s="706"/>
    </row>
    <row r="287" spans="4:136" s="302" customFormat="1" ht="89.25" hidden="1">
      <c r="D287" s="520">
        <v>284</v>
      </c>
      <c r="E287" s="534">
        <v>336</v>
      </c>
      <c r="F287" s="479" t="s">
        <v>44</v>
      </c>
      <c r="G287" s="479" t="s">
        <v>13</v>
      </c>
      <c r="H287" s="479" t="s">
        <v>2662</v>
      </c>
      <c r="I287" s="435" t="s">
        <v>725</v>
      </c>
      <c r="J287" s="335" t="s">
        <v>726</v>
      </c>
      <c r="K287" s="335" t="s">
        <v>727</v>
      </c>
      <c r="L287" s="443" t="s">
        <v>1480</v>
      </c>
      <c r="M287" s="334" t="s">
        <v>1771</v>
      </c>
      <c r="N287" s="334">
        <v>27000</v>
      </c>
      <c r="O287" s="333">
        <f t="shared" si="260"/>
        <v>31000</v>
      </c>
      <c r="P287" s="332">
        <v>4000</v>
      </c>
      <c r="Q287" s="390">
        <v>0.25</v>
      </c>
      <c r="R287" s="342">
        <f t="shared" si="234"/>
        <v>4.6875E-2</v>
      </c>
      <c r="S287" s="389">
        <v>750</v>
      </c>
      <c r="T287" s="387">
        <f t="shared" si="220"/>
        <v>0.1875</v>
      </c>
      <c r="U287" s="670">
        <v>555</v>
      </c>
      <c r="V287" s="388">
        <f t="shared" si="221"/>
        <v>555</v>
      </c>
      <c r="W287" s="356">
        <f t="shared" si="222"/>
        <v>74</v>
      </c>
      <c r="X287" s="356">
        <f t="shared" si="235"/>
        <v>74</v>
      </c>
      <c r="Y287" s="356">
        <f t="shared" si="259"/>
        <v>3.4687500000000003E-2</v>
      </c>
      <c r="Z287" s="356">
        <f t="shared" si="236"/>
        <v>74</v>
      </c>
      <c r="AA287" s="355">
        <v>6000000000</v>
      </c>
      <c r="AB287" s="355">
        <v>6000000000</v>
      </c>
      <c r="AC287" s="355">
        <v>0</v>
      </c>
      <c r="AD287" s="355">
        <v>0</v>
      </c>
      <c r="AE287" s="355">
        <v>0</v>
      </c>
      <c r="AF287" s="355">
        <v>0</v>
      </c>
      <c r="AG287" s="355">
        <v>0</v>
      </c>
      <c r="AH287" s="355">
        <v>0</v>
      </c>
      <c r="AI287" s="355">
        <v>6600000000</v>
      </c>
      <c r="AJ287" s="355">
        <v>6600000000</v>
      </c>
      <c r="AK287" s="355">
        <v>0</v>
      </c>
      <c r="AL287" s="355">
        <v>0</v>
      </c>
      <c r="AM287" s="355">
        <v>0</v>
      </c>
      <c r="AN287" s="355">
        <v>0</v>
      </c>
      <c r="AO287" s="355">
        <v>0</v>
      </c>
      <c r="AP287" s="355">
        <v>0</v>
      </c>
      <c r="AQ287" s="355">
        <v>0</v>
      </c>
      <c r="AR287" s="355">
        <v>0</v>
      </c>
      <c r="AS287" s="355">
        <v>0</v>
      </c>
      <c r="AT287" s="333">
        <f t="shared" si="237"/>
        <v>7.8125E-2</v>
      </c>
      <c r="AU287" s="334">
        <v>1250</v>
      </c>
      <c r="AV287" s="387">
        <f t="shared" si="223"/>
        <v>0.3125</v>
      </c>
      <c r="AW287" s="677">
        <v>3905.37</v>
      </c>
      <c r="AX287" s="366">
        <f t="shared" si="224"/>
        <v>3905.37</v>
      </c>
      <c r="AY287" s="366">
        <f t="shared" si="225"/>
        <v>312.42959999999999</v>
      </c>
      <c r="AZ287" s="366">
        <f t="shared" si="238"/>
        <v>100</v>
      </c>
      <c r="BA287" s="354">
        <f t="shared" si="239"/>
        <v>7.8125E-2</v>
      </c>
      <c r="BB287" s="354">
        <f t="shared" si="240"/>
        <v>100</v>
      </c>
      <c r="BC287" s="353">
        <v>1487000000</v>
      </c>
      <c r="BD287" s="353">
        <v>0</v>
      </c>
      <c r="BE287" s="353">
        <v>1487000000</v>
      </c>
      <c r="BF287" s="353">
        <v>0</v>
      </c>
      <c r="BG287" s="353">
        <v>0</v>
      </c>
      <c r="BH287" s="353">
        <v>0</v>
      </c>
      <c r="BI287" s="353">
        <v>0</v>
      </c>
      <c r="BJ287" s="353">
        <v>0</v>
      </c>
      <c r="BK287" s="386">
        <v>12085204077</v>
      </c>
      <c r="BL287" s="351">
        <v>12085204077</v>
      </c>
      <c r="BM287" s="351">
        <v>0</v>
      </c>
      <c r="BN287" s="351">
        <v>0</v>
      </c>
      <c r="BO287" s="351">
        <v>0</v>
      </c>
      <c r="BP287" s="351">
        <v>0</v>
      </c>
      <c r="BQ287" s="351">
        <v>0</v>
      </c>
      <c r="BR287" s="351">
        <v>0</v>
      </c>
      <c r="BS287" s="351">
        <v>0</v>
      </c>
      <c r="BT287" s="351">
        <v>201600000</v>
      </c>
      <c r="BU287" s="351" t="s">
        <v>1943</v>
      </c>
      <c r="BV287" s="350">
        <f t="shared" si="241"/>
        <v>6.25E-2</v>
      </c>
      <c r="BW287" s="350">
        <v>1000</v>
      </c>
      <c r="BX287" s="385">
        <f t="shared" si="226"/>
        <v>0.25</v>
      </c>
      <c r="BY287" s="451">
        <v>1574</v>
      </c>
      <c r="BZ287" s="450">
        <v>1592.4200439453125</v>
      </c>
      <c r="CA287" s="693">
        <v>2092.52001953125</v>
      </c>
      <c r="CB287" s="324">
        <f t="shared" si="227"/>
        <v>2092.52001953125</v>
      </c>
      <c r="CC287" s="324">
        <f t="shared" si="228"/>
        <v>209.25200195312499</v>
      </c>
      <c r="CD287" s="384">
        <f t="shared" si="242"/>
        <v>100</v>
      </c>
      <c r="CE287" s="383">
        <f t="shared" si="243"/>
        <v>6.25E-2</v>
      </c>
      <c r="CF287" s="367">
        <f t="shared" si="244"/>
        <v>100</v>
      </c>
      <c r="CG287" s="383">
        <f t="shared" si="245"/>
        <v>0.13078250122070312</v>
      </c>
      <c r="CH287" s="320">
        <f t="shared" si="246"/>
        <v>6.25E-2</v>
      </c>
      <c r="CI287" s="319">
        <v>1000</v>
      </c>
      <c r="CJ287" s="318">
        <f t="shared" si="229"/>
        <v>0.25</v>
      </c>
      <c r="CK287" s="1259">
        <v>5144.5</v>
      </c>
      <c r="CL287" s="301">
        <f t="shared" si="230"/>
        <v>-4144.5</v>
      </c>
      <c r="CM287" s="381">
        <f t="shared" si="231"/>
        <v>5144.5</v>
      </c>
      <c r="CN287" s="381">
        <f t="shared" si="232"/>
        <v>514.45000000000005</v>
      </c>
      <c r="CO287" s="316">
        <f t="shared" si="247"/>
        <v>100</v>
      </c>
      <c r="CP287" s="381">
        <f t="shared" si="248"/>
        <v>6.25E-2</v>
      </c>
      <c r="CQ287" s="381">
        <f t="shared" si="249"/>
        <v>0.32153125000000005</v>
      </c>
      <c r="CR287" s="313">
        <v>6309000000</v>
      </c>
      <c r="CS287" s="313">
        <v>6309000000</v>
      </c>
      <c r="CT287" s="313">
        <v>0</v>
      </c>
      <c r="CU287" s="313">
        <v>0</v>
      </c>
      <c r="CV287" s="313">
        <v>0</v>
      </c>
      <c r="CW287" s="313">
        <v>0</v>
      </c>
      <c r="CX287" s="313">
        <v>0</v>
      </c>
      <c r="CY287" s="313">
        <v>0</v>
      </c>
      <c r="CZ287" s="380">
        <v>0</v>
      </c>
      <c r="DA287" s="380">
        <v>0</v>
      </c>
      <c r="DB287" s="380">
        <v>0</v>
      </c>
      <c r="DC287" s="380">
        <v>0</v>
      </c>
      <c r="DD287" s="380">
        <v>0</v>
      </c>
      <c r="DE287" s="380">
        <v>0</v>
      </c>
      <c r="DF287" s="380">
        <v>0</v>
      </c>
      <c r="DG287" s="380">
        <v>0</v>
      </c>
      <c r="DH287" s="380">
        <v>0</v>
      </c>
      <c r="DI287" s="380">
        <v>0</v>
      </c>
      <c r="DJ287" s="380">
        <v>0</v>
      </c>
      <c r="DK287" s="702">
        <f t="shared" si="233"/>
        <v>11697.390019531249</v>
      </c>
      <c r="DL287" s="311">
        <f t="shared" si="250"/>
        <v>0.25</v>
      </c>
      <c r="DM287" s="310">
        <f t="shared" si="251"/>
        <v>292.43475048828122</v>
      </c>
      <c r="DN287" s="356">
        <f t="shared" si="252"/>
        <v>100</v>
      </c>
      <c r="DO287" s="308">
        <f t="shared" si="253"/>
        <v>0.25</v>
      </c>
      <c r="DP287" s="359">
        <f t="shared" si="261"/>
        <v>0.25</v>
      </c>
      <c r="DQ287" s="306">
        <f t="shared" si="254"/>
        <v>0.25</v>
      </c>
      <c r="DR287" s="379">
        <f t="shared" si="255"/>
        <v>1</v>
      </c>
      <c r="DS287" s="378">
        <f t="shared" si="256"/>
        <v>0</v>
      </c>
      <c r="DT287" s="173">
        <v>334</v>
      </c>
      <c r="DU287" s="174" t="s">
        <v>115</v>
      </c>
      <c r="DV287" s="173"/>
      <c r="DW287" s="174" t="s">
        <v>84</v>
      </c>
      <c r="DX287" s="173"/>
      <c r="DY287" s="173"/>
      <c r="DZ287" s="173"/>
      <c r="EA287" s="665"/>
      <c r="EB287" s="1254" t="s">
        <v>3106</v>
      </c>
      <c r="EC287" s="537">
        <v>677000000</v>
      </c>
      <c r="EE287" s="740">
        <v>0.5</v>
      </c>
      <c r="EF287" s="706"/>
    </row>
    <row r="288" spans="4:136" s="302" customFormat="1" ht="76.5" hidden="1">
      <c r="D288" s="520">
        <v>285</v>
      </c>
      <c r="E288" s="534">
        <v>337</v>
      </c>
      <c r="F288" s="479" t="s">
        <v>44</v>
      </c>
      <c r="G288" s="479" t="s">
        <v>13</v>
      </c>
      <c r="H288" s="479" t="s">
        <v>2662</v>
      </c>
      <c r="I288" s="435" t="s">
        <v>725</v>
      </c>
      <c r="J288" s="335" t="s">
        <v>728</v>
      </c>
      <c r="K288" s="335" t="s">
        <v>729</v>
      </c>
      <c r="L288" s="443" t="s">
        <v>1480</v>
      </c>
      <c r="M288" s="334" t="s">
        <v>1771</v>
      </c>
      <c r="N288" s="334">
        <v>92</v>
      </c>
      <c r="O288" s="333">
        <f t="shared" si="260"/>
        <v>592</v>
      </c>
      <c r="P288" s="332">
        <v>500</v>
      </c>
      <c r="Q288" s="390">
        <v>0.33</v>
      </c>
      <c r="R288" s="342">
        <f t="shared" si="234"/>
        <v>1.9800000000000002E-2</v>
      </c>
      <c r="S288" s="389">
        <v>30</v>
      </c>
      <c r="T288" s="387">
        <f t="shared" si="220"/>
        <v>0.06</v>
      </c>
      <c r="U288" s="670">
        <v>48</v>
      </c>
      <c r="V288" s="388">
        <f t="shared" si="221"/>
        <v>48</v>
      </c>
      <c r="W288" s="356">
        <f t="shared" si="222"/>
        <v>160</v>
      </c>
      <c r="X288" s="356">
        <f t="shared" si="235"/>
        <v>100</v>
      </c>
      <c r="Y288" s="356">
        <f t="shared" si="259"/>
        <v>1.9800000000000002E-2</v>
      </c>
      <c r="Z288" s="356">
        <f t="shared" si="236"/>
        <v>100</v>
      </c>
      <c r="AA288" s="355">
        <v>1125000000</v>
      </c>
      <c r="AB288" s="355">
        <v>1125000000</v>
      </c>
      <c r="AC288" s="355">
        <v>0</v>
      </c>
      <c r="AD288" s="355">
        <v>0</v>
      </c>
      <c r="AE288" s="355">
        <v>0</v>
      </c>
      <c r="AF288" s="355">
        <v>0</v>
      </c>
      <c r="AG288" s="355">
        <v>0</v>
      </c>
      <c r="AH288" s="355">
        <v>0</v>
      </c>
      <c r="AI288" s="355">
        <v>0</v>
      </c>
      <c r="AJ288" s="355">
        <v>0</v>
      </c>
      <c r="AK288" s="355">
        <v>0</v>
      </c>
      <c r="AL288" s="355">
        <v>0</v>
      </c>
      <c r="AM288" s="355">
        <v>0</v>
      </c>
      <c r="AN288" s="355">
        <v>0</v>
      </c>
      <c r="AO288" s="355">
        <v>0</v>
      </c>
      <c r="AP288" s="355">
        <v>0</v>
      </c>
      <c r="AQ288" s="355">
        <v>0</v>
      </c>
      <c r="AR288" s="355">
        <v>0</v>
      </c>
      <c r="AS288" s="355">
        <v>0</v>
      </c>
      <c r="AT288" s="333">
        <f t="shared" si="237"/>
        <v>0.11220000000000001</v>
      </c>
      <c r="AU288" s="334">
        <v>170</v>
      </c>
      <c r="AV288" s="387">
        <f t="shared" si="223"/>
        <v>0.34</v>
      </c>
      <c r="AW288" s="677">
        <v>138</v>
      </c>
      <c r="AX288" s="366">
        <f t="shared" si="224"/>
        <v>138</v>
      </c>
      <c r="AY288" s="366">
        <f t="shared" si="225"/>
        <v>81.17647058823529</v>
      </c>
      <c r="AZ288" s="366">
        <f t="shared" si="238"/>
        <v>81.17647058823529</v>
      </c>
      <c r="BA288" s="354">
        <f t="shared" si="239"/>
        <v>9.1080000000000008E-2</v>
      </c>
      <c r="BB288" s="354">
        <f t="shared" si="240"/>
        <v>81.17647058823529</v>
      </c>
      <c r="BC288" s="353">
        <v>5947000000</v>
      </c>
      <c r="BD288" s="353">
        <v>0</v>
      </c>
      <c r="BE288" s="353">
        <v>5947000000</v>
      </c>
      <c r="BF288" s="353">
        <v>0</v>
      </c>
      <c r="BG288" s="353">
        <v>0</v>
      </c>
      <c r="BH288" s="353">
        <v>0</v>
      </c>
      <c r="BI288" s="353">
        <v>0</v>
      </c>
      <c r="BJ288" s="353">
        <v>0</v>
      </c>
      <c r="BK288" s="386">
        <v>0</v>
      </c>
      <c r="BL288" s="351">
        <v>0</v>
      </c>
      <c r="BM288" s="351">
        <v>0</v>
      </c>
      <c r="BN288" s="351">
        <v>0</v>
      </c>
      <c r="BO288" s="351">
        <v>0</v>
      </c>
      <c r="BP288" s="351">
        <v>0</v>
      </c>
      <c r="BQ288" s="351">
        <v>0</v>
      </c>
      <c r="BR288" s="351">
        <v>0</v>
      </c>
      <c r="BS288" s="351">
        <v>0</v>
      </c>
      <c r="BT288" s="351">
        <v>0</v>
      </c>
      <c r="BU288" s="351">
        <v>0</v>
      </c>
      <c r="BV288" s="350">
        <f t="shared" si="241"/>
        <v>0.13200000000000001</v>
      </c>
      <c r="BW288" s="350">
        <v>200</v>
      </c>
      <c r="BX288" s="385">
        <f t="shared" si="226"/>
        <v>0.4</v>
      </c>
      <c r="BY288" s="369">
        <v>20</v>
      </c>
      <c r="BZ288" s="391">
        <v>20</v>
      </c>
      <c r="CA288" s="689">
        <v>20</v>
      </c>
      <c r="CB288" s="324">
        <f t="shared" si="227"/>
        <v>20</v>
      </c>
      <c r="CC288" s="324">
        <f t="shared" si="228"/>
        <v>10</v>
      </c>
      <c r="CD288" s="384">
        <f t="shared" si="242"/>
        <v>10</v>
      </c>
      <c r="CE288" s="383">
        <f t="shared" si="243"/>
        <v>1.32E-2</v>
      </c>
      <c r="CF288" s="367">
        <f t="shared" si="244"/>
        <v>10</v>
      </c>
      <c r="CG288" s="383">
        <f t="shared" si="245"/>
        <v>1.32E-2</v>
      </c>
      <c r="CH288" s="320">
        <f t="shared" si="246"/>
        <v>6.6000000000000003E-2</v>
      </c>
      <c r="CI288" s="319">
        <v>100</v>
      </c>
      <c r="CJ288" s="318">
        <f t="shared" si="229"/>
        <v>0.2</v>
      </c>
      <c r="CK288" s="1259">
        <v>494</v>
      </c>
      <c r="CL288" s="301">
        <f t="shared" si="230"/>
        <v>-394</v>
      </c>
      <c r="CM288" s="381">
        <f t="shared" si="231"/>
        <v>494</v>
      </c>
      <c r="CN288" s="381">
        <f t="shared" si="232"/>
        <v>494</v>
      </c>
      <c r="CO288" s="316">
        <f t="shared" si="247"/>
        <v>100</v>
      </c>
      <c r="CP288" s="381">
        <f t="shared" si="248"/>
        <v>6.6000000000000003E-2</v>
      </c>
      <c r="CQ288" s="381">
        <f t="shared" si="249"/>
        <v>0.32604</v>
      </c>
      <c r="CR288" s="313">
        <v>1577000000</v>
      </c>
      <c r="CS288" s="313">
        <v>1577000000</v>
      </c>
      <c r="CT288" s="313">
        <v>0</v>
      </c>
      <c r="CU288" s="313">
        <v>0</v>
      </c>
      <c r="CV288" s="313">
        <v>0</v>
      </c>
      <c r="CW288" s="313">
        <v>0</v>
      </c>
      <c r="CX288" s="313">
        <v>0</v>
      </c>
      <c r="CY288" s="313">
        <v>0</v>
      </c>
      <c r="CZ288" s="380">
        <v>0</v>
      </c>
      <c r="DA288" s="380">
        <v>0</v>
      </c>
      <c r="DB288" s="380">
        <v>0</v>
      </c>
      <c r="DC288" s="380">
        <v>0</v>
      </c>
      <c r="DD288" s="380">
        <v>0</v>
      </c>
      <c r="DE288" s="380">
        <v>0</v>
      </c>
      <c r="DF288" s="380">
        <v>0</v>
      </c>
      <c r="DG288" s="380">
        <v>0</v>
      </c>
      <c r="DH288" s="380">
        <v>0</v>
      </c>
      <c r="DI288" s="380">
        <v>0</v>
      </c>
      <c r="DJ288" s="380">
        <v>0</v>
      </c>
      <c r="DK288" s="702">
        <f t="shared" si="233"/>
        <v>700</v>
      </c>
      <c r="DL288" s="311">
        <f t="shared" si="250"/>
        <v>0.33</v>
      </c>
      <c r="DM288" s="310">
        <f t="shared" si="251"/>
        <v>140</v>
      </c>
      <c r="DN288" s="356">
        <f t="shared" si="252"/>
        <v>100</v>
      </c>
      <c r="DO288" s="308">
        <f t="shared" si="253"/>
        <v>0.33</v>
      </c>
      <c r="DP288" s="359">
        <f t="shared" si="261"/>
        <v>0.33</v>
      </c>
      <c r="DQ288" s="306">
        <f t="shared" si="254"/>
        <v>0.33</v>
      </c>
      <c r="DR288" s="379">
        <f t="shared" si="255"/>
        <v>1</v>
      </c>
      <c r="DS288" s="378">
        <f t="shared" si="256"/>
        <v>0</v>
      </c>
      <c r="DT288" s="173">
        <v>335</v>
      </c>
      <c r="DU288" s="174" t="s">
        <v>114</v>
      </c>
      <c r="DV288" s="173"/>
      <c r="DW288" s="174" t="s">
        <v>84</v>
      </c>
      <c r="DX288" s="173"/>
      <c r="DY288" s="173"/>
      <c r="DZ288" s="173"/>
      <c r="EA288" s="665"/>
      <c r="EB288" s="1254" t="s">
        <v>3107</v>
      </c>
      <c r="EC288" s="537">
        <v>100000000</v>
      </c>
      <c r="EE288" s="740">
        <v>0</v>
      </c>
      <c r="EF288" s="706"/>
    </row>
    <row r="289" spans="4:136" s="302" customFormat="1" ht="114.75" hidden="1">
      <c r="D289" s="520">
        <v>286</v>
      </c>
      <c r="E289" s="534">
        <v>338</v>
      </c>
      <c r="F289" s="336" t="s">
        <v>44</v>
      </c>
      <c r="G289" s="336" t="s">
        <v>13</v>
      </c>
      <c r="H289" s="336" t="s">
        <v>2662</v>
      </c>
      <c r="I289" s="336" t="s">
        <v>725</v>
      </c>
      <c r="J289" s="335" t="s">
        <v>1283</v>
      </c>
      <c r="K289" s="335" t="s">
        <v>1321</v>
      </c>
      <c r="L289" s="443" t="s">
        <v>1903</v>
      </c>
      <c r="M289" s="334" t="s">
        <v>1785</v>
      </c>
      <c r="N289" s="334">
        <v>0</v>
      </c>
      <c r="O289" s="333">
        <f>+P289</f>
        <v>100</v>
      </c>
      <c r="P289" s="332">
        <v>100</v>
      </c>
      <c r="Q289" s="393">
        <v>0.16500000000000001</v>
      </c>
      <c r="R289" s="342">
        <f t="shared" si="234"/>
        <v>4.1250000000000002E-2</v>
      </c>
      <c r="S289" s="389">
        <v>100</v>
      </c>
      <c r="T289" s="387">
        <f t="shared" si="220"/>
        <v>0.25</v>
      </c>
      <c r="U289" s="670">
        <v>100</v>
      </c>
      <c r="V289" s="388">
        <f t="shared" si="221"/>
        <v>25</v>
      </c>
      <c r="W289" s="356">
        <f t="shared" si="222"/>
        <v>100</v>
      </c>
      <c r="X289" s="356">
        <f t="shared" si="235"/>
        <v>100</v>
      </c>
      <c r="Y289" s="356">
        <f t="shared" si="259"/>
        <v>4.1250000000000002E-2</v>
      </c>
      <c r="Z289" s="356">
        <f t="shared" si="236"/>
        <v>100</v>
      </c>
      <c r="AA289" s="355">
        <v>0</v>
      </c>
      <c r="AB289" s="355">
        <v>0</v>
      </c>
      <c r="AC289" s="355">
        <v>0</v>
      </c>
      <c r="AD289" s="355">
        <v>0</v>
      </c>
      <c r="AE289" s="355">
        <v>0</v>
      </c>
      <c r="AF289" s="355">
        <v>0</v>
      </c>
      <c r="AG289" s="355">
        <v>0</v>
      </c>
      <c r="AH289" s="355">
        <v>0</v>
      </c>
      <c r="AI289" s="355">
        <v>0</v>
      </c>
      <c r="AJ289" s="355">
        <v>0</v>
      </c>
      <c r="AK289" s="355">
        <v>0</v>
      </c>
      <c r="AL289" s="355">
        <v>0</v>
      </c>
      <c r="AM289" s="355">
        <v>0</v>
      </c>
      <c r="AN289" s="355">
        <v>0</v>
      </c>
      <c r="AO289" s="355">
        <v>0</v>
      </c>
      <c r="AP289" s="355">
        <v>0</v>
      </c>
      <c r="AQ289" s="355">
        <v>0</v>
      </c>
      <c r="AR289" s="355">
        <v>0</v>
      </c>
      <c r="AS289" s="355">
        <v>0</v>
      </c>
      <c r="AT289" s="392">
        <f t="shared" si="237"/>
        <v>4.1250000000000002E-2</v>
      </c>
      <c r="AU289" s="334">
        <v>100</v>
      </c>
      <c r="AV289" s="387">
        <f t="shared" si="223"/>
        <v>0.25</v>
      </c>
      <c r="AW289" s="677">
        <v>100</v>
      </c>
      <c r="AX289" s="366">
        <f t="shared" si="224"/>
        <v>25</v>
      </c>
      <c r="AY289" s="366">
        <f t="shared" si="225"/>
        <v>100</v>
      </c>
      <c r="AZ289" s="366">
        <f t="shared" si="238"/>
        <v>100</v>
      </c>
      <c r="BA289" s="354">
        <f t="shared" si="239"/>
        <v>4.1250000000000002E-2</v>
      </c>
      <c r="BB289" s="354">
        <f t="shared" si="240"/>
        <v>100</v>
      </c>
      <c r="BC289" s="353">
        <v>0</v>
      </c>
      <c r="BD289" s="353">
        <v>0</v>
      </c>
      <c r="BE289" s="353">
        <v>0</v>
      </c>
      <c r="BF289" s="353">
        <v>0</v>
      </c>
      <c r="BG289" s="353">
        <v>0</v>
      </c>
      <c r="BH289" s="353">
        <v>0</v>
      </c>
      <c r="BI289" s="353">
        <v>0</v>
      </c>
      <c r="BJ289" s="353">
        <v>0</v>
      </c>
      <c r="BK289" s="386">
        <v>372011025</v>
      </c>
      <c r="BL289" s="351">
        <v>0</v>
      </c>
      <c r="BM289" s="351">
        <v>0</v>
      </c>
      <c r="BN289" s="351">
        <v>0</v>
      </c>
      <c r="BO289" s="351">
        <v>0</v>
      </c>
      <c r="BP289" s="351">
        <v>0</v>
      </c>
      <c r="BQ289" s="351">
        <v>0</v>
      </c>
      <c r="BR289" s="351">
        <v>372011025</v>
      </c>
      <c r="BS289" s="351">
        <v>0</v>
      </c>
      <c r="BT289" s="351">
        <v>0</v>
      </c>
      <c r="BU289" s="351">
        <v>0</v>
      </c>
      <c r="BV289" s="350">
        <f t="shared" si="241"/>
        <v>4.1250000000000002E-2</v>
      </c>
      <c r="BW289" s="350">
        <v>100</v>
      </c>
      <c r="BX289" s="385">
        <f t="shared" si="226"/>
        <v>0.25</v>
      </c>
      <c r="BY289" s="349">
        <v>100</v>
      </c>
      <c r="BZ289" s="1388">
        <v>116</v>
      </c>
      <c r="CA289" s="694">
        <v>116</v>
      </c>
      <c r="CB289" s="324">
        <f t="shared" si="227"/>
        <v>29</v>
      </c>
      <c r="CC289" s="324">
        <f t="shared" si="228"/>
        <v>116</v>
      </c>
      <c r="CD289" s="384">
        <f t="shared" si="242"/>
        <v>100</v>
      </c>
      <c r="CE289" s="383">
        <f t="shared" si="243"/>
        <v>4.1250000000000002E-2</v>
      </c>
      <c r="CF289" s="367">
        <f t="shared" si="244"/>
        <v>100</v>
      </c>
      <c r="CG289" s="383">
        <f t="shared" si="245"/>
        <v>4.7850000000000004E-2</v>
      </c>
      <c r="CH289" s="320">
        <f t="shared" si="246"/>
        <v>4.1250000000000002E-2</v>
      </c>
      <c r="CI289" s="319">
        <v>100</v>
      </c>
      <c r="CJ289" s="318">
        <f t="shared" si="229"/>
        <v>0.25</v>
      </c>
      <c r="CK289" s="1259">
        <v>100</v>
      </c>
      <c r="CL289" s="301">
        <f t="shared" si="230"/>
        <v>0</v>
      </c>
      <c r="CM289" s="381">
        <f t="shared" si="231"/>
        <v>25</v>
      </c>
      <c r="CN289" s="381">
        <f t="shared" si="232"/>
        <v>100</v>
      </c>
      <c r="CO289" s="381">
        <f t="shared" si="247"/>
        <v>100</v>
      </c>
      <c r="CP289" s="381">
        <f t="shared" si="248"/>
        <v>4.1250000000000002E-2</v>
      </c>
      <c r="CQ289" s="381">
        <f t="shared" si="249"/>
        <v>4.1250000000000002E-2</v>
      </c>
      <c r="CR289" s="313">
        <v>0</v>
      </c>
      <c r="CS289" s="313">
        <v>0</v>
      </c>
      <c r="CT289" s="313">
        <v>0</v>
      </c>
      <c r="CU289" s="313">
        <v>0</v>
      </c>
      <c r="CV289" s="313">
        <v>0</v>
      </c>
      <c r="CW289" s="313">
        <v>0</v>
      </c>
      <c r="CX289" s="313">
        <v>0</v>
      </c>
      <c r="CY289" s="313">
        <v>0</v>
      </c>
      <c r="CZ289" s="380">
        <v>0</v>
      </c>
      <c r="DA289" s="380">
        <v>0</v>
      </c>
      <c r="DB289" s="380">
        <v>0</v>
      </c>
      <c r="DC289" s="380">
        <v>0</v>
      </c>
      <c r="DD289" s="380">
        <v>0</v>
      </c>
      <c r="DE289" s="380">
        <v>0</v>
      </c>
      <c r="DF289" s="380">
        <v>0</v>
      </c>
      <c r="DG289" s="380">
        <v>0</v>
      </c>
      <c r="DH289" s="380">
        <v>0</v>
      </c>
      <c r="DI289" s="380">
        <v>0</v>
      </c>
      <c r="DJ289" s="380">
        <v>0</v>
      </c>
      <c r="DK289" s="702">
        <f t="shared" si="233"/>
        <v>104</v>
      </c>
      <c r="DL289" s="311">
        <f t="shared" si="250"/>
        <v>0.16500000000000001</v>
      </c>
      <c r="DM289" s="310">
        <f t="shared" si="251"/>
        <v>104</v>
      </c>
      <c r="DN289" s="356">
        <f t="shared" si="252"/>
        <v>100</v>
      </c>
      <c r="DO289" s="308">
        <f t="shared" si="253"/>
        <v>0.16500000000000001</v>
      </c>
      <c r="DP289" s="359">
        <f>+IF(M289="M",DO289,0)</f>
        <v>0.16500000000000001</v>
      </c>
      <c r="DQ289" s="306">
        <f t="shared" si="254"/>
        <v>0.16500000000000001</v>
      </c>
      <c r="DR289" s="379">
        <f t="shared" si="255"/>
        <v>1</v>
      </c>
      <c r="DS289" s="378">
        <f t="shared" si="256"/>
        <v>0</v>
      </c>
      <c r="DT289" s="173">
        <v>334</v>
      </c>
      <c r="DU289" s="174" t="s">
        <v>115</v>
      </c>
      <c r="DV289" s="173"/>
      <c r="DW289" s="174" t="s">
        <v>84</v>
      </c>
      <c r="DX289" s="173"/>
      <c r="DY289" s="173"/>
      <c r="DZ289" s="173"/>
      <c r="EA289" s="665"/>
      <c r="EB289" s="1254" t="s">
        <v>2548</v>
      </c>
      <c r="EC289" s="537">
        <v>810000000</v>
      </c>
      <c r="EE289" s="740">
        <v>50</v>
      </c>
      <c r="EF289" s="706"/>
    </row>
    <row r="290" spans="4:136" s="302" customFormat="1" ht="89.25" hidden="1">
      <c r="D290" s="520">
        <v>287</v>
      </c>
      <c r="E290" s="534">
        <v>339</v>
      </c>
      <c r="F290" s="479" t="s">
        <v>44</v>
      </c>
      <c r="G290" s="479" t="s">
        <v>13</v>
      </c>
      <c r="H290" s="479" t="s">
        <v>2662</v>
      </c>
      <c r="I290" s="435" t="s">
        <v>730</v>
      </c>
      <c r="J290" s="335" t="s">
        <v>731</v>
      </c>
      <c r="K290" s="335" t="s">
        <v>2327</v>
      </c>
      <c r="L290" s="443" t="s">
        <v>1480</v>
      </c>
      <c r="M290" s="334" t="s">
        <v>1771</v>
      </c>
      <c r="N290" s="334">
        <v>0</v>
      </c>
      <c r="O290" s="333">
        <f t="shared" ref="O290:O309" si="262">+N290+P290</f>
        <v>400</v>
      </c>
      <c r="P290" s="332">
        <v>400</v>
      </c>
      <c r="Q290" s="390">
        <v>0.25</v>
      </c>
      <c r="R290" s="342">
        <f t="shared" si="234"/>
        <v>1.8749999999999999E-2</v>
      </c>
      <c r="S290" s="389">
        <v>30</v>
      </c>
      <c r="T290" s="387">
        <f t="shared" si="220"/>
        <v>7.4999999999999997E-2</v>
      </c>
      <c r="U290" s="670">
        <v>48</v>
      </c>
      <c r="V290" s="388">
        <f t="shared" si="221"/>
        <v>48</v>
      </c>
      <c r="W290" s="356">
        <f t="shared" si="222"/>
        <v>160</v>
      </c>
      <c r="X290" s="356">
        <f t="shared" si="235"/>
        <v>100</v>
      </c>
      <c r="Y290" s="356">
        <f t="shared" si="259"/>
        <v>1.8749999999999999E-2</v>
      </c>
      <c r="Z290" s="356">
        <f t="shared" si="236"/>
        <v>100</v>
      </c>
      <c r="AA290" s="355">
        <v>0</v>
      </c>
      <c r="AB290" s="355">
        <v>0</v>
      </c>
      <c r="AC290" s="355">
        <v>0</v>
      </c>
      <c r="AD290" s="355">
        <v>0</v>
      </c>
      <c r="AE290" s="355">
        <v>0</v>
      </c>
      <c r="AF290" s="355">
        <v>0</v>
      </c>
      <c r="AG290" s="355">
        <v>0</v>
      </c>
      <c r="AH290" s="355">
        <v>0</v>
      </c>
      <c r="AI290" s="355">
        <v>0</v>
      </c>
      <c r="AJ290" s="355">
        <v>0</v>
      </c>
      <c r="AK290" s="355">
        <v>0</v>
      </c>
      <c r="AL290" s="355">
        <v>0</v>
      </c>
      <c r="AM290" s="355">
        <v>0</v>
      </c>
      <c r="AN290" s="355">
        <v>0</v>
      </c>
      <c r="AO290" s="355">
        <v>0</v>
      </c>
      <c r="AP290" s="355">
        <v>0</v>
      </c>
      <c r="AQ290" s="355">
        <v>0</v>
      </c>
      <c r="AR290" s="355">
        <v>0</v>
      </c>
      <c r="AS290" s="355">
        <v>0</v>
      </c>
      <c r="AT290" s="333">
        <f t="shared" si="237"/>
        <v>9.375E-2</v>
      </c>
      <c r="AU290" s="334">
        <v>150</v>
      </c>
      <c r="AV290" s="387">
        <f t="shared" si="223"/>
        <v>0.375</v>
      </c>
      <c r="AW290" s="677">
        <v>80</v>
      </c>
      <c r="AX290" s="366">
        <f t="shared" si="224"/>
        <v>80</v>
      </c>
      <c r="AY290" s="366">
        <f t="shared" si="225"/>
        <v>53.333333333333336</v>
      </c>
      <c r="AZ290" s="366">
        <f t="shared" si="238"/>
        <v>53.333333333333336</v>
      </c>
      <c r="BA290" s="354">
        <f t="shared" si="239"/>
        <v>0.05</v>
      </c>
      <c r="BB290" s="354">
        <f t="shared" si="240"/>
        <v>53.333333333333336</v>
      </c>
      <c r="BC290" s="353">
        <v>0</v>
      </c>
      <c r="BD290" s="353">
        <v>0</v>
      </c>
      <c r="BE290" s="353">
        <v>0</v>
      </c>
      <c r="BF290" s="353">
        <v>0</v>
      </c>
      <c r="BG290" s="353">
        <v>0</v>
      </c>
      <c r="BH290" s="353">
        <v>0</v>
      </c>
      <c r="BI290" s="353">
        <v>0</v>
      </c>
      <c r="BJ290" s="353">
        <v>0</v>
      </c>
      <c r="BK290" s="386">
        <v>0</v>
      </c>
      <c r="BL290" s="351">
        <v>0</v>
      </c>
      <c r="BM290" s="351">
        <v>0</v>
      </c>
      <c r="BN290" s="351">
        <v>0</v>
      </c>
      <c r="BO290" s="351">
        <v>0</v>
      </c>
      <c r="BP290" s="351">
        <v>0</v>
      </c>
      <c r="BQ290" s="351">
        <v>0</v>
      </c>
      <c r="BR290" s="351">
        <v>0</v>
      </c>
      <c r="BS290" s="351">
        <v>0</v>
      </c>
      <c r="BT290" s="351">
        <v>0</v>
      </c>
      <c r="BU290" s="351">
        <v>0</v>
      </c>
      <c r="BV290" s="350">
        <f t="shared" si="241"/>
        <v>6.25E-2</v>
      </c>
      <c r="BW290" s="350">
        <v>100</v>
      </c>
      <c r="BX290" s="385">
        <f t="shared" si="226"/>
        <v>0.25</v>
      </c>
      <c r="BY290" s="395">
        <v>21</v>
      </c>
      <c r="BZ290" s="401">
        <v>21</v>
      </c>
      <c r="CA290" s="691">
        <v>21</v>
      </c>
      <c r="CB290" s="324">
        <f t="shared" si="227"/>
        <v>21</v>
      </c>
      <c r="CC290" s="324">
        <f t="shared" si="228"/>
        <v>21</v>
      </c>
      <c r="CD290" s="384">
        <f t="shared" si="242"/>
        <v>21</v>
      </c>
      <c r="CE290" s="383">
        <f t="shared" si="243"/>
        <v>1.3125E-2</v>
      </c>
      <c r="CF290" s="367">
        <f t="shared" si="244"/>
        <v>21</v>
      </c>
      <c r="CG290" s="383">
        <f t="shared" si="245"/>
        <v>1.3125E-2</v>
      </c>
      <c r="CH290" s="320">
        <f t="shared" si="246"/>
        <v>7.4999999999999997E-2</v>
      </c>
      <c r="CI290" s="319">
        <v>120</v>
      </c>
      <c r="CJ290" s="318">
        <f t="shared" si="229"/>
        <v>0.3</v>
      </c>
      <c r="CK290" s="1259">
        <v>606.20000000000005</v>
      </c>
      <c r="CL290" s="301">
        <f t="shared" si="230"/>
        <v>-486.20000000000005</v>
      </c>
      <c r="CM290" s="381">
        <f t="shared" si="231"/>
        <v>606.20000000000005</v>
      </c>
      <c r="CN290" s="381">
        <f t="shared" si="232"/>
        <v>505.16666666666674</v>
      </c>
      <c r="CO290" s="316">
        <f t="shared" si="247"/>
        <v>100</v>
      </c>
      <c r="CP290" s="381">
        <f t="shared" si="248"/>
        <v>7.4999999999999997E-2</v>
      </c>
      <c r="CQ290" s="381">
        <f t="shared" si="249"/>
        <v>0.37887500000000002</v>
      </c>
      <c r="CR290" s="313">
        <v>0</v>
      </c>
      <c r="CS290" s="313">
        <v>0</v>
      </c>
      <c r="CT290" s="313">
        <v>0</v>
      </c>
      <c r="CU290" s="313">
        <v>0</v>
      </c>
      <c r="CV290" s="313">
        <v>0</v>
      </c>
      <c r="CW290" s="313">
        <v>0</v>
      </c>
      <c r="CX290" s="313">
        <v>0</v>
      </c>
      <c r="CY290" s="313">
        <v>0</v>
      </c>
      <c r="CZ290" s="380">
        <v>0</v>
      </c>
      <c r="DA290" s="380">
        <v>0</v>
      </c>
      <c r="DB290" s="380">
        <v>0</v>
      </c>
      <c r="DC290" s="380">
        <v>0</v>
      </c>
      <c r="DD290" s="380">
        <v>0</v>
      </c>
      <c r="DE290" s="380">
        <v>0</v>
      </c>
      <c r="DF290" s="380">
        <v>0</v>
      </c>
      <c r="DG290" s="380">
        <v>0</v>
      </c>
      <c r="DH290" s="380">
        <v>0</v>
      </c>
      <c r="DI290" s="380">
        <v>0</v>
      </c>
      <c r="DJ290" s="380">
        <v>0</v>
      </c>
      <c r="DK290" s="702">
        <f t="shared" si="233"/>
        <v>755.2</v>
      </c>
      <c r="DL290" s="311">
        <f t="shared" si="250"/>
        <v>0.25</v>
      </c>
      <c r="DM290" s="310">
        <f t="shared" si="251"/>
        <v>188.8</v>
      </c>
      <c r="DN290" s="356">
        <f t="shared" si="252"/>
        <v>100</v>
      </c>
      <c r="DO290" s="308">
        <f t="shared" si="253"/>
        <v>0.25</v>
      </c>
      <c r="DP290" s="359">
        <f t="shared" ref="DP290:DP309" si="263">+IF(((DN290*Q290)/100)&lt;Q290, ((DN290*Q290)/100),Q290)</f>
        <v>0.25</v>
      </c>
      <c r="DQ290" s="306">
        <f t="shared" si="254"/>
        <v>0.25</v>
      </c>
      <c r="DR290" s="379">
        <f t="shared" si="255"/>
        <v>1</v>
      </c>
      <c r="DS290" s="378">
        <f t="shared" si="256"/>
        <v>0</v>
      </c>
      <c r="DT290" s="173">
        <v>335</v>
      </c>
      <c r="DU290" s="174" t="s">
        <v>114</v>
      </c>
      <c r="DV290" s="173"/>
      <c r="DW290" s="174" t="s">
        <v>84</v>
      </c>
      <c r="DX290" s="173"/>
      <c r="DY290" s="173"/>
      <c r="DZ290" s="173"/>
      <c r="EA290" s="665"/>
      <c r="EB290" s="1254" t="s">
        <v>3108</v>
      </c>
      <c r="EC290" s="537">
        <v>98729000000</v>
      </c>
      <c r="EE290" s="740">
        <v>100</v>
      </c>
      <c r="EF290" s="706"/>
    </row>
    <row r="291" spans="4:136" s="302" customFormat="1" ht="102" hidden="1">
      <c r="D291" s="520">
        <v>288</v>
      </c>
      <c r="E291" s="534">
        <v>340</v>
      </c>
      <c r="F291" s="479" t="s">
        <v>44</v>
      </c>
      <c r="G291" s="479" t="s">
        <v>13</v>
      </c>
      <c r="H291" s="479" t="s">
        <v>2662</v>
      </c>
      <c r="I291" s="435" t="s">
        <v>730</v>
      </c>
      <c r="J291" s="335" t="s">
        <v>732</v>
      </c>
      <c r="K291" s="335" t="s">
        <v>733</v>
      </c>
      <c r="L291" s="443" t="s">
        <v>1942</v>
      </c>
      <c r="M291" s="334" t="s">
        <v>1771</v>
      </c>
      <c r="N291" s="334">
        <v>6</v>
      </c>
      <c r="O291" s="333">
        <f t="shared" si="262"/>
        <v>10</v>
      </c>
      <c r="P291" s="332">
        <v>4</v>
      </c>
      <c r="Q291" s="390">
        <v>0.16500000000000001</v>
      </c>
      <c r="R291" s="342">
        <f t="shared" si="234"/>
        <v>4.1250000000000002E-2</v>
      </c>
      <c r="S291" s="389">
        <v>1</v>
      </c>
      <c r="T291" s="387">
        <f t="shared" si="220"/>
        <v>0.25</v>
      </c>
      <c r="U291" s="670">
        <v>1</v>
      </c>
      <c r="V291" s="388">
        <f t="shared" si="221"/>
        <v>1</v>
      </c>
      <c r="W291" s="356">
        <f t="shared" si="222"/>
        <v>100</v>
      </c>
      <c r="X291" s="356">
        <f t="shared" si="235"/>
        <v>100</v>
      </c>
      <c r="Y291" s="356">
        <f t="shared" si="259"/>
        <v>4.1250000000000002E-2</v>
      </c>
      <c r="Z291" s="356">
        <f t="shared" si="236"/>
        <v>100</v>
      </c>
      <c r="AA291" s="355">
        <v>256000000</v>
      </c>
      <c r="AB291" s="355">
        <v>256000000</v>
      </c>
      <c r="AC291" s="355">
        <v>0</v>
      </c>
      <c r="AD291" s="355">
        <v>0</v>
      </c>
      <c r="AE291" s="355">
        <v>0</v>
      </c>
      <c r="AF291" s="355">
        <v>0</v>
      </c>
      <c r="AG291" s="355">
        <v>0</v>
      </c>
      <c r="AH291" s="355">
        <v>0</v>
      </c>
      <c r="AI291" s="355">
        <v>256844000</v>
      </c>
      <c r="AJ291" s="355">
        <v>256844000</v>
      </c>
      <c r="AK291" s="355">
        <v>0</v>
      </c>
      <c r="AL291" s="355">
        <v>0</v>
      </c>
      <c r="AM291" s="355">
        <v>0</v>
      </c>
      <c r="AN291" s="355">
        <v>0</v>
      </c>
      <c r="AO291" s="355">
        <v>0</v>
      </c>
      <c r="AP291" s="355">
        <v>0</v>
      </c>
      <c r="AQ291" s="355">
        <v>0</v>
      </c>
      <c r="AR291" s="355">
        <v>0</v>
      </c>
      <c r="AS291" s="355">
        <v>0</v>
      </c>
      <c r="AT291" s="333">
        <f t="shared" si="237"/>
        <v>4.1250000000000002E-2</v>
      </c>
      <c r="AU291" s="334">
        <v>1</v>
      </c>
      <c r="AV291" s="387">
        <f t="shared" si="223"/>
        <v>0.25</v>
      </c>
      <c r="AW291" s="677">
        <v>1</v>
      </c>
      <c r="AX291" s="366">
        <f t="shared" si="224"/>
        <v>1</v>
      </c>
      <c r="AY291" s="366">
        <f t="shared" si="225"/>
        <v>100</v>
      </c>
      <c r="AZ291" s="366">
        <f t="shared" si="238"/>
        <v>100</v>
      </c>
      <c r="BA291" s="354">
        <f t="shared" si="239"/>
        <v>4.1250000000000002E-2</v>
      </c>
      <c r="BB291" s="354">
        <f t="shared" si="240"/>
        <v>100</v>
      </c>
      <c r="BC291" s="353">
        <v>130000000</v>
      </c>
      <c r="BD291" s="353">
        <v>0</v>
      </c>
      <c r="BE291" s="353">
        <v>130000000</v>
      </c>
      <c r="BF291" s="353">
        <v>0</v>
      </c>
      <c r="BG291" s="353">
        <v>0</v>
      </c>
      <c r="BH291" s="353">
        <v>0</v>
      </c>
      <c r="BI291" s="353">
        <v>0</v>
      </c>
      <c r="BJ291" s="353">
        <v>0</v>
      </c>
      <c r="BK291" s="386">
        <v>130000000</v>
      </c>
      <c r="BL291" s="351">
        <v>130000000</v>
      </c>
      <c r="BM291" s="351">
        <v>0</v>
      </c>
      <c r="BN291" s="351">
        <v>0</v>
      </c>
      <c r="BO291" s="351">
        <v>0</v>
      </c>
      <c r="BP291" s="351">
        <v>0</v>
      </c>
      <c r="BQ291" s="351">
        <v>0</v>
      </c>
      <c r="BR291" s="351">
        <v>0</v>
      </c>
      <c r="BS291" s="351">
        <v>0</v>
      </c>
      <c r="BT291" s="351">
        <v>762900000</v>
      </c>
      <c r="BU291" s="351" t="s">
        <v>2328</v>
      </c>
      <c r="BV291" s="350">
        <f t="shared" si="241"/>
        <v>4.1250000000000002E-2</v>
      </c>
      <c r="BW291" s="350">
        <v>1</v>
      </c>
      <c r="BX291" s="385">
        <f t="shared" si="226"/>
        <v>0.25</v>
      </c>
      <c r="BY291" s="349">
        <v>1</v>
      </c>
      <c r="BZ291" s="405">
        <v>1</v>
      </c>
      <c r="CA291" s="689">
        <v>1</v>
      </c>
      <c r="CB291" s="324">
        <f t="shared" si="227"/>
        <v>1</v>
      </c>
      <c r="CC291" s="324">
        <f t="shared" si="228"/>
        <v>100</v>
      </c>
      <c r="CD291" s="384">
        <f t="shared" si="242"/>
        <v>100</v>
      </c>
      <c r="CE291" s="383">
        <f t="shared" si="243"/>
        <v>4.1250000000000002E-2</v>
      </c>
      <c r="CF291" s="367">
        <f t="shared" si="244"/>
        <v>100</v>
      </c>
      <c r="CG291" s="383">
        <f t="shared" si="245"/>
        <v>4.1250000000000002E-2</v>
      </c>
      <c r="CH291" s="320">
        <f t="shared" si="246"/>
        <v>4.1250000000000002E-2</v>
      </c>
      <c r="CI291" s="319">
        <v>1</v>
      </c>
      <c r="CJ291" s="318">
        <f t="shared" si="229"/>
        <v>0.25</v>
      </c>
      <c r="CK291" s="1259">
        <v>2</v>
      </c>
      <c r="CL291" s="301">
        <f t="shared" si="230"/>
        <v>-1</v>
      </c>
      <c r="CM291" s="381">
        <f t="shared" si="231"/>
        <v>2</v>
      </c>
      <c r="CN291" s="381">
        <f t="shared" si="232"/>
        <v>200</v>
      </c>
      <c r="CO291" s="316">
        <f t="shared" si="247"/>
        <v>100</v>
      </c>
      <c r="CP291" s="381">
        <f t="shared" si="248"/>
        <v>4.1250000000000002E-2</v>
      </c>
      <c r="CQ291" s="381">
        <f t="shared" si="249"/>
        <v>8.2500000000000004E-2</v>
      </c>
      <c r="CR291" s="313">
        <v>290000000</v>
      </c>
      <c r="CS291" s="313">
        <v>290000000</v>
      </c>
      <c r="CT291" s="313">
        <v>0</v>
      </c>
      <c r="CU291" s="313">
        <v>0</v>
      </c>
      <c r="CV291" s="313">
        <v>0</v>
      </c>
      <c r="CW291" s="313">
        <v>0</v>
      </c>
      <c r="CX291" s="313">
        <v>0</v>
      </c>
      <c r="CY291" s="313">
        <v>0</v>
      </c>
      <c r="CZ291" s="380">
        <v>0</v>
      </c>
      <c r="DA291" s="380">
        <v>0</v>
      </c>
      <c r="DB291" s="380">
        <v>0</v>
      </c>
      <c r="DC291" s="380">
        <v>0</v>
      </c>
      <c r="DD291" s="380">
        <v>0</v>
      </c>
      <c r="DE291" s="380">
        <v>0</v>
      </c>
      <c r="DF291" s="380">
        <v>0</v>
      </c>
      <c r="DG291" s="380">
        <v>0</v>
      </c>
      <c r="DH291" s="380">
        <v>0</v>
      </c>
      <c r="DI291" s="380">
        <v>0</v>
      </c>
      <c r="DJ291" s="380">
        <v>0</v>
      </c>
      <c r="DK291" s="702">
        <f t="shared" si="233"/>
        <v>5</v>
      </c>
      <c r="DL291" s="311">
        <f t="shared" si="250"/>
        <v>0.16500000000000001</v>
      </c>
      <c r="DM291" s="310">
        <f t="shared" si="251"/>
        <v>125</v>
      </c>
      <c r="DN291" s="356">
        <f t="shared" si="252"/>
        <v>100</v>
      </c>
      <c r="DO291" s="308">
        <f t="shared" si="253"/>
        <v>0.16500000000000001</v>
      </c>
      <c r="DP291" s="359">
        <f t="shared" si="263"/>
        <v>0.16500000000000001</v>
      </c>
      <c r="DQ291" s="306">
        <f t="shared" si="254"/>
        <v>0.16500000000000001</v>
      </c>
      <c r="DR291" s="379">
        <f t="shared" si="255"/>
        <v>1</v>
      </c>
      <c r="DS291" s="378">
        <f t="shared" si="256"/>
        <v>0</v>
      </c>
      <c r="DT291" s="173">
        <v>334</v>
      </c>
      <c r="DU291" s="174" t="s">
        <v>115</v>
      </c>
      <c r="DV291" s="173"/>
      <c r="DW291" s="174" t="s">
        <v>84</v>
      </c>
      <c r="DX291" s="173"/>
      <c r="DY291" s="173"/>
      <c r="DZ291" s="173"/>
      <c r="EA291" s="665"/>
      <c r="EB291" s="1254" t="s">
        <v>2549</v>
      </c>
      <c r="EC291" s="537">
        <v>240000000</v>
      </c>
      <c r="EE291" s="740">
        <v>80</v>
      </c>
      <c r="EF291" s="706"/>
    </row>
    <row r="292" spans="4:136" s="302" customFormat="1" ht="89.25" hidden="1">
      <c r="D292" s="520">
        <v>289</v>
      </c>
      <c r="E292" s="534">
        <v>341</v>
      </c>
      <c r="F292" s="479" t="s">
        <v>44</v>
      </c>
      <c r="G292" s="479" t="s">
        <v>13</v>
      </c>
      <c r="H292" s="479" t="s">
        <v>2662</v>
      </c>
      <c r="I292" s="435" t="s">
        <v>730</v>
      </c>
      <c r="J292" s="335" t="s">
        <v>734</v>
      </c>
      <c r="K292" s="335" t="s">
        <v>735</v>
      </c>
      <c r="L292" s="443" t="s">
        <v>1773</v>
      </c>
      <c r="M292" s="334" t="s">
        <v>1771</v>
      </c>
      <c r="N292" s="334">
        <v>0</v>
      </c>
      <c r="O292" s="333">
        <f t="shared" si="262"/>
        <v>2</v>
      </c>
      <c r="P292" s="332">
        <v>2</v>
      </c>
      <c r="Q292" s="390">
        <v>0.16500000000000001</v>
      </c>
      <c r="R292" s="342">
        <f t="shared" si="234"/>
        <v>0</v>
      </c>
      <c r="S292" s="389">
        <v>0</v>
      </c>
      <c r="T292" s="387">
        <f t="shared" si="220"/>
        <v>0</v>
      </c>
      <c r="U292" s="670">
        <v>0</v>
      </c>
      <c r="V292" s="388">
        <f t="shared" si="221"/>
        <v>0</v>
      </c>
      <c r="W292" s="356">
        <f t="shared" si="222"/>
        <v>0</v>
      </c>
      <c r="X292" s="356">
        <f t="shared" si="235"/>
        <v>0</v>
      </c>
      <c r="Y292" s="356">
        <f t="shared" si="259"/>
        <v>0</v>
      </c>
      <c r="Z292" s="356">
        <f t="shared" si="236"/>
        <v>0</v>
      </c>
      <c r="AA292" s="355">
        <v>0</v>
      </c>
      <c r="AB292" s="355">
        <v>0</v>
      </c>
      <c r="AC292" s="355">
        <v>0</v>
      </c>
      <c r="AD292" s="355">
        <v>0</v>
      </c>
      <c r="AE292" s="355">
        <v>0</v>
      </c>
      <c r="AF292" s="355">
        <v>0</v>
      </c>
      <c r="AG292" s="355">
        <v>0</v>
      </c>
      <c r="AH292" s="355">
        <v>0</v>
      </c>
      <c r="AI292" s="355">
        <v>0</v>
      </c>
      <c r="AJ292" s="355">
        <v>0</v>
      </c>
      <c r="AK292" s="355">
        <v>0</v>
      </c>
      <c r="AL292" s="355">
        <v>0</v>
      </c>
      <c r="AM292" s="355">
        <v>0</v>
      </c>
      <c r="AN292" s="355">
        <v>0</v>
      </c>
      <c r="AO292" s="355">
        <v>0</v>
      </c>
      <c r="AP292" s="355">
        <v>0</v>
      </c>
      <c r="AQ292" s="355">
        <v>0</v>
      </c>
      <c r="AR292" s="355">
        <v>0</v>
      </c>
      <c r="AS292" s="355">
        <v>0</v>
      </c>
      <c r="AT292" s="333">
        <f t="shared" si="237"/>
        <v>0</v>
      </c>
      <c r="AU292" s="334">
        <v>0</v>
      </c>
      <c r="AV292" s="387">
        <f t="shared" si="223"/>
        <v>0</v>
      </c>
      <c r="AW292" s="677">
        <v>0.4</v>
      </c>
      <c r="AX292" s="366">
        <f t="shared" si="224"/>
        <v>0.4</v>
      </c>
      <c r="AY292" s="366">
        <f t="shared" si="225"/>
        <v>0</v>
      </c>
      <c r="AZ292" s="366">
        <f t="shared" si="238"/>
        <v>0</v>
      </c>
      <c r="BA292" s="354">
        <f t="shared" si="239"/>
        <v>0</v>
      </c>
      <c r="BB292" s="354">
        <f t="shared" si="240"/>
        <v>100</v>
      </c>
      <c r="BC292" s="353">
        <v>0</v>
      </c>
      <c r="BD292" s="353">
        <v>0</v>
      </c>
      <c r="BE292" s="353">
        <v>0</v>
      </c>
      <c r="BF292" s="353">
        <v>0</v>
      </c>
      <c r="BG292" s="353">
        <v>0</v>
      </c>
      <c r="BH292" s="353">
        <v>0</v>
      </c>
      <c r="BI292" s="353">
        <v>0</v>
      </c>
      <c r="BJ292" s="353">
        <v>0</v>
      </c>
      <c r="BK292" s="386">
        <v>400000000</v>
      </c>
      <c r="BL292" s="351">
        <v>400000000</v>
      </c>
      <c r="BM292" s="351">
        <v>0</v>
      </c>
      <c r="BN292" s="351">
        <v>0</v>
      </c>
      <c r="BO292" s="351">
        <v>0</v>
      </c>
      <c r="BP292" s="351">
        <v>0</v>
      </c>
      <c r="BQ292" s="351">
        <v>0</v>
      </c>
      <c r="BR292" s="351">
        <v>0</v>
      </c>
      <c r="BS292" s="351">
        <v>0</v>
      </c>
      <c r="BT292" s="351">
        <v>56000000</v>
      </c>
      <c r="BU292" s="351" t="s">
        <v>1941</v>
      </c>
      <c r="BV292" s="350">
        <f t="shared" si="241"/>
        <v>8.2500000000000004E-2</v>
      </c>
      <c r="BW292" s="350">
        <v>1</v>
      </c>
      <c r="BX292" s="385">
        <f t="shared" si="226"/>
        <v>0.5</v>
      </c>
      <c r="BY292" s="395">
        <v>1</v>
      </c>
      <c r="BZ292" s="401">
        <v>1</v>
      </c>
      <c r="CA292" s="691">
        <v>1</v>
      </c>
      <c r="CB292" s="324">
        <f t="shared" si="227"/>
        <v>1</v>
      </c>
      <c r="CC292" s="324">
        <f t="shared" si="228"/>
        <v>100</v>
      </c>
      <c r="CD292" s="384">
        <f t="shared" si="242"/>
        <v>100</v>
      </c>
      <c r="CE292" s="383">
        <f t="shared" si="243"/>
        <v>8.2500000000000004E-2</v>
      </c>
      <c r="CF292" s="367">
        <f t="shared" si="244"/>
        <v>100</v>
      </c>
      <c r="CG292" s="383">
        <f t="shared" si="245"/>
        <v>8.2500000000000004E-2</v>
      </c>
      <c r="CH292" s="320">
        <f t="shared" si="246"/>
        <v>8.2500000000000004E-2</v>
      </c>
      <c r="CI292" s="319">
        <v>1</v>
      </c>
      <c r="CJ292" s="318">
        <f t="shared" si="229"/>
        <v>0.5</v>
      </c>
      <c r="CK292" s="1259">
        <v>1</v>
      </c>
      <c r="CL292" s="301">
        <f t="shared" si="230"/>
        <v>0</v>
      </c>
      <c r="CM292" s="381">
        <f t="shared" si="231"/>
        <v>1</v>
      </c>
      <c r="CN292" s="381">
        <f t="shared" si="232"/>
        <v>100</v>
      </c>
      <c r="CO292" s="316">
        <f t="shared" si="247"/>
        <v>100</v>
      </c>
      <c r="CP292" s="381">
        <f t="shared" si="248"/>
        <v>8.2500000000000004E-2</v>
      </c>
      <c r="CQ292" s="381">
        <f t="shared" si="249"/>
        <v>8.2500000000000004E-2</v>
      </c>
      <c r="CR292" s="313">
        <v>0</v>
      </c>
      <c r="CS292" s="313">
        <v>0</v>
      </c>
      <c r="CT292" s="313">
        <v>0</v>
      </c>
      <c r="CU292" s="313">
        <v>0</v>
      </c>
      <c r="CV292" s="313">
        <v>0</v>
      </c>
      <c r="CW292" s="313">
        <v>0</v>
      </c>
      <c r="CX292" s="313">
        <v>0</v>
      </c>
      <c r="CY292" s="313">
        <v>0</v>
      </c>
      <c r="CZ292" s="380">
        <v>0</v>
      </c>
      <c r="DA292" s="380">
        <v>0</v>
      </c>
      <c r="DB292" s="380">
        <v>0</v>
      </c>
      <c r="DC292" s="380">
        <v>0</v>
      </c>
      <c r="DD292" s="380">
        <v>0</v>
      </c>
      <c r="DE292" s="380">
        <v>0</v>
      </c>
      <c r="DF292" s="380">
        <v>0</v>
      </c>
      <c r="DG292" s="380">
        <v>0</v>
      </c>
      <c r="DH292" s="380">
        <v>0</v>
      </c>
      <c r="DI292" s="380">
        <v>0</v>
      </c>
      <c r="DJ292" s="380">
        <v>0</v>
      </c>
      <c r="DK292" s="702">
        <f t="shared" si="233"/>
        <v>2.4</v>
      </c>
      <c r="DL292" s="311">
        <f t="shared" si="250"/>
        <v>0.16500000000000001</v>
      </c>
      <c r="DM292" s="310">
        <f t="shared" si="251"/>
        <v>120</v>
      </c>
      <c r="DN292" s="356">
        <f t="shared" si="252"/>
        <v>100</v>
      </c>
      <c r="DO292" s="308">
        <f t="shared" si="253"/>
        <v>0.16500000000000001</v>
      </c>
      <c r="DP292" s="359">
        <f t="shared" si="263"/>
        <v>0.16500000000000001</v>
      </c>
      <c r="DQ292" s="306">
        <f t="shared" si="254"/>
        <v>0.16500000000000001</v>
      </c>
      <c r="DR292" s="379">
        <f t="shared" si="255"/>
        <v>1</v>
      </c>
      <c r="DS292" s="378">
        <f t="shared" si="256"/>
        <v>0</v>
      </c>
      <c r="DT292" s="173">
        <v>335</v>
      </c>
      <c r="DU292" s="174" t="s">
        <v>114</v>
      </c>
      <c r="DV292" s="173"/>
      <c r="DW292" s="174" t="s">
        <v>84</v>
      </c>
      <c r="DX292" s="173"/>
      <c r="DY292" s="173"/>
      <c r="DZ292" s="173"/>
      <c r="EA292" s="665"/>
      <c r="EB292" s="1254" t="s">
        <v>3109</v>
      </c>
      <c r="EC292" s="537">
        <v>20000000</v>
      </c>
      <c r="EE292" s="734">
        <v>1</v>
      </c>
      <c r="EF292" s="706"/>
    </row>
    <row r="293" spans="4:136" s="302" customFormat="1" ht="165.75" hidden="1">
      <c r="D293" s="520">
        <v>290</v>
      </c>
      <c r="E293" s="534">
        <v>342</v>
      </c>
      <c r="F293" s="479" t="s">
        <v>44</v>
      </c>
      <c r="G293" s="479" t="s">
        <v>13</v>
      </c>
      <c r="H293" s="479" t="s">
        <v>2662</v>
      </c>
      <c r="I293" s="435" t="s">
        <v>736</v>
      </c>
      <c r="J293" s="335" t="s">
        <v>737</v>
      </c>
      <c r="K293" s="335" t="s">
        <v>738</v>
      </c>
      <c r="L293" s="443" t="s">
        <v>1489</v>
      </c>
      <c r="M293" s="334" t="s">
        <v>1771</v>
      </c>
      <c r="N293" s="334">
        <v>0</v>
      </c>
      <c r="O293" s="333">
        <f t="shared" si="262"/>
        <v>10000</v>
      </c>
      <c r="P293" s="332">
        <v>10000</v>
      </c>
      <c r="Q293" s="390">
        <v>0.33</v>
      </c>
      <c r="R293" s="342">
        <f t="shared" si="234"/>
        <v>4.9500000000000002E-2</v>
      </c>
      <c r="S293" s="389">
        <v>1500</v>
      </c>
      <c r="T293" s="387">
        <f t="shared" si="220"/>
        <v>0.15</v>
      </c>
      <c r="U293" s="670">
        <v>1500</v>
      </c>
      <c r="V293" s="388">
        <f t="shared" si="221"/>
        <v>1500</v>
      </c>
      <c r="W293" s="356">
        <f t="shared" si="222"/>
        <v>100</v>
      </c>
      <c r="X293" s="356">
        <f t="shared" si="235"/>
        <v>100</v>
      </c>
      <c r="Y293" s="356">
        <f t="shared" si="259"/>
        <v>4.9500000000000002E-2</v>
      </c>
      <c r="Z293" s="356">
        <f t="shared" si="236"/>
        <v>100</v>
      </c>
      <c r="AA293" s="355">
        <v>361000000</v>
      </c>
      <c r="AB293" s="355">
        <v>361000000</v>
      </c>
      <c r="AC293" s="355">
        <v>0</v>
      </c>
      <c r="AD293" s="355">
        <v>0</v>
      </c>
      <c r="AE293" s="355">
        <v>0</v>
      </c>
      <c r="AF293" s="355">
        <v>0</v>
      </c>
      <c r="AG293" s="355">
        <v>0</v>
      </c>
      <c r="AH293" s="355">
        <v>0</v>
      </c>
      <c r="AI293" s="355">
        <v>290092000</v>
      </c>
      <c r="AJ293" s="355">
        <v>290092000</v>
      </c>
      <c r="AK293" s="355">
        <v>0</v>
      </c>
      <c r="AL293" s="355">
        <v>0</v>
      </c>
      <c r="AM293" s="355">
        <v>0</v>
      </c>
      <c r="AN293" s="355">
        <v>0</v>
      </c>
      <c r="AO293" s="355">
        <v>0</v>
      </c>
      <c r="AP293" s="355">
        <v>0</v>
      </c>
      <c r="AQ293" s="355">
        <v>0</v>
      </c>
      <c r="AR293" s="355">
        <v>0</v>
      </c>
      <c r="AS293" s="355">
        <v>0</v>
      </c>
      <c r="AT293" s="333">
        <f t="shared" si="237"/>
        <v>9.9000000000000005E-2</v>
      </c>
      <c r="AU293" s="334">
        <v>3000</v>
      </c>
      <c r="AV293" s="387">
        <f t="shared" si="223"/>
        <v>0.3</v>
      </c>
      <c r="AW293" s="677">
        <v>4190</v>
      </c>
      <c r="AX293" s="366">
        <f t="shared" si="224"/>
        <v>4190</v>
      </c>
      <c r="AY293" s="366">
        <f t="shared" si="225"/>
        <v>139.66666666666666</v>
      </c>
      <c r="AZ293" s="366">
        <f t="shared" si="238"/>
        <v>100</v>
      </c>
      <c r="BA293" s="354">
        <f t="shared" si="239"/>
        <v>9.9000000000000005E-2</v>
      </c>
      <c r="BB293" s="354">
        <f t="shared" si="240"/>
        <v>100</v>
      </c>
      <c r="BC293" s="353">
        <v>120000000</v>
      </c>
      <c r="BD293" s="353">
        <v>0</v>
      </c>
      <c r="BE293" s="353">
        <v>120000000</v>
      </c>
      <c r="BF293" s="353">
        <v>0</v>
      </c>
      <c r="BG293" s="353">
        <v>0</v>
      </c>
      <c r="BH293" s="353">
        <v>0</v>
      </c>
      <c r="BI293" s="353">
        <v>0</v>
      </c>
      <c r="BJ293" s="353">
        <v>0</v>
      </c>
      <c r="BK293" s="386">
        <v>119141400</v>
      </c>
      <c r="BL293" s="351">
        <v>119141400</v>
      </c>
      <c r="BM293" s="351">
        <v>0</v>
      </c>
      <c r="BN293" s="351">
        <v>0</v>
      </c>
      <c r="BO293" s="351">
        <v>0</v>
      </c>
      <c r="BP293" s="351">
        <v>0</v>
      </c>
      <c r="BQ293" s="351">
        <v>0</v>
      </c>
      <c r="BR293" s="351">
        <v>0</v>
      </c>
      <c r="BS293" s="351">
        <v>0</v>
      </c>
      <c r="BT293" s="351">
        <v>105599015</v>
      </c>
      <c r="BU293" s="351" t="s">
        <v>1940</v>
      </c>
      <c r="BV293" s="350">
        <f t="shared" si="241"/>
        <v>9.9000000000000005E-2</v>
      </c>
      <c r="BW293" s="350">
        <v>3000</v>
      </c>
      <c r="BX293" s="385">
        <f t="shared" si="226"/>
        <v>0.3</v>
      </c>
      <c r="BY293" s="349">
        <v>1000</v>
      </c>
      <c r="BZ293" s="405">
        <v>3000</v>
      </c>
      <c r="CA293" s="689">
        <v>3000</v>
      </c>
      <c r="CB293" s="324">
        <f t="shared" si="227"/>
        <v>3000</v>
      </c>
      <c r="CC293" s="324">
        <f t="shared" si="228"/>
        <v>100</v>
      </c>
      <c r="CD293" s="384">
        <f t="shared" si="242"/>
        <v>100</v>
      </c>
      <c r="CE293" s="383">
        <f t="shared" si="243"/>
        <v>9.9000000000000005E-2</v>
      </c>
      <c r="CF293" s="367">
        <f t="shared" si="244"/>
        <v>100</v>
      </c>
      <c r="CG293" s="383">
        <f t="shared" si="245"/>
        <v>9.9000000000000005E-2</v>
      </c>
      <c r="CH293" s="320">
        <f t="shared" si="246"/>
        <v>8.2500000000000004E-2</v>
      </c>
      <c r="CI293" s="319">
        <v>2500</v>
      </c>
      <c r="CJ293" s="318">
        <f t="shared" si="229"/>
        <v>0.25</v>
      </c>
      <c r="CK293" s="1259">
        <v>38237</v>
      </c>
      <c r="CL293" s="301">
        <f t="shared" si="230"/>
        <v>-35737</v>
      </c>
      <c r="CM293" s="381">
        <f t="shared" si="231"/>
        <v>38237</v>
      </c>
      <c r="CN293" s="381">
        <f t="shared" si="232"/>
        <v>1529.48</v>
      </c>
      <c r="CO293" s="316">
        <f t="shared" si="247"/>
        <v>100</v>
      </c>
      <c r="CP293" s="381">
        <f t="shared" si="248"/>
        <v>8.2500000000000004E-2</v>
      </c>
      <c r="CQ293" s="381">
        <f t="shared" si="249"/>
        <v>1.2618210000000001</v>
      </c>
      <c r="CR293" s="313">
        <v>390000000</v>
      </c>
      <c r="CS293" s="313">
        <v>390000000</v>
      </c>
      <c r="CT293" s="313">
        <v>0</v>
      </c>
      <c r="CU293" s="313">
        <v>0</v>
      </c>
      <c r="CV293" s="313">
        <v>0</v>
      </c>
      <c r="CW293" s="313">
        <v>0</v>
      </c>
      <c r="CX293" s="313">
        <v>0</v>
      </c>
      <c r="CY293" s="313">
        <v>0</v>
      </c>
      <c r="CZ293" s="380">
        <v>0</v>
      </c>
      <c r="DA293" s="380">
        <v>0</v>
      </c>
      <c r="DB293" s="380">
        <v>0</v>
      </c>
      <c r="DC293" s="380">
        <v>0</v>
      </c>
      <c r="DD293" s="380">
        <v>0</v>
      </c>
      <c r="DE293" s="380">
        <v>0</v>
      </c>
      <c r="DF293" s="380">
        <v>0</v>
      </c>
      <c r="DG293" s="380">
        <v>0</v>
      </c>
      <c r="DH293" s="380">
        <v>0</v>
      </c>
      <c r="DI293" s="380">
        <v>0</v>
      </c>
      <c r="DJ293" s="380">
        <v>0</v>
      </c>
      <c r="DK293" s="702">
        <f t="shared" si="233"/>
        <v>46927</v>
      </c>
      <c r="DL293" s="311">
        <f t="shared" si="250"/>
        <v>0.33</v>
      </c>
      <c r="DM293" s="310">
        <f t="shared" si="251"/>
        <v>469.27</v>
      </c>
      <c r="DN293" s="356">
        <f t="shared" si="252"/>
        <v>100</v>
      </c>
      <c r="DO293" s="308">
        <f t="shared" si="253"/>
        <v>0.33</v>
      </c>
      <c r="DP293" s="359">
        <f t="shared" si="263"/>
        <v>0.33</v>
      </c>
      <c r="DQ293" s="306">
        <f t="shared" si="254"/>
        <v>0.33</v>
      </c>
      <c r="DR293" s="379">
        <f t="shared" si="255"/>
        <v>1</v>
      </c>
      <c r="DS293" s="378">
        <f t="shared" si="256"/>
        <v>0</v>
      </c>
      <c r="DT293" s="173">
        <v>335</v>
      </c>
      <c r="DU293" s="174" t="s">
        <v>114</v>
      </c>
      <c r="DV293" s="173"/>
      <c r="DW293" s="174" t="s">
        <v>84</v>
      </c>
      <c r="DX293" s="173"/>
      <c r="DY293" s="173"/>
      <c r="DZ293" s="173"/>
      <c r="EA293" s="665"/>
      <c r="EB293" s="1254" t="s">
        <v>2550</v>
      </c>
      <c r="EC293" s="537">
        <v>36000000</v>
      </c>
      <c r="EE293" s="734">
        <v>1</v>
      </c>
      <c r="EF293" s="706"/>
    </row>
    <row r="294" spans="4:136" s="302" customFormat="1" ht="102" hidden="1">
      <c r="D294" s="520">
        <v>291</v>
      </c>
      <c r="E294" s="534">
        <v>343</v>
      </c>
      <c r="F294" s="479" t="s">
        <v>44</v>
      </c>
      <c r="G294" s="479" t="s">
        <v>13</v>
      </c>
      <c r="H294" s="479" t="s">
        <v>2662</v>
      </c>
      <c r="I294" s="435" t="s">
        <v>736</v>
      </c>
      <c r="J294" s="335" t="s">
        <v>739</v>
      </c>
      <c r="K294" s="335" t="s">
        <v>740</v>
      </c>
      <c r="L294" s="443" t="s">
        <v>1773</v>
      </c>
      <c r="M294" s="334" t="s">
        <v>1771</v>
      </c>
      <c r="N294" s="334">
        <v>0</v>
      </c>
      <c r="O294" s="333">
        <f t="shared" si="262"/>
        <v>8</v>
      </c>
      <c r="P294" s="332">
        <v>8</v>
      </c>
      <c r="Q294" s="390">
        <v>0.16500000000000001</v>
      </c>
      <c r="R294" s="342">
        <f t="shared" si="234"/>
        <v>4.1250000000000002E-2</v>
      </c>
      <c r="S294" s="389">
        <v>2</v>
      </c>
      <c r="T294" s="387">
        <f t="shared" si="220"/>
        <v>0.25</v>
      </c>
      <c r="U294" s="670">
        <v>2</v>
      </c>
      <c r="V294" s="388">
        <f t="shared" si="221"/>
        <v>2</v>
      </c>
      <c r="W294" s="356">
        <f t="shared" si="222"/>
        <v>100</v>
      </c>
      <c r="X294" s="356">
        <f t="shared" si="235"/>
        <v>100</v>
      </c>
      <c r="Y294" s="356">
        <f t="shared" si="259"/>
        <v>4.1250000000000002E-2</v>
      </c>
      <c r="Z294" s="356">
        <f t="shared" si="236"/>
        <v>100</v>
      </c>
      <c r="AA294" s="355">
        <v>115000000</v>
      </c>
      <c r="AB294" s="355">
        <v>115000000</v>
      </c>
      <c r="AC294" s="355">
        <v>0</v>
      </c>
      <c r="AD294" s="355">
        <v>0</v>
      </c>
      <c r="AE294" s="355">
        <v>0</v>
      </c>
      <c r="AF294" s="355">
        <v>0</v>
      </c>
      <c r="AG294" s="355">
        <v>0</v>
      </c>
      <c r="AH294" s="355">
        <v>0</v>
      </c>
      <c r="AI294" s="355">
        <v>186000000</v>
      </c>
      <c r="AJ294" s="355">
        <v>186000000</v>
      </c>
      <c r="AK294" s="355">
        <v>0</v>
      </c>
      <c r="AL294" s="355">
        <v>0</v>
      </c>
      <c r="AM294" s="355">
        <v>0</v>
      </c>
      <c r="AN294" s="355">
        <v>0</v>
      </c>
      <c r="AO294" s="355">
        <v>0</v>
      </c>
      <c r="AP294" s="355">
        <v>0</v>
      </c>
      <c r="AQ294" s="355">
        <v>0</v>
      </c>
      <c r="AR294" s="355">
        <v>0</v>
      </c>
      <c r="AS294" s="355">
        <v>0</v>
      </c>
      <c r="AT294" s="333">
        <f t="shared" si="237"/>
        <v>4.1250000000000002E-2</v>
      </c>
      <c r="AU294" s="334">
        <v>2</v>
      </c>
      <c r="AV294" s="387">
        <f t="shared" si="223"/>
        <v>0.25</v>
      </c>
      <c r="AW294" s="677">
        <v>10</v>
      </c>
      <c r="AX294" s="366">
        <f t="shared" si="224"/>
        <v>10</v>
      </c>
      <c r="AY294" s="366">
        <f t="shared" si="225"/>
        <v>500</v>
      </c>
      <c r="AZ294" s="366">
        <f t="shared" si="238"/>
        <v>100</v>
      </c>
      <c r="BA294" s="354">
        <f t="shared" si="239"/>
        <v>4.1250000000000002E-2</v>
      </c>
      <c r="BB294" s="354">
        <f t="shared" si="240"/>
        <v>100</v>
      </c>
      <c r="BC294" s="353">
        <v>100000000</v>
      </c>
      <c r="BD294" s="353">
        <v>0</v>
      </c>
      <c r="BE294" s="353">
        <v>100000000</v>
      </c>
      <c r="BF294" s="353">
        <v>0</v>
      </c>
      <c r="BG294" s="353">
        <v>0</v>
      </c>
      <c r="BH294" s="353">
        <v>0</v>
      </c>
      <c r="BI294" s="353">
        <v>0</v>
      </c>
      <c r="BJ294" s="353">
        <v>0</v>
      </c>
      <c r="BK294" s="386">
        <v>100000000</v>
      </c>
      <c r="BL294" s="351">
        <v>100000000</v>
      </c>
      <c r="BM294" s="351">
        <v>0</v>
      </c>
      <c r="BN294" s="351">
        <v>0</v>
      </c>
      <c r="BO294" s="351">
        <v>0</v>
      </c>
      <c r="BP294" s="351">
        <v>0</v>
      </c>
      <c r="BQ294" s="351">
        <v>0</v>
      </c>
      <c r="BR294" s="351">
        <v>0</v>
      </c>
      <c r="BS294" s="351">
        <v>0</v>
      </c>
      <c r="BT294" s="351">
        <v>0</v>
      </c>
      <c r="BU294" s="351">
        <v>0</v>
      </c>
      <c r="BV294" s="350">
        <f t="shared" si="241"/>
        <v>0</v>
      </c>
      <c r="BW294" s="350">
        <v>0</v>
      </c>
      <c r="BX294" s="385">
        <f t="shared" si="226"/>
        <v>0</v>
      </c>
      <c r="BY294" s="400">
        <v>0</v>
      </c>
      <c r="BZ294" s="416">
        <v>0</v>
      </c>
      <c r="CA294" s="691">
        <v>0</v>
      </c>
      <c r="CB294" s="324">
        <f t="shared" si="227"/>
        <v>0</v>
      </c>
      <c r="CC294" s="324">
        <f t="shared" si="228"/>
        <v>0</v>
      </c>
      <c r="CD294" s="384">
        <f t="shared" si="242"/>
        <v>0</v>
      </c>
      <c r="CE294" s="383">
        <f t="shared" si="243"/>
        <v>0</v>
      </c>
      <c r="CF294" s="367">
        <f t="shared" si="244"/>
        <v>0</v>
      </c>
      <c r="CG294" s="383">
        <f t="shared" si="245"/>
        <v>0</v>
      </c>
      <c r="CH294" s="320">
        <f t="shared" si="246"/>
        <v>8.2500000000000004E-2</v>
      </c>
      <c r="CI294" s="319">
        <v>4</v>
      </c>
      <c r="CJ294" s="318">
        <f t="shared" si="229"/>
        <v>0.5</v>
      </c>
      <c r="CK294" s="1258">
        <v>0</v>
      </c>
      <c r="CL294" s="301">
        <f t="shared" si="230"/>
        <v>4</v>
      </c>
      <c r="CM294" s="381">
        <f t="shared" si="231"/>
        <v>0</v>
      </c>
      <c r="CN294" s="381">
        <f t="shared" si="232"/>
        <v>0</v>
      </c>
      <c r="CO294" s="316">
        <f t="shared" si="247"/>
        <v>0</v>
      </c>
      <c r="CP294" s="381">
        <f t="shared" si="248"/>
        <v>0</v>
      </c>
      <c r="CQ294" s="381">
        <f t="shared" si="249"/>
        <v>0</v>
      </c>
      <c r="CR294" s="313">
        <v>100000000</v>
      </c>
      <c r="CS294" s="313">
        <v>100000000</v>
      </c>
      <c r="CT294" s="313">
        <v>0</v>
      </c>
      <c r="CU294" s="313">
        <v>0</v>
      </c>
      <c r="CV294" s="313">
        <v>0</v>
      </c>
      <c r="CW294" s="313">
        <v>0</v>
      </c>
      <c r="CX294" s="313">
        <v>0</v>
      </c>
      <c r="CY294" s="313">
        <v>0</v>
      </c>
      <c r="CZ294" s="380">
        <v>0</v>
      </c>
      <c r="DA294" s="380">
        <v>0</v>
      </c>
      <c r="DB294" s="380">
        <v>0</v>
      </c>
      <c r="DC294" s="380">
        <v>0</v>
      </c>
      <c r="DD294" s="380">
        <v>0</v>
      </c>
      <c r="DE294" s="380">
        <v>0</v>
      </c>
      <c r="DF294" s="380">
        <v>0</v>
      </c>
      <c r="DG294" s="380">
        <v>0</v>
      </c>
      <c r="DH294" s="380">
        <v>0</v>
      </c>
      <c r="DI294" s="380">
        <v>0</v>
      </c>
      <c r="DJ294" s="380">
        <v>0</v>
      </c>
      <c r="DK294" s="702">
        <f t="shared" si="233"/>
        <v>12</v>
      </c>
      <c r="DL294" s="311">
        <f t="shared" si="250"/>
        <v>0.16500000000000001</v>
      </c>
      <c r="DM294" s="310">
        <f t="shared" si="251"/>
        <v>150</v>
      </c>
      <c r="DN294" s="356">
        <f t="shared" si="252"/>
        <v>100</v>
      </c>
      <c r="DO294" s="308">
        <f t="shared" si="253"/>
        <v>0.16500000000000001</v>
      </c>
      <c r="DP294" s="359">
        <f t="shared" si="263"/>
        <v>0.16500000000000001</v>
      </c>
      <c r="DQ294" s="306">
        <f t="shared" si="254"/>
        <v>0.16500000000000001</v>
      </c>
      <c r="DR294" s="379">
        <f t="shared" si="255"/>
        <v>1</v>
      </c>
      <c r="DS294" s="378">
        <f t="shared" si="256"/>
        <v>0</v>
      </c>
      <c r="DT294" s="173">
        <v>335</v>
      </c>
      <c r="DU294" s="174" t="s">
        <v>114</v>
      </c>
      <c r="DV294" s="173"/>
      <c r="DW294" s="174" t="s">
        <v>84</v>
      </c>
      <c r="DX294" s="173"/>
      <c r="DY294" s="173"/>
      <c r="DZ294" s="173"/>
      <c r="EA294" s="665"/>
      <c r="EB294" s="1254" t="s">
        <v>3110</v>
      </c>
      <c r="EC294" s="537">
        <v>50000000</v>
      </c>
      <c r="EE294" s="734">
        <v>1</v>
      </c>
      <c r="EF294" s="706"/>
    </row>
    <row r="295" spans="4:136" s="302" customFormat="1" ht="89.25" hidden="1">
      <c r="D295" s="520">
        <v>292</v>
      </c>
      <c r="E295" s="534">
        <v>344</v>
      </c>
      <c r="F295" s="479" t="s">
        <v>44</v>
      </c>
      <c r="G295" s="479" t="s">
        <v>13</v>
      </c>
      <c r="H295" s="479" t="s">
        <v>2662</v>
      </c>
      <c r="I295" s="435" t="s">
        <v>736</v>
      </c>
      <c r="J295" s="335" t="s">
        <v>741</v>
      </c>
      <c r="K295" s="335" t="s">
        <v>742</v>
      </c>
      <c r="L295" s="443" t="s">
        <v>1773</v>
      </c>
      <c r="M295" s="334" t="s">
        <v>1771</v>
      </c>
      <c r="N295" s="334">
        <v>0</v>
      </c>
      <c r="O295" s="333">
        <f t="shared" si="262"/>
        <v>2</v>
      </c>
      <c r="P295" s="332">
        <v>2</v>
      </c>
      <c r="Q295" s="390">
        <v>0.16500000000000001</v>
      </c>
      <c r="R295" s="342">
        <f t="shared" si="234"/>
        <v>0</v>
      </c>
      <c r="S295" s="389">
        <v>0</v>
      </c>
      <c r="T295" s="387">
        <f t="shared" si="220"/>
        <v>0</v>
      </c>
      <c r="U295" s="670">
        <v>0</v>
      </c>
      <c r="V295" s="388">
        <f t="shared" si="221"/>
        <v>0</v>
      </c>
      <c r="W295" s="356">
        <f t="shared" si="222"/>
        <v>0</v>
      </c>
      <c r="X295" s="356">
        <f t="shared" si="235"/>
        <v>0</v>
      </c>
      <c r="Y295" s="356">
        <f t="shared" si="259"/>
        <v>0</v>
      </c>
      <c r="Z295" s="356">
        <f t="shared" si="236"/>
        <v>0</v>
      </c>
      <c r="AA295" s="355">
        <v>0</v>
      </c>
      <c r="AB295" s="355">
        <v>0</v>
      </c>
      <c r="AC295" s="355">
        <v>0</v>
      </c>
      <c r="AD295" s="355">
        <v>0</v>
      </c>
      <c r="AE295" s="355">
        <v>0</v>
      </c>
      <c r="AF295" s="355">
        <v>0</v>
      </c>
      <c r="AG295" s="355">
        <v>0</v>
      </c>
      <c r="AH295" s="355">
        <v>0</v>
      </c>
      <c r="AI295" s="355">
        <v>0</v>
      </c>
      <c r="AJ295" s="355">
        <v>0</v>
      </c>
      <c r="AK295" s="355">
        <v>0</v>
      </c>
      <c r="AL295" s="355">
        <v>0</v>
      </c>
      <c r="AM295" s="355">
        <v>0</v>
      </c>
      <c r="AN295" s="355">
        <v>0</v>
      </c>
      <c r="AO295" s="355">
        <v>0</v>
      </c>
      <c r="AP295" s="355">
        <v>0</v>
      </c>
      <c r="AQ295" s="355">
        <v>0</v>
      </c>
      <c r="AR295" s="355">
        <v>0</v>
      </c>
      <c r="AS295" s="355">
        <v>0</v>
      </c>
      <c r="AT295" s="333">
        <f t="shared" si="237"/>
        <v>8.2500000000000004E-2</v>
      </c>
      <c r="AU295" s="334">
        <v>1</v>
      </c>
      <c r="AV295" s="387">
        <f t="shared" si="223"/>
        <v>0.5</v>
      </c>
      <c r="AW295" s="677">
        <v>1</v>
      </c>
      <c r="AX295" s="366">
        <f t="shared" si="224"/>
        <v>1</v>
      </c>
      <c r="AY295" s="366">
        <f t="shared" si="225"/>
        <v>100</v>
      </c>
      <c r="AZ295" s="366">
        <f t="shared" si="238"/>
        <v>100</v>
      </c>
      <c r="BA295" s="354">
        <f t="shared" si="239"/>
        <v>8.2500000000000004E-2</v>
      </c>
      <c r="BB295" s="354">
        <f t="shared" si="240"/>
        <v>100</v>
      </c>
      <c r="BC295" s="353">
        <v>168000000</v>
      </c>
      <c r="BD295" s="353">
        <v>0</v>
      </c>
      <c r="BE295" s="353">
        <v>0</v>
      </c>
      <c r="BF295" s="353">
        <v>0</v>
      </c>
      <c r="BG295" s="353">
        <v>0</v>
      </c>
      <c r="BH295" s="353">
        <v>0</v>
      </c>
      <c r="BI295" s="353">
        <v>0</v>
      </c>
      <c r="BJ295" s="353">
        <v>168000000</v>
      </c>
      <c r="BK295" s="386">
        <v>0</v>
      </c>
      <c r="BL295" s="351">
        <v>0</v>
      </c>
      <c r="BM295" s="351">
        <v>0</v>
      </c>
      <c r="BN295" s="351">
        <v>0</v>
      </c>
      <c r="BO295" s="351">
        <v>0</v>
      </c>
      <c r="BP295" s="351">
        <v>0</v>
      </c>
      <c r="BQ295" s="351">
        <v>0</v>
      </c>
      <c r="BR295" s="351">
        <v>0</v>
      </c>
      <c r="BS295" s="351">
        <v>0</v>
      </c>
      <c r="BT295" s="351">
        <v>3500000</v>
      </c>
      <c r="BU295" s="351" t="s">
        <v>1939</v>
      </c>
      <c r="BV295" s="350">
        <f t="shared" si="241"/>
        <v>8.2500000000000004E-2</v>
      </c>
      <c r="BW295" s="350">
        <v>1</v>
      </c>
      <c r="BX295" s="385">
        <f t="shared" si="226"/>
        <v>0.5</v>
      </c>
      <c r="BY295" s="400">
        <v>2</v>
      </c>
      <c r="BZ295" s="416">
        <v>1</v>
      </c>
      <c r="CA295" s="691">
        <v>2</v>
      </c>
      <c r="CB295" s="324">
        <f t="shared" si="227"/>
        <v>2</v>
      </c>
      <c r="CC295" s="324">
        <f t="shared" si="228"/>
        <v>200</v>
      </c>
      <c r="CD295" s="384">
        <f t="shared" si="242"/>
        <v>100</v>
      </c>
      <c r="CE295" s="383">
        <f t="shared" si="243"/>
        <v>8.2500000000000004E-2</v>
      </c>
      <c r="CF295" s="367">
        <f t="shared" si="244"/>
        <v>100</v>
      </c>
      <c r="CG295" s="383">
        <f t="shared" si="245"/>
        <v>0.16500000000000001</v>
      </c>
      <c r="CH295" s="320">
        <f t="shared" si="246"/>
        <v>0</v>
      </c>
      <c r="CI295" s="319">
        <v>0</v>
      </c>
      <c r="CJ295" s="318">
        <f t="shared" si="229"/>
        <v>0</v>
      </c>
      <c r="CK295" s="1258">
        <v>0</v>
      </c>
      <c r="CL295" s="301">
        <f t="shared" si="230"/>
        <v>0</v>
      </c>
      <c r="CM295" s="381">
        <f t="shared" si="231"/>
        <v>0</v>
      </c>
      <c r="CN295" s="381">
        <f t="shared" si="232"/>
        <v>0</v>
      </c>
      <c r="CO295" s="316">
        <f t="shared" si="247"/>
        <v>0</v>
      </c>
      <c r="CP295" s="381">
        <f t="shared" si="248"/>
        <v>0</v>
      </c>
      <c r="CQ295" s="381">
        <f t="shared" si="249"/>
        <v>0</v>
      </c>
      <c r="CR295" s="313">
        <v>169000000</v>
      </c>
      <c r="CS295" s="313">
        <v>0</v>
      </c>
      <c r="CT295" s="313">
        <v>0</v>
      </c>
      <c r="CU295" s="313">
        <v>0</v>
      </c>
      <c r="CV295" s="313">
        <v>0</v>
      </c>
      <c r="CW295" s="313">
        <v>0</v>
      </c>
      <c r="CX295" s="313">
        <v>0</v>
      </c>
      <c r="CY295" s="313">
        <v>169000000</v>
      </c>
      <c r="CZ295" s="380">
        <v>0</v>
      </c>
      <c r="DA295" s="380">
        <v>0</v>
      </c>
      <c r="DB295" s="380">
        <v>0</v>
      </c>
      <c r="DC295" s="380">
        <v>0</v>
      </c>
      <c r="DD295" s="380">
        <v>0</v>
      </c>
      <c r="DE295" s="380">
        <v>0</v>
      </c>
      <c r="DF295" s="380">
        <v>0</v>
      </c>
      <c r="DG295" s="380">
        <v>0</v>
      </c>
      <c r="DH295" s="380">
        <v>0</v>
      </c>
      <c r="DI295" s="380">
        <v>0</v>
      </c>
      <c r="DJ295" s="380">
        <v>0</v>
      </c>
      <c r="DK295" s="702">
        <f t="shared" si="233"/>
        <v>3</v>
      </c>
      <c r="DL295" s="311">
        <f t="shared" si="250"/>
        <v>0.16500000000000001</v>
      </c>
      <c r="DM295" s="310">
        <f t="shared" si="251"/>
        <v>150</v>
      </c>
      <c r="DN295" s="356">
        <f t="shared" si="252"/>
        <v>100</v>
      </c>
      <c r="DO295" s="308">
        <f t="shared" si="253"/>
        <v>0.16500000000000001</v>
      </c>
      <c r="DP295" s="359">
        <f t="shared" si="263"/>
        <v>0.16500000000000001</v>
      </c>
      <c r="DQ295" s="306">
        <f t="shared" si="254"/>
        <v>0.16500000000000001</v>
      </c>
      <c r="DR295" s="379">
        <f t="shared" si="255"/>
        <v>1</v>
      </c>
      <c r="DS295" s="378">
        <f t="shared" si="256"/>
        <v>0</v>
      </c>
      <c r="DT295" s="173">
        <v>335</v>
      </c>
      <c r="DU295" s="174" t="s">
        <v>114</v>
      </c>
      <c r="DV295" s="173"/>
      <c r="DW295" s="174" t="s">
        <v>84</v>
      </c>
      <c r="DX295" s="173"/>
      <c r="DY295" s="173"/>
      <c r="DZ295" s="173"/>
      <c r="EA295" s="665"/>
      <c r="EB295" s="1254" t="s">
        <v>2407</v>
      </c>
      <c r="EC295" s="537">
        <v>27000000</v>
      </c>
      <c r="EE295" s="734">
        <v>1</v>
      </c>
      <c r="EF295" s="706"/>
    </row>
    <row r="296" spans="4:136" s="302" customFormat="1" ht="89.25" hidden="1">
      <c r="D296" s="520">
        <v>293</v>
      </c>
      <c r="E296" s="534">
        <v>345</v>
      </c>
      <c r="F296" s="479" t="s">
        <v>44</v>
      </c>
      <c r="G296" s="479" t="s">
        <v>13</v>
      </c>
      <c r="H296" s="479" t="s">
        <v>2662</v>
      </c>
      <c r="I296" s="435" t="s">
        <v>743</v>
      </c>
      <c r="J296" s="335" t="s">
        <v>744</v>
      </c>
      <c r="K296" s="335" t="s">
        <v>745</v>
      </c>
      <c r="L296" s="443" t="s">
        <v>1802</v>
      </c>
      <c r="M296" s="334" t="s">
        <v>1771</v>
      </c>
      <c r="N296" s="334">
        <v>0</v>
      </c>
      <c r="O296" s="333">
        <f t="shared" si="262"/>
        <v>1</v>
      </c>
      <c r="P296" s="332">
        <v>1</v>
      </c>
      <c r="Q296" s="390">
        <v>0.16500000000000001</v>
      </c>
      <c r="R296" s="342">
        <f t="shared" si="234"/>
        <v>0</v>
      </c>
      <c r="S296" s="389">
        <v>0</v>
      </c>
      <c r="T296" s="387">
        <f t="shared" si="220"/>
        <v>0</v>
      </c>
      <c r="U296" s="670">
        <v>0.2</v>
      </c>
      <c r="V296" s="388">
        <f t="shared" si="221"/>
        <v>0.2</v>
      </c>
      <c r="W296" s="356">
        <f t="shared" si="222"/>
        <v>0</v>
      </c>
      <c r="X296" s="356">
        <f t="shared" si="235"/>
        <v>0</v>
      </c>
      <c r="Y296" s="356">
        <f t="shared" si="259"/>
        <v>0</v>
      </c>
      <c r="Z296" s="356">
        <f t="shared" si="236"/>
        <v>100</v>
      </c>
      <c r="AA296" s="355">
        <v>0</v>
      </c>
      <c r="AB296" s="355">
        <v>0</v>
      </c>
      <c r="AC296" s="355">
        <v>0</v>
      </c>
      <c r="AD296" s="355">
        <v>0</v>
      </c>
      <c r="AE296" s="355">
        <v>0</v>
      </c>
      <c r="AF296" s="355">
        <v>0</v>
      </c>
      <c r="AG296" s="355">
        <v>0</v>
      </c>
      <c r="AH296" s="355">
        <v>0</v>
      </c>
      <c r="AI296" s="355">
        <v>0</v>
      </c>
      <c r="AJ296" s="355">
        <v>0</v>
      </c>
      <c r="AK296" s="355">
        <v>0</v>
      </c>
      <c r="AL296" s="355">
        <v>0</v>
      </c>
      <c r="AM296" s="355">
        <v>0</v>
      </c>
      <c r="AN296" s="355">
        <v>0</v>
      </c>
      <c r="AO296" s="355">
        <v>0</v>
      </c>
      <c r="AP296" s="355">
        <v>0</v>
      </c>
      <c r="AQ296" s="355">
        <v>0</v>
      </c>
      <c r="AR296" s="355">
        <v>0</v>
      </c>
      <c r="AS296" s="355">
        <v>0</v>
      </c>
      <c r="AT296" s="333">
        <f t="shared" si="237"/>
        <v>5.7749999999999996E-2</v>
      </c>
      <c r="AU296" s="334">
        <v>0.35</v>
      </c>
      <c r="AV296" s="387">
        <f t="shared" si="223"/>
        <v>0.35</v>
      </c>
      <c r="AW296" s="677">
        <v>0.3</v>
      </c>
      <c r="AX296" s="366">
        <f t="shared" si="224"/>
        <v>0.3</v>
      </c>
      <c r="AY296" s="366">
        <f t="shared" si="225"/>
        <v>85.714285714285722</v>
      </c>
      <c r="AZ296" s="366">
        <f t="shared" si="238"/>
        <v>85.714285714285722</v>
      </c>
      <c r="BA296" s="354">
        <f t="shared" si="239"/>
        <v>4.9500000000000002E-2</v>
      </c>
      <c r="BB296" s="354">
        <f t="shared" si="240"/>
        <v>85.714285714285722</v>
      </c>
      <c r="BC296" s="353">
        <v>0</v>
      </c>
      <c r="BD296" s="353">
        <v>0</v>
      </c>
      <c r="BE296" s="353">
        <v>0</v>
      </c>
      <c r="BF296" s="353">
        <v>0</v>
      </c>
      <c r="BG296" s="353">
        <v>0</v>
      </c>
      <c r="BH296" s="353">
        <v>0</v>
      </c>
      <c r="BI296" s="353">
        <v>0</v>
      </c>
      <c r="BJ296" s="353">
        <v>0</v>
      </c>
      <c r="BK296" s="386">
        <v>0</v>
      </c>
      <c r="BL296" s="351">
        <v>0</v>
      </c>
      <c r="BM296" s="351">
        <v>0</v>
      </c>
      <c r="BN296" s="351">
        <v>0</v>
      </c>
      <c r="BO296" s="351">
        <v>0</v>
      </c>
      <c r="BP296" s="351">
        <v>0</v>
      </c>
      <c r="BQ296" s="351">
        <v>0</v>
      </c>
      <c r="BR296" s="351">
        <v>0</v>
      </c>
      <c r="BS296" s="351">
        <v>0</v>
      </c>
      <c r="BT296" s="351">
        <v>0</v>
      </c>
      <c r="BU296" s="351">
        <v>0</v>
      </c>
      <c r="BV296" s="350">
        <f t="shared" si="241"/>
        <v>8.2500000000000004E-2</v>
      </c>
      <c r="BW296" s="350">
        <v>0.5</v>
      </c>
      <c r="BX296" s="385">
        <f t="shared" si="226"/>
        <v>0.5</v>
      </c>
      <c r="BY296" s="400">
        <v>1</v>
      </c>
      <c r="BZ296" s="416">
        <v>0.45</v>
      </c>
      <c r="CA296" s="691">
        <v>0.5</v>
      </c>
      <c r="CB296" s="324">
        <f t="shared" si="227"/>
        <v>0.5</v>
      </c>
      <c r="CC296" s="324">
        <f t="shared" si="228"/>
        <v>100</v>
      </c>
      <c r="CD296" s="384">
        <f t="shared" si="242"/>
        <v>100</v>
      </c>
      <c r="CE296" s="383">
        <f t="shared" si="243"/>
        <v>8.2500000000000004E-2</v>
      </c>
      <c r="CF296" s="367">
        <f t="shared" si="244"/>
        <v>100</v>
      </c>
      <c r="CG296" s="383">
        <f t="shared" si="245"/>
        <v>8.2500000000000004E-2</v>
      </c>
      <c r="CH296" s="320">
        <f t="shared" si="246"/>
        <v>2.4750000000000001E-2</v>
      </c>
      <c r="CI296" s="319">
        <v>0.15</v>
      </c>
      <c r="CJ296" s="318">
        <f t="shared" si="229"/>
        <v>0.15</v>
      </c>
      <c r="CK296" s="1258">
        <v>0</v>
      </c>
      <c r="CL296" s="301">
        <f t="shared" si="230"/>
        <v>0.15</v>
      </c>
      <c r="CM296" s="381">
        <f t="shared" si="231"/>
        <v>0</v>
      </c>
      <c r="CN296" s="381">
        <f t="shared" si="232"/>
        <v>0</v>
      </c>
      <c r="CO296" s="316">
        <f t="shared" si="247"/>
        <v>0</v>
      </c>
      <c r="CP296" s="381">
        <f t="shared" si="248"/>
        <v>0</v>
      </c>
      <c r="CQ296" s="381">
        <f t="shared" si="249"/>
        <v>0</v>
      </c>
      <c r="CR296" s="313">
        <v>0</v>
      </c>
      <c r="CS296" s="313">
        <v>0</v>
      </c>
      <c r="CT296" s="313">
        <v>0</v>
      </c>
      <c r="CU296" s="313">
        <v>0</v>
      </c>
      <c r="CV296" s="313">
        <v>0</v>
      </c>
      <c r="CW296" s="313">
        <v>0</v>
      </c>
      <c r="CX296" s="313">
        <v>0</v>
      </c>
      <c r="CY296" s="313">
        <v>0</v>
      </c>
      <c r="CZ296" s="380">
        <v>0</v>
      </c>
      <c r="DA296" s="380">
        <v>0</v>
      </c>
      <c r="DB296" s="380">
        <v>0</v>
      </c>
      <c r="DC296" s="380">
        <v>0</v>
      </c>
      <c r="DD296" s="380">
        <v>0</v>
      </c>
      <c r="DE296" s="380">
        <v>0</v>
      </c>
      <c r="DF296" s="380">
        <v>0</v>
      </c>
      <c r="DG296" s="380">
        <v>0</v>
      </c>
      <c r="DH296" s="380">
        <v>0</v>
      </c>
      <c r="DI296" s="380">
        <v>0</v>
      </c>
      <c r="DJ296" s="380">
        <v>0</v>
      </c>
      <c r="DK296" s="702">
        <f t="shared" si="233"/>
        <v>1</v>
      </c>
      <c r="DL296" s="311">
        <f t="shared" si="250"/>
        <v>0.16499999999999998</v>
      </c>
      <c r="DM296" s="310">
        <f t="shared" si="251"/>
        <v>100</v>
      </c>
      <c r="DN296" s="356">
        <f t="shared" si="252"/>
        <v>100</v>
      </c>
      <c r="DO296" s="308">
        <f t="shared" si="253"/>
        <v>0.16500000000000001</v>
      </c>
      <c r="DP296" s="359">
        <f t="shared" si="263"/>
        <v>0.16500000000000001</v>
      </c>
      <c r="DQ296" s="306">
        <f t="shared" si="254"/>
        <v>0.16500000000000001</v>
      </c>
      <c r="DR296" s="379">
        <f t="shared" si="255"/>
        <v>1</v>
      </c>
      <c r="DS296" s="378">
        <f t="shared" si="256"/>
        <v>0</v>
      </c>
      <c r="DT296" s="173">
        <v>334</v>
      </c>
      <c r="DU296" s="174" t="s">
        <v>115</v>
      </c>
      <c r="DV296" s="173"/>
      <c r="DW296" s="174" t="s">
        <v>84</v>
      </c>
      <c r="DX296" s="173"/>
      <c r="DY296" s="173"/>
      <c r="DZ296" s="173"/>
      <c r="EA296" s="665"/>
      <c r="EB296" s="1254" t="s">
        <v>2551</v>
      </c>
      <c r="EC296" s="537">
        <v>36000000</v>
      </c>
      <c r="EE296" s="734">
        <v>3</v>
      </c>
      <c r="EF296" s="706"/>
    </row>
    <row r="297" spans="4:136" s="302" customFormat="1" ht="76.5" hidden="1">
      <c r="D297" s="520">
        <v>294</v>
      </c>
      <c r="E297" s="534">
        <v>346</v>
      </c>
      <c r="F297" s="479" t="s">
        <v>44</v>
      </c>
      <c r="G297" s="479" t="s">
        <v>13</v>
      </c>
      <c r="H297" s="479" t="s">
        <v>2662</v>
      </c>
      <c r="I297" s="435" t="s">
        <v>743</v>
      </c>
      <c r="J297" s="335" t="s">
        <v>746</v>
      </c>
      <c r="K297" s="335" t="s">
        <v>747</v>
      </c>
      <c r="L297" s="443" t="s">
        <v>1903</v>
      </c>
      <c r="M297" s="334" t="s">
        <v>1771</v>
      </c>
      <c r="N297" s="334">
        <v>0</v>
      </c>
      <c r="O297" s="333">
        <f t="shared" si="262"/>
        <v>116</v>
      </c>
      <c r="P297" s="332">
        <v>116</v>
      </c>
      <c r="Q297" s="390">
        <v>0.16500000000000001</v>
      </c>
      <c r="R297" s="342">
        <f t="shared" si="234"/>
        <v>0</v>
      </c>
      <c r="S297" s="389">
        <v>0</v>
      </c>
      <c r="T297" s="387">
        <f t="shared" si="220"/>
        <v>0</v>
      </c>
      <c r="U297" s="670">
        <v>1</v>
      </c>
      <c r="V297" s="388">
        <f t="shared" si="221"/>
        <v>1</v>
      </c>
      <c r="W297" s="356">
        <f t="shared" si="222"/>
        <v>0</v>
      </c>
      <c r="X297" s="356">
        <f t="shared" si="235"/>
        <v>0</v>
      </c>
      <c r="Y297" s="356">
        <f t="shared" si="259"/>
        <v>0</v>
      </c>
      <c r="Z297" s="356">
        <f t="shared" si="236"/>
        <v>100</v>
      </c>
      <c r="AA297" s="355">
        <v>0</v>
      </c>
      <c r="AB297" s="355">
        <v>0</v>
      </c>
      <c r="AC297" s="355">
        <v>0</v>
      </c>
      <c r="AD297" s="355">
        <v>0</v>
      </c>
      <c r="AE297" s="355">
        <v>0</v>
      </c>
      <c r="AF297" s="355">
        <v>0</v>
      </c>
      <c r="AG297" s="355">
        <v>0</v>
      </c>
      <c r="AH297" s="355">
        <v>0</v>
      </c>
      <c r="AI297" s="355">
        <v>0</v>
      </c>
      <c r="AJ297" s="355">
        <v>0</v>
      </c>
      <c r="AK297" s="355">
        <v>0</v>
      </c>
      <c r="AL297" s="355">
        <v>0</v>
      </c>
      <c r="AM297" s="355">
        <v>0</v>
      </c>
      <c r="AN297" s="355">
        <v>0</v>
      </c>
      <c r="AO297" s="355">
        <v>0</v>
      </c>
      <c r="AP297" s="355">
        <v>0</v>
      </c>
      <c r="AQ297" s="355">
        <v>0</v>
      </c>
      <c r="AR297" s="355">
        <v>0</v>
      </c>
      <c r="AS297" s="355">
        <v>0</v>
      </c>
      <c r="AT297" s="333">
        <f t="shared" si="237"/>
        <v>7.1120689655172417E-2</v>
      </c>
      <c r="AU297" s="334">
        <v>50</v>
      </c>
      <c r="AV297" s="387">
        <f t="shared" si="223"/>
        <v>0.43103448275862066</v>
      </c>
      <c r="AW297" s="677">
        <v>58</v>
      </c>
      <c r="AX297" s="366">
        <f t="shared" si="224"/>
        <v>58</v>
      </c>
      <c r="AY297" s="366">
        <f t="shared" si="225"/>
        <v>116</v>
      </c>
      <c r="AZ297" s="366">
        <f t="shared" si="238"/>
        <v>100</v>
      </c>
      <c r="BA297" s="354">
        <f t="shared" si="239"/>
        <v>7.1120689655172417E-2</v>
      </c>
      <c r="BB297" s="354">
        <f t="shared" si="240"/>
        <v>100</v>
      </c>
      <c r="BC297" s="353">
        <v>20000000</v>
      </c>
      <c r="BD297" s="353">
        <v>0</v>
      </c>
      <c r="BE297" s="353">
        <v>20000000</v>
      </c>
      <c r="BF297" s="353">
        <v>0</v>
      </c>
      <c r="BG297" s="353">
        <v>0</v>
      </c>
      <c r="BH297" s="353">
        <v>0</v>
      </c>
      <c r="BI297" s="353">
        <v>0</v>
      </c>
      <c r="BJ297" s="353">
        <v>0</v>
      </c>
      <c r="BK297" s="386">
        <v>20000000</v>
      </c>
      <c r="BL297" s="351">
        <v>20000000</v>
      </c>
      <c r="BM297" s="351">
        <v>0</v>
      </c>
      <c r="BN297" s="351">
        <v>0</v>
      </c>
      <c r="BO297" s="351">
        <v>0</v>
      </c>
      <c r="BP297" s="351">
        <v>0</v>
      </c>
      <c r="BQ297" s="351">
        <v>0</v>
      </c>
      <c r="BR297" s="351">
        <v>0</v>
      </c>
      <c r="BS297" s="351">
        <v>0</v>
      </c>
      <c r="BT297" s="351">
        <v>30000000</v>
      </c>
      <c r="BU297" s="351" t="s">
        <v>1938</v>
      </c>
      <c r="BV297" s="350">
        <f t="shared" si="241"/>
        <v>7.1120689655172417E-2</v>
      </c>
      <c r="BW297" s="350">
        <v>50</v>
      </c>
      <c r="BX297" s="385">
        <f t="shared" si="226"/>
        <v>0.43103448275862066</v>
      </c>
      <c r="BY297" s="395">
        <v>58</v>
      </c>
      <c r="BZ297" s="401">
        <v>57</v>
      </c>
      <c r="CA297" s="691">
        <v>57</v>
      </c>
      <c r="CB297" s="324">
        <f t="shared" si="227"/>
        <v>57</v>
      </c>
      <c r="CC297" s="324">
        <f t="shared" si="228"/>
        <v>114</v>
      </c>
      <c r="CD297" s="384">
        <f t="shared" si="242"/>
        <v>100</v>
      </c>
      <c r="CE297" s="383">
        <f t="shared" si="243"/>
        <v>7.1120689655172417E-2</v>
      </c>
      <c r="CF297" s="367">
        <f t="shared" si="244"/>
        <v>100</v>
      </c>
      <c r="CG297" s="383">
        <f t="shared" si="245"/>
        <v>8.1077586206896549E-2</v>
      </c>
      <c r="CH297" s="320">
        <f t="shared" si="246"/>
        <v>2.2758620689655173E-2</v>
      </c>
      <c r="CI297" s="319">
        <v>16</v>
      </c>
      <c r="CJ297" s="318">
        <f t="shared" si="229"/>
        <v>0.13793103448275862</v>
      </c>
      <c r="CK297" s="1258">
        <v>116</v>
      </c>
      <c r="CL297" s="301">
        <f t="shared" si="230"/>
        <v>-100</v>
      </c>
      <c r="CM297" s="381">
        <f t="shared" si="231"/>
        <v>116</v>
      </c>
      <c r="CN297" s="381">
        <f t="shared" si="232"/>
        <v>725</v>
      </c>
      <c r="CO297" s="316">
        <f t="shared" si="247"/>
        <v>100</v>
      </c>
      <c r="CP297" s="381">
        <f t="shared" si="248"/>
        <v>2.2758620689655173E-2</v>
      </c>
      <c r="CQ297" s="381">
        <f t="shared" si="249"/>
        <v>0.16500000000000001</v>
      </c>
      <c r="CR297" s="313">
        <v>0</v>
      </c>
      <c r="CS297" s="313">
        <v>0</v>
      </c>
      <c r="CT297" s="313">
        <v>0</v>
      </c>
      <c r="CU297" s="313">
        <v>0</v>
      </c>
      <c r="CV297" s="313">
        <v>0</v>
      </c>
      <c r="CW297" s="313">
        <v>0</v>
      </c>
      <c r="CX297" s="313">
        <v>0</v>
      </c>
      <c r="CY297" s="313">
        <v>0</v>
      </c>
      <c r="CZ297" s="380">
        <v>0</v>
      </c>
      <c r="DA297" s="380">
        <v>0</v>
      </c>
      <c r="DB297" s="380">
        <v>0</v>
      </c>
      <c r="DC297" s="380">
        <v>0</v>
      </c>
      <c r="DD297" s="380">
        <v>0</v>
      </c>
      <c r="DE297" s="380">
        <v>0</v>
      </c>
      <c r="DF297" s="380">
        <v>0</v>
      </c>
      <c r="DG297" s="380">
        <v>0</v>
      </c>
      <c r="DH297" s="380">
        <v>0</v>
      </c>
      <c r="DI297" s="380">
        <v>0</v>
      </c>
      <c r="DJ297" s="380">
        <v>0</v>
      </c>
      <c r="DK297" s="702">
        <f t="shared" si="233"/>
        <v>232</v>
      </c>
      <c r="DL297" s="311">
        <f t="shared" si="250"/>
        <v>0.16500000000000001</v>
      </c>
      <c r="DM297" s="310">
        <f t="shared" si="251"/>
        <v>200</v>
      </c>
      <c r="DN297" s="356">
        <f t="shared" si="252"/>
        <v>100</v>
      </c>
      <c r="DO297" s="308">
        <f t="shared" si="253"/>
        <v>0.16500000000000001</v>
      </c>
      <c r="DP297" s="359">
        <f t="shared" si="263"/>
        <v>0.16500000000000001</v>
      </c>
      <c r="DQ297" s="306">
        <f t="shared" si="254"/>
        <v>0.16500000000000001</v>
      </c>
      <c r="DR297" s="379">
        <f t="shared" si="255"/>
        <v>1</v>
      </c>
      <c r="DS297" s="378">
        <f t="shared" si="256"/>
        <v>0</v>
      </c>
      <c r="DT297" s="173">
        <v>335</v>
      </c>
      <c r="DU297" s="174" t="s">
        <v>114</v>
      </c>
      <c r="DV297" s="173"/>
      <c r="DW297" s="174" t="s">
        <v>84</v>
      </c>
      <c r="DX297" s="173"/>
      <c r="DY297" s="173"/>
      <c r="DZ297" s="173"/>
      <c r="EA297" s="665"/>
      <c r="EB297" s="1254" t="s">
        <v>3111</v>
      </c>
      <c r="EC297" s="537">
        <v>75000000</v>
      </c>
      <c r="EE297" s="734">
        <v>30</v>
      </c>
      <c r="EF297" s="706"/>
    </row>
    <row r="298" spans="4:136" s="302" customFormat="1" ht="72" hidden="1">
      <c r="D298" s="520">
        <v>295</v>
      </c>
      <c r="E298" s="534">
        <v>349</v>
      </c>
      <c r="F298" s="479" t="s">
        <v>44</v>
      </c>
      <c r="G298" s="479" t="s">
        <v>82</v>
      </c>
      <c r="H298" s="479" t="s">
        <v>2794</v>
      </c>
      <c r="I298" s="435" t="s">
        <v>748</v>
      </c>
      <c r="J298" s="335" t="s">
        <v>749</v>
      </c>
      <c r="K298" s="335" t="s">
        <v>750</v>
      </c>
      <c r="L298" s="447" t="s">
        <v>1501</v>
      </c>
      <c r="M298" s="334" t="s">
        <v>1771</v>
      </c>
      <c r="N298" s="334">
        <v>1625582</v>
      </c>
      <c r="O298" s="333">
        <f t="shared" si="262"/>
        <v>1827582</v>
      </c>
      <c r="P298" s="332">
        <v>202000</v>
      </c>
      <c r="Q298" s="390">
        <v>0.33</v>
      </c>
      <c r="R298" s="342">
        <f t="shared" si="234"/>
        <v>0</v>
      </c>
      <c r="S298" s="389">
        <v>0</v>
      </c>
      <c r="T298" s="387">
        <f t="shared" si="220"/>
        <v>0</v>
      </c>
      <c r="U298" s="670">
        <v>0</v>
      </c>
      <c r="V298" s="388">
        <f t="shared" si="221"/>
        <v>0</v>
      </c>
      <c r="W298" s="356">
        <f t="shared" si="222"/>
        <v>0</v>
      </c>
      <c r="X298" s="356">
        <f t="shared" si="235"/>
        <v>0</v>
      </c>
      <c r="Y298" s="356">
        <f t="shared" si="259"/>
        <v>0</v>
      </c>
      <c r="Z298" s="356">
        <f t="shared" si="236"/>
        <v>0</v>
      </c>
      <c r="AA298" s="355">
        <v>3943000000</v>
      </c>
      <c r="AB298" s="355">
        <v>853000000</v>
      </c>
      <c r="AC298" s="355">
        <v>667000000</v>
      </c>
      <c r="AD298" s="355">
        <v>0</v>
      </c>
      <c r="AE298" s="355">
        <v>0</v>
      </c>
      <c r="AF298" s="355">
        <v>2423000000</v>
      </c>
      <c r="AG298" s="355">
        <v>0</v>
      </c>
      <c r="AH298" s="355">
        <v>0</v>
      </c>
      <c r="AI298" s="355">
        <v>61757879000</v>
      </c>
      <c r="AJ298" s="355">
        <v>4233765000</v>
      </c>
      <c r="AK298" s="355">
        <v>2975585000</v>
      </c>
      <c r="AL298" s="355">
        <v>53756301000</v>
      </c>
      <c r="AM298" s="355">
        <v>0</v>
      </c>
      <c r="AN298" s="355">
        <v>792228000</v>
      </c>
      <c r="AO298" s="355">
        <v>0</v>
      </c>
      <c r="AP298" s="355">
        <v>0</v>
      </c>
      <c r="AQ298" s="355">
        <v>0</v>
      </c>
      <c r="AR298" s="355">
        <v>0</v>
      </c>
      <c r="AS298" s="355">
        <v>0</v>
      </c>
      <c r="AT298" s="392">
        <f t="shared" si="237"/>
        <v>0.16336633663366337</v>
      </c>
      <c r="AU298" s="334">
        <v>100000</v>
      </c>
      <c r="AV298" s="387">
        <f t="shared" si="223"/>
        <v>0.49504950495049505</v>
      </c>
      <c r="AW298" s="677">
        <v>100896</v>
      </c>
      <c r="AX298" s="366">
        <f t="shared" si="224"/>
        <v>100896</v>
      </c>
      <c r="AY298" s="366">
        <f t="shared" si="225"/>
        <v>100.896</v>
      </c>
      <c r="AZ298" s="366">
        <f t="shared" si="238"/>
        <v>100</v>
      </c>
      <c r="BA298" s="354">
        <f t="shared" si="239"/>
        <v>0.1633663366336634</v>
      </c>
      <c r="BB298" s="354">
        <f t="shared" si="240"/>
        <v>100</v>
      </c>
      <c r="BC298" s="353">
        <v>12584000000</v>
      </c>
      <c r="BD298" s="353">
        <v>3880000000</v>
      </c>
      <c r="BE298" s="353">
        <v>5494000000</v>
      </c>
      <c r="BF298" s="353">
        <v>0</v>
      </c>
      <c r="BG298" s="353">
        <v>0</v>
      </c>
      <c r="BH298" s="353">
        <v>0</v>
      </c>
      <c r="BI298" s="353">
        <v>0</v>
      </c>
      <c r="BJ298" s="353">
        <v>3210000000</v>
      </c>
      <c r="BK298" s="386">
        <v>21588030855</v>
      </c>
      <c r="BL298" s="351">
        <v>17000000000</v>
      </c>
      <c r="BM298" s="351">
        <v>3460668100</v>
      </c>
      <c r="BN298" s="351">
        <v>0</v>
      </c>
      <c r="BO298" s="351">
        <v>0</v>
      </c>
      <c r="BP298" s="351">
        <v>1127362755</v>
      </c>
      <c r="BQ298" s="351">
        <v>0</v>
      </c>
      <c r="BR298" s="351">
        <v>0</v>
      </c>
      <c r="BS298" s="351">
        <v>0</v>
      </c>
      <c r="BT298" s="351">
        <v>5143248566</v>
      </c>
      <c r="BU298" s="351">
        <v>0</v>
      </c>
      <c r="BV298" s="350">
        <f t="shared" si="241"/>
        <v>8.9503514851485153E-2</v>
      </c>
      <c r="BW298" s="350">
        <v>54787</v>
      </c>
      <c r="BX298" s="385">
        <f t="shared" si="226"/>
        <v>0.27122277227722774</v>
      </c>
      <c r="BY298" s="349">
        <v>32054</v>
      </c>
      <c r="BZ298" s="405">
        <v>50653</v>
      </c>
      <c r="CA298" s="689">
        <v>54443</v>
      </c>
      <c r="CB298" s="324">
        <f t="shared" si="227"/>
        <v>54443</v>
      </c>
      <c r="CC298" s="324">
        <f t="shared" si="228"/>
        <v>99.372113822622154</v>
      </c>
      <c r="CD298" s="384">
        <f t="shared" si="242"/>
        <v>99.372113822622154</v>
      </c>
      <c r="CE298" s="383">
        <f t="shared" si="243"/>
        <v>8.8941534653465354E-2</v>
      </c>
      <c r="CF298" s="367">
        <f t="shared" si="244"/>
        <v>99.372113822622154</v>
      </c>
      <c r="CG298" s="383">
        <f t="shared" si="245"/>
        <v>8.8941534653465354E-2</v>
      </c>
      <c r="CH298" s="320">
        <f t="shared" si="246"/>
        <v>7.713014851485149E-2</v>
      </c>
      <c r="CI298" s="319">
        <v>47213</v>
      </c>
      <c r="CJ298" s="318">
        <f t="shared" si="229"/>
        <v>0.23372772277227724</v>
      </c>
      <c r="CK298" s="1258">
        <v>74283</v>
      </c>
      <c r="CL298" s="301">
        <f t="shared" si="230"/>
        <v>-27070</v>
      </c>
      <c r="CM298" s="381">
        <f t="shared" si="231"/>
        <v>74283</v>
      </c>
      <c r="CN298" s="381">
        <f t="shared" si="232"/>
        <v>157.33590324698707</v>
      </c>
      <c r="CO298" s="316">
        <f t="shared" si="247"/>
        <v>100</v>
      </c>
      <c r="CP298" s="381">
        <f t="shared" si="248"/>
        <v>7.713014851485149E-2</v>
      </c>
      <c r="CQ298" s="381">
        <f t="shared" si="249"/>
        <v>0.12135341584158418</v>
      </c>
      <c r="CR298" s="313">
        <v>20004000000</v>
      </c>
      <c r="CS298" s="313">
        <v>12678000</v>
      </c>
      <c r="CT298" s="313">
        <v>4116000000</v>
      </c>
      <c r="CU298" s="313">
        <v>0</v>
      </c>
      <c r="CV298" s="313">
        <v>0</v>
      </c>
      <c r="CW298" s="313">
        <v>0</v>
      </c>
      <c r="CX298" s="313">
        <v>0</v>
      </c>
      <c r="CY298" s="313">
        <v>3210000000</v>
      </c>
      <c r="CZ298" s="380">
        <v>0</v>
      </c>
      <c r="DA298" s="380">
        <v>0</v>
      </c>
      <c r="DB298" s="380">
        <v>0</v>
      </c>
      <c r="DC298" s="380">
        <v>0</v>
      </c>
      <c r="DD298" s="380">
        <v>0</v>
      </c>
      <c r="DE298" s="380">
        <v>0</v>
      </c>
      <c r="DF298" s="380">
        <v>0</v>
      </c>
      <c r="DG298" s="380">
        <v>0</v>
      </c>
      <c r="DH298" s="380">
        <v>0</v>
      </c>
      <c r="DI298" s="380">
        <v>0</v>
      </c>
      <c r="DJ298" s="380">
        <v>0</v>
      </c>
      <c r="DK298" s="702">
        <f t="shared" si="233"/>
        <v>229622</v>
      </c>
      <c r="DL298" s="311">
        <f t="shared" si="250"/>
        <v>0.33</v>
      </c>
      <c r="DM298" s="310">
        <f t="shared" si="251"/>
        <v>113.67425742574257</v>
      </c>
      <c r="DN298" s="356">
        <f t="shared" si="252"/>
        <v>100</v>
      </c>
      <c r="DO298" s="308">
        <f t="shared" si="253"/>
        <v>0.33</v>
      </c>
      <c r="DP298" s="359">
        <f t="shared" si="263"/>
        <v>0.33</v>
      </c>
      <c r="DQ298" s="306">
        <f t="shared" si="254"/>
        <v>0.33</v>
      </c>
      <c r="DR298" s="379">
        <f t="shared" si="255"/>
        <v>1</v>
      </c>
      <c r="DS298" s="378">
        <f t="shared" si="256"/>
        <v>0</v>
      </c>
      <c r="DT298" s="173">
        <v>347</v>
      </c>
      <c r="DU298" s="174" t="s">
        <v>113</v>
      </c>
      <c r="DV298" s="173"/>
      <c r="DW298" s="174" t="s">
        <v>84</v>
      </c>
      <c r="DX298" s="173"/>
      <c r="DY298" s="173"/>
      <c r="DZ298" s="173"/>
      <c r="EA298" s="665"/>
      <c r="EB298" s="1254" t="s">
        <v>2386</v>
      </c>
      <c r="EC298" s="537">
        <v>180000000</v>
      </c>
      <c r="EE298" s="734">
        <v>50</v>
      </c>
      <c r="EF298" s="706"/>
    </row>
    <row r="299" spans="4:136" s="302" customFormat="1" ht="60" hidden="1">
      <c r="D299" s="520">
        <v>296</v>
      </c>
      <c r="E299" s="534">
        <v>350</v>
      </c>
      <c r="F299" s="479" t="s">
        <v>44</v>
      </c>
      <c r="G299" s="479" t="s">
        <v>82</v>
      </c>
      <c r="H299" s="479" t="s">
        <v>2794</v>
      </c>
      <c r="I299" s="435" t="s">
        <v>748</v>
      </c>
      <c r="J299" s="335" t="s">
        <v>751</v>
      </c>
      <c r="K299" s="335" t="s">
        <v>752</v>
      </c>
      <c r="L299" s="443" t="s">
        <v>1501</v>
      </c>
      <c r="M299" s="334" t="s">
        <v>1771</v>
      </c>
      <c r="N299" s="334">
        <v>1139202</v>
      </c>
      <c r="O299" s="333">
        <f t="shared" si="262"/>
        <v>1289202</v>
      </c>
      <c r="P299" s="332">
        <v>150000</v>
      </c>
      <c r="Q299" s="390">
        <v>0.25</v>
      </c>
      <c r="R299" s="342">
        <f t="shared" si="234"/>
        <v>3.3333333333333335E-3</v>
      </c>
      <c r="S299" s="389">
        <v>2000</v>
      </c>
      <c r="T299" s="387">
        <f t="shared" si="220"/>
        <v>1.3333333333333334E-2</v>
      </c>
      <c r="U299" s="670">
        <v>9787</v>
      </c>
      <c r="V299" s="388">
        <f t="shared" si="221"/>
        <v>9787</v>
      </c>
      <c r="W299" s="356">
        <f t="shared" si="222"/>
        <v>489.35</v>
      </c>
      <c r="X299" s="356">
        <f t="shared" si="235"/>
        <v>100</v>
      </c>
      <c r="Y299" s="356">
        <f t="shared" si="259"/>
        <v>3.3333333333333335E-3</v>
      </c>
      <c r="Z299" s="356">
        <f t="shared" si="236"/>
        <v>100</v>
      </c>
      <c r="AA299" s="355">
        <v>0</v>
      </c>
      <c r="AB299" s="355">
        <v>0</v>
      </c>
      <c r="AC299" s="355">
        <v>0</v>
      </c>
      <c r="AD299" s="355">
        <v>0</v>
      </c>
      <c r="AE299" s="355">
        <v>0</v>
      </c>
      <c r="AF299" s="355">
        <v>0</v>
      </c>
      <c r="AG299" s="355">
        <v>0</v>
      </c>
      <c r="AH299" s="355">
        <v>0</v>
      </c>
      <c r="AI299" s="355">
        <v>16284686000</v>
      </c>
      <c r="AJ299" s="355">
        <v>12323304000</v>
      </c>
      <c r="AK299" s="355">
        <v>737814000</v>
      </c>
      <c r="AL299" s="355">
        <v>3223568000</v>
      </c>
      <c r="AM299" s="355">
        <v>0</v>
      </c>
      <c r="AN299" s="355">
        <v>0</v>
      </c>
      <c r="AO299" s="355">
        <v>0</v>
      </c>
      <c r="AP299" s="355">
        <v>0</v>
      </c>
      <c r="AQ299" s="355">
        <v>0</v>
      </c>
      <c r="AR299" s="355">
        <v>0</v>
      </c>
      <c r="AS299" s="355">
        <v>0</v>
      </c>
      <c r="AT299" s="333">
        <f t="shared" si="237"/>
        <v>1.3333333333333334E-2</v>
      </c>
      <c r="AU299" s="334">
        <v>8000</v>
      </c>
      <c r="AV299" s="387">
        <f t="shared" si="223"/>
        <v>5.3333333333333337E-2</v>
      </c>
      <c r="AW299" s="677">
        <v>23180</v>
      </c>
      <c r="AX299" s="366">
        <f t="shared" si="224"/>
        <v>23180</v>
      </c>
      <c r="AY299" s="366">
        <f t="shared" si="225"/>
        <v>289.75</v>
      </c>
      <c r="AZ299" s="366">
        <f t="shared" si="238"/>
        <v>100</v>
      </c>
      <c r="BA299" s="354">
        <f t="shared" si="239"/>
        <v>1.3333333333333334E-2</v>
      </c>
      <c r="BB299" s="354">
        <f t="shared" si="240"/>
        <v>100</v>
      </c>
      <c r="BC299" s="353">
        <v>3812000000</v>
      </c>
      <c r="BD299" s="353">
        <v>0</v>
      </c>
      <c r="BE299" s="353">
        <v>2590000000</v>
      </c>
      <c r="BF299" s="353">
        <v>0</v>
      </c>
      <c r="BG299" s="353">
        <v>0</v>
      </c>
      <c r="BH299" s="353">
        <v>0</v>
      </c>
      <c r="BI299" s="353">
        <v>0</v>
      </c>
      <c r="BJ299" s="353">
        <v>1222000000</v>
      </c>
      <c r="BK299" s="386">
        <v>12748298587</v>
      </c>
      <c r="BL299" s="351">
        <v>9000000000</v>
      </c>
      <c r="BM299" s="351">
        <v>1445431077</v>
      </c>
      <c r="BN299" s="351">
        <v>0</v>
      </c>
      <c r="BO299" s="351">
        <v>0</v>
      </c>
      <c r="BP299" s="351">
        <v>2302867510</v>
      </c>
      <c r="BQ299" s="351">
        <v>0</v>
      </c>
      <c r="BR299" s="351">
        <v>0</v>
      </c>
      <c r="BS299" s="351">
        <v>0</v>
      </c>
      <c r="BT299" s="351">
        <v>6414533527</v>
      </c>
      <c r="BU299" s="351">
        <v>0</v>
      </c>
      <c r="BV299" s="350">
        <f t="shared" si="241"/>
        <v>0.1</v>
      </c>
      <c r="BW299" s="350">
        <v>60000</v>
      </c>
      <c r="BX299" s="385">
        <f t="shared" si="226"/>
        <v>0.4</v>
      </c>
      <c r="BY299" s="400">
        <v>15200</v>
      </c>
      <c r="BZ299" s="416">
        <v>1</v>
      </c>
      <c r="CA299" s="691">
        <v>29679</v>
      </c>
      <c r="CB299" s="324">
        <f t="shared" si="227"/>
        <v>29679</v>
      </c>
      <c r="CC299" s="324">
        <f t="shared" si="228"/>
        <v>49.465000000000003</v>
      </c>
      <c r="CD299" s="384">
        <f t="shared" si="242"/>
        <v>49.465000000000003</v>
      </c>
      <c r="CE299" s="383">
        <f t="shared" si="243"/>
        <v>4.9465000000000002E-2</v>
      </c>
      <c r="CF299" s="367">
        <f t="shared" si="244"/>
        <v>49.465000000000003</v>
      </c>
      <c r="CG299" s="383">
        <f t="shared" si="245"/>
        <v>4.9465000000000002E-2</v>
      </c>
      <c r="CH299" s="320">
        <f t="shared" si="246"/>
        <v>0.13333333333333333</v>
      </c>
      <c r="CI299" s="319">
        <v>80000</v>
      </c>
      <c r="CJ299" s="318">
        <f t="shared" si="229"/>
        <v>0.53333333333333333</v>
      </c>
      <c r="CK299" s="1258">
        <v>26270</v>
      </c>
      <c r="CL299" s="301">
        <f t="shared" si="230"/>
        <v>53730</v>
      </c>
      <c r="CM299" s="381">
        <f t="shared" si="231"/>
        <v>26270</v>
      </c>
      <c r="CN299" s="381">
        <f t="shared" si="232"/>
        <v>32.837499999999999</v>
      </c>
      <c r="CO299" s="316">
        <f t="shared" si="247"/>
        <v>32.837499999999999</v>
      </c>
      <c r="CP299" s="381">
        <f t="shared" si="248"/>
        <v>4.3783333333333327E-2</v>
      </c>
      <c r="CQ299" s="381">
        <f t="shared" si="249"/>
        <v>4.3783333333333327E-2</v>
      </c>
      <c r="CR299" s="313">
        <v>7200000000</v>
      </c>
      <c r="CS299" s="313">
        <v>5976000000</v>
      </c>
      <c r="CT299" s="313">
        <v>0</v>
      </c>
      <c r="CU299" s="313">
        <v>0</v>
      </c>
      <c r="CV299" s="313">
        <v>0</v>
      </c>
      <c r="CW299" s="313">
        <v>0</v>
      </c>
      <c r="CX299" s="313">
        <v>0</v>
      </c>
      <c r="CY299" s="313">
        <v>1224000000</v>
      </c>
      <c r="CZ299" s="380">
        <v>0</v>
      </c>
      <c r="DA299" s="380">
        <v>0</v>
      </c>
      <c r="DB299" s="380">
        <v>0</v>
      </c>
      <c r="DC299" s="380">
        <v>0</v>
      </c>
      <c r="DD299" s="380">
        <v>0</v>
      </c>
      <c r="DE299" s="380">
        <v>0</v>
      </c>
      <c r="DF299" s="380">
        <v>0</v>
      </c>
      <c r="DG299" s="380">
        <v>0</v>
      </c>
      <c r="DH299" s="380">
        <v>0</v>
      </c>
      <c r="DI299" s="380">
        <v>0</v>
      </c>
      <c r="DJ299" s="380">
        <v>0</v>
      </c>
      <c r="DK299" s="702">
        <f t="shared" si="233"/>
        <v>88916</v>
      </c>
      <c r="DL299" s="311">
        <f t="shared" si="250"/>
        <v>0.25</v>
      </c>
      <c r="DM299" s="310">
        <f t="shared" si="251"/>
        <v>59.277333333333331</v>
      </c>
      <c r="DN299" s="356">
        <f t="shared" si="252"/>
        <v>59.277333333333331</v>
      </c>
      <c r="DO299" s="308">
        <f t="shared" si="253"/>
        <v>0.14819333333333332</v>
      </c>
      <c r="DP299" s="359">
        <f t="shared" si="263"/>
        <v>0.14819333333333332</v>
      </c>
      <c r="DQ299" s="306">
        <f t="shared" si="254"/>
        <v>0.14819333333333332</v>
      </c>
      <c r="DR299" s="379">
        <f t="shared" si="255"/>
        <v>1</v>
      </c>
      <c r="DS299" s="378">
        <f t="shared" si="256"/>
        <v>0</v>
      </c>
      <c r="DT299" s="173">
        <v>348</v>
      </c>
      <c r="DU299" s="174" t="s">
        <v>112</v>
      </c>
      <c r="DV299" s="173"/>
      <c r="DW299" s="174" t="s">
        <v>84</v>
      </c>
      <c r="DX299" s="173"/>
      <c r="DY299" s="173"/>
      <c r="DZ299" s="173"/>
      <c r="EA299" s="665"/>
      <c r="EB299" s="1254" t="s">
        <v>2387</v>
      </c>
      <c r="EC299" s="537">
        <v>600000000</v>
      </c>
      <c r="EE299" s="734">
        <v>58</v>
      </c>
      <c r="EF299" s="706"/>
    </row>
    <row r="300" spans="4:136" s="302" customFormat="1" ht="63.75" hidden="1">
      <c r="D300" s="520">
        <v>297</v>
      </c>
      <c r="E300" s="534">
        <v>351</v>
      </c>
      <c r="F300" s="336" t="s">
        <v>44</v>
      </c>
      <c r="G300" s="336" t="s">
        <v>82</v>
      </c>
      <c r="H300" s="479" t="s">
        <v>2794</v>
      </c>
      <c r="I300" s="336" t="s">
        <v>748</v>
      </c>
      <c r="J300" s="335" t="s">
        <v>1284</v>
      </c>
      <c r="K300" s="335" t="s">
        <v>753</v>
      </c>
      <c r="L300" s="443" t="s">
        <v>1937</v>
      </c>
      <c r="M300" s="334" t="s">
        <v>1771</v>
      </c>
      <c r="N300" s="334">
        <v>0</v>
      </c>
      <c r="O300" s="333">
        <f t="shared" si="262"/>
        <v>5000</v>
      </c>
      <c r="P300" s="332">
        <v>5000</v>
      </c>
      <c r="Q300" s="393">
        <v>0.25</v>
      </c>
      <c r="R300" s="419">
        <f t="shared" si="234"/>
        <v>0</v>
      </c>
      <c r="S300" s="389">
        <v>0</v>
      </c>
      <c r="T300" s="449">
        <f t="shared" si="220"/>
        <v>0</v>
      </c>
      <c r="U300" s="670">
        <v>1179</v>
      </c>
      <c r="V300" s="388">
        <f t="shared" si="221"/>
        <v>1179</v>
      </c>
      <c r="W300" s="356">
        <f t="shared" si="222"/>
        <v>0</v>
      </c>
      <c r="X300" s="356">
        <f t="shared" si="235"/>
        <v>0</v>
      </c>
      <c r="Y300" s="356">
        <f t="shared" si="259"/>
        <v>0</v>
      </c>
      <c r="Z300" s="356">
        <f t="shared" si="236"/>
        <v>100</v>
      </c>
      <c r="AA300" s="355">
        <v>0</v>
      </c>
      <c r="AB300" s="355">
        <v>0</v>
      </c>
      <c r="AC300" s="355">
        <v>0</v>
      </c>
      <c r="AD300" s="355">
        <v>0</v>
      </c>
      <c r="AE300" s="355">
        <v>0</v>
      </c>
      <c r="AF300" s="355">
        <v>0</v>
      </c>
      <c r="AG300" s="355">
        <v>0</v>
      </c>
      <c r="AH300" s="355">
        <v>0</v>
      </c>
      <c r="AI300" s="355">
        <v>1863073000</v>
      </c>
      <c r="AJ300" s="355">
        <v>114460000</v>
      </c>
      <c r="AK300" s="355">
        <v>0</v>
      </c>
      <c r="AL300" s="355">
        <v>1748613000</v>
      </c>
      <c r="AM300" s="355">
        <v>0</v>
      </c>
      <c r="AN300" s="355">
        <v>0</v>
      </c>
      <c r="AO300" s="355">
        <v>0</v>
      </c>
      <c r="AP300" s="355">
        <v>0</v>
      </c>
      <c r="AQ300" s="355">
        <v>0</v>
      </c>
      <c r="AR300" s="355">
        <v>0</v>
      </c>
      <c r="AS300" s="355">
        <v>0</v>
      </c>
      <c r="AT300" s="392">
        <f t="shared" si="237"/>
        <v>2.5000000000000001E-2</v>
      </c>
      <c r="AU300" s="334">
        <v>500</v>
      </c>
      <c r="AV300" s="387">
        <f t="shared" si="223"/>
        <v>0.1</v>
      </c>
      <c r="AW300" s="677">
        <v>982</v>
      </c>
      <c r="AX300" s="366">
        <f t="shared" si="224"/>
        <v>982</v>
      </c>
      <c r="AY300" s="366">
        <f t="shared" si="225"/>
        <v>196.4</v>
      </c>
      <c r="AZ300" s="366">
        <f t="shared" si="238"/>
        <v>100</v>
      </c>
      <c r="BA300" s="354">
        <f t="shared" si="239"/>
        <v>2.5000000000000001E-2</v>
      </c>
      <c r="BB300" s="354">
        <f t="shared" si="240"/>
        <v>100</v>
      </c>
      <c r="BC300" s="353">
        <v>8871000000</v>
      </c>
      <c r="BD300" s="353">
        <v>0</v>
      </c>
      <c r="BE300" s="353">
        <v>6366000000</v>
      </c>
      <c r="BF300" s="353">
        <v>0</v>
      </c>
      <c r="BG300" s="353">
        <v>0</v>
      </c>
      <c r="BH300" s="353">
        <v>0</v>
      </c>
      <c r="BI300" s="353">
        <v>0</v>
      </c>
      <c r="BJ300" s="353">
        <v>2505000000</v>
      </c>
      <c r="BK300" s="386">
        <v>11700000000</v>
      </c>
      <c r="BL300" s="351">
        <v>7500000000</v>
      </c>
      <c r="BM300" s="351">
        <v>4200000000</v>
      </c>
      <c r="BN300" s="351">
        <v>0</v>
      </c>
      <c r="BO300" s="351">
        <v>0</v>
      </c>
      <c r="BP300" s="351">
        <v>0</v>
      </c>
      <c r="BQ300" s="351">
        <v>0</v>
      </c>
      <c r="BR300" s="351">
        <v>0</v>
      </c>
      <c r="BS300" s="351">
        <v>0</v>
      </c>
      <c r="BT300" s="351">
        <v>8468740459</v>
      </c>
      <c r="BU300" s="351">
        <v>0</v>
      </c>
      <c r="BV300" s="350">
        <f t="shared" si="241"/>
        <v>7.4999999999999997E-2</v>
      </c>
      <c r="BW300" s="350">
        <v>1500</v>
      </c>
      <c r="BX300" s="385">
        <f t="shared" si="226"/>
        <v>0.3</v>
      </c>
      <c r="BY300" s="400">
        <v>919</v>
      </c>
      <c r="BZ300" s="416">
        <v>1234</v>
      </c>
      <c r="CA300" s="691">
        <v>1908</v>
      </c>
      <c r="CB300" s="324">
        <f t="shared" si="227"/>
        <v>1908</v>
      </c>
      <c r="CC300" s="324">
        <f t="shared" si="228"/>
        <v>127.2</v>
      </c>
      <c r="CD300" s="384">
        <f t="shared" si="242"/>
        <v>100</v>
      </c>
      <c r="CE300" s="383">
        <f t="shared" si="243"/>
        <v>7.4999999999999997E-2</v>
      </c>
      <c r="CF300" s="367">
        <f t="shared" si="244"/>
        <v>100</v>
      </c>
      <c r="CG300" s="383">
        <f t="shared" si="245"/>
        <v>9.5399999999999985E-2</v>
      </c>
      <c r="CH300" s="320">
        <f t="shared" si="246"/>
        <v>0.15</v>
      </c>
      <c r="CI300" s="319">
        <v>3000</v>
      </c>
      <c r="CJ300" s="318">
        <f t="shared" si="229"/>
        <v>0.6</v>
      </c>
      <c r="CK300" s="1258">
        <v>1492</v>
      </c>
      <c r="CL300" s="301">
        <f t="shared" si="230"/>
        <v>1508</v>
      </c>
      <c r="CM300" s="381">
        <f t="shared" si="231"/>
        <v>1492</v>
      </c>
      <c r="CN300" s="381">
        <f t="shared" si="232"/>
        <v>49.733333333333334</v>
      </c>
      <c r="CO300" s="316">
        <f t="shared" si="247"/>
        <v>49.733333333333334</v>
      </c>
      <c r="CP300" s="381">
        <f t="shared" si="248"/>
        <v>7.46E-2</v>
      </c>
      <c r="CQ300" s="381">
        <f t="shared" si="249"/>
        <v>7.46E-2</v>
      </c>
      <c r="CR300" s="313">
        <v>17196000000</v>
      </c>
      <c r="CS300" s="313">
        <v>14691000</v>
      </c>
      <c r="CT300" s="313">
        <v>0</v>
      </c>
      <c r="CU300" s="313">
        <v>0</v>
      </c>
      <c r="CV300" s="313">
        <v>0</v>
      </c>
      <c r="CW300" s="313">
        <v>0</v>
      </c>
      <c r="CX300" s="313">
        <v>0</v>
      </c>
      <c r="CY300" s="313">
        <v>2505000000</v>
      </c>
      <c r="CZ300" s="380">
        <v>0</v>
      </c>
      <c r="DA300" s="380">
        <v>0</v>
      </c>
      <c r="DB300" s="380">
        <v>0</v>
      </c>
      <c r="DC300" s="380">
        <v>0</v>
      </c>
      <c r="DD300" s="380">
        <v>0</v>
      </c>
      <c r="DE300" s="380">
        <v>0</v>
      </c>
      <c r="DF300" s="380">
        <v>0</v>
      </c>
      <c r="DG300" s="380">
        <v>0</v>
      </c>
      <c r="DH300" s="380">
        <v>0</v>
      </c>
      <c r="DI300" s="380">
        <v>0</v>
      </c>
      <c r="DJ300" s="380">
        <v>0</v>
      </c>
      <c r="DK300" s="702">
        <f t="shared" si="233"/>
        <v>5561</v>
      </c>
      <c r="DL300" s="311">
        <f t="shared" si="250"/>
        <v>0.25</v>
      </c>
      <c r="DM300" s="310">
        <f t="shared" si="251"/>
        <v>111.22</v>
      </c>
      <c r="DN300" s="356">
        <f t="shared" si="252"/>
        <v>100</v>
      </c>
      <c r="DO300" s="308">
        <f t="shared" si="253"/>
        <v>0.25</v>
      </c>
      <c r="DP300" s="359">
        <f t="shared" si="263"/>
        <v>0.25</v>
      </c>
      <c r="DQ300" s="306">
        <f t="shared" si="254"/>
        <v>0.25</v>
      </c>
      <c r="DR300" s="379">
        <f t="shared" si="255"/>
        <v>1</v>
      </c>
      <c r="DS300" s="378">
        <f t="shared" si="256"/>
        <v>0</v>
      </c>
      <c r="DT300" s="173">
        <v>348</v>
      </c>
      <c r="DU300" s="174" t="s">
        <v>112</v>
      </c>
      <c r="DV300" s="173"/>
      <c r="DW300" s="174" t="s">
        <v>84</v>
      </c>
      <c r="DX300" s="173"/>
      <c r="DY300" s="173"/>
      <c r="DZ300" s="173"/>
      <c r="EA300" s="665"/>
      <c r="EB300" s="1254" t="s">
        <v>2552</v>
      </c>
      <c r="EC300" s="537">
        <v>152000000</v>
      </c>
      <c r="EE300" s="734">
        <v>4280</v>
      </c>
      <c r="EF300" s="706"/>
    </row>
    <row r="301" spans="4:136" s="302" customFormat="1" ht="76.5" hidden="1">
      <c r="D301" s="520">
        <v>298</v>
      </c>
      <c r="E301" s="534">
        <v>352</v>
      </c>
      <c r="F301" s="336" t="s">
        <v>44</v>
      </c>
      <c r="G301" s="336" t="s">
        <v>82</v>
      </c>
      <c r="H301" s="479" t="s">
        <v>2794</v>
      </c>
      <c r="I301" s="336" t="s">
        <v>748</v>
      </c>
      <c r="J301" s="335" t="s">
        <v>1285</v>
      </c>
      <c r="K301" s="335" t="s">
        <v>754</v>
      </c>
      <c r="L301" s="443" t="s">
        <v>1936</v>
      </c>
      <c r="M301" s="334" t="s">
        <v>1771</v>
      </c>
      <c r="N301" s="334">
        <v>0</v>
      </c>
      <c r="O301" s="333">
        <f t="shared" si="262"/>
        <v>3000</v>
      </c>
      <c r="P301" s="332">
        <v>3000</v>
      </c>
      <c r="Q301" s="393">
        <v>0.25</v>
      </c>
      <c r="R301" s="342">
        <f t="shared" si="234"/>
        <v>0</v>
      </c>
      <c r="S301" s="389">
        <v>0</v>
      </c>
      <c r="T301" s="387">
        <f t="shared" si="220"/>
        <v>0</v>
      </c>
      <c r="U301" s="670">
        <v>0</v>
      </c>
      <c r="V301" s="388">
        <f t="shared" si="221"/>
        <v>0</v>
      </c>
      <c r="W301" s="356">
        <f t="shared" si="222"/>
        <v>0</v>
      </c>
      <c r="X301" s="356">
        <f t="shared" si="235"/>
        <v>0</v>
      </c>
      <c r="Y301" s="356">
        <f t="shared" si="259"/>
        <v>0</v>
      </c>
      <c r="Z301" s="356">
        <f t="shared" si="236"/>
        <v>0</v>
      </c>
      <c r="AA301" s="355">
        <v>0</v>
      </c>
      <c r="AB301" s="355">
        <v>0</v>
      </c>
      <c r="AC301" s="355">
        <v>0</v>
      </c>
      <c r="AD301" s="355">
        <v>0</v>
      </c>
      <c r="AE301" s="355">
        <v>0</v>
      </c>
      <c r="AF301" s="355">
        <v>0</v>
      </c>
      <c r="AG301" s="355">
        <v>0</v>
      </c>
      <c r="AH301" s="355">
        <v>0</v>
      </c>
      <c r="AI301" s="355">
        <v>0</v>
      </c>
      <c r="AJ301" s="355">
        <v>0</v>
      </c>
      <c r="AK301" s="355">
        <v>0</v>
      </c>
      <c r="AL301" s="355">
        <v>0</v>
      </c>
      <c r="AM301" s="355">
        <v>0</v>
      </c>
      <c r="AN301" s="355">
        <v>0</v>
      </c>
      <c r="AO301" s="355">
        <v>0</v>
      </c>
      <c r="AP301" s="355">
        <v>0</v>
      </c>
      <c r="AQ301" s="355">
        <v>0</v>
      </c>
      <c r="AR301" s="355">
        <v>0</v>
      </c>
      <c r="AS301" s="355">
        <v>0</v>
      </c>
      <c r="AT301" s="392">
        <f t="shared" si="237"/>
        <v>0</v>
      </c>
      <c r="AU301" s="334">
        <v>0</v>
      </c>
      <c r="AV301" s="387">
        <f t="shared" si="223"/>
        <v>0</v>
      </c>
      <c r="AW301" s="677">
        <v>0</v>
      </c>
      <c r="AX301" s="366">
        <f t="shared" si="224"/>
        <v>0</v>
      </c>
      <c r="AY301" s="366">
        <f t="shared" si="225"/>
        <v>0</v>
      </c>
      <c r="AZ301" s="366">
        <f t="shared" si="238"/>
        <v>0</v>
      </c>
      <c r="BA301" s="354">
        <f t="shared" si="239"/>
        <v>0</v>
      </c>
      <c r="BB301" s="354">
        <f t="shared" si="240"/>
        <v>0</v>
      </c>
      <c r="BC301" s="353">
        <v>3610000000</v>
      </c>
      <c r="BD301" s="353">
        <v>0</v>
      </c>
      <c r="BE301" s="353">
        <v>2590000000</v>
      </c>
      <c r="BF301" s="353">
        <v>0</v>
      </c>
      <c r="BG301" s="353">
        <v>0</v>
      </c>
      <c r="BH301" s="353">
        <v>0</v>
      </c>
      <c r="BI301" s="353">
        <v>0</v>
      </c>
      <c r="BJ301" s="353">
        <v>1020000000</v>
      </c>
      <c r="BK301" s="386">
        <v>3103639000</v>
      </c>
      <c r="BL301" s="351">
        <v>3103639000</v>
      </c>
      <c r="BM301" s="351">
        <v>0</v>
      </c>
      <c r="BN301" s="351">
        <v>0</v>
      </c>
      <c r="BO301" s="351">
        <v>0</v>
      </c>
      <c r="BP301" s="351">
        <v>0</v>
      </c>
      <c r="BQ301" s="351">
        <v>0</v>
      </c>
      <c r="BR301" s="351">
        <v>0</v>
      </c>
      <c r="BS301" s="351">
        <v>0</v>
      </c>
      <c r="BT301" s="351">
        <v>0</v>
      </c>
      <c r="BU301" s="351">
        <v>0</v>
      </c>
      <c r="BV301" s="350">
        <f t="shared" si="241"/>
        <v>0</v>
      </c>
      <c r="BW301" s="350">
        <v>0</v>
      </c>
      <c r="BX301" s="385">
        <f t="shared" si="226"/>
        <v>0</v>
      </c>
      <c r="BY301" s="395">
        <v>0</v>
      </c>
      <c r="BZ301" s="401">
        <v>0</v>
      </c>
      <c r="CA301" s="691">
        <v>0</v>
      </c>
      <c r="CB301" s="324">
        <f t="shared" si="227"/>
        <v>0</v>
      </c>
      <c r="CC301" s="324">
        <f t="shared" si="228"/>
        <v>0</v>
      </c>
      <c r="CD301" s="384">
        <f t="shared" si="242"/>
        <v>0</v>
      </c>
      <c r="CE301" s="383">
        <f t="shared" si="243"/>
        <v>0</v>
      </c>
      <c r="CF301" s="367">
        <f t="shared" si="244"/>
        <v>0</v>
      </c>
      <c r="CG301" s="383">
        <f t="shared" si="245"/>
        <v>0</v>
      </c>
      <c r="CH301" s="320">
        <f t="shared" si="246"/>
        <v>0.25</v>
      </c>
      <c r="CI301" s="319">
        <v>3000</v>
      </c>
      <c r="CJ301" s="318">
        <f t="shared" si="229"/>
        <v>1</v>
      </c>
      <c r="CK301" s="1258">
        <v>70</v>
      </c>
      <c r="CL301" s="301">
        <f t="shared" si="230"/>
        <v>2930</v>
      </c>
      <c r="CM301" s="381">
        <f t="shared" si="231"/>
        <v>70</v>
      </c>
      <c r="CN301" s="381">
        <f t="shared" si="232"/>
        <v>2.3333333333333335</v>
      </c>
      <c r="CO301" s="316">
        <f t="shared" si="247"/>
        <v>2.3333333333333335</v>
      </c>
      <c r="CP301" s="381">
        <f t="shared" si="248"/>
        <v>5.8333333333333336E-3</v>
      </c>
      <c r="CQ301" s="381">
        <f t="shared" si="249"/>
        <v>5.8333333333333336E-3</v>
      </c>
      <c r="CR301" s="313">
        <v>6996000000</v>
      </c>
      <c r="CS301" s="313">
        <v>5976000000</v>
      </c>
      <c r="CT301" s="313">
        <v>0</v>
      </c>
      <c r="CU301" s="313">
        <v>0</v>
      </c>
      <c r="CV301" s="313">
        <v>0</v>
      </c>
      <c r="CW301" s="313">
        <v>0</v>
      </c>
      <c r="CX301" s="313">
        <v>0</v>
      </c>
      <c r="CY301" s="313">
        <v>1020000000</v>
      </c>
      <c r="CZ301" s="380">
        <v>0</v>
      </c>
      <c r="DA301" s="380">
        <v>0</v>
      </c>
      <c r="DB301" s="380">
        <v>0</v>
      </c>
      <c r="DC301" s="380">
        <v>0</v>
      </c>
      <c r="DD301" s="380">
        <v>0</v>
      </c>
      <c r="DE301" s="380">
        <v>0</v>
      </c>
      <c r="DF301" s="380">
        <v>0</v>
      </c>
      <c r="DG301" s="380">
        <v>0</v>
      </c>
      <c r="DH301" s="380">
        <v>0</v>
      </c>
      <c r="DI301" s="380">
        <v>0</v>
      </c>
      <c r="DJ301" s="380">
        <v>0</v>
      </c>
      <c r="DK301" s="702">
        <f t="shared" si="233"/>
        <v>70</v>
      </c>
      <c r="DL301" s="311">
        <f t="shared" si="250"/>
        <v>0.25</v>
      </c>
      <c r="DM301" s="310">
        <f t="shared" si="251"/>
        <v>2.3333333333333335</v>
      </c>
      <c r="DN301" s="356">
        <f t="shared" si="252"/>
        <v>2.3333333333333335</v>
      </c>
      <c r="DO301" s="308">
        <f t="shared" si="253"/>
        <v>5.8333333333333336E-3</v>
      </c>
      <c r="DP301" s="359">
        <f t="shared" si="263"/>
        <v>5.8333333333333336E-3</v>
      </c>
      <c r="DQ301" s="306">
        <f t="shared" si="254"/>
        <v>5.8333333333333336E-3</v>
      </c>
      <c r="DR301" s="379">
        <f t="shared" si="255"/>
        <v>1</v>
      </c>
      <c r="DS301" s="378">
        <f t="shared" si="256"/>
        <v>0</v>
      </c>
      <c r="DT301" s="173">
        <v>347</v>
      </c>
      <c r="DU301" s="174" t="s">
        <v>113</v>
      </c>
      <c r="DV301" s="173"/>
      <c r="DW301" s="174" t="s">
        <v>84</v>
      </c>
      <c r="DX301" s="173"/>
      <c r="DY301" s="173"/>
      <c r="DZ301" s="173"/>
      <c r="EA301" s="665"/>
      <c r="EB301" s="1254" t="s">
        <v>2388</v>
      </c>
      <c r="EC301" s="537">
        <v>229000000</v>
      </c>
      <c r="EE301" s="734">
        <v>30</v>
      </c>
      <c r="EF301" s="706"/>
    </row>
    <row r="302" spans="4:136" s="302" customFormat="1" ht="63.75" hidden="1">
      <c r="D302" s="520">
        <v>299</v>
      </c>
      <c r="E302" s="534">
        <v>353</v>
      </c>
      <c r="F302" s="479" t="s">
        <v>44</v>
      </c>
      <c r="G302" s="479" t="s">
        <v>82</v>
      </c>
      <c r="H302" s="479" t="s">
        <v>2794</v>
      </c>
      <c r="I302" s="435" t="s">
        <v>748</v>
      </c>
      <c r="J302" s="335" t="s">
        <v>755</v>
      </c>
      <c r="K302" s="335" t="s">
        <v>756</v>
      </c>
      <c r="L302" s="443" t="s">
        <v>1816</v>
      </c>
      <c r="M302" s="334" t="s">
        <v>1771</v>
      </c>
      <c r="N302" s="334">
        <v>0</v>
      </c>
      <c r="O302" s="333">
        <f t="shared" si="262"/>
        <v>8</v>
      </c>
      <c r="P302" s="332">
        <v>8</v>
      </c>
      <c r="Q302" s="390">
        <v>0.33</v>
      </c>
      <c r="R302" s="342">
        <f t="shared" si="234"/>
        <v>0</v>
      </c>
      <c r="S302" s="389">
        <v>0</v>
      </c>
      <c r="T302" s="387">
        <f t="shared" si="220"/>
        <v>0</v>
      </c>
      <c r="U302" s="670">
        <v>0</v>
      </c>
      <c r="V302" s="388">
        <f t="shared" si="221"/>
        <v>0</v>
      </c>
      <c r="W302" s="356">
        <f t="shared" si="222"/>
        <v>0</v>
      </c>
      <c r="X302" s="356">
        <f t="shared" si="235"/>
        <v>0</v>
      </c>
      <c r="Y302" s="356">
        <f t="shared" si="259"/>
        <v>0</v>
      </c>
      <c r="Z302" s="356">
        <f t="shared" si="236"/>
        <v>0</v>
      </c>
      <c r="AA302" s="355">
        <v>0</v>
      </c>
      <c r="AB302" s="355">
        <v>0</v>
      </c>
      <c r="AC302" s="355">
        <v>0</v>
      </c>
      <c r="AD302" s="355">
        <v>0</v>
      </c>
      <c r="AE302" s="355">
        <v>0</v>
      </c>
      <c r="AF302" s="355">
        <v>0</v>
      </c>
      <c r="AG302" s="355">
        <v>0</v>
      </c>
      <c r="AH302" s="355">
        <v>0</v>
      </c>
      <c r="AI302" s="355">
        <v>1863073000</v>
      </c>
      <c r="AJ302" s="355">
        <v>114460000</v>
      </c>
      <c r="AK302" s="355">
        <v>0</v>
      </c>
      <c r="AL302" s="355">
        <v>1748613000</v>
      </c>
      <c r="AM302" s="355">
        <v>0</v>
      </c>
      <c r="AN302" s="355">
        <v>0</v>
      </c>
      <c r="AO302" s="355">
        <v>0</v>
      </c>
      <c r="AP302" s="355">
        <v>0</v>
      </c>
      <c r="AQ302" s="355">
        <v>0</v>
      </c>
      <c r="AR302" s="355">
        <v>0</v>
      </c>
      <c r="AS302" s="355">
        <v>0</v>
      </c>
      <c r="AT302" s="333">
        <f t="shared" si="237"/>
        <v>8.2500000000000004E-2</v>
      </c>
      <c r="AU302" s="334">
        <v>2</v>
      </c>
      <c r="AV302" s="387">
        <f t="shared" si="223"/>
        <v>0.25</v>
      </c>
      <c r="AW302" s="677">
        <v>1</v>
      </c>
      <c r="AX302" s="366">
        <f t="shared" si="224"/>
        <v>1</v>
      </c>
      <c r="AY302" s="366">
        <f t="shared" si="225"/>
        <v>50</v>
      </c>
      <c r="AZ302" s="366">
        <f t="shared" si="238"/>
        <v>50</v>
      </c>
      <c r="BA302" s="354">
        <f t="shared" si="239"/>
        <v>4.1250000000000002E-2</v>
      </c>
      <c r="BB302" s="354">
        <f t="shared" si="240"/>
        <v>50</v>
      </c>
      <c r="BC302" s="353">
        <v>8871000000</v>
      </c>
      <c r="BD302" s="353">
        <v>0</v>
      </c>
      <c r="BE302" s="353">
        <v>6366000000</v>
      </c>
      <c r="BF302" s="353">
        <v>0</v>
      </c>
      <c r="BG302" s="353">
        <v>0</v>
      </c>
      <c r="BH302" s="353">
        <v>0</v>
      </c>
      <c r="BI302" s="353">
        <v>0</v>
      </c>
      <c r="BJ302" s="353">
        <v>2505000000</v>
      </c>
      <c r="BK302" s="386">
        <v>3500000000</v>
      </c>
      <c r="BL302" s="351">
        <v>0</v>
      </c>
      <c r="BM302" s="351">
        <v>3500000000</v>
      </c>
      <c r="BN302" s="351">
        <v>0</v>
      </c>
      <c r="BO302" s="351">
        <v>0</v>
      </c>
      <c r="BP302" s="351">
        <v>0</v>
      </c>
      <c r="BQ302" s="351">
        <v>0</v>
      </c>
      <c r="BR302" s="351">
        <v>0</v>
      </c>
      <c r="BS302" s="351">
        <v>0</v>
      </c>
      <c r="BT302" s="351">
        <v>1794655414</v>
      </c>
      <c r="BU302" s="351">
        <v>0</v>
      </c>
      <c r="BV302" s="350">
        <f t="shared" si="241"/>
        <v>0.12375</v>
      </c>
      <c r="BW302" s="350">
        <v>3</v>
      </c>
      <c r="BX302" s="385">
        <f t="shared" si="226"/>
        <v>0.375</v>
      </c>
      <c r="BY302" s="395">
        <v>0</v>
      </c>
      <c r="BZ302" s="401">
        <v>0</v>
      </c>
      <c r="CA302" s="691">
        <v>0</v>
      </c>
      <c r="CB302" s="324">
        <f t="shared" si="227"/>
        <v>0</v>
      </c>
      <c r="CC302" s="324">
        <f t="shared" si="228"/>
        <v>0</v>
      </c>
      <c r="CD302" s="384">
        <f t="shared" si="242"/>
        <v>0</v>
      </c>
      <c r="CE302" s="383">
        <f t="shared" si="243"/>
        <v>0</v>
      </c>
      <c r="CF302" s="367">
        <f t="shared" si="244"/>
        <v>0</v>
      </c>
      <c r="CG302" s="383">
        <f t="shared" si="245"/>
        <v>0</v>
      </c>
      <c r="CH302" s="320">
        <f t="shared" si="246"/>
        <v>0.12375</v>
      </c>
      <c r="CI302" s="319">
        <v>3</v>
      </c>
      <c r="CJ302" s="318">
        <f t="shared" si="229"/>
        <v>0.375</v>
      </c>
      <c r="CK302" s="1259">
        <v>7</v>
      </c>
      <c r="CL302" s="301">
        <f t="shared" si="230"/>
        <v>-4</v>
      </c>
      <c r="CM302" s="381">
        <f t="shared" si="231"/>
        <v>7</v>
      </c>
      <c r="CN302" s="381">
        <f t="shared" si="232"/>
        <v>233.33333333333334</v>
      </c>
      <c r="CO302" s="316">
        <f t="shared" si="247"/>
        <v>100</v>
      </c>
      <c r="CP302" s="381">
        <f t="shared" si="248"/>
        <v>0.12375</v>
      </c>
      <c r="CQ302" s="381">
        <f t="shared" si="249"/>
        <v>0.28875000000000001</v>
      </c>
      <c r="CR302" s="313">
        <v>17196000000</v>
      </c>
      <c r="CS302" s="313">
        <v>14691000</v>
      </c>
      <c r="CT302" s="313">
        <v>0</v>
      </c>
      <c r="CU302" s="313">
        <v>0</v>
      </c>
      <c r="CV302" s="313">
        <v>0</v>
      </c>
      <c r="CW302" s="313">
        <v>0</v>
      </c>
      <c r="CX302" s="313">
        <v>0</v>
      </c>
      <c r="CY302" s="313">
        <v>2505000000</v>
      </c>
      <c r="CZ302" s="380">
        <v>0</v>
      </c>
      <c r="DA302" s="380">
        <v>0</v>
      </c>
      <c r="DB302" s="380">
        <v>0</v>
      </c>
      <c r="DC302" s="380">
        <v>0</v>
      </c>
      <c r="DD302" s="380">
        <v>0</v>
      </c>
      <c r="DE302" s="380">
        <v>0</v>
      </c>
      <c r="DF302" s="380">
        <v>0</v>
      </c>
      <c r="DG302" s="380">
        <v>0</v>
      </c>
      <c r="DH302" s="380">
        <v>0</v>
      </c>
      <c r="DI302" s="380">
        <v>0</v>
      </c>
      <c r="DJ302" s="380">
        <v>0</v>
      </c>
      <c r="DK302" s="702">
        <f t="shared" si="233"/>
        <v>8</v>
      </c>
      <c r="DL302" s="311">
        <f t="shared" si="250"/>
        <v>0.32999999999999996</v>
      </c>
      <c r="DM302" s="310">
        <f t="shared" si="251"/>
        <v>100</v>
      </c>
      <c r="DN302" s="356">
        <f t="shared" si="252"/>
        <v>100</v>
      </c>
      <c r="DO302" s="308">
        <f t="shared" si="253"/>
        <v>0.33</v>
      </c>
      <c r="DP302" s="359">
        <f t="shared" si="263"/>
        <v>0.33</v>
      </c>
      <c r="DQ302" s="306">
        <f t="shared" si="254"/>
        <v>0.33</v>
      </c>
      <c r="DR302" s="379">
        <f t="shared" si="255"/>
        <v>1</v>
      </c>
      <c r="DS302" s="378">
        <f t="shared" si="256"/>
        <v>0</v>
      </c>
      <c r="DT302" s="173">
        <v>348</v>
      </c>
      <c r="DU302" s="174" t="s">
        <v>112</v>
      </c>
      <c r="DV302" s="173"/>
      <c r="DW302" s="174" t="s">
        <v>84</v>
      </c>
      <c r="DX302" s="173"/>
      <c r="DY302" s="173"/>
      <c r="DZ302" s="173"/>
      <c r="EA302" s="665"/>
      <c r="EB302" s="1254" t="s">
        <v>2553</v>
      </c>
      <c r="EC302" s="537">
        <v>122000000</v>
      </c>
      <c r="EE302" s="734">
        <v>15000</v>
      </c>
      <c r="EF302" s="706"/>
    </row>
    <row r="303" spans="4:136" s="302" customFormat="1" ht="89.25" hidden="1">
      <c r="D303" s="520">
        <v>300</v>
      </c>
      <c r="E303" s="534">
        <v>354</v>
      </c>
      <c r="F303" s="479" t="s">
        <v>44</v>
      </c>
      <c r="G303" s="479" t="s">
        <v>82</v>
      </c>
      <c r="H303" s="479" t="s">
        <v>2794</v>
      </c>
      <c r="I303" s="435" t="s">
        <v>757</v>
      </c>
      <c r="J303" s="335" t="s">
        <v>758</v>
      </c>
      <c r="K303" s="335" t="s">
        <v>2323</v>
      </c>
      <c r="L303" s="447" t="s">
        <v>1404</v>
      </c>
      <c r="M303" s="334" t="s">
        <v>1771</v>
      </c>
      <c r="N303" s="334">
        <v>59</v>
      </c>
      <c r="O303" s="333">
        <f t="shared" si="262"/>
        <v>70</v>
      </c>
      <c r="P303" s="332">
        <v>11</v>
      </c>
      <c r="Q303" s="390">
        <v>0.25</v>
      </c>
      <c r="R303" s="342">
        <f t="shared" si="234"/>
        <v>2.2727272727272728E-2</v>
      </c>
      <c r="S303" s="389">
        <v>1</v>
      </c>
      <c r="T303" s="387">
        <f t="shared" si="220"/>
        <v>9.0909090909090912E-2</v>
      </c>
      <c r="U303" s="670">
        <v>0</v>
      </c>
      <c r="V303" s="388">
        <f t="shared" si="221"/>
        <v>0</v>
      </c>
      <c r="W303" s="356">
        <f t="shared" si="222"/>
        <v>0</v>
      </c>
      <c r="X303" s="356">
        <f t="shared" si="235"/>
        <v>0</v>
      </c>
      <c r="Y303" s="356">
        <f t="shared" si="259"/>
        <v>0</v>
      </c>
      <c r="Z303" s="356">
        <f t="shared" si="236"/>
        <v>0</v>
      </c>
      <c r="AA303" s="355">
        <v>0</v>
      </c>
      <c r="AB303" s="355">
        <v>0</v>
      </c>
      <c r="AC303" s="355">
        <v>0</v>
      </c>
      <c r="AD303" s="355">
        <v>0</v>
      </c>
      <c r="AE303" s="355">
        <v>0</v>
      </c>
      <c r="AF303" s="355">
        <v>0</v>
      </c>
      <c r="AG303" s="355">
        <v>0</v>
      </c>
      <c r="AH303" s="355">
        <v>0</v>
      </c>
      <c r="AI303" s="355">
        <v>0</v>
      </c>
      <c r="AJ303" s="355">
        <v>0</v>
      </c>
      <c r="AK303" s="355">
        <v>0</v>
      </c>
      <c r="AL303" s="355">
        <v>0</v>
      </c>
      <c r="AM303" s="355">
        <v>0</v>
      </c>
      <c r="AN303" s="355">
        <v>0</v>
      </c>
      <c r="AO303" s="355">
        <v>0</v>
      </c>
      <c r="AP303" s="355">
        <v>0</v>
      </c>
      <c r="AQ303" s="355">
        <v>0</v>
      </c>
      <c r="AR303" s="355">
        <v>0</v>
      </c>
      <c r="AS303" s="355">
        <v>0</v>
      </c>
      <c r="AT303" s="333">
        <f t="shared" si="237"/>
        <v>6.8181818181818177E-2</v>
      </c>
      <c r="AU303" s="334">
        <v>3</v>
      </c>
      <c r="AV303" s="387">
        <f t="shared" si="223"/>
        <v>0.27272727272727271</v>
      </c>
      <c r="AW303" s="677">
        <v>7</v>
      </c>
      <c r="AX303" s="366">
        <f t="shared" si="224"/>
        <v>7</v>
      </c>
      <c r="AY303" s="366">
        <f t="shared" si="225"/>
        <v>233.33333333333334</v>
      </c>
      <c r="AZ303" s="366">
        <f t="shared" si="238"/>
        <v>100</v>
      </c>
      <c r="BA303" s="354">
        <f t="shared" si="239"/>
        <v>6.8181818181818177E-2</v>
      </c>
      <c r="BB303" s="354">
        <f t="shared" si="240"/>
        <v>100</v>
      </c>
      <c r="BC303" s="353">
        <v>3573000000</v>
      </c>
      <c r="BD303" s="353">
        <v>0</v>
      </c>
      <c r="BE303" s="353">
        <v>2388000000</v>
      </c>
      <c r="BF303" s="353">
        <v>0</v>
      </c>
      <c r="BG303" s="353">
        <v>0</v>
      </c>
      <c r="BH303" s="353">
        <v>0</v>
      </c>
      <c r="BI303" s="353">
        <v>0</v>
      </c>
      <c r="BJ303" s="353">
        <v>1185000000</v>
      </c>
      <c r="BK303" s="386">
        <v>2400000000</v>
      </c>
      <c r="BL303" s="351">
        <v>2400000000</v>
      </c>
      <c r="BM303" s="351">
        <v>0</v>
      </c>
      <c r="BN303" s="351">
        <v>0</v>
      </c>
      <c r="BO303" s="351">
        <v>0</v>
      </c>
      <c r="BP303" s="351">
        <v>0</v>
      </c>
      <c r="BQ303" s="351">
        <v>0</v>
      </c>
      <c r="BR303" s="351">
        <v>0</v>
      </c>
      <c r="BS303" s="351">
        <v>0</v>
      </c>
      <c r="BT303" s="351">
        <v>1472097142.6656001</v>
      </c>
      <c r="BU303" s="351">
        <v>0</v>
      </c>
      <c r="BV303" s="350">
        <f t="shared" si="241"/>
        <v>6.8181818181818177E-2</v>
      </c>
      <c r="BW303" s="350">
        <v>3</v>
      </c>
      <c r="BX303" s="385">
        <f t="shared" si="226"/>
        <v>0.27272727272727271</v>
      </c>
      <c r="BY303" s="395">
        <v>1</v>
      </c>
      <c r="BZ303" s="401">
        <v>1</v>
      </c>
      <c r="CA303" s="691">
        <v>3.1</v>
      </c>
      <c r="CB303" s="324">
        <f t="shared" si="227"/>
        <v>3.1</v>
      </c>
      <c r="CC303" s="324">
        <f t="shared" si="228"/>
        <v>103.33333333333333</v>
      </c>
      <c r="CD303" s="384">
        <f t="shared" si="242"/>
        <v>100</v>
      </c>
      <c r="CE303" s="383">
        <f t="shared" si="243"/>
        <v>6.8181818181818177E-2</v>
      </c>
      <c r="CF303" s="367">
        <f t="shared" si="244"/>
        <v>100</v>
      </c>
      <c r="CG303" s="383">
        <f t="shared" si="245"/>
        <v>7.045454545454545E-2</v>
      </c>
      <c r="CH303" s="320">
        <f t="shared" si="246"/>
        <v>9.0909090909090912E-2</v>
      </c>
      <c r="CI303" s="319">
        <v>4</v>
      </c>
      <c r="CJ303" s="318">
        <f t="shared" si="229"/>
        <v>0.36363636363636365</v>
      </c>
      <c r="CK303" s="1259">
        <v>1</v>
      </c>
      <c r="CL303" s="301">
        <f t="shared" si="230"/>
        <v>3</v>
      </c>
      <c r="CM303" s="381">
        <f t="shared" si="231"/>
        <v>1</v>
      </c>
      <c r="CN303" s="381">
        <f t="shared" si="232"/>
        <v>25</v>
      </c>
      <c r="CO303" s="316">
        <f t="shared" si="247"/>
        <v>25</v>
      </c>
      <c r="CP303" s="381">
        <f t="shared" si="248"/>
        <v>2.2727272727272728E-2</v>
      </c>
      <c r="CQ303" s="381">
        <f t="shared" si="249"/>
        <v>2.2727272727272728E-2</v>
      </c>
      <c r="CR303" s="313">
        <v>6696000000</v>
      </c>
      <c r="CS303" s="313">
        <v>5511000000</v>
      </c>
      <c r="CT303" s="313">
        <v>0</v>
      </c>
      <c r="CU303" s="313">
        <v>0</v>
      </c>
      <c r="CV303" s="313">
        <v>0</v>
      </c>
      <c r="CW303" s="313">
        <v>0</v>
      </c>
      <c r="CX303" s="313">
        <v>0</v>
      </c>
      <c r="CY303" s="313">
        <v>1185000000</v>
      </c>
      <c r="CZ303" s="380">
        <v>0</v>
      </c>
      <c r="DA303" s="380">
        <v>0</v>
      </c>
      <c r="DB303" s="380">
        <v>0</v>
      </c>
      <c r="DC303" s="380">
        <v>0</v>
      </c>
      <c r="DD303" s="380">
        <v>0</v>
      </c>
      <c r="DE303" s="380">
        <v>0</v>
      </c>
      <c r="DF303" s="380">
        <v>0</v>
      </c>
      <c r="DG303" s="380">
        <v>0</v>
      </c>
      <c r="DH303" s="380">
        <v>0</v>
      </c>
      <c r="DI303" s="380">
        <v>0</v>
      </c>
      <c r="DJ303" s="380">
        <v>0</v>
      </c>
      <c r="DK303" s="702">
        <f t="shared" si="233"/>
        <v>11.1</v>
      </c>
      <c r="DL303" s="311">
        <f t="shared" si="250"/>
        <v>0.25</v>
      </c>
      <c r="DM303" s="310">
        <f t="shared" si="251"/>
        <v>100.90909090909091</v>
      </c>
      <c r="DN303" s="356">
        <f t="shared" si="252"/>
        <v>100</v>
      </c>
      <c r="DO303" s="308">
        <f t="shared" si="253"/>
        <v>0.25</v>
      </c>
      <c r="DP303" s="359">
        <f t="shared" si="263"/>
        <v>0.25</v>
      </c>
      <c r="DQ303" s="306">
        <f t="shared" si="254"/>
        <v>0.25</v>
      </c>
      <c r="DR303" s="379">
        <f t="shared" si="255"/>
        <v>1</v>
      </c>
      <c r="DS303" s="378">
        <f t="shared" si="256"/>
        <v>0</v>
      </c>
      <c r="DT303" s="173">
        <v>347</v>
      </c>
      <c r="DU303" s="174" t="s">
        <v>113</v>
      </c>
      <c r="DV303" s="173"/>
      <c r="DW303" s="174" t="s">
        <v>84</v>
      </c>
      <c r="DX303" s="173"/>
      <c r="DY303" s="173"/>
      <c r="DZ303" s="173"/>
      <c r="EA303" s="665"/>
      <c r="EB303" s="1254" t="s">
        <v>2389</v>
      </c>
      <c r="EC303" s="537">
        <v>372000000</v>
      </c>
      <c r="EE303" s="734">
        <v>3</v>
      </c>
      <c r="EF303" s="706"/>
    </row>
    <row r="304" spans="4:136" s="302" customFormat="1" ht="72" hidden="1">
      <c r="D304" s="520">
        <v>301</v>
      </c>
      <c r="E304" s="534">
        <v>355</v>
      </c>
      <c r="F304" s="479" t="s">
        <v>44</v>
      </c>
      <c r="G304" s="479" t="s">
        <v>82</v>
      </c>
      <c r="H304" s="479" t="s">
        <v>2794</v>
      </c>
      <c r="I304" s="435" t="s">
        <v>757</v>
      </c>
      <c r="J304" s="335" t="s">
        <v>759</v>
      </c>
      <c r="K304" s="335" t="s">
        <v>760</v>
      </c>
      <c r="L304" s="443" t="s">
        <v>1501</v>
      </c>
      <c r="M304" s="334" t="s">
        <v>1771</v>
      </c>
      <c r="N304" s="334">
        <v>0</v>
      </c>
      <c r="O304" s="333">
        <f t="shared" si="262"/>
        <v>70000</v>
      </c>
      <c r="P304" s="332">
        <v>70000</v>
      </c>
      <c r="Q304" s="390">
        <v>0.33</v>
      </c>
      <c r="R304" s="342">
        <f t="shared" si="234"/>
        <v>0</v>
      </c>
      <c r="S304" s="389">
        <v>0</v>
      </c>
      <c r="T304" s="387">
        <f t="shared" si="220"/>
        <v>0</v>
      </c>
      <c r="U304" s="670">
        <v>0</v>
      </c>
      <c r="V304" s="388">
        <f t="shared" si="221"/>
        <v>0</v>
      </c>
      <c r="W304" s="356">
        <f t="shared" si="222"/>
        <v>0</v>
      </c>
      <c r="X304" s="356">
        <f t="shared" si="235"/>
        <v>0</v>
      </c>
      <c r="Y304" s="356">
        <f t="shared" si="259"/>
        <v>0</v>
      </c>
      <c r="Z304" s="356">
        <f t="shared" si="236"/>
        <v>0</v>
      </c>
      <c r="AA304" s="355">
        <v>0</v>
      </c>
      <c r="AB304" s="355">
        <v>0</v>
      </c>
      <c r="AC304" s="355">
        <v>0</v>
      </c>
      <c r="AD304" s="355">
        <v>0</v>
      </c>
      <c r="AE304" s="355">
        <v>0</v>
      </c>
      <c r="AF304" s="355">
        <v>0</v>
      </c>
      <c r="AG304" s="355">
        <v>0</v>
      </c>
      <c r="AH304" s="355">
        <v>0</v>
      </c>
      <c r="AI304" s="355">
        <v>10871342000</v>
      </c>
      <c r="AJ304" s="355">
        <v>6485154000</v>
      </c>
      <c r="AK304" s="355">
        <v>1468635000</v>
      </c>
      <c r="AL304" s="355">
        <v>1368095000</v>
      </c>
      <c r="AM304" s="355">
        <v>0</v>
      </c>
      <c r="AN304" s="355">
        <v>1549458000</v>
      </c>
      <c r="AO304" s="355">
        <v>0</v>
      </c>
      <c r="AP304" s="355">
        <v>0</v>
      </c>
      <c r="AQ304" s="355">
        <v>0</v>
      </c>
      <c r="AR304" s="355">
        <v>0</v>
      </c>
      <c r="AS304" s="355">
        <v>0</v>
      </c>
      <c r="AT304" s="333">
        <f t="shared" si="237"/>
        <v>2.357142857142857E-2</v>
      </c>
      <c r="AU304" s="334">
        <v>5000</v>
      </c>
      <c r="AV304" s="387">
        <f t="shared" si="223"/>
        <v>7.1428571428571425E-2</v>
      </c>
      <c r="AW304" s="677">
        <v>8246</v>
      </c>
      <c r="AX304" s="366">
        <f t="shared" si="224"/>
        <v>8246</v>
      </c>
      <c r="AY304" s="366">
        <f t="shared" si="225"/>
        <v>164.92</v>
      </c>
      <c r="AZ304" s="366">
        <f t="shared" si="238"/>
        <v>100</v>
      </c>
      <c r="BA304" s="354">
        <f t="shared" si="239"/>
        <v>2.3571428571428566E-2</v>
      </c>
      <c r="BB304" s="354">
        <f t="shared" si="240"/>
        <v>100</v>
      </c>
      <c r="BC304" s="353">
        <v>8380000000</v>
      </c>
      <c r="BD304" s="353">
        <v>2977000000</v>
      </c>
      <c r="BE304" s="353">
        <v>3313000000</v>
      </c>
      <c r="BF304" s="353">
        <v>0</v>
      </c>
      <c r="BG304" s="353">
        <v>0</v>
      </c>
      <c r="BH304" s="353">
        <v>0</v>
      </c>
      <c r="BI304" s="353">
        <v>0</v>
      </c>
      <c r="BJ304" s="353">
        <v>2090000000</v>
      </c>
      <c r="BK304" s="386">
        <v>2330000000</v>
      </c>
      <c r="BL304" s="351">
        <v>2330000000</v>
      </c>
      <c r="BM304" s="351">
        <v>0</v>
      </c>
      <c r="BN304" s="351">
        <v>0</v>
      </c>
      <c r="BO304" s="351">
        <v>0</v>
      </c>
      <c r="BP304" s="351">
        <v>0</v>
      </c>
      <c r="BQ304" s="351">
        <v>0</v>
      </c>
      <c r="BR304" s="351">
        <v>0</v>
      </c>
      <c r="BS304" s="351">
        <v>0</v>
      </c>
      <c r="BT304" s="351">
        <v>3252933749.3363552</v>
      </c>
      <c r="BU304" s="351">
        <v>0</v>
      </c>
      <c r="BV304" s="350">
        <f t="shared" si="241"/>
        <v>0.14142857142857143</v>
      </c>
      <c r="BW304" s="350">
        <v>30000</v>
      </c>
      <c r="BX304" s="385">
        <f t="shared" si="226"/>
        <v>0.42857142857142855</v>
      </c>
      <c r="BY304" s="369">
        <v>32884</v>
      </c>
      <c r="BZ304" s="391">
        <v>32884</v>
      </c>
      <c r="CA304" s="689">
        <v>40593</v>
      </c>
      <c r="CB304" s="324">
        <f t="shared" si="227"/>
        <v>40593</v>
      </c>
      <c r="CC304" s="324">
        <f t="shared" si="228"/>
        <v>135.31</v>
      </c>
      <c r="CD304" s="384">
        <f t="shared" si="242"/>
        <v>100</v>
      </c>
      <c r="CE304" s="383">
        <f t="shared" si="243"/>
        <v>0.14142857142857143</v>
      </c>
      <c r="CF304" s="367">
        <f t="shared" si="244"/>
        <v>100</v>
      </c>
      <c r="CG304" s="383">
        <f t="shared" si="245"/>
        <v>0.19136700000000001</v>
      </c>
      <c r="CH304" s="320">
        <f t="shared" si="246"/>
        <v>0.16500000000000001</v>
      </c>
      <c r="CI304" s="319">
        <v>35000</v>
      </c>
      <c r="CJ304" s="318">
        <f t="shared" si="229"/>
        <v>0.5</v>
      </c>
      <c r="CK304" s="1259">
        <v>14790</v>
      </c>
      <c r="CL304" s="301">
        <f t="shared" si="230"/>
        <v>20210</v>
      </c>
      <c r="CM304" s="381">
        <f t="shared" si="231"/>
        <v>14790</v>
      </c>
      <c r="CN304" s="381">
        <f t="shared" si="232"/>
        <v>42.25714285714286</v>
      </c>
      <c r="CO304" s="316">
        <f t="shared" si="247"/>
        <v>42.25714285714286</v>
      </c>
      <c r="CP304" s="381">
        <f t="shared" si="248"/>
        <v>6.9724285714285725E-2</v>
      </c>
      <c r="CQ304" s="381">
        <f t="shared" si="249"/>
        <v>6.9724285714285725E-2</v>
      </c>
      <c r="CR304" s="313">
        <v>12894000000</v>
      </c>
      <c r="CS304" s="313">
        <v>7646000000</v>
      </c>
      <c r="CT304" s="313">
        <v>3158000000</v>
      </c>
      <c r="CU304" s="313">
        <v>0</v>
      </c>
      <c r="CV304" s="313">
        <v>0</v>
      </c>
      <c r="CW304" s="313">
        <v>0</v>
      </c>
      <c r="CX304" s="313">
        <v>0</v>
      </c>
      <c r="CY304" s="313">
        <v>2090000000</v>
      </c>
      <c r="CZ304" s="380">
        <v>0</v>
      </c>
      <c r="DA304" s="380">
        <v>0</v>
      </c>
      <c r="DB304" s="380">
        <v>0</v>
      </c>
      <c r="DC304" s="380">
        <v>0</v>
      </c>
      <c r="DD304" s="380">
        <v>0</v>
      </c>
      <c r="DE304" s="380">
        <v>0</v>
      </c>
      <c r="DF304" s="380">
        <v>0</v>
      </c>
      <c r="DG304" s="380">
        <v>0</v>
      </c>
      <c r="DH304" s="380">
        <v>0</v>
      </c>
      <c r="DI304" s="380">
        <v>0</v>
      </c>
      <c r="DJ304" s="380">
        <v>0</v>
      </c>
      <c r="DK304" s="702">
        <f t="shared" si="233"/>
        <v>63629</v>
      </c>
      <c r="DL304" s="311">
        <f t="shared" si="250"/>
        <v>0.33</v>
      </c>
      <c r="DM304" s="310">
        <f t="shared" si="251"/>
        <v>90.898571428571429</v>
      </c>
      <c r="DN304" s="356">
        <f t="shared" si="252"/>
        <v>90.898571428571429</v>
      </c>
      <c r="DO304" s="308">
        <f t="shared" si="253"/>
        <v>0.29996528571428571</v>
      </c>
      <c r="DP304" s="359">
        <f t="shared" si="263"/>
        <v>0.29996528571428571</v>
      </c>
      <c r="DQ304" s="306">
        <f t="shared" si="254"/>
        <v>0.29996528571428571</v>
      </c>
      <c r="DR304" s="379">
        <f t="shared" si="255"/>
        <v>1</v>
      </c>
      <c r="DS304" s="378">
        <f t="shared" si="256"/>
        <v>0</v>
      </c>
      <c r="DT304" s="173">
        <v>347</v>
      </c>
      <c r="DU304" s="174" t="s">
        <v>113</v>
      </c>
      <c r="DV304" s="173"/>
      <c r="DW304" s="174" t="s">
        <v>84</v>
      </c>
      <c r="DX304" s="173"/>
      <c r="DY304" s="173"/>
      <c r="DZ304" s="173"/>
      <c r="EA304" s="665"/>
      <c r="EB304" s="1254" t="s">
        <v>2390</v>
      </c>
      <c r="EC304" s="537">
        <v>280000000</v>
      </c>
      <c r="EE304" s="734">
        <v>100</v>
      </c>
      <c r="EF304" s="706"/>
    </row>
    <row r="305" spans="4:136" s="302" customFormat="1" ht="76.5" hidden="1">
      <c r="D305" s="520">
        <v>302</v>
      </c>
      <c r="E305" s="534">
        <v>356</v>
      </c>
      <c r="F305" s="479" t="s">
        <v>44</v>
      </c>
      <c r="G305" s="479" t="s">
        <v>82</v>
      </c>
      <c r="H305" s="479" t="s">
        <v>2794</v>
      </c>
      <c r="I305" s="435" t="s">
        <v>761</v>
      </c>
      <c r="J305" s="335" t="s">
        <v>762</v>
      </c>
      <c r="K305" s="335" t="s">
        <v>763</v>
      </c>
      <c r="L305" s="443" t="s">
        <v>1774</v>
      </c>
      <c r="M305" s="334" t="s">
        <v>1771</v>
      </c>
      <c r="N305" s="334">
        <v>1</v>
      </c>
      <c r="O305" s="333">
        <f t="shared" si="262"/>
        <v>2</v>
      </c>
      <c r="P305" s="332">
        <v>1</v>
      </c>
      <c r="Q305" s="390">
        <v>0.25</v>
      </c>
      <c r="R305" s="342">
        <f t="shared" si="234"/>
        <v>0.05</v>
      </c>
      <c r="S305" s="389">
        <v>0.2</v>
      </c>
      <c r="T305" s="387">
        <f t="shared" si="220"/>
        <v>0.2</v>
      </c>
      <c r="U305" s="670">
        <v>0.2</v>
      </c>
      <c r="V305" s="388">
        <f t="shared" si="221"/>
        <v>0.2</v>
      </c>
      <c r="W305" s="356">
        <f t="shared" si="222"/>
        <v>100</v>
      </c>
      <c r="X305" s="356">
        <f t="shared" si="235"/>
        <v>100</v>
      </c>
      <c r="Y305" s="356">
        <f t="shared" si="259"/>
        <v>0.05</v>
      </c>
      <c r="Z305" s="356">
        <f t="shared" si="236"/>
        <v>100</v>
      </c>
      <c r="AA305" s="355">
        <v>35000000</v>
      </c>
      <c r="AB305" s="355">
        <v>35000000</v>
      </c>
      <c r="AC305" s="355">
        <v>0</v>
      </c>
      <c r="AD305" s="355">
        <v>0</v>
      </c>
      <c r="AE305" s="355">
        <v>0</v>
      </c>
      <c r="AF305" s="355">
        <v>0</v>
      </c>
      <c r="AG305" s="355">
        <v>0</v>
      </c>
      <c r="AH305" s="355">
        <v>0</v>
      </c>
      <c r="AI305" s="355">
        <v>0</v>
      </c>
      <c r="AJ305" s="355">
        <v>0</v>
      </c>
      <c r="AK305" s="355">
        <v>0</v>
      </c>
      <c r="AL305" s="355">
        <v>0</v>
      </c>
      <c r="AM305" s="355">
        <v>0</v>
      </c>
      <c r="AN305" s="355">
        <v>0</v>
      </c>
      <c r="AO305" s="355">
        <v>0</v>
      </c>
      <c r="AP305" s="355">
        <v>0</v>
      </c>
      <c r="AQ305" s="355">
        <v>0</v>
      </c>
      <c r="AR305" s="355">
        <v>0</v>
      </c>
      <c r="AS305" s="355">
        <v>0</v>
      </c>
      <c r="AT305" s="333">
        <f t="shared" si="237"/>
        <v>0.17499999999999999</v>
      </c>
      <c r="AU305" s="334">
        <v>0.7</v>
      </c>
      <c r="AV305" s="387">
        <f t="shared" si="223"/>
        <v>0.7</v>
      </c>
      <c r="AW305" s="677">
        <v>0.7</v>
      </c>
      <c r="AX305" s="366">
        <f t="shared" si="224"/>
        <v>0.7</v>
      </c>
      <c r="AY305" s="366">
        <f t="shared" si="225"/>
        <v>100</v>
      </c>
      <c r="AZ305" s="366">
        <f t="shared" si="238"/>
        <v>100</v>
      </c>
      <c r="BA305" s="354">
        <f t="shared" si="239"/>
        <v>0.17499999999999999</v>
      </c>
      <c r="BB305" s="354">
        <f t="shared" si="240"/>
        <v>100</v>
      </c>
      <c r="BC305" s="353">
        <v>0</v>
      </c>
      <c r="BD305" s="353">
        <v>0</v>
      </c>
      <c r="BE305" s="353">
        <v>0</v>
      </c>
      <c r="BF305" s="353">
        <v>0</v>
      </c>
      <c r="BG305" s="353">
        <v>0</v>
      </c>
      <c r="BH305" s="353">
        <v>0</v>
      </c>
      <c r="BI305" s="353">
        <v>0</v>
      </c>
      <c r="BJ305" s="353">
        <v>0</v>
      </c>
      <c r="BK305" s="386">
        <v>224000000</v>
      </c>
      <c r="BL305" s="351">
        <v>224000000</v>
      </c>
      <c r="BM305" s="351">
        <v>0</v>
      </c>
      <c r="BN305" s="351">
        <v>0</v>
      </c>
      <c r="BO305" s="351">
        <v>0</v>
      </c>
      <c r="BP305" s="351">
        <v>0</v>
      </c>
      <c r="BQ305" s="351">
        <v>0</v>
      </c>
      <c r="BR305" s="351">
        <v>0</v>
      </c>
      <c r="BS305" s="351">
        <v>0</v>
      </c>
      <c r="BT305" s="351">
        <v>0</v>
      </c>
      <c r="BU305" s="351">
        <v>0</v>
      </c>
      <c r="BV305" s="350">
        <f t="shared" si="241"/>
        <v>0</v>
      </c>
      <c r="BW305" s="350">
        <v>0</v>
      </c>
      <c r="BX305" s="385">
        <f t="shared" si="226"/>
        <v>0</v>
      </c>
      <c r="BY305" s="369">
        <v>1</v>
      </c>
      <c r="BZ305" s="391">
        <v>0</v>
      </c>
      <c r="CA305" s="689">
        <v>0</v>
      </c>
      <c r="CB305" s="324">
        <f t="shared" si="227"/>
        <v>0</v>
      </c>
      <c r="CC305" s="324">
        <f t="shared" si="228"/>
        <v>0</v>
      </c>
      <c r="CD305" s="384">
        <f t="shared" si="242"/>
        <v>0</v>
      </c>
      <c r="CE305" s="383">
        <f t="shared" si="243"/>
        <v>0</v>
      </c>
      <c r="CF305" s="367">
        <f t="shared" si="244"/>
        <v>0</v>
      </c>
      <c r="CG305" s="383">
        <f t="shared" si="245"/>
        <v>0</v>
      </c>
      <c r="CH305" s="320">
        <f t="shared" si="246"/>
        <v>2.5000000000000001E-2</v>
      </c>
      <c r="CI305" s="319">
        <v>0.1</v>
      </c>
      <c r="CJ305" s="318">
        <f t="shared" si="229"/>
        <v>0.1</v>
      </c>
      <c r="CK305" s="1258">
        <v>0</v>
      </c>
      <c r="CL305" s="301">
        <f t="shared" si="230"/>
        <v>0.1</v>
      </c>
      <c r="CM305" s="381">
        <f t="shared" si="231"/>
        <v>0</v>
      </c>
      <c r="CN305" s="381">
        <f t="shared" si="232"/>
        <v>0</v>
      </c>
      <c r="CO305" s="316">
        <f t="shared" si="247"/>
        <v>0</v>
      </c>
      <c r="CP305" s="381">
        <f t="shared" si="248"/>
        <v>0</v>
      </c>
      <c r="CQ305" s="381">
        <f t="shared" si="249"/>
        <v>0</v>
      </c>
      <c r="CR305" s="313">
        <v>0</v>
      </c>
      <c r="CS305" s="313">
        <v>0</v>
      </c>
      <c r="CT305" s="313">
        <v>0</v>
      </c>
      <c r="CU305" s="313">
        <v>0</v>
      </c>
      <c r="CV305" s="313">
        <v>0</v>
      </c>
      <c r="CW305" s="313">
        <v>0</v>
      </c>
      <c r="CX305" s="313">
        <v>0</v>
      </c>
      <c r="CY305" s="313">
        <v>0</v>
      </c>
      <c r="CZ305" s="380">
        <v>0</v>
      </c>
      <c r="DA305" s="380">
        <v>0</v>
      </c>
      <c r="DB305" s="380">
        <v>0</v>
      </c>
      <c r="DC305" s="380">
        <v>0</v>
      </c>
      <c r="DD305" s="380">
        <v>0</v>
      </c>
      <c r="DE305" s="380">
        <v>0</v>
      </c>
      <c r="DF305" s="380">
        <v>0</v>
      </c>
      <c r="DG305" s="380">
        <v>0</v>
      </c>
      <c r="DH305" s="380">
        <v>0</v>
      </c>
      <c r="DI305" s="380">
        <v>0</v>
      </c>
      <c r="DJ305" s="380">
        <v>0</v>
      </c>
      <c r="DK305" s="702">
        <f t="shared" si="233"/>
        <v>0.89999999999999991</v>
      </c>
      <c r="DL305" s="311">
        <f t="shared" si="250"/>
        <v>0.24999999999999997</v>
      </c>
      <c r="DM305" s="310">
        <f t="shared" si="251"/>
        <v>89.999999999999986</v>
      </c>
      <c r="DN305" s="356">
        <f t="shared" si="252"/>
        <v>89.999999999999986</v>
      </c>
      <c r="DO305" s="308">
        <f t="shared" si="253"/>
        <v>0.22499999999999998</v>
      </c>
      <c r="DP305" s="359">
        <f t="shared" si="263"/>
        <v>0.22499999999999998</v>
      </c>
      <c r="DQ305" s="306">
        <f t="shared" si="254"/>
        <v>0.22499999999999998</v>
      </c>
      <c r="DR305" s="379">
        <f t="shared" si="255"/>
        <v>0.99999999999999989</v>
      </c>
      <c r="DS305" s="378">
        <f t="shared" si="256"/>
        <v>0</v>
      </c>
      <c r="DT305" s="173">
        <v>347</v>
      </c>
      <c r="DU305" s="174" t="s">
        <v>113</v>
      </c>
      <c r="DV305" s="173"/>
      <c r="DW305" s="174" t="s">
        <v>84</v>
      </c>
      <c r="DX305" s="173"/>
      <c r="DY305" s="173"/>
      <c r="DZ305" s="173"/>
      <c r="EA305" s="665"/>
      <c r="EB305" s="1254" t="s">
        <v>2391</v>
      </c>
      <c r="EC305" s="537">
        <v>400000000</v>
      </c>
      <c r="EE305" s="734">
        <v>3</v>
      </c>
      <c r="EF305" s="706"/>
    </row>
    <row r="306" spans="4:136" s="302" customFormat="1" ht="72" hidden="1">
      <c r="D306" s="520">
        <v>303</v>
      </c>
      <c r="E306" s="534">
        <v>357</v>
      </c>
      <c r="F306" s="479" t="s">
        <v>44</v>
      </c>
      <c r="G306" s="479" t="s">
        <v>82</v>
      </c>
      <c r="H306" s="479" t="s">
        <v>2794</v>
      </c>
      <c r="I306" s="435" t="s">
        <v>764</v>
      </c>
      <c r="J306" s="335" t="s">
        <v>765</v>
      </c>
      <c r="K306" s="335" t="s">
        <v>766</v>
      </c>
      <c r="L306" s="443" t="s">
        <v>1774</v>
      </c>
      <c r="M306" s="334" t="s">
        <v>1771</v>
      </c>
      <c r="N306" s="334">
        <v>0</v>
      </c>
      <c r="O306" s="333">
        <f t="shared" si="262"/>
        <v>1</v>
      </c>
      <c r="P306" s="332">
        <v>1</v>
      </c>
      <c r="Q306" s="390">
        <v>0.25</v>
      </c>
      <c r="R306" s="342">
        <f t="shared" si="234"/>
        <v>0</v>
      </c>
      <c r="S306" s="387">
        <v>0</v>
      </c>
      <c r="T306" s="387">
        <f t="shared" si="220"/>
        <v>0</v>
      </c>
      <c r="U306" s="670">
        <v>0</v>
      </c>
      <c r="V306" s="388">
        <f t="shared" si="221"/>
        <v>0</v>
      </c>
      <c r="W306" s="356">
        <f t="shared" si="222"/>
        <v>0</v>
      </c>
      <c r="X306" s="356">
        <f t="shared" si="235"/>
        <v>0</v>
      </c>
      <c r="Y306" s="356">
        <f t="shared" si="259"/>
        <v>0</v>
      </c>
      <c r="Z306" s="356">
        <f t="shared" si="236"/>
        <v>0</v>
      </c>
      <c r="AA306" s="355">
        <v>0</v>
      </c>
      <c r="AB306" s="355">
        <v>0</v>
      </c>
      <c r="AC306" s="355">
        <v>0</v>
      </c>
      <c r="AD306" s="355">
        <v>0</v>
      </c>
      <c r="AE306" s="355">
        <v>0</v>
      </c>
      <c r="AF306" s="355">
        <v>0</v>
      </c>
      <c r="AG306" s="355">
        <v>0</v>
      </c>
      <c r="AH306" s="355">
        <v>0</v>
      </c>
      <c r="AI306" s="355">
        <v>0</v>
      </c>
      <c r="AJ306" s="355">
        <v>0</v>
      </c>
      <c r="AK306" s="355">
        <v>0</v>
      </c>
      <c r="AL306" s="355">
        <v>0</v>
      </c>
      <c r="AM306" s="355">
        <v>0</v>
      </c>
      <c r="AN306" s="355">
        <v>0</v>
      </c>
      <c r="AO306" s="355">
        <v>0</v>
      </c>
      <c r="AP306" s="355">
        <v>0</v>
      </c>
      <c r="AQ306" s="355">
        <v>0</v>
      </c>
      <c r="AR306" s="355">
        <v>0</v>
      </c>
      <c r="AS306" s="355">
        <v>0</v>
      </c>
      <c r="AT306" s="333">
        <f t="shared" si="237"/>
        <v>0</v>
      </c>
      <c r="AU306" s="448">
        <v>0</v>
      </c>
      <c r="AV306" s="387">
        <f t="shared" si="223"/>
        <v>0</v>
      </c>
      <c r="AW306" s="677">
        <v>0.2</v>
      </c>
      <c r="AX306" s="366">
        <f t="shared" si="224"/>
        <v>0.2</v>
      </c>
      <c r="AY306" s="366">
        <f t="shared" si="225"/>
        <v>0</v>
      </c>
      <c r="AZ306" s="366">
        <f t="shared" si="238"/>
        <v>0</v>
      </c>
      <c r="BA306" s="354">
        <f t="shared" si="239"/>
        <v>0</v>
      </c>
      <c r="BB306" s="354">
        <f t="shared" si="240"/>
        <v>100</v>
      </c>
      <c r="BC306" s="353">
        <v>2425000000</v>
      </c>
      <c r="BD306" s="353">
        <v>0</v>
      </c>
      <c r="BE306" s="353">
        <v>2000000000</v>
      </c>
      <c r="BF306" s="353">
        <v>0</v>
      </c>
      <c r="BG306" s="353">
        <v>0</v>
      </c>
      <c r="BH306" s="353">
        <v>0</v>
      </c>
      <c r="BI306" s="353">
        <v>0</v>
      </c>
      <c r="BJ306" s="353">
        <v>425000000</v>
      </c>
      <c r="BK306" s="386">
        <v>781170980</v>
      </c>
      <c r="BL306" s="351">
        <v>781170980</v>
      </c>
      <c r="BM306" s="351">
        <v>0</v>
      </c>
      <c r="BN306" s="351">
        <v>0</v>
      </c>
      <c r="BO306" s="351">
        <v>0</v>
      </c>
      <c r="BP306" s="351">
        <v>0</v>
      </c>
      <c r="BQ306" s="351">
        <v>0</v>
      </c>
      <c r="BR306" s="351">
        <v>0</v>
      </c>
      <c r="BS306" s="351">
        <v>0</v>
      </c>
      <c r="BT306" s="351">
        <v>0</v>
      </c>
      <c r="BU306" s="351">
        <v>0</v>
      </c>
      <c r="BV306" s="350">
        <f t="shared" si="241"/>
        <v>0.1</v>
      </c>
      <c r="BW306" s="350">
        <v>0.4</v>
      </c>
      <c r="BX306" s="385">
        <f t="shared" si="226"/>
        <v>0.4</v>
      </c>
      <c r="BY306" s="369">
        <v>80</v>
      </c>
      <c r="BZ306" s="391">
        <v>0.20000000298023224</v>
      </c>
      <c r="CA306" s="689">
        <v>0.20000000298023224</v>
      </c>
      <c r="CB306" s="324">
        <f t="shared" si="227"/>
        <v>0.20000000298023224</v>
      </c>
      <c r="CC306" s="324">
        <f t="shared" si="228"/>
        <v>50.00000074505806</v>
      </c>
      <c r="CD306" s="384">
        <f t="shared" si="242"/>
        <v>50.00000074505806</v>
      </c>
      <c r="CE306" s="383">
        <f t="shared" si="243"/>
        <v>5.000000074505806E-2</v>
      </c>
      <c r="CF306" s="367">
        <f t="shared" si="244"/>
        <v>50.00000074505806</v>
      </c>
      <c r="CG306" s="383">
        <f t="shared" si="245"/>
        <v>5.000000074505806E-2</v>
      </c>
      <c r="CH306" s="320">
        <f t="shared" si="246"/>
        <v>0.15</v>
      </c>
      <c r="CI306" s="396">
        <v>0.6</v>
      </c>
      <c r="CJ306" s="318">
        <f t="shared" si="229"/>
        <v>0.6</v>
      </c>
      <c r="CK306" s="1258">
        <v>0.6</v>
      </c>
      <c r="CL306" s="301">
        <f t="shared" si="230"/>
        <v>0</v>
      </c>
      <c r="CM306" s="381">
        <f t="shared" si="231"/>
        <v>0.6</v>
      </c>
      <c r="CN306" s="381">
        <f t="shared" si="232"/>
        <v>100</v>
      </c>
      <c r="CO306" s="316">
        <f t="shared" si="247"/>
        <v>100</v>
      </c>
      <c r="CP306" s="381">
        <f t="shared" si="248"/>
        <v>0.15</v>
      </c>
      <c r="CQ306" s="381">
        <f t="shared" si="249"/>
        <v>0.15</v>
      </c>
      <c r="CR306" s="313">
        <v>0</v>
      </c>
      <c r="CS306" s="313">
        <v>0</v>
      </c>
      <c r="CT306" s="313">
        <v>0</v>
      </c>
      <c r="CU306" s="313">
        <v>0</v>
      </c>
      <c r="CV306" s="313">
        <v>0</v>
      </c>
      <c r="CW306" s="313">
        <v>0</v>
      </c>
      <c r="CX306" s="313">
        <v>0</v>
      </c>
      <c r="CY306" s="313">
        <v>0</v>
      </c>
      <c r="CZ306" s="380">
        <v>0</v>
      </c>
      <c r="DA306" s="380">
        <v>0</v>
      </c>
      <c r="DB306" s="380">
        <v>0</v>
      </c>
      <c r="DC306" s="380">
        <v>0</v>
      </c>
      <c r="DD306" s="380">
        <v>0</v>
      </c>
      <c r="DE306" s="380">
        <v>0</v>
      </c>
      <c r="DF306" s="380">
        <v>0</v>
      </c>
      <c r="DG306" s="380">
        <v>0</v>
      </c>
      <c r="DH306" s="380">
        <v>0</v>
      </c>
      <c r="DI306" s="380">
        <v>0</v>
      </c>
      <c r="DJ306" s="380">
        <v>0</v>
      </c>
      <c r="DK306" s="702">
        <f t="shared" si="233"/>
        <v>1.0000000029802323</v>
      </c>
      <c r="DL306" s="311">
        <f t="shared" si="250"/>
        <v>0.25</v>
      </c>
      <c r="DM306" s="310">
        <f t="shared" si="251"/>
        <v>100.00000029802322</v>
      </c>
      <c r="DN306" s="356">
        <f t="shared" si="252"/>
        <v>100</v>
      </c>
      <c r="DO306" s="308">
        <f t="shared" si="253"/>
        <v>0.25</v>
      </c>
      <c r="DP306" s="359">
        <f t="shared" si="263"/>
        <v>0.25</v>
      </c>
      <c r="DQ306" s="306">
        <f t="shared" si="254"/>
        <v>0.25</v>
      </c>
      <c r="DR306" s="379">
        <f t="shared" si="255"/>
        <v>1</v>
      </c>
      <c r="DS306" s="378">
        <f t="shared" si="256"/>
        <v>0</v>
      </c>
      <c r="DT306" s="173">
        <v>347</v>
      </c>
      <c r="DU306" s="174" t="s">
        <v>113</v>
      </c>
      <c r="DV306" s="173"/>
      <c r="DW306" s="174" t="s">
        <v>84</v>
      </c>
      <c r="DX306" s="173"/>
      <c r="DY306" s="173"/>
      <c r="DZ306" s="173"/>
      <c r="EA306" s="665"/>
      <c r="EB306" s="1254" t="s">
        <v>2554</v>
      </c>
      <c r="EC306" s="537">
        <v>0</v>
      </c>
      <c r="EE306" s="734">
        <v>0.25</v>
      </c>
      <c r="EF306" s="706"/>
    </row>
    <row r="307" spans="4:136" s="302" customFormat="1" ht="72" hidden="1">
      <c r="D307" s="520">
        <v>304</v>
      </c>
      <c r="E307" s="534">
        <v>358</v>
      </c>
      <c r="F307" s="479" t="s">
        <v>44</v>
      </c>
      <c r="G307" s="479" t="s">
        <v>82</v>
      </c>
      <c r="H307" s="479" t="s">
        <v>2794</v>
      </c>
      <c r="I307" s="435" t="s">
        <v>764</v>
      </c>
      <c r="J307" s="335" t="s">
        <v>767</v>
      </c>
      <c r="K307" s="335" t="s">
        <v>768</v>
      </c>
      <c r="L307" s="443" t="s">
        <v>1935</v>
      </c>
      <c r="M307" s="334" t="s">
        <v>1771</v>
      </c>
      <c r="N307" s="334">
        <v>0</v>
      </c>
      <c r="O307" s="333">
        <f t="shared" si="262"/>
        <v>1</v>
      </c>
      <c r="P307" s="332">
        <v>1</v>
      </c>
      <c r="Q307" s="390">
        <v>0.25</v>
      </c>
      <c r="R307" s="342">
        <f t="shared" si="234"/>
        <v>0</v>
      </c>
      <c r="S307" s="389">
        <v>0</v>
      </c>
      <c r="T307" s="387">
        <f t="shared" si="220"/>
        <v>0</v>
      </c>
      <c r="U307" s="670">
        <v>0</v>
      </c>
      <c r="V307" s="388">
        <f t="shared" si="221"/>
        <v>0</v>
      </c>
      <c r="W307" s="356">
        <f t="shared" si="222"/>
        <v>0</v>
      </c>
      <c r="X307" s="356">
        <f t="shared" si="235"/>
        <v>0</v>
      </c>
      <c r="Y307" s="356">
        <f t="shared" si="259"/>
        <v>0</v>
      </c>
      <c r="Z307" s="356">
        <f t="shared" si="236"/>
        <v>0</v>
      </c>
      <c r="AA307" s="355">
        <v>0</v>
      </c>
      <c r="AB307" s="355">
        <v>0</v>
      </c>
      <c r="AC307" s="355">
        <v>0</v>
      </c>
      <c r="AD307" s="355">
        <v>0</v>
      </c>
      <c r="AE307" s="355">
        <v>0</v>
      </c>
      <c r="AF307" s="355">
        <v>0</v>
      </c>
      <c r="AG307" s="355">
        <v>0</v>
      </c>
      <c r="AH307" s="355">
        <v>0</v>
      </c>
      <c r="AI307" s="355">
        <v>0</v>
      </c>
      <c r="AJ307" s="355">
        <v>0</v>
      </c>
      <c r="AK307" s="355">
        <v>0</v>
      </c>
      <c r="AL307" s="355">
        <v>0</v>
      </c>
      <c r="AM307" s="355">
        <v>0</v>
      </c>
      <c r="AN307" s="355">
        <v>0</v>
      </c>
      <c r="AO307" s="355">
        <v>0</v>
      </c>
      <c r="AP307" s="355">
        <v>0</v>
      </c>
      <c r="AQ307" s="355">
        <v>0</v>
      </c>
      <c r="AR307" s="355">
        <v>0</v>
      </c>
      <c r="AS307" s="355">
        <v>0</v>
      </c>
      <c r="AT307" s="333">
        <f t="shared" si="237"/>
        <v>0.05</v>
      </c>
      <c r="AU307" s="334">
        <v>0.2</v>
      </c>
      <c r="AV307" s="387">
        <f t="shared" si="223"/>
        <v>0.2</v>
      </c>
      <c r="AW307" s="677">
        <v>0.2</v>
      </c>
      <c r="AX307" s="366">
        <f t="shared" si="224"/>
        <v>0.2</v>
      </c>
      <c r="AY307" s="366">
        <f t="shared" si="225"/>
        <v>100</v>
      </c>
      <c r="AZ307" s="366">
        <f t="shared" si="238"/>
        <v>100</v>
      </c>
      <c r="BA307" s="354">
        <f t="shared" si="239"/>
        <v>0.05</v>
      </c>
      <c r="BB307" s="354">
        <f t="shared" si="240"/>
        <v>100</v>
      </c>
      <c r="BC307" s="353">
        <v>3380000000</v>
      </c>
      <c r="BD307" s="353">
        <v>0</v>
      </c>
      <c r="BE307" s="353">
        <v>2295000000</v>
      </c>
      <c r="BF307" s="353">
        <v>0</v>
      </c>
      <c r="BG307" s="353">
        <v>0</v>
      </c>
      <c r="BH307" s="353">
        <v>0</v>
      </c>
      <c r="BI307" s="353">
        <v>0</v>
      </c>
      <c r="BJ307" s="353">
        <v>1085000000</v>
      </c>
      <c r="BK307" s="386">
        <v>1000000000</v>
      </c>
      <c r="BL307" s="351">
        <v>0</v>
      </c>
      <c r="BM307" s="351">
        <v>0</v>
      </c>
      <c r="BN307" s="351">
        <v>0</v>
      </c>
      <c r="BO307" s="351">
        <v>0</v>
      </c>
      <c r="BP307" s="351">
        <v>1000000000</v>
      </c>
      <c r="BQ307" s="351">
        <v>0</v>
      </c>
      <c r="BR307" s="351">
        <v>0</v>
      </c>
      <c r="BS307" s="351">
        <v>0</v>
      </c>
      <c r="BT307" s="351">
        <v>0</v>
      </c>
      <c r="BU307" s="351">
        <v>0</v>
      </c>
      <c r="BV307" s="350">
        <f t="shared" si="241"/>
        <v>7.4999999999999997E-2</v>
      </c>
      <c r="BW307" s="350">
        <v>0.3</v>
      </c>
      <c r="BX307" s="385">
        <f t="shared" si="226"/>
        <v>0.3</v>
      </c>
      <c r="BY307" s="369">
        <v>0</v>
      </c>
      <c r="BZ307" s="391">
        <v>0.10000000149011612</v>
      </c>
      <c r="CA307" s="689">
        <v>0.10000000149011612</v>
      </c>
      <c r="CB307" s="324">
        <f t="shared" si="227"/>
        <v>0.10000000149011612</v>
      </c>
      <c r="CC307" s="324">
        <f t="shared" si="228"/>
        <v>33.333333830038711</v>
      </c>
      <c r="CD307" s="384">
        <f t="shared" si="242"/>
        <v>33.333333830038711</v>
      </c>
      <c r="CE307" s="383">
        <f t="shared" si="243"/>
        <v>2.5000000372529033E-2</v>
      </c>
      <c r="CF307" s="367">
        <f t="shared" si="244"/>
        <v>33.333333830038711</v>
      </c>
      <c r="CG307" s="383">
        <f t="shared" si="245"/>
        <v>2.5000000372529033E-2</v>
      </c>
      <c r="CH307" s="320">
        <f t="shared" si="246"/>
        <v>0.125</v>
      </c>
      <c r="CI307" s="418">
        <v>0.5</v>
      </c>
      <c r="CJ307" s="318">
        <f t="shared" si="229"/>
        <v>0.5</v>
      </c>
      <c r="CK307" s="1258">
        <v>0.6</v>
      </c>
      <c r="CL307" s="301">
        <f t="shared" si="230"/>
        <v>-9.9999999999999978E-2</v>
      </c>
      <c r="CM307" s="381">
        <f t="shared" si="231"/>
        <v>0.6</v>
      </c>
      <c r="CN307" s="381">
        <f t="shared" si="232"/>
        <v>120</v>
      </c>
      <c r="CO307" s="316">
        <f t="shared" si="247"/>
        <v>100</v>
      </c>
      <c r="CP307" s="381">
        <f t="shared" si="248"/>
        <v>0.125</v>
      </c>
      <c r="CQ307" s="381">
        <f t="shared" si="249"/>
        <v>0.15</v>
      </c>
      <c r="CR307" s="313">
        <v>6381000000</v>
      </c>
      <c r="CS307" s="313">
        <v>5296000000</v>
      </c>
      <c r="CT307" s="313">
        <v>0</v>
      </c>
      <c r="CU307" s="313">
        <v>0</v>
      </c>
      <c r="CV307" s="313">
        <v>0</v>
      </c>
      <c r="CW307" s="313">
        <v>0</v>
      </c>
      <c r="CX307" s="313">
        <v>0</v>
      </c>
      <c r="CY307" s="313">
        <v>1085000000</v>
      </c>
      <c r="CZ307" s="380">
        <v>0</v>
      </c>
      <c r="DA307" s="380">
        <v>0</v>
      </c>
      <c r="DB307" s="380">
        <v>0</v>
      </c>
      <c r="DC307" s="380">
        <v>0</v>
      </c>
      <c r="DD307" s="380">
        <v>0</v>
      </c>
      <c r="DE307" s="380">
        <v>0</v>
      </c>
      <c r="DF307" s="380">
        <v>0</v>
      </c>
      <c r="DG307" s="380">
        <v>0</v>
      </c>
      <c r="DH307" s="380">
        <v>0</v>
      </c>
      <c r="DI307" s="380">
        <v>0</v>
      </c>
      <c r="DJ307" s="380">
        <v>0</v>
      </c>
      <c r="DK307" s="702">
        <f t="shared" si="233"/>
        <v>0.90000000149011616</v>
      </c>
      <c r="DL307" s="311">
        <f t="shared" si="250"/>
        <v>0.25</v>
      </c>
      <c r="DM307" s="310">
        <f t="shared" si="251"/>
        <v>90.000000149011612</v>
      </c>
      <c r="DN307" s="356">
        <f t="shared" si="252"/>
        <v>90.000000149011612</v>
      </c>
      <c r="DO307" s="308">
        <f t="shared" si="253"/>
        <v>0.22500000037252904</v>
      </c>
      <c r="DP307" s="359">
        <f t="shared" si="263"/>
        <v>0.22500000037252904</v>
      </c>
      <c r="DQ307" s="306">
        <f t="shared" si="254"/>
        <v>0.22500000037252904</v>
      </c>
      <c r="DR307" s="379">
        <f t="shared" si="255"/>
        <v>1</v>
      </c>
      <c r="DS307" s="378">
        <f t="shared" si="256"/>
        <v>0</v>
      </c>
      <c r="DT307" s="173">
        <v>347</v>
      </c>
      <c r="DU307" s="174" t="s">
        <v>113</v>
      </c>
      <c r="DV307" s="173"/>
      <c r="DW307" s="174" t="s">
        <v>84</v>
      </c>
      <c r="DX307" s="173"/>
      <c r="DY307" s="173"/>
      <c r="DZ307" s="173"/>
      <c r="EA307" s="665"/>
      <c r="EB307" s="1254" t="s">
        <v>2555</v>
      </c>
      <c r="EC307" s="537">
        <v>18000000</v>
      </c>
      <c r="EE307" s="734">
        <v>116</v>
      </c>
      <c r="EF307" s="706"/>
    </row>
    <row r="308" spans="4:136" s="302" customFormat="1" ht="242.25" hidden="1">
      <c r="D308" s="520">
        <v>305</v>
      </c>
      <c r="E308" s="535">
        <v>361</v>
      </c>
      <c r="F308" s="527" t="s">
        <v>44</v>
      </c>
      <c r="G308" s="527" t="s">
        <v>16</v>
      </c>
      <c r="H308" s="527" t="s">
        <v>2664</v>
      </c>
      <c r="I308" s="528" t="s">
        <v>769</v>
      </c>
      <c r="J308" s="335" t="s">
        <v>770</v>
      </c>
      <c r="K308" s="335" t="s">
        <v>771</v>
      </c>
      <c r="L308" s="443" t="s">
        <v>1480</v>
      </c>
      <c r="M308" s="334" t="s">
        <v>1771</v>
      </c>
      <c r="N308" s="334">
        <v>116956</v>
      </c>
      <c r="O308" s="333">
        <f t="shared" si="262"/>
        <v>126956</v>
      </c>
      <c r="P308" s="332">
        <v>10000</v>
      </c>
      <c r="Q308" s="390">
        <v>0.33</v>
      </c>
      <c r="R308" s="342">
        <f t="shared" si="234"/>
        <v>6.6000000000000003E-2</v>
      </c>
      <c r="S308" s="389">
        <v>2000</v>
      </c>
      <c r="T308" s="387">
        <f t="shared" ref="T308:T371" si="264">IF($M308="M",0.25,(IF($P308&gt;0,S308/$P308," ")))</f>
        <v>0.2</v>
      </c>
      <c r="U308" s="670">
        <v>3400</v>
      </c>
      <c r="V308" s="388">
        <f t="shared" ref="V308:V371" si="265">+IF(M308="I",(+U308),IF(M308="M",(+U308)/4,))</f>
        <v>3400</v>
      </c>
      <c r="W308" s="356">
        <f t="shared" ref="W308:W371" si="266">IF(S308=0,0,+U308*100/S308)</f>
        <v>170</v>
      </c>
      <c r="X308" s="356">
        <f t="shared" si="235"/>
        <v>100</v>
      </c>
      <c r="Y308" s="356">
        <f t="shared" si="259"/>
        <v>6.6000000000000003E-2</v>
      </c>
      <c r="Z308" s="356">
        <f t="shared" si="236"/>
        <v>100</v>
      </c>
      <c r="AA308" s="355">
        <v>2046000000</v>
      </c>
      <c r="AB308" s="355">
        <v>1453000000</v>
      </c>
      <c r="AC308" s="355">
        <v>0</v>
      </c>
      <c r="AD308" s="355">
        <v>0</v>
      </c>
      <c r="AE308" s="355">
        <v>0</v>
      </c>
      <c r="AF308" s="355">
        <v>0</v>
      </c>
      <c r="AG308" s="355">
        <v>0</v>
      </c>
      <c r="AH308" s="355">
        <v>593000000</v>
      </c>
      <c r="AI308" s="355">
        <v>1463520000</v>
      </c>
      <c r="AJ308" s="355">
        <v>1463520000</v>
      </c>
      <c r="AK308" s="355">
        <v>0</v>
      </c>
      <c r="AL308" s="355">
        <v>0</v>
      </c>
      <c r="AM308" s="355">
        <v>0</v>
      </c>
      <c r="AN308" s="355">
        <v>0</v>
      </c>
      <c r="AO308" s="355">
        <v>0</v>
      </c>
      <c r="AP308" s="355">
        <v>0</v>
      </c>
      <c r="AQ308" s="355">
        <v>0</v>
      </c>
      <c r="AR308" s="355">
        <v>607244000</v>
      </c>
      <c r="AS308" s="355" t="s">
        <v>1934</v>
      </c>
      <c r="AT308" s="333">
        <f t="shared" si="237"/>
        <v>9.9000000000000005E-2</v>
      </c>
      <c r="AU308" s="334">
        <v>3000</v>
      </c>
      <c r="AV308" s="387">
        <f t="shared" ref="AV308:AV371" si="267">IF($M308="M",0.25,(IF($P308&gt;0,AU308/$P308," ")))</f>
        <v>0.3</v>
      </c>
      <c r="AW308" s="677">
        <v>5348</v>
      </c>
      <c r="AX308" s="366">
        <f t="shared" ref="AX308:AX371" si="268">+IF(M308="I",(+AW308),IF(M308="M",(+AW308)/4,))</f>
        <v>5348</v>
      </c>
      <c r="AY308" s="366">
        <f t="shared" ref="AY308:AY371" si="269">IF(AU308=0,0,+AW308*100/AU308)</f>
        <v>178.26666666666668</v>
      </c>
      <c r="AZ308" s="366">
        <f t="shared" si="238"/>
        <v>100</v>
      </c>
      <c r="BA308" s="354">
        <f t="shared" si="239"/>
        <v>9.9000000000000005E-2</v>
      </c>
      <c r="BB308" s="354">
        <f t="shared" si="240"/>
        <v>100</v>
      </c>
      <c r="BC308" s="353">
        <v>909000000</v>
      </c>
      <c r="BD308" s="353">
        <v>0</v>
      </c>
      <c r="BE308" s="353">
        <v>659000000</v>
      </c>
      <c r="BF308" s="353">
        <v>0</v>
      </c>
      <c r="BG308" s="353">
        <v>0</v>
      </c>
      <c r="BH308" s="353">
        <v>0</v>
      </c>
      <c r="BI308" s="353">
        <v>0</v>
      </c>
      <c r="BJ308" s="353">
        <v>250000000</v>
      </c>
      <c r="BK308" s="386">
        <v>11711268998</v>
      </c>
      <c r="BL308" s="351">
        <v>1011704520</v>
      </c>
      <c r="BM308" s="351">
        <v>0</v>
      </c>
      <c r="BN308" s="351">
        <v>0</v>
      </c>
      <c r="BO308" s="351">
        <v>0</v>
      </c>
      <c r="BP308" s="351">
        <v>10699564478</v>
      </c>
      <c r="BQ308" s="351">
        <v>0</v>
      </c>
      <c r="BR308" s="351">
        <v>0</v>
      </c>
      <c r="BS308" s="351">
        <v>0</v>
      </c>
      <c r="BT308" s="351">
        <v>4299544799</v>
      </c>
      <c r="BU308" s="351" t="s">
        <v>1933</v>
      </c>
      <c r="BV308" s="350">
        <f t="shared" si="241"/>
        <v>9.9000000000000005E-2</v>
      </c>
      <c r="BW308" s="350">
        <v>3000</v>
      </c>
      <c r="BX308" s="385">
        <f t="shared" ref="BX308:BX371" si="270">IF($M308="M",0.25,(IF($P308&gt;0,BW308/$P308," ")))</f>
        <v>0.3</v>
      </c>
      <c r="BY308" s="369">
        <v>40</v>
      </c>
      <c r="BZ308" s="391">
        <v>40</v>
      </c>
      <c r="CA308" s="689">
        <v>783.5999755859375</v>
      </c>
      <c r="CB308" s="324">
        <f t="shared" ref="CB308:CB371" si="271">+IF(M308="I",(+CA308),IF(M308="M",(+CA308)/4,))</f>
        <v>783.5999755859375</v>
      </c>
      <c r="CC308" s="324">
        <f t="shared" ref="CC308:CC371" si="272">IF(BW308=0,0,+CA308*100/BW308)</f>
        <v>26.119999186197916</v>
      </c>
      <c r="CD308" s="384">
        <f t="shared" si="242"/>
        <v>26.119999186197916</v>
      </c>
      <c r="CE308" s="383">
        <f t="shared" si="243"/>
        <v>2.5858799194335938E-2</v>
      </c>
      <c r="CF308" s="367">
        <f t="shared" si="244"/>
        <v>26.119999186197916</v>
      </c>
      <c r="CG308" s="383">
        <f t="shared" si="245"/>
        <v>2.5858799194335938E-2</v>
      </c>
      <c r="CH308" s="320">
        <f t="shared" si="246"/>
        <v>6.6000000000000003E-2</v>
      </c>
      <c r="CI308" s="319">
        <v>2000</v>
      </c>
      <c r="CJ308" s="318">
        <f t="shared" ref="CJ308:CJ371" si="273">IF($M308="M",0.25,(IF($P308&gt;0,CI308/$P308," ")))</f>
        <v>0.2</v>
      </c>
      <c r="CK308" s="1259">
        <v>725.2</v>
      </c>
      <c r="CL308" s="301">
        <f t="shared" ref="CL308:CL371" si="274">+CI308-CK308</f>
        <v>1274.8</v>
      </c>
      <c r="CM308" s="381">
        <f t="shared" ref="CM308:CM371" si="275">+IF(M308="I",(+CK308),IF(M308="M",(+CK308)/4,))</f>
        <v>725.2</v>
      </c>
      <c r="CN308" s="381">
        <f t="shared" ref="CN308:CN371" si="276">IF(CI308=0,0,+CK308*100/CI308)</f>
        <v>36.26</v>
      </c>
      <c r="CO308" s="316">
        <f t="shared" si="247"/>
        <v>36.26</v>
      </c>
      <c r="CP308" s="381">
        <f t="shared" si="248"/>
        <v>2.3931600000000001E-2</v>
      </c>
      <c r="CQ308" s="381">
        <f t="shared" si="249"/>
        <v>2.3931600000000001E-2</v>
      </c>
      <c r="CR308" s="313">
        <v>949000000</v>
      </c>
      <c r="CS308" s="313">
        <v>699000000</v>
      </c>
      <c r="CT308" s="313">
        <v>0</v>
      </c>
      <c r="CU308" s="313">
        <v>0</v>
      </c>
      <c r="CV308" s="313">
        <v>0</v>
      </c>
      <c r="CW308" s="313">
        <v>0</v>
      </c>
      <c r="CX308" s="313">
        <v>0</v>
      </c>
      <c r="CY308" s="313">
        <v>250000000</v>
      </c>
      <c r="CZ308" s="380">
        <v>0</v>
      </c>
      <c r="DA308" s="380">
        <v>0</v>
      </c>
      <c r="DB308" s="380">
        <v>0</v>
      </c>
      <c r="DC308" s="380">
        <v>0</v>
      </c>
      <c r="DD308" s="380">
        <v>0</v>
      </c>
      <c r="DE308" s="380">
        <v>0</v>
      </c>
      <c r="DF308" s="380">
        <v>0</v>
      </c>
      <c r="DG308" s="380">
        <v>0</v>
      </c>
      <c r="DH308" s="380">
        <v>0</v>
      </c>
      <c r="DI308" s="380">
        <v>0</v>
      </c>
      <c r="DJ308" s="380">
        <v>0</v>
      </c>
      <c r="DK308" s="702">
        <f t="shared" ref="DK308:DK371" si="277">+IF(M308="I",(+U308+AW308+CA308+CK308),IF(M308="M",(+U308+AW308+CA308+CK308)/4,))</f>
        <v>10256.799975585938</v>
      </c>
      <c r="DL308" s="311">
        <f t="shared" si="250"/>
        <v>0.33</v>
      </c>
      <c r="DM308" s="310">
        <f t="shared" si="251"/>
        <v>102.56799975585939</v>
      </c>
      <c r="DN308" s="356">
        <f t="shared" si="252"/>
        <v>100</v>
      </c>
      <c r="DO308" s="308">
        <f t="shared" si="253"/>
        <v>0.33</v>
      </c>
      <c r="DP308" s="359">
        <f t="shared" si="263"/>
        <v>0.33</v>
      </c>
      <c r="DQ308" s="306">
        <f t="shared" si="254"/>
        <v>0.33</v>
      </c>
      <c r="DR308" s="379">
        <f t="shared" si="255"/>
        <v>1</v>
      </c>
      <c r="DS308" s="378">
        <f t="shared" si="256"/>
        <v>0</v>
      </c>
      <c r="DT308" s="173">
        <v>359</v>
      </c>
      <c r="DU308" s="174" t="s">
        <v>111</v>
      </c>
      <c r="DV308" s="173">
        <v>360</v>
      </c>
      <c r="DW308" s="174" t="s">
        <v>110</v>
      </c>
      <c r="DX308" s="173"/>
      <c r="DY308" s="173"/>
      <c r="DZ308" s="173"/>
      <c r="EA308" s="665"/>
      <c r="EB308" s="1254" t="s">
        <v>2614</v>
      </c>
      <c r="EC308" s="537">
        <v>0</v>
      </c>
      <c r="EE308" s="734">
        <v>58</v>
      </c>
      <c r="EF308" s="706"/>
    </row>
    <row r="309" spans="4:136" s="302" customFormat="1" ht="108" hidden="1">
      <c r="D309" s="520">
        <v>306</v>
      </c>
      <c r="E309" s="534">
        <v>362</v>
      </c>
      <c r="F309" s="479" t="s">
        <v>44</v>
      </c>
      <c r="G309" s="479" t="s">
        <v>16</v>
      </c>
      <c r="H309" s="479" t="s">
        <v>2664</v>
      </c>
      <c r="I309" s="435" t="s">
        <v>769</v>
      </c>
      <c r="J309" s="335" t="s">
        <v>772</v>
      </c>
      <c r="K309" s="335" t="s">
        <v>773</v>
      </c>
      <c r="L309" s="447" t="s">
        <v>1932</v>
      </c>
      <c r="M309" s="334" t="s">
        <v>1771</v>
      </c>
      <c r="N309" s="334">
        <v>4</v>
      </c>
      <c r="O309" s="333">
        <f t="shared" si="262"/>
        <v>8</v>
      </c>
      <c r="P309" s="332">
        <v>4</v>
      </c>
      <c r="Q309" s="390">
        <v>0.25</v>
      </c>
      <c r="R309" s="342">
        <f t="shared" si="234"/>
        <v>6.25E-2</v>
      </c>
      <c r="S309" s="389">
        <v>1</v>
      </c>
      <c r="T309" s="387">
        <f t="shared" si="264"/>
        <v>0.25</v>
      </c>
      <c r="U309" s="670">
        <v>1</v>
      </c>
      <c r="V309" s="388">
        <f t="shared" si="265"/>
        <v>1</v>
      </c>
      <c r="W309" s="356">
        <f t="shared" si="266"/>
        <v>100</v>
      </c>
      <c r="X309" s="356">
        <f t="shared" si="235"/>
        <v>100</v>
      </c>
      <c r="Y309" s="356">
        <f t="shared" si="259"/>
        <v>6.25E-2</v>
      </c>
      <c r="Z309" s="356">
        <f t="shared" si="236"/>
        <v>100</v>
      </c>
      <c r="AA309" s="355">
        <v>108000000</v>
      </c>
      <c r="AB309" s="355">
        <v>106000000</v>
      </c>
      <c r="AC309" s="355">
        <v>0</v>
      </c>
      <c r="AD309" s="355">
        <v>0</v>
      </c>
      <c r="AE309" s="355">
        <v>0</v>
      </c>
      <c r="AF309" s="355">
        <v>0</v>
      </c>
      <c r="AG309" s="355">
        <v>0</v>
      </c>
      <c r="AH309" s="355">
        <v>2000000</v>
      </c>
      <c r="AI309" s="355">
        <v>181342000</v>
      </c>
      <c r="AJ309" s="355">
        <v>181342000</v>
      </c>
      <c r="AK309" s="355">
        <v>0</v>
      </c>
      <c r="AL309" s="355">
        <v>0</v>
      </c>
      <c r="AM309" s="355">
        <v>0</v>
      </c>
      <c r="AN309" s="355">
        <v>0</v>
      </c>
      <c r="AO309" s="355">
        <v>0</v>
      </c>
      <c r="AP309" s="355">
        <v>0</v>
      </c>
      <c r="AQ309" s="355">
        <v>0</v>
      </c>
      <c r="AR309" s="355">
        <v>6180000</v>
      </c>
      <c r="AS309" s="355" t="s">
        <v>1931</v>
      </c>
      <c r="AT309" s="333">
        <f t="shared" si="237"/>
        <v>6.25E-2</v>
      </c>
      <c r="AU309" s="334">
        <v>1</v>
      </c>
      <c r="AV309" s="387">
        <f t="shared" si="267"/>
        <v>0.25</v>
      </c>
      <c r="AW309" s="677">
        <v>1</v>
      </c>
      <c r="AX309" s="366">
        <f t="shared" si="268"/>
        <v>1</v>
      </c>
      <c r="AY309" s="366">
        <f t="shared" si="269"/>
        <v>100</v>
      </c>
      <c r="AZ309" s="366">
        <f t="shared" si="238"/>
        <v>100</v>
      </c>
      <c r="BA309" s="354">
        <f t="shared" si="239"/>
        <v>6.25E-2</v>
      </c>
      <c r="BB309" s="354">
        <f t="shared" si="240"/>
        <v>100</v>
      </c>
      <c r="BC309" s="353">
        <v>204000000</v>
      </c>
      <c r="BD309" s="353">
        <v>0</v>
      </c>
      <c r="BE309" s="353">
        <v>204000000</v>
      </c>
      <c r="BF309" s="353">
        <v>0</v>
      </c>
      <c r="BG309" s="353">
        <v>0</v>
      </c>
      <c r="BH309" s="353">
        <v>0</v>
      </c>
      <c r="BI309" s="353">
        <v>0</v>
      </c>
      <c r="BJ309" s="353">
        <v>0</v>
      </c>
      <c r="BK309" s="386">
        <v>137417921</v>
      </c>
      <c r="BL309" s="351">
        <v>137417921</v>
      </c>
      <c r="BM309" s="351">
        <v>0</v>
      </c>
      <c r="BN309" s="351">
        <v>0</v>
      </c>
      <c r="BO309" s="351">
        <v>0</v>
      </c>
      <c r="BP309" s="351">
        <v>0</v>
      </c>
      <c r="BQ309" s="351">
        <v>0</v>
      </c>
      <c r="BR309" s="351">
        <v>0</v>
      </c>
      <c r="BS309" s="351">
        <v>0</v>
      </c>
      <c r="BT309" s="351">
        <v>12000000</v>
      </c>
      <c r="BU309" s="351" t="s">
        <v>1930</v>
      </c>
      <c r="BV309" s="350">
        <f t="shared" si="241"/>
        <v>6.25E-2</v>
      </c>
      <c r="BW309" s="350">
        <v>1</v>
      </c>
      <c r="BX309" s="385">
        <f t="shared" si="270"/>
        <v>0.25</v>
      </c>
      <c r="BY309" s="369">
        <v>1</v>
      </c>
      <c r="BZ309" s="391">
        <v>0</v>
      </c>
      <c r="CA309" s="689">
        <v>2</v>
      </c>
      <c r="CB309" s="324">
        <f t="shared" si="271"/>
        <v>2</v>
      </c>
      <c r="CC309" s="324">
        <f t="shared" si="272"/>
        <v>200</v>
      </c>
      <c r="CD309" s="384">
        <f t="shared" si="242"/>
        <v>100</v>
      </c>
      <c r="CE309" s="383">
        <f t="shared" si="243"/>
        <v>6.25E-2</v>
      </c>
      <c r="CF309" s="367">
        <f t="shared" si="244"/>
        <v>100</v>
      </c>
      <c r="CG309" s="383">
        <f t="shared" si="245"/>
        <v>0.125</v>
      </c>
      <c r="CH309" s="320">
        <f t="shared" si="246"/>
        <v>6.25E-2</v>
      </c>
      <c r="CI309" s="319">
        <v>1</v>
      </c>
      <c r="CJ309" s="318">
        <f t="shared" si="273"/>
        <v>0.25</v>
      </c>
      <c r="CK309" s="1259">
        <v>1</v>
      </c>
      <c r="CL309" s="301">
        <f t="shared" si="274"/>
        <v>0</v>
      </c>
      <c r="CM309" s="381">
        <f t="shared" si="275"/>
        <v>1</v>
      </c>
      <c r="CN309" s="381">
        <f t="shared" si="276"/>
        <v>100</v>
      </c>
      <c r="CO309" s="316">
        <f t="shared" si="247"/>
        <v>100</v>
      </c>
      <c r="CP309" s="381">
        <f t="shared" si="248"/>
        <v>6.25E-2</v>
      </c>
      <c r="CQ309" s="381">
        <f t="shared" si="249"/>
        <v>6.25E-2</v>
      </c>
      <c r="CR309" s="313">
        <v>255000000</v>
      </c>
      <c r="CS309" s="313">
        <v>255000000</v>
      </c>
      <c r="CT309" s="313">
        <v>0</v>
      </c>
      <c r="CU309" s="313">
        <v>0</v>
      </c>
      <c r="CV309" s="313">
        <v>0</v>
      </c>
      <c r="CW309" s="313">
        <v>0</v>
      </c>
      <c r="CX309" s="313">
        <v>0</v>
      </c>
      <c r="CY309" s="313">
        <v>0</v>
      </c>
      <c r="CZ309" s="380">
        <v>0</v>
      </c>
      <c r="DA309" s="380">
        <v>0</v>
      </c>
      <c r="DB309" s="380">
        <v>0</v>
      </c>
      <c r="DC309" s="380">
        <v>0</v>
      </c>
      <c r="DD309" s="380">
        <v>0</v>
      </c>
      <c r="DE309" s="380">
        <v>0</v>
      </c>
      <c r="DF309" s="380">
        <v>0</v>
      </c>
      <c r="DG309" s="380">
        <v>0</v>
      </c>
      <c r="DH309" s="380">
        <v>0</v>
      </c>
      <c r="DI309" s="380">
        <v>0</v>
      </c>
      <c r="DJ309" s="380">
        <v>0</v>
      </c>
      <c r="DK309" s="702">
        <f t="shared" si="277"/>
        <v>5</v>
      </c>
      <c r="DL309" s="311">
        <f t="shared" si="250"/>
        <v>0.25</v>
      </c>
      <c r="DM309" s="310">
        <f t="shared" si="251"/>
        <v>125</v>
      </c>
      <c r="DN309" s="356">
        <f t="shared" si="252"/>
        <v>100</v>
      </c>
      <c r="DO309" s="308">
        <f t="shared" si="253"/>
        <v>0.25</v>
      </c>
      <c r="DP309" s="359">
        <f t="shared" si="263"/>
        <v>0.25</v>
      </c>
      <c r="DQ309" s="306">
        <f t="shared" si="254"/>
        <v>0.25</v>
      </c>
      <c r="DR309" s="379">
        <f t="shared" si="255"/>
        <v>1</v>
      </c>
      <c r="DS309" s="378">
        <f t="shared" si="256"/>
        <v>0</v>
      </c>
      <c r="DT309" s="173">
        <v>359</v>
      </c>
      <c r="DU309" s="174" t="s">
        <v>111</v>
      </c>
      <c r="DV309" s="173">
        <v>360</v>
      </c>
      <c r="DW309" s="174" t="s">
        <v>110</v>
      </c>
      <c r="DX309" s="173"/>
      <c r="DY309" s="173"/>
      <c r="DZ309" s="173"/>
      <c r="EA309" s="665"/>
      <c r="EB309" s="1254" t="s">
        <v>2556</v>
      </c>
      <c r="EC309" s="537">
        <v>0</v>
      </c>
      <c r="EE309" s="734">
        <v>4000</v>
      </c>
      <c r="EF309" s="706"/>
    </row>
    <row r="310" spans="4:136" s="302" customFormat="1" ht="204" hidden="1">
      <c r="D310" s="520">
        <v>307</v>
      </c>
      <c r="E310" s="533">
        <v>363</v>
      </c>
      <c r="F310" s="529" t="s">
        <v>44</v>
      </c>
      <c r="G310" s="529" t="s">
        <v>16</v>
      </c>
      <c r="H310" s="529" t="s">
        <v>2664</v>
      </c>
      <c r="I310" s="1361" t="s">
        <v>769</v>
      </c>
      <c r="J310" s="335" t="s">
        <v>774</v>
      </c>
      <c r="K310" s="335" t="s">
        <v>775</v>
      </c>
      <c r="L310" s="443" t="s">
        <v>1929</v>
      </c>
      <c r="M310" s="334" t="s">
        <v>1785</v>
      </c>
      <c r="N310" s="334">
        <v>3</v>
      </c>
      <c r="O310" s="333">
        <f>+P310</f>
        <v>3</v>
      </c>
      <c r="P310" s="332">
        <v>3</v>
      </c>
      <c r="Q310" s="390">
        <v>0.33</v>
      </c>
      <c r="R310" s="342">
        <f t="shared" si="234"/>
        <v>8.2500000000000004E-2</v>
      </c>
      <c r="S310" s="389">
        <v>3</v>
      </c>
      <c r="T310" s="387">
        <f t="shared" si="264"/>
        <v>0.25</v>
      </c>
      <c r="U310" s="670">
        <v>3</v>
      </c>
      <c r="V310" s="388">
        <f t="shared" si="265"/>
        <v>0.75</v>
      </c>
      <c r="W310" s="356">
        <f t="shared" si="266"/>
        <v>100</v>
      </c>
      <c r="X310" s="356">
        <f t="shared" si="235"/>
        <v>100</v>
      </c>
      <c r="Y310" s="356">
        <f t="shared" si="259"/>
        <v>8.2500000000000004E-2</v>
      </c>
      <c r="Z310" s="356">
        <f t="shared" si="236"/>
        <v>100</v>
      </c>
      <c r="AA310" s="355">
        <v>1034000000</v>
      </c>
      <c r="AB310" s="355">
        <v>857000000</v>
      </c>
      <c r="AC310" s="355">
        <v>0</v>
      </c>
      <c r="AD310" s="355">
        <v>0</v>
      </c>
      <c r="AE310" s="355">
        <v>0</v>
      </c>
      <c r="AF310" s="355">
        <v>0</v>
      </c>
      <c r="AG310" s="355">
        <v>0</v>
      </c>
      <c r="AH310" s="355">
        <v>177000000</v>
      </c>
      <c r="AI310" s="355">
        <v>1677817000</v>
      </c>
      <c r="AJ310" s="355">
        <v>1677817000</v>
      </c>
      <c r="AK310" s="355">
        <v>0</v>
      </c>
      <c r="AL310" s="355">
        <v>0</v>
      </c>
      <c r="AM310" s="355">
        <v>0</v>
      </c>
      <c r="AN310" s="355">
        <v>0</v>
      </c>
      <c r="AO310" s="355">
        <v>0</v>
      </c>
      <c r="AP310" s="355">
        <v>0</v>
      </c>
      <c r="AQ310" s="355">
        <v>0</v>
      </c>
      <c r="AR310" s="355">
        <v>182905000</v>
      </c>
      <c r="AS310" s="355" t="s">
        <v>1928</v>
      </c>
      <c r="AT310" s="333">
        <f t="shared" si="237"/>
        <v>8.2500000000000004E-2</v>
      </c>
      <c r="AU310" s="334">
        <v>3</v>
      </c>
      <c r="AV310" s="387">
        <f t="shared" si="267"/>
        <v>0.25</v>
      </c>
      <c r="AW310" s="677">
        <v>3</v>
      </c>
      <c r="AX310" s="366">
        <f t="shared" si="268"/>
        <v>0.75</v>
      </c>
      <c r="AY310" s="366">
        <f t="shared" si="269"/>
        <v>100</v>
      </c>
      <c r="AZ310" s="366">
        <f t="shared" si="238"/>
        <v>100</v>
      </c>
      <c r="BA310" s="354">
        <f t="shared" si="239"/>
        <v>8.2500000000000004E-2</v>
      </c>
      <c r="BB310" s="354">
        <f t="shared" si="240"/>
        <v>100</v>
      </c>
      <c r="BC310" s="353">
        <v>240000000</v>
      </c>
      <c r="BD310" s="353">
        <v>0</v>
      </c>
      <c r="BE310" s="353">
        <v>240000000</v>
      </c>
      <c r="BF310" s="353">
        <v>0</v>
      </c>
      <c r="BG310" s="353">
        <v>0</v>
      </c>
      <c r="BH310" s="353">
        <v>0</v>
      </c>
      <c r="BI310" s="353">
        <v>0</v>
      </c>
      <c r="BJ310" s="353">
        <v>0</v>
      </c>
      <c r="BK310" s="386">
        <v>2219745207</v>
      </c>
      <c r="BL310" s="351">
        <v>1319745207</v>
      </c>
      <c r="BM310" s="351">
        <v>0</v>
      </c>
      <c r="BN310" s="351">
        <v>0</v>
      </c>
      <c r="BO310" s="351">
        <v>0</v>
      </c>
      <c r="BP310" s="351">
        <v>900000000</v>
      </c>
      <c r="BQ310" s="351">
        <v>0</v>
      </c>
      <c r="BR310" s="351">
        <v>0</v>
      </c>
      <c r="BS310" s="351">
        <v>0</v>
      </c>
      <c r="BT310" s="351">
        <v>2347582687</v>
      </c>
      <c r="BU310" s="351" t="s">
        <v>1927</v>
      </c>
      <c r="BV310" s="350">
        <f t="shared" si="241"/>
        <v>8.2500000000000004E-2</v>
      </c>
      <c r="BW310" s="350">
        <v>3</v>
      </c>
      <c r="BX310" s="385">
        <f t="shared" si="270"/>
        <v>0.25</v>
      </c>
      <c r="BY310" s="399">
        <v>0</v>
      </c>
      <c r="BZ310" s="398">
        <v>2</v>
      </c>
      <c r="CA310" s="690">
        <v>3</v>
      </c>
      <c r="CB310" s="324">
        <f t="shared" si="271"/>
        <v>0.75</v>
      </c>
      <c r="CC310" s="324">
        <f t="shared" si="272"/>
        <v>100</v>
      </c>
      <c r="CD310" s="384">
        <f t="shared" si="242"/>
        <v>100</v>
      </c>
      <c r="CE310" s="383">
        <f t="shared" si="243"/>
        <v>8.2500000000000004E-2</v>
      </c>
      <c r="CF310" s="367">
        <f t="shared" si="244"/>
        <v>100</v>
      </c>
      <c r="CG310" s="383">
        <f t="shared" si="245"/>
        <v>8.2500000000000004E-2</v>
      </c>
      <c r="CH310" s="320">
        <f t="shared" si="246"/>
        <v>8.2500000000000004E-2</v>
      </c>
      <c r="CI310" s="319">
        <v>3</v>
      </c>
      <c r="CJ310" s="318">
        <f t="shared" si="273"/>
        <v>0.25</v>
      </c>
      <c r="CK310" s="1259">
        <v>3</v>
      </c>
      <c r="CL310" s="301">
        <f t="shared" si="274"/>
        <v>0</v>
      </c>
      <c r="CM310" s="381">
        <f t="shared" si="275"/>
        <v>0.75</v>
      </c>
      <c r="CN310" s="381">
        <f t="shared" si="276"/>
        <v>100</v>
      </c>
      <c r="CO310" s="381">
        <f t="shared" si="247"/>
        <v>100</v>
      </c>
      <c r="CP310" s="381">
        <f t="shared" si="248"/>
        <v>8.2500000000000004E-2</v>
      </c>
      <c r="CQ310" s="381">
        <f t="shared" si="249"/>
        <v>8.2500000000000004E-2</v>
      </c>
      <c r="CR310" s="313">
        <v>216000000</v>
      </c>
      <c r="CS310" s="313">
        <v>216000000</v>
      </c>
      <c r="CT310" s="313">
        <v>0</v>
      </c>
      <c r="CU310" s="313">
        <v>0</v>
      </c>
      <c r="CV310" s="313">
        <v>0</v>
      </c>
      <c r="CW310" s="313">
        <v>0</v>
      </c>
      <c r="CX310" s="313">
        <v>0</v>
      </c>
      <c r="CY310" s="313">
        <v>0</v>
      </c>
      <c r="CZ310" s="380">
        <v>0</v>
      </c>
      <c r="DA310" s="380">
        <v>0</v>
      </c>
      <c r="DB310" s="380">
        <v>0</v>
      </c>
      <c r="DC310" s="380">
        <v>0</v>
      </c>
      <c r="DD310" s="380">
        <v>0</v>
      </c>
      <c r="DE310" s="380">
        <v>0</v>
      </c>
      <c r="DF310" s="380">
        <v>0</v>
      </c>
      <c r="DG310" s="380">
        <v>0</v>
      </c>
      <c r="DH310" s="380">
        <v>0</v>
      </c>
      <c r="DI310" s="380">
        <v>0</v>
      </c>
      <c r="DJ310" s="380">
        <v>0</v>
      </c>
      <c r="DK310" s="702">
        <f t="shared" si="277"/>
        <v>3</v>
      </c>
      <c r="DL310" s="311">
        <f t="shared" si="250"/>
        <v>0.33</v>
      </c>
      <c r="DM310" s="310">
        <f t="shared" si="251"/>
        <v>100</v>
      </c>
      <c r="DN310" s="356">
        <f t="shared" si="252"/>
        <v>100</v>
      </c>
      <c r="DO310" s="308">
        <f t="shared" si="253"/>
        <v>0.33</v>
      </c>
      <c r="DP310" s="359">
        <f>+IF(M310="M",DO310,0)</f>
        <v>0.33</v>
      </c>
      <c r="DQ310" s="306">
        <f t="shared" si="254"/>
        <v>0.33</v>
      </c>
      <c r="DR310" s="379">
        <f t="shared" si="255"/>
        <v>1</v>
      </c>
      <c r="DS310" s="378">
        <f t="shared" si="256"/>
        <v>0</v>
      </c>
      <c r="DT310" s="173">
        <v>359</v>
      </c>
      <c r="DU310" s="174" t="s">
        <v>111</v>
      </c>
      <c r="DV310" s="173">
        <v>360</v>
      </c>
      <c r="DW310" s="174" t="s">
        <v>110</v>
      </c>
      <c r="DX310" s="173"/>
      <c r="DY310" s="173"/>
      <c r="DZ310" s="173"/>
      <c r="EA310" s="665"/>
      <c r="EB310" s="1254" t="s">
        <v>2616</v>
      </c>
      <c r="EC310" s="537">
        <v>0</v>
      </c>
      <c r="EE310" s="734">
        <v>15000</v>
      </c>
      <c r="EF310" s="706"/>
    </row>
    <row r="311" spans="4:136" s="302" customFormat="1" ht="114.75" hidden="1">
      <c r="D311" s="520">
        <v>308</v>
      </c>
      <c r="E311" s="534">
        <v>364</v>
      </c>
      <c r="F311" s="479" t="s">
        <v>44</v>
      </c>
      <c r="G311" s="479" t="s">
        <v>16</v>
      </c>
      <c r="H311" s="479" t="s">
        <v>2664</v>
      </c>
      <c r="I311" s="435" t="s">
        <v>769</v>
      </c>
      <c r="J311" s="335" t="s">
        <v>776</v>
      </c>
      <c r="K311" s="335" t="s">
        <v>777</v>
      </c>
      <c r="L311" s="443" t="s">
        <v>1852</v>
      </c>
      <c r="M311" s="334" t="s">
        <v>1771</v>
      </c>
      <c r="N311" s="334">
        <v>60</v>
      </c>
      <c r="O311" s="333">
        <f t="shared" ref="O311:O316" si="278">+N311+P311</f>
        <v>80</v>
      </c>
      <c r="P311" s="332">
        <v>20</v>
      </c>
      <c r="Q311" s="390">
        <v>0.16500000000000001</v>
      </c>
      <c r="R311" s="342">
        <f t="shared" si="234"/>
        <v>6.6000000000000003E-2</v>
      </c>
      <c r="S311" s="389">
        <v>8</v>
      </c>
      <c r="T311" s="387">
        <f t="shared" si="264"/>
        <v>0.4</v>
      </c>
      <c r="U311" s="670">
        <v>8</v>
      </c>
      <c r="V311" s="388">
        <f t="shared" si="265"/>
        <v>8</v>
      </c>
      <c r="W311" s="356">
        <f t="shared" si="266"/>
        <v>100</v>
      </c>
      <c r="X311" s="356">
        <f t="shared" si="235"/>
        <v>100</v>
      </c>
      <c r="Y311" s="356">
        <f t="shared" si="259"/>
        <v>6.6000000000000003E-2</v>
      </c>
      <c r="Z311" s="356">
        <f t="shared" si="236"/>
        <v>100</v>
      </c>
      <c r="AA311" s="355">
        <v>2930000000</v>
      </c>
      <c r="AB311" s="355">
        <v>2911000000</v>
      </c>
      <c r="AC311" s="355">
        <v>0</v>
      </c>
      <c r="AD311" s="355">
        <v>0</v>
      </c>
      <c r="AE311" s="355">
        <v>0</v>
      </c>
      <c r="AF311" s="355">
        <v>0</v>
      </c>
      <c r="AG311" s="355">
        <v>0</v>
      </c>
      <c r="AH311" s="355">
        <v>19000000</v>
      </c>
      <c r="AI311" s="355">
        <v>2805227000</v>
      </c>
      <c r="AJ311" s="355">
        <v>2805227000</v>
      </c>
      <c r="AK311" s="355">
        <v>0</v>
      </c>
      <c r="AL311" s="355">
        <v>0</v>
      </c>
      <c r="AM311" s="355">
        <v>0</v>
      </c>
      <c r="AN311" s="355">
        <v>0</v>
      </c>
      <c r="AO311" s="355">
        <v>0</v>
      </c>
      <c r="AP311" s="355">
        <v>0</v>
      </c>
      <c r="AQ311" s="355">
        <v>0</v>
      </c>
      <c r="AR311" s="355">
        <v>1822349000</v>
      </c>
      <c r="AS311" s="355" t="s">
        <v>1926</v>
      </c>
      <c r="AT311" s="333">
        <f t="shared" si="237"/>
        <v>4.1250000000000002E-2</v>
      </c>
      <c r="AU311" s="334">
        <v>5</v>
      </c>
      <c r="AV311" s="387">
        <f t="shared" si="267"/>
        <v>0.25</v>
      </c>
      <c r="AW311" s="677">
        <v>5</v>
      </c>
      <c r="AX311" s="366">
        <f t="shared" si="268"/>
        <v>5</v>
      </c>
      <c r="AY311" s="366">
        <f t="shared" si="269"/>
        <v>100</v>
      </c>
      <c r="AZ311" s="366">
        <f t="shared" si="238"/>
        <v>100</v>
      </c>
      <c r="BA311" s="354">
        <f t="shared" si="239"/>
        <v>4.1250000000000002E-2</v>
      </c>
      <c r="BB311" s="354">
        <f t="shared" si="240"/>
        <v>100</v>
      </c>
      <c r="BC311" s="353">
        <v>776000000</v>
      </c>
      <c r="BD311" s="353">
        <v>0</v>
      </c>
      <c r="BE311" s="353">
        <v>776000000</v>
      </c>
      <c r="BF311" s="353">
        <v>0</v>
      </c>
      <c r="BG311" s="353">
        <v>0</v>
      </c>
      <c r="BH311" s="353">
        <v>0</v>
      </c>
      <c r="BI311" s="353">
        <v>0</v>
      </c>
      <c r="BJ311" s="353">
        <v>0</v>
      </c>
      <c r="BK311" s="386">
        <v>1537807880</v>
      </c>
      <c r="BL311" s="351">
        <v>1537807880</v>
      </c>
      <c r="BM311" s="351">
        <v>0</v>
      </c>
      <c r="BN311" s="351">
        <v>0</v>
      </c>
      <c r="BO311" s="351">
        <v>0</v>
      </c>
      <c r="BP311" s="351">
        <v>0</v>
      </c>
      <c r="BQ311" s="351">
        <v>0</v>
      </c>
      <c r="BR311" s="351">
        <v>0</v>
      </c>
      <c r="BS311" s="351">
        <v>0</v>
      </c>
      <c r="BT311" s="351">
        <v>73957313</v>
      </c>
      <c r="BU311" s="351" t="s">
        <v>1925</v>
      </c>
      <c r="BV311" s="350">
        <f t="shared" si="241"/>
        <v>3.3000000000000002E-2</v>
      </c>
      <c r="BW311" s="350">
        <v>4</v>
      </c>
      <c r="BX311" s="385">
        <f t="shared" si="270"/>
        <v>0.2</v>
      </c>
      <c r="BY311" s="369">
        <v>0</v>
      </c>
      <c r="BZ311" s="391">
        <v>1</v>
      </c>
      <c r="CA311" s="689">
        <v>19</v>
      </c>
      <c r="CB311" s="324">
        <f t="shared" si="271"/>
        <v>19</v>
      </c>
      <c r="CC311" s="324">
        <f t="shared" si="272"/>
        <v>475</v>
      </c>
      <c r="CD311" s="384">
        <f t="shared" si="242"/>
        <v>100</v>
      </c>
      <c r="CE311" s="383">
        <f t="shared" si="243"/>
        <v>3.3000000000000002E-2</v>
      </c>
      <c r="CF311" s="367">
        <f t="shared" si="244"/>
        <v>100</v>
      </c>
      <c r="CG311" s="383">
        <f t="shared" si="245"/>
        <v>0.15675</v>
      </c>
      <c r="CH311" s="320">
        <f t="shared" si="246"/>
        <v>2.4750000000000001E-2</v>
      </c>
      <c r="CI311" s="319">
        <v>3</v>
      </c>
      <c r="CJ311" s="318">
        <f t="shared" si="273"/>
        <v>0.15</v>
      </c>
      <c r="CK311" s="1259">
        <v>3</v>
      </c>
      <c r="CL311" s="301">
        <f t="shared" si="274"/>
        <v>0</v>
      </c>
      <c r="CM311" s="381">
        <f t="shared" si="275"/>
        <v>3</v>
      </c>
      <c r="CN311" s="381">
        <f t="shared" si="276"/>
        <v>100</v>
      </c>
      <c r="CO311" s="316">
        <f t="shared" si="247"/>
        <v>100</v>
      </c>
      <c r="CP311" s="381">
        <f t="shared" si="248"/>
        <v>2.4750000000000001E-2</v>
      </c>
      <c r="CQ311" s="381">
        <f t="shared" si="249"/>
        <v>2.4750000000000001E-2</v>
      </c>
      <c r="CR311" s="313">
        <v>823000000</v>
      </c>
      <c r="CS311" s="313">
        <v>823000000</v>
      </c>
      <c r="CT311" s="313">
        <v>0</v>
      </c>
      <c r="CU311" s="313">
        <v>0</v>
      </c>
      <c r="CV311" s="313">
        <v>0</v>
      </c>
      <c r="CW311" s="313">
        <v>0</v>
      </c>
      <c r="CX311" s="313">
        <v>0</v>
      </c>
      <c r="CY311" s="313">
        <v>0</v>
      </c>
      <c r="CZ311" s="380">
        <v>0</v>
      </c>
      <c r="DA311" s="380">
        <v>0</v>
      </c>
      <c r="DB311" s="380">
        <v>0</v>
      </c>
      <c r="DC311" s="380">
        <v>0</v>
      </c>
      <c r="DD311" s="380">
        <v>0</v>
      </c>
      <c r="DE311" s="380">
        <v>0</v>
      </c>
      <c r="DF311" s="380">
        <v>0</v>
      </c>
      <c r="DG311" s="380">
        <v>0</v>
      </c>
      <c r="DH311" s="380">
        <v>0</v>
      </c>
      <c r="DI311" s="380">
        <v>0</v>
      </c>
      <c r="DJ311" s="380">
        <v>0</v>
      </c>
      <c r="DK311" s="702">
        <f t="shared" si="277"/>
        <v>35</v>
      </c>
      <c r="DL311" s="311">
        <f t="shared" si="250"/>
        <v>0.16500000000000001</v>
      </c>
      <c r="DM311" s="310">
        <f t="shared" si="251"/>
        <v>175</v>
      </c>
      <c r="DN311" s="356">
        <f t="shared" si="252"/>
        <v>100</v>
      </c>
      <c r="DO311" s="308">
        <f t="shared" si="253"/>
        <v>0.16500000000000001</v>
      </c>
      <c r="DP311" s="359">
        <f t="shared" ref="DP311:DP316" si="279">+IF(((DN311*Q311)/100)&lt;Q311, ((DN311*Q311)/100),Q311)</f>
        <v>0.16500000000000001</v>
      </c>
      <c r="DQ311" s="306">
        <f t="shared" si="254"/>
        <v>0.16500000000000001</v>
      </c>
      <c r="DR311" s="379">
        <f t="shared" si="255"/>
        <v>1</v>
      </c>
      <c r="DS311" s="378">
        <f t="shared" si="256"/>
        <v>0</v>
      </c>
      <c r="DT311" s="173">
        <v>359</v>
      </c>
      <c r="DU311" s="174" t="s">
        <v>111</v>
      </c>
      <c r="DV311" s="173">
        <v>360</v>
      </c>
      <c r="DW311" s="174" t="s">
        <v>110</v>
      </c>
      <c r="DX311" s="173"/>
      <c r="DY311" s="173"/>
      <c r="DZ311" s="173"/>
      <c r="EA311" s="665"/>
      <c r="EB311" s="1254" t="s">
        <v>2557</v>
      </c>
      <c r="EC311" s="537">
        <v>0</v>
      </c>
      <c r="EE311" s="734">
        <v>100</v>
      </c>
      <c r="EF311" s="706"/>
    </row>
    <row r="312" spans="4:136" s="302" customFormat="1" ht="108" hidden="1">
      <c r="D312" s="520">
        <v>309</v>
      </c>
      <c r="E312" s="534">
        <v>365</v>
      </c>
      <c r="F312" s="479" t="s">
        <v>44</v>
      </c>
      <c r="G312" s="479" t="s">
        <v>16</v>
      </c>
      <c r="H312" s="479" t="s">
        <v>2664</v>
      </c>
      <c r="I312" s="435" t="s">
        <v>778</v>
      </c>
      <c r="J312" s="335" t="s">
        <v>779</v>
      </c>
      <c r="K312" s="335" t="s">
        <v>780</v>
      </c>
      <c r="L312" s="443" t="s">
        <v>1883</v>
      </c>
      <c r="M312" s="334" t="s">
        <v>1771</v>
      </c>
      <c r="N312" s="334">
        <v>11000</v>
      </c>
      <c r="O312" s="333">
        <f t="shared" si="278"/>
        <v>17000</v>
      </c>
      <c r="P312" s="332">
        <v>6000</v>
      </c>
      <c r="Q312" s="390">
        <v>0.16500000000000001</v>
      </c>
      <c r="R312" s="342">
        <f t="shared" si="234"/>
        <v>4.1250000000000002E-2</v>
      </c>
      <c r="S312" s="389">
        <v>1500</v>
      </c>
      <c r="T312" s="387">
        <f t="shared" si="264"/>
        <v>0.25</v>
      </c>
      <c r="U312" s="670">
        <v>4960</v>
      </c>
      <c r="V312" s="388">
        <f t="shared" si="265"/>
        <v>4960</v>
      </c>
      <c r="W312" s="356">
        <f t="shared" si="266"/>
        <v>330.66666666666669</v>
      </c>
      <c r="X312" s="356">
        <f t="shared" si="235"/>
        <v>100</v>
      </c>
      <c r="Y312" s="356">
        <f t="shared" si="259"/>
        <v>4.1250000000000002E-2</v>
      </c>
      <c r="Z312" s="356">
        <f t="shared" si="236"/>
        <v>100</v>
      </c>
      <c r="AA312" s="355">
        <v>2036000000</v>
      </c>
      <c r="AB312" s="355">
        <v>2020000000</v>
      </c>
      <c r="AC312" s="355">
        <v>0</v>
      </c>
      <c r="AD312" s="355">
        <v>0</v>
      </c>
      <c r="AE312" s="355">
        <v>0</v>
      </c>
      <c r="AF312" s="355">
        <v>0</v>
      </c>
      <c r="AG312" s="355">
        <v>0</v>
      </c>
      <c r="AH312" s="355">
        <v>16000000</v>
      </c>
      <c r="AI312" s="355">
        <v>19990000</v>
      </c>
      <c r="AJ312" s="355">
        <v>19990000</v>
      </c>
      <c r="AK312" s="355">
        <v>0</v>
      </c>
      <c r="AL312" s="355">
        <v>0</v>
      </c>
      <c r="AM312" s="355">
        <v>0</v>
      </c>
      <c r="AN312" s="355">
        <v>0</v>
      </c>
      <c r="AO312" s="355">
        <v>0</v>
      </c>
      <c r="AP312" s="355">
        <v>0</v>
      </c>
      <c r="AQ312" s="355">
        <v>0</v>
      </c>
      <c r="AR312" s="355">
        <v>16180000</v>
      </c>
      <c r="AS312" s="355" t="s">
        <v>1924</v>
      </c>
      <c r="AT312" s="333">
        <f t="shared" si="237"/>
        <v>4.1250000000000002E-2</v>
      </c>
      <c r="AU312" s="334">
        <v>1500</v>
      </c>
      <c r="AV312" s="387">
        <f t="shared" si="267"/>
        <v>0.25</v>
      </c>
      <c r="AW312" s="677">
        <v>179</v>
      </c>
      <c r="AX312" s="366">
        <f t="shared" si="268"/>
        <v>179</v>
      </c>
      <c r="AY312" s="366">
        <f t="shared" si="269"/>
        <v>11.933333333333334</v>
      </c>
      <c r="AZ312" s="366">
        <f t="shared" si="238"/>
        <v>11.933333333333334</v>
      </c>
      <c r="BA312" s="354">
        <f t="shared" si="239"/>
        <v>4.9224999999999998E-3</v>
      </c>
      <c r="BB312" s="354">
        <f t="shared" si="240"/>
        <v>11.933333333333334</v>
      </c>
      <c r="BC312" s="353">
        <v>1940000000</v>
      </c>
      <c r="BD312" s="353">
        <v>0</v>
      </c>
      <c r="BE312" s="353">
        <v>1940000000</v>
      </c>
      <c r="BF312" s="353">
        <v>0</v>
      </c>
      <c r="BG312" s="353">
        <v>0</v>
      </c>
      <c r="BH312" s="353">
        <v>0</v>
      </c>
      <c r="BI312" s="353">
        <v>0</v>
      </c>
      <c r="BJ312" s="353">
        <v>0</v>
      </c>
      <c r="BK312" s="386">
        <v>700000000</v>
      </c>
      <c r="BL312" s="351">
        <v>700000000</v>
      </c>
      <c r="BM312" s="351">
        <v>0</v>
      </c>
      <c r="BN312" s="351">
        <v>0</v>
      </c>
      <c r="BO312" s="351">
        <v>0</v>
      </c>
      <c r="BP312" s="351">
        <v>0</v>
      </c>
      <c r="BQ312" s="351">
        <v>0</v>
      </c>
      <c r="BR312" s="351">
        <v>0</v>
      </c>
      <c r="BS312" s="351">
        <v>0</v>
      </c>
      <c r="BT312" s="351">
        <v>0</v>
      </c>
      <c r="BU312" s="351">
        <v>0</v>
      </c>
      <c r="BV312" s="350">
        <f t="shared" si="241"/>
        <v>4.1250000000000002E-2</v>
      </c>
      <c r="BW312" s="350">
        <v>1500</v>
      </c>
      <c r="BX312" s="385">
        <f t="shared" si="270"/>
        <v>0.25</v>
      </c>
      <c r="BY312" s="369">
        <v>0</v>
      </c>
      <c r="BZ312" s="391">
        <v>0</v>
      </c>
      <c r="CA312" s="689">
        <v>838</v>
      </c>
      <c r="CB312" s="324">
        <f t="shared" si="271"/>
        <v>838</v>
      </c>
      <c r="CC312" s="324">
        <f t="shared" si="272"/>
        <v>55.866666666666667</v>
      </c>
      <c r="CD312" s="384">
        <f t="shared" si="242"/>
        <v>55.866666666666667</v>
      </c>
      <c r="CE312" s="383">
        <f t="shared" si="243"/>
        <v>2.3045E-2</v>
      </c>
      <c r="CF312" s="367">
        <f t="shared" si="244"/>
        <v>55.866666666666667</v>
      </c>
      <c r="CG312" s="383">
        <f t="shared" si="245"/>
        <v>2.3045E-2</v>
      </c>
      <c r="CH312" s="320">
        <f t="shared" si="246"/>
        <v>4.1250000000000002E-2</v>
      </c>
      <c r="CI312" s="319">
        <v>1500</v>
      </c>
      <c r="CJ312" s="318">
        <f t="shared" si="273"/>
        <v>0.25</v>
      </c>
      <c r="CK312" s="1259">
        <v>2628</v>
      </c>
      <c r="CL312" s="301">
        <f t="shared" si="274"/>
        <v>-1128</v>
      </c>
      <c r="CM312" s="381">
        <f t="shared" si="275"/>
        <v>2628</v>
      </c>
      <c r="CN312" s="381">
        <f t="shared" si="276"/>
        <v>175.2</v>
      </c>
      <c r="CO312" s="316">
        <f t="shared" si="247"/>
        <v>100</v>
      </c>
      <c r="CP312" s="381">
        <f t="shared" si="248"/>
        <v>4.1250000000000002E-2</v>
      </c>
      <c r="CQ312" s="381">
        <f t="shared" si="249"/>
        <v>7.2270000000000001E-2</v>
      </c>
      <c r="CR312" s="313">
        <v>2058000000</v>
      </c>
      <c r="CS312" s="313">
        <v>2058000000</v>
      </c>
      <c r="CT312" s="313">
        <v>0</v>
      </c>
      <c r="CU312" s="313">
        <v>0</v>
      </c>
      <c r="CV312" s="313">
        <v>0</v>
      </c>
      <c r="CW312" s="313">
        <v>0</v>
      </c>
      <c r="CX312" s="313">
        <v>0</v>
      </c>
      <c r="CY312" s="313">
        <v>0</v>
      </c>
      <c r="CZ312" s="380">
        <v>0</v>
      </c>
      <c r="DA312" s="380">
        <v>0</v>
      </c>
      <c r="DB312" s="380">
        <v>0</v>
      </c>
      <c r="DC312" s="380">
        <v>0</v>
      </c>
      <c r="DD312" s="380">
        <v>0</v>
      </c>
      <c r="DE312" s="380">
        <v>0</v>
      </c>
      <c r="DF312" s="380">
        <v>0</v>
      </c>
      <c r="DG312" s="380">
        <v>0</v>
      </c>
      <c r="DH312" s="380">
        <v>0</v>
      </c>
      <c r="DI312" s="380">
        <v>0</v>
      </c>
      <c r="DJ312" s="380">
        <v>0</v>
      </c>
      <c r="DK312" s="702">
        <f t="shared" si="277"/>
        <v>8605</v>
      </c>
      <c r="DL312" s="311">
        <f t="shared" si="250"/>
        <v>0.16500000000000001</v>
      </c>
      <c r="DM312" s="310">
        <f t="shared" si="251"/>
        <v>143.41666666666666</v>
      </c>
      <c r="DN312" s="356">
        <f t="shared" si="252"/>
        <v>100</v>
      </c>
      <c r="DO312" s="308">
        <f t="shared" si="253"/>
        <v>0.16500000000000001</v>
      </c>
      <c r="DP312" s="359">
        <f t="shared" si="279"/>
        <v>0.16500000000000001</v>
      </c>
      <c r="DQ312" s="306">
        <f t="shared" si="254"/>
        <v>0.16500000000000001</v>
      </c>
      <c r="DR312" s="379">
        <f t="shared" si="255"/>
        <v>1</v>
      </c>
      <c r="DS312" s="378">
        <f t="shared" si="256"/>
        <v>0</v>
      </c>
      <c r="DT312" s="173">
        <v>359</v>
      </c>
      <c r="DU312" s="174" t="s">
        <v>111</v>
      </c>
      <c r="DV312" s="173">
        <v>360</v>
      </c>
      <c r="DW312" s="174" t="s">
        <v>110</v>
      </c>
      <c r="DX312" s="173">
        <v>375</v>
      </c>
      <c r="DY312" s="173"/>
      <c r="DZ312" s="173"/>
      <c r="EA312" s="665"/>
      <c r="EB312" s="1254" t="s">
        <v>2558</v>
      </c>
      <c r="EC312" s="537">
        <v>0</v>
      </c>
      <c r="EE312" s="734">
        <v>5</v>
      </c>
      <c r="EF312" s="706"/>
    </row>
    <row r="313" spans="4:136" s="302" customFormat="1" ht="306" hidden="1">
      <c r="D313" s="520">
        <v>310</v>
      </c>
      <c r="E313" s="534">
        <v>366</v>
      </c>
      <c r="F313" s="479" t="s">
        <v>44</v>
      </c>
      <c r="G313" s="479" t="s">
        <v>16</v>
      </c>
      <c r="H313" s="479" t="s">
        <v>2664</v>
      </c>
      <c r="I313" s="435" t="s">
        <v>781</v>
      </c>
      <c r="J313" s="335" t="s">
        <v>782</v>
      </c>
      <c r="K313" s="335" t="s">
        <v>783</v>
      </c>
      <c r="L313" s="443" t="s">
        <v>1881</v>
      </c>
      <c r="M313" s="334" t="s">
        <v>1771</v>
      </c>
      <c r="N313" s="334">
        <v>5</v>
      </c>
      <c r="O313" s="333">
        <f t="shared" si="278"/>
        <v>15</v>
      </c>
      <c r="P313" s="332">
        <v>10</v>
      </c>
      <c r="Q313" s="390">
        <v>0.25</v>
      </c>
      <c r="R313" s="342">
        <f t="shared" si="234"/>
        <v>0.05</v>
      </c>
      <c r="S313" s="389">
        <v>2</v>
      </c>
      <c r="T313" s="387">
        <f t="shared" si="264"/>
        <v>0.2</v>
      </c>
      <c r="U313" s="670">
        <v>4</v>
      </c>
      <c r="V313" s="388">
        <f t="shared" si="265"/>
        <v>4</v>
      </c>
      <c r="W313" s="356">
        <f t="shared" si="266"/>
        <v>200</v>
      </c>
      <c r="X313" s="356">
        <f t="shared" si="235"/>
        <v>100</v>
      </c>
      <c r="Y313" s="356">
        <f t="shared" si="259"/>
        <v>0.05</v>
      </c>
      <c r="Z313" s="356">
        <f t="shared" si="236"/>
        <v>100</v>
      </c>
      <c r="AA313" s="355">
        <v>402822000</v>
      </c>
      <c r="AB313" s="355">
        <v>322991000</v>
      </c>
      <c r="AC313" s="355">
        <v>0</v>
      </c>
      <c r="AD313" s="355">
        <v>0</v>
      </c>
      <c r="AE313" s="355">
        <v>0</v>
      </c>
      <c r="AF313" s="355">
        <v>0</v>
      </c>
      <c r="AG313" s="355">
        <v>0</v>
      </c>
      <c r="AH313" s="355">
        <v>79831000</v>
      </c>
      <c r="AI313" s="355">
        <v>941648000</v>
      </c>
      <c r="AJ313" s="355">
        <v>941648000</v>
      </c>
      <c r="AK313" s="355">
        <v>0</v>
      </c>
      <c r="AL313" s="355">
        <v>0</v>
      </c>
      <c r="AM313" s="355">
        <v>0</v>
      </c>
      <c r="AN313" s="355">
        <v>0</v>
      </c>
      <c r="AO313" s="355">
        <v>0</v>
      </c>
      <c r="AP313" s="355">
        <v>0</v>
      </c>
      <c r="AQ313" s="355">
        <v>0</v>
      </c>
      <c r="AR313" s="355">
        <v>300143000</v>
      </c>
      <c r="AS313" s="355" t="s">
        <v>1923</v>
      </c>
      <c r="AT313" s="333">
        <f t="shared" si="237"/>
        <v>7.4999999999999997E-2</v>
      </c>
      <c r="AU313" s="334">
        <v>3</v>
      </c>
      <c r="AV313" s="387">
        <f t="shared" si="267"/>
        <v>0.3</v>
      </c>
      <c r="AW313" s="677">
        <v>3</v>
      </c>
      <c r="AX313" s="366">
        <f t="shared" si="268"/>
        <v>3</v>
      </c>
      <c r="AY313" s="366">
        <f t="shared" si="269"/>
        <v>100</v>
      </c>
      <c r="AZ313" s="366">
        <f t="shared" si="238"/>
        <v>100</v>
      </c>
      <c r="BA313" s="354">
        <f t="shared" si="239"/>
        <v>7.4999999999999997E-2</v>
      </c>
      <c r="BB313" s="354">
        <f t="shared" si="240"/>
        <v>100</v>
      </c>
      <c r="BC313" s="353">
        <v>485000000</v>
      </c>
      <c r="BD313" s="353">
        <v>0</v>
      </c>
      <c r="BE313" s="353">
        <v>485000000</v>
      </c>
      <c r="BF313" s="353">
        <v>0</v>
      </c>
      <c r="BG313" s="353">
        <v>0</v>
      </c>
      <c r="BH313" s="353">
        <v>0</v>
      </c>
      <c r="BI313" s="353">
        <v>0</v>
      </c>
      <c r="BJ313" s="353">
        <v>0</v>
      </c>
      <c r="BK313" s="386">
        <v>1392194826</v>
      </c>
      <c r="BL313" s="351">
        <v>1392194826</v>
      </c>
      <c r="BM313" s="351">
        <v>0</v>
      </c>
      <c r="BN313" s="351">
        <v>0</v>
      </c>
      <c r="BO313" s="351">
        <v>0</v>
      </c>
      <c r="BP313" s="351">
        <v>0</v>
      </c>
      <c r="BQ313" s="351">
        <v>0</v>
      </c>
      <c r="BR313" s="351">
        <v>0</v>
      </c>
      <c r="BS313" s="351">
        <v>0</v>
      </c>
      <c r="BT313" s="351">
        <v>371241972</v>
      </c>
      <c r="BU313" s="351" t="s">
        <v>2324</v>
      </c>
      <c r="BV313" s="350">
        <f t="shared" si="241"/>
        <v>7.4999999999999997E-2</v>
      </c>
      <c r="BW313" s="350">
        <v>3</v>
      </c>
      <c r="BX313" s="385">
        <f t="shared" si="270"/>
        <v>0.3</v>
      </c>
      <c r="BY313" s="399">
        <v>2</v>
      </c>
      <c r="BZ313" s="398">
        <v>16</v>
      </c>
      <c r="CA313" s="690">
        <v>3</v>
      </c>
      <c r="CB313" s="324">
        <f t="shared" si="271"/>
        <v>3</v>
      </c>
      <c r="CC313" s="324">
        <f t="shared" si="272"/>
        <v>100</v>
      </c>
      <c r="CD313" s="384">
        <f t="shared" si="242"/>
        <v>100</v>
      </c>
      <c r="CE313" s="383">
        <f t="shared" si="243"/>
        <v>7.4999999999999997E-2</v>
      </c>
      <c r="CF313" s="367">
        <f t="shared" si="244"/>
        <v>100</v>
      </c>
      <c r="CG313" s="383">
        <f t="shared" si="245"/>
        <v>7.4999999999999997E-2</v>
      </c>
      <c r="CH313" s="320">
        <f t="shared" si="246"/>
        <v>0.05</v>
      </c>
      <c r="CI313" s="319">
        <v>2</v>
      </c>
      <c r="CJ313" s="318">
        <f t="shared" si="273"/>
        <v>0.2</v>
      </c>
      <c r="CK313" s="1259">
        <v>2</v>
      </c>
      <c r="CL313" s="301">
        <f t="shared" si="274"/>
        <v>0</v>
      </c>
      <c r="CM313" s="381">
        <f t="shared" si="275"/>
        <v>2</v>
      </c>
      <c r="CN313" s="381">
        <f t="shared" si="276"/>
        <v>100</v>
      </c>
      <c r="CO313" s="316">
        <f t="shared" si="247"/>
        <v>100</v>
      </c>
      <c r="CP313" s="381">
        <f t="shared" si="248"/>
        <v>0.05</v>
      </c>
      <c r="CQ313" s="381">
        <f t="shared" si="249"/>
        <v>0.05</v>
      </c>
      <c r="CR313" s="313">
        <v>514000000</v>
      </c>
      <c r="CS313" s="313">
        <v>514000000</v>
      </c>
      <c r="CT313" s="313">
        <v>0</v>
      </c>
      <c r="CU313" s="313">
        <v>0</v>
      </c>
      <c r="CV313" s="313">
        <v>0</v>
      </c>
      <c r="CW313" s="313">
        <v>0</v>
      </c>
      <c r="CX313" s="313">
        <v>0</v>
      </c>
      <c r="CY313" s="313">
        <v>0</v>
      </c>
      <c r="CZ313" s="380">
        <v>0</v>
      </c>
      <c r="DA313" s="380">
        <v>0</v>
      </c>
      <c r="DB313" s="380">
        <v>0</v>
      </c>
      <c r="DC313" s="380">
        <v>0</v>
      </c>
      <c r="DD313" s="380">
        <v>0</v>
      </c>
      <c r="DE313" s="380">
        <v>0</v>
      </c>
      <c r="DF313" s="380">
        <v>0</v>
      </c>
      <c r="DG313" s="380">
        <v>0</v>
      </c>
      <c r="DH313" s="380">
        <v>0</v>
      </c>
      <c r="DI313" s="380">
        <v>0</v>
      </c>
      <c r="DJ313" s="380">
        <v>0</v>
      </c>
      <c r="DK313" s="702">
        <f t="shared" si="277"/>
        <v>12</v>
      </c>
      <c r="DL313" s="311">
        <f t="shared" si="250"/>
        <v>0.25</v>
      </c>
      <c r="DM313" s="310">
        <f t="shared" si="251"/>
        <v>120</v>
      </c>
      <c r="DN313" s="356">
        <f t="shared" si="252"/>
        <v>100</v>
      </c>
      <c r="DO313" s="308">
        <f t="shared" si="253"/>
        <v>0.25</v>
      </c>
      <c r="DP313" s="359">
        <f t="shared" si="279"/>
        <v>0.25</v>
      </c>
      <c r="DQ313" s="306">
        <f t="shared" si="254"/>
        <v>0.25</v>
      </c>
      <c r="DR313" s="379">
        <f t="shared" si="255"/>
        <v>1</v>
      </c>
      <c r="DS313" s="378">
        <f t="shared" si="256"/>
        <v>0</v>
      </c>
      <c r="DT313" s="173">
        <v>359</v>
      </c>
      <c r="DU313" s="174" t="s">
        <v>111</v>
      </c>
      <c r="DV313" s="173">
        <v>360</v>
      </c>
      <c r="DW313" s="174" t="s">
        <v>110</v>
      </c>
      <c r="DX313" s="173"/>
      <c r="DY313" s="173"/>
      <c r="DZ313" s="173"/>
      <c r="EA313" s="665"/>
      <c r="EB313" s="1254" t="s">
        <v>2559</v>
      </c>
      <c r="EC313" s="537">
        <v>0</v>
      </c>
      <c r="EE313" s="734">
        <v>1</v>
      </c>
      <c r="EF313" s="706"/>
    </row>
    <row r="314" spans="4:136" s="302" customFormat="1" ht="108" hidden="1">
      <c r="D314" s="520">
        <v>311</v>
      </c>
      <c r="E314" s="534">
        <v>367</v>
      </c>
      <c r="F314" s="479" t="s">
        <v>44</v>
      </c>
      <c r="G314" s="479" t="s">
        <v>16</v>
      </c>
      <c r="H314" s="479" t="s">
        <v>2664</v>
      </c>
      <c r="I314" s="435" t="s">
        <v>781</v>
      </c>
      <c r="J314" s="335" t="s">
        <v>784</v>
      </c>
      <c r="K314" s="335" t="s">
        <v>785</v>
      </c>
      <c r="L314" s="443" t="s">
        <v>1884</v>
      </c>
      <c r="M314" s="334" t="s">
        <v>1771</v>
      </c>
      <c r="N314" s="334">
        <v>510</v>
      </c>
      <c r="O314" s="333">
        <f t="shared" si="278"/>
        <v>1010</v>
      </c>
      <c r="P314" s="332">
        <v>500</v>
      </c>
      <c r="Q314" s="390">
        <v>0.16500000000000001</v>
      </c>
      <c r="R314" s="342">
        <f t="shared" si="234"/>
        <v>3.3000000000000002E-2</v>
      </c>
      <c r="S314" s="389">
        <v>100</v>
      </c>
      <c r="T314" s="387">
        <f t="shared" si="264"/>
        <v>0.2</v>
      </c>
      <c r="U314" s="670">
        <v>100</v>
      </c>
      <c r="V314" s="388">
        <f t="shared" si="265"/>
        <v>100</v>
      </c>
      <c r="W314" s="356">
        <f t="shared" si="266"/>
        <v>100</v>
      </c>
      <c r="X314" s="356">
        <f t="shared" si="235"/>
        <v>100</v>
      </c>
      <c r="Y314" s="356">
        <f t="shared" si="259"/>
        <v>3.3000000000000002E-2</v>
      </c>
      <c r="Z314" s="356">
        <f t="shared" si="236"/>
        <v>100</v>
      </c>
      <c r="AA314" s="355">
        <v>136000000</v>
      </c>
      <c r="AB314" s="355">
        <v>136000000</v>
      </c>
      <c r="AC314" s="355">
        <v>0</v>
      </c>
      <c r="AD314" s="355">
        <v>0</v>
      </c>
      <c r="AE314" s="355">
        <v>0</v>
      </c>
      <c r="AF314" s="355">
        <v>0</v>
      </c>
      <c r="AG314" s="355">
        <v>0</v>
      </c>
      <c r="AH314" s="355">
        <v>0</v>
      </c>
      <c r="AI314" s="355">
        <v>0</v>
      </c>
      <c r="AJ314" s="355">
        <v>0</v>
      </c>
      <c r="AK314" s="355">
        <v>0</v>
      </c>
      <c r="AL314" s="355">
        <v>0</v>
      </c>
      <c r="AM314" s="355">
        <v>0</v>
      </c>
      <c r="AN314" s="355">
        <v>0</v>
      </c>
      <c r="AO314" s="355">
        <v>0</v>
      </c>
      <c r="AP314" s="355">
        <v>0</v>
      </c>
      <c r="AQ314" s="355">
        <v>0</v>
      </c>
      <c r="AR314" s="355">
        <v>0</v>
      </c>
      <c r="AS314" s="355">
        <v>0</v>
      </c>
      <c r="AT314" s="333">
        <f t="shared" si="237"/>
        <v>4.9500000000000002E-2</v>
      </c>
      <c r="AU314" s="334">
        <v>150</v>
      </c>
      <c r="AV314" s="387">
        <f t="shared" si="267"/>
        <v>0.3</v>
      </c>
      <c r="AW314" s="677">
        <v>124</v>
      </c>
      <c r="AX314" s="366">
        <f t="shared" si="268"/>
        <v>124</v>
      </c>
      <c r="AY314" s="366">
        <f t="shared" si="269"/>
        <v>82.666666666666671</v>
      </c>
      <c r="AZ314" s="366">
        <f t="shared" si="238"/>
        <v>82.666666666666671</v>
      </c>
      <c r="BA314" s="354">
        <f t="shared" si="239"/>
        <v>4.0920000000000005E-2</v>
      </c>
      <c r="BB314" s="354">
        <f t="shared" si="240"/>
        <v>82.666666666666671</v>
      </c>
      <c r="BC314" s="353">
        <v>146000000</v>
      </c>
      <c r="BD314" s="353">
        <v>0</v>
      </c>
      <c r="BE314" s="353">
        <v>146000000</v>
      </c>
      <c r="BF314" s="353">
        <v>0</v>
      </c>
      <c r="BG314" s="353">
        <v>0</v>
      </c>
      <c r="BH314" s="353">
        <v>0</v>
      </c>
      <c r="BI314" s="353">
        <v>0</v>
      </c>
      <c r="BJ314" s="353">
        <v>0</v>
      </c>
      <c r="BK314" s="386">
        <v>79298000</v>
      </c>
      <c r="BL314" s="351">
        <v>79298000</v>
      </c>
      <c r="BM314" s="351">
        <v>0</v>
      </c>
      <c r="BN314" s="351">
        <v>0</v>
      </c>
      <c r="BO314" s="351">
        <v>0</v>
      </c>
      <c r="BP314" s="351">
        <v>0</v>
      </c>
      <c r="BQ314" s="351">
        <v>0</v>
      </c>
      <c r="BR314" s="351">
        <v>0</v>
      </c>
      <c r="BS314" s="351">
        <v>0</v>
      </c>
      <c r="BT314" s="351">
        <v>7450000</v>
      </c>
      <c r="BU314" s="351" t="s">
        <v>1922</v>
      </c>
      <c r="BV314" s="350">
        <f t="shared" si="241"/>
        <v>3.3000000000000002E-2</v>
      </c>
      <c r="BW314" s="350">
        <v>100</v>
      </c>
      <c r="BX314" s="385">
        <f t="shared" si="270"/>
        <v>0.2</v>
      </c>
      <c r="BY314" s="369">
        <v>1</v>
      </c>
      <c r="BZ314" s="391">
        <v>0</v>
      </c>
      <c r="CA314" s="689">
        <v>82</v>
      </c>
      <c r="CB314" s="324">
        <f t="shared" si="271"/>
        <v>82</v>
      </c>
      <c r="CC314" s="324">
        <f t="shared" si="272"/>
        <v>82</v>
      </c>
      <c r="CD314" s="384">
        <f t="shared" si="242"/>
        <v>82</v>
      </c>
      <c r="CE314" s="383">
        <f t="shared" si="243"/>
        <v>2.7060000000000001E-2</v>
      </c>
      <c r="CF314" s="367">
        <f t="shared" si="244"/>
        <v>82</v>
      </c>
      <c r="CG314" s="383">
        <f t="shared" si="245"/>
        <v>2.7060000000000001E-2</v>
      </c>
      <c r="CH314" s="320">
        <f t="shared" si="246"/>
        <v>4.9500000000000002E-2</v>
      </c>
      <c r="CI314" s="319">
        <v>150</v>
      </c>
      <c r="CJ314" s="318">
        <f t="shared" si="273"/>
        <v>0.3</v>
      </c>
      <c r="CK314" s="1259">
        <v>194</v>
      </c>
      <c r="CL314" s="301">
        <f t="shared" si="274"/>
        <v>-44</v>
      </c>
      <c r="CM314" s="381">
        <f t="shared" si="275"/>
        <v>194</v>
      </c>
      <c r="CN314" s="381">
        <f t="shared" si="276"/>
        <v>129.33333333333334</v>
      </c>
      <c r="CO314" s="316">
        <f t="shared" si="247"/>
        <v>100</v>
      </c>
      <c r="CP314" s="381">
        <f t="shared" si="248"/>
        <v>4.9500000000000002E-2</v>
      </c>
      <c r="CQ314" s="381">
        <f t="shared" si="249"/>
        <v>6.4020000000000007E-2</v>
      </c>
      <c r="CR314" s="313">
        <v>155000000</v>
      </c>
      <c r="CS314" s="313">
        <v>155000000</v>
      </c>
      <c r="CT314" s="313">
        <v>0</v>
      </c>
      <c r="CU314" s="313">
        <v>0</v>
      </c>
      <c r="CV314" s="313">
        <v>0</v>
      </c>
      <c r="CW314" s="313">
        <v>0</v>
      </c>
      <c r="CX314" s="313">
        <v>0</v>
      </c>
      <c r="CY314" s="313">
        <v>0</v>
      </c>
      <c r="CZ314" s="380">
        <v>0</v>
      </c>
      <c r="DA314" s="380">
        <v>0</v>
      </c>
      <c r="DB314" s="380">
        <v>0</v>
      </c>
      <c r="DC314" s="380">
        <v>0</v>
      </c>
      <c r="DD314" s="380">
        <v>0</v>
      </c>
      <c r="DE314" s="380">
        <v>0</v>
      </c>
      <c r="DF314" s="380">
        <v>0</v>
      </c>
      <c r="DG314" s="380">
        <v>0</v>
      </c>
      <c r="DH314" s="380">
        <v>0</v>
      </c>
      <c r="DI314" s="380">
        <v>0</v>
      </c>
      <c r="DJ314" s="380">
        <v>0</v>
      </c>
      <c r="DK314" s="702">
        <f t="shared" si="277"/>
        <v>500</v>
      </c>
      <c r="DL314" s="311">
        <f t="shared" si="250"/>
        <v>0.16500000000000001</v>
      </c>
      <c r="DM314" s="310">
        <f t="shared" si="251"/>
        <v>100</v>
      </c>
      <c r="DN314" s="356">
        <f t="shared" si="252"/>
        <v>100</v>
      </c>
      <c r="DO314" s="308">
        <f t="shared" si="253"/>
        <v>0.16500000000000001</v>
      </c>
      <c r="DP314" s="359">
        <f t="shared" si="279"/>
        <v>0.16500000000000001</v>
      </c>
      <c r="DQ314" s="306">
        <f t="shared" si="254"/>
        <v>0.16500000000000001</v>
      </c>
      <c r="DR314" s="379">
        <f t="shared" si="255"/>
        <v>1</v>
      </c>
      <c r="DS314" s="378">
        <f t="shared" si="256"/>
        <v>0</v>
      </c>
      <c r="DT314" s="173">
        <v>359</v>
      </c>
      <c r="DU314" s="174" t="s">
        <v>111</v>
      </c>
      <c r="DV314" s="173">
        <v>360</v>
      </c>
      <c r="DW314" s="174" t="s">
        <v>110</v>
      </c>
      <c r="DX314" s="173"/>
      <c r="DY314" s="173"/>
      <c r="DZ314" s="173"/>
      <c r="EA314" s="665"/>
      <c r="EB314" s="1254" t="s">
        <v>2560</v>
      </c>
      <c r="EC314" s="537">
        <v>0</v>
      </c>
      <c r="EE314" s="734">
        <v>0</v>
      </c>
      <c r="EF314" s="706"/>
    </row>
    <row r="315" spans="4:136" s="302" customFormat="1" ht="89.25" hidden="1">
      <c r="D315" s="520">
        <v>312</v>
      </c>
      <c r="E315" s="534">
        <v>368</v>
      </c>
      <c r="F315" s="479" t="s">
        <v>44</v>
      </c>
      <c r="G315" s="479" t="s">
        <v>16</v>
      </c>
      <c r="H315" s="479" t="s">
        <v>2664</v>
      </c>
      <c r="I315" s="435" t="s">
        <v>786</v>
      </c>
      <c r="J315" s="335" t="s">
        <v>787</v>
      </c>
      <c r="K315" s="335" t="s">
        <v>788</v>
      </c>
      <c r="L315" s="443" t="s">
        <v>1776</v>
      </c>
      <c r="M315" s="334" t="s">
        <v>1771</v>
      </c>
      <c r="N315" s="334">
        <v>21</v>
      </c>
      <c r="O315" s="333">
        <f t="shared" si="278"/>
        <v>25</v>
      </c>
      <c r="P315" s="332">
        <v>4</v>
      </c>
      <c r="Q315" s="390">
        <v>8.8999999999999996E-2</v>
      </c>
      <c r="R315" s="342">
        <f t="shared" si="234"/>
        <v>2.2249999999999999E-2</v>
      </c>
      <c r="S315" s="389">
        <v>1</v>
      </c>
      <c r="T315" s="387">
        <f t="shared" si="264"/>
        <v>0.25</v>
      </c>
      <c r="U315" s="670">
        <v>1</v>
      </c>
      <c r="V315" s="388">
        <f t="shared" si="265"/>
        <v>1</v>
      </c>
      <c r="W315" s="356">
        <f t="shared" si="266"/>
        <v>100</v>
      </c>
      <c r="X315" s="356">
        <f t="shared" si="235"/>
        <v>100</v>
      </c>
      <c r="Y315" s="356">
        <f t="shared" si="259"/>
        <v>2.2250000000000002E-2</v>
      </c>
      <c r="Z315" s="356">
        <f t="shared" si="236"/>
        <v>100</v>
      </c>
      <c r="AA315" s="355">
        <v>0</v>
      </c>
      <c r="AB315" s="355">
        <v>0</v>
      </c>
      <c r="AC315" s="355">
        <v>0</v>
      </c>
      <c r="AD315" s="355">
        <v>0</v>
      </c>
      <c r="AE315" s="355">
        <v>0</v>
      </c>
      <c r="AF315" s="355">
        <v>0</v>
      </c>
      <c r="AG315" s="355">
        <v>0</v>
      </c>
      <c r="AH315" s="355">
        <v>0</v>
      </c>
      <c r="AI315" s="355">
        <v>0</v>
      </c>
      <c r="AJ315" s="355">
        <v>0</v>
      </c>
      <c r="AK315" s="355">
        <v>0</v>
      </c>
      <c r="AL315" s="355">
        <v>0</v>
      </c>
      <c r="AM315" s="355">
        <v>0</v>
      </c>
      <c r="AN315" s="355">
        <v>0</v>
      </c>
      <c r="AO315" s="355">
        <v>0</v>
      </c>
      <c r="AP315" s="355">
        <v>0</v>
      </c>
      <c r="AQ315" s="355">
        <v>0</v>
      </c>
      <c r="AR315" s="355">
        <v>0</v>
      </c>
      <c r="AS315" s="355">
        <v>0</v>
      </c>
      <c r="AT315" s="333">
        <f t="shared" si="237"/>
        <v>2.2249999999999999E-2</v>
      </c>
      <c r="AU315" s="334">
        <v>1</v>
      </c>
      <c r="AV315" s="387">
        <f t="shared" si="267"/>
        <v>0.25</v>
      </c>
      <c r="AW315" s="677">
        <v>0</v>
      </c>
      <c r="AX315" s="366">
        <f t="shared" si="268"/>
        <v>0</v>
      </c>
      <c r="AY315" s="366">
        <f t="shared" si="269"/>
        <v>0</v>
      </c>
      <c r="AZ315" s="366">
        <f t="shared" si="238"/>
        <v>0</v>
      </c>
      <c r="BA315" s="354">
        <f t="shared" si="239"/>
        <v>0</v>
      </c>
      <c r="BB315" s="354">
        <f t="shared" si="240"/>
        <v>0</v>
      </c>
      <c r="BC315" s="353">
        <v>122000000</v>
      </c>
      <c r="BD315" s="353">
        <v>0</v>
      </c>
      <c r="BE315" s="353">
        <v>97000000</v>
      </c>
      <c r="BF315" s="353">
        <v>0</v>
      </c>
      <c r="BG315" s="353">
        <v>0</v>
      </c>
      <c r="BH315" s="353">
        <v>0</v>
      </c>
      <c r="BI315" s="353">
        <v>0</v>
      </c>
      <c r="BJ315" s="353">
        <v>25000000</v>
      </c>
      <c r="BK315" s="386">
        <v>0</v>
      </c>
      <c r="BL315" s="351">
        <v>0</v>
      </c>
      <c r="BM315" s="351">
        <v>0</v>
      </c>
      <c r="BN315" s="351">
        <v>0</v>
      </c>
      <c r="BO315" s="351">
        <v>0</v>
      </c>
      <c r="BP315" s="351">
        <v>0</v>
      </c>
      <c r="BQ315" s="351">
        <v>0</v>
      </c>
      <c r="BR315" s="351">
        <v>0</v>
      </c>
      <c r="BS315" s="351">
        <v>0</v>
      </c>
      <c r="BT315" s="351">
        <v>0</v>
      </c>
      <c r="BU315" s="351">
        <v>0</v>
      </c>
      <c r="BV315" s="350">
        <f t="shared" si="241"/>
        <v>2.2249999999999999E-2</v>
      </c>
      <c r="BW315" s="350">
        <v>1</v>
      </c>
      <c r="BX315" s="385">
        <f t="shared" si="270"/>
        <v>0.25</v>
      </c>
      <c r="BY315" s="399">
        <v>0</v>
      </c>
      <c r="BZ315" s="398">
        <v>0</v>
      </c>
      <c r="CA315" s="690">
        <v>1</v>
      </c>
      <c r="CB315" s="324">
        <f t="shared" si="271"/>
        <v>1</v>
      </c>
      <c r="CC315" s="324">
        <f t="shared" si="272"/>
        <v>100</v>
      </c>
      <c r="CD315" s="384">
        <f t="shared" si="242"/>
        <v>100</v>
      </c>
      <c r="CE315" s="383">
        <f t="shared" si="243"/>
        <v>2.2250000000000002E-2</v>
      </c>
      <c r="CF315" s="367">
        <f t="shared" si="244"/>
        <v>100</v>
      </c>
      <c r="CG315" s="383">
        <f t="shared" si="245"/>
        <v>2.2250000000000002E-2</v>
      </c>
      <c r="CH315" s="320">
        <f t="shared" si="246"/>
        <v>2.2249999999999999E-2</v>
      </c>
      <c r="CI315" s="319">
        <v>1</v>
      </c>
      <c r="CJ315" s="318">
        <f t="shared" si="273"/>
        <v>0.25</v>
      </c>
      <c r="CK315" s="1260">
        <v>2</v>
      </c>
      <c r="CL315" s="301">
        <f t="shared" si="274"/>
        <v>-1</v>
      </c>
      <c r="CM315" s="381">
        <f t="shared" si="275"/>
        <v>2</v>
      </c>
      <c r="CN315" s="381">
        <f t="shared" si="276"/>
        <v>200</v>
      </c>
      <c r="CO315" s="316">
        <f t="shared" si="247"/>
        <v>100</v>
      </c>
      <c r="CP315" s="381">
        <f t="shared" si="248"/>
        <v>2.2250000000000002E-2</v>
      </c>
      <c r="CQ315" s="381">
        <f t="shared" si="249"/>
        <v>4.4500000000000005E-2</v>
      </c>
      <c r="CR315" s="313">
        <v>128000000</v>
      </c>
      <c r="CS315" s="313">
        <v>103000000</v>
      </c>
      <c r="CT315" s="313">
        <v>0</v>
      </c>
      <c r="CU315" s="313">
        <v>0</v>
      </c>
      <c r="CV315" s="313">
        <v>0</v>
      </c>
      <c r="CW315" s="313">
        <v>0</v>
      </c>
      <c r="CX315" s="313">
        <v>0</v>
      </c>
      <c r="CY315" s="313">
        <v>25000000</v>
      </c>
      <c r="CZ315" s="380">
        <v>0</v>
      </c>
      <c r="DA315" s="380">
        <v>0</v>
      </c>
      <c r="DB315" s="380">
        <v>0</v>
      </c>
      <c r="DC315" s="380">
        <v>0</v>
      </c>
      <c r="DD315" s="380">
        <v>0</v>
      </c>
      <c r="DE315" s="380">
        <v>0</v>
      </c>
      <c r="DF315" s="380">
        <v>0</v>
      </c>
      <c r="DG315" s="380">
        <v>0</v>
      </c>
      <c r="DH315" s="380">
        <v>0</v>
      </c>
      <c r="DI315" s="380">
        <v>0</v>
      </c>
      <c r="DJ315" s="380">
        <v>0</v>
      </c>
      <c r="DK315" s="702">
        <f t="shared" si="277"/>
        <v>4</v>
      </c>
      <c r="DL315" s="311">
        <f t="shared" si="250"/>
        <v>8.8999999999999996E-2</v>
      </c>
      <c r="DM315" s="310">
        <f t="shared" si="251"/>
        <v>100</v>
      </c>
      <c r="DN315" s="356">
        <f t="shared" si="252"/>
        <v>100</v>
      </c>
      <c r="DO315" s="308">
        <f t="shared" si="253"/>
        <v>8.900000000000001E-2</v>
      </c>
      <c r="DP315" s="359">
        <f t="shared" si="279"/>
        <v>8.8999999999999996E-2</v>
      </c>
      <c r="DQ315" s="306">
        <f t="shared" si="254"/>
        <v>8.8999999999999996E-2</v>
      </c>
      <c r="DR315" s="379">
        <f t="shared" si="255"/>
        <v>1</v>
      </c>
      <c r="DS315" s="378">
        <f t="shared" si="256"/>
        <v>0</v>
      </c>
      <c r="DT315" s="173">
        <v>360</v>
      </c>
      <c r="DU315" s="174" t="s">
        <v>110</v>
      </c>
      <c r="DV315" s="173"/>
      <c r="DW315" s="174" t="s">
        <v>84</v>
      </c>
      <c r="DX315" s="173"/>
      <c r="DY315" s="173"/>
      <c r="DZ315" s="173"/>
      <c r="EA315" s="665"/>
      <c r="EB315" s="1254" t="s">
        <v>2561</v>
      </c>
      <c r="EC315" s="537">
        <v>0</v>
      </c>
      <c r="EE315" s="734">
        <v>0</v>
      </c>
      <c r="EF315" s="706"/>
    </row>
    <row r="316" spans="4:136" s="302" customFormat="1" ht="89.25" hidden="1">
      <c r="D316" s="520">
        <v>313</v>
      </c>
      <c r="E316" s="535">
        <v>369</v>
      </c>
      <c r="F316" s="527" t="s">
        <v>44</v>
      </c>
      <c r="G316" s="527" t="s">
        <v>16</v>
      </c>
      <c r="H316" s="527" t="s">
        <v>2664</v>
      </c>
      <c r="I316" s="528" t="s">
        <v>786</v>
      </c>
      <c r="J316" s="335" t="s">
        <v>789</v>
      </c>
      <c r="K316" s="335" t="s">
        <v>790</v>
      </c>
      <c r="L316" s="443" t="s">
        <v>1921</v>
      </c>
      <c r="M316" s="334" t="s">
        <v>1771</v>
      </c>
      <c r="N316" s="334">
        <v>0</v>
      </c>
      <c r="O316" s="333">
        <f t="shared" si="278"/>
        <v>3</v>
      </c>
      <c r="P316" s="332">
        <v>3</v>
      </c>
      <c r="Q316" s="390">
        <v>0.16500000000000001</v>
      </c>
      <c r="R316" s="342">
        <f t="shared" si="234"/>
        <v>0</v>
      </c>
      <c r="S316" s="389">
        <v>0</v>
      </c>
      <c r="T316" s="387">
        <f t="shared" si="264"/>
        <v>0</v>
      </c>
      <c r="U316" s="670">
        <v>0</v>
      </c>
      <c r="V316" s="388">
        <f t="shared" si="265"/>
        <v>0</v>
      </c>
      <c r="W316" s="356">
        <f t="shared" si="266"/>
        <v>0</v>
      </c>
      <c r="X316" s="356">
        <f t="shared" si="235"/>
        <v>0</v>
      </c>
      <c r="Y316" s="356">
        <f t="shared" si="259"/>
        <v>0</v>
      </c>
      <c r="Z316" s="356">
        <f t="shared" si="236"/>
        <v>0</v>
      </c>
      <c r="AA316" s="355">
        <v>0</v>
      </c>
      <c r="AB316" s="355">
        <v>0</v>
      </c>
      <c r="AC316" s="355">
        <v>0</v>
      </c>
      <c r="AD316" s="355">
        <v>0</v>
      </c>
      <c r="AE316" s="355">
        <v>0</v>
      </c>
      <c r="AF316" s="355">
        <v>0</v>
      </c>
      <c r="AG316" s="355">
        <v>0</v>
      </c>
      <c r="AH316" s="355">
        <v>0</v>
      </c>
      <c r="AI316" s="355">
        <v>0</v>
      </c>
      <c r="AJ316" s="355">
        <v>0</v>
      </c>
      <c r="AK316" s="355">
        <v>0</v>
      </c>
      <c r="AL316" s="355">
        <v>0</v>
      </c>
      <c r="AM316" s="355">
        <v>0</v>
      </c>
      <c r="AN316" s="355">
        <v>0</v>
      </c>
      <c r="AO316" s="355">
        <v>0</v>
      </c>
      <c r="AP316" s="355">
        <v>0</v>
      </c>
      <c r="AQ316" s="355">
        <v>0</v>
      </c>
      <c r="AR316" s="355">
        <v>0</v>
      </c>
      <c r="AS316" s="355">
        <v>0</v>
      </c>
      <c r="AT316" s="333">
        <f t="shared" si="237"/>
        <v>5.5E-2</v>
      </c>
      <c r="AU316" s="334">
        <v>1</v>
      </c>
      <c r="AV316" s="387">
        <f t="shared" si="267"/>
        <v>0.33333333333333331</v>
      </c>
      <c r="AW316" s="677">
        <v>0</v>
      </c>
      <c r="AX316" s="366">
        <f t="shared" si="268"/>
        <v>0</v>
      </c>
      <c r="AY316" s="366">
        <f t="shared" si="269"/>
        <v>0</v>
      </c>
      <c r="AZ316" s="366">
        <f t="shared" si="238"/>
        <v>0</v>
      </c>
      <c r="BA316" s="354">
        <f t="shared" si="239"/>
        <v>0</v>
      </c>
      <c r="BB316" s="354">
        <f t="shared" si="240"/>
        <v>0</v>
      </c>
      <c r="BC316" s="353">
        <v>291000000</v>
      </c>
      <c r="BD316" s="353">
        <v>0</v>
      </c>
      <c r="BE316" s="353">
        <v>291000000</v>
      </c>
      <c r="BF316" s="353">
        <v>0</v>
      </c>
      <c r="BG316" s="353">
        <v>0</v>
      </c>
      <c r="BH316" s="353">
        <v>0</v>
      </c>
      <c r="BI316" s="353">
        <v>0</v>
      </c>
      <c r="BJ316" s="353">
        <v>0</v>
      </c>
      <c r="BK316" s="386">
        <v>0</v>
      </c>
      <c r="BL316" s="351">
        <v>0</v>
      </c>
      <c r="BM316" s="351">
        <v>0</v>
      </c>
      <c r="BN316" s="351">
        <v>0</v>
      </c>
      <c r="BO316" s="351">
        <v>0</v>
      </c>
      <c r="BP316" s="351">
        <v>0</v>
      </c>
      <c r="BQ316" s="351">
        <v>0</v>
      </c>
      <c r="BR316" s="351">
        <v>0</v>
      </c>
      <c r="BS316" s="351">
        <v>0</v>
      </c>
      <c r="BT316" s="351">
        <v>0</v>
      </c>
      <c r="BU316" s="351">
        <v>0</v>
      </c>
      <c r="BV316" s="350">
        <f t="shared" si="241"/>
        <v>5.5E-2</v>
      </c>
      <c r="BW316" s="350">
        <v>1</v>
      </c>
      <c r="BX316" s="385">
        <f t="shared" si="270"/>
        <v>0.33333333333333331</v>
      </c>
      <c r="BY316" s="399">
        <v>0</v>
      </c>
      <c r="BZ316" s="398">
        <v>0</v>
      </c>
      <c r="CA316" s="690">
        <v>1</v>
      </c>
      <c r="CB316" s="324">
        <f t="shared" si="271"/>
        <v>1</v>
      </c>
      <c r="CC316" s="324">
        <f t="shared" si="272"/>
        <v>100</v>
      </c>
      <c r="CD316" s="384">
        <f t="shared" si="242"/>
        <v>100</v>
      </c>
      <c r="CE316" s="383">
        <f t="shared" si="243"/>
        <v>5.5E-2</v>
      </c>
      <c r="CF316" s="367">
        <f t="shared" si="244"/>
        <v>100</v>
      </c>
      <c r="CG316" s="383">
        <f t="shared" si="245"/>
        <v>5.5E-2</v>
      </c>
      <c r="CH316" s="320">
        <f t="shared" si="246"/>
        <v>5.5E-2</v>
      </c>
      <c r="CI316" s="319">
        <v>1</v>
      </c>
      <c r="CJ316" s="318">
        <f t="shared" si="273"/>
        <v>0.33333333333333331</v>
      </c>
      <c r="CK316" s="1259">
        <v>2</v>
      </c>
      <c r="CL316" s="301">
        <f t="shared" si="274"/>
        <v>-1</v>
      </c>
      <c r="CM316" s="381">
        <f t="shared" si="275"/>
        <v>2</v>
      </c>
      <c r="CN316" s="381">
        <f t="shared" si="276"/>
        <v>200</v>
      </c>
      <c r="CO316" s="316">
        <f t="shared" si="247"/>
        <v>100</v>
      </c>
      <c r="CP316" s="381">
        <f t="shared" si="248"/>
        <v>5.5E-2</v>
      </c>
      <c r="CQ316" s="381">
        <f t="shared" si="249"/>
        <v>0.11</v>
      </c>
      <c r="CR316" s="313">
        <v>308000000</v>
      </c>
      <c r="CS316" s="313">
        <v>308000000</v>
      </c>
      <c r="CT316" s="313">
        <v>0</v>
      </c>
      <c r="CU316" s="313">
        <v>0</v>
      </c>
      <c r="CV316" s="313">
        <v>0</v>
      </c>
      <c r="CW316" s="313">
        <v>0</v>
      </c>
      <c r="CX316" s="313">
        <v>0</v>
      </c>
      <c r="CY316" s="313">
        <v>0</v>
      </c>
      <c r="CZ316" s="380">
        <v>0</v>
      </c>
      <c r="DA316" s="380">
        <v>0</v>
      </c>
      <c r="DB316" s="380">
        <v>0</v>
      </c>
      <c r="DC316" s="380">
        <v>0</v>
      </c>
      <c r="DD316" s="380">
        <v>0</v>
      </c>
      <c r="DE316" s="380">
        <v>0</v>
      </c>
      <c r="DF316" s="380">
        <v>0</v>
      </c>
      <c r="DG316" s="380">
        <v>0</v>
      </c>
      <c r="DH316" s="380">
        <v>0</v>
      </c>
      <c r="DI316" s="380">
        <v>0</v>
      </c>
      <c r="DJ316" s="380">
        <v>0</v>
      </c>
      <c r="DK316" s="702">
        <f t="shared" si="277"/>
        <v>3</v>
      </c>
      <c r="DL316" s="311">
        <f t="shared" si="250"/>
        <v>0.16500000000000001</v>
      </c>
      <c r="DM316" s="310">
        <f t="shared" si="251"/>
        <v>100</v>
      </c>
      <c r="DN316" s="356">
        <f t="shared" si="252"/>
        <v>100</v>
      </c>
      <c r="DO316" s="308">
        <f t="shared" si="253"/>
        <v>0.16500000000000001</v>
      </c>
      <c r="DP316" s="359">
        <f t="shared" si="279"/>
        <v>0.16500000000000001</v>
      </c>
      <c r="DQ316" s="306">
        <f t="shared" si="254"/>
        <v>0.16500000000000001</v>
      </c>
      <c r="DR316" s="379">
        <f t="shared" si="255"/>
        <v>1</v>
      </c>
      <c r="DS316" s="378">
        <f t="shared" si="256"/>
        <v>0</v>
      </c>
      <c r="DT316" s="173">
        <v>359</v>
      </c>
      <c r="DU316" s="174" t="s">
        <v>111</v>
      </c>
      <c r="DV316" s="173"/>
      <c r="DW316" s="174" t="s">
        <v>84</v>
      </c>
      <c r="DX316" s="173"/>
      <c r="DY316" s="173"/>
      <c r="DZ316" s="173"/>
      <c r="EA316" s="665"/>
      <c r="EB316" s="1254" t="s">
        <v>2562</v>
      </c>
      <c r="EC316" s="537">
        <v>0</v>
      </c>
      <c r="EE316" s="734">
        <v>630</v>
      </c>
      <c r="EF316" s="706"/>
    </row>
    <row r="317" spans="4:136" s="302" customFormat="1" ht="108" hidden="1">
      <c r="D317" s="520">
        <v>314</v>
      </c>
      <c r="E317" s="534">
        <v>370</v>
      </c>
      <c r="F317" s="479" t="s">
        <v>44</v>
      </c>
      <c r="G317" s="479" t="s">
        <v>16</v>
      </c>
      <c r="H317" s="479" t="s">
        <v>2664</v>
      </c>
      <c r="I317" s="435" t="s">
        <v>786</v>
      </c>
      <c r="J317" s="335" t="s">
        <v>791</v>
      </c>
      <c r="K317" s="335" t="s">
        <v>792</v>
      </c>
      <c r="L317" s="443" t="s">
        <v>1415</v>
      </c>
      <c r="M317" s="334" t="s">
        <v>1785</v>
      </c>
      <c r="N317" s="334">
        <v>116</v>
      </c>
      <c r="O317" s="333">
        <f>+P317</f>
        <v>116</v>
      </c>
      <c r="P317" s="332">
        <v>116</v>
      </c>
      <c r="Q317" s="390">
        <v>0.16500000000000001</v>
      </c>
      <c r="R317" s="342">
        <f t="shared" si="234"/>
        <v>4.1250000000000002E-2</v>
      </c>
      <c r="S317" s="334">
        <v>116</v>
      </c>
      <c r="T317" s="387">
        <f t="shared" si="264"/>
        <v>0.25</v>
      </c>
      <c r="U317" s="672">
        <v>116</v>
      </c>
      <c r="V317" s="388">
        <f t="shared" si="265"/>
        <v>29</v>
      </c>
      <c r="W317" s="356">
        <f t="shared" si="266"/>
        <v>100</v>
      </c>
      <c r="X317" s="356">
        <f t="shared" si="235"/>
        <v>100</v>
      </c>
      <c r="Y317" s="356">
        <f t="shared" si="259"/>
        <v>4.1250000000000002E-2</v>
      </c>
      <c r="Z317" s="356">
        <f t="shared" si="236"/>
        <v>100</v>
      </c>
      <c r="AA317" s="355">
        <v>750000000</v>
      </c>
      <c r="AB317" s="355">
        <v>750000000</v>
      </c>
      <c r="AC317" s="355">
        <v>0</v>
      </c>
      <c r="AD317" s="355">
        <v>0</v>
      </c>
      <c r="AE317" s="355">
        <v>0</v>
      </c>
      <c r="AF317" s="355">
        <v>0</v>
      </c>
      <c r="AG317" s="355">
        <v>0</v>
      </c>
      <c r="AH317" s="355">
        <v>0</v>
      </c>
      <c r="AI317" s="355">
        <v>380175000</v>
      </c>
      <c r="AJ317" s="355">
        <v>380175000</v>
      </c>
      <c r="AK317" s="355">
        <v>0</v>
      </c>
      <c r="AL317" s="355">
        <v>0</v>
      </c>
      <c r="AM317" s="355">
        <v>0</v>
      </c>
      <c r="AN317" s="355">
        <v>0</v>
      </c>
      <c r="AO317" s="355">
        <v>0</v>
      </c>
      <c r="AP317" s="355">
        <v>0</v>
      </c>
      <c r="AQ317" s="355">
        <v>0</v>
      </c>
      <c r="AR317" s="355">
        <v>2400903000</v>
      </c>
      <c r="AS317" s="355" t="s">
        <v>1920</v>
      </c>
      <c r="AT317" s="333">
        <f t="shared" si="237"/>
        <v>4.1250000000000002E-2</v>
      </c>
      <c r="AU317" s="334">
        <v>116</v>
      </c>
      <c r="AV317" s="387">
        <f t="shared" si="267"/>
        <v>0.25</v>
      </c>
      <c r="AW317" s="677">
        <v>116</v>
      </c>
      <c r="AX317" s="366">
        <f t="shared" si="268"/>
        <v>29</v>
      </c>
      <c r="AY317" s="366">
        <f t="shared" si="269"/>
        <v>100</v>
      </c>
      <c r="AZ317" s="366">
        <f t="shared" si="238"/>
        <v>100</v>
      </c>
      <c r="BA317" s="354">
        <f t="shared" si="239"/>
        <v>4.1250000000000002E-2</v>
      </c>
      <c r="BB317" s="354">
        <f t="shared" si="240"/>
        <v>100</v>
      </c>
      <c r="BC317" s="353">
        <v>679000000</v>
      </c>
      <c r="BD317" s="353">
        <v>0</v>
      </c>
      <c r="BE317" s="353">
        <v>679000000</v>
      </c>
      <c r="BF317" s="353">
        <v>0</v>
      </c>
      <c r="BG317" s="353">
        <v>0</v>
      </c>
      <c r="BH317" s="353">
        <v>0</v>
      </c>
      <c r="BI317" s="353">
        <v>0</v>
      </c>
      <c r="BJ317" s="353">
        <v>0</v>
      </c>
      <c r="BK317" s="386">
        <v>635264080</v>
      </c>
      <c r="BL317" s="351">
        <v>635264080</v>
      </c>
      <c r="BM317" s="351">
        <v>0</v>
      </c>
      <c r="BN317" s="351">
        <v>0</v>
      </c>
      <c r="BO317" s="351">
        <v>0</v>
      </c>
      <c r="BP317" s="351">
        <v>0</v>
      </c>
      <c r="BQ317" s="351">
        <v>0</v>
      </c>
      <c r="BR317" s="351">
        <v>0</v>
      </c>
      <c r="BS317" s="351">
        <v>0</v>
      </c>
      <c r="BT317" s="351">
        <v>5277391318</v>
      </c>
      <c r="BU317" s="351" t="s">
        <v>1919</v>
      </c>
      <c r="BV317" s="350">
        <f t="shared" si="241"/>
        <v>4.1250000000000002E-2</v>
      </c>
      <c r="BW317" s="350">
        <v>116</v>
      </c>
      <c r="BX317" s="385">
        <f t="shared" si="270"/>
        <v>0.25</v>
      </c>
      <c r="BY317" s="397">
        <v>35</v>
      </c>
      <c r="BZ317" s="404">
        <v>58</v>
      </c>
      <c r="CA317" s="690">
        <v>116</v>
      </c>
      <c r="CB317" s="324">
        <f t="shared" si="271"/>
        <v>29</v>
      </c>
      <c r="CC317" s="324">
        <f t="shared" si="272"/>
        <v>100</v>
      </c>
      <c r="CD317" s="384">
        <f t="shared" si="242"/>
        <v>100</v>
      </c>
      <c r="CE317" s="383">
        <f t="shared" si="243"/>
        <v>4.1250000000000002E-2</v>
      </c>
      <c r="CF317" s="367">
        <f t="shared" si="244"/>
        <v>100</v>
      </c>
      <c r="CG317" s="383">
        <f t="shared" si="245"/>
        <v>4.1250000000000002E-2</v>
      </c>
      <c r="CH317" s="320">
        <f t="shared" si="246"/>
        <v>4.1250000000000002E-2</v>
      </c>
      <c r="CI317" s="319">
        <v>116</v>
      </c>
      <c r="CJ317" s="318">
        <f t="shared" si="273"/>
        <v>0.25</v>
      </c>
      <c r="CK317" s="1258">
        <v>116</v>
      </c>
      <c r="CL317" s="301">
        <f t="shared" si="274"/>
        <v>0</v>
      </c>
      <c r="CM317" s="381">
        <f t="shared" si="275"/>
        <v>29</v>
      </c>
      <c r="CN317" s="381">
        <f t="shared" si="276"/>
        <v>100</v>
      </c>
      <c r="CO317" s="381">
        <f t="shared" si="247"/>
        <v>100</v>
      </c>
      <c r="CP317" s="381">
        <f t="shared" si="248"/>
        <v>4.1250000000000002E-2</v>
      </c>
      <c r="CQ317" s="381">
        <f t="shared" si="249"/>
        <v>4.1250000000000002E-2</v>
      </c>
      <c r="CR317" s="313">
        <v>720000000</v>
      </c>
      <c r="CS317" s="313">
        <v>720000000</v>
      </c>
      <c r="CT317" s="313">
        <v>0</v>
      </c>
      <c r="CU317" s="313">
        <v>0</v>
      </c>
      <c r="CV317" s="313">
        <v>0</v>
      </c>
      <c r="CW317" s="313">
        <v>0</v>
      </c>
      <c r="CX317" s="313">
        <v>0</v>
      </c>
      <c r="CY317" s="313">
        <v>0</v>
      </c>
      <c r="CZ317" s="380">
        <v>0</v>
      </c>
      <c r="DA317" s="380">
        <v>0</v>
      </c>
      <c r="DB317" s="380">
        <v>0</v>
      </c>
      <c r="DC317" s="380">
        <v>0</v>
      </c>
      <c r="DD317" s="380">
        <v>0</v>
      </c>
      <c r="DE317" s="380">
        <v>0</v>
      </c>
      <c r="DF317" s="380">
        <v>0</v>
      </c>
      <c r="DG317" s="380">
        <v>0</v>
      </c>
      <c r="DH317" s="380">
        <v>0</v>
      </c>
      <c r="DI317" s="380">
        <v>0</v>
      </c>
      <c r="DJ317" s="380">
        <v>0</v>
      </c>
      <c r="DK317" s="702">
        <f t="shared" si="277"/>
        <v>116</v>
      </c>
      <c r="DL317" s="311">
        <f t="shared" si="250"/>
        <v>0.16500000000000001</v>
      </c>
      <c r="DM317" s="310">
        <f t="shared" si="251"/>
        <v>100</v>
      </c>
      <c r="DN317" s="356">
        <f t="shared" si="252"/>
        <v>100</v>
      </c>
      <c r="DO317" s="308">
        <f t="shared" si="253"/>
        <v>0.16500000000000001</v>
      </c>
      <c r="DP317" s="359">
        <f>+IF(M317="M",DO317,0)</f>
        <v>0.16500000000000001</v>
      </c>
      <c r="DQ317" s="306">
        <f t="shared" si="254"/>
        <v>0.16500000000000001</v>
      </c>
      <c r="DR317" s="379">
        <f t="shared" si="255"/>
        <v>1</v>
      </c>
      <c r="DS317" s="378">
        <f t="shared" si="256"/>
        <v>0</v>
      </c>
      <c r="DT317" s="173">
        <v>359</v>
      </c>
      <c r="DU317" s="174" t="s">
        <v>111</v>
      </c>
      <c r="DV317" s="173">
        <v>360</v>
      </c>
      <c r="DW317" s="174" t="s">
        <v>110</v>
      </c>
      <c r="DX317" s="173"/>
      <c r="DY317" s="173"/>
      <c r="DZ317" s="173"/>
      <c r="EA317" s="665"/>
      <c r="EB317" s="1254" t="s">
        <v>2563</v>
      </c>
      <c r="EC317" s="537">
        <v>0</v>
      </c>
      <c r="EE317" s="733">
        <v>100</v>
      </c>
      <c r="EF317" s="706"/>
    </row>
    <row r="318" spans="4:136" s="302" customFormat="1" ht="108" hidden="1">
      <c r="D318" s="520">
        <v>315</v>
      </c>
      <c r="E318" s="534">
        <v>371</v>
      </c>
      <c r="F318" s="479" t="s">
        <v>44</v>
      </c>
      <c r="G318" s="479" t="s">
        <v>16</v>
      </c>
      <c r="H318" s="479" t="s">
        <v>2664</v>
      </c>
      <c r="I318" s="435" t="s">
        <v>786</v>
      </c>
      <c r="J318" s="335" t="s">
        <v>793</v>
      </c>
      <c r="K318" s="335" t="s">
        <v>794</v>
      </c>
      <c r="L318" s="443" t="s">
        <v>1918</v>
      </c>
      <c r="M318" s="334" t="s">
        <v>1771</v>
      </c>
      <c r="N318" s="334">
        <v>800</v>
      </c>
      <c r="O318" s="333">
        <f>+N318+P318</f>
        <v>1000</v>
      </c>
      <c r="P318" s="332">
        <v>200</v>
      </c>
      <c r="Q318" s="390">
        <v>0.16500000000000001</v>
      </c>
      <c r="R318" s="342">
        <f t="shared" si="234"/>
        <v>4.1250000000000002E-2</v>
      </c>
      <c r="S318" s="334">
        <v>50</v>
      </c>
      <c r="T318" s="387">
        <f t="shared" si="264"/>
        <v>0.25</v>
      </c>
      <c r="U318" s="672">
        <v>99</v>
      </c>
      <c r="V318" s="388">
        <f t="shared" si="265"/>
        <v>99</v>
      </c>
      <c r="W318" s="356">
        <f t="shared" si="266"/>
        <v>198</v>
      </c>
      <c r="X318" s="356">
        <f t="shared" si="235"/>
        <v>100</v>
      </c>
      <c r="Y318" s="356">
        <f t="shared" si="259"/>
        <v>4.1250000000000002E-2</v>
      </c>
      <c r="Z318" s="356">
        <f t="shared" si="236"/>
        <v>100</v>
      </c>
      <c r="AA318" s="355">
        <v>125000000</v>
      </c>
      <c r="AB318" s="355">
        <v>110000000</v>
      </c>
      <c r="AC318" s="355">
        <v>0</v>
      </c>
      <c r="AD318" s="355">
        <v>0</v>
      </c>
      <c r="AE318" s="355">
        <v>0</v>
      </c>
      <c r="AF318" s="355">
        <v>0</v>
      </c>
      <c r="AG318" s="355">
        <v>0</v>
      </c>
      <c r="AH318" s="355">
        <v>15000000</v>
      </c>
      <c r="AI318" s="355">
        <v>110000000</v>
      </c>
      <c r="AJ318" s="355">
        <v>110000000</v>
      </c>
      <c r="AK318" s="355">
        <v>0</v>
      </c>
      <c r="AL318" s="355">
        <v>0</v>
      </c>
      <c r="AM318" s="355">
        <v>0</v>
      </c>
      <c r="AN318" s="355">
        <v>0</v>
      </c>
      <c r="AO318" s="355">
        <v>0</v>
      </c>
      <c r="AP318" s="355">
        <v>0</v>
      </c>
      <c r="AQ318" s="355">
        <v>0</v>
      </c>
      <c r="AR318" s="355">
        <v>15000000</v>
      </c>
      <c r="AS318" s="355" t="s">
        <v>1917</v>
      </c>
      <c r="AT318" s="333">
        <f t="shared" si="237"/>
        <v>4.1250000000000002E-2</v>
      </c>
      <c r="AU318" s="334">
        <v>50</v>
      </c>
      <c r="AV318" s="387">
        <f t="shared" si="267"/>
        <v>0.25</v>
      </c>
      <c r="AW318" s="677">
        <v>66</v>
      </c>
      <c r="AX318" s="366">
        <f t="shared" si="268"/>
        <v>66</v>
      </c>
      <c r="AY318" s="366">
        <f t="shared" si="269"/>
        <v>132</v>
      </c>
      <c r="AZ318" s="366">
        <f t="shared" si="238"/>
        <v>100</v>
      </c>
      <c r="BA318" s="354">
        <f t="shared" si="239"/>
        <v>4.1250000000000002E-2</v>
      </c>
      <c r="BB318" s="354">
        <f t="shared" si="240"/>
        <v>100</v>
      </c>
      <c r="BC318" s="353">
        <v>242000000</v>
      </c>
      <c r="BD318" s="353">
        <v>0</v>
      </c>
      <c r="BE318" s="353">
        <v>242000000</v>
      </c>
      <c r="BF318" s="353">
        <v>0</v>
      </c>
      <c r="BG318" s="353">
        <v>0</v>
      </c>
      <c r="BH318" s="353">
        <v>0</v>
      </c>
      <c r="BI318" s="353">
        <v>0</v>
      </c>
      <c r="BJ318" s="353">
        <v>0</v>
      </c>
      <c r="BK318" s="386">
        <v>0</v>
      </c>
      <c r="BL318" s="351">
        <v>0</v>
      </c>
      <c r="BM318" s="351">
        <v>0</v>
      </c>
      <c r="BN318" s="351">
        <v>0</v>
      </c>
      <c r="BO318" s="351">
        <v>0</v>
      </c>
      <c r="BP318" s="351">
        <v>0</v>
      </c>
      <c r="BQ318" s="351">
        <v>0</v>
      </c>
      <c r="BR318" s="351">
        <v>0</v>
      </c>
      <c r="BS318" s="351">
        <v>0</v>
      </c>
      <c r="BT318" s="351">
        <v>0</v>
      </c>
      <c r="BU318" s="351">
        <v>0</v>
      </c>
      <c r="BV318" s="350">
        <f t="shared" si="241"/>
        <v>4.1250000000000002E-2</v>
      </c>
      <c r="BW318" s="350">
        <v>50</v>
      </c>
      <c r="BX318" s="385">
        <f t="shared" si="270"/>
        <v>0.25</v>
      </c>
      <c r="BY318" s="349">
        <v>45</v>
      </c>
      <c r="BZ318" s="405">
        <v>0</v>
      </c>
      <c r="CA318" s="689">
        <v>66</v>
      </c>
      <c r="CB318" s="324">
        <f t="shared" si="271"/>
        <v>66</v>
      </c>
      <c r="CC318" s="324">
        <f t="shared" si="272"/>
        <v>132</v>
      </c>
      <c r="CD318" s="384">
        <f t="shared" si="242"/>
        <v>100</v>
      </c>
      <c r="CE318" s="383">
        <f t="shared" si="243"/>
        <v>4.1250000000000002E-2</v>
      </c>
      <c r="CF318" s="367">
        <f t="shared" si="244"/>
        <v>100</v>
      </c>
      <c r="CG318" s="383">
        <f t="shared" si="245"/>
        <v>5.4450000000000005E-2</v>
      </c>
      <c r="CH318" s="320">
        <f t="shared" si="246"/>
        <v>4.1250000000000002E-2</v>
      </c>
      <c r="CI318" s="319">
        <v>50</v>
      </c>
      <c r="CJ318" s="318">
        <f t="shared" si="273"/>
        <v>0.25</v>
      </c>
      <c r="CK318" s="1258">
        <v>0</v>
      </c>
      <c r="CL318" s="301">
        <f t="shared" si="274"/>
        <v>50</v>
      </c>
      <c r="CM318" s="381">
        <f t="shared" si="275"/>
        <v>0</v>
      </c>
      <c r="CN318" s="381">
        <f t="shared" si="276"/>
        <v>0</v>
      </c>
      <c r="CO318" s="316">
        <f t="shared" si="247"/>
        <v>0</v>
      </c>
      <c r="CP318" s="381">
        <f t="shared" si="248"/>
        <v>0</v>
      </c>
      <c r="CQ318" s="381">
        <f t="shared" si="249"/>
        <v>0</v>
      </c>
      <c r="CR318" s="313">
        <v>257000000</v>
      </c>
      <c r="CS318" s="313">
        <v>257000000</v>
      </c>
      <c r="CT318" s="313">
        <v>0</v>
      </c>
      <c r="CU318" s="313">
        <v>0</v>
      </c>
      <c r="CV318" s="313">
        <v>0</v>
      </c>
      <c r="CW318" s="313">
        <v>0</v>
      </c>
      <c r="CX318" s="313">
        <v>0</v>
      </c>
      <c r="CY318" s="313">
        <v>0</v>
      </c>
      <c r="CZ318" s="380">
        <v>0</v>
      </c>
      <c r="DA318" s="380">
        <v>0</v>
      </c>
      <c r="DB318" s="380">
        <v>0</v>
      </c>
      <c r="DC318" s="380">
        <v>0</v>
      </c>
      <c r="DD318" s="380">
        <v>0</v>
      </c>
      <c r="DE318" s="380">
        <v>0</v>
      </c>
      <c r="DF318" s="380">
        <v>0</v>
      </c>
      <c r="DG318" s="380">
        <v>0</v>
      </c>
      <c r="DH318" s="380">
        <v>0</v>
      </c>
      <c r="DI318" s="380">
        <v>0</v>
      </c>
      <c r="DJ318" s="380">
        <v>0</v>
      </c>
      <c r="DK318" s="702">
        <f t="shared" si="277"/>
        <v>231</v>
      </c>
      <c r="DL318" s="311">
        <f t="shared" si="250"/>
        <v>0.16500000000000001</v>
      </c>
      <c r="DM318" s="310">
        <f t="shared" si="251"/>
        <v>115.5</v>
      </c>
      <c r="DN318" s="356">
        <f t="shared" si="252"/>
        <v>100</v>
      </c>
      <c r="DO318" s="308">
        <f t="shared" si="253"/>
        <v>0.16500000000000001</v>
      </c>
      <c r="DP318" s="359">
        <f>+IF(((DN318*Q318)/100)&lt;Q318, ((DN318*Q318)/100),Q318)</f>
        <v>0.16500000000000001</v>
      </c>
      <c r="DQ318" s="306">
        <f t="shared" si="254"/>
        <v>0.16500000000000001</v>
      </c>
      <c r="DR318" s="379">
        <f t="shared" si="255"/>
        <v>1</v>
      </c>
      <c r="DS318" s="378">
        <f t="shared" si="256"/>
        <v>0</v>
      </c>
      <c r="DT318" s="173">
        <v>359</v>
      </c>
      <c r="DU318" s="174" t="s">
        <v>111</v>
      </c>
      <c r="DV318" s="173">
        <v>360</v>
      </c>
      <c r="DW318" s="174" t="s">
        <v>110</v>
      </c>
      <c r="DX318" s="173"/>
      <c r="DY318" s="173"/>
      <c r="DZ318" s="173"/>
      <c r="EA318" s="665"/>
      <c r="EB318" s="1254" t="s">
        <v>2564</v>
      </c>
      <c r="EC318" s="537">
        <v>0</v>
      </c>
      <c r="EE318" s="733">
        <v>5</v>
      </c>
      <c r="EF318" s="706"/>
    </row>
    <row r="319" spans="4:136" s="302" customFormat="1" ht="89.25" hidden="1">
      <c r="D319" s="520">
        <v>316</v>
      </c>
      <c r="E319" s="534">
        <v>372</v>
      </c>
      <c r="F319" s="479" t="s">
        <v>44</v>
      </c>
      <c r="G319" s="479" t="s">
        <v>16</v>
      </c>
      <c r="H319" s="479" t="s">
        <v>2664</v>
      </c>
      <c r="I319" s="435" t="s">
        <v>786</v>
      </c>
      <c r="J319" s="335" t="s">
        <v>795</v>
      </c>
      <c r="K319" s="335" t="s">
        <v>796</v>
      </c>
      <c r="L319" s="443" t="s">
        <v>1415</v>
      </c>
      <c r="M319" s="334" t="s">
        <v>1785</v>
      </c>
      <c r="N319" s="334">
        <v>116</v>
      </c>
      <c r="O319" s="333">
        <f>+P319</f>
        <v>116</v>
      </c>
      <c r="P319" s="332">
        <v>116</v>
      </c>
      <c r="Q319" s="390">
        <v>0.16500000000000001</v>
      </c>
      <c r="R319" s="342">
        <f t="shared" si="234"/>
        <v>4.1250000000000002E-2</v>
      </c>
      <c r="S319" s="334">
        <v>116</v>
      </c>
      <c r="T319" s="387">
        <f t="shared" si="264"/>
        <v>0.25</v>
      </c>
      <c r="U319" s="672">
        <v>116</v>
      </c>
      <c r="V319" s="388">
        <f t="shared" si="265"/>
        <v>29</v>
      </c>
      <c r="W319" s="356">
        <f t="shared" si="266"/>
        <v>100</v>
      </c>
      <c r="X319" s="356">
        <f t="shared" si="235"/>
        <v>100</v>
      </c>
      <c r="Y319" s="356">
        <f t="shared" si="259"/>
        <v>4.1250000000000002E-2</v>
      </c>
      <c r="Z319" s="356">
        <f t="shared" si="236"/>
        <v>100</v>
      </c>
      <c r="AA319" s="355">
        <v>0</v>
      </c>
      <c r="AB319" s="355">
        <v>0</v>
      </c>
      <c r="AC319" s="355">
        <v>0</v>
      </c>
      <c r="AD319" s="355">
        <v>0</v>
      </c>
      <c r="AE319" s="355">
        <v>0</v>
      </c>
      <c r="AF319" s="355">
        <v>0</v>
      </c>
      <c r="AG319" s="355">
        <v>0</v>
      </c>
      <c r="AH319" s="355">
        <v>0</v>
      </c>
      <c r="AI319" s="355">
        <v>0</v>
      </c>
      <c r="AJ319" s="355">
        <v>0</v>
      </c>
      <c r="AK319" s="355">
        <v>0</v>
      </c>
      <c r="AL319" s="355">
        <v>0</v>
      </c>
      <c r="AM319" s="355">
        <v>0</v>
      </c>
      <c r="AN319" s="355">
        <v>0</v>
      </c>
      <c r="AO319" s="355">
        <v>0</v>
      </c>
      <c r="AP319" s="355">
        <v>0</v>
      </c>
      <c r="AQ319" s="355">
        <v>0</v>
      </c>
      <c r="AR319" s="355">
        <v>0</v>
      </c>
      <c r="AS319" s="355">
        <v>0</v>
      </c>
      <c r="AT319" s="333">
        <f t="shared" si="237"/>
        <v>4.1250000000000002E-2</v>
      </c>
      <c r="AU319" s="334">
        <v>116</v>
      </c>
      <c r="AV319" s="387">
        <f t="shared" si="267"/>
        <v>0.25</v>
      </c>
      <c r="AW319" s="677">
        <v>116</v>
      </c>
      <c r="AX319" s="366">
        <f t="shared" si="268"/>
        <v>29</v>
      </c>
      <c r="AY319" s="366">
        <f t="shared" si="269"/>
        <v>100</v>
      </c>
      <c r="AZ319" s="366">
        <f t="shared" si="238"/>
        <v>100</v>
      </c>
      <c r="BA319" s="354">
        <f t="shared" si="239"/>
        <v>4.1250000000000002E-2</v>
      </c>
      <c r="BB319" s="354">
        <f t="shared" si="240"/>
        <v>100</v>
      </c>
      <c r="BC319" s="353">
        <v>97000000</v>
      </c>
      <c r="BD319" s="353">
        <v>0</v>
      </c>
      <c r="BE319" s="353">
        <v>97000000</v>
      </c>
      <c r="BF319" s="353">
        <v>0</v>
      </c>
      <c r="BG319" s="353">
        <v>0</v>
      </c>
      <c r="BH319" s="353">
        <v>0</v>
      </c>
      <c r="BI319" s="353">
        <v>0</v>
      </c>
      <c r="BJ319" s="353">
        <v>0</v>
      </c>
      <c r="BK319" s="386">
        <v>0</v>
      </c>
      <c r="BL319" s="351">
        <v>0</v>
      </c>
      <c r="BM319" s="351">
        <v>0</v>
      </c>
      <c r="BN319" s="351">
        <v>0</v>
      </c>
      <c r="BO319" s="351">
        <v>0</v>
      </c>
      <c r="BP319" s="351">
        <v>0</v>
      </c>
      <c r="BQ319" s="351">
        <v>0</v>
      </c>
      <c r="BR319" s="351">
        <v>0</v>
      </c>
      <c r="BS319" s="351">
        <v>0</v>
      </c>
      <c r="BT319" s="351">
        <v>0</v>
      </c>
      <c r="BU319" s="351">
        <v>0</v>
      </c>
      <c r="BV319" s="350">
        <f t="shared" si="241"/>
        <v>4.1250000000000002E-2</v>
      </c>
      <c r="BW319" s="350">
        <v>116</v>
      </c>
      <c r="BX319" s="385">
        <f t="shared" si="270"/>
        <v>0.25</v>
      </c>
      <c r="BY319" s="397">
        <v>0</v>
      </c>
      <c r="BZ319" s="404">
        <v>0</v>
      </c>
      <c r="CA319" s="690">
        <v>116</v>
      </c>
      <c r="CB319" s="324">
        <f t="shared" si="271"/>
        <v>29</v>
      </c>
      <c r="CC319" s="324">
        <f t="shared" si="272"/>
        <v>100</v>
      </c>
      <c r="CD319" s="384">
        <f t="shared" si="242"/>
        <v>100</v>
      </c>
      <c r="CE319" s="383">
        <f t="shared" si="243"/>
        <v>4.1250000000000002E-2</v>
      </c>
      <c r="CF319" s="367">
        <f t="shared" si="244"/>
        <v>100</v>
      </c>
      <c r="CG319" s="383">
        <f t="shared" si="245"/>
        <v>4.1250000000000002E-2</v>
      </c>
      <c r="CH319" s="320">
        <f t="shared" si="246"/>
        <v>4.1250000000000002E-2</v>
      </c>
      <c r="CI319" s="319">
        <v>116</v>
      </c>
      <c r="CJ319" s="318">
        <f t="shared" si="273"/>
        <v>0.25</v>
      </c>
      <c r="CK319" s="1258">
        <v>116</v>
      </c>
      <c r="CL319" s="301">
        <f t="shared" si="274"/>
        <v>0</v>
      </c>
      <c r="CM319" s="381">
        <f t="shared" si="275"/>
        <v>29</v>
      </c>
      <c r="CN319" s="381">
        <f t="shared" si="276"/>
        <v>100</v>
      </c>
      <c r="CO319" s="381">
        <f t="shared" si="247"/>
        <v>100</v>
      </c>
      <c r="CP319" s="381">
        <f t="shared" si="248"/>
        <v>4.1250000000000002E-2</v>
      </c>
      <c r="CQ319" s="381">
        <f t="shared" si="249"/>
        <v>4.1250000000000002E-2</v>
      </c>
      <c r="CR319" s="313">
        <v>103000000</v>
      </c>
      <c r="CS319" s="313">
        <v>103000000</v>
      </c>
      <c r="CT319" s="313">
        <v>0</v>
      </c>
      <c r="CU319" s="313">
        <v>0</v>
      </c>
      <c r="CV319" s="313">
        <v>0</v>
      </c>
      <c r="CW319" s="313">
        <v>0</v>
      </c>
      <c r="CX319" s="313">
        <v>0</v>
      </c>
      <c r="CY319" s="313">
        <v>0</v>
      </c>
      <c r="CZ319" s="380">
        <v>0</v>
      </c>
      <c r="DA319" s="380">
        <v>0</v>
      </c>
      <c r="DB319" s="380">
        <v>0</v>
      </c>
      <c r="DC319" s="380">
        <v>0</v>
      </c>
      <c r="DD319" s="380">
        <v>0</v>
      </c>
      <c r="DE319" s="380">
        <v>0</v>
      </c>
      <c r="DF319" s="380">
        <v>0</v>
      </c>
      <c r="DG319" s="380">
        <v>0</v>
      </c>
      <c r="DH319" s="380">
        <v>0</v>
      </c>
      <c r="DI319" s="380">
        <v>0</v>
      </c>
      <c r="DJ319" s="380">
        <v>0</v>
      </c>
      <c r="DK319" s="702">
        <f t="shared" si="277"/>
        <v>116</v>
      </c>
      <c r="DL319" s="311">
        <f t="shared" si="250"/>
        <v>0.16500000000000001</v>
      </c>
      <c r="DM319" s="310">
        <f t="shared" si="251"/>
        <v>100</v>
      </c>
      <c r="DN319" s="356">
        <f t="shared" si="252"/>
        <v>100</v>
      </c>
      <c r="DO319" s="308">
        <f t="shared" si="253"/>
        <v>0.16500000000000001</v>
      </c>
      <c r="DP319" s="359">
        <f>+IF(M319="M",DO319,0)</f>
        <v>0.16500000000000001</v>
      </c>
      <c r="DQ319" s="306">
        <f t="shared" si="254"/>
        <v>0.16500000000000001</v>
      </c>
      <c r="DR319" s="379">
        <f t="shared" si="255"/>
        <v>1</v>
      </c>
      <c r="DS319" s="378">
        <f t="shared" si="256"/>
        <v>0</v>
      </c>
      <c r="DT319" s="173">
        <v>359</v>
      </c>
      <c r="DU319" s="174" t="s">
        <v>111</v>
      </c>
      <c r="DV319" s="173"/>
      <c r="DW319" s="174" t="s">
        <v>84</v>
      </c>
      <c r="DX319" s="173"/>
      <c r="DY319" s="173"/>
      <c r="DZ319" s="173"/>
      <c r="EA319" s="665"/>
      <c r="EB319" s="1254" t="s">
        <v>2565</v>
      </c>
      <c r="EC319" s="537">
        <v>0</v>
      </c>
      <c r="EE319" s="733">
        <v>0</v>
      </c>
      <c r="EF319" s="706"/>
    </row>
    <row r="320" spans="4:136" s="302" customFormat="1" ht="89.25" hidden="1">
      <c r="D320" s="520">
        <v>317</v>
      </c>
      <c r="E320" s="534">
        <v>373</v>
      </c>
      <c r="F320" s="479" t="s">
        <v>44</v>
      </c>
      <c r="G320" s="479" t="s">
        <v>16</v>
      </c>
      <c r="H320" s="479" t="s">
        <v>2664</v>
      </c>
      <c r="I320" s="435" t="s">
        <v>786</v>
      </c>
      <c r="J320" s="335" t="s">
        <v>797</v>
      </c>
      <c r="K320" s="335" t="s">
        <v>798</v>
      </c>
      <c r="L320" s="443" t="s">
        <v>1783</v>
      </c>
      <c r="M320" s="334" t="s">
        <v>1785</v>
      </c>
      <c r="N320" s="334">
        <v>1</v>
      </c>
      <c r="O320" s="333">
        <f>+P320</f>
        <v>1</v>
      </c>
      <c r="P320" s="332">
        <v>1</v>
      </c>
      <c r="Q320" s="390">
        <v>0.16500000000000001</v>
      </c>
      <c r="R320" s="342">
        <f t="shared" si="234"/>
        <v>4.1250000000000002E-2</v>
      </c>
      <c r="S320" s="334">
        <v>1</v>
      </c>
      <c r="T320" s="387">
        <f t="shared" si="264"/>
        <v>0.25</v>
      </c>
      <c r="U320" s="672">
        <v>1</v>
      </c>
      <c r="V320" s="388">
        <f t="shared" si="265"/>
        <v>0.25</v>
      </c>
      <c r="W320" s="356">
        <f t="shared" si="266"/>
        <v>100</v>
      </c>
      <c r="X320" s="356">
        <f t="shared" si="235"/>
        <v>100</v>
      </c>
      <c r="Y320" s="356">
        <f t="shared" si="259"/>
        <v>4.1250000000000002E-2</v>
      </c>
      <c r="Z320" s="356">
        <f t="shared" si="236"/>
        <v>100</v>
      </c>
      <c r="AA320" s="355">
        <v>0</v>
      </c>
      <c r="AB320" s="355">
        <v>0</v>
      </c>
      <c r="AC320" s="355">
        <v>0</v>
      </c>
      <c r="AD320" s="355">
        <v>0</v>
      </c>
      <c r="AE320" s="355">
        <v>0</v>
      </c>
      <c r="AF320" s="355">
        <v>0</v>
      </c>
      <c r="AG320" s="355">
        <v>0</v>
      </c>
      <c r="AH320" s="355">
        <v>0</v>
      </c>
      <c r="AI320" s="355">
        <v>0</v>
      </c>
      <c r="AJ320" s="355">
        <v>0</v>
      </c>
      <c r="AK320" s="355">
        <v>0</v>
      </c>
      <c r="AL320" s="355">
        <v>0</v>
      </c>
      <c r="AM320" s="355">
        <v>0</v>
      </c>
      <c r="AN320" s="355">
        <v>0</v>
      </c>
      <c r="AO320" s="355">
        <v>0</v>
      </c>
      <c r="AP320" s="355">
        <v>0</v>
      </c>
      <c r="AQ320" s="355">
        <v>0</v>
      </c>
      <c r="AR320" s="355">
        <v>0</v>
      </c>
      <c r="AS320" s="355">
        <v>0</v>
      </c>
      <c r="AT320" s="333">
        <f t="shared" si="237"/>
        <v>4.1250000000000002E-2</v>
      </c>
      <c r="AU320" s="334">
        <v>1</v>
      </c>
      <c r="AV320" s="387">
        <f t="shared" si="267"/>
        <v>0.25</v>
      </c>
      <c r="AW320" s="677">
        <v>1</v>
      </c>
      <c r="AX320" s="366">
        <f t="shared" si="268"/>
        <v>0.25</v>
      </c>
      <c r="AY320" s="366">
        <f t="shared" si="269"/>
        <v>100</v>
      </c>
      <c r="AZ320" s="366">
        <f t="shared" si="238"/>
        <v>100</v>
      </c>
      <c r="BA320" s="354">
        <f t="shared" si="239"/>
        <v>4.1250000000000002E-2</v>
      </c>
      <c r="BB320" s="354">
        <f t="shared" si="240"/>
        <v>100</v>
      </c>
      <c r="BC320" s="353">
        <v>0</v>
      </c>
      <c r="BD320" s="353">
        <v>0</v>
      </c>
      <c r="BE320" s="353">
        <v>0</v>
      </c>
      <c r="BF320" s="353">
        <v>0</v>
      </c>
      <c r="BG320" s="353">
        <v>0</v>
      </c>
      <c r="BH320" s="353">
        <v>0</v>
      </c>
      <c r="BI320" s="353">
        <v>0</v>
      </c>
      <c r="BJ320" s="353">
        <v>0</v>
      </c>
      <c r="BK320" s="386">
        <v>0</v>
      </c>
      <c r="BL320" s="351">
        <v>0</v>
      </c>
      <c r="BM320" s="351">
        <v>0</v>
      </c>
      <c r="BN320" s="351">
        <v>0</v>
      </c>
      <c r="BO320" s="351">
        <v>0</v>
      </c>
      <c r="BP320" s="351">
        <v>0</v>
      </c>
      <c r="BQ320" s="351">
        <v>0</v>
      </c>
      <c r="BR320" s="351">
        <v>0</v>
      </c>
      <c r="BS320" s="351">
        <v>0</v>
      </c>
      <c r="BT320" s="351">
        <v>0</v>
      </c>
      <c r="BU320" s="351">
        <v>0</v>
      </c>
      <c r="BV320" s="350">
        <f t="shared" si="241"/>
        <v>4.1250000000000002E-2</v>
      </c>
      <c r="BW320" s="350">
        <v>1</v>
      </c>
      <c r="BX320" s="385">
        <f t="shared" si="270"/>
        <v>0.25</v>
      </c>
      <c r="BY320" s="397">
        <v>0</v>
      </c>
      <c r="BZ320" s="404">
        <v>0</v>
      </c>
      <c r="CA320" s="690">
        <v>1</v>
      </c>
      <c r="CB320" s="324">
        <f t="shared" si="271"/>
        <v>0.25</v>
      </c>
      <c r="CC320" s="324">
        <f t="shared" si="272"/>
        <v>100</v>
      </c>
      <c r="CD320" s="384">
        <f t="shared" si="242"/>
        <v>100</v>
      </c>
      <c r="CE320" s="383">
        <f t="shared" si="243"/>
        <v>4.1250000000000002E-2</v>
      </c>
      <c r="CF320" s="367">
        <f t="shared" si="244"/>
        <v>100</v>
      </c>
      <c r="CG320" s="383">
        <f t="shared" si="245"/>
        <v>4.1250000000000002E-2</v>
      </c>
      <c r="CH320" s="320">
        <f t="shared" si="246"/>
        <v>4.1250000000000002E-2</v>
      </c>
      <c r="CI320" s="319">
        <v>1</v>
      </c>
      <c r="CJ320" s="318">
        <f t="shared" si="273"/>
        <v>0.25</v>
      </c>
      <c r="CK320" s="1258">
        <v>1</v>
      </c>
      <c r="CL320" s="301">
        <f t="shared" si="274"/>
        <v>0</v>
      </c>
      <c r="CM320" s="381">
        <f t="shared" si="275"/>
        <v>0.25</v>
      </c>
      <c r="CN320" s="381">
        <f t="shared" si="276"/>
        <v>100</v>
      </c>
      <c r="CO320" s="381">
        <f t="shared" si="247"/>
        <v>100</v>
      </c>
      <c r="CP320" s="381">
        <f t="shared" si="248"/>
        <v>4.1250000000000002E-2</v>
      </c>
      <c r="CQ320" s="381">
        <f t="shared" si="249"/>
        <v>4.1250000000000002E-2</v>
      </c>
      <c r="CR320" s="313">
        <v>0</v>
      </c>
      <c r="CS320" s="313">
        <v>0</v>
      </c>
      <c r="CT320" s="313">
        <v>0</v>
      </c>
      <c r="CU320" s="313">
        <v>0</v>
      </c>
      <c r="CV320" s="313">
        <v>0</v>
      </c>
      <c r="CW320" s="313">
        <v>0</v>
      </c>
      <c r="CX320" s="313">
        <v>0</v>
      </c>
      <c r="CY320" s="313">
        <v>0</v>
      </c>
      <c r="CZ320" s="380">
        <v>0</v>
      </c>
      <c r="DA320" s="380">
        <v>0</v>
      </c>
      <c r="DB320" s="380">
        <v>0</v>
      </c>
      <c r="DC320" s="380">
        <v>0</v>
      </c>
      <c r="DD320" s="380">
        <v>0</v>
      </c>
      <c r="DE320" s="380">
        <v>0</v>
      </c>
      <c r="DF320" s="380">
        <v>0</v>
      </c>
      <c r="DG320" s="380">
        <v>0</v>
      </c>
      <c r="DH320" s="380">
        <v>0</v>
      </c>
      <c r="DI320" s="380">
        <v>0</v>
      </c>
      <c r="DJ320" s="380">
        <v>0</v>
      </c>
      <c r="DK320" s="702">
        <f t="shared" si="277"/>
        <v>1</v>
      </c>
      <c r="DL320" s="311">
        <f t="shared" si="250"/>
        <v>0.16500000000000001</v>
      </c>
      <c r="DM320" s="310">
        <f t="shared" si="251"/>
        <v>100</v>
      </c>
      <c r="DN320" s="356">
        <f t="shared" si="252"/>
        <v>100</v>
      </c>
      <c r="DO320" s="308">
        <f t="shared" si="253"/>
        <v>0.16500000000000001</v>
      </c>
      <c r="DP320" s="359">
        <f>+IF(M320="M",DO320,0)</f>
        <v>0.16500000000000001</v>
      </c>
      <c r="DQ320" s="306">
        <f t="shared" si="254"/>
        <v>0.16500000000000001</v>
      </c>
      <c r="DR320" s="379">
        <f t="shared" si="255"/>
        <v>1</v>
      </c>
      <c r="DS320" s="378">
        <f t="shared" si="256"/>
        <v>0</v>
      </c>
      <c r="DT320" s="173">
        <v>359</v>
      </c>
      <c r="DU320" s="174" t="s">
        <v>111</v>
      </c>
      <c r="DV320" s="173"/>
      <c r="DW320" s="174" t="s">
        <v>84</v>
      </c>
      <c r="DX320" s="173"/>
      <c r="DY320" s="173"/>
      <c r="DZ320" s="173"/>
      <c r="EA320" s="665"/>
      <c r="EB320" s="1254" t="s">
        <v>2566</v>
      </c>
      <c r="EC320" s="537">
        <v>300000000</v>
      </c>
      <c r="EE320" s="734">
        <v>684</v>
      </c>
      <c r="EF320" s="706"/>
    </row>
    <row r="321" spans="4:136" s="302" customFormat="1" ht="89.25" hidden="1">
      <c r="D321" s="520">
        <v>318</v>
      </c>
      <c r="E321" s="534">
        <v>374</v>
      </c>
      <c r="F321" s="479" t="s">
        <v>44</v>
      </c>
      <c r="G321" s="479" t="s">
        <v>16</v>
      </c>
      <c r="H321" s="479" t="s">
        <v>2664</v>
      </c>
      <c r="I321" s="435" t="s">
        <v>786</v>
      </c>
      <c r="J321" s="335" t="s">
        <v>799</v>
      </c>
      <c r="K321" s="335" t="s">
        <v>800</v>
      </c>
      <c r="L321" s="443" t="s">
        <v>1415</v>
      </c>
      <c r="M321" s="334" t="s">
        <v>1785</v>
      </c>
      <c r="N321" s="334">
        <v>50</v>
      </c>
      <c r="O321" s="333">
        <f>+P321</f>
        <v>116</v>
      </c>
      <c r="P321" s="332">
        <v>116</v>
      </c>
      <c r="Q321" s="390">
        <v>0.16500000000000001</v>
      </c>
      <c r="R321" s="342">
        <f t="shared" si="234"/>
        <v>4.1250000000000002E-2</v>
      </c>
      <c r="S321" s="334">
        <v>116</v>
      </c>
      <c r="T321" s="387">
        <f t="shared" si="264"/>
        <v>0.25</v>
      </c>
      <c r="U321" s="672">
        <v>116</v>
      </c>
      <c r="V321" s="388">
        <f t="shared" si="265"/>
        <v>29</v>
      </c>
      <c r="W321" s="356">
        <f t="shared" si="266"/>
        <v>100</v>
      </c>
      <c r="X321" s="356">
        <f t="shared" si="235"/>
        <v>100</v>
      </c>
      <c r="Y321" s="356">
        <f t="shared" si="259"/>
        <v>4.1250000000000002E-2</v>
      </c>
      <c r="Z321" s="356">
        <f t="shared" si="236"/>
        <v>100</v>
      </c>
      <c r="AA321" s="355">
        <v>0</v>
      </c>
      <c r="AB321" s="355">
        <v>0</v>
      </c>
      <c r="AC321" s="355">
        <v>0</v>
      </c>
      <c r="AD321" s="355">
        <v>0</v>
      </c>
      <c r="AE321" s="355">
        <v>0</v>
      </c>
      <c r="AF321" s="355">
        <v>0</v>
      </c>
      <c r="AG321" s="355">
        <v>0</v>
      </c>
      <c r="AH321" s="355">
        <v>0</v>
      </c>
      <c r="AI321" s="355">
        <v>0</v>
      </c>
      <c r="AJ321" s="355">
        <v>0</v>
      </c>
      <c r="AK321" s="355">
        <v>0</v>
      </c>
      <c r="AL321" s="355">
        <v>0</v>
      </c>
      <c r="AM321" s="355">
        <v>0</v>
      </c>
      <c r="AN321" s="355">
        <v>0</v>
      </c>
      <c r="AO321" s="355">
        <v>0</v>
      </c>
      <c r="AP321" s="355">
        <v>0</v>
      </c>
      <c r="AQ321" s="355">
        <v>0</v>
      </c>
      <c r="AR321" s="355">
        <v>0</v>
      </c>
      <c r="AS321" s="355">
        <v>0</v>
      </c>
      <c r="AT321" s="333">
        <f t="shared" si="237"/>
        <v>4.1250000000000002E-2</v>
      </c>
      <c r="AU321" s="334">
        <v>116</v>
      </c>
      <c r="AV321" s="387">
        <f t="shared" si="267"/>
        <v>0.25</v>
      </c>
      <c r="AW321" s="677">
        <v>116</v>
      </c>
      <c r="AX321" s="366">
        <f t="shared" si="268"/>
        <v>29</v>
      </c>
      <c r="AY321" s="366">
        <f t="shared" si="269"/>
        <v>100</v>
      </c>
      <c r="AZ321" s="366">
        <f t="shared" si="238"/>
        <v>100</v>
      </c>
      <c r="BA321" s="354">
        <f t="shared" si="239"/>
        <v>4.1250000000000002E-2</v>
      </c>
      <c r="BB321" s="354">
        <f t="shared" si="240"/>
        <v>100</v>
      </c>
      <c r="BC321" s="353">
        <v>0</v>
      </c>
      <c r="BD321" s="353">
        <v>0</v>
      </c>
      <c r="BE321" s="353">
        <v>0</v>
      </c>
      <c r="BF321" s="353">
        <v>0</v>
      </c>
      <c r="BG321" s="353">
        <v>0</v>
      </c>
      <c r="BH321" s="353">
        <v>0</v>
      </c>
      <c r="BI321" s="353">
        <v>0</v>
      </c>
      <c r="BJ321" s="353">
        <v>0</v>
      </c>
      <c r="BK321" s="386">
        <v>0</v>
      </c>
      <c r="BL321" s="351">
        <v>0</v>
      </c>
      <c r="BM321" s="351">
        <v>0</v>
      </c>
      <c r="BN321" s="351">
        <v>0</v>
      </c>
      <c r="BO321" s="351">
        <v>0</v>
      </c>
      <c r="BP321" s="351">
        <v>0</v>
      </c>
      <c r="BQ321" s="351">
        <v>0</v>
      </c>
      <c r="BR321" s="351">
        <v>0</v>
      </c>
      <c r="BS321" s="351">
        <v>0</v>
      </c>
      <c r="BT321" s="351">
        <v>0</v>
      </c>
      <c r="BU321" s="351">
        <v>0</v>
      </c>
      <c r="BV321" s="350">
        <f t="shared" si="241"/>
        <v>4.1250000000000002E-2</v>
      </c>
      <c r="BW321" s="350">
        <v>116</v>
      </c>
      <c r="BX321" s="385">
        <f t="shared" si="270"/>
        <v>0.25</v>
      </c>
      <c r="BY321" s="397">
        <v>0</v>
      </c>
      <c r="BZ321" s="404">
        <v>0</v>
      </c>
      <c r="CA321" s="690">
        <v>116</v>
      </c>
      <c r="CB321" s="324">
        <f t="shared" si="271"/>
        <v>29</v>
      </c>
      <c r="CC321" s="324">
        <f t="shared" si="272"/>
        <v>100</v>
      </c>
      <c r="CD321" s="384">
        <f t="shared" si="242"/>
        <v>100</v>
      </c>
      <c r="CE321" s="383">
        <f t="shared" si="243"/>
        <v>4.1250000000000002E-2</v>
      </c>
      <c r="CF321" s="367">
        <f t="shared" si="244"/>
        <v>100</v>
      </c>
      <c r="CG321" s="383">
        <f t="shared" si="245"/>
        <v>4.1250000000000002E-2</v>
      </c>
      <c r="CH321" s="320">
        <f t="shared" si="246"/>
        <v>4.1250000000000002E-2</v>
      </c>
      <c r="CI321" s="319">
        <v>116</v>
      </c>
      <c r="CJ321" s="318">
        <f t="shared" si="273"/>
        <v>0.25</v>
      </c>
      <c r="CK321" s="1258">
        <v>116</v>
      </c>
      <c r="CL321" s="301">
        <f t="shared" si="274"/>
        <v>0</v>
      </c>
      <c r="CM321" s="381">
        <f t="shared" si="275"/>
        <v>29</v>
      </c>
      <c r="CN321" s="381">
        <f t="shared" si="276"/>
        <v>100</v>
      </c>
      <c r="CO321" s="381">
        <f t="shared" si="247"/>
        <v>100</v>
      </c>
      <c r="CP321" s="381">
        <f t="shared" si="248"/>
        <v>4.1250000000000002E-2</v>
      </c>
      <c r="CQ321" s="381">
        <f t="shared" si="249"/>
        <v>4.1250000000000002E-2</v>
      </c>
      <c r="CR321" s="313">
        <v>0</v>
      </c>
      <c r="CS321" s="313">
        <v>0</v>
      </c>
      <c r="CT321" s="313">
        <v>0</v>
      </c>
      <c r="CU321" s="313">
        <v>0</v>
      </c>
      <c r="CV321" s="313">
        <v>0</v>
      </c>
      <c r="CW321" s="313">
        <v>0</v>
      </c>
      <c r="CX321" s="313">
        <v>0</v>
      </c>
      <c r="CY321" s="313">
        <v>0</v>
      </c>
      <c r="CZ321" s="380">
        <v>0</v>
      </c>
      <c r="DA321" s="380">
        <v>0</v>
      </c>
      <c r="DB321" s="380">
        <v>0</v>
      </c>
      <c r="DC321" s="380">
        <v>0</v>
      </c>
      <c r="DD321" s="380">
        <v>0</v>
      </c>
      <c r="DE321" s="380">
        <v>0</v>
      </c>
      <c r="DF321" s="380">
        <v>0</v>
      </c>
      <c r="DG321" s="380">
        <v>0</v>
      </c>
      <c r="DH321" s="380">
        <v>0</v>
      </c>
      <c r="DI321" s="380">
        <v>0</v>
      </c>
      <c r="DJ321" s="380">
        <v>0</v>
      </c>
      <c r="DK321" s="702">
        <f t="shared" si="277"/>
        <v>116</v>
      </c>
      <c r="DL321" s="311">
        <f t="shared" si="250"/>
        <v>0.16500000000000001</v>
      </c>
      <c r="DM321" s="310">
        <f t="shared" si="251"/>
        <v>100</v>
      </c>
      <c r="DN321" s="356">
        <f t="shared" si="252"/>
        <v>100</v>
      </c>
      <c r="DO321" s="308">
        <f t="shared" si="253"/>
        <v>0.16500000000000001</v>
      </c>
      <c r="DP321" s="359">
        <f>+IF(M321="M",DO321,0)</f>
        <v>0.16500000000000001</v>
      </c>
      <c r="DQ321" s="306">
        <f t="shared" si="254"/>
        <v>0.16500000000000001</v>
      </c>
      <c r="DR321" s="379">
        <f t="shared" si="255"/>
        <v>1</v>
      </c>
      <c r="DS321" s="378">
        <f t="shared" si="256"/>
        <v>0</v>
      </c>
      <c r="DT321" s="173">
        <v>359</v>
      </c>
      <c r="DU321" s="174" t="s">
        <v>111</v>
      </c>
      <c r="DV321" s="173"/>
      <c r="DW321" s="174" t="s">
        <v>84</v>
      </c>
      <c r="DX321" s="173"/>
      <c r="DY321" s="173"/>
      <c r="DZ321" s="173"/>
      <c r="EA321" s="665"/>
      <c r="EB321" s="1254" t="s">
        <v>2567</v>
      </c>
      <c r="EC321" s="537">
        <v>1710000000</v>
      </c>
      <c r="EE321" s="734">
        <v>80</v>
      </c>
      <c r="EF321" s="706"/>
    </row>
    <row r="322" spans="4:136" s="302" customFormat="1" ht="48" hidden="1">
      <c r="D322" s="520">
        <v>319</v>
      </c>
      <c r="E322" s="534">
        <v>376</v>
      </c>
      <c r="F322" s="479" t="s">
        <v>44</v>
      </c>
      <c r="G322" s="479" t="s">
        <v>16</v>
      </c>
      <c r="H322" s="479" t="s">
        <v>2665</v>
      </c>
      <c r="I322" s="435" t="s">
        <v>801</v>
      </c>
      <c r="J322" s="335" t="s">
        <v>802</v>
      </c>
      <c r="K322" s="335" t="s">
        <v>803</v>
      </c>
      <c r="L322" s="443" t="s">
        <v>1773</v>
      </c>
      <c r="M322" s="334" t="s">
        <v>1771</v>
      </c>
      <c r="N322" s="334">
        <v>795</v>
      </c>
      <c r="O322" s="333">
        <f t="shared" ref="O322:O328" si="280">+N322+P322</f>
        <v>885</v>
      </c>
      <c r="P322" s="332">
        <v>90</v>
      </c>
      <c r="Q322" s="390">
        <v>0.16500000000000001</v>
      </c>
      <c r="R322" s="342">
        <f t="shared" si="234"/>
        <v>0</v>
      </c>
      <c r="S322" s="334">
        <v>0</v>
      </c>
      <c r="T322" s="387">
        <f t="shared" si="264"/>
        <v>0</v>
      </c>
      <c r="U322" s="672">
        <v>0</v>
      </c>
      <c r="V322" s="388">
        <f t="shared" si="265"/>
        <v>0</v>
      </c>
      <c r="W322" s="356">
        <f t="shared" si="266"/>
        <v>0</v>
      </c>
      <c r="X322" s="356">
        <f t="shared" si="235"/>
        <v>0</v>
      </c>
      <c r="Y322" s="356">
        <f t="shared" si="259"/>
        <v>0</v>
      </c>
      <c r="Z322" s="356">
        <f t="shared" si="236"/>
        <v>0</v>
      </c>
      <c r="AA322" s="355">
        <v>0</v>
      </c>
      <c r="AB322" s="355">
        <v>0</v>
      </c>
      <c r="AC322" s="355">
        <v>0</v>
      </c>
      <c r="AD322" s="355">
        <v>0</v>
      </c>
      <c r="AE322" s="355">
        <v>0</v>
      </c>
      <c r="AF322" s="355">
        <v>0</v>
      </c>
      <c r="AG322" s="355">
        <v>0</v>
      </c>
      <c r="AH322" s="355">
        <v>0</v>
      </c>
      <c r="AI322" s="355">
        <v>0</v>
      </c>
      <c r="AJ322" s="355">
        <v>0</v>
      </c>
      <c r="AK322" s="355">
        <v>0</v>
      </c>
      <c r="AL322" s="355">
        <v>0</v>
      </c>
      <c r="AM322" s="355">
        <v>0</v>
      </c>
      <c r="AN322" s="355">
        <v>0</v>
      </c>
      <c r="AO322" s="355">
        <v>0</v>
      </c>
      <c r="AP322" s="355">
        <v>0</v>
      </c>
      <c r="AQ322" s="355">
        <v>0</v>
      </c>
      <c r="AR322" s="355">
        <v>0</v>
      </c>
      <c r="AS322" s="355">
        <v>0</v>
      </c>
      <c r="AT322" s="333">
        <f t="shared" si="237"/>
        <v>5.5E-2</v>
      </c>
      <c r="AU322" s="334">
        <v>30</v>
      </c>
      <c r="AV322" s="387">
        <f t="shared" si="267"/>
        <v>0.33333333333333331</v>
      </c>
      <c r="AW322" s="677">
        <v>0</v>
      </c>
      <c r="AX322" s="366">
        <f t="shared" si="268"/>
        <v>0</v>
      </c>
      <c r="AY322" s="366">
        <f t="shared" si="269"/>
        <v>0</v>
      </c>
      <c r="AZ322" s="366">
        <f t="shared" si="238"/>
        <v>0</v>
      </c>
      <c r="BA322" s="354">
        <f t="shared" si="239"/>
        <v>0</v>
      </c>
      <c r="BB322" s="354">
        <f t="shared" si="240"/>
        <v>0</v>
      </c>
      <c r="BC322" s="353">
        <v>254000000</v>
      </c>
      <c r="BD322" s="353">
        <v>0</v>
      </c>
      <c r="BE322" s="353">
        <v>97000000</v>
      </c>
      <c r="BF322" s="353">
        <v>0</v>
      </c>
      <c r="BG322" s="353">
        <v>0</v>
      </c>
      <c r="BH322" s="353">
        <v>0</v>
      </c>
      <c r="BI322" s="353">
        <v>0</v>
      </c>
      <c r="BJ322" s="353">
        <v>157000000</v>
      </c>
      <c r="BK322" s="386">
        <v>0</v>
      </c>
      <c r="BL322" s="351">
        <v>0</v>
      </c>
      <c r="BM322" s="351">
        <v>0</v>
      </c>
      <c r="BN322" s="351">
        <v>0</v>
      </c>
      <c r="BO322" s="351">
        <v>0</v>
      </c>
      <c r="BP322" s="351">
        <v>0</v>
      </c>
      <c r="BQ322" s="351">
        <v>0</v>
      </c>
      <c r="BR322" s="351">
        <v>0</v>
      </c>
      <c r="BS322" s="351">
        <v>0</v>
      </c>
      <c r="BT322" s="351">
        <v>0</v>
      </c>
      <c r="BU322" s="351">
        <v>0</v>
      </c>
      <c r="BV322" s="350">
        <f t="shared" si="241"/>
        <v>5.5E-2</v>
      </c>
      <c r="BW322" s="350">
        <v>30</v>
      </c>
      <c r="BX322" s="385">
        <f t="shared" si="270"/>
        <v>0.33333333333333331</v>
      </c>
      <c r="BY322" s="397">
        <v>0</v>
      </c>
      <c r="BZ322" s="404">
        <v>0</v>
      </c>
      <c r="CA322" s="690">
        <v>90</v>
      </c>
      <c r="CB322" s="324">
        <f t="shared" si="271"/>
        <v>90</v>
      </c>
      <c r="CC322" s="324">
        <f t="shared" si="272"/>
        <v>300</v>
      </c>
      <c r="CD322" s="384">
        <f t="shared" si="242"/>
        <v>100</v>
      </c>
      <c r="CE322" s="383">
        <f t="shared" si="243"/>
        <v>5.5E-2</v>
      </c>
      <c r="CF322" s="367">
        <f t="shared" si="244"/>
        <v>100</v>
      </c>
      <c r="CG322" s="383">
        <f t="shared" si="245"/>
        <v>0.16500000000000001</v>
      </c>
      <c r="CH322" s="320">
        <f t="shared" si="246"/>
        <v>5.5E-2</v>
      </c>
      <c r="CI322" s="319">
        <v>30</v>
      </c>
      <c r="CJ322" s="318">
        <f t="shared" si="273"/>
        <v>0.33333333333333331</v>
      </c>
      <c r="CK322" s="1258">
        <v>0</v>
      </c>
      <c r="CL322" s="301">
        <f t="shared" si="274"/>
        <v>30</v>
      </c>
      <c r="CM322" s="381">
        <f t="shared" si="275"/>
        <v>0</v>
      </c>
      <c r="CN322" s="381">
        <f t="shared" si="276"/>
        <v>0</v>
      </c>
      <c r="CO322" s="316">
        <f t="shared" si="247"/>
        <v>0</v>
      </c>
      <c r="CP322" s="381">
        <f t="shared" si="248"/>
        <v>0</v>
      </c>
      <c r="CQ322" s="381">
        <f t="shared" si="249"/>
        <v>0</v>
      </c>
      <c r="CR322" s="313">
        <v>260000000</v>
      </c>
      <c r="CS322" s="313">
        <v>103000000</v>
      </c>
      <c r="CT322" s="313">
        <v>0</v>
      </c>
      <c r="CU322" s="313">
        <v>0</v>
      </c>
      <c r="CV322" s="313">
        <v>0</v>
      </c>
      <c r="CW322" s="313">
        <v>0</v>
      </c>
      <c r="CX322" s="313">
        <v>0</v>
      </c>
      <c r="CY322" s="313">
        <v>157000000</v>
      </c>
      <c r="CZ322" s="380">
        <v>0</v>
      </c>
      <c r="DA322" s="380">
        <v>0</v>
      </c>
      <c r="DB322" s="380">
        <v>0</v>
      </c>
      <c r="DC322" s="380">
        <v>0</v>
      </c>
      <c r="DD322" s="380">
        <v>0</v>
      </c>
      <c r="DE322" s="380">
        <v>0</v>
      </c>
      <c r="DF322" s="380">
        <v>0</v>
      </c>
      <c r="DG322" s="380">
        <v>0</v>
      </c>
      <c r="DH322" s="380">
        <v>0</v>
      </c>
      <c r="DI322" s="380">
        <v>0</v>
      </c>
      <c r="DJ322" s="380">
        <v>0</v>
      </c>
      <c r="DK322" s="702">
        <f t="shared" si="277"/>
        <v>90</v>
      </c>
      <c r="DL322" s="311">
        <f t="shared" si="250"/>
        <v>0.16500000000000001</v>
      </c>
      <c r="DM322" s="310">
        <f t="shared" si="251"/>
        <v>100</v>
      </c>
      <c r="DN322" s="356">
        <f t="shared" si="252"/>
        <v>100</v>
      </c>
      <c r="DO322" s="308">
        <f t="shared" si="253"/>
        <v>0.16500000000000001</v>
      </c>
      <c r="DP322" s="359">
        <f t="shared" ref="DP322:DP328" si="281">+IF(((DN322*Q322)/100)&lt;Q322, ((DN322*Q322)/100),Q322)</f>
        <v>0.16500000000000001</v>
      </c>
      <c r="DQ322" s="306">
        <f t="shared" si="254"/>
        <v>0.16500000000000001</v>
      </c>
      <c r="DR322" s="379">
        <f t="shared" si="255"/>
        <v>1</v>
      </c>
      <c r="DS322" s="378">
        <f t="shared" si="256"/>
        <v>0</v>
      </c>
      <c r="DT322" s="173">
        <v>375</v>
      </c>
      <c r="DU322" s="174" t="s">
        <v>109</v>
      </c>
      <c r="DV322" s="173"/>
      <c r="DW322" s="174" t="s">
        <v>84</v>
      </c>
      <c r="DX322" s="173"/>
      <c r="DY322" s="173"/>
      <c r="DZ322" s="173"/>
      <c r="EA322" s="665"/>
      <c r="EB322" s="1254" t="s">
        <v>2568</v>
      </c>
      <c r="EC322" s="537">
        <v>2700000000</v>
      </c>
      <c r="EE322" s="734">
        <v>232</v>
      </c>
      <c r="EF322" s="706"/>
    </row>
    <row r="323" spans="4:136" s="302" customFormat="1" ht="165.75" hidden="1">
      <c r="D323" s="520">
        <v>320</v>
      </c>
      <c r="E323" s="534">
        <v>377</v>
      </c>
      <c r="F323" s="479" t="s">
        <v>44</v>
      </c>
      <c r="G323" s="479" t="s">
        <v>16</v>
      </c>
      <c r="H323" s="479" t="s">
        <v>2665</v>
      </c>
      <c r="I323" s="435" t="s">
        <v>801</v>
      </c>
      <c r="J323" s="335" t="s">
        <v>804</v>
      </c>
      <c r="K323" s="335" t="s">
        <v>805</v>
      </c>
      <c r="L323" s="443" t="s">
        <v>1916</v>
      </c>
      <c r="M323" s="334" t="s">
        <v>1771</v>
      </c>
      <c r="N323" s="334">
        <v>800</v>
      </c>
      <c r="O323" s="333">
        <f t="shared" si="280"/>
        <v>1400</v>
      </c>
      <c r="P323" s="332">
        <v>600</v>
      </c>
      <c r="Q323" s="390">
        <v>0.16500000000000001</v>
      </c>
      <c r="R323" s="342">
        <f t="shared" si="234"/>
        <v>0</v>
      </c>
      <c r="S323" s="334">
        <v>0</v>
      </c>
      <c r="T323" s="387">
        <f t="shared" si="264"/>
        <v>0</v>
      </c>
      <c r="U323" s="672">
        <v>0</v>
      </c>
      <c r="V323" s="388">
        <f t="shared" si="265"/>
        <v>0</v>
      </c>
      <c r="W323" s="356">
        <f t="shared" si="266"/>
        <v>0</v>
      </c>
      <c r="X323" s="356">
        <f t="shared" si="235"/>
        <v>0</v>
      </c>
      <c r="Y323" s="356">
        <f t="shared" si="259"/>
        <v>0</v>
      </c>
      <c r="Z323" s="356">
        <f t="shared" si="236"/>
        <v>0</v>
      </c>
      <c r="AA323" s="355">
        <v>0</v>
      </c>
      <c r="AB323" s="355">
        <v>0</v>
      </c>
      <c r="AC323" s="355">
        <v>0</v>
      </c>
      <c r="AD323" s="355">
        <v>0</v>
      </c>
      <c r="AE323" s="355">
        <v>0</v>
      </c>
      <c r="AF323" s="355">
        <v>0</v>
      </c>
      <c r="AG323" s="355">
        <v>0</v>
      </c>
      <c r="AH323" s="355">
        <v>0</v>
      </c>
      <c r="AI323" s="355">
        <v>0</v>
      </c>
      <c r="AJ323" s="355">
        <v>0</v>
      </c>
      <c r="AK323" s="355">
        <v>0</v>
      </c>
      <c r="AL323" s="355">
        <v>0</v>
      </c>
      <c r="AM323" s="355">
        <v>0</v>
      </c>
      <c r="AN323" s="355">
        <v>0</v>
      </c>
      <c r="AO323" s="355">
        <v>0</v>
      </c>
      <c r="AP323" s="355">
        <v>0</v>
      </c>
      <c r="AQ323" s="355">
        <v>0</v>
      </c>
      <c r="AR323" s="355">
        <v>0</v>
      </c>
      <c r="AS323" s="355">
        <v>0</v>
      </c>
      <c r="AT323" s="333">
        <f t="shared" si="237"/>
        <v>5.5E-2</v>
      </c>
      <c r="AU323" s="334">
        <v>200</v>
      </c>
      <c r="AV323" s="387">
        <f t="shared" si="267"/>
        <v>0.33333333333333331</v>
      </c>
      <c r="AW323" s="677">
        <v>743</v>
      </c>
      <c r="AX323" s="366">
        <f t="shared" si="268"/>
        <v>743</v>
      </c>
      <c r="AY323" s="366">
        <f t="shared" si="269"/>
        <v>371.5</v>
      </c>
      <c r="AZ323" s="366">
        <f t="shared" si="238"/>
        <v>100</v>
      </c>
      <c r="BA323" s="354">
        <f t="shared" si="239"/>
        <v>5.5E-2</v>
      </c>
      <c r="BB323" s="354">
        <f t="shared" si="240"/>
        <v>100</v>
      </c>
      <c r="BC323" s="353">
        <v>247000000</v>
      </c>
      <c r="BD323" s="353">
        <v>0</v>
      </c>
      <c r="BE323" s="353">
        <v>97000000</v>
      </c>
      <c r="BF323" s="353">
        <v>0</v>
      </c>
      <c r="BG323" s="353">
        <v>0</v>
      </c>
      <c r="BH323" s="353">
        <v>0</v>
      </c>
      <c r="BI323" s="353">
        <v>0</v>
      </c>
      <c r="BJ323" s="353">
        <v>150000000</v>
      </c>
      <c r="BK323" s="386">
        <v>147072942</v>
      </c>
      <c r="BL323" s="351">
        <v>147072942</v>
      </c>
      <c r="BM323" s="351">
        <v>0</v>
      </c>
      <c r="BN323" s="351">
        <v>0</v>
      </c>
      <c r="BO323" s="351">
        <v>0</v>
      </c>
      <c r="BP323" s="351">
        <v>0</v>
      </c>
      <c r="BQ323" s="351">
        <v>0</v>
      </c>
      <c r="BR323" s="351">
        <v>0</v>
      </c>
      <c r="BS323" s="351">
        <v>0</v>
      </c>
      <c r="BT323" s="351">
        <v>508570000</v>
      </c>
      <c r="BU323" s="351" t="s">
        <v>1915</v>
      </c>
      <c r="BV323" s="350">
        <f t="shared" si="241"/>
        <v>5.5E-2</v>
      </c>
      <c r="BW323" s="350">
        <v>200</v>
      </c>
      <c r="BX323" s="385">
        <f t="shared" si="270"/>
        <v>0.33333333333333331</v>
      </c>
      <c r="BY323" s="397">
        <v>0</v>
      </c>
      <c r="BZ323" s="404">
        <v>0</v>
      </c>
      <c r="CA323" s="690">
        <v>0</v>
      </c>
      <c r="CB323" s="324">
        <f t="shared" si="271"/>
        <v>0</v>
      </c>
      <c r="CC323" s="324">
        <f t="shared" si="272"/>
        <v>0</v>
      </c>
      <c r="CD323" s="384">
        <f t="shared" si="242"/>
        <v>0</v>
      </c>
      <c r="CE323" s="383">
        <f t="shared" si="243"/>
        <v>0</v>
      </c>
      <c r="CF323" s="367">
        <f t="shared" si="244"/>
        <v>0</v>
      </c>
      <c r="CG323" s="383">
        <f t="shared" si="245"/>
        <v>0</v>
      </c>
      <c r="CH323" s="320">
        <f t="shared" si="246"/>
        <v>5.5E-2</v>
      </c>
      <c r="CI323" s="319">
        <v>200</v>
      </c>
      <c r="CJ323" s="318">
        <f t="shared" si="273"/>
        <v>0.33333333333333331</v>
      </c>
      <c r="CK323" s="1258">
        <v>0</v>
      </c>
      <c r="CL323" s="301">
        <f t="shared" si="274"/>
        <v>200</v>
      </c>
      <c r="CM323" s="381">
        <f t="shared" si="275"/>
        <v>0</v>
      </c>
      <c r="CN323" s="381">
        <f t="shared" si="276"/>
        <v>0</v>
      </c>
      <c r="CO323" s="316">
        <f t="shared" si="247"/>
        <v>0</v>
      </c>
      <c r="CP323" s="381">
        <f t="shared" si="248"/>
        <v>0</v>
      </c>
      <c r="CQ323" s="381">
        <f t="shared" si="249"/>
        <v>0</v>
      </c>
      <c r="CR323" s="313">
        <v>253000000</v>
      </c>
      <c r="CS323" s="313">
        <v>103000000</v>
      </c>
      <c r="CT323" s="313">
        <v>0</v>
      </c>
      <c r="CU323" s="313">
        <v>0</v>
      </c>
      <c r="CV323" s="313">
        <v>0</v>
      </c>
      <c r="CW323" s="313">
        <v>0</v>
      </c>
      <c r="CX323" s="313">
        <v>0</v>
      </c>
      <c r="CY323" s="313">
        <v>150000000</v>
      </c>
      <c r="CZ323" s="380">
        <v>0</v>
      </c>
      <c r="DA323" s="380">
        <v>0</v>
      </c>
      <c r="DB323" s="380">
        <v>0</v>
      </c>
      <c r="DC323" s="380">
        <v>0</v>
      </c>
      <c r="DD323" s="380">
        <v>0</v>
      </c>
      <c r="DE323" s="380">
        <v>0</v>
      </c>
      <c r="DF323" s="380">
        <v>0</v>
      </c>
      <c r="DG323" s="380">
        <v>0</v>
      </c>
      <c r="DH323" s="380">
        <v>0</v>
      </c>
      <c r="DI323" s="380">
        <v>0</v>
      </c>
      <c r="DJ323" s="380">
        <v>0</v>
      </c>
      <c r="DK323" s="702">
        <f t="shared" si="277"/>
        <v>743</v>
      </c>
      <c r="DL323" s="311">
        <f t="shared" si="250"/>
        <v>0.16500000000000001</v>
      </c>
      <c r="DM323" s="310">
        <f t="shared" si="251"/>
        <v>123.83333333333333</v>
      </c>
      <c r="DN323" s="356">
        <f t="shared" si="252"/>
        <v>100</v>
      </c>
      <c r="DO323" s="308">
        <f t="shared" si="253"/>
        <v>0.16500000000000001</v>
      </c>
      <c r="DP323" s="359">
        <f t="shared" si="281"/>
        <v>0.16500000000000001</v>
      </c>
      <c r="DQ323" s="306">
        <f t="shared" si="254"/>
        <v>0.16500000000000001</v>
      </c>
      <c r="DR323" s="379">
        <f t="shared" si="255"/>
        <v>1</v>
      </c>
      <c r="DS323" s="378">
        <f t="shared" si="256"/>
        <v>0</v>
      </c>
      <c r="DT323" s="173">
        <v>375</v>
      </c>
      <c r="DU323" s="174" t="s">
        <v>109</v>
      </c>
      <c r="DV323" s="173"/>
      <c r="DW323" s="174" t="s">
        <v>84</v>
      </c>
      <c r="DX323" s="173"/>
      <c r="DY323" s="173"/>
      <c r="DZ323" s="173"/>
      <c r="EA323" s="665"/>
      <c r="EB323" s="1254" t="s">
        <v>2569</v>
      </c>
      <c r="EC323" s="537">
        <v>9420000000</v>
      </c>
      <c r="EE323" s="734">
        <v>1123</v>
      </c>
      <c r="EF323" s="706"/>
    </row>
    <row r="324" spans="4:136" s="302" customFormat="1" ht="89.25" hidden="1">
      <c r="D324" s="520">
        <v>321</v>
      </c>
      <c r="E324" s="534">
        <v>378</v>
      </c>
      <c r="F324" s="479" t="s">
        <v>44</v>
      </c>
      <c r="G324" s="479" t="s">
        <v>16</v>
      </c>
      <c r="H324" s="479" t="s">
        <v>2665</v>
      </c>
      <c r="I324" s="435" t="s">
        <v>806</v>
      </c>
      <c r="J324" s="335" t="s">
        <v>807</v>
      </c>
      <c r="K324" s="335" t="s">
        <v>808</v>
      </c>
      <c r="L324" s="443" t="s">
        <v>1480</v>
      </c>
      <c r="M324" s="334" t="s">
        <v>1771</v>
      </c>
      <c r="N324" s="334">
        <v>11805</v>
      </c>
      <c r="O324" s="333">
        <f t="shared" si="280"/>
        <v>13830</v>
      </c>
      <c r="P324" s="332">
        <v>2025</v>
      </c>
      <c r="Q324" s="390">
        <v>0.25</v>
      </c>
      <c r="R324" s="342">
        <f t="shared" si="234"/>
        <v>1.2345679012345678E-2</v>
      </c>
      <c r="S324" s="389">
        <v>100</v>
      </c>
      <c r="T324" s="387">
        <f t="shared" si="264"/>
        <v>4.9382716049382713E-2</v>
      </c>
      <c r="U324" s="670">
        <v>265.5</v>
      </c>
      <c r="V324" s="388">
        <f t="shared" si="265"/>
        <v>265.5</v>
      </c>
      <c r="W324" s="356">
        <f t="shared" si="266"/>
        <v>265.5</v>
      </c>
      <c r="X324" s="356">
        <f t="shared" si="235"/>
        <v>100</v>
      </c>
      <c r="Y324" s="356">
        <f t="shared" si="259"/>
        <v>1.2345679012345678E-2</v>
      </c>
      <c r="Z324" s="356">
        <f t="shared" si="236"/>
        <v>100</v>
      </c>
      <c r="AA324" s="355">
        <v>282000000</v>
      </c>
      <c r="AB324" s="355">
        <v>274000000</v>
      </c>
      <c r="AC324" s="355">
        <v>0</v>
      </c>
      <c r="AD324" s="355">
        <v>0</v>
      </c>
      <c r="AE324" s="355">
        <v>0</v>
      </c>
      <c r="AF324" s="355">
        <v>0</v>
      </c>
      <c r="AG324" s="355">
        <v>0</v>
      </c>
      <c r="AH324" s="355">
        <v>8000000</v>
      </c>
      <c r="AI324" s="355">
        <v>273080000</v>
      </c>
      <c r="AJ324" s="355">
        <v>273080000</v>
      </c>
      <c r="AK324" s="355">
        <v>0</v>
      </c>
      <c r="AL324" s="355">
        <v>0</v>
      </c>
      <c r="AM324" s="355">
        <v>0</v>
      </c>
      <c r="AN324" s="355">
        <v>0</v>
      </c>
      <c r="AO324" s="355">
        <v>0</v>
      </c>
      <c r="AP324" s="355">
        <v>0</v>
      </c>
      <c r="AQ324" s="355">
        <v>0</v>
      </c>
      <c r="AR324" s="355">
        <v>50295000</v>
      </c>
      <c r="AS324" s="355" t="s">
        <v>1914</v>
      </c>
      <c r="AT324" s="333">
        <f t="shared" si="237"/>
        <v>7.407407407407407E-2</v>
      </c>
      <c r="AU324" s="334">
        <v>600</v>
      </c>
      <c r="AV324" s="387">
        <f t="shared" si="267"/>
        <v>0.29629629629629628</v>
      </c>
      <c r="AW324" s="677">
        <v>1000</v>
      </c>
      <c r="AX324" s="366">
        <f t="shared" si="268"/>
        <v>1000</v>
      </c>
      <c r="AY324" s="366">
        <f t="shared" si="269"/>
        <v>166.66666666666666</v>
      </c>
      <c r="AZ324" s="366">
        <f t="shared" si="238"/>
        <v>100</v>
      </c>
      <c r="BA324" s="354">
        <f t="shared" si="239"/>
        <v>7.407407407407407E-2</v>
      </c>
      <c r="BB324" s="354">
        <f t="shared" si="240"/>
        <v>100</v>
      </c>
      <c r="BC324" s="353">
        <v>4485000000</v>
      </c>
      <c r="BD324" s="353">
        <v>0</v>
      </c>
      <c r="BE324" s="353">
        <v>485000000</v>
      </c>
      <c r="BF324" s="353">
        <v>0</v>
      </c>
      <c r="BG324" s="353">
        <v>0</v>
      </c>
      <c r="BH324" s="353">
        <v>0</v>
      </c>
      <c r="BI324" s="353">
        <v>0</v>
      </c>
      <c r="BJ324" s="353">
        <v>4000000000</v>
      </c>
      <c r="BK324" s="386">
        <v>1406918408</v>
      </c>
      <c r="BL324" s="351">
        <v>1406918408</v>
      </c>
      <c r="BM324" s="351">
        <v>0</v>
      </c>
      <c r="BN324" s="351">
        <v>0</v>
      </c>
      <c r="BO324" s="351">
        <v>0</v>
      </c>
      <c r="BP324" s="351">
        <v>0</v>
      </c>
      <c r="BQ324" s="351">
        <v>0</v>
      </c>
      <c r="BR324" s="351">
        <v>0</v>
      </c>
      <c r="BS324" s="351">
        <v>0</v>
      </c>
      <c r="BT324" s="351">
        <v>348939917</v>
      </c>
      <c r="BU324" s="351" t="s">
        <v>1913</v>
      </c>
      <c r="BV324" s="350">
        <f t="shared" si="241"/>
        <v>7.407407407407407E-2</v>
      </c>
      <c r="BW324" s="350">
        <v>600</v>
      </c>
      <c r="BX324" s="385">
        <f t="shared" si="270"/>
        <v>0.29629629629629628</v>
      </c>
      <c r="BY324" s="399">
        <v>86.32</v>
      </c>
      <c r="BZ324" s="398">
        <v>0</v>
      </c>
      <c r="CA324" s="692">
        <v>1049.5</v>
      </c>
      <c r="CB324" s="324">
        <f t="shared" si="271"/>
        <v>1049.5</v>
      </c>
      <c r="CC324" s="324">
        <f t="shared" si="272"/>
        <v>174.91666666666666</v>
      </c>
      <c r="CD324" s="384">
        <f t="shared" si="242"/>
        <v>100</v>
      </c>
      <c r="CE324" s="383">
        <f t="shared" si="243"/>
        <v>7.407407407407407E-2</v>
      </c>
      <c r="CF324" s="367">
        <f t="shared" si="244"/>
        <v>100</v>
      </c>
      <c r="CG324" s="383">
        <f t="shared" si="245"/>
        <v>0.12956790123456791</v>
      </c>
      <c r="CH324" s="320">
        <f t="shared" si="246"/>
        <v>8.9506172839506168E-2</v>
      </c>
      <c r="CI324" s="319">
        <v>725</v>
      </c>
      <c r="CJ324" s="318">
        <f t="shared" si="273"/>
        <v>0.35802469135802467</v>
      </c>
      <c r="CK324" s="1258">
        <v>128</v>
      </c>
      <c r="CL324" s="301">
        <f t="shared" si="274"/>
        <v>597</v>
      </c>
      <c r="CM324" s="381">
        <f t="shared" si="275"/>
        <v>128</v>
      </c>
      <c r="CN324" s="381">
        <f t="shared" si="276"/>
        <v>17.655172413793103</v>
      </c>
      <c r="CO324" s="316">
        <f t="shared" si="247"/>
        <v>17.655172413793103</v>
      </c>
      <c r="CP324" s="381">
        <f t="shared" si="248"/>
        <v>1.580246913580247E-2</v>
      </c>
      <c r="CQ324" s="381">
        <f t="shared" si="249"/>
        <v>1.580246913580247E-2</v>
      </c>
      <c r="CR324" s="313">
        <v>4514000000</v>
      </c>
      <c r="CS324" s="313">
        <v>514000000</v>
      </c>
      <c r="CT324" s="313">
        <v>0</v>
      </c>
      <c r="CU324" s="313">
        <v>0</v>
      </c>
      <c r="CV324" s="313">
        <v>0</v>
      </c>
      <c r="CW324" s="313">
        <v>0</v>
      </c>
      <c r="CX324" s="313">
        <v>0</v>
      </c>
      <c r="CY324" s="313">
        <v>4000000000</v>
      </c>
      <c r="CZ324" s="380">
        <v>0</v>
      </c>
      <c r="DA324" s="380">
        <v>0</v>
      </c>
      <c r="DB324" s="380">
        <v>0</v>
      </c>
      <c r="DC324" s="380">
        <v>0</v>
      </c>
      <c r="DD324" s="380">
        <v>0</v>
      </c>
      <c r="DE324" s="380">
        <v>0</v>
      </c>
      <c r="DF324" s="380">
        <v>0</v>
      </c>
      <c r="DG324" s="380">
        <v>0</v>
      </c>
      <c r="DH324" s="380">
        <v>0</v>
      </c>
      <c r="DI324" s="380">
        <v>0</v>
      </c>
      <c r="DJ324" s="380">
        <v>0</v>
      </c>
      <c r="DK324" s="702">
        <f t="shared" si="277"/>
        <v>2443</v>
      </c>
      <c r="DL324" s="311">
        <f t="shared" si="250"/>
        <v>0.25</v>
      </c>
      <c r="DM324" s="310">
        <f t="shared" si="251"/>
        <v>120.64197530864197</v>
      </c>
      <c r="DN324" s="356">
        <f t="shared" si="252"/>
        <v>100</v>
      </c>
      <c r="DO324" s="308">
        <f t="shared" si="253"/>
        <v>0.25</v>
      </c>
      <c r="DP324" s="359">
        <f t="shared" si="281"/>
        <v>0.25</v>
      </c>
      <c r="DQ324" s="306">
        <f t="shared" si="254"/>
        <v>0.25</v>
      </c>
      <c r="DR324" s="379">
        <f t="shared" si="255"/>
        <v>1</v>
      </c>
      <c r="DS324" s="378">
        <f t="shared" si="256"/>
        <v>0</v>
      </c>
      <c r="DT324" s="173">
        <v>375</v>
      </c>
      <c r="DU324" s="174" t="s">
        <v>109</v>
      </c>
      <c r="DV324" s="173"/>
      <c r="DW324" s="174" t="s">
        <v>84</v>
      </c>
      <c r="DX324" s="173"/>
      <c r="DY324" s="173"/>
      <c r="DZ324" s="173"/>
      <c r="EA324" s="665"/>
      <c r="EB324" s="1254" t="s">
        <v>2570</v>
      </c>
      <c r="EC324" s="537">
        <v>900000000</v>
      </c>
      <c r="EE324" s="734">
        <v>400</v>
      </c>
      <c r="EF324" s="706"/>
    </row>
    <row r="325" spans="4:136" s="302" customFormat="1" ht="89.25" hidden="1">
      <c r="D325" s="520">
        <v>322</v>
      </c>
      <c r="E325" s="533">
        <v>379</v>
      </c>
      <c r="F325" s="529" t="s">
        <v>44</v>
      </c>
      <c r="G325" s="529" t="s">
        <v>16</v>
      </c>
      <c r="H325" s="529" t="s">
        <v>2665</v>
      </c>
      <c r="I325" s="1361" t="s">
        <v>809</v>
      </c>
      <c r="J325" s="335" t="s">
        <v>810</v>
      </c>
      <c r="K325" s="335" t="s">
        <v>811</v>
      </c>
      <c r="L325" s="443" t="s">
        <v>1773</v>
      </c>
      <c r="M325" s="334" t="s">
        <v>1771</v>
      </c>
      <c r="N325" s="334">
        <v>526</v>
      </c>
      <c r="O325" s="333">
        <f t="shared" si="280"/>
        <v>926</v>
      </c>
      <c r="P325" s="332">
        <v>400</v>
      </c>
      <c r="Q325" s="390">
        <v>0.16500000000000001</v>
      </c>
      <c r="R325" s="342">
        <f t="shared" ref="R325:R388" si="282">+Q325*T325</f>
        <v>0</v>
      </c>
      <c r="S325" s="389">
        <v>0</v>
      </c>
      <c r="T325" s="387">
        <f t="shared" si="264"/>
        <v>0</v>
      </c>
      <c r="U325" s="670">
        <v>0</v>
      </c>
      <c r="V325" s="388">
        <f t="shared" si="265"/>
        <v>0</v>
      </c>
      <c r="W325" s="356">
        <f t="shared" si="266"/>
        <v>0</v>
      </c>
      <c r="X325" s="356">
        <f t="shared" ref="X325:X388" si="283">+IF(W325&lt;100,W325,100)</f>
        <v>0</v>
      </c>
      <c r="Y325" s="356">
        <f t="shared" si="259"/>
        <v>0</v>
      </c>
      <c r="Z325" s="356">
        <f t="shared" ref="Z325:Z388" si="284">+IF(U325&gt;S325,100,X325)</f>
        <v>0</v>
      </c>
      <c r="AA325" s="355">
        <v>0</v>
      </c>
      <c r="AB325" s="355">
        <v>0</v>
      </c>
      <c r="AC325" s="355">
        <v>0</v>
      </c>
      <c r="AD325" s="355">
        <v>0</v>
      </c>
      <c r="AE325" s="355">
        <v>0</v>
      </c>
      <c r="AF325" s="355">
        <v>0</v>
      </c>
      <c r="AG325" s="355">
        <v>0</v>
      </c>
      <c r="AH325" s="355">
        <v>0</v>
      </c>
      <c r="AI325" s="355">
        <v>0</v>
      </c>
      <c r="AJ325" s="355">
        <v>0</v>
      </c>
      <c r="AK325" s="355">
        <v>0</v>
      </c>
      <c r="AL325" s="355">
        <v>0</v>
      </c>
      <c r="AM325" s="355">
        <v>0</v>
      </c>
      <c r="AN325" s="355">
        <v>0</v>
      </c>
      <c r="AO325" s="355">
        <v>0</v>
      </c>
      <c r="AP325" s="355">
        <v>0</v>
      </c>
      <c r="AQ325" s="355">
        <v>0</v>
      </c>
      <c r="AR325" s="355">
        <v>0</v>
      </c>
      <c r="AS325" s="355">
        <v>0</v>
      </c>
      <c r="AT325" s="333">
        <f t="shared" ref="AT325:AT388" si="285">+Q325*AV325</f>
        <v>4.1250000000000002E-2</v>
      </c>
      <c r="AU325" s="334">
        <v>100</v>
      </c>
      <c r="AV325" s="387">
        <f t="shared" si="267"/>
        <v>0.25</v>
      </c>
      <c r="AW325" s="677">
        <v>283</v>
      </c>
      <c r="AX325" s="366">
        <f t="shared" si="268"/>
        <v>283</v>
      </c>
      <c r="AY325" s="366">
        <f t="shared" si="269"/>
        <v>283</v>
      </c>
      <c r="AZ325" s="366">
        <f t="shared" ref="AZ325:AZ388" si="286">+IF(AY325&lt;100,AY325,100)</f>
        <v>100</v>
      </c>
      <c r="BA325" s="354">
        <f t="shared" ref="BA325:BA388" si="287">+(AZ325*AT325)/100</f>
        <v>4.1250000000000002E-2</v>
      </c>
      <c r="BB325" s="354">
        <f t="shared" ref="BB325:BB388" si="288">+IF(AW325&gt;AU325,100,AZ325)</f>
        <v>100</v>
      </c>
      <c r="BC325" s="353">
        <v>126000000</v>
      </c>
      <c r="BD325" s="353">
        <v>0</v>
      </c>
      <c r="BE325" s="353">
        <v>39000000</v>
      </c>
      <c r="BF325" s="353">
        <v>0</v>
      </c>
      <c r="BG325" s="353">
        <v>0</v>
      </c>
      <c r="BH325" s="353">
        <v>0</v>
      </c>
      <c r="BI325" s="353">
        <v>0</v>
      </c>
      <c r="BJ325" s="353">
        <v>87000000</v>
      </c>
      <c r="BK325" s="386">
        <v>39000000</v>
      </c>
      <c r="BL325" s="351">
        <v>39000000</v>
      </c>
      <c r="BM325" s="351">
        <v>0</v>
      </c>
      <c r="BN325" s="351">
        <v>0</v>
      </c>
      <c r="BO325" s="351">
        <v>0</v>
      </c>
      <c r="BP325" s="351">
        <v>0</v>
      </c>
      <c r="BQ325" s="351">
        <v>0</v>
      </c>
      <c r="BR325" s="351">
        <v>0</v>
      </c>
      <c r="BS325" s="351">
        <v>0</v>
      </c>
      <c r="BT325" s="351">
        <v>7700000</v>
      </c>
      <c r="BU325" s="351" t="s">
        <v>1912</v>
      </c>
      <c r="BV325" s="350">
        <f t="shared" ref="BV325:BV388" si="289">+Q325*BX325</f>
        <v>6.1874999999999999E-2</v>
      </c>
      <c r="BW325" s="350">
        <v>150</v>
      </c>
      <c r="BX325" s="385">
        <f t="shared" si="270"/>
        <v>0.375</v>
      </c>
      <c r="BY325" s="400">
        <v>150</v>
      </c>
      <c r="BZ325" s="416">
        <v>150</v>
      </c>
      <c r="CA325" s="691">
        <v>150</v>
      </c>
      <c r="CB325" s="324">
        <f t="shared" si="271"/>
        <v>150</v>
      </c>
      <c r="CC325" s="324">
        <f t="shared" si="272"/>
        <v>100</v>
      </c>
      <c r="CD325" s="384">
        <f t="shared" ref="CD325:CD388" si="290">+IF(CC325&lt;100,CC325,100)</f>
        <v>100</v>
      </c>
      <c r="CE325" s="383">
        <f t="shared" ref="CE325:CE388" si="291">+(CD325*BV325)/100</f>
        <v>6.1874999999999999E-2</v>
      </c>
      <c r="CF325" s="367">
        <f t="shared" ref="CF325:CF388" si="292">+IF(BZ325&gt;BW325,100,CD325)</f>
        <v>100</v>
      </c>
      <c r="CG325" s="383">
        <f t="shared" ref="CG325:CG388" si="293">(CC325*BV325)/100</f>
        <v>6.1874999999999999E-2</v>
      </c>
      <c r="CH325" s="320">
        <f t="shared" ref="CH325:CH388" si="294">+Q325*CJ325</f>
        <v>6.1874999999999999E-2</v>
      </c>
      <c r="CI325" s="319">
        <v>150</v>
      </c>
      <c r="CJ325" s="318">
        <f t="shared" si="273"/>
        <v>0.375</v>
      </c>
      <c r="CK325" s="1258">
        <v>0</v>
      </c>
      <c r="CL325" s="301">
        <f t="shared" si="274"/>
        <v>150</v>
      </c>
      <c r="CM325" s="381">
        <f t="shared" si="275"/>
        <v>0</v>
      </c>
      <c r="CN325" s="381">
        <f t="shared" si="276"/>
        <v>0</v>
      </c>
      <c r="CO325" s="316">
        <f t="shared" ref="CO325:CO388" si="295">+IF(CN325&lt;100,CN325,100)</f>
        <v>0</v>
      </c>
      <c r="CP325" s="381">
        <f t="shared" ref="CP325:CP388" si="296">+(CO325*CH325)/100</f>
        <v>0</v>
      </c>
      <c r="CQ325" s="381">
        <f t="shared" ref="CQ325:CQ388" si="297">+(CN325*CH325)/100</f>
        <v>0</v>
      </c>
      <c r="CR325" s="313">
        <v>128000000</v>
      </c>
      <c r="CS325" s="313">
        <v>41000000</v>
      </c>
      <c r="CT325" s="313">
        <v>0</v>
      </c>
      <c r="CU325" s="313">
        <v>0</v>
      </c>
      <c r="CV325" s="313">
        <v>0</v>
      </c>
      <c r="CW325" s="313">
        <v>0</v>
      </c>
      <c r="CX325" s="313">
        <v>0</v>
      </c>
      <c r="CY325" s="313">
        <v>87000000</v>
      </c>
      <c r="CZ325" s="380">
        <v>0</v>
      </c>
      <c r="DA325" s="380">
        <v>0</v>
      </c>
      <c r="DB325" s="380">
        <v>0</v>
      </c>
      <c r="DC325" s="380">
        <v>0</v>
      </c>
      <c r="DD325" s="380">
        <v>0</v>
      </c>
      <c r="DE325" s="380">
        <v>0</v>
      </c>
      <c r="DF325" s="380">
        <v>0</v>
      </c>
      <c r="DG325" s="380">
        <v>0</v>
      </c>
      <c r="DH325" s="380">
        <v>0</v>
      </c>
      <c r="DI325" s="380">
        <v>0</v>
      </c>
      <c r="DJ325" s="380">
        <v>0</v>
      </c>
      <c r="DK325" s="702">
        <f t="shared" si="277"/>
        <v>433</v>
      </c>
      <c r="DL325" s="311">
        <f t="shared" ref="DL325:DL388" si="298">+R325+AT325+BV325+CH325</f>
        <v>0.16499999999999998</v>
      </c>
      <c r="DM325" s="310">
        <f t="shared" ref="DM325:DM388" si="299">+DK325*100/P325</f>
        <v>108.25</v>
      </c>
      <c r="DN325" s="356">
        <f t="shared" ref="DN325:DN388" si="300">+IF(DM325&lt;100,DM325,100)</f>
        <v>100</v>
      </c>
      <c r="DO325" s="308">
        <f t="shared" ref="DO325:DO388" si="301">+(DN325*Q325)/100</f>
        <v>0.16500000000000001</v>
      </c>
      <c r="DP325" s="359">
        <f t="shared" si="281"/>
        <v>0.16500000000000001</v>
      </c>
      <c r="DQ325" s="306">
        <f t="shared" ref="DQ325:DQ388" si="302">+IF(DL325&lt;DP325,DL325,DP325)</f>
        <v>0.16500000000000001</v>
      </c>
      <c r="DR325" s="379">
        <f t="shared" ref="DR325:DR388" si="303">+T325+AV325+BX325+CJ325</f>
        <v>1</v>
      </c>
      <c r="DS325" s="378">
        <f t="shared" ref="DS325:DS388" si="304">+Q325-R325-AT325-BV325-CH325</f>
        <v>0</v>
      </c>
      <c r="DT325" s="173">
        <v>360</v>
      </c>
      <c r="DU325" s="174" t="s">
        <v>110</v>
      </c>
      <c r="DV325" s="173"/>
      <c r="DW325" s="174" t="s">
        <v>84</v>
      </c>
      <c r="DX325" s="173"/>
      <c r="DY325" s="173"/>
      <c r="DZ325" s="173"/>
      <c r="EA325" s="665"/>
      <c r="EB325" s="1254" t="s">
        <v>2571</v>
      </c>
      <c r="EC325" s="537">
        <v>2970000000</v>
      </c>
      <c r="EE325" s="734">
        <v>634</v>
      </c>
      <c r="EF325" s="706"/>
    </row>
    <row r="326" spans="4:136" s="302" customFormat="1" ht="153" hidden="1">
      <c r="D326" s="520">
        <v>323</v>
      </c>
      <c r="E326" s="534">
        <v>380</v>
      </c>
      <c r="F326" s="479" t="s">
        <v>44</v>
      </c>
      <c r="G326" s="479" t="s">
        <v>16</v>
      </c>
      <c r="H326" s="479" t="s">
        <v>2665</v>
      </c>
      <c r="I326" s="435" t="s">
        <v>812</v>
      </c>
      <c r="J326" s="335" t="s">
        <v>813</v>
      </c>
      <c r="K326" s="335" t="s">
        <v>814</v>
      </c>
      <c r="L326" s="443" t="s">
        <v>1463</v>
      </c>
      <c r="M326" s="334" t="s">
        <v>1771</v>
      </c>
      <c r="N326" s="334">
        <v>33746</v>
      </c>
      <c r="O326" s="333">
        <f t="shared" si="280"/>
        <v>38746</v>
      </c>
      <c r="P326" s="332">
        <v>5000</v>
      </c>
      <c r="Q326" s="390">
        <v>0.25</v>
      </c>
      <c r="R326" s="342">
        <f t="shared" si="282"/>
        <v>1.4999999999999999E-2</v>
      </c>
      <c r="S326" s="389">
        <v>300</v>
      </c>
      <c r="T326" s="387">
        <f t="shared" si="264"/>
        <v>0.06</v>
      </c>
      <c r="U326" s="670">
        <v>1332</v>
      </c>
      <c r="V326" s="388">
        <f t="shared" si="265"/>
        <v>1332</v>
      </c>
      <c r="W326" s="356">
        <f t="shared" si="266"/>
        <v>444</v>
      </c>
      <c r="X326" s="356">
        <f t="shared" si="283"/>
        <v>100</v>
      </c>
      <c r="Y326" s="356">
        <f t="shared" si="259"/>
        <v>1.4999999999999999E-2</v>
      </c>
      <c r="Z326" s="356">
        <f t="shared" si="284"/>
        <v>100</v>
      </c>
      <c r="AA326" s="355">
        <v>654000000</v>
      </c>
      <c r="AB326" s="355">
        <v>425000000</v>
      </c>
      <c r="AC326" s="355">
        <v>0</v>
      </c>
      <c r="AD326" s="355">
        <v>0</v>
      </c>
      <c r="AE326" s="355">
        <v>0</v>
      </c>
      <c r="AF326" s="355">
        <v>0</v>
      </c>
      <c r="AG326" s="355">
        <v>0</v>
      </c>
      <c r="AH326" s="355">
        <v>229000000</v>
      </c>
      <c r="AI326" s="355">
        <v>425360000</v>
      </c>
      <c r="AJ326" s="355">
        <v>425360000</v>
      </c>
      <c r="AK326" s="355">
        <v>0</v>
      </c>
      <c r="AL326" s="355">
        <v>0</v>
      </c>
      <c r="AM326" s="355">
        <v>0</v>
      </c>
      <c r="AN326" s="355">
        <v>0</v>
      </c>
      <c r="AO326" s="355">
        <v>0</v>
      </c>
      <c r="AP326" s="355">
        <v>0</v>
      </c>
      <c r="AQ326" s="355">
        <v>0</v>
      </c>
      <c r="AR326" s="355">
        <v>87349000</v>
      </c>
      <c r="AS326" s="355" t="s">
        <v>1911</v>
      </c>
      <c r="AT326" s="333">
        <f t="shared" si="285"/>
        <v>0.1</v>
      </c>
      <c r="AU326" s="334">
        <v>2000</v>
      </c>
      <c r="AV326" s="387">
        <f t="shared" si="267"/>
        <v>0.4</v>
      </c>
      <c r="AW326" s="677">
        <v>1104</v>
      </c>
      <c r="AX326" s="366">
        <f t="shared" si="268"/>
        <v>1104</v>
      </c>
      <c r="AY326" s="366">
        <f t="shared" si="269"/>
        <v>55.2</v>
      </c>
      <c r="AZ326" s="366">
        <f t="shared" si="286"/>
        <v>55.2</v>
      </c>
      <c r="BA326" s="354">
        <f t="shared" si="287"/>
        <v>5.5200000000000006E-2</v>
      </c>
      <c r="BB326" s="354">
        <f t="shared" si="288"/>
        <v>55.2</v>
      </c>
      <c r="BC326" s="353">
        <v>4311000000</v>
      </c>
      <c r="BD326" s="353">
        <v>0</v>
      </c>
      <c r="BE326" s="353">
        <v>311000000</v>
      </c>
      <c r="BF326" s="353">
        <v>0</v>
      </c>
      <c r="BG326" s="353">
        <v>0</v>
      </c>
      <c r="BH326" s="353">
        <v>0</v>
      </c>
      <c r="BI326" s="353">
        <v>0</v>
      </c>
      <c r="BJ326" s="353">
        <v>4000000000</v>
      </c>
      <c r="BK326" s="386">
        <v>332089434</v>
      </c>
      <c r="BL326" s="351">
        <v>332089434</v>
      </c>
      <c r="BM326" s="351">
        <v>0</v>
      </c>
      <c r="BN326" s="351">
        <v>0</v>
      </c>
      <c r="BO326" s="351">
        <v>0</v>
      </c>
      <c r="BP326" s="351">
        <v>0</v>
      </c>
      <c r="BQ326" s="351">
        <v>0</v>
      </c>
      <c r="BR326" s="351">
        <v>0</v>
      </c>
      <c r="BS326" s="351">
        <v>0</v>
      </c>
      <c r="BT326" s="351">
        <v>210746298</v>
      </c>
      <c r="BU326" s="351" t="s">
        <v>1910</v>
      </c>
      <c r="BV326" s="350">
        <f t="shared" si="289"/>
        <v>0.1</v>
      </c>
      <c r="BW326" s="350">
        <v>2000</v>
      </c>
      <c r="BX326" s="385">
        <f t="shared" si="270"/>
        <v>0.4</v>
      </c>
      <c r="BY326" s="399">
        <v>520</v>
      </c>
      <c r="BZ326" s="398">
        <v>520</v>
      </c>
      <c r="CA326" s="690">
        <v>1965</v>
      </c>
      <c r="CB326" s="324">
        <f t="shared" si="271"/>
        <v>1965</v>
      </c>
      <c r="CC326" s="324">
        <f t="shared" si="272"/>
        <v>98.25</v>
      </c>
      <c r="CD326" s="384">
        <f t="shared" si="290"/>
        <v>98.25</v>
      </c>
      <c r="CE326" s="383">
        <f t="shared" si="291"/>
        <v>9.8250000000000004E-2</v>
      </c>
      <c r="CF326" s="367">
        <f t="shared" si="292"/>
        <v>98.25</v>
      </c>
      <c r="CG326" s="383">
        <f t="shared" si="293"/>
        <v>9.8250000000000004E-2</v>
      </c>
      <c r="CH326" s="320">
        <f t="shared" si="294"/>
        <v>3.5000000000000003E-2</v>
      </c>
      <c r="CI326" s="319">
        <v>700</v>
      </c>
      <c r="CJ326" s="318">
        <f t="shared" si="273"/>
        <v>0.14000000000000001</v>
      </c>
      <c r="CK326" s="1259">
        <v>606</v>
      </c>
      <c r="CL326" s="301">
        <f t="shared" si="274"/>
        <v>94</v>
      </c>
      <c r="CM326" s="381">
        <f t="shared" si="275"/>
        <v>606</v>
      </c>
      <c r="CN326" s="381">
        <f t="shared" si="276"/>
        <v>86.571428571428569</v>
      </c>
      <c r="CO326" s="316">
        <f t="shared" si="295"/>
        <v>86.571428571428569</v>
      </c>
      <c r="CP326" s="381">
        <f t="shared" si="296"/>
        <v>3.0300000000000004E-2</v>
      </c>
      <c r="CQ326" s="381">
        <f t="shared" si="297"/>
        <v>3.0300000000000004E-2</v>
      </c>
      <c r="CR326" s="313">
        <v>4330000000</v>
      </c>
      <c r="CS326" s="313">
        <v>330000000</v>
      </c>
      <c r="CT326" s="313">
        <v>0</v>
      </c>
      <c r="CU326" s="313">
        <v>0</v>
      </c>
      <c r="CV326" s="313">
        <v>0</v>
      </c>
      <c r="CW326" s="313">
        <v>0</v>
      </c>
      <c r="CX326" s="313">
        <v>0</v>
      </c>
      <c r="CY326" s="313">
        <v>4000000000</v>
      </c>
      <c r="CZ326" s="380">
        <v>0</v>
      </c>
      <c r="DA326" s="380">
        <v>0</v>
      </c>
      <c r="DB326" s="380">
        <v>0</v>
      </c>
      <c r="DC326" s="380">
        <v>0</v>
      </c>
      <c r="DD326" s="380">
        <v>0</v>
      </c>
      <c r="DE326" s="380">
        <v>0</v>
      </c>
      <c r="DF326" s="380">
        <v>0</v>
      </c>
      <c r="DG326" s="380">
        <v>0</v>
      </c>
      <c r="DH326" s="380">
        <v>0</v>
      </c>
      <c r="DI326" s="380">
        <v>0</v>
      </c>
      <c r="DJ326" s="380">
        <v>0</v>
      </c>
      <c r="DK326" s="702">
        <f t="shared" si="277"/>
        <v>5007</v>
      </c>
      <c r="DL326" s="311">
        <f t="shared" si="298"/>
        <v>0.25</v>
      </c>
      <c r="DM326" s="310">
        <f t="shared" si="299"/>
        <v>100.14</v>
      </c>
      <c r="DN326" s="356">
        <f t="shared" si="300"/>
        <v>100</v>
      </c>
      <c r="DO326" s="308">
        <f t="shared" si="301"/>
        <v>0.25</v>
      </c>
      <c r="DP326" s="359">
        <f t="shared" si="281"/>
        <v>0.25</v>
      </c>
      <c r="DQ326" s="306">
        <f t="shared" si="302"/>
        <v>0.25</v>
      </c>
      <c r="DR326" s="379">
        <f t="shared" si="303"/>
        <v>1</v>
      </c>
      <c r="DS326" s="378">
        <f t="shared" si="304"/>
        <v>0</v>
      </c>
      <c r="DT326" s="173">
        <v>375</v>
      </c>
      <c r="DU326" s="174" t="s">
        <v>109</v>
      </c>
      <c r="DV326" s="173"/>
      <c r="DW326" s="174" t="s">
        <v>84</v>
      </c>
      <c r="DX326" s="173"/>
      <c r="DY326" s="173"/>
      <c r="DZ326" s="173"/>
      <c r="EA326" s="665"/>
      <c r="EB326" s="1254" t="s">
        <v>2572</v>
      </c>
      <c r="EC326" s="537">
        <v>375000000</v>
      </c>
      <c r="EE326" s="734">
        <v>634</v>
      </c>
      <c r="EF326" s="706"/>
    </row>
    <row r="327" spans="4:136" s="302" customFormat="1" ht="76.5" hidden="1">
      <c r="D327" s="520">
        <v>324</v>
      </c>
      <c r="E327" s="534">
        <v>381</v>
      </c>
      <c r="F327" s="336" t="s">
        <v>44</v>
      </c>
      <c r="G327" s="336" t="s">
        <v>16</v>
      </c>
      <c r="H327" s="336" t="s">
        <v>2665</v>
      </c>
      <c r="I327" s="336" t="s">
        <v>812</v>
      </c>
      <c r="J327" s="335" t="s">
        <v>1286</v>
      </c>
      <c r="K327" s="335" t="s">
        <v>815</v>
      </c>
      <c r="L327" s="443" t="s">
        <v>1909</v>
      </c>
      <c r="M327" s="334" t="s">
        <v>1771</v>
      </c>
      <c r="N327" s="334">
        <v>0</v>
      </c>
      <c r="O327" s="333">
        <f t="shared" si="280"/>
        <v>15</v>
      </c>
      <c r="P327" s="332">
        <v>15</v>
      </c>
      <c r="Q327" s="393">
        <v>0.16500000000000001</v>
      </c>
      <c r="R327" s="342">
        <f t="shared" si="282"/>
        <v>3.3000000000000002E-2</v>
      </c>
      <c r="S327" s="389">
        <v>3</v>
      </c>
      <c r="T327" s="387">
        <f t="shared" si="264"/>
        <v>0.2</v>
      </c>
      <c r="U327" s="670">
        <v>6</v>
      </c>
      <c r="V327" s="388">
        <f t="shared" si="265"/>
        <v>6</v>
      </c>
      <c r="W327" s="356">
        <f t="shared" si="266"/>
        <v>200</v>
      </c>
      <c r="X327" s="356">
        <f t="shared" si="283"/>
        <v>100</v>
      </c>
      <c r="Y327" s="356">
        <f t="shared" si="259"/>
        <v>3.3000000000000002E-2</v>
      </c>
      <c r="Z327" s="356">
        <f t="shared" si="284"/>
        <v>100</v>
      </c>
      <c r="AA327" s="355">
        <v>1278000000</v>
      </c>
      <c r="AB327" s="355">
        <v>1050000000</v>
      </c>
      <c r="AC327" s="355">
        <v>0</v>
      </c>
      <c r="AD327" s="355">
        <v>0</v>
      </c>
      <c r="AE327" s="355">
        <v>0</v>
      </c>
      <c r="AF327" s="355">
        <v>0</v>
      </c>
      <c r="AG327" s="355">
        <v>0</v>
      </c>
      <c r="AH327" s="355">
        <v>228000000</v>
      </c>
      <c r="AI327" s="355">
        <v>910000000</v>
      </c>
      <c r="AJ327" s="355">
        <v>910000000</v>
      </c>
      <c r="AK327" s="355">
        <v>0</v>
      </c>
      <c r="AL327" s="355">
        <v>0</v>
      </c>
      <c r="AM327" s="355">
        <v>0</v>
      </c>
      <c r="AN327" s="355">
        <v>0</v>
      </c>
      <c r="AO327" s="355">
        <v>0</v>
      </c>
      <c r="AP327" s="355">
        <v>0</v>
      </c>
      <c r="AQ327" s="355">
        <v>0</v>
      </c>
      <c r="AR327" s="355">
        <v>205500000</v>
      </c>
      <c r="AS327" s="355" t="s">
        <v>1908</v>
      </c>
      <c r="AT327" s="392">
        <f t="shared" si="285"/>
        <v>3.3000000000000002E-2</v>
      </c>
      <c r="AU327" s="334">
        <v>3</v>
      </c>
      <c r="AV327" s="387">
        <f t="shared" si="267"/>
        <v>0.2</v>
      </c>
      <c r="AW327" s="677">
        <v>4</v>
      </c>
      <c r="AX327" s="366">
        <f t="shared" si="268"/>
        <v>4</v>
      </c>
      <c r="AY327" s="366">
        <f t="shared" si="269"/>
        <v>133.33333333333334</v>
      </c>
      <c r="AZ327" s="366">
        <f t="shared" si="286"/>
        <v>100</v>
      </c>
      <c r="BA327" s="354">
        <f t="shared" si="287"/>
        <v>3.3000000000000002E-2</v>
      </c>
      <c r="BB327" s="354">
        <f t="shared" si="288"/>
        <v>100</v>
      </c>
      <c r="BC327" s="353">
        <v>388000000</v>
      </c>
      <c r="BD327" s="353">
        <v>0</v>
      </c>
      <c r="BE327" s="353">
        <v>388000000</v>
      </c>
      <c r="BF327" s="353">
        <v>0</v>
      </c>
      <c r="BG327" s="353">
        <v>0</v>
      </c>
      <c r="BH327" s="353">
        <v>0</v>
      </c>
      <c r="BI327" s="353">
        <v>0</v>
      </c>
      <c r="BJ327" s="353">
        <v>0</v>
      </c>
      <c r="BK327" s="386">
        <v>538000000</v>
      </c>
      <c r="BL327" s="351">
        <v>538000000</v>
      </c>
      <c r="BM327" s="351">
        <v>0</v>
      </c>
      <c r="BN327" s="351">
        <v>0</v>
      </c>
      <c r="BO327" s="351">
        <v>0</v>
      </c>
      <c r="BP327" s="351">
        <v>0</v>
      </c>
      <c r="BQ327" s="351">
        <v>0</v>
      </c>
      <c r="BR327" s="351">
        <v>0</v>
      </c>
      <c r="BS327" s="351">
        <v>0</v>
      </c>
      <c r="BT327" s="351">
        <v>122250000</v>
      </c>
      <c r="BU327" s="351" t="s">
        <v>1907</v>
      </c>
      <c r="BV327" s="350">
        <f t="shared" si="289"/>
        <v>4.4000000000000004E-2</v>
      </c>
      <c r="BW327" s="350">
        <v>4</v>
      </c>
      <c r="BX327" s="385">
        <f t="shared" si="270"/>
        <v>0.26666666666666666</v>
      </c>
      <c r="BY327" s="399">
        <v>0</v>
      </c>
      <c r="BZ327" s="398">
        <v>0</v>
      </c>
      <c r="CA327" s="690">
        <v>0</v>
      </c>
      <c r="CB327" s="324">
        <f t="shared" si="271"/>
        <v>0</v>
      </c>
      <c r="CC327" s="324">
        <f t="shared" si="272"/>
        <v>0</v>
      </c>
      <c r="CD327" s="384">
        <f t="shared" si="290"/>
        <v>0</v>
      </c>
      <c r="CE327" s="383">
        <f t="shared" si="291"/>
        <v>0</v>
      </c>
      <c r="CF327" s="367">
        <f t="shared" si="292"/>
        <v>0</v>
      </c>
      <c r="CG327" s="383">
        <f t="shared" si="293"/>
        <v>0</v>
      </c>
      <c r="CH327" s="320">
        <f t="shared" si="294"/>
        <v>5.5E-2</v>
      </c>
      <c r="CI327" s="319">
        <v>5</v>
      </c>
      <c r="CJ327" s="318">
        <f t="shared" si="273"/>
        <v>0.33333333333333331</v>
      </c>
      <c r="CK327" s="1259">
        <v>6</v>
      </c>
      <c r="CL327" s="301">
        <f t="shared" si="274"/>
        <v>-1</v>
      </c>
      <c r="CM327" s="381">
        <f t="shared" si="275"/>
        <v>6</v>
      </c>
      <c r="CN327" s="381">
        <f t="shared" si="276"/>
        <v>120</v>
      </c>
      <c r="CO327" s="316">
        <f t="shared" si="295"/>
        <v>100</v>
      </c>
      <c r="CP327" s="381">
        <f t="shared" si="296"/>
        <v>5.5E-2</v>
      </c>
      <c r="CQ327" s="381">
        <f t="shared" si="297"/>
        <v>6.6000000000000003E-2</v>
      </c>
      <c r="CR327" s="313">
        <v>412000000</v>
      </c>
      <c r="CS327" s="313">
        <v>412000000</v>
      </c>
      <c r="CT327" s="313">
        <v>0</v>
      </c>
      <c r="CU327" s="313">
        <v>0</v>
      </c>
      <c r="CV327" s="313">
        <v>0</v>
      </c>
      <c r="CW327" s="313">
        <v>0</v>
      </c>
      <c r="CX327" s="313">
        <v>0</v>
      </c>
      <c r="CY327" s="313">
        <v>0</v>
      </c>
      <c r="CZ327" s="380">
        <v>0</v>
      </c>
      <c r="DA327" s="380">
        <v>0</v>
      </c>
      <c r="DB327" s="380">
        <v>0</v>
      </c>
      <c r="DC327" s="380">
        <v>0</v>
      </c>
      <c r="DD327" s="380">
        <v>0</v>
      </c>
      <c r="DE327" s="380">
        <v>0</v>
      </c>
      <c r="DF327" s="380">
        <v>0</v>
      </c>
      <c r="DG327" s="380">
        <v>0</v>
      </c>
      <c r="DH327" s="380">
        <v>0</v>
      </c>
      <c r="DI327" s="380">
        <v>0</v>
      </c>
      <c r="DJ327" s="380">
        <v>0</v>
      </c>
      <c r="DK327" s="702">
        <f t="shared" si="277"/>
        <v>16</v>
      </c>
      <c r="DL327" s="311">
        <f t="shared" si="298"/>
        <v>0.16500000000000001</v>
      </c>
      <c r="DM327" s="310">
        <f t="shared" si="299"/>
        <v>106.66666666666667</v>
      </c>
      <c r="DN327" s="356">
        <f t="shared" si="300"/>
        <v>100</v>
      </c>
      <c r="DO327" s="308">
        <f t="shared" si="301"/>
        <v>0.16500000000000001</v>
      </c>
      <c r="DP327" s="359">
        <f t="shared" si="281"/>
        <v>0.16500000000000001</v>
      </c>
      <c r="DQ327" s="306">
        <f t="shared" si="302"/>
        <v>0.16500000000000001</v>
      </c>
      <c r="DR327" s="379">
        <f t="shared" si="303"/>
        <v>1</v>
      </c>
      <c r="DS327" s="378">
        <f t="shared" si="304"/>
        <v>0</v>
      </c>
      <c r="DT327" s="173">
        <v>375</v>
      </c>
      <c r="DU327" s="174" t="s">
        <v>109</v>
      </c>
      <c r="DV327" s="173"/>
      <c r="DW327" s="174" t="s">
        <v>84</v>
      </c>
      <c r="DX327" s="173"/>
      <c r="DY327" s="173"/>
      <c r="DZ327" s="173"/>
      <c r="EA327" s="665"/>
      <c r="EB327" s="1254" t="s">
        <v>2573</v>
      </c>
      <c r="EC327" s="537">
        <v>400000000</v>
      </c>
      <c r="EE327" s="734">
        <v>50</v>
      </c>
      <c r="EF327" s="706"/>
    </row>
    <row r="328" spans="4:136" s="302" customFormat="1" ht="108" hidden="1">
      <c r="D328" s="520">
        <v>325</v>
      </c>
      <c r="E328" s="534">
        <v>382</v>
      </c>
      <c r="F328" s="479" t="s">
        <v>44</v>
      </c>
      <c r="G328" s="479" t="s">
        <v>16</v>
      </c>
      <c r="H328" s="479" t="s">
        <v>2665</v>
      </c>
      <c r="I328" s="435" t="s">
        <v>2325</v>
      </c>
      <c r="J328" s="335" t="s">
        <v>816</v>
      </c>
      <c r="K328" s="335" t="s">
        <v>817</v>
      </c>
      <c r="L328" s="443" t="s">
        <v>1773</v>
      </c>
      <c r="M328" s="334" t="s">
        <v>1771</v>
      </c>
      <c r="N328" s="334">
        <v>12</v>
      </c>
      <c r="O328" s="333">
        <f t="shared" si="280"/>
        <v>47</v>
      </c>
      <c r="P328" s="332">
        <v>35</v>
      </c>
      <c r="Q328" s="390">
        <v>0.16500000000000001</v>
      </c>
      <c r="R328" s="342">
        <f t="shared" si="282"/>
        <v>3.7714285714285714E-2</v>
      </c>
      <c r="S328" s="389">
        <v>8</v>
      </c>
      <c r="T328" s="387">
        <f t="shared" si="264"/>
        <v>0.22857142857142856</v>
      </c>
      <c r="U328" s="670">
        <v>17</v>
      </c>
      <c r="V328" s="388">
        <f t="shared" si="265"/>
        <v>17</v>
      </c>
      <c r="W328" s="356">
        <f t="shared" si="266"/>
        <v>212.5</v>
      </c>
      <c r="X328" s="356">
        <f t="shared" si="283"/>
        <v>100</v>
      </c>
      <c r="Y328" s="356">
        <f t="shared" si="259"/>
        <v>3.7714285714285714E-2</v>
      </c>
      <c r="Z328" s="356">
        <f t="shared" si="284"/>
        <v>100</v>
      </c>
      <c r="AA328" s="355">
        <v>240000000</v>
      </c>
      <c r="AB328" s="355">
        <v>240000000</v>
      </c>
      <c r="AC328" s="355">
        <v>0</v>
      </c>
      <c r="AD328" s="355">
        <v>0</v>
      </c>
      <c r="AE328" s="355">
        <v>0</v>
      </c>
      <c r="AF328" s="355">
        <v>0</v>
      </c>
      <c r="AG328" s="355">
        <v>0</v>
      </c>
      <c r="AH328" s="355">
        <v>0</v>
      </c>
      <c r="AI328" s="355">
        <v>0</v>
      </c>
      <c r="AJ328" s="355">
        <v>0</v>
      </c>
      <c r="AK328" s="355">
        <v>0</v>
      </c>
      <c r="AL328" s="355">
        <v>0</v>
      </c>
      <c r="AM328" s="355">
        <v>0</v>
      </c>
      <c r="AN328" s="355">
        <v>0</v>
      </c>
      <c r="AO328" s="355">
        <v>0</v>
      </c>
      <c r="AP328" s="355">
        <v>0</v>
      </c>
      <c r="AQ328" s="355">
        <v>0</v>
      </c>
      <c r="AR328" s="355">
        <v>0</v>
      </c>
      <c r="AS328" s="355">
        <v>0</v>
      </c>
      <c r="AT328" s="333">
        <f t="shared" si="285"/>
        <v>4.7142857142857139E-2</v>
      </c>
      <c r="AU328" s="334">
        <v>10</v>
      </c>
      <c r="AV328" s="387">
        <f t="shared" si="267"/>
        <v>0.2857142857142857</v>
      </c>
      <c r="AW328" s="677">
        <v>10</v>
      </c>
      <c r="AX328" s="366">
        <f t="shared" si="268"/>
        <v>10</v>
      </c>
      <c r="AY328" s="366">
        <f t="shared" si="269"/>
        <v>100</v>
      </c>
      <c r="AZ328" s="366">
        <f t="shared" si="286"/>
        <v>100</v>
      </c>
      <c r="BA328" s="354">
        <f t="shared" si="287"/>
        <v>4.7142857142857132E-2</v>
      </c>
      <c r="BB328" s="354">
        <f t="shared" si="288"/>
        <v>100</v>
      </c>
      <c r="BC328" s="353">
        <v>1791000000</v>
      </c>
      <c r="BD328" s="353">
        <v>0</v>
      </c>
      <c r="BE328" s="353">
        <v>291000000</v>
      </c>
      <c r="BF328" s="353">
        <v>0</v>
      </c>
      <c r="BG328" s="353">
        <v>0</v>
      </c>
      <c r="BH328" s="353">
        <v>0</v>
      </c>
      <c r="BI328" s="353">
        <v>0</v>
      </c>
      <c r="BJ328" s="353">
        <v>1500000000</v>
      </c>
      <c r="BK328" s="386">
        <v>242932396</v>
      </c>
      <c r="BL328" s="351">
        <v>242932396</v>
      </c>
      <c r="BM328" s="351">
        <v>0</v>
      </c>
      <c r="BN328" s="351">
        <v>0</v>
      </c>
      <c r="BO328" s="351">
        <v>0</v>
      </c>
      <c r="BP328" s="351">
        <v>0</v>
      </c>
      <c r="BQ328" s="351">
        <v>0</v>
      </c>
      <c r="BR328" s="351">
        <v>0</v>
      </c>
      <c r="BS328" s="351">
        <v>0</v>
      </c>
      <c r="BT328" s="351">
        <v>4725000</v>
      </c>
      <c r="BU328" s="351" t="s">
        <v>1906</v>
      </c>
      <c r="BV328" s="350">
        <f t="shared" si="289"/>
        <v>4.7142857142857139E-2</v>
      </c>
      <c r="BW328" s="350">
        <v>10</v>
      </c>
      <c r="BX328" s="385">
        <f t="shared" si="270"/>
        <v>0.2857142857142857</v>
      </c>
      <c r="BY328" s="399">
        <v>1</v>
      </c>
      <c r="BZ328" s="398">
        <v>1</v>
      </c>
      <c r="CA328" s="690">
        <v>6</v>
      </c>
      <c r="CB328" s="324">
        <f t="shared" si="271"/>
        <v>6</v>
      </c>
      <c r="CC328" s="324">
        <f t="shared" si="272"/>
        <v>60</v>
      </c>
      <c r="CD328" s="384">
        <f t="shared" si="290"/>
        <v>60</v>
      </c>
      <c r="CE328" s="383">
        <f t="shared" si="291"/>
        <v>2.8285714285714282E-2</v>
      </c>
      <c r="CF328" s="367">
        <f t="shared" si="292"/>
        <v>60</v>
      </c>
      <c r="CG328" s="383">
        <f t="shared" si="293"/>
        <v>2.8285714285714282E-2</v>
      </c>
      <c r="CH328" s="320">
        <f t="shared" si="294"/>
        <v>3.3000000000000002E-2</v>
      </c>
      <c r="CI328" s="319">
        <v>7</v>
      </c>
      <c r="CJ328" s="318">
        <f t="shared" si="273"/>
        <v>0.2</v>
      </c>
      <c r="CK328" s="1259">
        <v>2</v>
      </c>
      <c r="CL328" s="301">
        <f t="shared" si="274"/>
        <v>5</v>
      </c>
      <c r="CM328" s="381">
        <f t="shared" si="275"/>
        <v>2</v>
      </c>
      <c r="CN328" s="381">
        <f t="shared" si="276"/>
        <v>28.571428571428573</v>
      </c>
      <c r="CO328" s="316">
        <f t="shared" si="295"/>
        <v>28.571428571428573</v>
      </c>
      <c r="CP328" s="381">
        <f t="shared" si="296"/>
        <v>9.4285714285714303E-3</v>
      </c>
      <c r="CQ328" s="381">
        <f t="shared" si="297"/>
        <v>9.4285714285714303E-3</v>
      </c>
      <c r="CR328" s="313">
        <v>1808000000</v>
      </c>
      <c r="CS328" s="313">
        <v>308000000</v>
      </c>
      <c r="CT328" s="313">
        <v>0</v>
      </c>
      <c r="CU328" s="313">
        <v>0</v>
      </c>
      <c r="CV328" s="313">
        <v>0</v>
      </c>
      <c r="CW328" s="313">
        <v>0</v>
      </c>
      <c r="CX328" s="313">
        <v>0</v>
      </c>
      <c r="CY328" s="313">
        <v>1500000000</v>
      </c>
      <c r="CZ328" s="380">
        <v>0</v>
      </c>
      <c r="DA328" s="380">
        <v>0</v>
      </c>
      <c r="DB328" s="380">
        <v>0</v>
      </c>
      <c r="DC328" s="380">
        <v>0</v>
      </c>
      <c r="DD328" s="380">
        <v>0</v>
      </c>
      <c r="DE328" s="380">
        <v>0</v>
      </c>
      <c r="DF328" s="380">
        <v>0</v>
      </c>
      <c r="DG328" s="380">
        <v>0</v>
      </c>
      <c r="DH328" s="380">
        <v>0</v>
      </c>
      <c r="DI328" s="380">
        <v>0</v>
      </c>
      <c r="DJ328" s="380">
        <v>0</v>
      </c>
      <c r="DK328" s="702">
        <f t="shared" si="277"/>
        <v>35</v>
      </c>
      <c r="DL328" s="311">
        <f t="shared" si="298"/>
        <v>0.16500000000000001</v>
      </c>
      <c r="DM328" s="310">
        <f t="shared" si="299"/>
        <v>100</v>
      </c>
      <c r="DN328" s="356">
        <f t="shared" si="300"/>
        <v>100</v>
      </c>
      <c r="DO328" s="308">
        <f t="shared" si="301"/>
        <v>0.16500000000000001</v>
      </c>
      <c r="DP328" s="359">
        <f t="shared" si="281"/>
        <v>0.16500000000000001</v>
      </c>
      <c r="DQ328" s="306">
        <f t="shared" si="302"/>
        <v>0.16500000000000001</v>
      </c>
      <c r="DR328" s="379">
        <f t="shared" si="303"/>
        <v>1</v>
      </c>
      <c r="DS328" s="378">
        <f t="shared" si="304"/>
        <v>0</v>
      </c>
      <c r="DT328" s="173">
        <v>359</v>
      </c>
      <c r="DU328" s="174" t="s">
        <v>111</v>
      </c>
      <c r="DV328" s="173">
        <v>360</v>
      </c>
      <c r="DW328" s="174" t="s">
        <v>110</v>
      </c>
      <c r="DX328" s="173"/>
      <c r="DY328" s="173"/>
      <c r="DZ328" s="173"/>
      <c r="EA328" s="665"/>
      <c r="EB328" s="1254" t="s">
        <v>2574</v>
      </c>
      <c r="EC328" s="537">
        <v>51000000</v>
      </c>
      <c r="EE328" s="733">
        <v>0</v>
      </c>
      <c r="EF328" s="706"/>
    </row>
    <row r="329" spans="4:136" s="302" customFormat="1" ht="108" hidden="1">
      <c r="D329" s="520">
        <v>326</v>
      </c>
      <c r="E329" s="534">
        <v>383</v>
      </c>
      <c r="F329" s="479" t="s">
        <v>44</v>
      </c>
      <c r="G329" s="479" t="s">
        <v>16</v>
      </c>
      <c r="H329" s="479" t="s">
        <v>2665</v>
      </c>
      <c r="I329" s="435" t="s">
        <v>2325</v>
      </c>
      <c r="J329" s="335" t="s">
        <v>818</v>
      </c>
      <c r="K329" s="335" t="s">
        <v>819</v>
      </c>
      <c r="L329" s="443" t="s">
        <v>1769</v>
      </c>
      <c r="M329" s="334" t="s">
        <v>1785</v>
      </c>
      <c r="N329" s="334">
        <v>116</v>
      </c>
      <c r="O329" s="333">
        <f>+P329</f>
        <v>116</v>
      </c>
      <c r="P329" s="332">
        <v>116</v>
      </c>
      <c r="Q329" s="390">
        <v>0.16500000000000001</v>
      </c>
      <c r="R329" s="342">
        <f t="shared" si="282"/>
        <v>4.1250000000000002E-2</v>
      </c>
      <c r="S329" s="389">
        <v>116</v>
      </c>
      <c r="T329" s="387">
        <f t="shared" si="264"/>
        <v>0.25</v>
      </c>
      <c r="U329" s="670">
        <v>116</v>
      </c>
      <c r="V329" s="388">
        <f t="shared" si="265"/>
        <v>29</v>
      </c>
      <c r="W329" s="356">
        <f t="shared" si="266"/>
        <v>100</v>
      </c>
      <c r="X329" s="356">
        <f t="shared" si="283"/>
        <v>100</v>
      </c>
      <c r="Y329" s="356">
        <f t="shared" si="259"/>
        <v>4.1250000000000002E-2</v>
      </c>
      <c r="Z329" s="356">
        <f t="shared" si="284"/>
        <v>100</v>
      </c>
      <c r="AA329" s="355">
        <v>200000000</v>
      </c>
      <c r="AB329" s="355">
        <v>200000000</v>
      </c>
      <c r="AC329" s="355">
        <v>0</v>
      </c>
      <c r="AD329" s="355">
        <v>0</v>
      </c>
      <c r="AE329" s="355">
        <v>0</v>
      </c>
      <c r="AF329" s="355">
        <v>0</v>
      </c>
      <c r="AG329" s="355">
        <v>0</v>
      </c>
      <c r="AH329" s="355">
        <v>0</v>
      </c>
      <c r="AI329" s="355">
        <v>200000000</v>
      </c>
      <c r="AJ329" s="355">
        <v>200000000</v>
      </c>
      <c r="AK329" s="355">
        <v>0</v>
      </c>
      <c r="AL329" s="355">
        <v>0</v>
      </c>
      <c r="AM329" s="355">
        <v>0</v>
      </c>
      <c r="AN329" s="355">
        <v>0</v>
      </c>
      <c r="AO329" s="355">
        <v>0</v>
      </c>
      <c r="AP329" s="355">
        <v>0</v>
      </c>
      <c r="AQ329" s="355">
        <v>0</v>
      </c>
      <c r="AR329" s="355">
        <v>0</v>
      </c>
      <c r="AS329" s="355">
        <v>0</v>
      </c>
      <c r="AT329" s="333">
        <f t="shared" si="285"/>
        <v>4.1250000000000002E-2</v>
      </c>
      <c r="AU329" s="334">
        <v>116</v>
      </c>
      <c r="AV329" s="387">
        <f t="shared" si="267"/>
        <v>0.25</v>
      </c>
      <c r="AW329" s="677">
        <v>116</v>
      </c>
      <c r="AX329" s="366">
        <f t="shared" si="268"/>
        <v>29</v>
      </c>
      <c r="AY329" s="366">
        <f t="shared" si="269"/>
        <v>100</v>
      </c>
      <c r="AZ329" s="366">
        <f t="shared" si="286"/>
        <v>100</v>
      </c>
      <c r="BA329" s="354">
        <f t="shared" si="287"/>
        <v>4.1250000000000002E-2</v>
      </c>
      <c r="BB329" s="354">
        <f t="shared" si="288"/>
        <v>100</v>
      </c>
      <c r="BC329" s="353">
        <v>20000000</v>
      </c>
      <c r="BD329" s="353">
        <v>0</v>
      </c>
      <c r="BE329" s="353">
        <v>20000000</v>
      </c>
      <c r="BF329" s="353">
        <v>0</v>
      </c>
      <c r="BG329" s="353">
        <v>0</v>
      </c>
      <c r="BH329" s="353">
        <v>0</v>
      </c>
      <c r="BI329" s="353">
        <v>0</v>
      </c>
      <c r="BJ329" s="353">
        <v>0</v>
      </c>
      <c r="BK329" s="386">
        <v>0</v>
      </c>
      <c r="BL329" s="351">
        <v>0</v>
      </c>
      <c r="BM329" s="351">
        <v>0</v>
      </c>
      <c r="BN329" s="351">
        <v>0</v>
      </c>
      <c r="BO329" s="351">
        <v>0</v>
      </c>
      <c r="BP329" s="351">
        <v>0</v>
      </c>
      <c r="BQ329" s="351">
        <v>0</v>
      </c>
      <c r="BR329" s="351">
        <v>0</v>
      </c>
      <c r="BS329" s="351">
        <v>0</v>
      </c>
      <c r="BT329" s="351">
        <v>0</v>
      </c>
      <c r="BU329" s="351">
        <v>0</v>
      </c>
      <c r="BV329" s="350">
        <f t="shared" si="289"/>
        <v>4.1250000000000002E-2</v>
      </c>
      <c r="BW329" s="350">
        <v>116</v>
      </c>
      <c r="BX329" s="385">
        <f t="shared" si="270"/>
        <v>0.25</v>
      </c>
      <c r="BY329" s="399">
        <v>0</v>
      </c>
      <c r="BZ329" s="398">
        <v>0</v>
      </c>
      <c r="CA329" s="690">
        <v>116</v>
      </c>
      <c r="CB329" s="324">
        <f t="shared" si="271"/>
        <v>29</v>
      </c>
      <c r="CC329" s="324">
        <f t="shared" si="272"/>
        <v>100</v>
      </c>
      <c r="CD329" s="384">
        <f t="shared" si="290"/>
        <v>100</v>
      </c>
      <c r="CE329" s="383">
        <f t="shared" si="291"/>
        <v>4.1250000000000002E-2</v>
      </c>
      <c r="CF329" s="367">
        <f t="shared" si="292"/>
        <v>100</v>
      </c>
      <c r="CG329" s="383">
        <f t="shared" si="293"/>
        <v>4.1250000000000002E-2</v>
      </c>
      <c r="CH329" s="320">
        <f t="shared" si="294"/>
        <v>4.1250000000000002E-2</v>
      </c>
      <c r="CI329" s="319">
        <v>116</v>
      </c>
      <c r="CJ329" s="318">
        <f t="shared" si="273"/>
        <v>0.25</v>
      </c>
      <c r="CK329" s="1258">
        <v>116</v>
      </c>
      <c r="CL329" s="301">
        <f t="shared" si="274"/>
        <v>0</v>
      </c>
      <c r="CM329" s="381">
        <f t="shared" si="275"/>
        <v>29</v>
      </c>
      <c r="CN329" s="381">
        <f t="shared" si="276"/>
        <v>100</v>
      </c>
      <c r="CO329" s="381">
        <f t="shared" si="295"/>
        <v>100</v>
      </c>
      <c r="CP329" s="381">
        <f t="shared" si="296"/>
        <v>4.1250000000000002E-2</v>
      </c>
      <c r="CQ329" s="381">
        <f t="shared" si="297"/>
        <v>4.1250000000000002E-2</v>
      </c>
      <c r="CR329" s="313">
        <v>21000000</v>
      </c>
      <c r="CS329" s="313">
        <v>21000000</v>
      </c>
      <c r="CT329" s="313">
        <v>0</v>
      </c>
      <c r="CU329" s="313">
        <v>0</v>
      </c>
      <c r="CV329" s="313">
        <v>0</v>
      </c>
      <c r="CW329" s="313">
        <v>0</v>
      </c>
      <c r="CX329" s="313">
        <v>0</v>
      </c>
      <c r="CY329" s="313">
        <v>0</v>
      </c>
      <c r="CZ329" s="380">
        <v>0</v>
      </c>
      <c r="DA329" s="380">
        <v>0</v>
      </c>
      <c r="DB329" s="380">
        <v>0</v>
      </c>
      <c r="DC329" s="380">
        <v>0</v>
      </c>
      <c r="DD329" s="380">
        <v>0</v>
      </c>
      <c r="DE329" s="380">
        <v>0</v>
      </c>
      <c r="DF329" s="380">
        <v>0</v>
      </c>
      <c r="DG329" s="380">
        <v>0</v>
      </c>
      <c r="DH329" s="380">
        <v>0</v>
      </c>
      <c r="DI329" s="380">
        <v>0</v>
      </c>
      <c r="DJ329" s="380">
        <v>0</v>
      </c>
      <c r="DK329" s="702">
        <f t="shared" si="277"/>
        <v>116</v>
      </c>
      <c r="DL329" s="311">
        <f t="shared" si="298"/>
        <v>0.16500000000000001</v>
      </c>
      <c r="DM329" s="310">
        <f t="shared" si="299"/>
        <v>100</v>
      </c>
      <c r="DN329" s="356">
        <f t="shared" si="300"/>
        <v>100</v>
      </c>
      <c r="DO329" s="308">
        <f t="shared" si="301"/>
        <v>0.16500000000000001</v>
      </c>
      <c r="DP329" s="359">
        <f>+IF(M329="M",DO329,0)</f>
        <v>0.16500000000000001</v>
      </c>
      <c r="DQ329" s="306">
        <f t="shared" si="302"/>
        <v>0.16500000000000001</v>
      </c>
      <c r="DR329" s="379">
        <f t="shared" si="303"/>
        <v>1</v>
      </c>
      <c r="DS329" s="378">
        <f t="shared" si="304"/>
        <v>0</v>
      </c>
      <c r="DT329" s="173">
        <v>359</v>
      </c>
      <c r="DU329" s="174" t="s">
        <v>111</v>
      </c>
      <c r="DV329" s="173">
        <v>375</v>
      </c>
      <c r="DW329" s="174" t="s">
        <v>109</v>
      </c>
      <c r="DX329" s="173"/>
      <c r="DY329" s="173"/>
      <c r="DZ329" s="173"/>
      <c r="EA329" s="665"/>
      <c r="EB329" s="1254" t="s">
        <v>2575</v>
      </c>
      <c r="EC329" s="537">
        <v>275000000</v>
      </c>
      <c r="EE329" s="733">
        <v>0</v>
      </c>
      <c r="EF329" s="706"/>
    </row>
    <row r="330" spans="4:136" s="302" customFormat="1" ht="108" hidden="1">
      <c r="D330" s="520">
        <v>327</v>
      </c>
      <c r="E330" s="534">
        <v>384</v>
      </c>
      <c r="F330" s="479" t="s">
        <v>44</v>
      </c>
      <c r="G330" s="479" t="s">
        <v>16</v>
      </c>
      <c r="H330" s="479" t="s">
        <v>2665</v>
      </c>
      <c r="I330" s="435" t="s">
        <v>2325</v>
      </c>
      <c r="J330" s="335" t="s">
        <v>820</v>
      </c>
      <c r="K330" s="335" t="s">
        <v>821</v>
      </c>
      <c r="L330" s="443" t="s">
        <v>1866</v>
      </c>
      <c r="M330" s="332" t="s">
        <v>1785</v>
      </c>
      <c r="N330" s="334">
        <v>3</v>
      </c>
      <c r="O330" s="333">
        <f>+P330</f>
        <v>3</v>
      </c>
      <c r="P330" s="332">
        <v>3</v>
      </c>
      <c r="Q330" s="390">
        <v>0.16500000000000001</v>
      </c>
      <c r="R330" s="342">
        <f t="shared" si="282"/>
        <v>4.1250000000000002E-2</v>
      </c>
      <c r="S330" s="389">
        <v>3</v>
      </c>
      <c r="T330" s="387">
        <f t="shared" si="264"/>
        <v>0.25</v>
      </c>
      <c r="U330" s="670">
        <v>3</v>
      </c>
      <c r="V330" s="388">
        <f t="shared" si="265"/>
        <v>0.75</v>
      </c>
      <c r="W330" s="356">
        <f t="shared" si="266"/>
        <v>100</v>
      </c>
      <c r="X330" s="356">
        <f t="shared" si="283"/>
        <v>100</v>
      </c>
      <c r="Y330" s="356">
        <f t="shared" si="259"/>
        <v>4.1250000000000002E-2</v>
      </c>
      <c r="Z330" s="356">
        <f t="shared" si="284"/>
        <v>100</v>
      </c>
      <c r="AA330" s="355">
        <v>0</v>
      </c>
      <c r="AB330" s="355">
        <v>0</v>
      </c>
      <c r="AC330" s="355">
        <v>0</v>
      </c>
      <c r="AD330" s="355">
        <v>0</v>
      </c>
      <c r="AE330" s="355">
        <v>0</v>
      </c>
      <c r="AF330" s="355">
        <v>0</v>
      </c>
      <c r="AG330" s="355">
        <v>0</v>
      </c>
      <c r="AH330" s="355">
        <v>0</v>
      </c>
      <c r="AI330" s="355">
        <v>0</v>
      </c>
      <c r="AJ330" s="355">
        <v>0</v>
      </c>
      <c r="AK330" s="355">
        <v>0</v>
      </c>
      <c r="AL330" s="355">
        <v>0</v>
      </c>
      <c r="AM330" s="355">
        <v>0</v>
      </c>
      <c r="AN330" s="355">
        <v>0</v>
      </c>
      <c r="AO330" s="355">
        <v>0</v>
      </c>
      <c r="AP330" s="355">
        <v>0</v>
      </c>
      <c r="AQ330" s="355">
        <v>0</v>
      </c>
      <c r="AR330" s="355">
        <v>0</v>
      </c>
      <c r="AS330" s="355">
        <v>0</v>
      </c>
      <c r="AT330" s="333">
        <f t="shared" si="285"/>
        <v>4.1250000000000002E-2</v>
      </c>
      <c r="AU330" s="334">
        <v>3</v>
      </c>
      <c r="AV330" s="387">
        <f t="shared" si="267"/>
        <v>0.25</v>
      </c>
      <c r="AW330" s="677">
        <v>3</v>
      </c>
      <c r="AX330" s="366">
        <f t="shared" si="268"/>
        <v>0.75</v>
      </c>
      <c r="AY330" s="366">
        <f t="shared" si="269"/>
        <v>100</v>
      </c>
      <c r="AZ330" s="366">
        <f t="shared" si="286"/>
        <v>100</v>
      </c>
      <c r="BA330" s="354">
        <f t="shared" si="287"/>
        <v>4.1250000000000002E-2</v>
      </c>
      <c r="BB330" s="354">
        <f t="shared" si="288"/>
        <v>100</v>
      </c>
      <c r="BC330" s="353">
        <v>0</v>
      </c>
      <c r="BD330" s="353">
        <v>0</v>
      </c>
      <c r="BE330" s="353">
        <v>0</v>
      </c>
      <c r="BF330" s="353">
        <v>0</v>
      </c>
      <c r="BG330" s="353">
        <v>0</v>
      </c>
      <c r="BH330" s="353">
        <v>0</v>
      </c>
      <c r="BI330" s="353">
        <v>0</v>
      </c>
      <c r="BJ330" s="353">
        <v>0</v>
      </c>
      <c r="BK330" s="386">
        <v>0</v>
      </c>
      <c r="BL330" s="351">
        <v>0</v>
      </c>
      <c r="BM330" s="351">
        <v>0</v>
      </c>
      <c r="BN330" s="351">
        <v>0</v>
      </c>
      <c r="BO330" s="351">
        <v>0</v>
      </c>
      <c r="BP330" s="351">
        <v>0</v>
      </c>
      <c r="BQ330" s="351">
        <v>0</v>
      </c>
      <c r="BR330" s="351">
        <v>0</v>
      </c>
      <c r="BS330" s="351">
        <v>0</v>
      </c>
      <c r="BT330" s="351">
        <v>0</v>
      </c>
      <c r="BU330" s="351">
        <v>0</v>
      </c>
      <c r="BV330" s="350">
        <f t="shared" si="289"/>
        <v>4.1250000000000002E-2</v>
      </c>
      <c r="BW330" s="350">
        <v>3</v>
      </c>
      <c r="BX330" s="385">
        <f t="shared" si="270"/>
        <v>0.25</v>
      </c>
      <c r="BY330" s="400">
        <v>3</v>
      </c>
      <c r="BZ330" s="416">
        <v>3</v>
      </c>
      <c r="CA330" s="691">
        <v>3</v>
      </c>
      <c r="CB330" s="324">
        <f t="shared" si="271"/>
        <v>0.75</v>
      </c>
      <c r="CC330" s="324">
        <f t="shared" si="272"/>
        <v>100</v>
      </c>
      <c r="CD330" s="384">
        <f t="shared" si="290"/>
        <v>100</v>
      </c>
      <c r="CE330" s="383">
        <f t="shared" si="291"/>
        <v>4.1250000000000002E-2</v>
      </c>
      <c r="CF330" s="367">
        <f t="shared" si="292"/>
        <v>100</v>
      </c>
      <c r="CG330" s="383">
        <f t="shared" si="293"/>
        <v>4.1250000000000002E-2</v>
      </c>
      <c r="CH330" s="320">
        <f t="shared" si="294"/>
        <v>4.1250000000000002E-2</v>
      </c>
      <c r="CI330" s="319">
        <v>1</v>
      </c>
      <c r="CJ330" s="318">
        <f t="shared" si="273"/>
        <v>0.25</v>
      </c>
      <c r="CK330" s="1258">
        <v>3</v>
      </c>
      <c r="CL330" s="301">
        <f t="shared" si="274"/>
        <v>-2</v>
      </c>
      <c r="CM330" s="381">
        <f t="shared" si="275"/>
        <v>0.75</v>
      </c>
      <c r="CN330" s="381">
        <f t="shared" si="276"/>
        <v>300</v>
      </c>
      <c r="CO330" s="381">
        <f t="shared" si="295"/>
        <v>100</v>
      </c>
      <c r="CP330" s="381">
        <f t="shared" si="296"/>
        <v>4.1250000000000002E-2</v>
      </c>
      <c r="CQ330" s="381">
        <f t="shared" si="297"/>
        <v>0.12375</v>
      </c>
      <c r="CR330" s="313">
        <v>0</v>
      </c>
      <c r="CS330" s="313">
        <v>0</v>
      </c>
      <c r="CT330" s="313">
        <v>0</v>
      </c>
      <c r="CU330" s="313">
        <v>0</v>
      </c>
      <c r="CV330" s="313">
        <v>0</v>
      </c>
      <c r="CW330" s="313">
        <v>0</v>
      </c>
      <c r="CX330" s="313">
        <v>0</v>
      </c>
      <c r="CY330" s="313">
        <v>0</v>
      </c>
      <c r="CZ330" s="380">
        <v>0</v>
      </c>
      <c r="DA330" s="380">
        <v>0</v>
      </c>
      <c r="DB330" s="380">
        <v>0</v>
      </c>
      <c r="DC330" s="380">
        <v>0</v>
      </c>
      <c r="DD330" s="380">
        <v>0</v>
      </c>
      <c r="DE330" s="380">
        <v>0</v>
      </c>
      <c r="DF330" s="380">
        <v>0</v>
      </c>
      <c r="DG330" s="380">
        <v>0</v>
      </c>
      <c r="DH330" s="380">
        <v>0</v>
      </c>
      <c r="DI330" s="380">
        <v>0</v>
      </c>
      <c r="DJ330" s="380">
        <v>0</v>
      </c>
      <c r="DK330" s="702">
        <f t="shared" si="277"/>
        <v>3</v>
      </c>
      <c r="DL330" s="311">
        <f t="shared" si="298"/>
        <v>0.16500000000000001</v>
      </c>
      <c r="DM330" s="310">
        <f t="shared" si="299"/>
        <v>100</v>
      </c>
      <c r="DN330" s="356">
        <f t="shared" si="300"/>
        <v>100</v>
      </c>
      <c r="DO330" s="308">
        <f t="shared" si="301"/>
        <v>0.16500000000000001</v>
      </c>
      <c r="DP330" s="359">
        <f>+IF(M330="M",DO330,0)</f>
        <v>0.16500000000000001</v>
      </c>
      <c r="DQ330" s="306">
        <f t="shared" si="302"/>
        <v>0.16500000000000001</v>
      </c>
      <c r="DR330" s="379">
        <f t="shared" si="303"/>
        <v>1</v>
      </c>
      <c r="DS330" s="378">
        <f t="shared" si="304"/>
        <v>0</v>
      </c>
      <c r="DT330" s="173">
        <v>359</v>
      </c>
      <c r="DU330" s="174" t="s">
        <v>111</v>
      </c>
      <c r="DV330" s="173">
        <v>360</v>
      </c>
      <c r="DW330" s="174" t="s">
        <v>110</v>
      </c>
      <c r="DX330" s="173"/>
      <c r="DY330" s="173"/>
      <c r="DZ330" s="173"/>
      <c r="EA330" s="665"/>
      <c r="EB330" s="1254" t="s">
        <v>2576</v>
      </c>
      <c r="EC330" s="537">
        <v>150000000</v>
      </c>
      <c r="EE330" s="734">
        <v>200</v>
      </c>
      <c r="EF330" s="706"/>
    </row>
    <row r="331" spans="4:136" s="302" customFormat="1" ht="63.75" hidden="1">
      <c r="D331" s="520">
        <v>328</v>
      </c>
      <c r="E331" s="534">
        <v>385</v>
      </c>
      <c r="F331" s="479" t="s">
        <v>44</v>
      </c>
      <c r="G331" s="479" t="s">
        <v>16</v>
      </c>
      <c r="H331" s="479" t="s">
        <v>2665</v>
      </c>
      <c r="I331" s="435" t="s">
        <v>2325</v>
      </c>
      <c r="J331" s="335" t="s">
        <v>822</v>
      </c>
      <c r="K331" s="335" t="s">
        <v>823</v>
      </c>
      <c r="L331" s="443" t="s">
        <v>1905</v>
      </c>
      <c r="M331" s="334" t="s">
        <v>1785</v>
      </c>
      <c r="N331" s="334">
        <v>0</v>
      </c>
      <c r="O331" s="333">
        <f>+P331</f>
        <v>1</v>
      </c>
      <c r="P331" s="332">
        <v>1</v>
      </c>
      <c r="Q331" s="390">
        <v>0.16500000000000001</v>
      </c>
      <c r="R331" s="342">
        <f t="shared" si="282"/>
        <v>4.1250000000000002E-2</v>
      </c>
      <c r="S331" s="389">
        <v>1</v>
      </c>
      <c r="T331" s="387">
        <f t="shared" si="264"/>
        <v>0.25</v>
      </c>
      <c r="U331" s="670">
        <v>1</v>
      </c>
      <c r="V331" s="388">
        <f t="shared" si="265"/>
        <v>0.25</v>
      </c>
      <c r="W331" s="356">
        <f t="shared" si="266"/>
        <v>100</v>
      </c>
      <c r="X331" s="356">
        <f t="shared" si="283"/>
        <v>100</v>
      </c>
      <c r="Y331" s="356">
        <f t="shared" si="259"/>
        <v>4.1250000000000002E-2</v>
      </c>
      <c r="Z331" s="356">
        <f t="shared" si="284"/>
        <v>100</v>
      </c>
      <c r="AA331" s="355">
        <v>0</v>
      </c>
      <c r="AB331" s="355">
        <v>0</v>
      </c>
      <c r="AC331" s="355">
        <v>0</v>
      </c>
      <c r="AD331" s="355">
        <v>0</v>
      </c>
      <c r="AE331" s="355">
        <v>0</v>
      </c>
      <c r="AF331" s="355">
        <v>0</v>
      </c>
      <c r="AG331" s="355">
        <v>0</v>
      </c>
      <c r="AH331" s="355">
        <v>0</v>
      </c>
      <c r="AI331" s="355">
        <v>0</v>
      </c>
      <c r="AJ331" s="355">
        <v>0</v>
      </c>
      <c r="AK331" s="355">
        <v>0</v>
      </c>
      <c r="AL331" s="355">
        <v>0</v>
      </c>
      <c r="AM331" s="355">
        <v>0</v>
      </c>
      <c r="AN331" s="355">
        <v>0</v>
      </c>
      <c r="AO331" s="355">
        <v>0</v>
      </c>
      <c r="AP331" s="355">
        <v>0</v>
      </c>
      <c r="AQ331" s="355">
        <v>0</v>
      </c>
      <c r="AR331" s="355">
        <v>0</v>
      </c>
      <c r="AS331" s="355">
        <v>0</v>
      </c>
      <c r="AT331" s="333">
        <f t="shared" si="285"/>
        <v>4.1250000000000002E-2</v>
      </c>
      <c r="AU331" s="334">
        <v>1</v>
      </c>
      <c r="AV331" s="387">
        <f t="shared" si="267"/>
        <v>0.25</v>
      </c>
      <c r="AW331" s="677">
        <v>1</v>
      </c>
      <c r="AX331" s="366">
        <f t="shared" si="268"/>
        <v>0.25</v>
      </c>
      <c r="AY331" s="366">
        <f t="shared" si="269"/>
        <v>100</v>
      </c>
      <c r="AZ331" s="366">
        <f t="shared" si="286"/>
        <v>100</v>
      </c>
      <c r="BA331" s="354">
        <f t="shared" si="287"/>
        <v>4.1250000000000002E-2</v>
      </c>
      <c r="BB331" s="354">
        <f t="shared" si="288"/>
        <v>100</v>
      </c>
      <c r="BC331" s="353">
        <v>0</v>
      </c>
      <c r="BD331" s="353">
        <v>0</v>
      </c>
      <c r="BE331" s="353">
        <v>0</v>
      </c>
      <c r="BF331" s="353">
        <v>0</v>
      </c>
      <c r="BG331" s="353">
        <v>0</v>
      </c>
      <c r="BH331" s="353">
        <v>0</v>
      </c>
      <c r="BI331" s="353">
        <v>0</v>
      </c>
      <c r="BJ331" s="353">
        <v>0</v>
      </c>
      <c r="BK331" s="386">
        <v>0</v>
      </c>
      <c r="BL331" s="351">
        <v>0</v>
      </c>
      <c r="BM331" s="351">
        <v>0</v>
      </c>
      <c r="BN331" s="351">
        <v>0</v>
      </c>
      <c r="BO331" s="351">
        <v>0</v>
      </c>
      <c r="BP331" s="351">
        <v>0</v>
      </c>
      <c r="BQ331" s="351">
        <v>0</v>
      </c>
      <c r="BR331" s="351">
        <v>0</v>
      </c>
      <c r="BS331" s="351">
        <v>0</v>
      </c>
      <c r="BT331" s="351">
        <v>0</v>
      </c>
      <c r="BU331" s="351">
        <v>0</v>
      </c>
      <c r="BV331" s="350">
        <f t="shared" si="289"/>
        <v>4.1250000000000002E-2</v>
      </c>
      <c r="BW331" s="350">
        <v>1</v>
      </c>
      <c r="BX331" s="385">
        <f t="shared" si="270"/>
        <v>0.25</v>
      </c>
      <c r="BY331" s="400">
        <v>1</v>
      </c>
      <c r="BZ331" s="416">
        <v>1</v>
      </c>
      <c r="CA331" s="691">
        <v>1</v>
      </c>
      <c r="CB331" s="324">
        <f t="shared" si="271"/>
        <v>0.25</v>
      </c>
      <c r="CC331" s="324">
        <f t="shared" si="272"/>
        <v>100</v>
      </c>
      <c r="CD331" s="384">
        <f t="shared" si="290"/>
        <v>100</v>
      </c>
      <c r="CE331" s="383">
        <f t="shared" si="291"/>
        <v>4.1250000000000002E-2</v>
      </c>
      <c r="CF331" s="367">
        <f t="shared" si="292"/>
        <v>100</v>
      </c>
      <c r="CG331" s="383">
        <f t="shared" si="293"/>
        <v>4.1250000000000002E-2</v>
      </c>
      <c r="CH331" s="320">
        <f t="shared" si="294"/>
        <v>4.1250000000000002E-2</v>
      </c>
      <c r="CI331" s="319">
        <v>1</v>
      </c>
      <c r="CJ331" s="318">
        <f t="shared" si="273"/>
        <v>0.25</v>
      </c>
      <c r="CK331" s="1258">
        <v>1</v>
      </c>
      <c r="CL331" s="301">
        <f t="shared" si="274"/>
        <v>0</v>
      </c>
      <c r="CM331" s="381">
        <f t="shared" si="275"/>
        <v>0.25</v>
      </c>
      <c r="CN331" s="381">
        <f t="shared" si="276"/>
        <v>100</v>
      </c>
      <c r="CO331" s="381">
        <f t="shared" si="295"/>
        <v>100</v>
      </c>
      <c r="CP331" s="381">
        <f t="shared" si="296"/>
        <v>4.1250000000000002E-2</v>
      </c>
      <c r="CQ331" s="381">
        <f t="shared" si="297"/>
        <v>4.1250000000000002E-2</v>
      </c>
      <c r="CR331" s="313">
        <v>0</v>
      </c>
      <c r="CS331" s="313">
        <v>0</v>
      </c>
      <c r="CT331" s="313">
        <v>0</v>
      </c>
      <c r="CU331" s="313">
        <v>0</v>
      </c>
      <c r="CV331" s="313">
        <v>0</v>
      </c>
      <c r="CW331" s="313">
        <v>0</v>
      </c>
      <c r="CX331" s="313">
        <v>0</v>
      </c>
      <c r="CY331" s="313">
        <v>0</v>
      </c>
      <c r="CZ331" s="380">
        <v>0</v>
      </c>
      <c r="DA331" s="380">
        <v>0</v>
      </c>
      <c r="DB331" s="380">
        <v>0</v>
      </c>
      <c r="DC331" s="380">
        <v>0</v>
      </c>
      <c r="DD331" s="380">
        <v>0</v>
      </c>
      <c r="DE331" s="380">
        <v>0</v>
      </c>
      <c r="DF331" s="380">
        <v>0</v>
      </c>
      <c r="DG331" s="380">
        <v>0</v>
      </c>
      <c r="DH331" s="380">
        <v>0</v>
      </c>
      <c r="DI331" s="380">
        <v>0</v>
      </c>
      <c r="DJ331" s="380">
        <v>0</v>
      </c>
      <c r="DK331" s="702">
        <f t="shared" si="277"/>
        <v>1</v>
      </c>
      <c r="DL331" s="311">
        <f t="shared" si="298"/>
        <v>0.16500000000000001</v>
      </c>
      <c r="DM331" s="310">
        <f t="shared" si="299"/>
        <v>100</v>
      </c>
      <c r="DN331" s="356">
        <f t="shared" si="300"/>
        <v>100</v>
      </c>
      <c r="DO331" s="308">
        <f t="shared" si="301"/>
        <v>0.16500000000000001</v>
      </c>
      <c r="DP331" s="359">
        <f>+IF(M331="M",DO331,0)</f>
        <v>0.16500000000000001</v>
      </c>
      <c r="DQ331" s="306">
        <f t="shared" si="302"/>
        <v>0.16500000000000001</v>
      </c>
      <c r="DR331" s="379">
        <f t="shared" si="303"/>
        <v>1</v>
      </c>
      <c r="DS331" s="378">
        <f t="shared" si="304"/>
        <v>0</v>
      </c>
      <c r="DT331" s="173">
        <v>375</v>
      </c>
      <c r="DU331" s="174" t="s">
        <v>109</v>
      </c>
      <c r="DV331" s="173"/>
      <c r="DW331" s="174" t="s">
        <v>84</v>
      </c>
      <c r="DX331" s="173"/>
      <c r="DY331" s="173"/>
      <c r="DZ331" s="173"/>
      <c r="EA331" s="665"/>
      <c r="EB331" s="1254" t="s">
        <v>2577</v>
      </c>
      <c r="EC331" s="537">
        <v>132000000</v>
      </c>
      <c r="EE331" s="734">
        <v>1000</v>
      </c>
      <c r="EF331" s="706"/>
    </row>
    <row r="332" spans="4:136" s="302" customFormat="1" ht="72" hidden="1">
      <c r="D332" s="520">
        <v>329</v>
      </c>
      <c r="E332" s="534">
        <v>386</v>
      </c>
      <c r="F332" s="479" t="s">
        <v>44</v>
      </c>
      <c r="G332" s="479" t="s">
        <v>16</v>
      </c>
      <c r="H332" s="479" t="s">
        <v>2665</v>
      </c>
      <c r="I332" s="435" t="s">
        <v>2325</v>
      </c>
      <c r="J332" s="335" t="s">
        <v>824</v>
      </c>
      <c r="K332" s="335" t="s">
        <v>825</v>
      </c>
      <c r="L332" s="443" t="s">
        <v>1769</v>
      </c>
      <c r="M332" s="334" t="s">
        <v>1785</v>
      </c>
      <c r="N332" s="334">
        <v>0</v>
      </c>
      <c r="O332" s="333">
        <f>+P332</f>
        <v>116</v>
      </c>
      <c r="P332" s="332">
        <v>116</v>
      </c>
      <c r="Q332" s="390">
        <v>0.16500000000000001</v>
      </c>
      <c r="R332" s="342">
        <f t="shared" si="282"/>
        <v>4.1250000000000002E-2</v>
      </c>
      <c r="S332" s="389">
        <v>116</v>
      </c>
      <c r="T332" s="387">
        <f t="shared" si="264"/>
        <v>0.25</v>
      </c>
      <c r="U332" s="670">
        <v>116</v>
      </c>
      <c r="V332" s="388">
        <f t="shared" si="265"/>
        <v>29</v>
      </c>
      <c r="W332" s="356">
        <f t="shared" si="266"/>
        <v>100</v>
      </c>
      <c r="X332" s="356">
        <f t="shared" si="283"/>
        <v>100</v>
      </c>
      <c r="Y332" s="356">
        <f t="shared" si="259"/>
        <v>4.1250000000000002E-2</v>
      </c>
      <c r="Z332" s="356">
        <f t="shared" si="284"/>
        <v>100</v>
      </c>
      <c r="AA332" s="355">
        <v>0</v>
      </c>
      <c r="AB332" s="355">
        <v>0</v>
      </c>
      <c r="AC332" s="355">
        <v>0</v>
      </c>
      <c r="AD332" s="355">
        <v>0</v>
      </c>
      <c r="AE332" s="355">
        <v>0</v>
      </c>
      <c r="AF332" s="355">
        <v>0</v>
      </c>
      <c r="AG332" s="355">
        <v>0</v>
      </c>
      <c r="AH332" s="355">
        <v>0</v>
      </c>
      <c r="AI332" s="355">
        <v>0</v>
      </c>
      <c r="AJ332" s="355">
        <v>0</v>
      </c>
      <c r="AK332" s="355">
        <v>0</v>
      </c>
      <c r="AL332" s="355">
        <v>0</v>
      </c>
      <c r="AM332" s="355">
        <v>0</v>
      </c>
      <c r="AN332" s="355">
        <v>0</v>
      </c>
      <c r="AO332" s="355">
        <v>0</v>
      </c>
      <c r="AP332" s="355">
        <v>0</v>
      </c>
      <c r="AQ332" s="355">
        <v>0</v>
      </c>
      <c r="AR332" s="355">
        <v>0</v>
      </c>
      <c r="AS332" s="355">
        <v>0</v>
      </c>
      <c r="AT332" s="333">
        <f t="shared" si="285"/>
        <v>4.1250000000000002E-2</v>
      </c>
      <c r="AU332" s="334">
        <v>116</v>
      </c>
      <c r="AV332" s="387">
        <f t="shared" si="267"/>
        <v>0.25</v>
      </c>
      <c r="AW332" s="677">
        <v>116</v>
      </c>
      <c r="AX332" s="366">
        <f t="shared" si="268"/>
        <v>29</v>
      </c>
      <c r="AY332" s="366">
        <f t="shared" si="269"/>
        <v>100</v>
      </c>
      <c r="AZ332" s="366">
        <f t="shared" si="286"/>
        <v>100</v>
      </c>
      <c r="BA332" s="354">
        <f t="shared" si="287"/>
        <v>4.1250000000000002E-2</v>
      </c>
      <c r="BB332" s="354">
        <f t="shared" si="288"/>
        <v>100</v>
      </c>
      <c r="BC332" s="353">
        <v>0</v>
      </c>
      <c r="BD332" s="353">
        <v>0</v>
      </c>
      <c r="BE332" s="353">
        <v>0</v>
      </c>
      <c r="BF332" s="353">
        <v>0</v>
      </c>
      <c r="BG332" s="353">
        <v>0</v>
      </c>
      <c r="BH332" s="353">
        <v>0</v>
      </c>
      <c r="BI332" s="353">
        <v>0</v>
      </c>
      <c r="BJ332" s="353">
        <v>0</v>
      </c>
      <c r="BK332" s="386">
        <v>0</v>
      </c>
      <c r="BL332" s="351">
        <v>0</v>
      </c>
      <c r="BM332" s="351">
        <v>0</v>
      </c>
      <c r="BN332" s="351">
        <v>0</v>
      </c>
      <c r="BO332" s="351">
        <v>0</v>
      </c>
      <c r="BP332" s="351">
        <v>0</v>
      </c>
      <c r="BQ332" s="351">
        <v>0</v>
      </c>
      <c r="BR332" s="351">
        <v>0</v>
      </c>
      <c r="BS332" s="351">
        <v>0</v>
      </c>
      <c r="BT332" s="351">
        <v>0</v>
      </c>
      <c r="BU332" s="351">
        <v>0</v>
      </c>
      <c r="BV332" s="350">
        <f t="shared" si="289"/>
        <v>4.1250000000000002E-2</v>
      </c>
      <c r="BW332" s="350">
        <v>116</v>
      </c>
      <c r="BX332" s="385">
        <f t="shared" si="270"/>
        <v>0.25</v>
      </c>
      <c r="BY332" s="399">
        <v>0</v>
      </c>
      <c r="BZ332" s="398">
        <v>0</v>
      </c>
      <c r="CA332" s="690">
        <v>116</v>
      </c>
      <c r="CB332" s="324">
        <f t="shared" si="271"/>
        <v>29</v>
      </c>
      <c r="CC332" s="324">
        <f t="shared" si="272"/>
        <v>100</v>
      </c>
      <c r="CD332" s="384">
        <f t="shared" si="290"/>
        <v>100</v>
      </c>
      <c r="CE332" s="383">
        <f t="shared" si="291"/>
        <v>4.1250000000000002E-2</v>
      </c>
      <c r="CF332" s="367">
        <f t="shared" si="292"/>
        <v>100</v>
      </c>
      <c r="CG332" s="383">
        <f t="shared" si="293"/>
        <v>4.1250000000000002E-2</v>
      </c>
      <c r="CH332" s="320">
        <f t="shared" si="294"/>
        <v>4.1250000000000002E-2</v>
      </c>
      <c r="CI332" s="319">
        <v>116</v>
      </c>
      <c r="CJ332" s="318">
        <f t="shared" si="273"/>
        <v>0.25</v>
      </c>
      <c r="CK332" s="1258">
        <v>116</v>
      </c>
      <c r="CL332" s="301">
        <f t="shared" si="274"/>
        <v>0</v>
      </c>
      <c r="CM332" s="381">
        <f t="shared" si="275"/>
        <v>29</v>
      </c>
      <c r="CN332" s="381">
        <f t="shared" si="276"/>
        <v>100</v>
      </c>
      <c r="CO332" s="381">
        <f t="shared" si="295"/>
        <v>100</v>
      </c>
      <c r="CP332" s="381">
        <f t="shared" si="296"/>
        <v>4.1250000000000002E-2</v>
      </c>
      <c r="CQ332" s="381">
        <f t="shared" si="297"/>
        <v>4.1250000000000002E-2</v>
      </c>
      <c r="CR332" s="313">
        <v>0</v>
      </c>
      <c r="CS332" s="313">
        <v>0</v>
      </c>
      <c r="CT332" s="313">
        <v>0</v>
      </c>
      <c r="CU332" s="313">
        <v>0</v>
      </c>
      <c r="CV332" s="313">
        <v>0</v>
      </c>
      <c r="CW332" s="313">
        <v>0</v>
      </c>
      <c r="CX332" s="313">
        <v>0</v>
      </c>
      <c r="CY332" s="313">
        <v>0</v>
      </c>
      <c r="CZ332" s="380">
        <v>0</v>
      </c>
      <c r="DA332" s="380">
        <v>0</v>
      </c>
      <c r="DB332" s="380">
        <v>0</v>
      </c>
      <c r="DC332" s="380">
        <v>0</v>
      </c>
      <c r="DD332" s="380">
        <v>0</v>
      </c>
      <c r="DE332" s="380">
        <v>0</v>
      </c>
      <c r="DF332" s="380">
        <v>0</v>
      </c>
      <c r="DG332" s="380">
        <v>0</v>
      </c>
      <c r="DH332" s="380">
        <v>0</v>
      </c>
      <c r="DI332" s="380">
        <v>0</v>
      </c>
      <c r="DJ332" s="380">
        <v>0</v>
      </c>
      <c r="DK332" s="702">
        <f t="shared" si="277"/>
        <v>116</v>
      </c>
      <c r="DL332" s="311">
        <f t="shared" si="298"/>
        <v>0.16500000000000001</v>
      </c>
      <c r="DM332" s="310">
        <f t="shared" si="299"/>
        <v>100</v>
      </c>
      <c r="DN332" s="356">
        <f t="shared" si="300"/>
        <v>100</v>
      </c>
      <c r="DO332" s="308">
        <f t="shared" si="301"/>
        <v>0.16500000000000001</v>
      </c>
      <c r="DP332" s="359">
        <f>+IF(M332="M",DO332,0)</f>
        <v>0.16500000000000001</v>
      </c>
      <c r="DQ332" s="306">
        <f t="shared" si="302"/>
        <v>0.16500000000000001</v>
      </c>
      <c r="DR332" s="379">
        <f t="shared" si="303"/>
        <v>1</v>
      </c>
      <c r="DS332" s="378">
        <f t="shared" si="304"/>
        <v>0</v>
      </c>
      <c r="DT332" s="173">
        <v>359</v>
      </c>
      <c r="DU332" s="174" t="s">
        <v>111</v>
      </c>
      <c r="DV332" s="173"/>
      <c r="DW332" s="174" t="s">
        <v>84</v>
      </c>
      <c r="DX332" s="173"/>
      <c r="DY332" s="173"/>
      <c r="DZ332" s="173"/>
      <c r="EA332" s="665"/>
      <c r="EB332" s="1254" t="s">
        <v>2578</v>
      </c>
      <c r="EC332" s="537">
        <v>240000000</v>
      </c>
      <c r="EE332" s="734">
        <v>1500</v>
      </c>
      <c r="EF332" s="706"/>
    </row>
    <row r="333" spans="4:136" s="302" customFormat="1" ht="72" hidden="1">
      <c r="D333" s="520">
        <v>330</v>
      </c>
      <c r="E333" s="534">
        <v>387</v>
      </c>
      <c r="F333" s="479" t="s">
        <v>44</v>
      </c>
      <c r="G333" s="479" t="s">
        <v>16</v>
      </c>
      <c r="H333" s="479" t="s">
        <v>2665</v>
      </c>
      <c r="I333" s="435" t="s">
        <v>2325</v>
      </c>
      <c r="J333" s="335" t="s">
        <v>826</v>
      </c>
      <c r="K333" s="335" t="s">
        <v>827</v>
      </c>
      <c r="L333" s="443" t="s">
        <v>1810</v>
      </c>
      <c r="M333" s="334" t="s">
        <v>1785</v>
      </c>
      <c r="N333" s="334">
        <v>116</v>
      </c>
      <c r="O333" s="333">
        <f>+P333</f>
        <v>116</v>
      </c>
      <c r="P333" s="332">
        <v>116</v>
      </c>
      <c r="Q333" s="390">
        <v>0.16500000000000001</v>
      </c>
      <c r="R333" s="342">
        <f t="shared" si="282"/>
        <v>4.1250000000000002E-2</v>
      </c>
      <c r="S333" s="389">
        <v>116</v>
      </c>
      <c r="T333" s="387">
        <f t="shared" si="264"/>
        <v>0.25</v>
      </c>
      <c r="U333" s="670">
        <v>116</v>
      </c>
      <c r="V333" s="388">
        <f t="shared" si="265"/>
        <v>29</v>
      </c>
      <c r="W333" s="356">
        <f t="shared" si="266"/>
        <v>100</v>
      </c>
      <c r="X333" s="356">
        <f t="shared" si="283"/>
        <v>100</v>
      </c>
      <c r="Y333" s="356">
        <f t="shared" si="259"/>
        <v>4.1250000000000002E-2</v>
      </c>
      <c r="Z333" s="356">
        <f t="shared" si="284"/>
        <v>100</v>
      </c>
      <c r="AA333" s="355">
        <v>0</v>
      </c>
      <c r="AB333" s="355">
        <v>0</v>
      </c>
      <c r="AC333" s="355">
        <v>0</v>
      </c>
      <c r="AD333" s="355">
        <v>0</v>
      </c>
      <c r="AE333" s="355">
        <v>0</v>
      </c>
      <c r="AF333" s="355">
        <v>0</v>
      </c>
      <c r="AG333" s="355">
        <v>0</v>
      </c>
      <c r="AH333" s="355">
        <v>0</v>
      </c>
      <c r="AI333" s="355">
        <v>0</v>
      </c>
      <c r="AJ333" s="355">
        <v>0</v>
      </c>
      <c r="AK333" s="355">
        <v>0</v>
      </c>
      <c r="AL333" s="355">
        <v>0</v>
      </c>
      <c r="AM333" s="355">
        <v>0</v>
      </c>
      <c r="AN333" s="355">
        <v>0</v>
      </c>
      <c r="AO333" s="355">
        <v>0</v>
      </c>
      <c r="AP333" s="355">
        <v>0</v>
      </c>
      <c r="AQ333" s="355">
        <v>0</v>
      </c>
      <c r="AR333" s="355">
        <v>0</v>
      </c>
      <c r="AS333" s="355">
        <v>0</v>
      </c>
      <c r="AT333" s="333">
        <f t="shared" si="285"/>
        <v>4.1250000000000002E-2</v>
      </c>
      <c r="AU333" s="334">
        <v>116</v>
      </c>
      <c r="AV333" s="387">
        <f t="shared" si="267"/>
        <v>0.25</v>
      </c>
      <c r="AW333" s="677">
        <v>116</v>
      </c>
      <c r="AX333" s="366">
        <f t="shared" si="268"/>
        <v>29</v>
      </c>
      <c r="AY333" s="366">
        <f t="shared" si="269"/>
        <v>100</v>
      </c>
      <c r="AZ333" s="366">
        <f t="shared" si="286"/>
        <v>100</v>
      </c>
      <c r="BA333" s="354">
        <f t="shared" si="287"/>
        <v>4.1250000000000002E-2</v>
      </c>
      <c r="BB333" s="354">
        <f t="shared" si="288"/>
        <v>100</v>
      </c>
      <c r="BC333" s="353">
        <v>0</v>
      </c>
      <c r="BD333" s="353">
        <v>0</v>
      </c>
      <c r="BE333" s="353">
        <v>0</v>
      </c>
      <c r="BF333" s="353">
        <v>0</v>
      </c>
      <c r="BG333" s="353">
        <v>0</v>
      </c>
      <c r="BH333" s="353">
        <v>0</v>
      </c>
      <c r="BI333" s="353">
        <v>0</v>
      </c>
      <c r="BJ333" s="353">
        <v>0</v>
      </c>
      <c r="BK333" s="386">
        <v>0</v>
      </c>
      <c r="BL333" s="351">
        <v>0</v>
      </c>
      <c r="BM333" s="351">
        <v>0</v>
      </c>
      <c r="BN333" s="351">
        <v>0</v>
      </c>
      <c r="BO333" s="351">
        <v>0</v>
      </c>
      <c r="BP333" s="351">
        <v>0</v>
      </c>
      <c r="BQ333" s="351">
        <v>0</v>
      </c>
      <c r="BR333" s="351">
        <v>0</v>
      </c>
      <c r="BS333" s="351">
        <v>0</v>
      </c>
      <c r="BT333" s="351">
        <v>0</v>
      </c>
      <c r="BU333" s="351">
        <v>0</v>
      </c>
      <c r="BV333" s="350">
        <f t="shared" si="289"/>
        <v>4.1250000000000002E-2</v>
      </c>
      <c r="BW333" s="350">
        <v>116</v>
      </c>
      <c r="BX333" s="385">
        <f t="shared" si="270"/>
        <v>0.25</v>
      </c>
      <c r="BY333" s="399">
        <v>0</v>
      </c>
      <c r="BZ333" s="398">
        <v>0</v>
      </c>
      <c r="CA333" s="690">
        <v>116</v>
      </c>
      <c r="CB333" s="324">
        <f t="shared" si="271"/>
        <v>29</v>
      </c>
      <c r="CC333" s="324">
        <f t="shared" si="272"/>
        <v>100</v>
      </c>
      <c r="CD333" s="384">
        <f t="shared" si="290"/>
        <v>100</v>
      </c>
      <c r="CE333" s="383">
        <f t="shared" si="291"/>
        <v>4.1250000000000002E-2</v>
      </c>
      <c r="CF333" s="367">
        <f t="shared" si="292"/>
        <v>100</v>
      </c>
      <c r="CG333" s="383">
        <f t="shared" si="293"/>
        <v>4.1250000000000002E-2</v>
      </c>
      <c r="CH333" s="320">
        <f t="shared" si="294"/>
        <v>4.1250000000000002E-2</v>
      </c>
      <c r="CI333" s="319">
        <v>116</v>
      </c>
      <c r="CJ333" s="318">
        <f t="shared" si="273"/>
        <v>0.25</v>
      </c>
      <c r="CK333" s="1258">
        <v>116</v>
      </c>
      <c r="CL333" s="301">
        <f t="shared" si="274"/>
        <v>0</v>
      </c>
      <c r="CM333" s="381">
        <f t="shared" si="275"/>
        <v>29</v>
      </c>
      <c r="CN333" s="381">
        <f t="shared" si="276"/>
        <v>100</v>
      </c>
      <c r="CO333" s="381">
        <f t="shared" si="295"/>
        <v>100</v>
      </c>
      <c r="CP333" s="381">
        <f t="shared" si="296"/>
        <v>4.1250000000000002E-2</v>
      </c>
      <c r="CQ333" s="381">
        <f t="shared" si="297"/>
        <v>4.1250000000000002E-2</v>
      </c>
      <c r="CR333" s="313">
        <v>0</v>
      </c>
      <c r="CS333" s="313">
        <v>0</v>
      </c>
      <c r="CT333" s="313">
        <v>0</v>
      </c>
      <c r="CU333" s="313">
        <v>0</v>
      </c>
      <c r="CV333" s="313">
        <v>0</v>
      </c>
      <c r="CW333" s="313">
        <v>0</v>
      </c>
      <c r="CX333" s="313">
        <v>0</v>
      </c>
      <c r="CY333" s="313">
        <v>0</v>
      </c>
      <c r="CZ333" s="380">
        <v>0</v>
      </c>
      <c r="DA333" s="380">
        <v>0</v>
      </c>
      <c r="DB333" s="380">
        <v>0</v>
      </c>
      <c r="DC333" s="380">
        <v>0</v>
      </c>
      <c r="DD333" s="380">
        <v>0</v>
      </c>
      <c r="DE333" s="380">
        <v>0</v>
      </c>
      <c r="DF333" s="380">
        <v>0</v>
      </c>
      <c r="DG333" s="380">
        <v>0</v>
      </c>
      <c r="DH333" s="380">
        <v>0</v>
      </c>
      <c r="DI333" s="380">
        <v>0</v>
      </c>
      <c r="DJ333" s="380">
        <v>0</v>
      </c>
      <c r="DK333" s="702">
        <f t="shared" si="277"/>
        <v>116</v>
      </c>
      <c r="DL333" s="311">
        <f t="shared" si="298"/>
        <v>0.16500000000000001</v>
      </c>
      <c r="DM333" s="310">
        <f t="shared" si="299"/>
        <v>100</v>
      </c>
      <c r="DN333" s="356">
        <f t="shared" si="300"/>
        <v>100</v>
      </c>
      <c r="DO333" s="308">
        <f t="shared" si="301"/>
        <v>0.16500000000000001</v>
      </c>
      <c r="DP333" s="359">
        <f>+IF(M333="M",DO333,0)</f>
        <v>0.16500000000000001</v>
      </c>
      <c r="DQ333" s="306">
        <f t="shared" si="302"/>
        <v>0.16500000000000001</v>
      </c>
      <c r="DR333" s="379">
        <f t="shared" si="303"/>
        <v>1</v>
      </c>
      <c r="DS333" s="378">
        <f t="shared" si="304"/>
        <v>0</v>
      </c>
      <c r="DT333" s="173">
        <v>359</v>
      </c>
      <c r="DU333" s="174" t="s">
        <v>111</v>
      </c>
      <c r="DV333" s="173"/>
      <c r="DW333" s="174" t="s">
        <v>84</v>
      </c>
      <c r="DX333" s="173"/>
      <c r="DY333" s="173"/>
      <c r="DZ333" s="173"/>
      <c r="EA333" s="665"/>
      <c r="EB333" s="1254" t="s">
        <v>2579</v>
      </c>
      <c r="EC333" s="537">
        <v>0</v>
      </c>
      <c r="EE333" s="733">
        <v>100</v>
      </c>
      <c r="EF333" s="706"/>
    </row>
    <row r="334" spans="4:136" s="302" customFormat="1" ht="63.75" hidden="1">
      <c r="D334" s="520">
        <v>331</v>
      </c>
      <c r="E334" s="534">
        <v>389</v>
      </c>
      <c r="F334" s="479" t="s">
        <v>44</v>
      </c>
      <c r="G334" s="479" t="s">
        <v>13</v>
      </c>
      <c r="H334" s="479" t="s">
        <v>2666</v>
      </c>
      <c r="I334" s="435" t="s">
        <v>828</v>
      </c>
      <c r="J334" s="335" t="s">
        <v>829</v>
      </c>
      <c r="K334" s="335" t="s">
        <v>830</v>
      </c>
      <c r="L334" s="443" t="s">
        <v>1904</v>
      </c>
      <c r="M334" s="334" t="s">
        <v>1771</v>
      </c>
      <c r="N334" s="334">
        <v>0</v>
      </c>
      <c r="O334" s="333">
        <f t="shared" ref="O334:O345" si="305">+N334+P334</f>
        <v>1</v>
      </c>
      <c r="P334" s="332">
        <v>1</v>
      </c>
      <c r="Q334" s="390">
        <v>0.16500000000000001</v>
      </c>
      <c r="R334" s="342">
        <f t="shared" si="282"/>
        <v>0</v>
      </c>
      <c r="S334" s="389">
        <v>0</v>
      </c>
      <c r="T334" s="387">
        <f t="shared" si="264"/>
        <v>0</v>
      </c>
      <c r="U334" s="670">
        <v>0.1</v>
      </c>
      <c r="V334" s="388">
        <f t="shared" si="265"/>
        <v>0.1</v>
      </c>
      <c r="W334" s="356">
        <f t="shared" si="266"/>
        <v>0</v>
      </c>
      <c r="X334" s="356">
        <f t="shared" si="283"/>
        <v>0</v>
      </c>
      <c r="Y334" s="356">
        <f t="shared" si="259"/>
        <v>0</v>
      </c>
      <c r="Z334" s="356">
        <f t="shared" si="284"/>
        <v>100</v>
      </c>
      <c r="AA334" s="355">
        <v>0</v>
      </c>
      <c r="AB334" s="355">
        <v>0</v>
      </c>
      <c r="AC334" s="355">
        <v>0</v>
      </c>
      <c r="AD334" s="355">
        <v>0</v>
      </c>
      <c r="AE334" s="355">
        <v>0</v>
      </c>
      <c r="AF334" s="355">
        <v>0</v>
      </c>
      <c r="AG334" s="355">
        <v>0</v>
      </c>
      <c r="AH334" s="355">
        <v>0</v>
      </c>
      <c r="AI334" s="355">
        <v>0</v>
      </c>
      <c r="AJ334" s="355">
        <v>0</v>
      </c>
      <c r="AK334" s="355">
        <v>0</v>
      </c>
      <c r="AL334" s="355">
        <v>0</v>
      </c>
      <c r="AM334" s="355">
        <v>0</v>
      </c>
      <c r="AN334" s="355">
        <v>0</v>
      </c>
      <c r="AO334" s="355">
        <v>0</v>
      </c>
      <c r="AP334" s="355">
        <v>0</v>
      </c>
      <c r="AQ334" s="355">
        <v>0</v>
      </c>
      <c r="AR334" s="355">
        <v>0</v>
      </c>
      <c r="AS334" s="355">
        <v>0</v>
      </c>
      <c r="AT334" s="333">
        <f t="shared" si="285"/>
        <v>0.16500000000000001</v>
      </c>
      <c r="AU334" s="334">
        <v>1</v>
      </c>
      <c r="AV334" s="387">
        <f t="shared" si="267"/>
        <v>1</v>
      </c>
      <c r="AW334" s="677">
        <v>0.9</v>
      </c>
      <c r="AX334" s="366">
        <f t="shared" si="268"/>
        <v>0.9</v>
      </c>
      <c r="AY334" s="366">
        <f t="shared" si="269"/>
        <v>90</v>
      </c>
      <c r="AZ334" s="366">
        <f t="shared" si="286"/>
        <v>90</v>
      </c>
      <c r="BA334" s="354">
        <f t="shared" si="287"/>
        <v>0.14850000000000002</v>
      </c>
      <c r="BB334" s="354">
        <f t="shared" si="288"/>
        <v>90</v>
      </c>
      <c r="BC334" s="353">
        <v>200000000</v>
      </c>
      <c r="BD334" s="353">
        <v>0</v>
      </c>
      <c r="BE334" s="353">
        <v>200000000</v>
      </c>
      <c r="BF334" s="353">
        <v>0</v>
      </c>
      <c r="BG334" s="353">
        <v>0</v>
      </c>
      <c r="BH334" s="353">
        <v>0</v>
      </c>
      <c r="BI334" s="353">
        <v>0</v>
      </c>
      <c r="BJ334" s="353">
        <v>0</v>
      </c>
      <c r="BK334" s="386">
        <v>200000000</v>
      </c>
      <c r="BL334" s="351">
        <v>200000000</v>
      </c>
      <c r="BM334" s="351">
        <v>0</v>
      </c>
      <c r="BN334" s="351">
        <v>0</v>
      </c>
      <c r="BO334" s="351">
        <v>0</v>
      </c>
      <c r="BP334" s="351">
        <v>0</v>
      </c>
      <c r="BQ334" s="351">
        <v>0</v>
      </c>
      <c r="BR334" s="351">
        <v>0</v>
      </c>
      <c r="BS334" s="351">
        <v>0</v>
      </c>
      <c r="BT334" s="351">
        <v>0</v>
      </c>
      <c r="BU334" s="351">
        <v>0</v>
      </c>
      <c r="BV334" s="350">
        <f t="shared" si="289"/>
        <v>0</v>
      </c>
      <c r="BW334" s="350">
        <v>0</v>
      </c>
      <c r="BX334" s="385">
        <f t="shared" si="270"/>
        <v>0</v>
      </c>
      <c r="BY334" s="400">
        <v>0</v>
      </c>
      <c r="BZ334" s="416">
        <v>0</v>
      </c>
      <c r="CA334" s="691">
        <v>0</v>
      </c>
      <c r="CB334" s="324">
        <f t="shared" si="271"/>
        <v>0</v>
      </c>
      <c r="CC334" s="324">
        <f t="shared" si="272"/>
        <v>0</v>
      </c>
      <c r="CD334" s="384">
        <f t="shared" si="290"/>
        <v>0</v>
      </c>
      <c r="CE334" s="383">
        <f t="shared" si="291"/>
        <v>0</v>
      </c>
      <c r="CF334" s="367">
        <f t="shared" si="292"/>
        <v>0</v>
      </c>
      <c r="CG334" s="383">
        <f t="shared" si="293"/>
        <v>0</v>
      </c>
      <c r="CH334" s="320">
        <f t="shared" si="294"/>
        <v>0</v>
      </c>
      <c r="CI334" s="319">
        <v>0</v>
      </c>
      <c r="CJ334" s="318">
        <f t="shared" si="273"/>
        <v>0</v>
      </c>
      <c r="CK334" s="1258">
        <v>29</v>
      </c>
      <c r="CL334" s="301">
        <f t="shared" si="274"/>
        <v>-29</v>
      </c>
      <c r="CM334" s="381">
        <f t="shared" si="275"/>
        <v>29</v>
      </c>
      <c r="CN334" s="381">
        <f t="shared" si="276"/>
        <v>0</v>
      </c>
      <c r="CO334" s="316">
        <f t="shared" si="295"/>
        <v>0</v>
      </c>
      <c r="CP334" s="381">
        <f t="shared" si="296"/>
        <v>0</v>
      </c>
      <c r="CQ334" s="381">
        <f t="shared" si="297"/>
        <v>0</v>
      </c>
      <c r="CR334" s="313">
        <v>0</v>
      </c>
      <c r="CS334" s="313">
        <v>0</v>
      </c>
      <c r="CT334" s="313">
        <v>0</v>
      </c>
      <c r="CU334" s="313">
        <v>0</v>
      </c>
      <c r="CV334" s="313">
        <v>0</v>
      </c>
      <c r="CW334" s="313">
        <v>0</v>
      </c>
      <c r="CX334" s="313">
        <v>0</v>
      </c>
      <c r="CY334" s="313">
        <v>0</v>
      </c>
      <c r="CZ334" s="380">
        <v>0</v>
      </c>
      <c r="DA334" s="380">
        <v>0</v>
      </c>
      <c r="DB334" s="380">
        <v>0</v>
      </c>
      <c r="DC334" s="380">
        <v>0</v>
      </c>
      <c r="DD334" s="380">
        <v>0</v>
      </c>
      <c r="DE334" s="380">
        <v>0</v>
      </c>
      <c r="DF334" s="380">
        <v>0</v>
      </c>
      <c r="DG334" s="380">
        <v>0</v>
      </c>
      <c r="DH334" s="380">
        <v>0</v>
      </c>
      <c r="DI334" s="380">
        <v>0</v>
      </c>
      <c r="DJ334" s="380">
        <v>0</v>
      </c>
      <c r="DK334" s="702">
        <f t="shared" si="277"/>
        <v>30</v>
      </c>
      <c r="DL334" s="311">
        <f t="shared" si="298"/>
        <v>0.16500000000000001</v>
      </c>
      <c r="DM334" s="310">
        <f t="shared" si="299"/>
        <v>3000</v>
      </c>
      <c r="DN334" s="356">
        <f t="shared" si="300"/>
        <v>100</v>
      </c>
      <c r="DO334" s="308">
        <f t="shared" si="301"/>
        <v>0.16500000000000001</v>
      </c>
      <c r="DP334" s="359">
        <f t="shared" ref="DP334:DP345" si="306">+IF(((DN334*Q334)/100)&lt;Q334, ((DN334*Q334)/100),Q334)</f>
        <v>0.16500000000000001</v>
      </c>
      <c r="DQ334" s="306">
        <f t="shared" si="302"/>
        <v>0.16500000000000001</v>
      </c>
      <c r="DR334" s="379">
        <f t="shared" si="303"/>
        <v>1</v>
      </c>
      <c r="DS334" s="378">
        <f t="shared" si="304"/>
        <v>0</v>
      </c>
      <c r="DT334" s="173">
        <v>388</v>
      </c>
      <c r="DU334" s="174" t="s">
        <v>108</v>
      </c>
      <c r="DV334" s="173"/>
      <c r="DW334" s="174" t="s">
        <v>84</v>
      </c>
      <c r="DX334" s="173"/>
      <c r="DY334" s="173"/>
      <c r="DZ334" s="173"/>
      <c r="EA334" s="665"/>
      <c r="EB334" s="1254" t="s">
        <v>2408</v>
      </c>
      <c r="EC334" s="537">
        <v>63000000</v>
      </c>
      <c r="EE334" s="734">
        <v>20</v>
      </c>
      <c r="EF334" s="706"/>
    </row>
    <row r="335" spans="4:136" s="302" customFormat="1" ht="153" hidden="1">
      <c r="D335" s="520">
        <v>332</v>
      </c>
      <c r="E335" s="534">
        <v>390</v>
      </c>
      <c r="F335" s="336" t="s">
        <v>44</v>
      </c>
      <c r="G335" s="336" t="s">
        <v>13</v>
      </c>
      <c r="H335" s="336" t="s">
        <v>2666</v>
      </c>
      <c r="I335" s="336" t="s">
        <v>828</v>
      </c>
      <c r="J335" s="335" t="s">
        <v>1287</v>
      </c>
      <c r="K335" s="335" t="s">
        <v>831</v>
      </c>
      <c r="L335" s="443" t="s">
        <v>1903</v>
      </c>
      <c r="M335" s="334" t="s">
        <v>1771</v>
      </c>
      <c r="N335" s="334">
        <v>0</v>
      </c>
      <c r="O335" s="333">
        <f t="shared" si="305"/>
        <v>46</v>
      </c>
      <c r="P335" s="332">
        <v>46</v>
      </c>
      <c r="Q335" s="393">
        <v>0.16500000000000001</v>
      </c>
      <c r="R335" s="342">
        <f t="shared" si="282"/>
        <v>0</v>
      </c>
      <c r="S335" s="389">
        <v>0</v>
      </c>
      <c r="T335" s="387">
        <f t="shared" si="264"/>
        <v>0</v>
      </c>
      <c r="U335" s="670">
        <v>0</v>
      </c>
      <c r="V335" s="388">
        <f t="shared" si="265"/>
        <v>0</v>
      </c>
      <c r="W335" s="356">
        <f t="shared" si="266"/>
        <v>0</v>
      </c>
      <c r="X335" s="356">
        <f t="shared" si="283"/>
        <v>0</v>
      </c>
      <c r="Y335" s="356">
        <f t="shared" si="259"/>
        <v>0</v>
      </c>
      <c r="Z335" s="356">
        <f t="shared" si="284"/>
        <v>0</v>
      </c>
      <c r="AA335" s="355">
        <v>0</v>
      </c>
      <c r="AB335" s="355">
        <v>0</v>
      </c>
      <c r="AC335" s="355">
        <v>0</v>
      </c>
      <c r="AD335" s="355">
        <v>0</v>
      </c>
      <c r="AE335" s="355">
        <v>0</v>
      </c>
      <c r="AF335" s="355">
        <v>0</v>
      </c>
      <c r="AG335" s="355">
        <v>0</v>
      </c>
      <c r="AH335" s="355">
        <v>0</v>
      </c>
      <c r="AI335" s="355">
        <v>0</v>
      </c>
      <c r="AJ335" s="355">
        <v>0</v>
      </c>
      <c r="AK335" s="355">
        <v>0</v>
      </c>
      <c r="AL335" s="355">
        <v>0</v>
      </c>
      <c r="AM335" s="355">
        <v>0</v>
      </c>
      <c r="AN335" s="355">
        <v>0</v>
      </c>
      <c r="AO335" s="355">
        <v>0</v>
      </c>
      <c r="AP335" s="355">
        <v>0</v>
      </c>
      <c r="AQ335" s="355">
        <v>0</v>
      </c>
      <c r="AR335" s="355">
        <v>0</v>
      </c>
      <c r="AS335" s="355">
        <v>0</v>
      </c>
      <c r="AT335" s="392">
        <f t="shared" si="285"/>
        <v>7.1739130434782614E-3</v>
      </c>
      <c r="AU335" s="334">
        <v>2</v>
      </c>
      <c r="AV335" s="387">
        <f t="shared" si="267"/>
        <v>4.3478260869565216E-2</v>
      </c>
      <c r="AW335" s="677">
        <v>2</v>
      </c>
      <c r="AX335" s="366">
        <f t="shared" si="268"/>
        <v>2</v>
      </c>
      <c r="AY335" s="366">
        <f t="shared" si="269"/>
        <v>100</v>
      </c>
      <c r="AZ335" s="366">
        <f t="shared" si="286"/>
        <v>100</v>
      </c>
      <c r="BA335" s="354">
        <f t="shared" si="287"/>
        <v>7.1739130434782614E-3</v>
      </c>
      <c r="BB335" s="354">
        <f t="shared" si="288"/>
        <v>100</v>
      </c>
      <c r="BC335" s="353">
        <v>32000000</v>
      </c>
      <c r="BD335" s="353">
        <v>0</v>
      </c>
      <c r="BE335" s="353">
        <v>32000000</v>
      </c>
      <c r="BF335" s="353">
        <v>0</v>
      </c>
      <c r="BG335" s="353">
        <v>0</v>
      </c>
      <c r="BH335" s="353">
        <v>0</v>
      </c>
      <c r="BI335" s="353">
        <v>0</v>
      </c>
      <c r="BJ335" s="353">
        <v>0</v>
      </c>
      <c r="BK335" s="386">
        <v>32000000</v>
      </c>
      <c r="BL335" s="351">
        <v>32000000</v>
      </c>
      <c r="BM335" s="351">
        <v>0</v>
      </c>
      <c r="BN335" s="351">
        <v>0</v>
      </c>
      <c r="BO335" s="351">
        <v>0</v>
      </c>
      <c r="BP335" s="351">
        <v>0</v>
      </c>
      <c r="BQ335" s="351">
        <v>0</v>
      </c>
      <c r="BR335" s="351">
        <v>0</v>
      </c>
      <c r="BS335" s="351">
        <v>0</v>
      </c>
      <c r="BT335" s="351">
        <v>48000000</v>
      </c>
      <c r="BU335" s="351" t="s">
        <v>1902</v>
      </c>
      <c r="BV335" s="350">
        <f t="shared" si="289"/>
        <v>2.1521739130434783E-2</v>
      </c>
      <c r="BW335" s="350">
        <v>6</v>
      </c>
      <c r="BX335" s="385">
        <f t="shared" si="270"/>
        <v>0.13043478260869565</v>
      </c>
      <c r="BY335" s="400">
        <v>6</v>
      </c>
      <c r="BZ335" s="1387">
        <v>6</v>
      </c>
      <c r="CA335" s="695">
        <v>6</v>
      </c>
      <c r="CB335" s="324">
        <f t="shared" si="271"/>
        <v>6</v>
      </c>
      <c r="CC335" s="324">
        <f t="shared" si="272"/>
        <v>100</v>
      </c>
      <c r="CD335" s="384">
        <f t="shared" si="290"/>
        <v>100</v>
      </c>
      <c r="CE335" s="383">
        <f t="shared" si="291"/>
        <v>2.1521739130434779E-2</v>
      </c>
      <c r="CF335" s="367">
        <f t="shared" si="292"/>
        <v>100</v>
      </c>
      <c r="CG335" s="383">
        <f t="shared" si="293"/>
        <v>2.1521739130434779E-2</v>
      </c>
      <c r="CH335" s="320">
        <f t="shared" si="294"/>
        <v>0.13630434782608697</v>
      </c>
      <c r="CI335" s="319">
        <v>38</v>
      </c>
      <c r="CJ335" s="318">
        <f t="shared" si="273"/>
        <v>0.82608695652173914</v>
      </c>
      <c r="CK335" s="1259">
        <v>29</v>
      </c>
      <c r="CL335" s="301">
        <f t="shared" si="274"/>
        <v>9</v>
      </c>
      <c r="CM335" s="381">
        <f t="shared" si="275"/>
        <v>29</v>
      </c>
      <c r="CN335" s="381">
        <f t="shared" si="276"/>
        <v>76.315789473684205</v>
      </c>
      <c r="CO335" s="316">
        <f t="shared" si="295"/>
        <v>76.315789473684205</v>
      </c>
      <c r="CP335" s="381">
        <f t="shared" si="296"/>
        <v>0.10402173913043479</v>
      </c>
      <c r="CQ335" s="381">
        <f t="shared" si="297"/>
        <v>0.10402173913043479</v>
      </c>
      <c r="CR335" s="313">
        <v>64000000</v>
      </c>
      <c r="CS335" s="313">
        <v>64000000</v>
      </c>
      <c r="CT335" s="313">
        <v>0</v>
      </c>
      <c r="CU335" s="313">
        <v>0</v>
      </c>
      <c r="CV335" s="313">
        <v>0</v>
      </c>
      <c r="CW335" s="313">
        <v>0</v>
      </c>
      <c r="CX335" s="313">
        <v>0</v>
      </c>
      <c r="CY335" s="313">
        <v>0</v>
      </c>
      <c r="CZ335" s="380">
        <v>0</v>
      </c>
      <c r="DA335" s="380">
        <v>0</v>
      </c>
      <c r="DB335" s="380">
        <v>0</v>
      </c>
      <c r="DC335" s="380">
        <v>0</v>
      </c>
      <c r="DD335" s="380">
        <v>0</v>
      </c>
      <c r="DE335" s="380">
        <v>0</v>
      </c>
      <c r="DF335" s="380">
        <v>0</v>
      </c>
      <c r="DG335" s="380">
        <v>0</v>
      </c>
      <c r="DH335" s="380">
        <v>0</v>
      </c>
      <c r="DI335" s="380">
        <v>0</v>
      </c>
      <c r="DJ335" s="380">
        <v>0</v>
      </c>
      <c r="DK335" s="702">
        <f t="shared" si="277"/>
        <v>37</v>
      </c>
      <c r="DL335" s="311">
        <f t="shared" si="298"/>
        <v>0.16500000000000001</v>
      </c>
      <c r="DM335" s="310">
        <f t="shared" si="299"/>
        <v>80.434782608695656</v>
      </c>
      <c r="DN335" s="356">
        <f t="shared" si="300"/>
        <v>80.434782608695656</v>
      </c>
      <c r="DO335" s="308">
        <f t="shared" si="301"/>
        <v>0.13271739130434784</v>
      </c>
      <c r="DP335" s="359">
        <f t="shared" si="306"/>
        <v>0.13271739130434784</v>
      </c>
      <c r="DQ335" s="306">
        <f t="shared" si="302"/>
        <v>0.13271739130434784</v>
      </c>
      <c r="DR335" s="379">
        <f t="shared" si="303"/>
        <v>1</v>
      </c>
      <c r="DS335" s="378">
        <f t="shared" si="304"/>
        <v>0</v>
      </c>
      <c r="DT335" s="173">
        <v>388</v>
      </c>
      <c r="DU335" s="174" t="s">
        <v>108</v>
      </c>
      <c r="DV335" s="173"/>
      <c r="DW335" s="174" t="s">
        <v>84</v>
      </c>
      <c r="DX335" s="173"/>
      <c r="DY335" s="173"/>
      <c r="DZ335" s="173"/>
      <c r="EA335" s="665"/>
      <c r="EB335" s="1254" t="s">
        <v>3112</v>
      </c>
      <c r="EC335" s="537">
        <v>20000000</v>
      </c>
      <c r="EE335" s="734">
        <v>1</v>
      </c>
      <c r="EF335" s="706"/>
    </row>
    <row r="336" spans="4:136" s="302" customFormat="1" ht="178.5" hidden="1">
      <c r="D336" s="520">
        <v>333</v>
      </c>
      <c r="E336" s="534">
        <v>391</v>
      </c>
      <c r="F336" s="479" t="s">
        <v>44</v>
      </c>
      <c r="G336" s="479" t="s">
        <v>13</v>
      </c>
      <c r="H336" s="479" t="s">
        <v>2666</v>
      </c>
      <c r="I336" s="435" t="s">
        <v>828</v>
      </c>
      <c r="J336" s="335" t="s">
        <v>832</v>
      </c>
      <c r="K336" s="335" t="s">
        <v>833</v>
      </c>
      <c r="L336" s="443" t="s">
        <v>1901</v>
      </c>
      <c r="M336" s="334" t="s">
        <v>1771</v>
      </c>
      <c r="N336" s="334">
        <v>0</v>
      </c>
      <c r="O336" s="333">
        <f t="shared" si="305"/>
        <v>1</v>
      </c>
      <c r="P336" s="332">
        <v>1</v>
      </c>
      <c r="Q336" s="390">
        <v>8.8999999999999996E-2</v>
      </c>
      <c r="R336" s="342">
        <f t="shared" si="282"/>
        <v>0</v>
      </c>
      <c r="S336" s="389">
        <v>0</v>
      </c>
      <c r="T336" s="387">
        <f t="shared" si="264"/>
        <v>0</v>
      </c>
      <c r="U336" s="670">
        <v>0</v>
      </c>
      <c r="V336" s="388">
        <f t="shared" si="265"/>
        <v>0</v>
      </c>
      <c r="W336" s="356">
        <f t="shared" si="266"/>
        <v>0</v>
      </c>
      <c r="X336" s="356">
        <f t="shared" si="283"/>
        <v>0</v>
      </c>
      <c r="Y336" s="356">
        <f t="shared" si="259"/>
        <v>0</v>
      </c>
      <c r="Z336" s="356">
        <f t="shared" si="284"/>
        <v>0</v>
      </c>
      <c r="AA336" s="355">
        <v>0</v>
      </c>
      <c r="AB336" s="355">
        <v>0</v>
      </c>
      <c r="AC336" s="355">
        <v>0</v>
      </c>
      <c r="AD336" s="355">
        <v>0</v>
      </c>
      <c r="AE336" s="355">
        <v>0</v>
      </c>
      <c r="AF336" s="355">
        <v>0</v>
      </c>
      <c r="AG336" s="355">
        <v>0</v>
      </c>
      <c r="AH336" s="355">
        <v>0</v>
      </c>
      <c r="AI336" s="355">
        <v>0</v>
      </c>
      <c r="AJ336" s="355">
        <v>0</v>
      </c>
      <c r="AK336" s="355">
        <v>0</v>
      </c>
      <c r="AL336" s="355">
        <v>0</v>
      </c>
      <c r="AM336" s="355">
        <v>0</v>
      </c>
      <c r="AN336" s="355">
        <v>0</v>
      </c>
      <c r="AO336" s="355">
        <v>0</v>
      </c>
      <c r="AP336" s="355">
        <v>0</v>
      </c>
      <c r="AQ336" s="355">
        <v>0</v>
      </c>
      <c r="AR336" s="355">
        <v>0</v>
      </c>
      <c r="AS336" s="355">
        <v>0</v>
      </c>
      <c r="AT336" s="333">
        <f t="shared" si="285"/>
        <v>2.2249999999999999E-2</v>
      </c>
      <c r="AU336" s="334">
        <v>0.25</v>
      </c>
      <c r="AV336" s="387">
        <f t="shared" si="267"/>
        <v>0.25</v>
      </c>
      <c r="AW336" s="677">
        <v>0.25</v>
      </c>
      <c r="AX336" s="366">
        <f t="shared" si="268"/>
        <v>0.25</v>
      </c>
      <c r="AY336" s="366">
        <f t="shared" si="269"/>
        <v>100</v>
      </c>
      <c r="AZ336" s="366">
        <f t="shared" si="286"/>
        <v>100</v>
      </c>
      <c r="BA336" s="354">
        <f t="shared" si="287"/>
        <v>2.2250000000000002E-2</v>
      </c>
      <c r="BB336" s="354">
        <f t="shared" si="288"/>
        <v>100</v>
      </c>
      <c r="BC336" s="353">
        <v>30000000</v>
      </c>
      <c r="BD336" s="353">
        <v>0</v>
      </c>
      <c r="BE336" s="353">
        <v>30000000</v>
      </c>
      <c r="BF336" s="353">
        <v>0</v>
      </c>
      <c r="BG336" s="353">
        <v>0</v>
      </c>
      <c r="BH336" s="353">
        <v>0</v>
      </c>
      <c r="BI336" s="353">
        <v>0</v>
      </c>
      <c r="BJ336" s="353">
        <v>0</v>
      </c>
      <c r="BK336" s="386">
        <v>30000000</v>
      </c>
      <c r="BL336" s="351">
        <v>30000000</v>
      </c>
      <c r="BM336" s="351">
        <v>0</v>
      </c>
      <c r="BN336" s="351">
        <v>0</v>
      </c>
      <c r="BO336" s="351">
        <v>0</v>
      </c>
      <c r="BP336" s="351">
        <v>0</v>
      </c>
      <c r="BQ336" s="351">
        <v>0</v>
      </c>
      <c r="BR336" s="351">
        <v>0</v>
      </c>
      <c r="BS336" s="351">
        <v>0</v>
      </c>
      <c r="BT336" s="351">
        <v>80000000</v>
      </c>
      <c r="BU336" s="351" t="s">
        <v>1900</v>
      </c>
      <c r="BV336" s="350">
        <f t="shared" si="289"/>
        <v>3.56E-2</v>
      </c>
      <c r="BW336" s="350">
        <v>0.4</v>
      </c>
      <c r="BX336" s="385">
        <f t="shared" si="270"/>
        <v>0.4</v>
      </c>
      <c r="BY336" s="369">
        <v>0.30000001192092896</v>
      </c>
      <c r="BZ336" s="391">
        <v>0.40000000596046448</v>
      </c>
      <c r="CA336" s="689">
        <v>0.4</v>
      </c>
      <c r="CB336" s="324">
        <f t="shared" si="271"/>
        <v>0.4</v>
      </c>
      <c r="CC336" s="324">
        <f t="shared" si="272"/>
        <v>100</v>
      </c>
      <c r="CD336" s="384">
        <f t="shared" si="290"/>
        <v>100</v>
      </c>
      <c r="CE336" s="383">
        <f t="shared" si="291"/>
        <v>3.56E-2</v>
      </c>
      <c r="CF336" s="367">
        <f t="shared" si="292"/>
        <v>100</v>
      </c>
      <c r="CG336" s="383">
        <f t="shared" si="293"/>
        <v>3.56E-2</v>
      </c>
      <c r="CH336" s="320">
        <f t="shared" si="294"/>
        <v>3.1149999999999997E-2</v>
      </c>
      <c r="CI336" s="319">
        <v>0.35</v>
      </c>
      <c r="CJ336" s="318">
        <f t="shared" si="273"/>
        <v>0.35</v>
      </c>
      <c r="CK336" s="1259">
        <v>0.3</v>
      </c>
      <c r="CL336" s="301">
        <f t="shared" si="274"/>
        <v>4.9999999999999989E-2</v>
      </c>
      <c r="CM336" s="381">
        <f t="shared" si="275"/>
        <v>0.3</v>
      </c>
      <c r="CN336" s="381">
        <f t="shared" si="276"/>
        <v>85.714285714285722</v>
      </c>
      <c r="CO336" s="316">
        <f t="shared" si="295"/>
        <v>85.714285714285722</v>
      </c>
      <c r="CP336" s="381">
        <f t="shared" si="296"/>
        <v>2.6699999999999998E-2</v>
      </c>
      <c r="CQ336" s="381">
        <f t="shared" si="297"/>
        <v>2.6699999999999998E-2</v>
      </c>
      <c r="CR336" s="313">
        <v>60000000</v>
      </c>
      <c r="CS336" s="313">
        <v>60000000</v>
      </c>
      <c r="CT336" s="313">
        <v>0</v>
      </c>
      <c r="CU336" s="313">
        <v>0</v>
      </c>
      <c r="CV336" s="313">
        <v>0</v>
      </c>
      <c r="CW336" s="313">
        <v>0</v>
      </c>
      <c r="CX336" s="313">
        <v>0</v>
      </c>
      <c r="CY336" s="313">
        <v>0</v>
      </c>
      <c r="CZ336" s="380">
        <v>0</v>
      </c>
      <c r="DA336" s="380">
        <v>0</v>
      </c>
      <c r="DB336" s="380">
        <v>0</v>
      </c>
      <c r="DC336" s="380">
        <v>0</v>
      </c>
      <c r="DD336" s="380">
        <v>0</v>
      </c>
      <c r="DE336" s="380">
        <v>0</v>
      </c>
      <c r="DF336" s="380">
        <v>0</v>
      </c>
      <c r="DG336" s="380">
        <v>0</v>
      </c>
      <c r="DH336" s="380">
        <v>0</v>
      </c>
      <c r="DI336" s="380">
        <v>0</v>
      </c>
      <c r="DJ336" s="380">
        <v>0</v>
      </c>
      <c r="DK336" s="702">
        <f t="shared" si="277"/>
        <v>0.95</v>
      </c>
      <c r="DL336" s="311">
        <f t="shared" si="298"/>
        <v>8.8999999999999996E-2</v>
      </c>
      <c r="DM336" s="310">
        <f t="shared" si="299"/>
        <v>95</v>
      </c>
      <c r="DN336" s="356">
        <f t="shared" si="300"/>
        <v>95</v>
      </c>
      <c r="DO336" s="308">
        <f t="shared" si="301"/>
        <v>8.455E-2</v>
      </c>
      <c r="DP336" s="359">
        <f t="shared" si="306"/>
        <v>8.455E-2</v>
      </c>
      <c r="DQ336" s="306">
        <f t="shared" si="302"/>
        <v>8.455E-2</v>
      </c>
      <c r="DR336" s="379">
        <f t="shared" si="303"/>
        <v>1</v>
      </c>
      <c r="DS336" s="378">
        <f t="shared" si="304"/>
        <v>0</v>
      </c>
      <c r="DT336" s="173">
        <v>388</v>
      </c>
      <c r="DU336" s="174" t="s">
        <v>108</v>
      </c>
      <c r="DV336" s="173"/>
      <c r="DW336" s="174" t="s">
        <v>84</v>
      </c>
      <c r="DX336" s="173"/>
      <c r="DY336" s="173"/>
      <c r="DZ336" s="173"/>
      <c r="EA336" s="665"/>
      <c r="EB336" s="1254" t="s">
        <v>2580</v>
      </c>
      <c r="EC336" s="537">
        <v>821000000</v>
      </c>
      <c r="EE336" s="740">
        <v>100</v>
      </c>
      <c r="EF336" s="706"/>
    </row>
    <row r="337" spans="4:136" s="302" customFormat="1" ht="89.25" hidden="1">
      <c r="D337" s="520">
        <v>334</v>
      </c>
      <c r="E337" s="534">
        <v>392</v>
      </c>
      <c r="F337" s="479" t="s">
        <v>44</v>
      </c>
      <c r="G337" s="479" t="s">
        <v>13</v>
      </c>
      <c r="H337" s="479" t="s">
        <v>2666</v>
      </c>
      <c r="I337" s="435" t="s">
        <v>834</v>
      </c>
      <c r="J337" s="335" t="s">
        <v>835</v>
      </c>
      <c r="K337" s="335" t="s">
        <v>836</v>
      </c>
      <c r="L337" s="443" t="s">
        <v>1783</v>
      </c>
      <c r="M337" s="334" t="s">
        <v>1771</v>
      </c>
      <c r="N337" s="334">
        <v>2</v>
      </c>
      <c r="O337" s="333">
        <f t="shared" si="305"/>
        <v>4</v>
      </c>
      <c r="P337" s="332">
        <v>2</v>
      </c>
      <c r="Q337" s="390">
        <v>0.16500000000000001</v>
      </c>
      <c r="R337" s="342">
        <f t="shared" si="282"/>
        <v>0</v>
      </c>
      <c r="S337" s="389">
        <v>0</v>
      </c>
      <c r="T337" s="387">
        <f t="shared" si="264"/>
        <v>0</v>
      </c>
      <c r="U337" s="670">
        <v>0.1</v>
      </c>
      <c r="V337" s="388">
        <f t="shared" si="265"/>
        <v>0.1</v>
      </c>
      <c r="W337" s="356">
        <f t="shared" si="266"/>
        <v>0</v>
      </c>
      <c r="X337" s="356">
        <f t="shared" si="283"/>
        <v>0</v>
      </c>
      <c r="Y337" s="356">
        <f t="shared" si="259"/>
        <v>0</v>
      </c>
      <c r="Z337" s="356">
        <f t="shared" si="284"/>
        <v>100</v>
      </c>
      <c r="AA337" s="355">
        <v>0</v>
      </c>
      <c r="AB337" s="355">
        <v>0</v>
      </c>
      <c r="AC337" s="355">
        <v>0</v>
      </c>
      <c r="AD337" s="355">
        <v>0</v>
      </c>
      <c r="AE337" s="355">
        <v>0</v>
      </c>
      <c r="AF337" s="355">
        <v>0</v>
      </c>
      <c r="AG337" s="355">
        <v>0</v>
      </c>
      <c r="AH337" s="355">
        <v>0</v>
      </c>
      <c r="AI337" s="355">
        <v>7722802000</v>
      </c>
      <c r="AJ337" s="355">
        <v>5279827000</v>
      </c>
      <c r="AK337" s="355">
        <v>28459000</v>
      </c>
      <c r="AL337" s="355">
        <v>2414516000</v>
      </c>
      <c r="AM337" s="355">
        <v>0</v>
      </c>
      <c r="AN337" s="355">
        <v>0</v>
      </c>
      <c r="AO337" s="355">
        <v>0</v>
      </c>
      <c r="AP337" s="355">
        <v>0</v>
      </c>
      <c r="AQ337" s="355">
        <v>0</v>
      </c>
      <c r="AR337" s="355">
        <v>0</v>
      </c>
      <c r="AS337" s="355">
        <v>0</v>
      </c>
      <c r="AT337" s="333">
        <f t="shared" si="285"/>
        <v>4.1250000000000002E-2</v>
      </c>
      <c r="AU337" s="334">
        <v>0.5</v>
      </c>
      <c r="AV337" s="387">
        <f t="shared" si="267"/>
        <v>0.25</v>
      </c>
      <c r="AW337" s="677">
        <v>0.4</v>
      </c>
      <c r="AX337" s="366">
        <f t="shared" si="268"/>
        <v>0.4</v>
      </c>
      <c r="AY337" s="366">
        <f t="shared" si="269"/>
        <v>80</v>
      </c>
      <c r="AZ337" s="366">
        <f t="shared" si="286"/>
        <v>80</v>
      </c>
      <c r="BA337" s="354">
        <f t="shared" si="287"/>
        <v>3.3000000000000002E-2</v>
      </c>
      <c r="BB337" s="354">
        <f t="shared" si="288"/>
        <v>80</v>
      </c>
      <c r="BC337" s="353">
        <v>0</v>
      </c>
      <c r="BD337" s="353">
        <v>0</v>
      </c>
      <c r="BE337" s="353">
        <v>0</v>
      </c>
      <c r="BF337" s="353">
        <v>0</v>
      </c>
      <c r="BG337" s="353">
        <v>0</v>
      </c>
      <c r="BH337" s="353">
        <v>0</v>
      </c>
      <c r="BI337" s="353">
        <v>0</v>
      </c>
      <c r="BJ337" s="353">
        <v>0</v>
      </c>
      <c r="BK337" s="386">
        <v>0</v>
      </c>
      <c r="BL337" s="351">
        <v>0</v>
      </c>
      <c r="BM337" s="351">
        <v>0</v>
      </c>
      <c r="BN337" s="351">
        <v>0</v>
      </c>
      <c r="BO337" s="351">
        <v>0</v>
      </c>
      <c r="BP337" s="351">
        <v>0</v>
      </c>
      <c r="BQ337" s="351">
        <v>0</v>
      </c>
      <c r="BR337" s="351">
        <v>0</v>
      </c>
      <c r="BS337" s="351">
        <v>0</v>
      </c>
      <c r="BT337" s="351">
        <v>0</v>
      </c>
      <c r="BU337" s="351">
        <v>0</v>
      </c>
      <c r="BV337" s="350">
        <f t="shared" si="289"/>
        <v>4.1250000000000002E-2</v>
      </c>
      <c r="BW337" s="350">
        <v>0.5</v>
      </c>
      <c r="BX337" s="385">
        <f t="shared" si="270"/>
        <v>0.25</v>
      </c>
      <c r="BY337" s="369">
        <v>0.1</v>
      </c>
      <c r="BZ337" s="391">
        <v>0</v>
      </c>
      <c r="CA337" s="689">
        <v>0.3</v>
      </c>
      <c r="CB337" s="324">
        <f t="shared" si="271"/>
        <v>0.3</v>
      </c>
      <c r="CC337" s="324">
        <f t="shared" si="272"/>
        <v>60</v>
      </c>
      <c r="CD337" s="384">
        <f t="shared" si="290"/>
        <v>60</v>
      </c>
      <c r="CE337" s="383">
        <f t="shared" si="291"/>
        <v>2.4750000000000001E-2</v>
      </c>
      <c r="CF337" s="367">
        <f t="shared" si="292"/>
        <v>60</v>
      </c>
      <c r="CG337" s="383">
        <f t="shared" si="293"/>
        <v>2.4750000000000001E-2</v>
      </c>
      <c r="CH337" s="320">
        <f t="shared" si="294"/>
        <v>8.2500000000000004E-2</v>
      </c>
      <c r="CI337" s="319">
        <v>1</v>
      </c>
      <c r="CJ337" s="318">
        <f t="shared" si="273"/>
        <v>0.5</v>
      </c>
      <c r="CK337" s="1259">
        <v>1.7</v>
      </c>
      <c r="CL337" s="301">
        <f t="shared" si="274"/>
        <v>-0.7</v>
      </c>
      <c r="CM337" s="381">
        <f t="shared" si="275"/>
        <v>1.7</v>
      </c>
      <c r="CN337" s="381">
        <f t="shared" si="276"/>
        <v>170</v>
      </c>
      <c r="CO337" s="316">
        <f t="shared" si="295"/>
        <v>100</v>
      </c>
      <c r="CP337" s="381">
        <f t="shared" si="296"/>
        <v>8.2500000000000004E-2</v>
      </c>
      <c r="CQ337" s="381">
        <f t="shared" si="297"/>
        <v>0.14025000000000001</v>
      </c>
      <c r="CR337" s="313">
        <v>300000000</v>
      </c>
      <c r="CS337" s="313">
        <v>300000000</v>
      </c>
      <c r="CT337" s="313">
        <v>0</v>
      </c>
      <c r="CU337" s="313">
        <v>0</v>
      </c>
      <c r="CV337" s="313">
        <v>0</v>
      </c>
      <c r="CW337" s="313">
        <v>0</v>
      </c>
      <c r="CX337" s="313">
        <v>0</v>
      </c>
      <c r="CY337" s="313">
        <v>0</v>
      </c>
      <c r="CZ337" s="380">
        <v>0</v>
      </c>
      <c r="DA337" s="380">
        <v>0</v>
      </c>
      <c r="DB337" s="380">
        <v>0</v>
      </c>
      <c r="DC337" s="380">
        <v>0</v>
      </c>
      <c r="DD337" s="380">
        <v>0</v>
      </c>
      <c r="DE337" s="380">
        <v>0</v>
      </c>
      <c r="DF337" s="380">
        <v>0</v>
      </c>
      <c r="DG337" s="380">
        <v>0</v>
      </c>
      <c r="DH337" s="380">
        <v>0</v>
      </c>
      <c r="DI337" s="380">
        <v>0</v>
      </c>
      <c r="DJ337" s="380">
        <v>0</v>
      </c>
      <c r="DK337" s="702">
        <f t="shared" si="277"/>
        <v>2.5</v>
      </c>
      <c r="DL337" s="311">
        <f t="shared" si="298"/>
        <v>0.16500000000000001</v>
      </c>
      <c r="DM337" s="310">
        <f t="shared" si="299"/>
        <v>125</v>
      </c>
      <c r="DN337" s="356">
        <f t="shared" si="300"/>
        <v>100</v>
      </c>
      <c r="DO337" s="308">
        <f t="shared" si="301"/>
        <v>0.16500000000000001</v>
      </c>
      <c r="DP337" s="359">
        <f t="shared" si="306"/>
        <v>0.16500000000000001</v>
      </c>
      <c r="DQ337" s="306">
        <f t="shared" si="302"/>
        <v>0.16500000000000001</v>
      </c>
      <c r="DR337" s="379">
        <f t="shared" si="303"/>
        <v>1</v>
      </c>
      <c r="DS337" s="378">
        <f t="shared" si="304"/>
        <v>0</v>
      </c>
      <c r="DT337" s="173">
        <v>388</v>
      </c>
      <c r="DU337" s="174" t="s">
        <v>108</v>
      </c>
      <c r="DV337" s="173"/>
      <c r="DW337" s="174" t="s">
        <v>84</v>
      </c>
      <c r="DX337" s="173"/>
      <c r="DY337" s="173"/>
      <c r="DZ337" s="173"/>
      <c r="EA337" s="665"/>
      <c r="EB337" s="1254" t="s">
        <v>3113</v>
      </c>
      <c r="EC337" s="537">
        <v>12000000000</v>
      </c>
      <c r="EE337" s="734">
        <v>1200</v>
      </c>
      <c r="EF337" s="706"/>
    </row>
    <row r="338" spans="4:136" s="302" customFormat="1" ht="76.5" hidden="1">
      <c r="D338" s="520">
        <v>335</v>
      </c>
      <c r="E338" s="534">
        <v>393</v>
      </c>
      <c r="F338" s="479" t="s">
        <v>44</v>
      </c>
      <c r="G338" s="479" t="s">
        <v>13</v>
      </c>
      <c r="H338" s="479" t="s">
        <v>2666</v>
      </c>
      <c r="I338" s="435" t="s">
        <v>834</v>
      </c>
      <c r="J338" s="335" t="s">
        <v>837</v>
      </c>
      <c r="K338" s="335" t="s">
        <v>838</v>
      </c>
      <c r="L338" s="443" t="s">
        <v>1783</v>
      </c>
      <c r="M338" s="334" t="s">
        <v>1771</v>
      </c>
      <c r="N338" s="334">
        <v>0</v>
      </c>
      <c r="O338" s="333">
        <f t="shared" si="305"/>
        <v>2</v>
      </c>
      <c r="P338" s="332">
        <v>2</v>
      </c>
      <c r="Q338" s="390">
        <v>0.16500000000000001</v>
      </c>
      <c r="R338" s="342">
        <f t="shared" si="282"/>
        <v>0</v>
      </c>
      <c r="S338" s="389">
        <v>0</v>
      </c>
      <c r="T338" s="387">
        <f t="shared" si="264"/>
        <v>0</v>
      </c>
      <c r="U338" s="670">
        <v>0.15</v>
      </c>
      <c r="V338" s="388">
        <f t="shared" si="265"/>
        <v>0.15</v>
      </c>
      <c r="W338" s="356">
        <f t="shared" si="266"/>
        <v>0</v>
      </c>
      <c r="X338" s="356">
        <f t="shared" si="283"/>
        <v>0</v>
      </c>
      <c r="Y338" s="356">
        <f t="shared" ref="Y338:Y401" si="307">+(X338*R338)/100</f>
        <v>0</v>
      </c>
      <c r="Z338" s="356">
        <f t="shared" si="284"/>
        <v>100</v>
      </c>
      <c r="AA338" s="355">
        <v>0</v>
      </c>
      <c r="AB338" s="355">
        <v>0</v>
      </c>
      <c r="AC338" s="355">
        <v>0</v>
      </c>
      <c r="AD338" s="355">
        <v>0</v>
      </c>
      <c r="AE338" s="355">
        <v>0</v>
      </c>
      <c r="AF338" s="355">
        <v>0</v>
      </c>
      <c r="AG338" s="355">
        <v>0</v>
      </c>
      <c r="AH338" s="355">
        <v>0</v>
      </c>
      <c r="AI338" s="355">
        <v>0</v>
      </c>
      <c r="AJ338" s="355">
        <v>0</v>
      </c>
      <c r="AK338" s="355">
        <v>0</v>
      </c>
      <c r="AL338" s="355">
        <v>0</v>
      </c>
      <c r="AM338" s="355">
        <v>0</v>
      </c>
      <c r="AN338" s="355">
        <v>0</v>
      </c>
      <c r="AO338" s="355">
        <v>0</v>
      </c>
      <c r="AP338" s="355">
        <v>0</v>
      </c>
      <c r="AQ338" s="355">
        <v>0</v>
      </c>
      <c r="AR338" s="355">
        <v>0</v>
      </c>
      <c r="AS338" s="355">
        <v>0</v>
      </c>
      <c r="AT338" s="333">
        <f t="shared" si="285"/>
        <v>4.1250000000000002E-2</v>
      </c>
      <c r="AU338" s="334">
        <v>0.5</v>
      </c>
      <c r="AV338" s="387">
        <f t="shared" si="267"/>
        <v>0.25</v>
      </c>
      <c r="AW338" s="677">
        <v>0.4</v>
      </c>
      <c r="AX338" s="366">
        <f t="shared" si="268"/>
        <v>0.4</v>
      </c>
      <c r="AY338" s="366">
        <f t="shared" si="269"/>
        <v>80</v>
      </c>
      <c r="AZ338" s="366">
        <f t="shared" si="286"/>
        <v>80</v>
      </c>
      <c r="BA338" s="354">
        <f t="shared" si="287"/>
        <v>3.3000000000000002E-2</v>
      </c>
      <c r="BB338" s="354">
        <f t="shared" si="288"/>
        <v>80</v>
      </c>
      <c r="BC338" s="353">
        <v>100000000</v>
      </c>
      <c r="BD338" s="353">
        <v>0</v>
      </c>
      <c r="BE338" s="353">
        <v>100000000</v>
      </c>
      <c r="BF338" s="353">
        <v>0</v>
      </c>
      <c r="BG338" s="353">
        <v>0</v>
      </c>
      <c r="BH338" s="353">
        <v>0</v>
      </c>
      <c r="BI338" s="353">
        <v>0</v>
      </c>
      <c r="BJ338" s="353">
        <v>0</v>
      </c>
      <c r="BK338" s="386">
        <v>100000000</v>
      </c>
      <c r="BL338" s="351">
        <v>100000000</v>
      </c>
      <c r="BM338" s="351">
        <v>0</v>
      </c>
      <c r="BN338" s="351">
        <v>0</v>
      </c>
      <c r="BO338" s="351">
        <v>0</v>
      </c>
      <c r="BP338" s="351">
        <v>0</v>
      </c>
      <c r="BQ338" s="351">
        <v>0</v>
      </c>
      <c r="BR338" s="351">
        <v>0</v>
      </c>
      <c r="BS338" s="351">
        <v>0</v>
      </c>
      <c r="BT338" s="351">
        <v>0</v>
      </c>
      <c r="BU338" s="351">
        <v>0</v>
      </c>
      <c r="BV338" s="350">
        <f t="shared" si="289"/>
        <v>4.1250000000000002E-2</v>
      </c>
      <c r="BW338" s="350">
        <v>0.5</v>
      </c>
      <c r="BX338" s="385">
        <f t="shared" si="270"/>
        <v>0.25</v>
      </c>
      <c r="BY338" s="369">
        <v>0.10000000149011612</v>
      </c>
      <c r="BZ338" s="391">
        <v>0.10000000149011612</v>
      </c>
      <c r="CA338" s="689">
        <v>0.30000001192092896</v>
      </c>
      <c r="CB338" s="324">
        <f t="shared" si="271"/>
        <v>0.30000001192092896</v>
      </c>
      <c r="CC338" s="324">
        <f t="shared" si="272"/>
        <v>60.000002384185791</v>
      </c>
      <c r="CD338" s="384">
        <f t="shared" si="290"/>
        <v>60.000002384185791</v>
      </c>
      <c r="CE338" s="383">
        <f t="shared" si="291"/>
        <v>2.4750000983476638E-2</v>
      </c>
      <c r="CF338" s="367">
        <f t="shared" si="292"/>
        <v>60.000002384185791</v>
      </c>
      <c r="CG338" s="383">
        <f t="shared" si="293"/>
        <v>2.4750000983476638E-2</v>
      </c>
      <c r="CH338" s="320">
        <f t="shared" si="294"/>
        <v>8.2500000000000004E-2</v>
      </c>
      <c r="CI338" s="319">
        <v>1</v>
      </c>
      <c r="CJ338" s="318">
        <f t="shared" si="273"/>
        <v>0.5</v>
      </c>
      <c r="CK338" s="1259">
        <v>0.6</v>
      </c>
      <c r="CL338" s="301">
        <f t="shared" si="274"/>
        <v>0.4</v>
      </c>
      <c r="CM338" s="381">
        <f t="shared" si="275"/>
        <v>0.6</v>
      </c>
      <c r="CN338" s="381">
        <f t="shared" si="276"/>
        <v>60</v>
      </c>
      <c r="CO338" s="316">
        <f t="shared" si="295"/>
        <v>60</v>
      </c>
      <c r="CP338" s="381">
        <f t="shared" si="296"/>
        <v>4.9500000000000002E-2</v>
      </c>
      <c r="CQ338" s="381">
        <f t="shared" si="297"/>
        <v>4.9500000000000002E-2</v>
      </c>
      <c r="CR338" s="313">
        <v>200000000</v>
      </c>
      <c r="CS338" s="313">
        <v>200000000</v>
      </c>
      <c r="CT338" s="313">
        <v>0</v>
      </c>
      <c r="CU338" s="313">
        <v>0</v>
      </c>
      <c r="CV338" s="313">
        <v>0</v>
      </c>
      <c r="CW338" s="313">
        <v>0</v>
      </c>
      <c r="CX338" s="313">
        <v>0</v>
      </c>
      <c r="CY338" s="313">
        <v>0</v>
      </c>
      <c r="CZ338" s="380">
        <v>0</v>
      </c>
      <c r="DA338" s="380">
        <v>0</v>
      </c>
      <c r="DB338" s="380">
        <v>0</v>
      </c>
      <c r="DC338" s="380">
        <v>0</v>
      </c>
      <c r="DD338" s="380">
        <v>0</v>
      </c>
      <c r="DE338" s="380">
        <v>0</v>
      </c>
      <c r="DF338" s="380">
        <v>0</v>
      </c>
      <c r="DG338" s="380">
        <v>0</v>
      </c>
      <c r="DH338" s="380">
        <v>0</v>
      </c>
      <c r="DI338" s="380">
        <v>0</v>
      </c>
      <c r="DJ338" s="380">
        <v>0</v>
      </c>
      <c r="DK338" s="702">
        <f t="shared" si="277"/>
        <v>1.4500000119209289</v>
      </c>
      <c r="DL338" s="311">
        <f t="shared" si="298"/>
        <v>0.16500000000000001</v>
      </c>
      <c r="DM338" s="310">
        <f t="shared" si="299"/>
        <v>72.500000596046448</v>
      </c>
      <c r="DN338" s="356">
        <f t="shared" si="300"/>
        <v>72.500000596046448</v>
      </c>
      <c r="DO338" s="308">
        <f t="shared" si="301"/>
        <v>0.11962500098347664</v>
      </c>
      <c r="DP338" s="359">
        <f t="shared" si="306"/>
        <v>0.11962500098347664</v>
      </c>
      <c r="DQ338" s="306">
        <f t="shared" si="302"/>
        <v>0.11962500098347664</v>
      </c>
      <c r="DR338" s="379">
        <f t="shared" si="303"/>
        <v>1</v>
      </c>
      <c r="DS338" s="378">
        <f t="shared" si="304"/>
        <v>0</v>
      </c>
      <c r="DT338" s="173">
        <v>388</v>
      </c>
      <c r="DU338" s="174" t="s">
        <v>108</v>
      </c>
      <c r="DV338" s="173"/>
      <c r="DW338" s="174" t="s">
        <v>84</v>
      </c>
      <c r="DX338" s="173"/>
      <c r="DY338" s="173"/>
      <c r="DZ338" s="173"/>
      <c r="EA338" s="665"/>
      <c r="EB338" s="1254" t="s">
        <v>2409</v>
      </c>
      <c r="EC338" s="537">
        <v>0</v>
      </c>
      <c r="EE338" s="734">
        <v>20</v>
      </c>
      <c r="EF338" s="706"/>
    </row>
    <row r="339" spans="4:136" s="302" customFormat="1" ht="76.5" hidden="1">
      <c r="D339" s="520">
        <v>336</v>
      </c>
      <c r="E339" s="534">
        <v>394</v>
      </c>
      <c r="F339" s="479" t="s">
        <v>44</v>
      </c>
      <c r="G339" s="479" t="s">
        <v>13</v>
      </c>
      <c r="H339" s="479" t="s">
        <v>2666</v>
      </c>
      <c r="I339" s="435" t="s">
        <v>834</v>
      </c>
      <c r="J339" s="335" t="s">
        <v>839</v>
      </c>
      <c r="K339" s="335" t="s">
        <v>840</v>
      </c>
      <c r="L339" s="443" t="s">
        <v>1489</v>
      </c>
      <c r="M339" s="334" t="s">
        <v>1771</v>
      </c>
      <c r="N339" s="334">
        <v>1500000</v>
      </c>
      <c r="O339" s="333">
        <f t="shared" si="305"/>
        <v>2900000</v>
      </c>
      <c r="P339" s="332">
        <v>1400000</v>
      </c>
      <c r="Q339" s="390">
        <v>8.8999999999999996E-2</v>
      </c>
      <c r="R339" s="342">
        <f t="shared" si="282"/>
        <v>2.2249999999999999E-2</v>
      </c>
      <c r="S339" s="389">
        <v>350000</v>
      </c>
      <c r="T339" s="387">
        <f t="shared" si="264"/>
        <v>0.25</v>
      </c>
      <c r="U339" s="670">
        <v>350000</v>
      </c>
      <c r="V339" s="388">
        <f t="shared" si="265"/>
        <v>350000</v>
      </c>
      <c r="W339" s="356">
        <f t="shared" si="266"/>
        <v>100</v>
      </c>
      <c r="X339" s="356">
        <f t="shared" si="283"/>
        <v>100</v>
      </c>
      <c r="Y339" s="356">
        <f t="shared" si="307"/>
        <v>2.2250000000000002E-2</v>
      </c>
      <c r="Z339" s="356">
        <f t="shared" si="284"/>
        <v>100</v>
      </c>
      <c r="AA339" s="355">
        <v>173000000</v>
      </c>
      <c r="AB339" s="355">
        <v>133000000</v>
      </c>
      <c r="AC339" s="355">
        <v>0</v>
      </c>
      <c r="AD339" s="355">
        <v>0</v>
      </c>
      <c r="AE339" s="355">
        <v>0</v>
      </c>
      <c r="AF339" s="355">
        <v>0</v>
      </c>
      <c r="AG339" s="355">
        <v>0</v>
      </c>
      <c r="AH339" s="355">
        <v>40000000</v>
      </c>
      <c r="AI339" s="355">
        <v>113436000</v>
      </c>
      <c r="AJ339" s="355">
        <v>83000000</v>
      </c>
      <c r="AK339" s="355">
        <v>0</v>
      </c>
      <c r="AL339" s="355">
        <v>0</v>
      </c>
      <c r="AM339" s="355">
        <v>0</v>
      </c>
      <c r="AN339" s="355">
        <v>0</v>
      </c>
      <c r="AO339" s="355">
        <v>0</v>
      </c>
      <c r="AP339" s="355">
        <v>30436000</v>
      </c>
      <c r="AQ339" s="355">
        <v>0</v>
      </c>
      <c r="AR339" s="355">
        <v>0</v>
      </c>
      <c r="AS339" s="355">
        <v>0</v>
      </c>
      <c r="AT339" s="333">
        <f t="shared" si="285"/>
        <v>2.2249999999999999E-2</v>
      </c>
      <c r="AU339" s="334">
        <v>350000</v>
      </c>
      <c r="AV339" s="387">
        <f t="shared" si="267"/>
        <v>0.25</v>
      </c>
      <c r="AW339" s="677">
        <v>421844</v>
      </c>
      <c r="AX339" s="366">
        <f t="shared" si="268"/>
        <v>421844</v>
      </c>
      <c r="AY339" s="366">
        <f t="shared" si="269"/>
        <v>120.52685714285714</v>
      </c>
      <c r="AZ339" s="366">
        <f t="shared" si="286"/>
        <v>100</v>
      </c>
      <c r="BA339" s="354">
        <f t="shared" si="287"/>
        <v>2.2250000000000002E-2</v>
      </c>
      <c r="BB339" s="354">
        <f t="shared" si="288"/>
        <v>100</v>
      </c>
      <c r="BC339" s="353">
        <v>129000000</v>
      </c>
      <c r="BD339" s="353">
        <v>0</v>
      </c>
      <c r="BE339" s="353">
        <v>129000000</v>
      </c>
      <c r="BF339" s="353">
        <v>0</v>
      </c>
      <c r="BG339" s="353">
        <v>0</v>
      </c>
      <c r="BH339" s="353">
        <v>0</v>
      </c>
      <c r="BI339" s="353">
        <v>0</v>
      </c>
      <c r="BJ339" s="353">
        <v>0</v>
      </c>
      <c r="BK339" s="386">
        <v>128997000</v>
      </c>
      <c r="BL339" s="351">
        <v>128997000</v>
      </c>
      <c r="BM339" s="351">
        <v>0</v>
      </c>
      <c r="BN339" s="351">
        <v>0</v>
      </c>
      <c r="BO339" s="351">
        <v>0</v>
      </c>
      <c r="BP339" s="351">
        <v>0</v>
      </c>
      <c r="BQ339" s="351">
        <v>0</v>
      </c>
      <c r="BR339" s="351">
        <v>0</v>
      </c>
      <c r="BS339" s="351">
        <v>0</v>
      </c>
      <c r="BT339" s="351">
        <v>36462180</v>
      </c>
      <c r="BU339" s="351" t="s">
        <v>1899</v>
      </c>
      <c r="BV339" s="350">
        <f t="shared" si="289"/>
        <v>2.2249999999999999E-2</v>
      </c>
      <c r="BW339" s="350">
        <v>350000</v>
      </c>
      <c r="BX339" s="385">
        <f t="shared" si="270"/>
        <v>0.25</v>
      </c>
      <c r="BY339" s="369">
        <v>181873</v>
      </c>
      <c r="BZ339" s="391">
        <v>292890</v>
      </c>
      <c r="CA339" s="689">
        <v>439183</v>
      </c>
      <c r="CB339" s="324">
        <f t="shared" si="271"/>
        <v>439183</v>
      </c>
      <c r="CC339" s="324">
        <f t="shared" si="272"/>
        <v>125.48085714285715</v>
      </c>
      <c r="CD339" s="384">
        <f t="shared" si="290"/>
        <v>100</v>
      </c>
      <c r="CE339" s="383">
        <f t="shared" si="291"/>
        <v>2.2250000000000002E-2</v>
      </c>
      <c r="CF339" s="367">
        <f t="shared" si="292"/>
        <v>100</v>
      </c>
      <c r="CG339" s="383">
        <f t="shared" si="293"/>
        <v>2.7919490714285712E-2</v>
      </c>
      <c r="CH339" s="320">
        <f t="shared" si="294"/>
        <v>2.2249999999999999E-2</v>
      </c>
      <c r="CI339" s="319">
        <v>350000</v>
      </c>
      <c r="CJ339" s="318">
        <f t="shared" si="273"/>
        <v>0.25</v>
      </c>
      <c r="CK339" s="1259">
        <v>440000</v>
      </c>
      <c r="CL339" s="301">
        <f t="shared" si="274"/>
        <v>-90000</v>
      </c>
      <c r="CM339" s="381">
        <f t="shared" si="275"/>
        <v>440000</v>
      </c>
      <c r="CN339" s="381">
        <f t="shared" si="276"/>
        <v>125.71428571428571</v>
      </c>
      <c r="CO339" s="316">
        <f t="shared" si="295"/>
        <v>100</v>
      </c>
      <c r="CP339" s="381">
        <f t="shared" si="296"/>
        <v>2.2250000000000002E-2</v>
      </c>
      <c r="CQ339" s="381">
        <f t="shared" si="297"/>
        <v>2.7971428571428567E-2</v>
      </c>
      <c r="CR339" s="313">
        <v>395000000</v>
      </c>
      <c r="CS339" s="313">
        <v>395000000</v>
      </c>
      <c r="CT339" s="313">
        <v>0</v>
      </c>
      <c r="CU339" s="313">
        <v>0</v>
      </c>
      <c r="CV339" s="313">
        <v>0</v>
      </c>
      <c r="CW339" s="313">
        <v>0</v>
      </c>
      <c r="CX339" s="313">
        <v>0</v>
      </c>
      <c r="CY339" s="313">
        <v>0</v>
      </c>
      <c r="CZ339" s="380">
        <v>0</v>
      </c>
      <c r="DA339" s="380">
        <v>0</v>
      </c>
      <c r="DB339" s="380">
        <v>0</v>
      </c>
      <c r="DC339" s="380">
        <v>0</v>
      </c>
      <c r="DD339" s="380">
        <v>0</v>
      </c>
      <c r="DE339" s="380">
        <v>0</v>
      </c>
      <c r="DF339" s="380">
        <v>0</v>
      </c>
      <c r="DG339" s="380">
        <v>0</v>
      </c>
      <c r="DH339" s="380">
        <v>0</v>
      </c>
      <c r="DI339" s="380">
        <v>0</v>
      </c>
      <c r="DJ339" s="380">
        <v>0</v>
      </c>
      <c r="DK339" s="702">
        <f t="shared" si="277"/>
        <v>1651027</v>
      </c>
      <c r="DL339" s="311">
        <f t="shared" si="298"/>
        <v>8.8999999999999996E-2</v>
      </c>
      <c r="DM339" s="310">
        <f t="shared" si="299"/>
        <v>117.93049999999999</v>
      </c>
      <c r="DN339" s="356">
        <f t="shared" si="300"/>
        <v>100</v>
      </c>
      <c r="DO339" s="308">
        <f t="shared" si="301"/>
        <v>8.900000000000001E-2</v>
      </c>
      <c r="DP339" s="359">
        <f t="shared" si="306"/>
        <v>8.8999999999999996E-2</v>
      </c>
      <c r="DQ339" s="306">
        <f t="shared" si="302"/>
        <v>8.8999999999999996E-2</v>
      </c>
      <c r="DR339" s="379">
        <f t="shared" si="303"/>
        <v>1</v>
      </c>
      <c r="DS339" s="378">
        <f t="shared" si="304"/>
        <v>0</v>
      </c>
      <c r="DT339" s="173">
        <v>388</v>
      </c>
      <c r="DU339" s="174" t="s">
        <v>108</v>
      </c>
      <c r="DV339" s="173"/>
      <c r="DW339" s="174" t="s">
        <v>84</v>
      </c>
      <c r="DX339" s="173"/>
      <c r="DY339" s="173"/>
      <c r="DZ339" s="173"/>
      <c r="EA339" s="665"/>
      <c r="EB339" s="1254" t="s">
        <v>3114</v>
      </c>
      <c r="EC339" s="537">
        <v>75000000</v>
      </c>
      <c r="EE339" s="734">
        <v>4500</v>
      </c>
      <c r="EF339" s="706"/>
    </row>
    <row r="340" spans="4:136" s="302" customFormat="1" ht="76.5" hidden="1">
      <c r="D340" s="520">
        <v>337</v>
      </c>
      <c r="E340" s="534">
        <v>395</v>
      </c>
      <c r="F340" s="479" t="s">
        <v>44</v>
      </c>
      <c r="G340" s="479" t="s">
        <v>13</v>
      </c>
      <c r="H340" s="479" t="s">
        <v>2666</v>
      </c>
      <c r="I340" s="435" t="s">
        <v>841</v>
      </c>
      <c r="J340" s="335" t="s">
        <v>842</v>
      </c>
      <c r="K340" s="335" t="s">
        <v>843</v>
      </c>
      <c r="L340" s="443" t="s">
        <v>1773</v>
      </c>
      <c r="M340" s="334" t="s">
        <v>1771</v>
      </c>
      <c r="N340" s="334">
        <v>0</v>
      </c>
      <c r="O340" s="333">
        <f t="shared" si="305"/>
        <v>2</v>
      </c>
      <c r="P340" s="332">
        <v>2</v>
      </c>
      <c r="Q340" s="390">
        <v>0.25</v>
      </c>
      <c r="R340" s="342">
        <f t="shared" si="282"/>
        <v>0</v>
      </c>
      <c r="S340" s="389">
        <v>0</v>
      </c>
      <c r="T340" s="387">
        <f t="shared" si="264"/>
        <v>0</v>
      </c>
      <c r="U340" s="670">
        <v>0</v>
      </c>
      <c r="V340" s="388">
        <f t="shared" si="265"/>
        <v>0</v>
      </c>
      <c r="W340" s="356">
        <f t="shared" si="266"/>
        <v>0</v>
      </c>
      <c r="X340" s="356">
        <f t="shared" si="283"/>
        <v>0</v>
      </c>
      <c r="Y340" s="356">
        <f t="shared" si="307"/>
        <v>0</v>
      </c>
      <c r="Z340" s="356">
        <f t="shared" si="284"/>
        <v>0</v>
      </c>
      <c r="AA340" s="355">
        <v>0</v>
      </c>
      <c r="AB340" s="355">
        <v>0</v>
      </c>
      <c r="AC340" s="355">
        <v>0</v>
      </c>
      <c r="AD340" s="355">
        <v>0</v>
      </c>
      <c r="AE340" s="355">
        <v>0</v>
      </c>
      <c r="AF340" s="355">
        <v>0</v>
      </c>
      <c r="AG340" s="355">
        <v>0</v>
      </c>
      <c r="AH340" s="355">
        <v>0</v>
      </c>
      <c r="AI340" s="355">
        <v>0</v>
      </c>
      <c r="AJ340" s="355">
        <v>0</v>
      </c>
      <c r="AK340" s="355">
        <v>0</v>
      </c>
      <c r="AL340" s="355">
        <v>0</v>
      </c>
      <c r="AM340" s="355">
        <v>0</v>
      </c>
      <c r="AN340" s="355">
        <v>0</v>
      </c>
      <c r="AO340" s="355">
        <v>0</v>
      </c>
      <c r="AP340" s="355">
        <v>0</v>
      </c>
      <c r="AQ340" s="355">
        <v>0</v>
      </c>
      <c r="AR340" s="355">
        <v>0</v>
      </c>
      <c r="AS340" s="355">
        <v>0</v>
      </c>
      <c r="AT340" s="333">
        <f t="shared" si="285"/>
        <v>6.25E-2</v>
      </c>
      <c r="AU340" s="334">
        <v>0.5</v>
      </c>
      <c r="AV340" s="387">
        <f t="shared" si="267"/>
        <v>0.25</v>
      </c>
      <c r="AW340" s="677">
        <v>0.4</v>
      </c>
      <c r="AX340" s="366">
        <f t="shared" si="268"/>
        <v>0.4</v>
      </c>
      <c r="AY340" s="366">
        <f t="shared" si="269"/>
        <v>80</v>
      </c>
      <c r="AZ340" s="366">
        <f t="shared" si="286"/>
        <v>80</v>
      </c>
      <c r="BA340" s="354">
        <f t="shared" si="287"/>
        <v>0.05</v>
      </c>
      <c r="BB340" s="354">
        <f t="shared" si="288"/>
        <v>80</v>
      </c>
      <c r="BC340" s="353">
        <v>50000000</v>
      </c>
      <c r="BD340" s="353">
        <v>0</v>
      </c>
      <c r="BE340" s="353">
        <v>50000000</v>
      </c>
      <c r="BF340" s="353">
        <v>0</v>
      </c>
      <c r="BG340" s="353">
        <v>0</v>
      </c>
      <c r="BH340" s="353">
        <v>0</v>
      </c>
      <c r="BI340" s="353">
        <v>0</v>
      </c>
      <c r="BJ340" s="353">
        <v>0</v>
      </c>
      <c r="BK340" s="386">
        <v>49918580</v>
      </c>
      <c r="BL340" s="351">
        <v>49918580</v>
      </c>
      <c r="BM340" s="351">
        <v>0</v>
      </c>
      <c r="BN340" s="351">
        <v>0</v>
      </c>
      <c r="BO340" s="351">
        <v>0</v>
      </c>
      <c r="BP340" s="351">
        <v>0</v>
      </c>
      <c r="BQ340" s="351">
        <v>0</v>
      </c>
      <c r="BR340" s="351">
        <v>0</v>
      </c>
      <c r="BS340" s="351">
        <v>0</v>
      </c>
      <c r="BT340" s="351">
        <v>0</v>
      </c>
      <c r="BU340" s="351">
        <v>0</v>
      </c>
      <c r="BV340" s="350">
        <f t="shared" si="289"/>
        <v>6.25E-2</v>
      </c>
      <c r="BW340" s="350">
        <v>0.5</v>
      </c>
      <c r="BX340" s="385">
        <f t="shared" si="270"/>
        <v>0.25</v>
      </c>
      <c r="BY340" s="369">
        <v>0.43</v>
      </c>
      <c r="BZ340" s="391">
        <v>0.80000001192092896</v>
      </c>
      <c r="CA340" s="689">
        <v>0.5</v>
      </c>
      <c r="CB340" s="324">
        <f t="shared" si="271"/>
        <v>0.5</v>
      </c>
      <c r="CC340" s="324">
        <f t="shared" si="272"/>
        <v>100</v>
      </c>
      <c r="CD340" s="384">
        <f t="shared" si="290"/>
        <v>100</v>
      </c>
      <c r="CE340" s="383">
        <f t="shared" si="291"/>
        <v>6.25E-2</v>
      </c>
      <c r="CF340" s="367">
        <f t="shared" si="292"/>
        <v>100</v>
      </c>
      <c r="CG340" s="383">
        <f t="shared" si="293"/>
        <v>6.25E-2</v>
      </c>
      <c r="CH340" s="320">
        <f t="shared" si="294"/>
        <v>0.125</v>
      </c>
      <c r="CI340" s="319">
        <v>1</v>
      </c>
      <c r="CJ340" s="318">
        <f t="shared" si="273"/>
        <v>0.5</v>
      </c>
      <c r="CK340" s="1259">
        <v>1</v>
      </c>
      <c r="CL340" s="301">
        <f t="shared" si="274"/>
        <v>0</v>
      </c>
      <c r="CM340" s="381">
        <f t="shared" si="275"/>
        <v>1</v>
      </c>
      <c r="CN340" s="381">
        <f t="shared" si="276"/>
        <v>100</v>
      </c>
      <c r="CO340" s="316">
        <f t="shared" si="295"/>
        <v>100</v>
      </c>
      <c r="CP340" s="381">
        <f t="shared" si="296"/>
        <v>0.125</v>
      </c>
      <c r="CQ340" s="381">
        <f t="shared" si="297"/>
        <v>0.125</v>
      </c>
      <c r="CR340" s="313">
        <v>100000000</v>
      </c>
      <c r="CS340" s="313">
        <v>100000000</v>
      </c>
      <c r="CT340" s="313">
        <v>0</v>
      </c>
      <c r="CU340" s="313">
        <v>0</v>
      </c>
      <c r="CV340" s="313">
        <v>0</v>
      </c>
      <c r="CW340" s="313">
        <v>0</v>
      </c>
      <c r="CX340" s="313">
        <v>0</v>
      </c>
      <c r="CY340" s="313">
        <v>0</v>
      </c>
      <c r="CZ340" s="380">
        <v>0</v>
      </c>
      <c r="DA340" s="380">
        <v>0</v>
      </c>
      <c r="DB340" s="380">
        <v>0</v>
      </c>
      <c r="DC340" s="380">
        <v>0</v>
      </c>
      <c r="DD340" s="380">
        <v>0</v>
      </c>
      <c r="DE340" s="380">
        <v>0</v>
      </c>
      <c r="DF340" s="380">
        <v>0</v>
      </c>
      <c r="DG340" s="380">
        <v>0</v>
      </c>
      <c r="DH340" s="380">
        <v>0</v>
      </c>
      <c r="DI340" s="380">
        <v>0</v>
      </c>
      <c r="DJ340" s="380">
        <v>0</v>
      </c>
      <c r="DK340" s="702">
        <f t="shared" si="277"/>
        <v>1.9</v>
      </c>
      <c r="DL340" s="311">
        <f t="shared" si="298"/>
        <v>0.25</v>
      </c>
      <c r="DM340" s="310">
        <f t="shared" si="299"/>
        <v>95</v>
      </c>
      <c r="DN340" s="356">
        <f t="shared" si="300"/>
        <v>95</v>
      </c>
      <c r="DO340" s="308">
        <f t="shared" si="301"/>
        <v>0.23749999999999999</v>
      </c>
      <c r="DP340" s="359">
        <f t="shared" si="306"/>
        <v>0.23749999999999999</v>
      </c>
      <c r="DQ340" s="306">
        <f t="shared" si="302"/>
        <v>0.23749999999999999</v>
      </c>
      <c r="DR340" s="379">
        <f t="shared" si="303"/>
        <v>1</v>
      </c>
      <c r="DS340" s="378">
        <f t="shared" si="304"/>
        <v>0</v>
      </c>
      <c r="DT340" s="173">
        <v>388</v>
      </c>
      <c r="DU340" s="174" t="s">
        <v>108</v>
      </c>
      <c r="DV340" s="173"/>
      <c r="DW340" s="174" t="s">
        <v>84</v>
      </c>
      <c r="DX340" s="173"/>
      <c r="DY340" s="173"/>
      <c r="DZ340" s="173"/>
      <c r="EA340" s="665"/>
      <c r="EB340" s="1254" t="s">
        <v>2410</v>
      </c>
      <c r="EC340" s="537">
        <v>75000000</v>
      </c>
      <c r="EE340" s="734">
        <v>1</v>
      </c>
      <c r="EF340" s="706"/>
    </row>
    <row r="341" spans="4:136" s="302" customFormat="1" ht="114.75" hidden="1">
      <c r="D341" s="520">
        <v>338</v>
      </c>
      <c r="E341" s="534">
        <v>396</v>
      </c>
      <c r="F341" s="336" t="s">
        <v>44</v>
      </c>
      <c r="G341" s="336" t="s">
        <v>13</v>
      </c>
      <c r="H341" s="336" t="s">
        <v>2666</v>
      </c>
      <c r="I341" s="336" t="s">
        <v>841</v>
      </c>
      <c r="J341" s="335" t="s">
        <v>1288</v>
      </c>
      <c r="K341" s="335" t="s">
        <v>844</v>
      </c>
      <c r="L341" s="443" t="s">
        <v>1898</v>
      </c>
      <c r="M341" s="334" t="s">
        <v>1771</v>
      </c>
      <c r="N341" s="334">
        <v>0</v>
      </c>
      <c r="O341" s="333">
        <f t="shared" si="305"/>
        <v>10</v>
      </c>
      <c r="P341" s="332">
        <v>10</v>
      </c>
      <c r="Q341" s="393">
        <v>0.16500000000000001</v>
      </c>
      <c r="R341" s="342">
        <f t="shared" si="282"/>
        <v>0</v>
      </c>
      <c r="S341" s="389">
        <v>0</v>
      </c>
      <c r="T341" s="387">
        <f t="shared" si="264"/>
        <v>0</v>
      </c>
      <c r="U341" s="670">
        <v>0</v>
      </c>
      <c r="V341" s="388">
        <f t="shared" si="265"/>
        <v>0</v>
      </c>
      <c r="W341" s="356">
        <f t="shared" si="266"/>
        <v>0</v>
      </c>
      <c r="X341" s="356">
        <f t="shared" si="283"/>
        <v>0</v>
      </c>
      <c r="Y341" s="356">
        <f t="shared" si="307"/>
        <v>0</v>
      </c>
      <c r="Z341" s="356">
        <f t="shared" si="284"/>
        <v>0</v>
      </c>
      <c r="AA341" s="355">
        <v>0</v>
      </c>
      <c r="AB341" s="355">
        <v>0</v>
      </c>
      <c r="AC341" s="355">
        <v>0</v>
      </c>
      <c r="AD341" s="355">
        <v>0</v>
      </c>
      <c r="AE341" s="355">
        <v>0</v>
      </c>
      <c r="AF341" s="355">
        <v>0</v>
      </c>
      <c r="AG341" s="355">
        <v>0</v>
      </c>
      <c r="AH341" s="355">
        <v>0</v>
      </c>
      <c r="AI341" s="355">
        <v>0</v>
      </c>
      <c r="AJ341" s="355">
        <v>0</v>
      </c>
      <c r="AK341" s="355">
        <v>0</v>
      </c>
      <c r="AL341" s="355">
        <v>0</v>
      </c>
      <c r="AM341" s="355">
        <v>0</v>
      </c>
      <c r="AN341" s="355">
        <v>0</v>
      </c>
      <c r="AO341" s="355">
        <v>0</v>
      </c>
      <c r="AP341" s="355">
        <v>0</v>
      </c>
      <c r="AQ341" s="355">
        <v>0</v>
      </c>
      <c r="AR341" s="355">
        <v>0</v>
      </c>
      <c r="AS341" s="355">
        <v>0</v>
      </c>
      <c r="AT341" s="392">
        <f t="shared" si="285"/>
        <v>3.3000000000000002E-2</v>
      </c>
      <c r="AU341" s="334">
        <v>2</v>
      </c>
      <c r="AV341" s="387">
        <f t="shared" si="267"/>
        <v>0.2</v>
      </c>
      <c r="AW341" s="677">
        <v>2</v>
      </c>
      <c r="AX341" s="366">
        <f t="shared" si="268"/>
        <v>2</v>
      </c>
      <c r="AY341" s="366">
        <f t="shared" si="269"/>
        <v>100</v>
      </c>
      <c r="AZ341" s="366">
        <f t="shared" si="286"/>
        <v>100</v>
      </c>
      <c r="BA341" s="354">
        <f t="shared" si="287"/>
        <v>3.3000000000000002E-2</v>
      </c>
      <c r="BB341" s="354">
        <f t="shared" si="288"/>
        <v>100</v>
      </c>
      <c r="BC341" s="353">
        <v>50000000</v>
      </c>
      <c r="BD341" s="353">
        <v>0</v>
      </c>
      <c r="BE341" s="353">
        <v>50000000</v>
      </c>
      <c r="BF341" s="353">
        <v>0</v>
      </c>
      <c r="BG341" s="353">
        <v>0</v>
      </c>
      <c r="BH341" s="353">
        <v>0</v>
      </c>
      <c r="BI341" s="353">
        <v>0</v>
      </c>
      <c r="BJ341" s="353">
        <v>0</v>
      </c>
      <c r="BK341" s="386">
        <v>50000000</v>
      </c>
      <c r="BL341" s="351">
        <v>50000000</v>
      </c>
      <c r="BM341" s="351">
        <v>0</v>
      </c>
      <c r="BN341" s="351">
        <v>0</v>
      </c>
      <c r="BO341" s="351">
        <v>0</v>
      </c>
      <c r="BP341" s="351">
        <v>0</v>
      </c>
      <c r="BQ341" s="351">
        <v>0</v>
      </c>
      <c r="BR341" s="351">
        <v>0</v>
      </c>
      <c r="BS341" s="351">
        <v>0</v>
      </c>
      <c r="BT341" s="351">
        <v>1809957885</v>
      </c>
      <c r="BU341" s="351">
        <v>0</v>
      </c>
      <c r="BV341" s="350">
        <f t="shared" si="289"/>
        <v>3.3000000000000002E-2</v>
      </c>
      <c r="BW341" s="350">
        <v>2</v>
      </c>
      <c r="BX341" s="385">
        <f t="shared" si="270"/>
        <v>0.2</v>
      </c>
      <c r="BY341" s="369">
        <v>1.3</v>
      </c>
      <c r="BZ341" s="391">
        <v>1.2999999523162842</v>
      </c>
      <c r="CA341" s="689">
        <v>2</v>
      </c>
      <c r="CB341" s="324">
        <f t="shared" si="271"/>
        <v>2</v>
      </c>
      <c r="CC341" s="324">
        <f t="shared" si="272"/>
        <v>100</v>
      </c>
      <c r="CD341" s="384">
        <f t="shared" si="290"/>
        <v>100</v>
      </c>
      <c r="CE341" s="383">
        <f t="shared" si="291"/>
        <v>3.3000000000000002E-2</v>
      </c>
      <c r="CF341" s="367">
        <f t="shared" si="292"/>
        <v>100</v>
      </c>
      <c r="CG341" s="383">
        <f t="shared" si="293"/>
        <v>3.3000000000000002E-2</v>
      </c>
      <c r="CH341" s="320">
        <f t="shared" si="294"/>
        <v>9.9000000000000005E-2</v>
      </c>
      <c r="CI341" s="319">
        <v>6</v>
      </c>
      <c r="CJ341" s="318">
        <f t="shared" si="273"/>
        <v>0.6</v>
      </c>
      <c r="CK341" s="1259">
        <v>23</v>
      </c>
      <c r="CL341" s="301">
        <f t="shared" si="274"/>
        <v>-17</v>
      </c>
      <c r="CM341" s="381">
        <f t="shared" si="275"/>
        <v>23</v>
      </c>
      <c r="CN341" s="381">
        <f t="shared" si="276"/>
        <v>383.33333333333331</v>
      </c>
      <c r="CO341" s="316">
        <f t="shared" si="295"/>
        <v>100</v>
      </c>
      <c r="CP341" s="381">
        <f t="shared" si="296"/>
        <v>9.9000000000000005E-2</v>
      </c>
      <c r="CQ341" s="381">
        <f t="shared" si="297"/>
        <v>0.3795</v>
      </c>
      <c r="CR341" s="313">
        <v>100000000</v>
      </c>
      <c r="CS341" s="313">
        <v>100000000</v>
      </c>
      <c r="CT341" s="313">
        <v>0</v>
      </c>
      <c r="CU341" s="313">
        <v>0</v>
      </c>
      <c r="CV341" s="313">
        <v>0</v>
      </c>
      <c r="CW341" s="313">
        <v>0</v>
      </c>
      <c r="CX341" s="313">
        <v>0</v>
      </c>
      <c r="CY341" s="313">
        <v>0</v>
      </c>
      <c r="CZ341" s="380">
        <v>0</v>
      </c>
      <c r="DA341" s="380">
        <v>0</v>
      </c>
      <c r="DB341" s="380">
        <v>0</v>
      </c>
      <c r="DC341" s="380">
        <v>0</v>
      </c>
      <c r="DD341" s="380">
        <v>0</v>
      </c>
      <c r="DE341" s="380">
        <v>0</v>
      </c>
      <c r="DF341" s="380">
        <v>0</v>
      </c>
      <c r="DG341" s="380">
        <v>0</v>
      </c>
      <c r="DH341" s="380">
        <v>0</v>
      </c>
      <c r="DI341" s="380">
        <v>0</v>
      </c>
      <c r="DJ341" s="380">
        <v>0</v>
      </c>
      <c r="DK341" s="702">
        <f t="shared" si="277"/>
        <v>27</v>
      </c>
      <c r="DL341" s="311">
        <f t="shared" si="298"/>
        <v>0.16500000000000001</v>
      </c>
      <c r="DM341" s="310">
        <f t="shared" si="299"/>
        <v>270</v>
      </c>
      <c r="DN341" s="356">
        <f t="shared" si="300"/>
        <v>100</v>
      </c>
      <c r="DO341" s="308">
        <f t="shared" si="301"/>
        <v>0.16500000000000001</v>
      </c>
      <c r="DP341" s="359">
        <f t="shared" si="306"/>
        <v>0.16500000000000001</v>
      </c>
      <c r="DQ341" s="306">
        <f t="shared" si="302"/>
        <v>0.16500000000000001</v>
      </c>
      <c r="DR341" s="379">
        <f t="shared" si="303"/>
        <v>1</v>
      </c>
      <c r="DS341" s="378">
        <f t="shared" si="304"/>
        <v>0</v>
      </c>
      <c r="DT341" s="173">
        <v>388</v>
      </c>
      <c r="DU341" s="174" t="s">
        <v>108</v>
      </c>
      <c r="DV341" s="173"/>
      <c r="DW341" s="174" t="s">
        <v>84</v>
      </c>
      <c r="DX341" s="173"/>
      <c r="DY341" s="173"/>
      <c r="DZ341" s="173"/>
      <c r="EA341" s="665"/>
      <c r="EB341" s="1254" t="s">
        <v>3115</v>
      </c>
      <c r="EC341" s="537">
        <v>850000000</v>
      </c>
      <c r="EE341" s="740">
        <v>100</v>
      </c>
      <c r="EF341" s="706"/>
    </row>
    <row r="342" spans="4:136" s="302" customFormat="1" ht="102" hidden="1">
      <c r="D342" s="520">
        <v>339</v>
      </c>
      <c r="E342" s="534">
        <v>399</v>
      </c>
      <c r="F342" s="479" t="s">
        <v>44</v>
      </c>
      <c r="G342" s="479" t="s">
        <v>1892</v>
      </c>
      <c r="H342" s="479" t="s">
        <v>2667</v>
      </c>
      <c r="I342" s="435" t="s">
        <v>845</v>
      </c>
      <c r="J342" s="335" t="s">
        <v>846</v>
      </c>
      <c r="K342" s="335" t="s">
        <v>847</v>
      </c>
      <c r="L342" s="443" t="s">
        <v>1783</v>
      </c>
      <c r="M342" s="334" t="s">
        <v>1771</v>
      </c>
      <c r="N342" s="334">
        <v>0</v>
      </c>
      <c r="O342" s="333">
        <f t="shared" si="305"/>
        <v>1</v>
      </c>
      <c r="P342" s="332">
        <v>1</v>
      </c>
      <c r="Q342" s="390">
        <v>0.16500000000000001</v>
      </c>
      <c r="R342" s="342">
        <f t="shared" si="282"/>
        <v>0</v>
      </c>
      <c r="S342" s="389">
        <v>0</v>
      </c>
      <c r="T342" s="387">
        <f t="shared" si="264"/>
        <v>0</v>
      </c>
      <c r="U342" s="670">
        <v>0</v>
      </c>
      <c r="V342" s="388">
        <f t="shared" si="265"/>
        <v>0</v>
      </c>
      <c r="W342" s="356">
        <f t="shared" si="266"/>
        <v>0</v>
      </c>
      <c r="X342" s="356">
        <f t="shared" si="283"/>
        <v>0</v>
      </c>
      <c r="Y342" s="356">
        <f t="shared" si="307"/>
        <v>0</v>
      </c>
      <c r="Z342" s="356">
        <f t="shared" si="284"/>
        <v>0</v>
      </c>
      <c r="AA342" s="355">
        <v>50000000</v>
      </c>
      <c r="AB342" s="355">
        <v>50000000</v>
      </c>
      <c r="AC342" s="355">
        <v>0</v>
      </c>
      <c r="AD342" s="355">
        <v>0</v>
      </c>
      <c r="AE342" s="355">
        <v>0</v>
      </c>
      <c r="AF342" s="355">
        <v>0</v>
      </c>
      <c r="AG342" s="355">
        <v>0</v>
      </c>
      <c r="AH342" s="355">
        <v>0</v>
      </c>
      <c r="AI342" s="355">
        <v>0</v>
      </c>
      <c r="AJ342" s="355">
        <v>0</v>
      </c>
      <c r="AK342" s="355">
        <v>0</v>
      </c>
      <c r="AL342" s="355">
        <v>0</v>
      </c>
      <c r="AM342" s="355">
        <v>0</v>
      </c>
      <c r="AN342" s="355">
        <v>0</v>
      </c>
      <c r="AO342" s="355">
        <v>0</v>
      </c>
      <c r="AP342" s="355">
        <v>0</v>
      </c>
      <c r="AQ342" s="355">
        <v>0</v>
      </c>
      <c r="AR342" s="355">
        <v>0</v>
      </c>
      <c r="AS342" s="355">
        <v>0</v>
      </c>
      <c r="AT342" s="333">
        <f t="shared" si="285"/>
        <v>3.3000000000000002E-2</v>
      </c>
      <c r="AU342" s="334">
        <v>0.2</v>
      </c>
      <c r="AV342" s="387">
        <f t="shared" si="267"/>
        <v>0.2</v>
      </c>
      <c r="AW342" s="677">
        <v>0.25</v>
      </c>
      <c r="AX342" s="366">
        <f t="shared" si="268"/>
        <v>0.25</v>
      </c>
      <c r="AY342" s="366">
        <f t="shared" si="269"/>
        <v>125</v>
      </c>
      <c r="AZ342" s="366">
        <f t="shared" si="286"/>
        <v>100</v>
      </c>
      <c r="BA342" s="354">
        <f t="shared" si="287"/>
        <v>3.3000000000000002E-2</v>
      </c>
      <c r="BB342" s="354">
        <f t="shared" si="288"/>
        <v>100</v>
      </c>
      <c r="BC342" s="353">
        <v>442000000</v>
      </c>
      <c r="BD342" s="353">
        <v>0</v>
      </c>
      <c r="BE342" s="353">
        <v>130000000</v>
      </c>
      <c r="BF342" s="353">
        <v>0</v>
      </c>
      <c r="BG342" s="353">
        <v>0</v>
      </c>
      <c r="BH342" s="353">
        <v>0</v>
      </c>
      <c r="BI342" s="353">
        <v>0</v>
      </c>
      <c r="BJ342" s="353">
        <v>312000000</v>
      </c>
      <c r="BK342" s="386">
        <v>52000000</v>
      </c>
      <c r="BL342" s="351">
        <v>52000000</v>
      </c>
      <c r="BM342" s="351">
        <v>0</v>
      </c>
      <c r="BN342" s="351">
        <v>0</v>
      </c>
      <c r="BO342" s="351">
        <v>0</v>
      </c>
      <c r="BP342" s="351">
        <v>0</v>
      </c>
      <c r="BQ342" s="351">
        <v>0</v>
      </c>
      <c r="BR342" s="351">
        <v>0</v>
      </c>
      <c r="BS342" s="351">
        <v>0</v>
      </c>
      <c r="BT342" s="351">
        <v>0</v>
      </c>
      <c r="BU342" s="351">
        <v>0</v>
      </c>
      <c r="BV342" s="350">
        <f t="shared" si="289"/>
        <v>6.6000000000000003E-2</v>
      </c>
      <c r="BW342" s="350">
        <v>0.4</v>
      </c>
      <c r="BX342" s="385">
        <f t="shared" si="270"/>
        <v>0.4</v>
      </c>
      <c r="BY342" s="369">
        <v>0.3</v>
      </c>
      <c r="BZ342" s="391">
        <v>0.3</v>
      </c>
      <c r="CA342" s="689">
        <v>0.4</v>
      </c>
      <c r="CB342" s="324">
        <f t="shared" si="271"/>
        <v>0.4</v>
      </c>
      <c r="CC342" s="324">
        <f t="shared" si="272"/>
        <v>100</v>
      </c>
      <c r="CD342" s="384">
        <f t="shared" si="290"/>
        <v>100</v>
      </c>
      <c r="CE342" s="383">
        <f t="shared" si="291"/>
        <v>6.6000000000000003E-2</v>
      </c>
      <c r="CF342" s="367">
        <f t="shared" si="292"/>
        <v>100</v>
      </c>
      <c r="CG342" s="383">
        <f t="shared" si="293"/>
        <v>6.6000000000000003E-2</v>
      </c>
      <c r="CH342" s="320">
        <f t="shared" si="294"/>
        <v>6.6000000000000003E-2</v>
      </c>
      <c r="CI342" s="396">
        <v>0.4</v>
      </c>
      <c r="CJ342" s="318">
        <f t="shared" si="273"/>
        <v>0.4</v>
      </c>
      <c r="CK342" s="1259">
        <v>0.35</v>
      </c>
      <c r="CL342" s="301">
        <f t="shared" si="274"/>
        <v>5.0000000000000044E-2</v>
      </c>
      <c r="CM342" s="381">
        <f t="shared" si="275"/>
        <v>0.35</v>
      </c>
      <c r="CN342" s="381">
        <f t="shared" si="276"/>
        <v>87.5</v>
      </c>
      <c r="CO342" s="316">
        <f t="shared" si="295"/>
        <v>87.5</v>
      </c>
      <c r="CP342" s="381">
        <f t="shared" si="296"/>
        <v>5.7750000000000003E-2</v>
      </c>
      <c r="CQ342" s="381">
        <f t="shared" si="297"/>
        <v>5.7750000000000003E-2</v>
      </c>
      <c r="CR342" s="313">
        <v>704000000</v>
      </c>
      <c r="CS342" s="313">
        <v>390000000</v>
      </c>
      <c r="CT342" s="313">
        <v>0</v>
      </c>
      <c r="CU342" s="313">
        <v>0</v>
      </c>
      <c r="CV342" s="313">
        <v>0</v>
      </c>
      <c r="CW342" s="313">
        <v>0</v>
      </c>
      <c r="CX342" s="313">
        <v>0</v>
      </c>
      <c r="CY342" s="313">
        <v>314000000</v>
      </c>
      <c r="CZ342" s="380">
        <v>0</v>
      </c>
      <c r="DA342" s="380">
        <v>0</v>
      </c>
      <c r="DB342" s="380">
        <v>0</v>
      </c>
      <c r="DC342" s="380">
        <v>0</v>
      </c>
      <c r="DD342" s="380">
        <v>0</v>
      </c>
      <c r="DE342" s="380">
        <v>0</v>
      </c>
      <c r="DF342" s="380">
        <v>0</v>
      </c>
      <c r="DG342" s="380">
        <v>0</v>
      </c>
      <c r="DH342" s="380">
        <v>0</v>
      </c>
      <c r="DI342" s="380">
        <v>0</v>
      </c>
      <c r="DJ342" s="380">
        <v>0</v>
      </c>
      <c r="DK342" s="702">
        <f t="shared" si="277"/>
        <v>1</v>
      </c>
      <c r="DL342" s="311">
        <f t="shared" si="298"/>
        <v>0.16500000000000001</v>
      </c>
      <c r="DM342" s="310">
        <f t="shared" si="299"/>
        <v>100</v>
      </c>
      <c r="DN342" s="356">
        <f t="shared" si="300"/>
        <v>100</v>
      </c>
      <c r="DO342" s="308">
        <f t="shared" si="301"/>
        <v>0.16500000000000001</v>
      </c>
      <c r="DP342" s="359">
        <f t="shared" si="306"/>
        <v>0.16500000000000001</v>
      </c>
      <c r="DQ342" s="306">
        <f t="shared" si="302"/>
        <v>0.16500000000000001</v>
      </c>
      <c r="DR342" s="379">
        <f t="shared" si="303"/>
        <v>1</v>
      </c>
      <c r="DS342" s="378">
        <f t="shared" si="304"/>
        <v>0</v>
      </c>
      <c r="DT342" s="173">
        <v>397</v>
      </c>
      <c r="DU342" s="174" t="s">
        <v>107</v>
      </c>
      <c r="DV342" s="173"/>
      <c r="DW342" s="174" t="s">
        <v>84</v>
      </c>
      <c r="DX342" s="173"/>
      <c r="DY342" s="173"/>
      <c r="DZ342" s="173"/>
      <c r="EA342" s="665"/>
      <c r="EB342" s="1254" t="s">
        <v>2359</v>
      </c>
      <c r="EC342" s="537">
        <v>20000000</v>
      </c>
      <c r="ED342" s="303"/>
      <c r="EE342" s="734">
        <v>1</v>
      </c>
      <c r="EF342" s="706"/>
    </row>
    <row r="343" spans="4:136" s="302" customFormat="1" ht="89.25" hidden="1">
      <c r="D343" s="520">
        <v>340</v>
      </c>
      <c r="E343" s="534">
        <v>400</v>
      </c>
      <c r="F343" s="479" t="s">
        <v>44</v>
      </c>
      <c r="G343" s="479" t="s">
        <v>1892</v>
      </c>
      <c r="H343" s="479" t="s">
        <v>2667</v>
      </c>
      <c r="I343" s="435" t="s">
        <v>845</v>
      </c>
      <c r="J343" s="335" t="s">
        <v>848</v>
      </c>
      <c r="K343" s="335" t="s">
        <v>2360</v>
      </c>
      <c r="L343" s="443" t="s">
        <v>1485</v>
      </c>
      <c r="M343" s="334" t="s">
        <v>1771</v>
      </c>
      <c r="N343" s="334">
        <v>0</v>
      </c>
      <c r="O343" s="333">
        <f t="shared" si="305"/>
        <v>116</v>
      </c>
      <c r="P343" s="332">
        <v>116</v>
      </c>
      <c r="Q343" s="390">
        <v>0.25</v>
      </c>
      <c r="R343" s="342">
        <f t="shared" si="282"/>
        <v>4.9568965517241381E-2</v>
      </c>
      <c r="S343" s="389">
        <v>23</v>
      </c>
      <c r="T343" s="387">
        <f t="shared" si="264"/>
        <v>0.19827586206896552</v>
      </c>
      <c r="U343" s="670">
        <v>47</v>
      </c>
      <c r="V343" s="388">
        <f t="shared" si="265"/>
        <v>47</v>
      </c>
      <c r="W343" s="356">
        <f t="shared" si="266"/>
        <v>204.34782608695653</v>
      </c>
      <c r="X343" s="356">
        <f t="shared" si="283"/>
        <v>100</v>
      </c>
      <c r="Y343" s="356">
        <f t="shared" si="307"/>
        <v>4.9568965517241381E-2</v>
      </c>
      <c r="Z343" s="356">
        <f t="shared" si="284"/>
        <v>100</v>
      </c>
      <c r="AA343" s="355">
        <v>1024000000</v>
      </c>
      <c r="AB343" s="355">
        <v>1024000000</v>
      </c>
      <c r="AC343" s="355">
        <v>0</v>
      </c>
      <c r="AD343" s="355">
        <v>0</v>
      </c>
      <c r="AE343" s="355">
        <v>0</v>
      </c>
      <c r="AF343" s="355">
        <v>0</v>
      </c>
      <c r="AG343" s="355">
        <v>0</v>
      </c>
      <c r="AH343" s="355">
        <v>0</v>
      </c>
      <c r="AI343" s="355">
        <v>3063000000</v>
      </c>
      <c r="AJ343" s="355">
        <v>2363000000</v>
      </c>
      <c r="AK343" s="355">
        <v>0</v>
      </c>
      <c r="AL343" s="355">
        <v>700000000</v>
      </c>
      <c r="AM343" s="355">
        <v>0</v>
      </c>
      <c r="AN343" s="355">
        <v>0</v>
      </c>
      <c r="AO343" s="355">
        <v>0</v>
      </c>
      <c r="AP343" s="355">
        <v>0</v>
      </c>
      <c r="AQ343" s="355">
        <v>0</v>
      </c>
      <c r="AR343" s="355">
        <v>0</v>
      </c>
      <c r="AS343" s="355">
        <v>0</v>
      </c>
      <c r="AT343" s="419">
        <f t="shared" si="285"/>
        <v>4.9568965517241381E-2</v>
      </c>
      <c r="AU343" s="334">
        <v>23</v>
      </c>
      <c r="AV343" s="387">
        <f t="shared" si="267"/>
        <v>0.19827586206896552</v>
      </c>
      <c r="AW343" s="677">
        <v>50</v>
      </c>
      <c r="AX343" s="366">
        <f t="shared" si="268"/>
        <v>50</v>
      </c>
      <c r="AY343" s="366">
        <f t="shared" si="269"/>
        <v>217.39130434782609</v>
      </c>
      <c r="AZ343" s="366">
        <f t="shared" si="286"/>
        <v>100</v>
      </c>
      <c r="BA343" s="354">
        <f t="shared" si="287"/>
        <v>4.9568965517241381E-2</v>
      </c>
      <c r="BB343" s="354">
        <f t="shared" si="288"/>
        <v>100</v>
      </c>
      <c r="BC343" s="353">
        <v>530000000</v>
      </c>
      <c r="BD343" s="353">
        <v>0</v>
      </c>
      <c r="BE343" s="353">
        <v>130000000</v>
      </c>
      <c r="BF343" s="353">
        <v>0</v>
      </c>
      <c r="BG343" s="353">
        <v>0</v>
      </c>
      <c r="BH343" s="353">
        <v>0</v>
      </c>
      <c r="BI343" s="353">
        <v>0</v>
      </c>
      <c r="BJ343" s="353">
        <v>400000000</v>
      </c>
      <c r="BK343" s="386">
        <v>435317600</v>
      </c>
      <c r="BL343" s="351">
        <v>435317600</v>
      </c>
      <c r="BM343" s="351">
        <v>0</v>
      </c>
      <c r="BN343" s="351">
        <v>0</v>
      </c>
      <c r="BO343" s="351">
        <v>0</v>
      </c>
      <c r="BP343" s="351">
        <v>0</v>
      </c>
      <c r="BQ343" s="351">
        <v>0</v>
      </c>
      <c r="BR343" s="351">
        <v>0</v>
      </c>
      <c r="BS343" s="351">
        <v>0</v>
      </c>
      <c r="BT343" s="351">
        <v>0</v>
      </c>
      <c r="BU343" s="351">
        <v>0</v>
      </c>
      <c r="BV343" s="350">
        <f t="shared" si="289"/>
        <v>8.6206896551724144E-2</v>
      </c>
      <c r="BW343" s="350">
        <v>40</v>
      </c>
      <c r="BX343" s="385">
        <f t="shared" si="270"/>
        <v>0.34482758620689657</v>
      </c>
      <c r="BY343" s="369">
        <v>15</v>
      </c>
      <c r="BZ343" s="391">
        <v>15</v>
      </c>
      <c r="CA343" s="689">
        <v>15</v>
      </c>
      <c r="CB343" s="324">
        <f t="shared" si="271"/>
        <v>15</v>
      </c>
      <c r="CC343" s="324">
        <f t="shared" si="272"/>
        <v>37.5</v>
      </c>
      <c r="CD343" s="384">
        <f t="shared" si="290"/>
        <v>37.5</v>
      </c>
      <c r="CE343" s="383">
        <f t="shared" si="291"/>
        <v>3.2327586206896554E-2</v>
      </c>
      <c r="CF343" s="367">
        <f t="shared" si="292"/>
        <v>37.5</v>
      </c>
      <c r="CG343" s="383">
        <f t="shared" si="293"/>
        <v>3.2327586206896554E-2</v>
      </c>
      <c r="CH343" s="320">
        <f t="shared" si="294"/>
        <v>6.4655172413793108E-2</v>
      </c>
      <c r="CI343" s="319">
        <v>30</v>
      </c>
      <c r="CJ343" s="318">
        <f t="shared" si="273"/>
        <v>0.25862068965517243</v>
      </c>
      <c r="CK343" s="1259">
        <v>15</v>
      </c>
      <c r="CL343" s="301">
        <f t="shared" si="274"/>
        <v>15</v>
      </c>
      <c r="CM343" s="381">
        <f t="shared" si="275"/>
        <v>15</v>
      </c>
      <c r="CN343" s="381">
        <f t="shared" si="276"/>
        <v>50</v>
      </c>
      <c r="CO343" s="316">
        <f t="shared" si="295"/>
        <v>50</v>
      </c>
      <c r="CP343" s="381">
        <f t="shared" si="296"/>
        <v>3.2327586206896554E-2</v>
      </c>
      <c r="CQ343" s="381">
        <f t="shared" si="297"/>
        <v>3.2327586206896554E-2</v>
      </c>
      <c r="CR343" s="313">
        <v>790000000</v>
      </c>
      <c r="CS343" s="313">
        <v>390000000</v>
      </c>
      <c r="CT343" s="313">
        <v>0</v>
      </c>
      <c r="CU343" s="313">
        <v>0</v>
      </c>
      <c r="CV343" s="313">
        <v>0</v>
      </c>
      <c r="CW343" s="313">
        <v>0</v>
      </c>
      <c r="CX343" s="313">
        <v>0</v>
      </c>
      <c r="CY343" s="313">
        <v>400000000</v>
      </c>
      <c r="CZ343" s="380">
        <v>0</v>
      </c>
      <c r="DA343" s="380">
        <v>0</v>
      </c>
      <c r="DB343" s="380">
        <v>0</v>
      </c>
      <c r="DC343" s="380">
        <v>0</v>
      </c>
      <c r="DD343" s="380">
        <v>0</v>
      </c>
      <c r="DE343" s="380">
        <v>0</v>
      </c>
      <c r="DF343" s="380">
        <v>0</v>
      </c>
      <c r="DG343" s="380">
        <v>0</v>
      </c>
      <c r="DH343" s="380">
        <v>0</v>
      </c>
      <c r="DI343" s="380">
        <v>0</v>
      </c>
      <c r="DJ343" s="380">
        <v>0</v>
      </c>
      <c r="DK343" s="702">
        <f t="shared" si="277"/>
        <v>127</v>
      </c>
      <c r="DL343" s="311">
        <f t="shared" si="298"/>
        <v>0.25</v>
      </c>
      <c r="DM343" s="310">
        <f t="shared" si="299"/>
        <v>109.48275862068965</v>
      </c>
      <c r="DN343" s="356">
        <f t="shared" si="300"/>
        <v>100</v>
      </c>
      <c r="DO343" s="308">
        <f t="shared" si="301"/>
        <v>0.25</v>
      </c>
      <c r="DP343" s="359">
        <f t="shared" si="306"/>
        <v>0.25</v>
      </c>
      <c r="DQ343" s="306">
        <f t="shared" si="302"/>
        <v>0.25</v>
      </c>
      <c r="DR343" s="379">
        <f t="shared" si="303"/>
        <v>1</v>
      </c>
      <c r="DS343" s="378">
        <f t="shared" si="304"/>
        <v>0</v>
      </c>
      <c r="DT343" s="173">
        <v>397</v>
      </c>
      <c r="DU343" s="174" t="s">
        <v>107</v>
      </c>
      <c r="DV343" s="173"/>
      <c r="DW343" s="174" t="s">
        <v>84</v>
      </c>
      <c r="DX343" s="173"/>
      <c r="DY343" s="173"/>
      <c r="DZ343" s="173"/>
      <c r="EA343" s="665"/>
      <c r="EB343" s="1254" t="s">
        <v>2117</v>
      </c>
      <c r="EC343" s="537">
        <v>12000000</v>
      </c>
      <c r="ED343" s="303"/>
      <c r="EE343" s="733">
        <v>2</v>
      </c>
      <c r="EF343" s="706"/>
    </row>
    <row r="344" spans="4:136" s="302" customFormat="1" ht="76.5" hidden="1">
      <c r="D344" s="520">
        <v>341</v>
      </c>
      <c r="E344" s="534">
        <v>401</v>
      </c>
      <c r="F344" s="479" t="s">
        <v>44</v>
      </c>
      <c r="G344" s="479" t="s">
        <v>16</v>
      </c>
      <c r="H344" s="479" t="s">
        <v>2667</v>
      </c>
      <c r="I344" s="435" t="s">
        <v>845</v>
      </c>
      <c r="J344" s="335" t="s">
        <v>2326</v>
      </c>
      <c r="K344" s="335" t="s">
        <v>849</v>
      </c>
      <c r="L344" s="443" t="s">
        <v>1404</v>
      </c>
      <c r="M344" s="334" t="s">
        <v>1771</v>
      </c>
      <c r="N344" s="334">
        <v>0</v>
      </c>
      <c r="O344" s="333">
        <f t="shared" si="305"/>
        <v>20</v>
      </c>
      <c r="P344" s="332">
        <v>20</v>
      </c>
      <c r="Q344" s="390">
        <v>0.16500000000000001</v>
      </c>
      <c r="R344" s="342">
        <f t="shared" si="282"/>
        <v>4.9500000000000002E-2</v>
      </c>
      <c r="S344" s="389">
        <v>6</v>
      </c>
      <c r="T344" s="387">
        <f t="shared" si="264"/>
        <v>0.3</v>
      </c>
      <c r="U344" s="670">
        <v>6</v>
      </c>
      <c r="V344" s="388">
        <f t="shared" si="265"/>
        <v>6</v>
      </c>
      <c r="W344" s="356">
        <f t="shared" si="266"/>
        <v>100</v>
      </c>
      <c r="X344" s="356">
        <f t="shared" si="283"/>
        <v>100</v>
      </c>
      <c r="Y344" s="356">
        <f t="shared" si="307"/>
        <v>4.9500000000000002E-2</v>
      </c>
      <c r="Z344" s="356">
        <f t="shared" si="284"/>
        <v>100</v>
      </c>
      <c r="AA344" s="355">
        <v>59000000</v>
      </c>
      <c r="AB344" s="355">
        <v>51000000</v>
      </c>
      <c r="AC344" s="355">
        <v>0</v>
      </c>
      <c r="AD344" s="355">
        <v>0</v>
      </c>
      <c r="AE344" s="355">
        <v>0</v>
      </c>
      <c r="AF344" s="355">
        <v>0</v>
      </c>
      <c r="AG344" s="355">
        <v>0</v>
      </c>
      <c r="AH344" s="355">
        <v>8000000</v>
      </c>
      <c r="AI344" s="355">
        <v>0</v>
      </c>
      <c r="AJ344" s="355">
        <v>0</v>
      </c>
      <c r="AK344" s="355">
        <v>0</v>
      </c>
      <c r="AL344" s="355">
        <v>0</v>
      </c>
      <c r="AM344" s="355">
        <v>0</v>
      </c>
      <c r="AN344" s="355">
        <v>0</v>
      </c>
      <c r="AO344" s="355">
        <v>0</v>
      </c>
      <c r="AP344" s="355">
        <v>0</v>
      </c>
      <c r="AQ344" s="355">
        <v>0</v>
      </c>
      <c r="AR344" s="355">
        <v>0</v>
      </c>
      <c r="AS344" s="355">
        <v>0</v>
      </c>
      <c r="AT344" s="333">
        <f t="shared" si="285"/>
        <v>6.6000000000000008E-3</v>
      </c>
      <c r="AU344" s="334">
        <v>0.8</v>
      </c>
      <c r="AV344" s="387">
        <f t="shared" si="267"/>
        <v>0.04</v>
      </c>
      <c r="AW344" s="677">
        <v>0.8</v>
      </c>
      <c r="AX344" s="366">
        <f t="shared" si="268"/>
        <v>0.8</v>
      </c>
      <c r="AY344" s="366">
        <f t="shared" si="269"/>
        <v>100</v>
      </c>
      <c r="AZ344" s="366">
        <f t="shared" si="286"/>
        <v>100</v>
      </c>
      <c r="BA344" s="354">
        <f t="shared" si="287"/>
        <v>6.6E-3</v>
      </c>
      <c r="BB344" s="354">
        <f t="shared" si="288"/>
        <v>100</v>
      </c>
      <c r="BC344" s="353">
        <v>1070000000</v>
      </c>
      <c r="BD344" s="353">
        <v>0</v>
      </c>
      <c r="BE344" s="353">
        <v>195000000</v>
      </c>
      <c r="BF344" s="353">
        <v>0</v>
      </c>
      <c r="BG344" s="353">
        <v>0</v>
      </c>
      <c r="BH344" s="353">
        <v>0</v>
      </c>
      <c r="BI344" s="353">
        <v>0</v>
      </c>
      <c r="BJ344" s="353">
        <v>875000000</v>
      </c>
      <c r="BK344" s="386">
        <v>358000000</v>
      </c>
      <c r="BL344" s="351">
        <v>358000000</v>
      </c>
      <c r="BM344" s="351">
        <v>0</v>
      </c>
      <c r="BN344" s="351">
        <v>0</v>
      </c>
      <c r="BO344" s="351">
        <v>0</v>
      </c>
      <c r="BP344" s="351">
        <v>0</v>
      </c>
      <c r="BQ344" s="351">
        <v>0</v>
      </c>
      <c r="BR344" s="351">
        <v>0</v>
      </c>
      <c r="BS344" s="351">
        <v>0</v>
      </c>
      <c r="BT344" s="351">
        <v>33300000</v>
      </c>
      <c r="BU344" s="351" t="s">
        <v>1897</v>
      </c>
      <c r="BV344" s="350">
        <f t="shared" si="289"/>
        <v>2.0625000000000001E-2</v>
      </c>
      <c r="BW344" s="350">
        <v>2.5</v>
      </c>
      <c r="BX344" s="385">
        <f t="shared" si="270"/>
        <v>0.125</v>
      </c>
      <c r="BY344" s="399">
        <v>0</v>
      </c>
      <c r="BZ344" s="398">
        <v>0</v>
      </c>
      <c r="CA344" s="690">
        <v>2.5</v>
      </c>
      <c r="CB344" s="324">
        <f t="shared" si="271"/>
        <v>2.5</v>
      </c>
      <c r="CC344" s="324">
        <f t="shared" si="272"/>
        <v>100</v>
      </c>
      <c r="CD344" s="384">
        <f t="shared" si="290"/>
        <v>100</v>
      </c>
      <c r="CE344" s="383">
        <f t="shared" si="291"/>
        <v>2.0625000000000001E-2</v>
      </c>
      <c r="CF344" s="367">
        <f t="shared" si="292"/>
        <v>100</v>
      </c>
      <c r="CG344" s="383">
        <f t="shared" si="293"/>
        <v>2.0625000000000001E-2</v>
      </c>
      <c r="CH344" s="320">
        <f t="shared" si="294"/>
        <v>8.8274999999999992E-2</v>
      </c>
      <c r="CI344" s="319">
        <v>10.7</v>
      </c>
      <c r="CJ344" s="318">
        <f t="shared" si="273"/>
        <v>0.53499999999999992</v>
      </c>
      <c r="CK344" s="1259">
        <v>90</v>
      </c>
      <c r="CL344" s="301">
        <f t="shared" si="274"/>
        <v>-79.3</v>
      </c>
      <c r="CM344" s="381">
        <f t="shared" si="275"/>
        <v>90</v>
      </c>
      <c r="CN344" s="381">
        <f t="shared" si="276"/>
        <v>841.12149532710282</v>
      </c>
      <c r="CO344" s="316">
        <f t="shared" si="295"/>
        <v>100</v>
      </c>
      <c r="CP344" s="381">
        <f t="shared" si="296"/>
        <v>8.8274999999999992E-2</v>
      </c>
      <c r="CQ344" s="381">
        <f t="shared" si="297"/>
        <v>0.74250000000000005</v>
      </c>
      <c r="CR344" s="313">
        <v>1325000000</v>
      </c>
      <c r="CS344" s="313">
        <v>450000000</v>
      </c>
      <c r="CT344" s="313">
        <v>0</v>
      </c>
      <c r="CU344" s="313">
        <v>0</v>
      </c>
      <c r="CV344" s="313">
        <v>0</v>
      </c>
      <c r="CW344" s="313">
        <v>0</v>
      </c>
      <c r="CX344" s="313">
        <v>0</v>
      </c>
      <c r="CY344" s="313">
        <v>875000000</v>
      </c>
      <c r="CZ344" s="380">
        <v>0</v>
      </c>
      <c r="DA344" s="380">
        <v>0</v>
      </c>
      <c r="DB344" s="380">
        <v>0</v>
      </c>
      <c r="DC344" s="380">
        <v>0</v>
      </c>
      <c r="DD344" s="380">
        <v>0</v>
      </c>
      <c r="DE344" s="380">
        <v>0</v>
      </c>
      <c r="DF344" s="380">
        <v>0</v>
      </c>
      <c r="DG344" s="380">
        <v>0</v>
      </c>
      <c r="DH344" s="380">
        <v>0</v>
      </c>
      <c r="DI344" s="380">
        <v>0</v>
      </c>
      <c r="DJ344" s="380">
        <v>0</v>
      </c>
      <c r="DK344" s="702">
        <f t="shared" si="277"/>
        <v>99.3</v>
      </c>
      <c r="DL344" s="311">
        <f t="shared" si="298"/>
        <v>0.16499999999999998</v>
      </c>
      <c r="DM344" s="310">
        <f t="shared" si="299"/>
        <v>496.5</v>
      </c>
      <c r="DN344" s="356">
        <f t="shared" si="300"/>
        <v>100</v>
      </c>
      <c r="DO344" s="308">
        <f t="shared" si="301"/>
        <v>0.16500000000000001</v>
      </c>
      <c r="DP344" s="359">
        <f t="shared" si="306"/>
        <v>0.16500000000000001</v>
      </c>
      <c r="DQ344" s="306">
        <f t="shared" si="302"/>
        <v>0.16500000000000001</v>
      </c>
      <c r="DR344" s="379">
        <f t="shared" si="303"/>
        <v>0.99999999999999989</v>
      </c>
      <c r="DS344" s="378">
        <f t="shared" si="304"/>
        <v>0</v>
      </c>
      <c r="DT344" s="173">
        <v>397</v>
      </c>
      <c r="DU344" s="174" t="s">
        <v>107</v>
      </c>
      <c r="DV344" s="173"/>
      <c r="DW344" s="174" t="s">
        <v>84</v>
      </c>
      <c r="DX344" s="173"/>
      <c r="DY344" s="173"/>
      <c r="DZ344" s="173"/>
      <c r="EA344" s="665"/>
      <c r="EB344" s="1254" t="s">
        <v>2581</v>
      </c>
      <c r="EC344" s="537">
        <v>90000000</v>
      </c>
      <c r="EE344" s="740">
        <v>4.4999999999999998E-2</v>
      </c>
      <c r="EF344" s="706"/>
    </row>
    <row r="345" spans="4:136" s="302" customFormat="1" ht="63.75" hidden="1">
      <c r="D345" s="520">
        <v>342</v>
      </c>
      <c r="E345" s="534">
        <v>402</v>
      </c>
      <c r="F345" s="336" t="s">
        <v>44</v>
      </c>
      <c r="G345" s="479" t="s">
        <v>1892</v>
      </c>
      <c r="H345" s="336" t="s">
        <v>2667</v>
      </c>
      <c r="I345" s="336" t="s">
        <v>845</v>
      </c>
      <c r="J345" s="335" t="s">
        <v>1289</v>
      </c>
      <c r="K345" s="335" t="s">
        <v>850</v>
      </c>
      <c r="L345" s="443" t="s">
        <v>1808</v>
      </c>
      <c r="M345" s="334" t="s">
        <v>1771</v>
      </c>
      <c r="N345" s="334">
        <v>0</v>
      </c>
      <c r="O345" s="333">
        <f t="shared" si="305"/>
        <v>200</v>
      </c>
      <c r="P345" s="332">
        <v>200</v>
      </c>
      <c r="Q345" s="393">
        <v>0.25</v>
      </c>
      <c r="R345" s="342">
        <f t="shared" si="282"/>
        <v>2.5000000000000001E-3</v>
      </c>
      <c r="S345" s="1368">
        <v>2</v>
      </c>
      <c r="T345" s="387">
        <f t="shared" si="264"/>
        <v>0.01</v>
      </c>
      <c r="U345" s="670">
        <v>2</v>
      </c>
      <c r="V345" s="388">
        <f t="shared" si="265"/>
        <v>2</v>
      </c>
      <c r="W345" s="356">
        <f t="shared" si="266"/>
        <v>100</v>
      </c>
      <c r="X345" s="356">
        <f t="shared" si="283"/>
        <v>100</v>
      </c>
      <c r="Y345" s="356">
        <f t="shared" si="307"/>
        <v>2.5000000000000001E-3</v>
      </c>
      <c r="Z345" s="356">
        <f t="shared" si="284"/>
        <v>100</v>
      </c>
      <c r="AA345" s="355">
        <v>3120000000</v>
      </c>
      <c r="AB345" s="355">
        <v>2420000000</v>
      </c>
      <c r="AC345" s="355">
        <v>0</v>
      </c>
      <c r="AD345" s="355">
        <v>700000000</v>
      </c>
      <c r="AE345" s="355">
        <v>0</v>
      </c>
      <c r="AF345" s="355">
        <v>0</v>
      </c>
      <c r="AG345" s="355">
        <v>0</v>
      </c>
      <c r="AH345" s="355">
        <v>0</v>
      </c>
      <c r="AI345" s="355">
        <v>70000000</v>
      </c>
      <c r="AJ345" s="355">
        <v>70000000</v>
      </c>
      <c r="AK345" s="355">
        <v>0</v>
      </c>
      <c r="AL345" s="355">
        <v>0</v>
      </c>
      <c r="AM345" s="355">
        <v>0</v>
      </c>
      <c r="AN345" s="355">
        <v>0</v>
      </c>
      <c r="AO345" s="355">
        <v>0</v>
      </c>
      <c r="AP345" s="355">
        <v>0</v>
      </c>
      <c r="AQ345" s="355">
        <v>0</v>
      </c>
      <c r="AR345" s="355">
        <v>0</v>
      </c>
      <c r="AS345" s="355">
        <v>0</v>
      </c>
      <c r="AT345" s="392">
        <f t="shared" si="285"/>
        <v>0.16625000000000001</v>
      </c>
      <c r="AU345" s="445">
        <v>133</v>
      </c>
      <c r="AV345" s="387">
        <f t="shared" si="267"/>
        <v>0.66500000000000004</v>
      </c>
      <c r="AW345" s="677">
        <v>167</v>
      </c>
      <c r="AX345" s="366">
        <f t="shared" si="268"/>
        <v>167</v>
      </c>
      <c r="AY345" s="366">
        <f t="shared" si="269"/>
        <v>125.56390977443608</v>
      </c>
      <c r="AZ345" s="366">
        <f t="shared" si="286"/>
        <v>100</v>
      </c>
      <c r="BA345" s="354">
        <f t="shared" si="287"/>
        <v>0.16625000000000001</v>
      </c>
      <c r="BB345" s="354">
        <f t="shared" si="288"/>
        <v>100</v>
      </c>
      <c r="BC345" s="353">
        <v>380000000</v>
      </c>
      <c r="BD345" s="353">
        <v>0</v>
      </c>
      <c r="BE345" s="353">
        <v>130000000</v>
      </c>
      <c r="BF345" s="353">
        <v>0</v>
      </c>
      <c r="BG345" s="353">
        <v>0</v>
      </c>
      <c r="BH345" s="353">
        <v>0</v>
      </c>
      <c r="BI345" s="353">
        <v>0</v>
      </c>
      <c r="BJ345" s="353">
        <v>250000000</v>
      </c>
      <c r="BK345" s="386">
        <v>1020000000</v>
      </c>
      <c r="BL345" s="351">
        <v>1020000000</v>
      </c>
      <c r="BM345" s="351">
        <v>0</v>
      </c>
      <c r="BN345" s="351">
        <v>0</v>
      </c>
      <c r="BO345" s="351">
        <v>0</v>
      </c>
      <c r="BP345" s="351">
        <v>0</v>
      </c>
      <c r="BQ345" s="351">
        <v>0</v>
      </c>
      <c r="BR345" s="351">
        <v>0</v>
      </c>
      <c r="BS345" s="351">
        <v>0</v>
      </c>
      <c r="BT345" s="351">
        <v>0</v>
      </c>
      <c r="BU345" s="351">
        <v>0</v>
      </c>
      <c r="BV345" s="350">
        <f t="shared" si="289"/>
        <v>6.25E-2</v>
      </c>
      <c r="BW345" s="350">
        <v>50</v>
      </c>
      <c r="BX345" s="385">
        <f t="shared" si="270"/>
        <v>0.25</v>
      </c>
      <c r="BY345" s="399">
        <v>38</v>
      </c>
      <c r="BZ345" s="398">
        <v>38</v>
      </c>
      <c r="CA345" s="690">
        <v>38</v>
      </c>
      <c r="CB345" s="324">
        <f t="shared" si="271"/>
        <v>38</v>
      </c>
      <c r="CC345" s="324">
        <f t="shared" si="272"/>
        <v>76</v>
      </c>
      <c r="CD345" s="384">
        <f t="shared" si="290"/>
        <v>76</v>
      </c>
      <c r="CE345" s="383">
        <f t="shared" si="291"/>
        <v>4.7500000000000001E-2</v>
      </c>
      <c r="CF345" s="367">
        <f t="shared" si="292"/>
        <v>76</v>
      </c>
      <c r="CG345" s="383">
        <f t="shared" si="293"/>
        <v>4.7500000000000001E-2</v>
      </c>
      <c r="CH345" s="320">
        <f t="shared" si="294"/>
        <v>1.8749999999999999E-2</v>
      </c>
      <c r="CI345" s="319">
        <v>15</v>
      </c>
      <c r="CJ345" s="318">
        <f t="shared" si="273"/>
        <v>7.4999999999999997E-2</v>
      </c>
      <c r="CK345" s="1259">
        <v>3</v>
      </c>
      <c r="CL345" s="301">
        <f t="shared" si="274"/>
        <v>12</v>
      </c>
      <c r="CM345" s="381">
        <f t="shared" si="275"/>
        <v>3</v>
      </c>
      <c r="CN345" s="381">
        <f t="shared" si="276"/>
        <v>20</v>
      </c>
      <c r="CO345" s="316">
        <f t="shared" si="295"/>
        <v>20</v>
      </c>
      <c r="CP345" s="381">
        <f t="shared" si="296"/>
        <v>3.7499999999999999E-3</v>
      </c>
      <c r="CQ345" s="381">
        <f t="shared" si="297"/>
        <v>3.7499999999999999E-3</v>
      </c>
      <c r="CR345" s="313">
        <v>550000000</v>
      </c>
      <c r="CS345" s="313">
        <v>300000000</v>
      </c>
      <c r="CT345" s="313">
        <v>0</v>
      </c>
      <c r="CU345" s="313">
        <v>0</v>
      </c>
      <c r="CV345" s="313">
        <v>0</v>
      </c>
      <c r="CW345" s="313">
        <v>0</v>
      </c>
      <c r="CX345" s="313">
        <v>0</v>
      </c>
      <c r="CY345" s="313">
        <v>250000000</v>
      </c>
      <c r="CZ345" s="380">
        <v>0</v>
      </c>
      <c r="DA345" s="380">
        <v>0</v>
      </c>
      <c r="DB345" s="380">
        <v>0</v>
      </c>
      <c r="DC345" s="380">
        <v>0</v>
      </c>
      <c r="DD345" s="380">
        <v>0</v>
      </c>
      <c r="DE345" s="380">
        <v>0</v>
      </c>
      <c r="DF345" s="380">
        <v>0</v>
      </c>
      <c r="DG345" s="380">
        <v>0</v>
      </c>
      <c r="DH345" s="380">
        <v>0</v>
      </c>
      <c r="DI345" s="380">
        <v>0</v>
      </c>
      <c r="DJ345" s="380">
        <v>0</v>
      </c>
      <c r="DK345" s="702">
        <f t="shared" si="277"/>
        <v>210</v>
      </c>
      <c r="DL345" s="311">
        <f t="shared" si="298"/>
        <v>0.25</v>
      </c>
      <c r="DM345" s="310">
        <f t="shared" si="299"/>
        <v>105</v>
      </c>
      <c r="DN345" s="356">
        <f t="shared" si="300"/>
        <v>100</v>
      </c>
      <c r="DO345" s="308">
        <f t="shared" si="301"/>
        <v>0.25</v>
      </c>
      <c r="DP345" s="359">
        <f t="shared" si="306"/>
        <v>0.25</v>
      </c>
      <c r="DQ345" s="306">
        <f t="shared" si="302"/>
        <v>0.25</v>
      </c>
      <c r="DR345" s="379">
        <f t="shared" si="303"/>
        <v>1</v>
      </c>
      <c r="DS345" s="378">
        <f t="shared" si="304"/>
        <v>0</v>
      </c>
      <c r="DT345" s="173">
        <v>397</v>
      </c>
      <c r="DU345" s="174" t="s">
        <v>107</v>
      </c>
      <c r="DV345" s="173"/>
      <c r="DW345" s="174" t="s">
        <v>84</v>
      </c>
      <c r="DX345" s="173"/>
      <c r="DY345" s="173"/>
      <c r="DZ345" s="173"/>
      <c r="EA345" s="665"/>
      <c r="EB345" s="1254" t="s">
        <v>2118</v>
      </c>
      <c r="EC345" s="667">
        <v>0</v>
      </c>
      <c r="ED345" s="303"/>
      <c r="EE345" s="736">
        <v>6000</v>
      </c>
      <c r="EF345" s="706"/>
    </row>
    <row r="346" spans="4:136" s="302" customFormat="1" ht="63.75" hidden="1">
      <c r="D346" s="520">
        <v>343</v>
      </c>
      <c r="E346" s="534">
        <v>403</v>
      </c>
      <c r="F346" s="479" t="s">
        <v>44</v>
      </c>
      <c r="G346" s="479" t="s">
        <v>1892</v>
      </c>
      <c r="H346" s="479" t="s">
        <v>2667</v>
      </c>
      <c r="I346" s="435" t="s">
        <v>845</v>
      </c>
      <c r="J346" s="335" t="s">
        <v>851</v>
      </c>
      <c r="K346" s="335" t="s">
        <v>852</v>
      </c>
      <c r="L346" s="443" t="s">
        <v>1896</v>
      </c>
      <c r="M346" s="334" t="s">
        <v>1785</v>
      </c>
      <c r="N346" s="334">
        <v>0</v>
      </c>
      <c r="O346" s="333">
        <f>+P346</f>
        <v>2</v>
      </c>
      <c r="P346" s="332">
        <v>2</v>
      </c>
      <c r="Q346" s="390">
        <v>0.16500000000000001</v>
      </c>
      <c r="R346" s="342">
        <f t="shared" si="282"/>
        <v>4.1250000000000002E-2</v>
      </c>
      <c r="S346" s="389">
        <v>2</v>
      </c>
      <c r="T346" s="387">
        <f t="shared" si="264"/>
        <v>0.25</v>
      </c>
      <c r="U346" s="670">
        <v>2</v>
      </c>
      <c r="V346" s="388">
        <f t="shared" si="265"/>
        <v>0.5</v>
      </c>
      <c r="W346" s="356">
        <f t="shared" si="266"/>
        <v>100</v>
      </c>
      <c r="X346" s="356">
        <f t="shared" si="283"/>
        <v>100</v>
      </c>
      <c r="Y346" s="356">
        <f t="shared" si="307"/>
        <v>4.1250000000000002E-2</v>
      </c>
      <c r="Z346" s="356">
        <f t="shared" si="284"/>
        <v>100</v>
      </c>
      <c r="AA346" s="355">
        <v>0</v>
      </c>
      <c r="AB346" s="355">
        <v>0</v>
      </c>
      <c r="AC346" s="355">
        <v>0</v>
      </c>
      <c r="AD346" s="355">
        <v>0</v>
      </c>
      <c r="AE346" s="355">
        <v>0</v>
      </c>
      <c r="AF346" s="355">
        <v>0</v>
      </c>
      <c r="AG346" s="355">
        <v>0</v>
      </c>
      <c r="AH346" s="355">
        <v>0</v>
      </c>
      <c r="AI346" s="355">
        <v>0</v>
      </c>
      <c r="AJ346" s="355">
        <v>0</v>
      </c>
      <c r="AK346" s="355">
        <v>0</v>
      </c>
      <c r="AL346" s="355">
        <v>0</v>
      </c>
      <c r="AM346" s="355">
        <v>0</v>
      </c>
      <c r="AN346" s="355">
        <v>0</v>
      </c>
      <c r="AO346" s="355">
        <v>0</v>
      </c>
      <c r="AP346" s="355">
        <v>0</v>
      </c>
      <c r="AQ346" s="355">
        <v>0</v>
      </c>
      <c r="AR346" s="355">
        <v>0</v>
      </c>
      <c r="AS346" s="355">
        <v>0</v>
      </c>
      <c r="AT346" s="333">
        <f t="shared" si="285"/>
        <v>4.1250000000000002E-2</v>
      </c>
      <c r="AU346" s="334">
        <v>2</v>
      </c>
      <c r="AV346" s="387">
        <f t="shared" si="267"/>
        <v>0.25</v>
      </c>
      <c r="AW346" s="677">
        <v>2</v>
      </c>
      <c r="AX346" s="366">
        <f t="shared" si="268"/>
        <v>0.5</v>
      </c>
      <c r="AY346" s="366">
        <f t="shared" si="269"/>
        <v>100</v>
      </c>
      <c r="AZ346" s="366">
        <f t="shared" si="286"/>
        <v>100</v>
      </c>
      <c r="BA346" s="354">
        <f t="shared" si="287"/>
        <v>4.1250000000000002E-2</v>
      </c>
      <c r="BB346" s="354">
        <f t="shared" si="288"/>
        <v>100</v>
      </c>
      <c r="BC346" s="353">
        <v>440000000</v>
      </c>
      <c r="BD346" s="353">
        <v>0</v>
      </c>
      <c r="BE346" s="353">
        <v>65000000</v>
      </c>
      <c r="BF346" s="353">
        <v>0</v>
      </c>
      <c r="BG346" s="353">
        <v>0</v>
      </c>
      <c r="BH346" s="353">
        <v>0</v>
      </c>
      <c r="BI346" s="353">
        <v>0</v>
      </c>
      <c r="BJ346" s="353">
        <v>375000000</v>
      </c>
      <c r="BK346" s="386">
        <v>0</v>
      </c>
      <c r="BL346" s="351">
        <v>0</v>
      </c>
      <c r="BM346" s="351">
        <v>0</v>
      </c>
      <c r="BN346" s="351">
        <v>0</v>
      </c>
      <c r="BO346" s="351">
        <v>0</v>
      </c>
      <c r="BP346" s="351">
        <v>0</v>
      </c>
      <c r="BQ346" s="351">
        <v>0</v>
      </c>
      <c r="BR346" s="351">
        <v>0</v>
      </c>
      <c r="BS346" s="351">
        <v>0</v>
      </c>
      <c r="BT346" s="351">
        <v>0</v>
      </c>
      <c r="BU346" s="351">
        <v>0</v>
      </c>
      <c r="BV346" s="350">
        <f t="shared" si="289"/>
        <v>4.1250000000000002E-2</v>
      </c>
      <c r="BW346" s="350">
        <v>2</v>
      </c>
      <c r="BX346" s="385">
        <f t="shared" si="270"/>
        <v>0.25</v>
      </c>
      <c r="BY346" s="369">
        <v>2</v>
      </c>
      <c r="BZ346" s="391">
        <v>2</v>
      </c>
      <c r="CA346" s="689">
        <v>2</v>
      </c>
      <c r="CB346" s="324">
        <f t="shared" si="271"/>
        <v>0.5</v>
      </c>
      <c r="CC346" s="324">
        <f t="shared" si="272"/>
        <v>100</v>
      </c>
      <c r="CD346" s="384">
        <f t="shared" si="290"/>
        <v>100</v>
      </c>
      <c r="CE346" s="383">
        <f t="shared" si="291"/>
        <v>4.1250000000000002E-2</v>
      </c>
      <c r="CF346" s="367">
        <f t="shared" si="292"/>
        <v>100</v>
      </c>
      <c r="CG346" s="383">
        <f t="shared" si="293"/>
        <v>4.1250000000000002E-2</v>
      </c>
      <c r="CH346" s="320">
        <f t="shared" si="294"/>
        <v>4.1250000000000002E-2</v>
      </c>
      <c r="CI346" s="319">
        <v>0</v>
      </c>
      <c r="CJ346" s="318">
        <f t="shared" si="273"/>
        <v>0.25</v>
      </c>
      <c r="CK346" s="1260">
        <v>3</v>
      </c>
      <c r="CL346" s="301">
        <f t="shared" si="274"/>
        <v>-3</v>
      </c>
      <c r="CM346" s="381">
        <f t="shared" si="275"/>
        <v>0.75</v>
      </c>
      <c r="CN346" s="381">
        <f t="shared" si="276"/>
        <v>0</v>
      </c>
      <c r="CO346" s="381">
        <f t="shared" si="295"/>
        <v>0</v>
      </c>
      <c r="CP346" s="381">
        <f t="shared" si="296"/>
        <v>0</v>
      </c>
      <c r="CQ346" s="381">
        <f t="shared" si="297"/>
        <v>0</v>
      </c>
      <c r="CR346" s="313">
        <v>525000000</v>
      </c>
      <c r="CS346" s="313">
        <v>150000000</v>
      </c>
      <c r="CT346" s="313">
        <v>0</v>
      </c>
      <c r="CU346" s="313">
        <v>0</v>
      </c>
      <c r="CV346" s="313">
        <v>0</v>
      </c>
      <c r="CW346" s="313">
        <v>0</v>
      </c>
      <c r="CX346" s="313">
        <v>0</v>
      </c>
      <c r="CY346" s="313">
        <v>375000000</v>
      </c>
      <c r="CZ346" s="380">
        <v>0</v>
      </c>
      <c r="DA346" s="380">
        <v>0</v>
      </c>
      <c r="DB346" s="380">
        <v>0</v>
      </c>
      <c r="DC346" s="380">
        <v>0</v>
      </c>
      <c r="DD346" s="380">
        <v>0</v>
      </c>
      <c r="DE346" s="380">
        <v>0</v>
      </c>
      <c r="DF346" s="380">
        <v>0</v>
      </c>
      <c r="DG346" s="380">
        <v>0</v>
      </c>
      <c r="DH346" s="380">
        <v>0</v>
      </c>
      <c r="DI346" s="380">
        <v>0</v>
      </c>
      <c r="DJ346" s="380">
        <v>0</v>
      </c>
      <c r="DK346" s="702">
        <f t="shared" si="277"/>
        <v>2.25</v>
      </c>
      <c r="DL346" s="311">
        <f t="shared" si="298"/>
        <v>0.16500000000000001</v>
      </c>
      <c r="DM346" s="310">
        <f t="shared" si="299"/>
        <v>112.5</v>
      </c>
      <c r="DN346" s="356">
        <f t="shared" si="300"/>
        <v>100</v>
      </c>
      <c r="DO346" s="308">
        <f t="shared" si="301"/>
        <v>0.16500000000000001</v>
      </c>
      <c r="DP346" s="359">
        <f>+IF(M346="M",DO346,0)</f>
        <v>0.16500000000000001</v>
      </c>
      <c r="DQ346" s="306">
        <f t="shared" si="302"/>
        <v>0.16500000000000001</v>
      </c>
      <c r="DR346" s="379">
        <f t="shared" si="303"/>
        <v>1</v>
      </c>
      <c r="DS346" s="378">
        <f t="shared" si="304"/>
        <v>0</v>
      </c>
      <c r="DT346" s="173">
        <v>398</v>
      </c>
      <c r="DU346" s="174" t="s">
        <v>106</v>
      </c>
      <c r="DV346" s="173"/>
      <c r="DW346" s="174" t="s">
        <v>84</v>
      </c>
      <c r="DX346" s="173"/>
      <c r="DY346" s="173"/>
      <c r="DZ346" s="173"/>
      <c r="EA346" s="665"/>
      <c r="EB346" s="1254" t="s">
        <v>2119</v>
      </c>
      <c r="EC346" s="667">
        <v>0</v>
      </c>
      <c r="ED346" s="303"/>
      <c r="EE346" s="736">
        <v>0</v>
      </c>
      <c r="EF346" s="706"/>
    </row>
    <row r="347" spans="4:136" s="302" customFormat="1" ht="38.25" hidden="1">
      <c r="D347" s="520">
        <v>344</v>
      </c>
      <c r="E347" s="534">
        <v>404</v>
      </c>
      <c r="F347" s="479" t="s">
        <v>44</v>
      </c>
      <c r="G347" s="479" t="s">
        <v>1892</v>
      </c>
      <c r="H347" s="479" t="s">
        <v>2667</v>
      </c>
      <c r="I347" s="435" t="s">
        <v>845</v>
      </c>
      <c r="J347" s="335" t="s">
        <v>853</v>
      </c>
      <c r="K347" s="335" t="s">
        <v>854</v>
      </c>
      <c r="L347" s="443" t="s">
        <v>1895</v>
      </c>
      <c r="M347" s="334" t="s">
        <v>1785</v>
      </c>
      <c r="N347" s="334">
        <v>0</v>
      </c>
      <c r="O347" s="333">
        <f>+P347</f>
        <v>100</v>
      </c>
      <c r="P347" s="332">
        <v>100</v>
      </c>
      <c r="Q347" s="390">
        <v>0.16500000000000001</v>
      </c>
      <c r="R347" s="342">
        <f t="shared" si="282"/>
        <v>4.1250000000000002E-2</v>
      </c>
      <c r="S347" s="389">
        <v>100</v>
      </c>
      <c r="T347" s="387">
        <f t="shared" si="264"/>
        <v>0.25</v>
      </c>
      <c r="U347" s="670">
        <v>100</v>
      </c>
      <c r="V347" s="388">
        <f t="shared" si="265"/>
        <v>25</v>
      </c>
      <c r="W347" s="356">
        <f t="shared" si="266"/>
        <v>100</v>
      </c>
      <c r="X347" s="356">
        <f t="shared" si="283"/>
        <v>100</v>
      </c>
      <c r="Y347" s="356">
        <f t="shared" si="307"/>
        <v>4.1250000000000002E-2</v>
      </c>
      <c r="Z347" s="356">
        <f t="shared" si="284"/>
        <v>100</v>
      </c>
      <c r="AA347" s="355">
        <v>3705000000</v>
      </c>
      <c r="AB347" s="355">
        <v>2918000000</v>
      </c>
      <c r="AC347" s="355">
        <v>0</v>
      </c>
      <c r="AD347" s="355">
        <v>787000000</v>
      </c>
      <c r="AE347" s="355">
        <v>0</v>
      </c>
      <c r="AF347" s="355">
        <v>0</v>
      </c>
      <c r="AG347" s="355">
        <v>0</v>
      </c>
      <c r="AH347" s="355">
        <v>0</v>
      </c>
      <c r="AI347" s="355">
        <v>1243000000</v>
      </c>
      <c r="AJ347" s="355">
        <v>1243000000</v>
      </c>
      <c r="AK347" s="355">
        <v>0</v>
      </c>
      <c r="AL347" s="355">
        <v>0</v>
      </c>
      <c r="AM347" s="355">
        <v>0</v>
      </c>
      <c r="AN347" s="355">
        <v>0</v>
      </c>
      <c r="AO347" s="355">
        <v>0</v>
      </c>
      <c r="AP347" s="355">
        <v>0</v>
      </c>
      <c r="AQ347" s="355">
        <v>0</v>
      </c>
      <c r="AR347" s="355">
        <v>0</v>
      </c>
      <c r="AS347" s="355">
        <v>0</v>
      </c>
      <c r="AT347" s="333">
        <f t="shared" si="285"/>
        <v>4.1250000000000002E-2</v>
      </c>
      <c r="AU347" s="334">
        <v>100</v>
      </c>
      <c r="AV347" s="387">
        <f t="shared" si="267"/>
        <v>0.25</v>
      </c>
      <c r="AW347" s="677">
        <v>100</v>
      </c>
      <c r="AX347" s="366">
        <f t="shared" si="268"/>
        <v>25</v>
      </c>
      <c r="AY347" s="366">
        <f t="shared" si="269"/>
        <v>100</v>
      </c>
      <c r="AZ347" s="366">
        <f t="shared" si="286"/>
        <v>100</v>
      </c>
      <c r="BA347" s="354">
        <f t="shared" si="287"/>
        <v>4.1250000000000002E-2</v>
      </c>
      <c r="BB347" s="354">
        <f t="shared" si="288"/>
        <v>100</v>
      </c>
      <c r="BC347" s="353">
        <v>440000000</v>
      </c>
      <c r="BD347" s="353">
        <v>0</v>
      </c>
      <c r="BE347" s="353">
        <v>65000000</v>
      </c>
      <c r="BF347" s="353">
        <v>0</v>
      </c>
      <c r="BG347" s="353">
        <v>0</v>
      </c>
      <c r="BH347" s="353">
        <v>0</v>
      </c>
      <c r="BI347" s="353">
        <v>0</v>
      </c>
      <c r="BJ347" s="353">
        <v>375000000</v>
      </c>
      <c r="BK347" s="386">
        <v>1796651041</v>
      </c>
      <c r="BL347" s="351">
        <v>1796651041</v>
      </c>
      <c r="BM347" s="351">
        <v>0</v>
      </c>
      <c r="BN347" s="351">
        <v>0</v>
      </c>
      <c r="BO347" s="351">
        <v>0</v>
      </c>
      <c r="BP347" s="351">
        <v>0</v>
      </c>
      <c r="BQ347" s="351">
        <v>0</v>
      </c>
      <c r="BR347" s="351">
        <v>0</v>
      </c>
      <c r="BS347" s="351">
        <v>0</v>
      </c>
      <c r="BT347" s="351">
        <v>0</v>
      </c>
      <c r="BU347" s="351">
        <v>0</v>
      </c>
      <c r="BV347" s="350">
        <f t="shared" si="289"/>
        <v>4.1250000000000002E-2</v>
      </c>
      <c r="BW347" s="350">
        <v>100</v>
      </c>
      <c r="BX347" s="385">
        <f t="shared" si="270"/>
        <v>0.25</v>
      </c>
      <c r="BY347" s="369">
        <v>0</v>
      </c>
      <c r="BZ347" s="391">
        <v>0</v>
      </c>
      <c r="CA347" s="689">
        <v>100</v>
      </c>
      <c r="CB347" s="324">
        <f t="shared" si="271"/>
        <v>25</v>
      </c>
      <c r="CC347" s="324">
        <f t="shared" si="272"/>
        <v>100</v>
      </c>
      <c r="CD347" s="384">
        <f t="shared" si="290"/>
        <v>100</v>
      </c>
      <c r="CE347" s="383">
        <f t="shared" si="291"/>
        <v>4.1250000000000002E-2</v>
      </c>
      <c r="CF347" s="367">
        <f t="shared" si="292"/>
        <v>100</v>
      </c>
      <c r="CG347" s="383">
        <f t="shared" si="293"/>
        <v>4.1250000000000002E-2</v>
      </c>
      <c r="CH347" s="320">
        <f t="shared" si="294"/>
        <v>4.1250000000000002E-2</v>
      </c>
      <c r="CI347" s="319">
        <v>100</v>
      </c>
      <c r="CJ347" s="318">
        <f t="shared" si="273"/>
        <v>0.25</v>
      </c>
      <c r="CK347" s="1259">
        <v>100</v>
      </c>
      <c r="CL347" s="301">
        <f t="shared" si="274"/>
        <v>0</v>
      </c>
      <c r="CM347" s="381">
        <f t="shared" si="275"/>
        <v>25</v>
      </c>
      <c r="CN347" s="381">
        <f t="shared" si="276"/>
        <v>100</v>
      </c>
      <c r="CO347" s="381">
        <f t="shared" si="295"/>
        <v>100</v>
      </c>
      <c r="CP347" s="381">
        <f t="shared" si="296"/>
        <v>4.1250000000000002E-2</v>
      </c>
      <c r="CQ347" s="381">
        <f t="shared" si="297"/>
        <v>4.1250000000000002E-2</v>
      </c>
      <c r="CR347" s="313">
        <v>525000000</v>
      </c>
      <c r="CS347" s="313">
        <v>150000000</v>
      </c>
      <c r="CT347" s="313">
        <v>0</v>
      </c>
      <c r="CU347" s="313">
        <v>0</v>
      </c>
      <c r="CV347" s="313">
        <v>0</v>
      </c>
      <c r="CW347" s="313">
        <v>0</v>
      </c>
      <c r="CX347" s="313">
        <v>0</v>
      </c>
      <c r="CY347" s="313">
        <v>375000000</v>
      </c>
      <c r="CZ347" s="380">
        <v>0</v>
      </c>
      <c r="DA347" s="380">
        <v>0</v>
      </c>
      <c r="DB347" s="380">
        <v>0</v>
      </c>
      <c r="DC347" s="380">
        <v>0</v>
      </c>
      <c r="DD347" s="380">
        <v>0</v>
      </c>
      <c r="DE347" s="380">
        <v>0</v>
      </c>
      <c r="DF347" s="380">
        <v>0</v>
      </c>
      <c r="DG347" s="380">
        <v>0</v>
      </c>
      <c r="DH347" s="380">
        <v>0</v>
      </c>
      <c r="DI347" s="380">
        <v>0</v>
      </c>
      <c r="DJ347" s="380">
        <v>0</v>
      </c>
      <c r="DK347" s="702">
        <f t="shared" si="277"/>
        <v>100</v>
      </c>
      <c r="DL347" s="311">
        <f t="shared" si="298"/>
        <v>0.16500000000000001</v>
      </c>
      <c r="DM347" s="310">
        <f t="shared" si="299"/>
        <v>100</v>
      </c>
      <c r="DN347" s="356">
        <f t="shared" si="300"/>
        <v>100</v>
      </c>
      <c r="DO347" s="308">
        <f t="shared" si="301"/>
        <v>0.16500000000000001</v>
      </c>
      <c r="DP347" s="359">
        <f>+IF(M347="M",DO347,0)</f>
        <v>0.16500000000000001</v>
      </c>
      <c r="DQ347" s="306">
        <f t="shared" si="302"/>
        <v>0.16500000000000001</v>
      </c>
      <c r="DR347" s="379">
        <f t="shared" si="303"/>
        <v>1</v>
      </c>
      <c r="DS347" s="378">
        <f t="shared" si="304"/>
        <v>0</v>
      </c>
      <c r="DT347" s="173">
        <v>397</v>
      </c>
      <c r="DU347" s="174" t="s">
        <v>107</v>
      </c>
      <c r="DV347" s="173"/>
      <c r="DW347" s="174" t="s">
        <v>84</v>
      </c>
      <c r="DX347" s="173"/>
      <c r="DY347" s="173"/>
      <c r="DZ347" s="173"/>
      <c r="EA347" s="665"/>
      <c r="EB347" s="1254" t="s">
        <v>2120</v>
      </c>
      <c r="EC347" s="667">
        <v>0</v>
      </c>
      <c r="ED347" s="303"/>
      <c r="EE347" s="736">
        <v>0</v>
      </c>
      <c r="EF347" s="706"/>
    </row>
    <row r="348" spans="4:136" s="302" customFormat="1" ht="165.75" hidden="1">
      <c r="D348" s="520">
        <v>345</v>
      </c>
      <c r="E348" s="534">
        <v>405</v>
      </c>
      <c r="F348" s="479" t="s">
        <v>44</v>
      </c>
      <c r="G348" s="479" t="s">
        <v>10</v>
      </c>
      <c r="H348" s="479" t="s">
        <v>2667</v>
      </c>
      <c r="I348" s="435" t="s">
        <v>845</v>
      </c>
      <c r="J348" s="335" t="s">
        <v>855</v>
      </c>
      <c r="K348" s="335" t="s">
        <v>856</v>
      </c>
      <c r="L348" s="443" t="s">
        <v>1767</v>
      </c>
      <c r="M348" s="334" t="s">
        <v>1771</v>
      </c>
      <c r="N348" s="334">
        <v>12</v>
      </c>
      <c r="O348" s="333">
        <f>+N348+P348</f>
        <v>52</v>
      </c>
      <c r="P348" s="332">
        <v>40</v>
      </c>
      <c r="Q348" s="390">
        <v>0.16500000000000001</v>
      </c>
      <c r="R348" s="342">
        <f t="shared" si="282"/>
        <v>1.6500000000000001E-2</v>
      </c>
      <c r="S348" s="389">
        <v>4</v>
      </c>
      <c r="T348" s="387">
        <f t="shared" si="264"/>
        <v>0.1</v>
      </c>
      <c r="U348" s="670">
        <v>4</v>
      </c>
      <c r="V348" s="388">
        <f t="shared" si="265"/>
        <v>4</v>
      </c>
      <c r="W348" s="356">
        <f t="shared" si="266"/>
        <v>100</v>
      </c>
      <c r="X348" s="356">
        <f t="shared" si="283"/>
        <v>100</v>
      </c>
      <c r="Y348" s="356">
        <f t="shared" si="307"/>
        <v>1.6500000000000001E-2</v>
      </c>
      <c r="Z348" s="356">
        <f t="shared" si="284"/>
        <v>100</v>
      </c>
      <c r="AA348" s="355">
        <v>40000000</v>
      </c>
      <c r="AB348" s="355">
        <v>40000000</v>
      </c>
      <c r="AC348" s="355">
        <v>0</v>
      </c>
      <c r="AD348" s="355">
        <v>0</v>
      </c>
      <c r="AE348" s="355">
        <v>0</v>
      </c>
      <c r="AF348" s="355">
        <v>0</v>
      </c>
      <c r="AG348" s="355">
        <v>0</v>
      </c>
      <c r="AH348" s="355">
        <v>0</v>
      </c>
      <c r="AI348" s="355">
        <v>37000000</v>
      </c>
      <c r="AJ348" s="355">
        <v>37000000</v>
      </c>
      <c r="AK348" s="355">
        <v>0</v>
      </c>
      <c r="AL348" s="355">
        <v>0</v>
      </c>
      <c r="AM348" s="355">
        <v>0</v>
      </c>
      <c r="AN348" s="355">
        <v>0</v>
      </c>
      <c r="AO348" s="355">
        <v>0</v>
      </c>
      <c r="AP348" s="355">
        <v>0</v>
      </c>
      <c r="AQ348" s="355">
        <v>0</v>
      </c>
      <c r="AR348" s="355">
        <v>0</v>
      </c>
      <c r="AS348" s="355">
        <v>0</v>
      </c>
      <c r="AT348" s="333">
        <f t="shared" si="285"/>
        <v>4.1250000000000002E-2</v>
      </c>
      <c r="AU348" s="334">
        <v>10</v>
      </c>
      <c r="AV348" s="387">
        <f t="shared" si="267"/>
        <v>0.25</v>
      </c>
      <c r="AW348" s="677">
        <v>7</v>
      </c>
      <c r="AX348" s="366">
        <f t="shared" si="268"/>
        <v>7</v>
      </c>
      <c r="AY348" s="366">
        <f t="shared" si="269"/>
        <v>70</v>
      </c>
      <c r="AZ348" s="366">
        <f t="shared" si="286"/>
        <v>70</v>
      </c>
      <c r="BA348" s="354">
        <f t="shared" si="287"/>
        <v>2.8875000000000001E-2</v>
      </c>
      <c r="BB348" s="354">
        <f t="shared" si="288"/>
        <v>70</v>
      </c>
      <c r="BC348" s="353">
        <v>14000000</v>
      </c>
      <c r="BD348" s="353">
        <v>0</v>
      </c>
      <c r="BE348" s="353">
        <v>14000000</v>
      </c>
      <c r="BF348" s="353">
        <v>0</v>
      </c>
      <c r="BG348" s="353">
        <v>0</v>
      </c>
      <c r="BH348" s="353">
        <v>0</v>
      </c>
      <c r="BI348" s="353">
        <v>0</v>
      </c>
      <c r="BJ348" s="353">
        <v>0</v>
      </c>
      <c r="BK348" s="386">
        <v>0</v>
      </c>
      <c r="BL348" s="351">
        <v>0</v>
      </c>
      <c r="BM348" s="351">
        <v>0</v>
      </c>
      <c r="BN348" s="351">
        <v>0</v>
      </c>
      <c r="BO348" s="351">
        <v>0</v>
      </c>
      <c r="BP348" s="351">
        <v>0</v>
      </c>
      <c r="BQ348" s="351">
        <v>0</v>
      </c>
      <c r="BR348" s="351">
        <v>0</v>
      </c>
      <c r="BS348" s="351">
        <v>0</v>
      </c>
      <c r="BT348" s="351">
        <v>0</v>
      </c>
      <c r="BU348" s="351">
        <v>0</v>
      </c>
      <c r="BV348" s="350">
        <f t="shared" si="289"/>
        <v>4.5375000000000006E-2</v>
      </c>
      <c r="BW348" s="350">
        <v>11</v>
      </c>
      <c r="BX348" s="385">
        <f t="shared" si="270"/>
        <v>0.27500000000000002</v>
      </c>
      <c r="BY348" s="369">
        <v>4</v>
      </c>
      <c r="BZ348" s="391">
        <v>4</v>
      </c>
      <c r="CA348" s="689">
        <v>13</v>
      </c>
      <c r="CB348" s="324">
        <f t="shared" si="271"/>
        <v>13</v>
      </c>
      <c r="CC348" s="324">
        <f t="shared" si="272"/>
        <v>118.18181818181819</v>
      </c>
      <c r="CD348" s="384">
        <f t="shared" si="290"/>
        <v>100</v>
      </c>
      <c r="CE348" s="383">
        <f t="shared" si="291"/>
        <v>4.5375000000000006E-2</v>
      </c>
      <c r="CF348" s="367">
        <f t="shared" si="292"/>
        <v>100</v>
      </c>
      <c r="CG348" s="383">
        <f t="shared" si="293"/>
        <v>5.3625000000000006E-2</v>
      </c>
      <c r="CH348" s="320">
        <f t="shared" si="294"/>
        <v>6.1874999999999999E-2</v>
      </c>
      <c r="CI348" s="319">
        <v>15</v>
      </c>
      <c r="CJ348" s="318">
        <f t="shared" si="273"/>
        <v>0.375</v>
      </c>
      <c r="CK348" s="1259">
        <v>21</v>
      </c>
      <c r="CL348" s="301">
        <f t="shared" si="274"/>
        <v>-6</v>
      </c>
      <c r="CM348" s="381">
        <f t="shared" si="275"/>
        <v>21</v>
      </c>
      <c r="CN348" s="381">
        <f t="shared" si="276"/>
        <v>140</v>
      </c>
      <c r="CO348" s="316">
        <f t="shared" si="295"/>
        <v>100</v>
      </c>
      <c r="CP348" s="381">
        <f t="shared" si="296"/>
        <v>6.1874999999999999E-2</v>
      </c>
      <c r="CQ348" s="381">
        <f t="shared" si="297"/>
        <v>8.6624999999999994E-2</v>
      </c>
      <c r="CR348" s="313">
        <v>31000000</v>
      </c>
      <c r="CS348" s="313">
        <v>31000000</v>
      </c>
      <c r="CT348" s="313">
        <v>0</v>
      </c>
      <c r="CU348" s="313">
        <v>0</v>
      </c>
      <c r="CV348" s="313">
        <v>0</v>
      </c>
      <c r="CW348" s="313">
        <v>0</v>
      </c>
      <c r="CX348" s="313">
        <v>0</v>
      </c>
      <c r="CY348" s="313">
        <v>0</v>
      </c>
      <c r="CZ348" s="380">
        <v>0</v>
      </c>
      <c r="DA348" s="380">
        <v>0</v>
      </c>
      <c r="DB348" s="380">
        <v>0</v>
      </c>
      <c r="DC348" s="380">
        <v>0</v>
      </c>
      <c r="DD348" s="380">
        <v>0</v>
      </c>
      <c r="DE348" s="380">
        <v>0</v>
      </c>
      <c r="DF348" s="380">
        <v>0</v>
      </c>
      <c r="DG348" s="380">
        <v>0</v>
      </c>
      <c r="DH348" s="380">
        <v>0</v>
      </c>
      <c r="DI348" s="380">
        <v>0</v>
      </c>
      <c r="DJ348" s="380">
        <v>0</v>
      </c>
      <c r="DK348" s="702">
        <f t="shared" si="277"/>
        <v>45</v>
      </c>
      <c r="DL348" s="311">
        <f t="shared" si="298"/>
        <v>0.16500000000000001</v>
      </c>
      <c r="DM348" s="310">
        <f t="shared" si="299"/>
        <v>112.5</v>
      </c>
      <c r="DN348" s="356">
        <f t="shared" si="300"/>
        <v>100</v>
      </c>
      <c r="DO348" s="308">
        <f t="shared" si="301"/>
        <v>0.16500000000000001</v>
      </c>
      <c r="DP348" s="359">
        <f>+IF(((DN348*Q348)/100)&lt;Q348, ((DN348*Q348)/100),Q348)</f>
        <v>0.16500000000000001</v>
      </c>
      <c r="DQ348" s="306">
        <f t="shared" si="302"/>
        <v>0.16500000000000001</v>
      </c>
      <c r="DR348" s="379">
        <f t="shared" si="303"/>
        <v>1</v>
      </c>
      <c r="DS348" s="378">
        <f t="shared" si="304"/>
        <v>0</v>
      </c>
      <c r="DT348" s="173">
        <v>397</v>
      </c>
      <c r="DU348" s="174" t="s">
        <v>107</v>
      </c>
      <c r="DV348" s="173"/>
      <c r="DW348" s="174" t="s">
        <v>84</v>
      </c>
      <c r="DX348" s="173"/>
      <c r="DY348" s="173"/>
      <c r="DZ348" s="173"/>
      <c r="EA348" s="665"/>
      <c r="EB348" s="1254" t="s">
        <v>2352</v>
      </c>
      <c r="EC348" s="537">
        <v>0</v>
      </c>
      <c r="EE348" s="745">
        <v>80</v>
      </c>
      <c r="EF348" s="706"/>
    </row>
    <row r="349" spans="4:136" s="302" customFormat="1" ht="38.25" hidden="1">
      <c r="D349" s="520">
        <v>346</v>
      </c>
      <c r="E349" s="534">
        <v>406</v>
      </c>
      <c r="F349" s="479" t="s">
        <v>44</v>
      </c>
      <c r="G349" s="479" t="s">
        <v>10</v>
      </c>
      <c r="H349" s="479" t="s">
        <v>2667</v>
      </c>
      <c r="I349" s="435" t="s">
        <v>845</v>
      </c>
      <c r="J349" s="335" t="s">
        <v>857</v>
      </c>
      <c r="K349" s="335" t="s">
        <v>858</v>
      </c>
      <c r="L349" s="443" t="s">
        <v>1894</v>
      </c>
      <c r="M349" s="334" t="s">
        <v>1785</v>
      </c>
      <c r="N349" s="334">
        <v>100</v>
      </c>
      <c r="O349" s="333">
        <f>+P349</f>
        <v>100</v>
      </c>
      <c r="P349" s="332">
        <v>100</v>
      </c>
      <c r="Q349" s="390">
        <v>0.16500000000000001</v>
      </c>
      <c r="R349" s="342">
        <f t="shared" si="282"/>
        <v>4.1250000000000002E-2</v>
      </c>
      <c r="S349" s="389">
        <v>100</v>
      </c>
      <c r="T349" s="387">
        <f t="shared" si="264"/>
        <v>0.25</v>
      </c>
      <c r="U349" s="670">
        <v>100</v>
      </c>
      <c r="V349" s="388">
        <f t="shared" si="265"/>
        <v>25</v>
      </c>
      <c r="W349" s="356">
        <f t="shared" si="266"/>
        <v>100</v>
      </c>
      <c r="X349" s="356">
        <f t="shared" si="283"/>
        <v>100</v>
      </c>
      <c r="Y349" s="356">
        <f t="shared" si="307"/>
        <v>4.1250000000000002E-2</v>
      </c>
      <c r="Z349" s="356">
        <f t="shared" si="284"/>
        <v>100</v>
      </c>
      <c r="AA349" s="355">
        <v>462000000</v>
      </c>
      <c r="AB349" s="355">
        <v>442000000</v>
      </c>
      <c r="AC349" s="355">
        <v>0</v>
      </c>
      <c r="AD349" s="355">
        <v>20000000</v>
      </c>
      <c r="AE349" s="355">
        <v>0</v>
      </c>
      <c r="AF349" s="355">
        <v>0</v>
      </c>
      <c r="AG349" s="355">
        <v>0</v>
      </c>
      <c r="AH349" s="355">
        <v>0</v>
      </c>
      <c r="AI349" s="355">
        <v>359965000</v>
      </c>
      <c r="AJ349" s="355">
        <v>359965000</v>
      </c>
      <c r="AK349" s="355">
        <v>0</v>
      </c>
      <c r="AL349" s="355">
        <v>0</v>
      </c>
      <c r="AM349" s="355">
        <v>0</v>
      </c>
      <c r="AN349" s="355">
        <v>0</v>
      </c>
      <c r="AO349" s="355">
        <v>0</v>
      </c>
      <c r="AP349" s="355">
        <v>0</v>
      </c>
      <c r="AQ349" s="355">
        <v>0</v>
      </c>
      <c r="AR349" s="355">
        <v>0</v>
      </c>
      <c r="AS349" s="355">
        <v>0</v>
      </c>
      <c r="AT349" s="333">
        <f t="shared" si="285"/>
        <v>4.1250000000000002E-2</v>
      </c>
      <c r="AU349" s="334">
        <v>100</v>
      </c>
      <c r="AV349" s="387">
        <f t="shared" si="267"/>
        <v>0.25</v>
      </c>
      <c r="AW349" s="677">
        <v>100</v>
      </c>
      <c r="AX349" s="366">
        <f t="shared" si="268"/>
        <v>25</v>
      </c>
      <c r="AY349" s="366">
        <f t="shared" si="269"/>
        <v>100</v>
      </c>
      <c r="AZ349" s="366">
        <f t="shared" si="286"/>
        <v>100</v>
      </c>
      <c r="BA349" s="354">
        <f t="shared" si="287"/>
        <v>4.1250000000000002E-2</v>
      </c>
      <c r="BB349" s="354">
        <f t="shared" si="288"/>
        <v>100</v>
      </c>
      <c r="BC349" s="353">
        <v>591000000</v>
      </c>
      <c r="BD349" s="353">
        <v>0</v>
      </c>
      <c r="BE349" s="353">
        <v>591000000</v>
      </c>
      <c r="BF349" s="353">
        <v>0</v>
      </c>
      <c r="BG349" s="353">
        <v>0</v>
      </c>
      <c r="BH349" s="353">
        <v>0</v>
      </c>
      <c r="BI349" s="353">
        <v>0</v>
      </c>
      <c r="BJ349" s="353">
        <v>0</v>
      </c>
      <c r="BK349" s="386">
        <v>234233807</v>
      </c>
      <c r="BL349" s="351">
        <v>234233807</v>
      </c>
      <c r="BM349" s="351">
        <v>0</v>
      </c>
      <c r="BN349" s="351">
        <v>0</v>
      </c>
      <c r="BO349" s="351">
        <v>0</v>
      </c>
      <c r="BP349" s="351">
        <v>0</v>
      </c>
      <c r="BQ349" s="351">
        <v>0</v>
      </c>
      <c r="BR349" s="351">
        <v>0</v>
      </c>
      <c r="BS349" s="351">
        <v>0</v>
      </c>
      <c r="BT349" s="351">
        <v>0</v>
      </c>
      <c r="BU349" s="351">
        <v>0</v>
      </c>
      <c r="BV349" s="350">
        <f t="shared" si="289"/>
        <v>4.1250000000000002E-2</v>
      </c>
      <c r="BW349" s="350">
        <v>100</v>
      </c>
      <c r="BX349" s="385">
        <f t="shared" si="270"/>
        <v>0.25</v>
      </c>
      <c r="BY349" s="369">
        <v>100</v>
      </c>
      <c r="BZ349" s="391">
        <v>100</v>
      </c>
      <c r="CA349" s="689">
        <v>100</v>
      </c>
      <c r="CB349" s="324">
        <f t="shared" si="271"/>
        <v>25</v>
      </c>
      <c r="CC349" s="324">
        <f t="shared" si="272"/>
        <v>100</v>
      </c>
      <c r="CD349" s="384">
        <f t="shared" si="290"/>
        <v>100</v>
      </c>
      <c r="CE349" s="383">
        <f t="shared" si="291"/>
        <v>4.1250000000000002E-2</v>
      </c>
      <c r="CF349" s="367">
        <f t="shared" si="292"/>
        <v>100</v>
      </c>
      <c r="CG349" s="383">
        <f t="shared" si="293"/>
        <v>4.1250000000000002E-2</v>
      </c>
      <c r="CH349" s="320">
        <f t="shared" si="294"/>
        <v>4.1250000000000002E-2</v>
      </c>
      <c r="CI349" s="319">
        <v>100</v>
      </c>
      <c r="CJ349" s="318">
        <f t="shared" si="273"/>
        <v>0.25</v>
      </c>
      <c r="CK349" s="1259">
        <v>100</v>
      </c>
      <c r="CL349" s="301">
        <f t="shared" si="274"/>
        <v>0</v>
      </c>
      <c r="CM349" s="381">
        <f t="shared" si="275"/>
        <v>25</v>
      </c>
      <c r="CN349" s="381">
        <f t="shared" si="276"/>
        <v>100</v>
      </c>
      <c r="CO349" s="381">
        <f t="shared" si="295"/>
        <v>100</v>
      </c>
      <c r="CP349" s="381">
        <f t="shared" si="296"/>
        <v>4.1250000000000002E-2</v>
      </c>
      <c r="CQ349" s="381">
        <f t="shared" si="297"/>
        <v>4.1250000000000002E-2</v>
      </c>
      <c r="CR349" s="313">
        <v>665000000</v>
      </c>
      <c r="CS349" s="313">
        <v>665000000</v>
      </c>
      <c r="CT349" s="313">
        <v>0</v>
      </c>
      <c r="CU349" s="313">
        <v>0</v>
      </c>
      <c r="CV349" s="313">
        <v>0</v>
      </c>
      <c r="CW349" s="313">
        <v>0</v>
      </c>
      <c r="CX349" s="313">
        <v>0</v>
      </c>
      <c r="CY349" s="313">
        <v>0</v>
      </c>
      <c r="CZ349" s="380">
        <v>0</v>
      </c>
      <c r="DA349" s="380">
        <v>0</v>
      </c>
      <c r="DB349" s="380">
        <v>0</v>
      </c>
      <c r="DC349" s="380">
        <v>0</v>
      </c>
      <c r="DD349" s="380">
        <v>0</v>
      </c>
      <c r="DE349" s="380">
        <v>0</v>
      </c>
      <c r="DF349" s="380">
        <v>0</v>
      </c>
      <c r="DG349" s="380">
        <v>0</v>
      </c>
      <c r="DH349" s="380">
        <v>0</v>
      </c>
      <c r="DI349" s="380">
        <v>0</v>
      </c>
      <c r="DJ349" s="380">
        <v>0</v>
      </c>
      <c r="DK349" s="702">
        <f t="shared" si="277"/>
        <v>100</v>
      </c>
      <c r="DL349" s="311">
        <f t="shared" si="298"/>
        <v>0.16500000000000001</v>
      </c>
      <c r="DM349" s="310">
        <f t="shared" si="299"/>
        <v>100</v>
      </c>
      <c r="DN349" s="356">
        <f t="shared" si="300"/>
        <v>100</v>
      </c>
      <c r="DO349" s="308">
        <f t="shared" si="301"/>
        <v>0.16500000000000001</v>
      </c>
      <c r="DP349" s="359">
        <f>+IF(M349="M",DO349,0)</f>
        <v>0.16500000000000001</v>
      </c>
      <c r="DQ349" s="306">
        <f t="shared" si="302"/>
        <v>0.16500000000000001</v>
      </c>
      <c r="DR349" s="379">
        <f t="shared" si="303"/>
        <v>1</v>
      </c>
      <c r="DS349" s="378">
        <f t="shared" si="304"/>
        <v>0</v>
      </c>
      <c r="DT349" s="173">
        <v>397</v>
      </c>
      <c r="DU349" s="174" t="s">
        <v>107</v>
      </c>
      <c r="DV349" s="173"/>
      <c r="DW349" s="174" t="s">
        <v>84</v>
      </c>
      <c r="DX349" s="173"/>
      <c r="DY349" s="173"/>
      <c r="DZ349" s="173"/>
      <c r="EA349" s="665"/>
      <c r="EB349" s="1254" t="s">
        <v>2267</v>
      </c>
      <c r="EC349" s="537">
        <v>0</v>
      </c>
      <c r="EE349" s="745">
        <v>50</v>
      </c>
      <c r="EF349" s="706"/>
    </row>
    <row r="350" spans="4:136" s="302" customFormat="1" ht="63.75" hidden="1">
      <c r="D350" s="520">
        <v>347</v>
      </c>
      <c r="E350" s="534">
        <v>407</v>
      </c>
      <c r="F350" s="336" t="s">
        <v>44</v>
      </c>
      <c r="G350" s="336" t="s">
        <v>10</v>
      </c>
      <c r="H350" s="336" t="s">
        <v>2667</v>
      </c>
      <c r="I350" s="336" t="s">
        <v>845</v>
      </c>
      <c r="J350" s="335" t="s">
        <v>1290</v>
      </c>
      <c r="K350" s="335" t="s">
        <v>859</v>
      </c>
      <c r="L350" s="443" t="s">
        <v>1893</v>
      </c>
      <c r="M350" s="334" t="s">
        <v>1771</v>
      </c>
      <c r="N350" s="334">
        <v>96</v>
      </c>
      <c r="O350" s="333">
        <f t="shared" ref="O350:O373" si="308">+N350+P350</f>
        <v>216</v>
      </c>
      <c r="P350" s="332">
        <v>120</v>
      </c>
      <c r="Q350" s="393">
        <v>0.16500000000000001</v>
      </c>
      <c r="R350" s="419">
        <f t="shared" si="282"/>
        <v>0</v>
      </c>
      <c r="S350" s="389">
        <v>0</v>
      </c>
      <c r="T350" s="387">
        <f t="shared" si="264"/>
        <v>0</v>
      </c>
      <c r="U350" s="670">
        <v>1</v>
      </c>
      <c r="V350" s="388">
        <f t="shared" si="265"/>
        <v>1</v>
      </c>
      <c r="W350" s="356">
        <f t="shared" si="266"/>
        <v>0</v>
      </c>
      <c r="X350" s="356">
        <f t="shared" si="283"/>
        <v>0</v>
      </c>
      <c r="Y350" s="356">
        <f t="shared" si="307"/>
        <v>0</v>
      </c>
      <c r="Z350" s="356">
        <f t="shared" si="284"/>
        <v>100</v>
      </c>
      <c r="AA350" s="355">
        <v>1000000000</v>
      </c>
      <c r="AB350" s="355">
        <v>1000000000</v>
      </c>
      <c r="AC350" s="355">
        <v>0</v>
      </c>
      <c r="AD350" s="355">
        <v>0</v>
      </c>
      <c r="AE350" s="355">
        <v>0</v>
      </c>
      <c r="AF350" s="355">
        <v>0</v>
      </c>
      <c r="AG350" s="355">
        <v>0</v>
      </c>
      <c r="AH350" s="355">
        <v>0</v>
      </c>
      <c r="AI350" s="355">
        <v>0</v>
      </c>
      <c r="AJ350" s="355">
        <v>0</v>
      </c>
      <c r="AK350" s="355">
        <v>0</v>
      </c>
      <c r="AL350" s="355">
        <v>0</v>
      </c>
      <c r="AM350" s="355">
        <v>0</v>
      </c>
      <c r="AN350" s="355">
        <v>0</v>
      </c>
      <c r="AO350" s="355">
        <v>0</v>
      </c>
      <c r="AP350" s="355">
        <v>0</v>
      </c>
      <c r="AQ350" s="355">
        <v>0</v>
      </c>
      <c r="AR350" s="355">
        <v>0</v>
      </c>
      <c r="AS350" s="355">
        <v>0</v>
      </c>
      <c r="AT350" s="392">
        <f t="shared" si="285"/>
        <v>7.5624999999999998E-2</v>
      </c>
      <c r="AU350" s="334">
        <v>55</v>
      </c>
      <c r="AV350" s="387">
        <f t="shared" si="267"/>
        <v>0.45833333333333331</v>
      </c>
      <c r="AW350" s="677">
        <v>55</v>
      </c>
      <c r="AX350" s="366">
        <f t="shared" si="268"/>
        <v>55</v>
      </c>
      <c r="AY350" s="366">
        <f t="shared" si="269"/>
        <v>100</v>
      </c>
      <c r="AZ350" s="366">
        <f t="shared" si="286"/>
        <v>100</v>
      </c>
      <c r="BA350" s="354">
        <f t="shared" si="287"/>
        <v>7.5624999999999998E-2</v>
      </c>
      <c r="BB350" s="354">
        <f t="shared" si="288"/>
        <v>100</v>
      </c>
      <c r="BC350" s="353">
        <v>850000000</v>
      </c>
      <c r="BD350" s="353">
        <v>0</v>
      </c>
      <c r="BE350" s="353">
        <v>850000000</v>
      </c>
      <c r="BF350" s="353">
        <v>0</v>
      </c>
      <c r="BG350" s="353">
        <v>0</v>
      </c>
      <c r="BH350" s="353">
        <v>0</v>
      </c>
      <c r="BI350" s="353">
        <v>0</v>
      </c>
      <c r="BJ350" s="353">
        <v>0</v>
      </c>
      <c r="BK350" s="386">
        <v>2928567520</v>
      </c>
      <c r="BL350" s="351">
        <v>2168567520</v>
      </c>
      <c r="BM350" s="351">
        <v>0</v>
      </c>
      <c r="BN350" s="351">
        <v>760000000</v>
      </c>
      <c r="BO350" s="351">
        <v>0</v>
      </c>
      <c r="BP350" s="351">
        <v>0</v>
      </c>
      <c r="BQ350" s="351">
        <v>0</v>
      </c>
      <c r="BR350" s="351">
        <v>0</v>
      </c>
      <c r="BS350" s="351">
        <v>0</v>
      </c>
      <c r="BT350" s="351">
        <v>0</v>
      </c>
      <c r="BU350" s="351">
        <v>0</v>
      </c>
      <c r="BV350" s="350">
        <f t="shared" si="289"/>
        <v>6.0499999999999998E-2</v>
      </c>
      <c r="BW350" s="350">
        <v>44</v>
      </c>
      <c r="BX350" s="385">
        <f t="shared" si="270"/>
        <v>0.36666666666666664</v>
      </c>
      <c r="BY350" s="369">
        <v>0</v>
      </c>
      <c r="BZ350" s="391">
        <v>0</v>
      </c>
      <c r="CA350" s="689">
        <v>46</v>
      </c>
      <c r="CB350" s="324">
        <f t="shared" si="271"/>
        <v>46</v>
      </c>
      <c r="CC350" s="324">
        <f t="shared" si="272"/>
        <v>104.54545454545455</v>
      </c>
      <c r="CD350" s="384">
        <f t="shared" si="290"/>
        <v>100</v>
      </c>
      <c r="CE350" s="383">
        <f t="shared" si="291"/>
        <v>6.0499999999999998E-2</v>
      </c>
      <c r="CF350" s="367">
        <f t="shared" si="292"/>
        <v>100</v>
      </c>
      <c r="CG350" s="383">
        <f t="shared" si="293"/>
        <v>6.3250000000000001E-2</v>
      </c>
      <c r="CH350" s="320">
        <f t="shared" si="294"/>
        <v>2.8874999999999998E-2</v>
      </c>
      <c r="CI350" s="319">
        <v>21</v>
      </c>
      <c r="CJ350" s="318">
        <f t="shared" si="273"/>
        <v>0.17499999999999999</v>
      </c>
      <c r="CK350" s="1259">
        <v>17</v>
      </c>
      <c r="CL350" s="301">
        <f t="shared" si="274"/>
        <v>4</v>
      </c>
      <c r="CM350" s="381">
        <f t="shared" si="275"/>
        <v>17</v>
      </c>
      <c r="CN350" s="381">
        <f t="shared" si="276"/>
        <v>80.952380952380949</v>
      </c>
      <c r="CO350" s="316">
        <f t="shared" si="295"/>
        <v>80.952380952380949</v>
      </c>
      <c r="CP350" s="381">
        <f t="shared" si="296"/>
        <v>2.3375E-2</v>
      </c>
      <c r="CQ350" s="381">
        <f t="shared" si="297"/>
        <v>2.3375E-2</v>
      </c>
      <c r="CR350" s="313">
        <v>0</v>
      </c>
      <c r="CS350" s="313">
        <v>0</v>
      </c>
      <c r="CT350" s="313">
        <v>0</v>
      </c>
      <c r="CU350" s="313">
        <v>0</v>
      </c>
      <c r="CV350" s="313">
        <v>0</v>
      </c>
      <c r="CW350" s="313">
        <v>0</v>
      </c>
      <c r="CX350" s="313">
        <v>0</v>
      </c>
      <c r="CY350" s="313">
        <v>0</v>
      </c>
      <c r="CZ350" s="380">
        <v>0</v>
      </c>
      <c r="DA350" s="380">
        <v>0</v>
      </c>
      <c r="DB350" s="380">
        <v>0</v>
      </c>
      <c r="DC350" s="380">
        <v>0</v>
      </c>
      <c r="DD350" s="380">
        <v>0</v>
      </c>
      <c r="DE350" s="380">
        <v>0</v>
      </c>
      <c r="DF350" s="380">
        <v>0</v>
      </c>
      <c r="DG350" s="380">
        <v>0</v>
      </c>
      <c r="DH350" s="380">
        <v>0</v>
      </c>
      <c r="DI350" s="380">
        <v>0</v>
      </c>
      <c r="DJ350" s="380">
        <v>0</v>
      </c>
      <c r="DK350" s="702">
        <f t="shared" si="277"/>
        <v>119</v>
      </c>
      <c r="DL350" s="311">
        <f t="shared" si="298"/>
        <v>0.16499999999999998</v>
      </c>
      <c r="DM350" s="310">
        <f t="shared" si="299"/>
        <v>99.166666666666671</v>
      </c>
      <c r="DN350" s="356">
        <f t="shared" si="300"/>
        <v>99.166666666666671</v>
      </c>
      <c r="DO350" s="308">
        <f t="shared" si="301"/>
        <v>0.16362500000000002</v>
      </c>
      <c r="DP350" s="359">
        <f t="shared" ref="DP350:DP373" si="309">+IF(((DN350*Q350)/100)&lt;Q350, ((DN350*Q350)/100),Q350)</f>
        <v>0.16362500000000002</v>
      </c>
      <c r="DQ350" s="306">
        <f t="shared" si="302"/>
        <v>0.16362500000000002</v>
      </c>
      <c r="DR350" s="379">
        <f t="shared" si="303"/>
        <v>1</v>
      </c>
      <c r="DS350" s="378">
        <f t="shared" si="304"/>
        <v>0</v>
      </c>
      <c r="DT350" s="173">
        <v>397</v>
      </c>
      <c r="DU350" s="174" t="s">
        <v>107</v>
      </c>
      <c r="DV350" s="173"/>
      <c r="DW350" s="174" t="s">
        <v>84</v>
      </c>
      <c r="DX350" s="173"/>
      <c r="DY350" s="173"/>
      <c r="DZ350" s="173"/>
      <c r="EA350" s="665"/>
      <c r="EB350" s="1254" t="s">
        <v>2268</v>
      </c>
      <c r="EC350" s="537">
        <v>195000000</v>
      </c>
      <c r="EE350" s="734">
        <v>1</v>
      </c>
      <c r="EF350" s="706"/>
    </row>
    <row r="351" spans="4:136" s="302" customFormat="1" ht="51" hidden="1">
      <c r="D351" s="520">
        <v>348</v>
      </c>
      <c r="E351" s="534">
        <v>408</v>
      </c>
      <c r="F351" s="479" t="s">
        <v>44</v>
      </c>
      <c r="G351" s="479" t="s">
        <v>1892</v>
      </c>
      <c r="H351" s="479" t="s">
        <v>2667</v>
      </c>
      <c r="I351" s="435" t="s">
        <v>845</v>
      </c>
      <c r="J351" s="335" t="s">
        <v>860</v>
      </c>
      <c r="K351" s="335" t="s">
        <v>861</v>
      </c>
      <c r="L351" s="443" t="s">
        <v>1793</v>
      </c>
      <c r="M351" s="334" t="s">
        <v>1771</v>
      </c>
      <c r="N351" s="334">
        <v>0</v>
      </c>
      <c r="O351" s="333">
        <f t="shared" si="308"/>
        <v>35</v>
      </c>
      <c r="P351" s="332">
        <v>35</v>
      </c>
      <c r="Q351" s="390">
        <v>0.16500000000000001</v>
      </c>
      <c r="R351" s="342">
        <f t="shared" si="282"/>
        <v>0</v>
      </c>
      <c r="S351" s="389">
        <v>0</v>
      </c>
      <c r="T351" s="387">
        <f t="shared" si="264"/>
        <v>0</v>
      </c>
      <c r="U351" s="670">
        <v>0</v>
      </c>
      <c r="V351" s="388">
        <f t="shared" si="265"/>
        <v>0</v>
      </c>
      <c r="W351" s="356">
        <f t="shared" si="266"/>
        <v>0</v>
      </c>
      <c r="X351" s="356">
        <f t="shared" si="283"/>
        <v>0</v>
      </c>
      <c r="Y351" s="356">
        <f t="shared" si="307"/>
        <v>0</v>
      </c>
      <c r="Z351" s="356">
        <f t="shared" si="284"/>
        <v>0</v>
      </c>
      <c r="AA351" s="355">
        <v>0</v>
      </c>
      <c r="AB351" s="355">
        <v>0</v>
      </c>
      <c r="AC351" s="355">
        <v>0</v>
      </c>
      <c r="AD351" s="355">
        <v>0</v>
      </c>
      <c r="AE351" s="355">
        <v>0</v>
      </c>
      <c r="AF351" s="355">
        <v>0</v>
      </c>
      <c r="AG351" s="355">
        <v>0</v>
      </c>
      <c r="AH351" s="355">
        <v>0</v>
      </c>
      <c r="AI351" s="355">
        <v>0</v>
      </c>
      <c r="AJ351" s="355">
        <v>0</v>
      </c>
      <c r="AK351" s="355">
        <v>0</v>
      </c>
      <c r="AL351" s="355">
        <v>0</v>
      </c>
      <c r="AM351" s="355">
        <v>0</v>
      </c>
      <c r="AN351" s="355">
        <v>0</v>
      </c>
      <c r="AO351" s="355">
        <v>0</v>
      </c>
      <c r="AP351" s="355">
        <v>0</v>
      </c>
      <c r="AQ351" s="355">
        <v>0</v>
      </c>
      <c r="AR351" s="355">
        <v>0</v>
      </c>
      <c r="AS351" s="355">
        <v>0</v>
      </c>
      <c r="AT351" s="333">
        <f t="shared" si="285"/>
        <v>2.357142857142857E-2</v>
      </c>
      <c r="AU351" s="334">
        <v>5</v>
      </c>
      <c r="AV351" s="387">
        <f t="shared" si="267"/>
        <v>0.14285714285714285</v>
      </c>
      <c r="AW351" s="677">
        <v>63</v>
      </c>
      <c r="AX351" s="366">
        <f t="shared" si="268"/>
        <v>63</v>
      </c>
      <c r="AY351" s="366">
        <f t="shared" si="269"/>
        <v>1260</v>
      </c>
      <c r="AZ351" s="366">
        <f t="shared" si="286"/>
        <v>100</v>
      </c>
      <c r="BA351" s="354">
        <f t="shared" si="287"/>
        <v>2.3571428571428566E-2</v>
      </c>
      <c r="BB351" s="354">
        <f t="shared" si="288"/>
        <v>100</v>
      </c>
      <c r="BC351" s="353">
        <v>0</v>
      </c>
      <c r="BD351" s="353">
        <v>0</v>
      </c>
      <c r="BE351" s="353">
        <v>0</v>
      </c>
      <c r="BF351" s="353">
        <v>0</v>
      </c>
      <c r="BG351" s="353">
        <v>0</v>
      </c>
      <c r="BH351" s="353">
        <v>0</v>
      </c>
      <c r="BI351" s="353">
        <v>0</v>
      </c>
      <c r="BJ351" s="353">
        <v>0</v>
      </c>
      <c r="BK351" s="386">
        <v>1285150000</v>
      </c>
      <c r="BL351" s="351">
        <v>1285150000</v>
      </c>
      <c r="BM351" s="351">
        <v>0</v>
      </c>
      <c r="BN351" s="351">
        <v>0</v>
      </c>
      <c r="BO351" s="351">
        <v>0</v>
      </c>
      <c r="BP351" s="351">
        <v>0</v>
      </c>
      <c r="BQ351" s="351">
        <v>0</v>
      </c>
      <c r="BR351" s="351">
        <v>0</v>
      </c>
      <c r="BS351" s="351">
        <v>0</v>
      </c>
      <c r="BT351" s="351">
        <v>0</v>
      </c>
      <c r="BU351" s="351">
        <v>0</v>
      </c>
      <c r="BV351" s="350">
        <f t="shared" si="289"/>
        <v>7.0714285714285716E-2</v>
      </c>
      <c r="BW351" s="350">
        <v>15</v>
      </c>
      <c r="BX351" s="385">
        <f t="shared" si="270"/>
        <v>0.42857142857142855</v>
      </c>
      <c r="BY351" s="349">
        <v>120</v>
      </c>
      <c r="BZ351" s="405">
        <v>120</v>
      </c>
      <c r="CA351" s="689">
        <v>120</v>
      </c>
      <c r="CB351" s="324">
        <f t="shared" si="271"/>
        <v>120</v>
      </c>
      <c r="CC351" s="324">
        <f t="shared" si="272"/>
        <v>800</v>
      </c>
      <c r="CD351" s="384">
        <f t="shared" si="290"/>
        <v>100</v>
      </c>
      <c r="CE351" s="383">
        <f t="shared" si="291"/>
        <v>7.0714285714285716E-2</v>
      </c>
      <c r="CF351" s="367">
        <f t="shared" si="292"/>
        <v>100</v>
      </c>
      <c r="CG351" s="383">
        <f t="shared" si="293"/>
        <v>0.56571428571428573</v>
      </c>
      <c r="CH351" s="320">
        <f t="shared" si="294"/>
        <v>7.0714285714285716E-2</v>
      </c>
      <c r="CI351" s="319">
        <v>15</v>
      </c>
      <c r="CJ351" s="318">
        <f t="shared" si="273"/>
        <v>0.42857142857142855</v>
      </c>
      <c r="CK351" s="1259">
        <v>2</v>
      </c>
      <c r="CL351" s="301">
        <f t="shared" si="274"/>
        <v>13</v>
      </c>
      <c r="CM351" s="381">
        <f t="shared" si="275"/>
        <v>2</v>
      </c>
      <c r="CN351" s="381">
        <f t="shared" si="276"/>
        <v>13.333333333333334</v>
      </c>
      <c r="CO351" s="316">
        <f t="shared" si="295"/>
        <v>13.333333333333334</v>
      </c>
      <c r="CP351" s="381">
        <f t="shared" si="296"/>
        <v>9.4285714285714303E-3</v>
      </c>
      <c r="CQ351" s="381">
        <f t="shared" si="297"/>
        <v>9.4285714285714303E-3</v>
      </c>
      <c r="CR351" s="313">
        <v>0</v>
      </c>
      <c r="CS351" s="313">
        <v>0</v>
      </c>
      <c r="CT351" s="313">
        <v>0</v>
      </c>
      <c r="CU351" s="313">
        <v>0</v>
      </c>
      <c r="CV351" s="313">
        <v>0</v>
      </c>
      <c r="CW351" s="313">
        <v>0</v>
      </c>
      <c r="CX351" s="313">
        <v>0</v>
      </c>
      <c r="CY351" s="313">
        <v>0</v>
      </c>
      <c r="CZ351" s="380">
        <v>0</v>
      </c>
      <c r="DA351" s="380">
        <v>0</v>
      </c>
      <c r="DB351" s="380">
        <v>0</v>
      </c>
      <c r="DC351" s="380">
        <v>0</v>
      </c>
      <c r="DD351" s="380">
        <v>0</v>
      </c>
      <c r="DE351" s="380">
        <v>0</v>
      </c>
      <c r="DF351" s="380">
        <v>0</v>
      </c>
      <c r="DG351" s="380">
        <v>0</v>
      </c>
      <c r="DH351" s="380">
        <v>0</v>
      </c>
      <c r="DI351" s="380">
        <v>0</v>
      </c>
      <c r="DJ351" s="380">
        <v>0</v>
      </c>
      <c r="DK351" s="702">
        <f t="shared" si="277"/>
        <v>185</v>
      </c>
      <c r="DL351" s="311">
        <f t="shared" si="298"/>
        <v>0.16499999999999998</v>
      </c>
      <c r="DM351" s="310">
        <f t="shared" si="299"/>
        <v>528.57142857142856</v>
      </c>
      <c r="DN351" s="356">
        <f t="shared" si="300"/>
        <v>100</v>
      </c>
      <c r="DO351" s="308">
        <f t="shared" si="301"/>
        <v>0.16500000000000001</v>
      </c>
      <c r="DP351" s="359">
        <f t="shared" si="309"/>
        <v>0.16500000000000001</v>
      </c>
      <c r="DQ351" s="306">
        <f t="shared" si="302"/>
        <v>0.16500000000000001</v>
      </c>
      <c r="DR351" s="379">
        <f t="shared" si="303"/>
        <v>1</v>
      </c>
      <c r="DS351" s="378">
        <f t="shared" si="304"/>
        <v>0</v>
      </c>
      <c r="DT351" s="173">
        <v>398</v>
      </c>
      <c r="DU351" s="174" t="s">
        <v>106</v>
      </c>
      <c r="DV351" s="173"/>
      <c r="DW351" s="174" t="s">
        <v>84</v>
      </c>
      <c r="DX351" s="173"/>
      <c r="DY351" s="173"/>
      <c r="DZ351" s="173"/>
      <c r="EA351" s="665"/>
      <c r="EB351" s="1254" t="s">
        <v>2121</v>
      </c>
      <c r="EC351" s="667">
        <v>0</v>
      </c>
      <c r="ED351" s="303"/>
      <c r="EE351" s="736">
        <v>0</v>
      </c>
      <c r="EF351" s="706"/>
    </row>
    <row r="352" spans="4:136" s="302" customFormat="1" ht="293.25" hidden="1">
      <c r="D352" s="520">
        <v>349</v>
      </c>
      <c r="E352" s="534">
        <v>409</v>
      </c>
      <c r="F352" s="479" t="s">
        <v>44</v>
      </c>
      <c r="G352" s="479" t="s">
        <v>18</v>
      </c>
      <c r="H352" s="479" t="s">
        <v>2667</v>
      </c>
      <c r="I352" s="435" t="s">
        <v>862</v>
      </c>
      <c r="J352" s="335" t="s">
        <v>863</v>
      </c>
      <c r="K352" s="335" t="s">
        <v>864</v>
      </c>
      <c r="L352" s="443" t="s">
        <v>1773</v>
      </c>
      <c r="M352" s="334" t="s">
        <v>1771</v>
      </c>
      <c r="N352" s="334">
        <v>0</v>
      </c>
      <c r="O352" s="333">
        <f t="shared" si="308"/>
        <v>2</v>
      </c>
      <c r="P352" s="332">
        <v>2</v>
      </c>
      <c r="Q352" s="390">
        <v>0.16500000000000001</v>
      </c>
      <c r="R352" s="342">
        <f t="shared" si="282"/>
        <v>0</v>
      </c>
      <c r="S352" s="389">
        <v>0</v>
      </c>
      <c r="T352" s="387">
        <f t="shared" si="264"/>
        <v>0</v>
      </c>
      <c r="U352" s="670">
        <v>0</v>
      </c>
      <c r="V352" s="388">
        <f t="shared" si="265"/>
        <v>0</v>
      </c>
      <c r="W352" s="356">
        <f t="shared" si="266"/>
        <v>0</v>
      </c>
      <c r="X352" s="356">
        <f t="shared" si="283"/>
        <v>0</v>
      </c>
      <c r="Y352" s="356">
        <f t="shared" si="307"/>
        <v>0</v>
      </c>
      <c r="Z352" s="356">
        <f t="shared" si="284"/>
        <v>0</v>
      </c>
      <c r="AA352" s="355">
        <v>0</v>
      </c>
      <c r="AB352" s="355">
        <v>0</v>
      </c>
      <c r="AC352" s="355">
        <v>0</v>
      </c>
      <c r="AD352" s="355">
        <v>0</v>
      </c>
      <c r="AE352" s="355">
        <v>0</v>
      </c>
      <c r="AF352" s="355">
        <v>0</v>
      </c>
      <c r="AG352" s="355">
        <v>0</v>
      </c>
      <c r="AH352" s="355">
        <v>0</v>
      </c>
      <c r="AI352" s="355">
        <v>0</v>
      </c>
      <c r="AJ352" s="355">
        <v>0</v>
      </c>
      <c r="AK352" s="355">
        <v>0</v>
      </c>
      <c r="AL352" s="355">
        <v>0</v>
      </c>
      <c r="AM352" s="355">
        <v>0</v>
      </c>
      <c r="AN352" s="355">
        <v>0</v>
      </c>
      <c r="AO352" s="355">
        <v>0</v>
      </c>
      <c r="AP352" s="355">
        <v>0</v>
      </c>
      <c r="AQ352" s="355">
        <v>0</v>
      </c>
      <c r="AR352" s="355">
        <v>0</v>
      </c>
      <c r="AS352" s="355">
        <v>0</v>
      </c>
      <c r="AT352" s="333">
        <f t="shared" si="285"/>
        <v>4.1250000000000002E-2</v>
      </c>
      <c r="AU352" s="334">
        <v>0.5</v>
      </c>
      <c r="AV352" s="387">
        <f t="shared" si="267"/>
        <v>0.25</v>
      </c>
      <c r="AW352" s="677">
        <v>0.5</v>
      </c>
      <c r="AX352" s="366">
        <f t="shared" si="268"/>
        <v>0.5</v>
      </c>
      <c r="AY352" s="366">
        <f t="shared" si="269"/>
        <v>100</v>
      </c>
      <c r="AZ352" s="366">
        <f t="shared" si="286"/>
        <v>100</v>
      </c>
      <c r="BA352" s="354">
        <f t="shared" si="287"/>
        <v>4.1250000000000002E-2</v>
      </c>
      <c r="BB352" s="354">
        <f t="shared" si="288"/>
        <v>100</v>
      </c>
      <c r="BC352" s="353">
        <v>354000000</v>
      </c>
      <c r="BD352" s="353">
        <v>0</v>
      </c>
      <c r="BE352" s="353">
        <v>104000000</v>
      </c>
      <c r="BF352" s="353">
        <v>0</v>
      </c>
      <c r="BG352" s="353">
        <v>0</v>
      </c>
      <c r="BH352" s="353">
        <v>0</v>
      </c>
      <c r="BI352" s="353">
        <v>0</v>
      </c>
      <c r="BJ352" s="353">
        <v>250000000</v>
      </c>
      <c r="BK352" s="386">
        <v>713000000</v>
      </c>
      <c r="BL352" s="351">
        <v>713000000</v>
      </c>
      <c r="BM352" s="351">
        <v>0</v>
      </c>
      <c r="BN352" s="351">
        <v>0</v>
      </c>
      <c r="BO352" s="351">
        <v>0</v>
      </c>
      <c r="BP352" s="351">
        <v>0</v>
      </c>
      <c r="BQ352" s="351">
        <v>0</v>
      </c>
      <c r="BR352" s="351">
        <v>0</v>
      </c>
      <c r="BS352" s="351">
        <v>0</v>
      </c>
      <c r="BT352" s="351">
        <v>638990015</v>
      </c>
      <c r="BU352" s="351" t="s">
        <v>2368</v>
      </c>
      <c r="BV352" s="350">
        <f t="shared" si="289"/>
        <v>8.2500000000000004E-2</v>
      </c>
      <c r="BW352" s="350">
        <v>1</v>
      </c>
      <c r="BX352" s="385">
        <f t="shared" si="270"/>
        <v>0.5</v>
      </c>
      <c r="BY352" s="369">
        <v>1</v>
      </c>
      <c r="BZ352" s="391">
        <v>0.60000002384185791</v>
      </c>
      <c r="CA352" s="689">
        <v>1</v>
      </c>
      <c r="CB352" s="324">
        <f t="shared" si="271"/>
        <v>1</v>
      </c>
      <c r="CC352" s="324">
        <f t="shared" si="272"/>
        <v>100</v>
      </c>
      <c r="CD352" s="384">
        <f t="shared" si="290"/>
        <v>100</v>
      </c>
      <c r="CE352" s="383">
        <f t="shared" si="291"/>
        <v>8.2500000000000004E-2</v>
      </c>
      <c r="CF352" s="367">
        <f t="shared" si="292"/>
        <v>100</v>
      </c>
      <c r="CG352" s="383">
        <f t="shared" si="293"/>
        <v>8.2500000000000004E-2</v>
      </c>
      <c r="CH352" s="320">
        <f t="shared" si="294"/>
        <v>4.1250000000000002E-2</v>
      </c>
      <c r="CI352" s="418">
        <v>0.5</v>
      </c>
      <c r="CJ352" s="318">
        <f t="shared" si="273"/>
        <v>0.25</v>
      </c>
      <c r="CK352" s="1259">
        <v>0.5</v>
      </c>
      <c r="CL352" s="301">
        <f t="shared" si="274"/>
        <v>0</v>
      </c>
      <c r="CM352" s="381">
        <f t="shared" si="275"/>
        <v>0.5</v>
      </c>
      <c r="CN352" s="381">
        <f t="shared" si="276"/>
        <v>100</v>
      </c>
      <c r="CO352" s="316">
        <f t="shared" si="295"/>
        <v>100</v>
      </c>
      <c r="CP352" s="381">
        <f t="shared" si="296"/>
        <v>4.1250000000000002E-2</v>
      </c>
      <c r="CQ352" s="381">
        <f t="shared" si="297"/>
        <v>4.1250000000000002E-2</v>
      </c>
      <c r="CR352" s="313">
        <v>490000000</v>
      </c>
      <c r="CS352" s="313">
        <v>240000000</v>
      </c>
      <c r="CT352" s="313">
        <v>0</v>
      </c>
      <c r="CU352" s="313">
        <v>0</v>
      </c>
      <c r="CV352" s="313">
        <v>0</v>
      </c>
      <c r="CW352" s="313">
        <v>0</v>
      </c>
      <c r="CX352" s="313">
        <v>0</v>
      </c>
      <c r="CY352" s="313">
        <v>250000000</v>
      </c>
      <c r="CZ352" s="380">
        <v>0</v>
      </c>
      <c r="DA352" s="380">
        <v>0</v>
      </c>
      <c r="DB352" s="380">
        <v>0</v>
      </c>
      <c r="DC352" s="380">
        <v>0</v>
      </c>
      <c r="DD352" s="380">
        <v>0</v>
      </c>
      <c r="DE352" s="380">
        <v>0</v>
      </c>
      <c r="DF352" s="380">
        <v>0</v>
      </c>
      <c r="DG352" s="380">
        <v>0</v>
      </c>
      <c r="DH352" s="380">
        <v>0</v>
      </c>
      <c r="DI352" s="380">
        <v>0</v>
      </c>
      <c r="DJ352" s="380">
        <v>0</v>
      </c>
      <c r="DK352" s="702">
        <f t="shared" si="277"/>
        <v>2</v>
      </c>
      <c r="DL352" s="311">
        <f t="shared" si="298"/>
        <v>0.16500000000000001</v>
      </c>
      <c r="DM352" s="310">
        <f t="shared" si="299"/>
        <v>100</v>
      </c>
      <c r="DN352" s="356">
        <f t="shared" si="300"/>
        <v>100</v>
      </c>
      <c r="DO352" s="308">
        <f t="shared" si="301"/>
        <v>0.16500000000000001</v>
      </c>
      <c r="DP352" s="359">
        <f t="shared" si="309"/>
        <v>0.16500000000000001</v>
      </c>
      <c r="DQ352" s="306">
        <f t="shared" si="302"/>
        <v>0.16500000000000001</v>
      </c>
      <c r="DR352" s="379">
        <f t="shared" si="303"/>
        <v>1</v>
      </c>
      <c r="DS352" s="378">
        <f t="shared" si="304"/>
        <v>0</v>
      </c>
      <c r="DT352" s="173">
        <v>398</v>
      </c>
      <c r="DU352" s="174" t="s">
        <v>106</v>
      </c>
      <c r="DV352" s="173"/>
      <c r="DW352" s="174" t="s">
        <v>84</v>
      </c>
      <c r="DX352" s="173"/>
      <c r="DY352" s="173"/>
      <c r="DZ352" s="173"/>
      <c r="EA352" s="665"/>
      <c r="EB352" s="1254" t="s">
        <v>3139</v>
      </c>
      <c r="EC352" s="537">
        <v>5900000000</v>
      </c>
      <c r="EE352" s="734">
        <v>1</v>
      </c>
      <c r="EF352" s="706"/>
    </row>
    <row r="353" spans="4:136" s="302" customFormat="1" ht="242.25" hidden="1">
      <c r="D353" s="520">
        <v>350</v>
      </c>
      <c r="E353" s="534">
        <v>410</v>
      </c>
      <c r="F353" s="479" t="s">
        <v>44</v>
      </c>
      <c r="G353" s="479" t="s">
        <v>18</v>
      </c>
      <c r="H353" s="479" t="s">
        <v>2667</v>
      </c>
      <c r="I353" s="435" t="s">
        <v>862</v>
      </c>
      <c r="J353" s="335" t="s">
        <v>865</v>
      </c>
      <c r="K353" s="335" t="s">
        <v>866</v>
      </c>
      <c r="L353" s="443" t="s">
        <v>1783</v>
      </c>
      <c r="M353" s="334" t="s">
        <v>1771</v>
      </c>
      <c r="N353" s="334">
        <v>0</v>
      </c>
      <c r="O353" s="333">
        <f t="shared" si="308"/>
        <v>1</v>
      </c>
      <c r="P353" s="332">
        <v>1</v>
      </c>
      <c r="Q353" s="390">
        <v>0.16500000000000001</v>
      </c>
      <c r="R353" s="342">
        <f t="shared" si="282"/>
        <v>0</v>
      </c>
      <c r="S353" s="389">
        <v>0</v>
      </c>
      <c r="T353" s="387">
        <f t="shared" si="264"/>
        <v>0</v>
      </c>
      <c r="U353" s="670">
        <v>0</v>
      </c>
      <c r="V353" s="388">
        <f t="shared" si="265"/>
        <v>0</v>
      </c>
      <c r="W353" s="356">
        <f t="shared" si="266"/>
        <v>0</v>
      </c>
      <c r="X353" s="356">
        <f t="shared" si="283"/>
        <v>0</v>
      </c>
      <c r="Y353" s="356">
        <f t="shared" si="307"/>
        <v>0</v>
      </c>
      <c r="Z353" s="356">
        <f t="shared" si="284"/>
        <v>0</v>
      </c>
      <c r="AA353" s="355">
        <v>0</v>
      </c>
      <c r="AB353" s="355">
        <v>0</v>
      </c>
      <c r="AC353" s="355">
        <v>0</v>
      </c>
      <c r="AD353" s="355">
        <v>0</v>
      </c>
      <c r="AE353" s="355">
        <v>0</v>
      </c>
      <c r="AF353" s="355">
        <v>0</v>
      </c>
      <c r="AG353" s="355">
        <v>0</v>
      </c>
      <c r="AH353" s="355">
        <v>0</v>
      </c>
      <c r="AI353" s="355">
        <v>0</v>
      </c>
      <c r="AJ353" s="355">
        <v>0</v>
      </c>
      <c r="AK353" s="355">
        <v>0</v>
      </c>
      <c r="AL353" s="355">
        <v>0</v>
      </c>
      <c r="AM353" s="355">
        <v>0</v>
      </c>
      <c r="AN353" s="355">
        <v>0</v>
      </c>
      <c r="AO353" s="355">
        <v>0</v>
      </c>
      <c r="AP353" s="355">
        <v>0</v>
      </c>
      <c r="AQ353" s="355">
        <v>0</v>
      </c>
      <c r="AR353" s="355">
        <v>0</v>
      </c>
      <c r="AS353" s="355">
        <v>0</v>
      </c>
      <c r="AT353" s="333">
        <f t="shared" si="285"/>
        <v>4.9500000000000002E-2</v>
      </c>
      <c r="AU353" s="334">
        <v>0.3</v>
      </c>
      <c r="AV353" s="387">
        <f t="shared" si="267"/>
        <v>0.3</v>
      </c>
      <c r="AW353" s="677">
        <v>0.3</v>
      </c>
      <c r="AX353" s="366">
        <f t="shared" si="268"/>
        <v>0.3</v>
      </c>
      <c r="AY353" s="366">
        <f t="shared" si="269"/>
        <v>100</v>
      </c>
      <c r="AZ353" s="366">
        <f t="shared" si="286"/>
        <v>100</v>
      </c>
      <c r="BA353" s="354">
        <f t="shared" si="287"/>
        <v>4.9500000000000002E-2</v>
      </c>
      <c r="BB353" s="354">
        <f t="shared" si="288"/>
        <v>100</v>
      </c>
      <c r="BC353" s="353">
        <v>148000000</v>
      </c>
      <c r="BD353" s="353">
        <v>0</v>
      </c>
      <c r="BE353" s="353">
        <v>88000000</v>
      </c>
      <c r="BF353" s="353">
        <v>0</v>
      </c>
      <c r="BG353" s="353">
        <v>0</v>
      </c>
      <c r="BH353" s="353">
        <v>0</v>
      </c>
      <c r="BI353" s="353">
        <v>0</v>
      </c>
      <c r="BJ353" s="353">
        <v>60000000</v>
      </c>
      <c r="BK353" s="386">
        <v>88000000</v>
      </c>
      <c r="BL353" s="351">
        <v>88000000</v>
      </c>
      <c r="BM353" s="351">
        <v>0</v>
      </c>
      <c r="BN353" s="351">
        <v>0</v>
      </c>
      <c r="BO353" s="351">
        <v>0</v>
      </c>
      <c r="BP353" s="351">
        <v>0</v>
      </c>
      <c r="BQ353" s="351">
        <v>0</v>
      </c>
      <c r="BR353" s="351">
        <v>0</v>
      </c>
      <c r="BS353" s="351">
        <v>0</v>
      </c>
      <c r="BT353" s="351">
        <v>0</v>
      </c>
      <c r="BU353" s="351">
        <v>0</v>
      </c>
      <c r="BV353" s="350">
        <f t="shared" si="289"/>
        <v>4.9500000000000002E-2</v>
      </c>
      <c r="BW353" s="350">
        <v>0.3</v>
      </c>
      <c r="BX353" s="385">
        <f t="shared" si="270"/>
        <v>0.3</v>
      </c>
      <c r="BY353" s="399">
        <v>0.1</v>
      </c>
      <c r="BZ353" s="444">
        <v>0.15000000596046448</v>
      </c>
      <c r="CA353" s="696">
        <v>0.40000000596046448</v>
      </c>
      <c r="CB353" s="324">
        <f t="shared" si="271"/>
        <v>0.40000000596046448</v>
      </c>
      <c r="CC353" s="324">
        <f t="shared" si="272"/>
        <v>133.33333532015484</v>
      </c>
      <c r="CD353" s="384">
        <f t="shared" si="290"/>
        <v>100</v>
      </c>
      <c r="CE353" s="383">
        <f t="shared" si="291"/>
        <v>4.9500000000000002E-2</v>
      </c>
      <c r="CF353" s="367">
        <f t="shared" si="292"/>
        <v>100</v>
      </c>
      <c r="CG353" s="383">
        <f t="shared" si="293"/>
        <v>6.600000098347665E-2</v>
      </c>
      <c r="CH353" s="320">
        <f t="shared" si="294"/>
        <v>6.6000000000000003E-2</v>
      </c>
      <c r="CI353" s="319">
        <v>0.4</v>
      </c>
      <c r="CJ353" s="318">
        <f t="shared" si="273"/>
        <v>0.4</v>
      </c>
      <c r="CK353" s="1259">
        <v>0.2</v>
      </c>
      <c r="CL353" s="301">
        <f t="shared" si="274"/>
        <v>0.2</v>
      </c>
      <c r="CM353" s="381">
        <f t="shared" si="275"/>
        <v>0.2</v>
      </c>
      <c r="CN353" s="381">
        <f t="shared" si="276"/>
        <v>50</v>
      </c>
      <c r="CO353" s="316">
        <f t="shared" si="295"/>
        <v>50</v>
      </c>
      <c r="CP353" s="381">
        <f t="shared" si="296"/>
        <v>3.3000000000000002E-2</v>
      </c>
      <c r="CQ353" s="381">
        <f t="shared" si="297"/>
        <v>3.3000000000000002E-2</v>
      </c>
      <c r="CR353" s="313">
        <v>168000000</v>
      </c>
      <c r="CS353" s="313">
        <v>88000000</v>
      </c>
      <c r="CT353" s="313">
        <v>0</v>
      </c>
      <c r="CU353" s="313">
        <v>0</v>
      </c>
      <c r="CV353" s="313">
        <v>0</v>
      </c>
      <c r="CW353" s="313">
        <v>0</v>
      </c>
      <c r="CX353" s="313">
        <v>0</v>
      </c>
      <c r="CY353" s="313">
        <v>80000000</v>
      </c>
      <c r="CZ353" s="380">
        <v>0</v>
      </c>
      <c r="DA353" s="380">
        <v>0</v>
      </c>
      <c r="DB353" s="380">
        <v>0</v>
      </c>
      <c r="DC353" s="380">
        <v>0</v>
      </c>
      <c r="DD353" s="380">
        <v>0</v>
      </c>
      <c r="DE353" s="380">
        <v>0</v>
      </c>
      <c r="DF353" s="380">
        <v>0</v>
      </c>
      <c r="DG353" s="380">
        <v>0</v>
      </c>
      <c r="DH353" s="380">
        <v>0</v>
      </c>
      <c r="DI353" s="380">
        <v>0</v>
      </c>
      <c r="DJ353" s="380">
        <v>0</v>
      </c>
      <c r="DK353" s="702">
        <f t="shared" si="277"/>
        <v>0.90000000596046448</v>
      </c>
      <c r="DL353" s="311">
        <f t="shared" si="298"/>
        <v>0.16500000000000001</v>
      </c>
      <c r="DM353" s="310">
        <f t="shared" si="299"/>
        <v>90.000000596046448</v>
      </c>
      <c r="DN353" s="356">
        <f t="shared" si="300"/>
        <v>90.000000596046448</v>
      </c>
      <c r="DO353" s="308">
        <f t="shared" si="301"/>
        <v>0.14850000098347663</v>
      </c>
      <c r="DP353" s="359">
        <f t="shared" si="309"/>
        <v>0.14850000098347663</v>
      </c>
      <c r="DQ353" s="306">
        <f t="shared" si="302"/>
        <v>0.14850000098347663</v>
      </c>
      <c r="DR353" s="379">
        <f t="shared" si="303"/>
        <v>1</v>
      </c>
      <c r="DS353" s="378">
        <f t="shared" si="304"/>
        <v>0</v>
      </c>
      <c r="DT353" s="173">
        <v>398</v>
      </c>
      <c r="DU353" s="174" t="s">
        <v>106</v>
      </c>
      <c r="DV353" s="173"/>
      <c r="DW353" s="174" t="s">
        <v>84</v>
      </c>
      <c r="DX353" s="173"/>
      <c r="DY353" s="173"/>
      <c r="DZ353" s="173"/>
      <c r="EA353" s="665"/>
      <c r="EB353" s="1254" t="s">
        <v>3140</v>
      </c>
      <c r="EC353" s="537">
        <v>160000000</v>
      </c>
      <c r="EE353" s="734">
        <v>10</v>
      </c>
      <c r="EF353" s="706"/>
    </row>
    <row r="354" spans="4:136" s="302" customFormat="1" ht="63.75" hidden="1">
      <c r="D354" s="520">
        <v>351</v>
      </c>
      <c r="E354" s="534">
        <v>412</v>
      </c>
      <c r="F354" s="479" t="s">
        <v>44</v>
      </c>
      <c r="G354" s="523" t="s">
        <v>13</v>
      </c>
      <c r="H354" s="479" t="s">
        <v>2668</v>
      </c>
      <c r="I354" s="435" t="s">
        <v>867</v>
      </c>
      <c r="J354" s="335" t="s">
        <v>868</v>
      </c>
      <c r="K354" s="335" t="s">
        <v>869</v>
      </c>
      <c r="L354" s="443" t="s">
        <v>1480</v>
      </c>
      <c r="M354" s="334" t="s">
        <v>1771</v>
      </c>
      <c r="N354" s="334">
        <v>7732</v>
      </c>
      <c r="O354" s="333">
        <f t="shared" si="308"/>
        <v>8432</v>
      </c>
      <c r="P354" s="332">
        <v>700</v>
      </c>
      <c r="Q354" s="390">
        <v>0.33</v>
      </c>
      <c r="R354" s="342">
        <f t="shared" si="282"/>
        <v>2.357142857142857E-2</v>
      </c>
      <c r="S354" s="389">
        <v>50</v>
      </c>
      <c r="T354" s="387">
        <f t="shared" si="264"/>
        <v>7.1428571428571425E-2</v>
      </c>
      <c r="U354" s="670">
        <v>50</v>
      </c>
      <c r="V354" s="388">
        <f t="shared" si="265"/>
        <v>50</v>
      </c>
      <c r="W354" s="356">
        <f t="shared" si="266"/>
        <v>100</v>
      </c>
      <c r="X354" s="356">
        <f t="shared" si="283"/>
        <v>100</v>
      </c>
      <c r="Y354" s="356">
        <f t="shared" si="307"/>
        <v>2.3571428571428566E-2</v>
      </c>
      <c r="Z354" s="356">
        <f t="shared" si="284"/>
        <v>100</v>
      </c>
      <c r="AA354" s="355">
        <v>117000000</v>
      </c>
      <c r="AB354" s="355">
        <v>117000000</v>
      </c>
      <c r="AC354" s="355">
        <v>0</v>
      </c>
      <c r="AD354" s="355">
        <v>0</v>
      </c>
      <c r="AE354" s="355">
        <v>0</v>
      </c>
      <c r="AF354" s="355">
        <v>0</v>
      </c>
      <c r="AG354" s="355">
        <v>0</v>
      </c>
      <c r="AH354" s="355">
        <v>0</v>
      </c>
      <c r="AI354" s="355">
        <v>582939000</v>
      </c>
      <c r="AJ354" s="355">
        <v>582939000</v>
      </c>
      <c r="AK354" s="355">
        <v>0</v>
      </c>
      <c r="AL354" s="355">
        <v>0</v>
      </c>
      <c r="AM354" s="355">
        <v>0</v>
      </c>
      <c r="AN354" s="355">
        <v>0</v>
      </c>
      <c r="AO354" s="355">
        <v>0</v>
      </c>
      <c r="AP354" s="355">
        <v>0</v>
      </c>
      <c r="AQ354" s="355">
        <v>0</v>
      </c>
      <c r="AR354" s="355">
        <v>0</v>
      </c>
      <c r="AS354" s="355">
        <v>0</v>
      </c>
      <c r="AT354" s="333">
        <f t="shared" si="285"/>
        <v>7.0714285714285716E-2</v>
      </c>
      <c r="AU354" s="334">
        <v>150</v>
      </c>
      <c r="AV354" s="387">
        <f t="shared" si="267"/>
        <v>0.21428571428571427</v>
      </c>
      <c r="AW354" s="677">
        <v>450</v>
      </c>
      <c r="AX354" s="366">
        <f t="shared" si="268"/>
        <v>450</v>
      </c>
      <c r="AY354" s="366">
        <f t="shared" si="269"/>
        <v>300</v>
      </c>
      <c r="AZ354" s="366">
        <f t="shared" si="286"/>
        <v>100</v>
      </c>
      <c r="BA354" s="354">
        <f t="shared" si="287"/>
        <v>7.0714285714285716E-2</v>
      </c>
      <c r="BB354" s="354">
        <f t="shared" si="288"/>
        <v>100</v>
      </c>
      <c r="BC354" s="353">
        <v>1571000000</v>
      </c>
      <c r="BD354" s="353">
        <v>0</v>
      </c>
      <c r="BE354" s="353">
        <v>655000000</v>
      </c>
      <c r="BF354" s="353">
        <v>0</v>
      </c>
      <c r="BG354" s="353">
        <v>0</v>
      </c>
      <c r="BH354" s="353">
        <v>0</v>
      </c>
      <c r="BI354" s="353">
        <v>0</v>
      </c>
      <c r="BJ354" s="353">
        <v>916000000</v>
      </c>
      <c r="BK354" s="386">
        <v>483013985</v>
      </c>
      <c r="BL354" s="351">
        <v>483013985</v>
      </c>
      <c r="BM354" s="351">
        <v>0</v>
      </c>
      <c r="BN354" s="351">
        <v>0</v>
      </c>
      <c r="BO354" s="351">
        <v>0</v>
      </c>
      <c r="BP354" s="351">
        <v>0</v>
      </c>
      <c r="BQ354" s="351">
        <v>0</v>
      </c>
      <c r="BR354" s="351">
        <v>0</v>
      </c>
      <c r="BS354" s="351">
        <v>0</v>
      </c>
      <c r="BT354" s="351">
        <v>0</v>
      </c>
      <c r="BU354" s="351">
        <v>0</v>
      </c>
      <c r="BV354" s="350">
        <f t="shared" si="289"/>
        <v>0.11785714285714287</v>
      </c>
      <c r="BW354" s="350">
        <v>250</v>
      </c>
      <c r="BX354" s="385">
        <f t="shared" si="270"/>
        <v>0.35714285714285715</v>
      </c>
      <c r="BY354" s="369">
        <v>873.5</v>
      </c>
      <c r="BZ354" s="391">
        <v>937</v>
      </c>
      <c r="CA354" s="689">
        <v>1022</v>
      </c>
      <c r="CB354" s="324">
        <f t="shared" si="271"/>
        <v>1022</v>
      </c>
      <c r="CC354" s="324">
        <f t="shared" si="272"/>
        <v>408.8</v>
      </c>
      <c r="CD354" s="384">
        <f t="shared" si="290"/>
        <v>100</v>
      </c>
      <c r="CE354" s="383">
        <f t="shared" si="291"/>
        <v>0.11785714285714287</v>
      </c>
      <c r="CF354" s="367">
        <f t="shared" si="292"/>
        <v>100</v>
      </c>
      <c r="CG354" s="383">
        <f t="shared" si="293"/>
        <v>0.48180000000000006</v>
      </c>
      <c r="CH354" s="320">
        <f t="shared" si="294"/>
        <v>0.11785714285714287</v>
      </c>
      <c r="CI354" s="319">
        <v>250</v>
      </c>
      <c r="CJ354" s="318">
        <f t="shared" si="273"/>
        <v>0.35714285714285715</v>
      </c>
      <c r="CK354" s="1259">
        <v>310</v>
      </c>
      <c r="CL354" s="301">
        <f t="shared" si="274"/>
        <v>-60</v>
      </c>
      <c r="CM354" s="381">
        <f t="shared" si="275"/>
        <v>310</v>
      </c>
      <c r="CN354" s="381">
        <f t="shared" si="276"/>
        <v>124</v>
      </c>
      <c r="CO354" s="316">
        <f t="shared" si="295"/>
        <v>100</v>
      </c>
      <c r="CP354" s="381">
        <f t="shared" si="296"/>
        <v>0.11785714285714287</v>
      </c>
      <c r="CQ354" s="381">
        <f t="shared" si="297"/>
        <v>0.14614285714285716</v>
      </c>
      <c r="CR354" s="313">
        <v>2430000000</v>
      </c>
      <c r="CS354" s="313">
        <v>1513000000</v>
      </c>
      <c r="CT354" s="313">
        <v>0</v>
      </c>
      <c r="CU354" s="313">
        <v>0</v>
      </c>
      <c r="CV354" s="313">
        <v>0</v>
      </c>
      <c r="CW354" s="313">
        <v>0</v>
      </c>
      <c r="CX354" s="313">
        <v>0</v>
      </c>
      <c r="CY354" s="313">
        <v>917000000</v>
      </c>
      <c r="CZ354" s="380">
        <v>0</v>
      </c>
      <c r="DA354" s="380">
        <v>0</v>
      </c>
      <c r="DB354" s="380">
        <v>0</v>
      </c>
      <c r="DC354" s="380">
        <v>0</v>
      </c>
      <c r="DD354" s="380">
        <v>0</v>
      </c>
      <c r="DE354" s="380">
        <v>0</v>
      </c>
      <c r="DF354" s="380">
        <v>0</v>
      </c>
      <c r="DG354" s="380">
        <v>0</v>
      </c>
      <c r="DH354" s="380">
        <v>0</v>
      </c>
      <c r="DI354" s="380">
        <v>0</v>
      </c>
      <c r="DJ354" s="380">
        <v>0</v>
      </c>
      <c r="DK354" s="702">
        <f t="shared" si="277"/>
        <v>1832</v>
      </c>
      <c r="DL354" s="311">
        <f t="shared" si="298"/>
        <v>0.33</v>
      </c>
      <c r="DM354" s="310">
        <f t="shared" si="299"/>
        <v>261.71428571428572</v>
      </c>
      <c r="DN354" s="356">
        <f t="shared" si="300"/>
        <v>100</v>
      </c>
      <c r="DO354" s="308">
        <f t="shared" si="301"/>
        <v>0.33</v>
      </c>
      <c r="DP354" s="359">
        <f t="shared" si="309"/>
        <v>0.33</v>
      </c>
      <c r="DQ354" s="306">
        <f t="shared" si="302"/>
        <v>0.33</v>
      </c>
      <c r="DR354" s="379">
        <f t="shared" si="303"/>
        <v>1</v>
      </c>
      <c r="DS354" s="378">
        <f t="shared" si="304"/>
        <v>0</v>
      </c>
      <c r="DT354" s="173">
        <v>411</v>
      </c>
      <c r="DU354" s="174" t="s">
        <v>105</v>
      </c>
      <c r="DV354" s="173"/>
      <c r="DW354" s="174" t="s">
        <v>84</v>
      </c>
      <c r="DX354" s="173"/>
      <c r="DY354" s="173"/>
      <c r="DZ354" s="173"/>
      <c r="EA354" s="665"/>
      <c r="EB354" s="1254" t="s">
        <v>3116</v>
      </c>
      <c r="EC354" s="537">
        <v>62926000000</v>
      </c>
      <c r="EE354" s="740">
        <v>116</v>
      </c>
      <c r="EF354" s="706"/>
    </row>
    <row r="355" spans="4:136" s="302" customFormat="1" ht="51" hidden="1">
      <c r="D355" s="520">
        <v>352</v>
      </c>
      <c r="E355" s="534">
        <v>413</v>
      </c>
      <c r="F355" s="479" t="s">
        <v>44</v>
      </c>
      <c r="G355" s="523" t="s">
        <v>13</v>
      </c>
      <c r="H355" s="479" t="s">
        <v>2668</v>
      </c>
      <c r="I355" s="435" t="s">
        <v>867</v>
      </c>
      <c r="J355" s="335" t="s">
        <v>870</v>
      </c>
      <c r="K355" s="335" t="s">
        <v>871</v>
      </c>
      <c r="L355" s="443" t="s">
        <v>1480</v>
      </c>
      <c r="M355" s="334" t="s">
        <v>1771</v>
      </c>
      <c r="N355" s="334">
        <v>0</v>
      </c>
      <c r="O355" s="333">
        <f t="shared" si="308"/>
        <v>700</v>
      </c>
      <c r="P355" s="332">
        <v>700</v>
      </c>
      <c r="Q355" s="390">
        <v>0.25</v>
      </c>
      <c r="R355" s="342">
        <f t="shared" si="282"/>
        <v>1.7857142857142856E-2</v>
      </c>
      <c r="S355" s="389">
        <v>50</v>
      </c>
      <c r="T355" s="387">
        <f t="shared" si="264"/>
        <v>7.1428571428571425E-2</v>
      </c>
      <c r="U355" s="670">
        <v>16</v>
      </c>
      <c r="V355" s="388">
        <f t="shared" si="265"/>
        <v>16</v>
      </c>
      <c r="W355" s="356">
        <f t="shared" si="266"/>
        <v>32</v>
      </c>
      <c r="X355" s="356">
        <f t="shared" si="283"/>
        <v>32</v>
      </c>
      <c r="Y355" s="356">
        <f t="shared" si="307"/>
        <v>5.7142857142857143E-3</v>
      </c>
      <c r="Z355" s="356">
        <f t="shared" si="284"/>
        <v>32</v>
      </c>
      <c r="AA355" s="355">
        <v>0</v>
      </c>
      <c r="AB355" s="355">
        <v>0</v>
      </c>
      <c r="AC355" s="355">
        <v>0</v>
      </c>
      <c r="AD355" s="355">
        <v>0</v>
      </c>
      <c r="AE355" s="355">
        <v>0</v>
      </c>
      <c r="AF355" s="355">
        <v>0</v>
      </c>
      <c r="AG355" s="355">
        <v>0</v>
      </c>
      <c r="AH355" s="355">
        <v>0</v>
      </c>
      <c r="AI355" s="355">
        <v>377500000</v>
      </c>
      <c r="AJ355" s="355">
        <v>377500000</v>
      </c>
      <c r="AK355" s="355">
        <v>0</v>
      </c>
      <c r="AL355" s="355">
        <v>0</v>
      </c>
      <c r="AM355" s="355">
        <v>0</v>
      </c>
      <c r="AN355" s="355">
        <v>0</v>
      </c>
      <c r="AO355" s="355">
        <v>0</v>
      </c>
      <c r="AP355" s="355">
        <v>0</v>
      </c>
      <c r="AQ355" s="355">
        <v>0</v>
      </c>
      <c r="AR355" s="355">
        <v>0</v>
      </c>
      <c r="AS355" s="355">
        <v>0</v>
      </c>
      <c r="AT355" s="333">
        <f t="shared" si="285"/>
        <v>1.7857142857142856E-2</v>
      </c>
      <c r="AU355" s="334">
        <v>50</v>
      </c>
      <c r="AV355" s="387">
        <f t="shared" si="267"/>
        <v>7.1428571428571425E-2</v>
      </c>
      <c r="AW355" s="677">
        <v>177</v>
      </c>
      <c r="AX355" s="366">
        <f t="shared" si="268"/>
        <v>177</v>
      </c>
      <c r="AY355" s="366">
        <f t="shared" si="269"/>
        <v>354</v>
      </c>
      <c r="AZ355" s="366">
        <f t="shared" si="286"/>
        <v>100</v>
      </c>
      <c r="BA355" s="354">
        <f t="shared" si="287"/>
        <v>1.7857142857142856E-2</v>
      </c>
      <c r="BB355" s="354">
        <f t="shared" si="288"/>
        <v>100</v>
      </c>
      <c r="BC355" s="353">
        <v>55000000</v>
      </c>
      <c r="BD355" s="353">
        <v>0</v>
      </c>
      <c r="BE355" s="353">
        <v>55000000</v>
      </c>
      <c r="BF355" s="353">
        <v>0</v>
      </c>
      <c r="BG355" s="353">
        <v>0</v>
      </c>
      <c r="BH355" s="353">
        <v>0</v>
      </c>
      <c r="BI355" s="353">
        <v>0</v>
      </c>
      <c r="BJ355" s="353">
        <v>0</v>
      </c>
      <c r="BK355" s="386">
        <v>212402000</v>
      </c>
      <c r="BL355" s="351">
        <v>212402000</v>
      </c>
      <c r="BM355" s="351">
        <v>0</v>
      </c>
      <c r="BN355" s="351">
        <v>0</v>
      </c>
      <c r="BO355" s="351">
        <v>0</v>
      </c>
      <c r="BP355" s="351">
        <v>0</v>
      </c>
      <c r="BQ355" s="351">
        <v>0</v>
      </c>
      <c r="BR355" s="351">
        <v>0</v>
      </c>
      <c r="BS355" s="351">
        <v>0</v>
      </c>
      <c r="BT355" s="351">
        <v>314103756</v>
      </c>
      <c r="BU355" s="351" t="s">
        <v>1891</v>
      </c>
      <c r="BV355" s="350">
        <f t="shared" si="289"/>
        <v>0.10714285714285714</v>
      </c>
      <c r="BW355" s="350">
        <v>300</v>
      </c>
      <c r="BX355" s="385">
        <f t="shared" si="270"/>
        <v>0.42857142857142855</v>
      </c>
      <c r="BY355" s="369">
        <v>83</v>
      </c>
      <c r="BZ355" s="391">
        <v>100</v>
      </c>
      <c r="CA355" s="689">
        <v>134</v>
      </c>
      <c r="CB355" s="324">
        <f t="shared" si="271"/>
        <v>134</v>
      </c>
      <c r="CC355" s="324">
        <f t="shared" si="272"/>
        <v>44.666666666666664</v>
      </c>
      <c r="CD355" s="384">
        <f t="shared" si="290"/>
        <v>44.666666666666664</v>
      </c>
      <c r="CE355" s="383">
        <f t="shared" si="291"/>
        <v>4.7857142857142855E-2</v>
      </c>
      <c r="CF355" s="367">
        <f t="shared" si="292"/>
        <v>44.666666666666664</v>
      </c>
      <c r="CG355" s="383">
        <f t="shared" si="293"/>
        <v>4.7857142857142855E-2</v>
      </c>
      <c r="CH355" s="320">
        <f t="shared" si="294"/>
        <v>0.10714285714285714</v>
      </c>
      <c r="CI355" s="319">
        <v>300</v>
      </c>
      <c r="CJ355" s="318">
        <f t="shared" si="273"/>
        <v>0.42857142857142855</v>
      </c>
      <c r="CK355" s="1259">
        <v>225</v>
      </c>
      <c r="CL355" s="301">
        <f t="shared" si="274"/>
        <v>75</v>
      </c>
      <c r="CM355" s="381">
        <f t="shared" si="275"/>
        <v>225</v>
      </c>
      <c r="CN355" s="381">
        <f t="shared" si="276"/>
        <v>75</v>
      </c>
      <c r="CO355" s="316">
        <f t="shared" si="295"/>
        <v>75</v>
      </c>
      <c r="CP355" s="381">
        <f t="shared" si="296"/>
        <v>8.0357142857142849E-2</v>
      </c>
      <c r="CQ355" s="381">
        <f t="shared" si="297"/>
        <v>8.0357142857142849E-2</v>
      </c>
      <c r="CR355" s="313">
        <v>126000000</v>
      </c>
      <c r="CS355" s="313">
        <v>126000000</v>
      </c>
      <c r="CT355" s="313">
        <v>0</v>
      </c>
      <c r="CU355" s="313">
        <v>0</v>
      </c>
      <c r="CV355" s="313">
        <v>0</v>
      </c>
      <c r="CW355" s="313">
        <v>0</v>
      </c>
      <c r="CX355" s="313">
        <v>0</v>
      </c>
      <c r="CY355" s="313">
        <v>0</v>
      </c>
      <c r="CZ355" s="380">
        <v>0</v>
      </c>
      <c r="DA355" s="380">
        <v>0</v>
      </c>
      <c r="DB355" s="380">
        <v>0</v>
      </c>
      <c r="DC355" s="380">
        <v>0</v>
      </c>
      <c r="DD355" s="380">
        <v>0</v>
      </c>
      <c r="DE355" s="380">
        <v>0</v>
      </c>
      <c r="DF355" s="380">
        <v>0</v>
      </c>
      <c r="DG355" s="380">
        <v>0</v>
      </c>
      <c r="DH355" s="380">
        <v>0</v>
      </c>
      <c r="DI355" s="380">
        <v>0</v>
      </c>
      <c r="DJ355" s="380">
        <v>0</v>
      </c>
      <c r="DK355" s="702">
        <f t="shared" si="277"/>
        <v>552</v>
      </c>
      <c r="DL355" s="311">
        <f t="shared" si="298"/>
        <v>0.25</v>
      </c>
      <c r="DM355" s="310">
        <f t="shared" si="299"/>
        <v>78.857142857142861</v>
      </c>
      <c r="DN355" s="356">
        <f t="shared" si="300"/>
        <v>78.857142857142861</v>
      </c>
      <c r="DO355" s="308">
        <f t="shared" si="301"/>
        <v>0.19714285714285715</v>
      </c>
      <c r="DP355" s="359">
        <f t="shared" si="309"/>
        <v>0.19714285714285715</v>
      </c>
      <c r="DQ355" s="306">
        <f t="shared" si="302"/>
        <v>0.19714285714285715</v>
      </c>
      <c r="DR355" s="379">
        <f t="shared" si="303"/>
        <v>1</v>
      </c>
      <c r="DS355" s="378">
        <f t="shared" si="304"/>
        <v>0</v>
      </c>
      <c r="DT355" s="173">
        <v>411</v>
      </c>
      <c r="DU355" s="174" t="s">
        <v>105</v>
      </c>
      <c r="DV355" s="173"/>
      <c r="DW355" s="174" t="s">
        <v>84</v>
      </c>
      <c r="DX355" s="173"/>
      <c r="DY355" s="173"/>
      <c r="DZ355" s="173"/>
      <c r="EA355" s="665"/>
      <c r="EB355" s="1254" t="s">
        <v>3117</v>
      </c>
      <c r="EC355" s="537">
        <v>960000000</v>
      </c>
      <c r="EE355" s="740">
        <v>116</v>
      </c>
      <c r="EF355" s="706"/>
    </row>
    <row r="356" spans="4:136" s="302" customFormat="1" ht="51" hidden="1">
      <c r="D356" s="520">
        <v>353</v>
      </c>
      <c r="E356" s="534">
        <v>414</v>
      </c>
      <c r="F356" s="479" t="s">
        <v>44</v>
      </c>
      <c r="G356" s="523" t="s">
        <v>13</v>
      </c>
      <c r="H356" s="479" t="s">
        <v>2668</v>
      </c>
      <c r="I356" s="435" t="s">
        <v>867</v>
      </c>
      <c r="J356" s="335" t="s">
        <v>872</v>
      </c>
      <c r="K356" s="335" t="s">
        <v>873</v>
      </c>
      <c r="L356" s="443" t="s">
        <v>1480</v>
      </c>
      <c r="M356" s="334" t="s">
        <v>1771</v>
      </c>
      <c r="N356" s="334">
        <v>0</v>
      </c>
      <c r="O356" s="333">
        <f t="shared" si="308"/>
        <v>200</v>
      </c>
      <c r="P356" s="332">
        <v>200</v>
      </c>
      <c r="Q356" s="390">
        <v>0.25</v>
      </c>
      <c r="R356" s="342">
        <f t="shared" si="282"/>
        <v>3.7499999999999999E-2</v>
      </c>
      <c r="S356" s="389">
        <v>30</v>
      </c>
      <c r="T356" s="387">
        <f t="shared" si="264"/>
        <v>0.15</v>
      </c>
      <c r="U356" s="670">
        <v>4</v>
      </c>
      <c r="V356" s="388">
        <f t="shared" si="265"/>
        <v>4</v>
      </c>
      <c r="W356" s="356">
        <f t="shared" si="266"/>
        <v>13.333333333333334</v>
      </c>
      <c r="X356" s="356">
        <f t="shared" si="283"/>
        <v>13.333333333333334</v>
      </c>
      <c r="Y356" s="356">
        <f t="shared" si="307"/>
        <v>5.0000000000000001E-3</v>
      </c>
      <c r="Z356" s="356">
        <f t="shared" si="284"/>
        <v>13.333333333333334</v>
      </c>
      <c r="AA356" s="355">
        <v>41000000</v>
      </c>
      <c r="AB356" s="355">
        <v>41000000</v>
      </c>
      <c r="AC356" s="355">
        <v>0</v>
      </c>
      <c r="AD356" s="355">
        <v>0</v>
      </c>
      <c r="AE356" s="355">
        <v>0</v>
      </c>
      <c r="AF356" s="355">
        <v>0</v>
      </c>
      <c r="AG356" s="355">
        <v>0</v>
      </c>
      <c r="AH356" s="355">
        <v>0</v>
      </c>
      <c r="AI356" s="355">
        <v>155000000</v>
      </c>
      <c r="AJ356" s="355">
        <v>155000000</v>
      </c>
      <c r="AK356" s="355">
        <v>0</v>
      </c>
      <c r="AL356" s="355">
        <v>0</v>
      </c>
      <c r="AM356" s="355">
        <v>0</v>
      </c>
      <c r="AN356" s="355">
        <v>0</v>
      </c>
      <c r="AO356" s="355">
        <v>0</v>
      </c>
      <c r="AP356" s="355">
        <v>0</v>
      </c>
      <c r="AQ356" s="355">
        <v>0</v>
      </c>
      <c r="AR356" s="355">
        <v>0</v>
      </c>
      <c r="AS356" s="355">
        <v>0</v>
      </c>
      <c r="AT356" s="333">
        <f t="shared" si="285"/>
        <v>2.5000000000000001E-2</v>
      </c>
      <c r="AU356" s="334">
        <v>20</v>
      </c>
      <c r="AV356" s="387">
        <f t="shared" si="267"/>
        <v>0.1</v>
      </c>
      <c r="AW356" s="677">
        <v>140</v>
      </c>
      <c r="AX356" s="366">
        <f t="shared" si="268"/>
        <v>140</v>
      </c>
      <c r="AY356" s="366">
        <f t="shared" si="269"/>
        <v>700</v>
      </c>
      <c r="AZ356" s="366">
        <f t="shared" si="286"/>
        <v>100</v>
      </c>
      <c r="BA356" s="354">
        <f t="shared" si="287"/>
        <v>2.5000000000000001E-2</v>
      </c>
      <c r="BB356" s="354">
        <f t="shared" si="288"/>
        <v>100</v>
      </c>
      <c r="BC356" s="353">
        <v>23000000</v>
      </c>
      <c r="BD356" s="353">
        <v>0</v>
      </c>
      <c r="BE356" s="353">
        <v>23000000</v>
      </c>
      <c r="BF356" s="353">
        <v>0</v>
      </c>
      <c r="BG356" s="353">
        <v>0</v>
      </c>
      <c r="BH356" s="353">
        <v>0</v>
      </c>
      <c r="BI356" s="353">
        <v>0</v>
      </c>
      <c r="BJ356" s="353">
        <v>0</v>
      </c>
      <c r="BK356" s="386">
        <v>55000000</v>
      </c>
      <c r="BL356" s="351">
        <v>55000000</v>
      </c>
      <c r="BM356" s="351">
        <v>0</v>
      </c>
      <c r="BN356" s="351">
        <v>0</v>
      </c>
      <c r="BO356" s="351">
        <v>0</v>
      </c>
      <c r="BP356" s="351">
        <v>0</v>
      </c>
      <c r="BQ356" s="351">
        <v>0</v>
      </c>
      <c r="BR356" s="351">
        <v>0</v>
      </c>
      <c r="BS356" s="351">
        <v>0</v>
      </c>
      <c r="BT356" s="351">
        <v>0</v>
      </c>
      <c r="BU356" s="351">
        <v>0</v>
      </c>
      <c r="BV356" s="350">
        <f t="shared" si="289"/>
        <v>8.7499999999999994E-2</v>
      </c>
      <c r="BW356" s="350">
        <v>70</v>
      </c>
      <c r="BX356" s="385">
        <f t="shared" si="270"/>
        <v>0.35</v>
      </c>
      <c r="BY356" s="369">
        <v>73</v>
      </c>
      <c r="BZ356" s="391">
        <v>93</v>
      </c>
      <c r="CA356" s="689">
        <v>92.099998474121094</v>
      </c>
      <c r="CB356" s="324">
        <f t="shared" si="271"/>
        <v>92.099998474121094</v>
      </c>
      <c r="CC356" s="324">
        <f t="shared" si="272"/>
        <v>131.57142639160156</v>
      </c>
      <c r="CD356" s="384">
        <f t="shared" si="290"/>
        <v>100</v>
      </c>
      <c r="CE356" s="383">
        <f t="shared" si="291"/>
        <v>8.7499999999999994E-2</v>
      </c>
      <c r="CF356" s="367">
        <f t="shared" si="292"/>
        <v>100</v>
      </c>
      <c r="CG356" s="383">
        <f t="shared" si="293"/>
        <v>0.11512499809265136</v>
      </c>
      <c r="CH356" s="320">
        <f t="shared" si="294"/>
        <v>0.1</v>
      </c>
      <c r="CI356" s="319">
        <v>80</v>
      </c>
      <c r="CJ356" s="318">
        <f t="shared" si="273"/>
        <v>0.4</v>
      </c>
      <c r="CK356" s="1259">
        <v>0</v>
      </c>
      <c r="CL356" s="301">
        <f t="shared" si="274"/>
        <v>80</v>
      </c>
      <c r="CM356" s="381">
        <f t="shared" si="275"/>
        <v>0</v>
      </c>
      <c r="CN356" s="381">
        <f t="shared" si="276"/>
        <v>0</v>
      </c>
      <c r="CO356" s="316">
        <f t="shared" si="295"/>
        <v>0</v>
      </c>
      <c r="CP356" s="381">
        <f t="shared" si="296"/>
        <v>0</v>
      </c>
      <c r="CQ356" s="381">
        <f t="shared" si="297"/>
        <v>0</v>
      </c>
      <c r="CR356" s="313">
        <v>54000000</v>
      </c>
      <c r="CS356" s="313">
        <v>54000000</v>
      </c>
      <c r="CT356" s="313">
        <v>0</v>
      </c>
      <c r="CU356" s="313">
        <v>0</v>
      </c>
      <c r="CV356" s="313">
        <v>0</v>
      </c>
      <c r="CW356" s="313">
        <v>0</v>
      </c>
      <c r="CX356" s="313">
        <v>0</v>
      </c>
      <c r="CY356" s="313">
        <v>0</v>
      </c>
      <c r="CZ356" s="380">
        <v>0</v>
      </c>
      <c r="DA356" s="380">
        <v>0</v>
      </c>
      <c r="DB356" s="380">
        <v>0</v>
      </c>
      <c r="DC356" s="380">
        <v>0</v>
      </c>
      <c r="DD356" s="380">
        <v>0</v>
      </c>
      <c r="DE356" s="380">
        <v>0</v>
      </c>
      <c r="DF356" s="380">
        <v>0</v>
      </c>
      <c r="DG356" s="380">
        <v>0</v>
      </c>
      <c r="DH356" s="380">
        <v>0</v>
      </c>
      <c r="DI356" s="380">
        <v>0</v>
      </c>
      <c r="DJ356" s="380">
        <v>0</v>
      </c>
      <c r="DK356" s="702">
        <f t="shared" si="277"/>
        <v>236.09999847412109</v>
      </c>
      <c r="DL356" s="311">
        <f t="shared" si="298"/>
        <v>0.25</v>
      </c>
      <c r="DM356" s="310">
        <f t="shared" si="299"/>
        <v>118.04999923706055</v>
      </c>
      <c r="DN356" s="356">
        <f t="shared" si="300"/>
        <v>100</v>
      </c>
      <c r="DO356" s="308">
        <f t="shared" si="301"/>
        <v>0.25</v>
      </c>
      <c r="DP356" s="359">
        <f t="shared" si="309"/>
        <v>0.25</v>
      </c>
      <c r="DQ356" s="306">
        <f t="shared" si="302"/>
        <v>0.25</v>
      </c>
      <c r="DR356" s="379">
        <f t="shared" si="303"/>
        <v>1</v>
      </c>
      <c r="DS356" s="378">
        <f t="shared" si="304"/>
        <v>0</v>
      </c>
      <c r="DT356" s="173">
        <v>411</v>
      </c>
      <c r="DU356" s="174" t="s">
        <v>105</v>
      </c>
      <c r="DV356" s="173"/>
      <c r="DW356" s="174" t="s">
        <v>84</v>
      </c>
      <c r="DX356" s="173"/>
      <c r="DY356" s="173"/>
      <c r="DZ356" s="173"/>
      <c r="EA356" s="665"/>
      <c r="EB356" s="1254" t="s">
        <v>3118</v>
      </c>
      <c r="EC356" s="537">
        <v>3030000000</v>
      </c>
      <c r="EE356" s="734">
        <v>90</v>
      </c>
      <c r="EF356" s="706"/>
    </row>
    <row r="357" spans="4:136" s="302" customFormat="1" ht="76.5" hidden="1">
      <c r="D357" s="520">
        <v>354</v>
      </c>
      <c r="E357" s="534">
        <v>415</v>
      </c>
      <c r="F357" s="479" t="s">
        <v>44</v>
      </c>
      <c r="G357" s="523" t="s">
        <v>13</v>
      </c>
      <c r="H357" s="479" t="s">
        <v>2668</v>
      </c>
      <c r="I357" s="435" t="s">
        <v>867</v>
      </c>
      <c r="J357" s="335" t="s">
        <v>874</v>
      </c>
      <c r="K357" s="335" t="s">
        <v>875</v>
      </c>
      <c r="L357" s="443" t="s">
        <v>1890</v>
      </c>
      <c r="M357" s="334" t="s">
        <v>1771</v>
      </c>
      <c r="N357" s="334">
        <v>0</v>
      </c>
      <c r="O357" s="333">
        <f t="shared" si="308"/>
        <v>2</v>
      </c>
      <c r="P357" s="332">
        <v>2</v>
      </c>
      <c r="Q357" s="390">
        <v>0.16500000000000001</v>
      </c>
      <c r="R357" s="342">
        <f t="shared" si="282"/>
        <v>0</v>
      </c>
      <c r="S357" s="389">
        <v>0</v>
      </c>
      <c r="T357" s="387">
        <f t="shared" si="264"/>
        <v>0</v>
      </c>
      <c r="U357" s="670">
        <v>0</v>
      </c>
      <c r="V357" s="388">
        <f t="shared" si="265"/>
        <v>0</v>
      </c>
      <c r="W357" s="356">
        <f t="shared" si="266"/>
        <v>0</v>
      </c>
      <c r="X357" s="356">
        <f t="shared" si="283"/>
        <v>0</v>
      </c>
      <c r="Y357" s="356">
        <f t="shared" si="307"/>
        <v>0</v>
      </c>
      <c r="Z357" s="356">
        <f t="shared" si="284"/>
        <v>0</v>
      </c>
      <c r="AA357" s="355">
        <v>0</v>
      </c>
      <c r="AB357" s="355">
        <v>0</v>
      </c>
      <c r="AC357" s="355">
        <v>0</v>
      </c>
      <c r="AD357" s="355">
        <v>0</v>
      </c>
      <c r="AE357" s="355">
        <v>0</v>
      </c>
      <c r="AF357" s="355">
        <v>0</v>
      </c>
      <c r="AG357" s="355">
        <v>0</v>
      </c>
      <c r="AH357" s="355">
        <v>0</v>
      </c>
      <c r="AI357" s="355">
        <v>59540000</v>
      </c>
      <c r="AJ357" s="355">
        <v>59540000</v>
      </c>
      <c r="AK357" s="355">
        <v>0</v>
      </c>
      <c r="AL357" s="355">
        <v>0</v>
      </c>
      <c r="AM357" s="355">
        <v>0</v>
      </c>
      <c r="AN357" s="355">
        <v>0</v>
      </c>
      <c r="AO357" s="355">
        <v>0</v>
      </c>
      <c r="AP357" s="355">
        <v>0</v>
      </c>
      <c r="AQ357" s="355">
        <v>0</v>
      </c>
      <c r="AR357" s="355">
        <v>0</v>
      </c>
      <c r="AS357" s="355">
        <v>0</v>
      </c>
      <c r="AT357" s="333">
        <f t="shared" si="285"/>
        <v>8.2500000000000004E-2</v>
      </c>
      <c r="AU357" s="334">
        <v>1</v>
      </c>
      <c r="AV357" s="387">
        <f t="shared" si="267"/>
        <v>0.5</v>
      </c>
      <c r="AW357" s="677">
        <v>1</v>
      </c>
      <c r="AX357" s="366">
        <f t="shared" si="268"/>
        <v>1</v>
      </c>
      <c r="AY357" s="366">
        <f t="shared" si="269"/>
        <v>100</v>
      </c>
      <c r="AZ357" s="366">
        <f t="shared" si="286"/>
        <v>100</v>
      </c>
      <c r="BA357" s="354">
        <f t="shared" si="287"/>
        <v>8.2500000000000004E-2</v>
      </c>
      <c r="BB357" s="354">
        <f t="shared" si="288"/>
        <v>100</v>
      </c>
      <c r="BC357" s="353">
        <v>26000000</v>
      </c>
      <c r="BD357" s="353">
        <v>0</v>
      </c>
      <c r="BE357" s="353">
        <v>26000000</v>
      </c>
      <c r="BF357" s="353">
        <v>0</v>
      </c>
      <c r="BG357" s="353">
        <v>0</v>
      </c>
      <c r="BH357" s="353">
        <v>0</v>
      </c>
      <c r="BI357" s="353">
        <v>0</v>
      </c>
      <c r="BJ357" s="353">
        <v>0</v>
      </c>
      <c r="BK357" s="386">
        <v>198774072</v>
      </c>
      <c r="BL357" s="351">
        <v>198774072</v>
      </c>
      <c r="BM357" s="351">
        <v>0</v>
      </c>
      <c r="BN357" s="351">
        <v>0</v>
      </c>
      <c r="BO357" s="351">
        <v>0</v>
      </c>
      <c r="BP357" s="351">
        <v>0</v>
      </c>
      <c r="BQ357" s="351">
        <v>0</v>
      </c>
      <c r="BR357" s="351">
        <v>0</v>
      </c>
      <c r="BS357" s="351">
        <v>0</v>
      </c>
      <c r="BT357" s="351">
        <v>0</v>
      </c>
      <c r="BU357" s="351">
        <v>0</v>
      </c>
      <c r="BV357" s="350">
        <f t="shared" si="289"/>
        <v>0</v>
      </c>
      <c r="BW357" s="350">
        <v>0</v>
      </c>
      <c r="BX357" s="385">
        <f t="shared" si="270"/>
        <v>0</v>
      </c>
      <c r="BY357" s="399">
        <v>0.25</v>
      </c>
      <c r="BZ357" s="398">
        <v>0.62999999523162842</v>
      </c>
      <c r="CA357" s="690">
        <v>1</v>
      </c>
      <c r="CB357" s="324">
        <f t="shared" si="271"/>
        <v>1</v>
      </c>
      <c r="CC357" s="324">
        <f t="shared" si="272"/>
        <v>0</v>
      </c>
      <c r="CD357" s="384">
        <f t="shared" si="290"/>
        <v>0</v>
      </c>
      <c r="CE357" s="383">
        <f t="shared" si="291"/>
        <v>0</v>
      </c>
      <c r="CF357" s="367">
        <f t="shared" si="292"/>
        <v>100</v>
      </c>
      <c r="CG357" s="383">
        <f t="shared" si="293"/>
        <v>0</v>
      </c>
      <c r="CH357" s="320">
        <f t="shared" si="294"/>
        <v>8.2500000000000004E-2</v>
      </c>
      <c r="CI357" s="319">
        <v>1</v>
      </c>
      <c r="CJ357" s="318">
        <f t="shared" si="273"/>
        <v>0.5</v>
      </c>
      <c r="CK357" s="1259">
        <v>0</v>
      </c>
      <c r="CL357" s="301">
        <f t="shared" si="274"/>
        <v>1</v>
      </c>
      <c r="CM357" s="381">
        <f t="shared" si="275"/>
        <v>0</v>
      </c>
      <c r="CN357" s="381">
        <f t="shared" si="276"/>
        <v>0</v>
      </c>
      <c r="CO357" s="316">
        <f t="shared" si="295"/>
        <v>0</v>
      </c>
      <c r="CP357" s="381">
        <f t="shared" si="296"/>
        <v>0</v>
      </c>
      <c r="CQ357" s="381">
        <f t="shared" si="297"/>
        <v>0</v>
      </c>
      <c r="CR357" s="313">
        <v>60000000</v>
      </c>
      <c r="CS357" s="313">
        <v>60000000</v>
      </c>
      <c r="CT357" s="313">
        <v>0</v>
      </c>
      <c r="CU357" s="313">
        <v>0</v>
      </c>
      <c r="CV357" s="313">
        <v>0</v>
      </c>
      <c r="CW357" s="313">
        <v>0</v>
      </c>
      <c r="CX357" s="313">
        <v>0</v>
      </c>
      <c r="CY357" s="313">
        <v>0</v>
      </c>
      <c r="CZ357" s="380">
        <v>0</v>
      </c>
      <c r="DA357" s="380">
        <v>0</v>
      </c>
      <c r="DB357" s="380">
        <v>0</v>
      </c>
      <c r="DC357" s="380">
        <v>0</v>
      </c>
      <c r="DD357" s="380">
        <v>0</v>
      </c>
      <c r="DE357" s="380">
        <v>0</v>
      </c>
      <c r="DF357" s="380">
        <v>0</v>
      </c>
      <c r="DG357" s="380">
        <v>0</v>
      </c>
      <c r="DH357" s="380">
        <v>0</v>
      </c>
      <c r="DI357" s="380">
        <v>0</v>
      </c>
      <c r="DJ357" s="380">
        <v>0</v>
      </c>
      <c r="DK357" s="702">
        <f t="shared" si="277"/>
        <v>2</v>
      </c>
      <c r="DL357" s="311">
        <f t="shared" si="298"/>
        <v>0.16500000000000001</v>
      </c>
      <c r="DM357" s="310">
        <f t="shared" si="299"/>
        <v>100</v>
      </c>
      <c r="DN357" s="356">
        <f t="shared" si="300"/>
        <v>100</v>
      </c>
      <c r="DO357" s="308">
        <f t="shared" si="301"/>
        <v>0.16500000000000001</v>
      </c>
      <c r="DP357" s="359">
        <f t="shared" si="309"/>
        <v>0.16500000000000001</v>
      </c>
      <c r="DQ357" s="306">
        <f t="shared" si="302"/>
        <v>0.16500000000000001</v>
      </c>
      <c r="DR357" s="379">
        <f t="shared" si="303"/>
        <v>1</v>
      </c>
      <c r="DS357" s="378">
        <f t="shared" si="304"/>
        <v>0</v>
      </c>
      <c r="DT357" s="173">
        <v>411</v>
      </c>
      <c r="DU357" s="174" t="s">
        <v>105</v>
      </c>
      <c r="DV357" s="173"/>
      <c r="DW357" s="174" t="s">
        <v>84</v>
      </c>
      <c r="DX357" s="173"/>
      <c r="DY357" s="173"/>
      <c r="DZ357" s="173"/>
      <c r="EA357" s="665"/>
      <c r="EB357" s="1254" t="s">
        <v>3119</v>
      </c>
      <c r="EC357" s="537">
        <v>58000000</v>
      </c>
      <c r="EE357" s="734">
        <v>30</v>
      </c>
      <c r="EF357" s="706"/>
    </row>
    <row r="358" spans="4:136" s="302" customFormat="1" ht="114.75" hidden="1">
      <c r="D358" s="520">
        <v>355</v>
      </c>
      <c r="E358" s="534">
        <v>416</v>
      </c>
      <c r="F358" s="479" t="s">
        <v>44</v>
      </c>
      <c r="G358" s="523" t="s">
        <v>13</v>
      </c>
      <c r="H358" s="479" t="s">
        <v>2668</v>
      </c>
      <c r="I358" s="435" t="s">
        <v>876</v>
      </c>
      <c r="J358" s="335" t="s">
        <v>877</v>
      </c>
      <c r="K358" s="335" t="s">
        <v>878</v>
      </c>
      <c r="L358" s="443" t="s">
        <v>1540</v>
      </c>
      <c r="M358" s="334" t="s">
        <v>1771</v>
      </c>
      <c r="N358" s="334">
        <v>0</v>
      </c>
      <c r="O358" s="333">
        <f t="shared" si="308"/>
        <v>100</v>
      </c>
      <c r="P358" s="332">
        <v>100</v>
      </c>
      <c r="Q358" s="390">
        <v>0.16500000000000001</v>
      </c>
      <c r="R358" s="342">
        <f t="shared" si="282"/>
        <v>0</v>
      </c>
      <c r="S358" s="389">
        <v>0</v>
      </c>
      <c r="T358" s="387">
        <f t="shared" si="264"/>
        <v>0</v>
      </c>
      <c r="U358" s="670">
        <v>0</v>
      </c>
      <c r="V358" s="388">
        <f t="shared" si="265"/>
        <v>0</v>
      </c>
      <c r="W358" s="356">
        <f t="shared" si="266"/>
        <v>0</v>
      </c>
      <c r="X358" s="356">
        <f t="shared" si="283"/>
        <v>0</v>
      </c>
      <c r="Y358" s="356">
        <f t="shared" si="307"/>
        <v>0</v>
      </c>
      <c r="Z358" s="356">
        <f t="shared" si="284"/>
        <v>0</v>
      </c>
      <c r="AA358" s="355">
        <v>0</v>
      </c>
      <c r="AB358" s="355">
        <v>0</v>
      </c>
      <c r="AC358" s="355">
        <v>0</v>
      </c>
      <c r="AD358" s="355">
        <v>0</v>
      </c>
      <c r="AE358" s="355">
        <v>0</v>
      </c>
      <c r="AF358" s="355">
        <v>0</v>
      </c>
      <c r="AG358" s="355">
        <v>0</v>
      </c>
      <c r="AH358" s="355">
        <v>0</v>
      </c>
      <c r="AI358" s="355">
        <v>0</v>
      </c>
      <c r="AJ358" s="355">
        <v>0</v>
      </c>
      <c r="AK358" s="355">
        <v>0</v>
      </c>
      <c r="AL358" s="355">
        <v>0</v>
      </c>
      <c r="AM358" s="355">
        <v>0</v>
      </c>
      <c r="AN358" s="355">
        <v>0</v>
      </c>
      <c r="AO358" s="355">
        <v>0</v>
      </c>
      <c r="AP358" s="355">
        <v>0</v>
      </c>
      <c r="AQ358" s="355">
        <v>0</v>
      </c>
      <c r="AR358" s="355">
        <v>0</v>
      </c>
      <c r="AS358" s="355">
        <v>0</v>
      </c>
      <c r="AT358" s="333">
        <f t="shared" si="285"/>
        <v>4.9500000000000002E-2</v>
      </c>
      <c r="AU358" s="334">
        <v>30</v>
      </c>
      <c r="AV358" s="387">
        <f t="shared" si="267"/>
        <v>0.3</v>
      </c>
      <c r="AW358" s="677">
        <v>10</v>
      </c>
      <c r="AX358" s="366">
        <f t="shared" si="268"/>
        <v>10</v>
      </c>
      <c r="AY358" s="366">
        <f t="shared" si="269"/>
        <v>33.333333333333336</v>
      </c>
      <c r="AZ358" s="366">
        <f t="shared" si="286"/>
        <v>33.333333333333336</v>
      </c>
      <c r="BA358" s="354">
        <f t="shared" si="287"/>
        <v>1.6500000000000001E-2</v>
      </c>
      <c r="BB358" s="354">
        <f t="shared" si="288"/>
        <v>33.333333333333336</v>
      </c>
      <c r="BC358" s="353">
        <v>26000000</v>
      </c>
      <c r="BD358" s="353">
        <v>0</v>
      </c>
      <c r="BE358" s="353">
        <v>26000000</v>
      </c>
      <c r="BF358" s="353">
        <v>0</v>
      </c>
      <c r="BG358" s="353">
        <v>0</v>
      </c>
      <c r="BH358" s="353">
        <v>0</v>
      </c>
      <c r="BI358" s="353">
        <v>0</v>
      </c>
      <c r="BJ358" s="353">
        <v>0</v>
      </c>
      <c r="BK358" s="386">
        <v>1845000</v>
      </c>
      <c r="BL358" s="351">
        <v>1845000</v>
      </c>
      <c r="BM358" s="351">
        <v>0</v>
      </c>
      <c r="BN358" s="351">
        <v>0</v>
      </c>
      <c r="BO358" s="351">
        <v>0</v>
      </c>
      <c r="BP358" s="351">
        <v>0</v>
      </c>
      <c r="BQ358" s="351">
        <v>0</v>
      </c>
      <c r="BR358" s="351">
        <v>0</v>
      </c>
      <c r="BS358" s="351">
        <v>0</v>
      </c>
      <c r="BT358" s="351">
        <v>0</v>
      </c>
      <c r="BU358" s="351">
        <v>0</v>
      </c>
      <c r="BV358" s="350">
        <f t="shared" si="289"/>
        <v>4.9500000000000002E-2</v>
      </c>
      <c r="BW358" s="350">
        <v>30</v>
      </c>
      <c r="BX358" s="385">
        <f t="shared" si="270"/>
        <v>0.3</v>
      </c>
      <c r="BY358" s="369">
        <v>0.2</v>
      </c>
      <c r="BZ358" s="391">
        <v>0.20000000298023224</v>
      </c>
      <c r="CA358" s="689">
        <v>20</v>
      </c>
      <c r="CB358" s="324">
        <f t="shared" si="271"/>
        <v>20</v>
      </c>
      <c r="CC358" s="324">
        <f t="shared" si="272"/>
        <v>66.666666666666671</v>
      </c>
      <c r="CD358" s="384">
        <f t="shared" si="290"/>
        <v>66.666666666666671</v>
      </c>
      <c r="CE358" s="383">
        <f t="shared" si="291"/>
        <v>3.3000000000000002E-2</v>
      </c>
      <c r="CF358" s="367">
        <f t="shared" si="292"/>
        <v>66.666666666666671</v>
      </c>
      <c r="CG358" s="383">
        <f t="shared" si="293"/>
        <v>3.3000000000000002E-2</v>
      </c>
      <c r="CH358" s="320">
        <f t="shared" si="294"/>
        <v>6.6000000000000003E-2</v>
      </c>
      <c r="CI358" s="396">
        <v>40</v>
      </c>
      <c r="CJ358" s="318">
        <f t="shared" si="273"/>
        <v>0.4</v>
      </c>
      <c r="CK358" s="1259">
        <v>70</v>
      </c>
      <c r="CL358" s="301">
        <f t="shared" si="274"/>
        <v>-30</v>
      </c>
      <c r="CM358" s="381">
        <f t="shared" si="275"/>
        <v>70</v>
      </c>
      <c r="CN358" s="381">
        <f t="shared" si="276"/>
        <v>175</v>
      </c>
      <c r="CO358" s="316">
        <f t="shared" si="295"/>
        <v>100</v>
      </c>
      <c r="CP358" s="381">
        <f t="shared" si="296"/>
        <v>6.6000000000000003E-2</v>
      </c>
      <c r="CQ358" s="381">
        <f t="shared" si="297"/>
        <v>0.11550000000000001</v>
      </c>
      <c r="CR358" s="313">
        <v>60000000</v>
      </c>
      <c r="CS358" s="313">
        <v>60000000</v>
      </c>
      <c r="CT358" s="313">
        <v>0</v>
      </c>
      <c r="CU358" s="313">
        <v>0</v>
      </c>
      <c r="CV358" s="313">
        <v>0</v>
      </c>
      <c r="CW358" s="313">
        <v>0</v>
      </c>
      <c r="CX358" s="313">
        <v>0</v>
      </c>
      <c r="CY358" s="313">
        <v>0</v>
      </c>
      <c r="CZ358" s="380">
        <v>0</v>
      </c>
      <c r="DA358" s="380">
        <v>0</v>
      </c>
      <c r="DB358" s="380">
        <v>0</v>
      </c>
      <c r="DC358" s="380">
        <v>0</v>
      </c>
      <c r="DD358" s="380">
        <v>0</v>
      </c>
      <c r="DE358" s="380">
        <v>0</v>
      </c>
      <c r="DF358" s="380">
        <v>0</v>
      </c>
      <c r="DG358" s="380">
        <v>0</v>
      </c>
      <c r="DH358" s="380">
        <v>0</v>
      </c>
      <c r="DI358" s="380">
        <v>0</v>
      </c>
      <c r="DJ358" s="380">
        <v>0</v>
      </c>
      <c r="DK358" s="702">
        <f t="shared" si="277"/>
        <v>100</v>
      </c>
      <c r="DL358" s="311">
        <f t="shared" si="298"/>
        <v>0.16500000000000001</v>
      </c>
      <c r="DM358" s="310">
        <f t="shared" si="299"/>
        <v>100</v>
      </c>
      <c r="DN358" s="356">
        <f t="shared" si="300"/>
        <v>100</v>
      </c>
      <c r="DO358" s="308">
        <f t="shared" si="301"/>
        <v>0.16500000000000001</v>
      </c>
      <c r="DP358" s="359">
        <f t="shared" si="309"/>
        <v>0.16500000000000001</v>
      </c>
      <c r="DQ358" s="306">
        <f t="shared" si="302"/>
        <v>0.16500000000000001</v>
      </c>
      <c r="DR358" s="379">
        <f t="shared" si="303"/>
        <v>1</v>
      </c>
      <c r="DS358" s="378">
        <f t="shared" si="304"/>
        <v>0</v>
      </c>
      <c r="DT358" s="173">
        <v>411</v>
      </c>
      <c r="DU358" s="174" t="s">
        <v>105</v>
      </c>
      <c r="DV358" s="173"/>
      <c r="DW358" s="174" t="s">
        <v>84</v>
      </c>
      <c r="DX358" s="173"/>
      <c r="DY358" s="173"/>
      <c r="DZ358" s="173"/>
      <c r="EA358" s="665"/>
      <c r="EB358" s="1254" t="s">
        <v>3120</v>
      </c>
      <c r="EC358" s="537">
        <v>533000000</v>
      </c>
      <c r="EE358" s="734">
        <v>10</v>
      </c>
      <c r="EF358" s="706"/>
    </row>
    <row r="359" spans="4:136" s="302" customFormat="1" ht="76.5" hidden="1">
      <c r="D359" s="520">
        <v>356</v>
      </c>
      <c r="E359" s="534">
        <v>417</v>
      </c>
      <c r="F359" s="479" t="s">
        <v>44</v>
      </c>
      <c r="G359" s="523" t="s">
        <v>13</v>
      </c>
      <c r="H359" s="479" t="s">
        <v>2668</v>
      </c>
      <c r="I359" s="435" t="s">
        <v>879</v>
      </c>
      <c r="J359" s="335" t="s">
        <v>880</v>
      </c>
      <c r="K359" s="335" t="s">
        <v>881</v>
      </c>
      <c r="L359" s="443" t="s">
        <v>1889</v>
      </c>
      <c r="M359" s="334" t="s">
        <v>1771</v>
      </c>
      <c r="N359" s="334">
        <v>0</v>
      </c>
      <c r="O359" s="333">
        <f t="shared" si="308"/>
        <v>1</v>
      </c>
      <c r="P359" s="332">
        <v>1</v>
      </c>
      <c r="Q359" s="390">
        <v>0.16500000000000001</v>
      </c>
      <c r="R359" s="342">
        <f t="shared" si="282"/>
        <v>0</v>
      </c>
      <c r="S359" s="389">
        <v>0</v>
      </c>
      <c r="T359" s="387">
        <f t="shared" si="264"/>
        <v>0</v>
      </c>
      <c r="U359" s="670">
        <v>0</v>
      </c>
      <c r="V359" s="388">
        <f t="shared" si="265"/>
        <v>0</v>
      </c>
      <c r="W359" s="356">
        <f t="shared" si="266"/>
        <v>0</v>
      </c>
      <c r="X359" s="356">
        <f t="shared" si="283"/>
        <v>0</v>
      </c>
      <c r="Y359" s="356">
        <f t="shared" si="307"/>
        <v>0</v>
      </c>
      <c r="Z359" s="356">
        <f t="shared" si="284"/>
        <v>0</v>
      </c>
      <c r="AA359" s="355">
        <v>0</v>
      </c>
      <c r="AB359" s="355">
        <v>0</v>
      </c>
      <c r="AC359" s="355">
        <v>0</v>
      </c>
      <c r="AD359" s="355">
        <v>0</v>
      </c>
      <c r="AE359" s="355">
        <v>0</v>
      </c>
      <c r="AF359" s="355">
        <v>0</v>
      </c>
      <c r="AG359" s="355">
        <v>0</v>
      </c>
      <c r="AH359" s="355">
        <v>0</v>
      </c>
      <c r="AI359" s="355">
        <v>0</v>
      </c>
      <c r="AJ359" s="355">
        <v>0</v>
      </c>
      <c r="AK359" s="355">
        <v>0</v>
      </c>
      <c r="AL359" s="355">
        <v>0</v>
      </c>
      <c r="AM359" s="355">
        <v>0</v>
      </c>
      <c r="AN359" s="355">
        <v>0</v>
      </c>
      <c r="AO359" s="355">
        <v>0</v>
      </c>
      <c r="AP359" s="355">
        <v>0</v>
      </c>
      <c r="AQ359" s="355">
        <v>0</v>
      </c>
      <c r="AR359" s="355">
        <v>0</v>
      </c>
      <c r="AS359" s="355">
        <v>0</v>
      </c>
      <c r="AT359" s="333">
        <f t="shared" si="285"/>
        <v>4.9500000000000002E-2</v>
      </c>
      <c r="AU359" s="334">
        <v>0.3</v>
      </c>
      <c r="AV359" s="387">
        <f t="shared" si="267"/>
        <v>0.3</v>
      </c>
      <c r="AW359" s="677">
        <v>0.3</v>
      </c>
      <c r="AX359" s="366">
        <f t="shared" si="268"/>
        <v>0.3</v>
      </c>
      <c r="AY359" s="366">
        <f t="shared" si="269"/>
        <v>100</v>
      </c>
      <c r="AZ359" s="366">
        <f t="shared" si="286"/>
        <v>100</v>
      </c>
      <c r="BA359" s="354">
        <f t="shared" si="287"/>
        <v>4.9500000000000002E-2</v>
      </c>
      <c r="BB359" s="354">
        <f t="shared" si="288"/>
        <v>100</v>
      </c>
      <c r="BC359" s="353">
        <v>3000000</v>
      </c>
      <c r="BD359" s="353">
        <v>0</v>
      </c>
      <c r="BE359" s="353">
        <v>3000000</v>
      </c>
      <c r="BF359" s="353">
        <v>0</v>
      </c>
      <c r="BG359" s="353">
        <v>0</v>
      </c>
      <c r="BH359" s="353">
        <v>0</v>
      </c>
      <c r="BI359" s="353">
        <v>0</v>
      </c>
      <c r="BJ359" s="353">
        <v>0</v>
      </c>
      <c r="BK359" s="386">
        <v>133292000</v>
      </c>
      <c r="BL359" s="351">
        <v>133292000</v>
      </c>
      <c r="BM359" s="351">
        <v>0</v>
      </c>
      <c r="BN359" s="351">
        <v>0</v>
      </c>
      <c r="BO359" s="351">
        <v>0</v>
      </c>
      <c r="BP359" s="351">
        <v>0</v>
      </c>
      <c r="BQ359" s="351">
        <v>0</v>
      </c>
      <c r="BR359" s="351">
        <v>0</v>
      </c>
      <c r="BS359" s="351">
        <v>0</v>
      </c>
      <c r="BT359" s="351">
        <v>0</v>
      </c>
      <c r="BU359" s="351">
        <v>0</v>
      </c>
      <c r="BV359" s="350">
        <f t="shared" si="289"/>
        <v>4.9500000000000002E-2</v>
      </c>
      <c r="BW359" s="350">
        <v>0.3</v>
      </c>
      <c r="BX359" s="385">
        <f t="shared" si="270"/>
        <v>0.3</v>
      </c>
      <c r="BY359" s="369">
        <v>0.3</v>
      </c>
      <c r="BZ359" s="391">
        <v>0.44999998807907104</v>
      </c>
      <c r="CA359" s="689">
        <v>1</v>
      </c>
      <c r="CB359" s="324">
        <f t="shared" si="271"/>
        <v>1</v>
      </c>
      <c r="CC359" s="324">
        <f t="shared" si="272"/>
        <v>333.33333333333337</v>
      </c>
      <c r="CD359" s="384">
        <f t="shared" si="290"/>
        <v>100</v>
      </c>
      <c r="CE359" s="383">
        <f t="shared" si="291"/>
        <v>4.9500000000000002E-2</v>
      </c>
      <c r="CF359" s="367">
        <f t="shared" si="292"/>
        <v>100</v>
      </c>
      <c r="CG359" s="383">
        <f t="shared" si="293"/>
        <v>0.16500000000000004</v>
      </c>
      <c r="CH359" s="320">
        <f t="shared" si="294"/>
        <v>6.6000000000000003E-2</v>
      </c>
      <c r="CI359" s="319">
        <v>0.4</v>
      </c>
      <c r="CJ359" s="318">
        <f t="shared" si="273"/>
        <v>0.4</v>
      </c>
      <c r="CK359" s="1259">
        <v>0.6</v>
      </c>
      <c r="CL359" s="301">
        <f t="shared" si="274"/>
        <v>-0.19999999999999996</v>
      </c>
      <c r="CM359" s="381">
        <f t="shared" si="275"/>
        <v>0.6</v>
      </c>
      <c r="CN359" s="381">
        <f t="shared" si="276"/>
        <v>150</v>
      </c>
      <c r="CO359" s="316">
        <f t="shared" si="295"/>
        <v>100</v>
      </c>
      <c r="CP359" s="381">
        <f t="shared" si="296"/>
        <v>6.6000000000000003E-2</v>
      </c>
      <c r="CQ359" s="381">
        <f t="shared" si="297"/>
        <v>9.9000000000000005E-2</v>
      </c>
      <c r="CR359" s="313">
        <v>7000000</v>
      </c>
      <c r="CS359" s="313">
        <v>7000000</v>
      </c>
      <c r="CT359" s="313">
        <v>0</v>
      </c>
      <c r="CU359" s="313">
        <v>0</v>
      </c>
      <c r="CV359" s="313">
        <v>0</v>
      </c>
      <c r="CW359" s="313">
        <v>0</v>
      </c>
      <c r="CX359" s="313">
        <v>0</v>
      </c>
      <c r="CY359" s="313">
        <v>0</v>
      </c>
      <c r="CZ359" s="380">
        <v>0</v>
      </c>
      <c r="DA359" s="380">
        <v>0</v>
      </c>
      <c r="DB359" s="380">
        <v>0</v>
      </c>
      <c r="DC359" s="380">
        <v>0</v>
      </c>
      <c r="DD359" s="380">
        <v>0</v>
      </c>
      <c r="DE359" s="380">
        <v>0</v>
      </c>
      <c r="DF359" s="380">
        <v>0</v>
      </c>
      <c r="DG359" s="380">
        <v>0</v>
      </c>
      <c r="DH359" s="380">
        <v>0</v>
      </c>
      <c r="DI359" s="380">
        <v>0</v>
      </c>
      <c r="DJ359" s="380">
        <v>0</v>
      </c>
      <c r="DK359" s="702">
        <f t="shared" si="277"/>
        <v>1.9</v>
      </c>
      <c r="DL359" s="311">
        <f t="shared" si="298"/>
        <v>0.16500000000000001</v>
      </c>
      <c r="DM359" s="310">
        <f t="shared" si="299"/>
        <v>190</v>
      </c>
      <c r="DN359" s="356">
        <f t="shared" si="300"/>
        <v>100</v>
      </c>
      <c r="DO359" s="308">
        <f t="shared" si="301"/>
        <v>0.16500000000000001</v>
      </c>
      <c r="DP359" s="359">
        <f t="shared" si="309"/>
        <v>0.16500000000000001</v>
      </c>
      <c r="DQ359" s="306">
        <f t="shared" si="302"/>
        <v>0.16500000000000001</v>
      </c>
      <c r="DR359" s="379">
        <f t="shared" si="303"/>
        <v>1</v>
      </c>
      <c r="DS359" s="378">
        <f t="shared" si="304"/>
        <v>0</v>
      </c>
      <c r="DT359" s="173">
        <v>411</v>
      </c>
      <c r="DU359" s="174" t="s">
        <v>105</v>
      </c>
      <c r="DV359" s="173"/>
      <c r="DW359" s="174" t="s">
        <v>84</v>
      </c>
      <c r="DX359" s="173"/>
      <c r="DY359" s="173"/>
      <c r="DZ359" s="173"/>
      <c r="EA359" s="665"/>
      <c r="EB359" s="1254" t="s">
        <v>3121</v>
      </c>
      <c r="EC359" s="537">
        <v>25000000</v>
      </c>
      <c r="EE359" s="734">
        <v>150000</v>
      </c>
      <c r="EF359" s="706"/>
    </row>
    <row r="360" spans="4:136" s="302" customFormat="1" ht="89.25" hidden="1">
      <c r="D360" s="520">
        <v>357</v>
      </c>
      <c r="E360" s="534">
        <v>418</v>
      </c>
      <c r="F360" s="479" t="s">
        <v>44</v>
      </c>
      <c r="G360" s="523" t="s">
        <v>13</v>
      </c>
      <c r="H360" s="479" t="s">
        <v>2668</v>
      </c>
      <c r="I360" s="435" t="s">
        <v>882</v>
      </c>
      <c r="J360" s="335" t="s">
        <v>883</v>
      </c>
      <c r="K360" s="335" t="s">
        <v>884</v>
      </c>
      <c r="L360" s="443" t="s">
        <v>1888</v>
      </c>
      <c r="M360" s="334" t="s">
        <v>1771</v>
      </c>
      <c r="N360" s="334">
        <v>0</v>
      </c>
      <c r="O360" s="333">
        <f t="shared" si="308"/>
        <v>2</v>
      </c>
      <c r="P360" s="332">
        <v>2</v>
      </c>
      <c r="Q360" s="390">
        <v>0.16500000000000001</v>
      </c>
      <c r="R360" s="342">
        <f t="shared" si="282"/>
        <v>0</v>
      </c>
      <c r="S360" s="389">
        <v>0</v>
      </c>
      <c r="T360" s="387">
        <f t="shared" si="264"/>
        <v>0</v>
      </c>
      <c r="U360" s="670">
        <v>0</v>
      </c>
      <c r="V360" s="388">
        <f t="shared" si="265"/>
        <v>0</v>
      </c>
      <c r="W360" s="356">
        <f t="shared" si="266"/>
        <v>0</v>
      </c>
      <c r="X360" s="356">
        <f t="shared" si="283"/>
        <v>0</v>
      </c>
      <c r="Y360" s="356">
        <f t="shared" si="307"/>
        <v>0</v>
      </c>
      <c r="Z360" s="356">
        <f t="shared" si="284"/>
        <v>0</v>
      </c>
      <c r="AA360" s="355">
        <v>70000000</v>
      </c>
      <c r="AB360" s="355">
        <v>70000000</v>
      </c>
      <c r="AC360" s="355">
        <v>0</v>
      </c>
      <c r="AD360" s="355">
        <v>0</v>
      </c>
      <c r="AE360" s="355">
        <v>0</v>
      </c>
      <c r="AF360" s="355">
        <v>0</v>
      </c>
      <c r="AG360" s="355">
        <v>0</v>
      </c>
      <c r="AH360" s="355">
        <v>0</v>
      </c>
      <c r="AI360" s="355">
        <v>0</v>
      </c>
      <c r="AJ360" s="355">
        <v>0</v>
      </c>
      <c r="AK360" s="355">
        <v>0</v>
      </c>
      <c r="AL360" s="355">
        <v>0</v>
      </c>
      <c r="AM360" s="355">
        <v>0</v>
      </c>
      <c r="AN360" s="355">
        <v>0</v>
      </c>
      <c r="AO360" s="355">
        <v>0</v>
      </c>
      <c r="AP360" s="355">
        <v>0</v>
      </c>
      <c r="AQ360" s="355">
        <v>0</v>
      </c>
      <c r="AR360" s="355">
        <v>0</v>
      </c>
      <c r="AS360" s="355">
        <v>0</v>
      </c>
      <c r="AT360" s="333">
        <f t="shared" si="285"/>
        <v>8.2500000000000004E-2</v>
      </c>
      <c r="AU360" s="334">
        <v>1</v>
      </c>
      <c r="AV360" s="387">
        <f t="shared" si="267"/>
        <v>0.5</v>
      </c>
      <c r="AW360" s="677">
        <v>1</v>
      </c>
      <c r="AX360" s="366">
        <f t="shared" si="268"/>
        <v>1</v>
      </c>
      <c r="AY360" s="366">
        <f t="shared" si="269"/>
        <v>100</v>
      </c>
      <c r="AZ360" s="366">
        <f t="shared" si="286"/>
        <v>100</v>
      </c>
      <c r="BA360" s="354">
        <f t="shared" si="287"/>
        <v>8.2500000000000004E-2</v>
      </c>
      <c r="BB360" s="354">
        <f t="shared" si="288"/>
        <v>100</v>
      </c>
      <c r="BC360" s="353">
        <v>0</v>
      </c>
      <c r="BD360" s="353">
        <v>0</v>
      </c>
      <c r="BE360" s="353">
        <v>0</v>
      </c>
      <c r="BF360" s="353">
        <v>0</v>
      </c>
      <c r="BG360" s="353">
        <v>0</v>
      </c>
      <c r="BH360" s="353">
        <v>0</v>
      </c>
      <c r="BI360" s="353">
        <v>0</v>
      </c>
      <c r="BJ360" s="353">
        <v>0</v>
      </c>
      <c r="BK360" s="386">
        <v>0</v>
      </c>
      <c r="BL360" s="351">
        <v>0</v>
      </c>
      <c r="BM360" s="351">
        <v>0</v>
      </c>
      <c r="BN360" s="351">
        <v>0</v>
      </c>
      <c r="BO360" s="351">
        <v>0</v>
      </c>
      <c r="BP360" s="351">
        <v>0</v>
      </c>
      <c r="BQ360" s="351">
        <v>0</v>
      </c>
      <c r="BR360" s="351">
        <v>0</v>
      </c>
      <c r="BS360" s="351">
        <v>0</v>
      </c>
      <c r="BT360" s="351">
        <v>0</v>
      </c>
      <c r="BU360" s="351">
        <v>0</v>
      </c>
      <c r="BV360" s="350">
        <f t="shared" si="289"/>
        <v>8.2500000000000004E-2</v>
      </c>
      <c r="BW360" s="350">
        <v>1</v>
      </c>
      <c r="BX360" s="385">
        <f t="shared" si="270"/>
        <v>0.5</v>
      </c>
      <c r="BY360" s="400">
        <v>0.3</v>
      </c>
      <c r="BZ360" s="416">
        <v>0.40000000596046448</v>
      </c>
      <c r="CA360" s="691">
        <v>1</v>
      </c>
      <c r="CB360" s="324">
        <f t="shared" si="271"/>
        <v>1</v>
      </c>
      <c r="CC360" s="324">
        <f t="shared" si="272"/>
        <v>100</v>
      </c>
      <c r="CD360" s="384">
        <f t="shared" si="290"/>
        <v>100</v>
      </c>
      <c r="CE360" s="383">
        <f t="shared" si="291"/>
        <v>8.2500000000000004E-2</v>
      </c>
      <c r="CF360" s="367">
        <f t="shared" si="292"/>
        <v>100</v>
      </c>
      <c r="CG360" s="383">
        <f t="shared" si="293"/>
        <v>8.2500000000000004E-2</v>
      </c>
      <c r="CH360" s="320">
        <f t="shared" si="294"/>
        <v>0</v>
      </c>
      <c r="CI360" s="319">
        <v>0</v>
      </c>
      <c r="CJ360" s="318">
        <f t="shared" si="273"/>
        <v>0</v>
      </c>
      <c r="CK360" s="1258">
        <v>1</v>
      </c>
      <c r="CL360" s="301">
        <f t="shared" si="274"/>
        <v>-1</v>
      </c>
      <c r="CM360" s="381">
        <f t="shared" si="275"/>
        <v>1</v>
      </c>
      <c r="CN360" s="381">
        <f t="shared" si="276"/>
        <v>0</v>
      </c>
      <c r="CO360" s="316">
        <f t="shared" si="295"/>
        <v>0</v>
      </c>
      <c r="CP360" s="381">
        <f t="shared" si="296"/>
        <v>0</v>
      </c>
      <c r="CQ360" s="381">
        <f t="shared" si="297"/>
        <v>0</v>
      </c>
      <c r="CR360" s="313">
        <v>0</v>
      </c>
      <c r="CS360" s="313">
        <v>0</v>
      </c>
      <c r="CT360" s="313">
        <v>0</v>
      </c>
      <c r="CU360" s="313">
        <v>0</v>
      </c>
      <c r="CV360" s="313">
        <v>0</v>
      </c>
      <c r="CW360" s="313">
        <v>0</v>
      </c>
      <c r="CX360" s="313">
        <v>0</v>
      </c>
      <c r="CY360" s="313">
        <v>0</v>
      </c>
      <c r="CZ360" s="380">
        <v>0</v>
      </c>
      <c r="DA360" s="380">
        <v>0</v>
      </c>
      <c r="DB360" s="380">
        <v>0</v>
      </c>
      <c r="DC360" s="380">
        <v>0</v>
      </c>
      <c r="DD360" s="380">
        <v>0</v>
      </c>
      <c r="DE360" s="380">
        <v>0</v>
      </c>
      <c r="DF360" s="380">
        <v>0</v>
      </c>
      <c r="DG360" s="380">
        <v>0</v>
      </c>
      <c r="DH360" s="380">
        <v>0</v>
      </c>
      <c r="DI360" s="380">
        <v>0</v>
      </c>
      <c r="DJ360" s="380">
        <v>0</v>
      </c>
      <c r="DK360" s="702">
        <f t="shared" si="277"/>
        <v>3</v>
      </c>
      <c r="DL360" s="311">
        <f t="shared" si="298"/>
        <v>0.16500000000000001</v>
      </c>
      <c r="DM360" s="310">
        <f t="shared" si="299"/>
        <v>150</v>
      </c>
      <c r="DN360" s="356">
        <f t="shared" si="300"/>
        <v>100</v>
      </c>
      <c r="DO360" s="308">
        <f t="shared" si="301"/>
        <v>0.16500000000000001</v>
      </c>
      <c r="DP360" s="359">
        <f t="shared" si="309"/>
        <v>0.16500000000000001</v>
      </c>
      <c r="DQ360" s="306">
        <f t="shared" si="302"/>
        <v>0.16500000000000001</v>
      </c>
      <c r="DR360" s="379">
        <f t="shared" si="303"/>
        <v>1</v>
      </c>
      <c r="DS360" s="378">
        <f t="shared" si="304"/>
        <v>0</v>
      </c>
      <c r="DT360" s="173">
        <v>411</v>
      </c>
      <c r="DU360" s="174" t="s">
        <v>105</v>
      </c>
      <c r="DV360" s="173"/>
      <c r="DW360" s="174" t="s">
        <v>84</v>
      </c>
      <c r="DX360" s="173"/>
      <c r="DY360" s="173"/>
      <c r="DZ360" s="173"/>
      <c r="EA360" s="665"/>
      <c r="EB360" s="1254" t="s">
        <v>3122</v>
      </c>
      <c r="EC360" s="537">
        <v>0</v>
      </c>
      <c r="EE360" s="740">
        <v>15</v>
      </c>
      <c r="EF360" s="706"/>
    </row>
    <row r="361" spans="4:136" s="302" customFormat="1" ht="89.25" hidden="1">
      <c r="D361" s="520">
        <v>358</v>
      </c>
      <c r="E361" s="534">
        <v>419</v>
      </c>
      <c r="F361" s="479" t="s">
        <v>44</v>
      </c>
      <c r="G361" s="523" t="s">
        <v>13</v>
      </c>
      <c r="H361" s="479" t="s">
        <v>2668</v>
      </c>
      <c r="I361" s="435" t="s">
        <v>882</v>
      </c>
      <c r="J361" s="335" t="s">
        <v>885</v>
      </c>
      <c r="K361" s="335" t="s">
        <v>886</v>
      </c>
      <c r="L361" s="443" t="s">
        <v>1822</v>
      </c>
      <c r="M361" s="334" t="s">
        <v>1771</v>
      </c>
      <c r="N361" s="334">
        <v>0</v>
      </c>
      <c r="O361" s="333">
        <f t="shared" si="308"/>
        <v>1</v>
      </c>
      <c r="P361" s="332">
        <v>1</v>
      </c>
      <c r="Q361" s="390">
        <v>0.16500000000000001</v>
      </c>
      <c r="R361" s="342">
        <f t="shared" si="282"/>
        <v>0</v>
      </c>
      <c r="S361" s="389">
        <v>0</v>
      </c>
      <c r="T361" s="387">
        <f t="shared" si="264"/>
        <v>0</v>
      </c>
      <c r="U361" s="670">
        <v>0</v>
      </c>
      <c r="V361" s="388">
        <f t="shared" si="265"/>
        <v>0</v>
      </c>
      <c r="W361" s="356">
        <f t="shared" si="266"/>
        <v>0</v>
      </c>
      <c r="X361" s="356">
        <f t="shared" si="283"/>
        <v>0</v>
      </c>
      <c r="Y361" s="356">
        <f t="shared" si="307"/>
        <v>0</v>
      </c>
      <c r="Z361" s="356">
        <f t="shared" si="284"/>
        <v>0</v>
      </c>
      <c r="AA361" s="355">
        <v>0</v>
      </c>
      <c r="AB361" s="355">
        <v>0</v>
      </c>
      <c r="AC361" s="355">
        <v>0</v>
      </c>
      <c r="AD361" s="355">
        <v>0</v>
      </c>
      <c r="AE361" s="355">
        <v>0</v>
      </c>
      <c r="AF361" s="355">
        <v>0</v>
      </c>
      <c r="AG361" s="355">
        <v>0</v>
      </c>
      <c r="AH361" s="355">
        <v>0</v>
      </c>
      <c r="AI361" s="355">
        <v>0</v>
      </c>
      <c r="AJ361" s="355">
        <v>0</v>
      </c>
      <c r="AK361" s="355">
        <v>0</v>
      </c>
      <c r="AL361" s="355">
        <v>0</v>
      </c>
      <c r="AM361" s="355">
        <v>0</v>
      </c>
      <c r="AN361" s="355">
        <v>0</v>
      </c>
      <c r="AO361" s="355">
        <v>0</v>
      </c>
      <c r="AP361" s="355">
        <v>0</v>
      </c>
      <c r="AQ361" s="355">
        <v>0</v>
      </c>
      <c r="AR361" s="355">
        <v>0</v>
      </c>
      <c r="AS361" s="355">
        <v>0</v>
      </c>
      <c r="AT361" s="333">
        <f t="shared" si="285"/>
        <v>0.16500000000000001</v>
      </c>
      <c r="AU361" s="334">
        <v>1</v>
      </c>
      <c r="AV361" s="387">
        <f t="shared" si="267"/>
        <v>1</v>
      </c>
      <c r="AW361" s="677">
        <v>1</v>
      </c>
      <c r="AX361" s="366">
        <f t="shared" si="268"/>
        <v>1</v>
      </c>
      <c r="AY361" s="366">
        <f t="shared" si="269"/>
        <v>100</v>
      </c>
      <c r="AZ361" s="366">
        <f t="shared" si="286"/>
        <v>100</v>
      </c>
      <c r="BA361" s="354">
        <f t="shared" si="287"/>
        <v>0.16500000000000001</v>
      </c>
      <c r="BB361" s="354">
        <f t="shared" si="288"/>
        <v>100</v>
      </c>
      <c r="BC361" s="353">
        <v>0</v>
      </c>
      <c r="BD361" s="353">
        <v>0</v>
      </c>
      <c r="BE361" s="353">
        <v>0</v>
      </c>
      <c r="BF361" s="353">
        <v>0</v>
      </c>
      <c r="BG361" s="353">
        <v>0</v>
      </c>
      <c r="BH361" s="353">
        <v>0</v>
      </c>
      <c r="BI361" s="353">
        <v>0</v>
      </c>
      <c r="BJ361" s="353">
        <v>0</v>
      </c>
      <c r="BK361" s="386">
        <v>0</v>
      </c>
      <c r="BL361" s="351">
        <v>0</v>
      </c>
      <c r="BM361" s="351">
        <v>0</v>
      </c>
      <c r="BN361" s="351">
        <v>0</v>
      </c>
      <c r="BO361" s="351">
        <v>0</v>
      </c>
      <c r="BP361" s="351">
        <v>0</v>
      </c>
      <c r="BQ361" s="351">
        <v>0</v>
      </c>
      <c r="BR361" s="351">
        <v>0</v>
      </c>
      <c r="BS361" s="351">
        <v>0</v>
      </c>
      <c r="BT361" s="351">
        <v>0</v>
      </c>
      <c r="BU361" s="351">
        <v>0</v>
      </c>
      <c r="BV361" s="350">
        <f t="shared" si="289"/>
        <v>0</v>
      </c>
      <c r="BW361" s="350">
        <v>0</v>
      </c>
      <c r="BX361" s="385">
        <f t="shared" si="270"/>
        <v>0</v>
      </c>
      <c r="BY361" s="400">
        <v>3</v>
      </c>
      <c r="BZ361" s="416">
        <v>0</v>
      </c>
      <c r="CA361" s="691">
        <v>0</v>
      </c>
      <c r="CB361" s="324">
        <f t="shared" si="271"/>
        <v>0</v>
      </c>
      <c r="CC361" s="324">
        <f t="shared" si="272"/>
        <v>0</v>
      </c>
      <c r="CD361" s="384">
        <f t="shared" si="290"/>
        <v>0</v>
      </c>
      <c r="CE361" s="383">
        <f t="shared" si="291"/>
        <v>0</v>
      </c>
      <c r="CF361" s="367">
        <f t="shared" si="292"/>
        <v>0</v>
      </c>
      <c r="CG361" s="383">
        <f t="shared" si="293"/>
        <v>0</v>
      </c>
      <c r="CH361" s="320">
        <f t="shared" si="294"/>
        <v>0</v>
      </c>
      <c r="CI361" s="319">
        <v>0</v>
      </c>
      <c r="CJ361" s="318">
        <f t="shared" si="273"/>
        <v>0</v>
      </c>
      <c r="CK361" s="1258">
        <v>0</v>
      </c>
      <c r="CL361" s="301">
        <f t="shared" si="274"/>
        <v>0</v>
      </c>
      <c r="CM361" s="381">
        <f t="shared" si="275"/>
        <v>0</v>
      </c>
      <c r="CN361" s="381">
        <f t="shared" si="276"/>
        <v>0</v>
      </c>
      <c r="CO361" s="316">
        <f t="shared" si="295"/>
        <v>0</v>
      </c>
      <c r="CP361" s="381">
        <f t="shared" si="296"/>
        <v>0</v>
      </c>
      <c r="CQ361" s="381">
        <f t="shared" si="297"/>
        <v>0</v>
      </c>
      <c r="CR361" s="313">
        <v>0</v>
      </c>
      <c r="CS361" s="313">
        <v>0</v>
      </c>
      <c r="CT361" s="313">
        <v>0</v>
      </c>
      <c r="CU361" s="313">
        <v>0</v>
      </c>
      <c r="CV361" s="313">
        <v>0</v>
      </c>
      <c r="CW361" s="313">
        <v>0</v>
      </c>
      <c r="CX361" s="313">
        <v>0</v>
      </c>
      <c r="CY361" s="313">
        <v>0</v>
      </c>
      <c r="CZ361" s="380">
        <v>0</v>
      </c>
      <c r="DA361" s="380">
        <v>0</v>
      </c>
      <c r="DB361" s="380">
        <v>0</v>
      </c>
      <c r="DC361" s="380">
        <v>0</v>
      </c>
      <c r="DD361" s="380">
        <v>0</v>
      </c>
      <c r="DE361" s="380">
        <v>0</v>
      </c>
      <c r="DF361" s="380">
        <v>0</v>
      </c>
      <c r="DG361" s="380">
        <v>0</v>
      </c>
      <c r="DH361" s="380">
        <v>0</v>
      </c>
      <c r="DI361" s="380">
        <v>0</v>
      </c>
      <c r="DJ361" s="380">
        <v>0</v>
      </c>
      <c r="DK361" s="702">
        <f t="shared" si="277"/>
        <v>1</v>
      </c>
      <c r="DL361" s="311">
        <f t="shared" si="298"/>
        <v>0.16500000000000001</v>
      </c>
      <c r="DM361" s="310">
        <f t="shared" si="299"/>
        <v>100</v>
      </c>
      <c r="DN361" s="356">
        <f t="shared" si="300"/>
        <v>100</v>
      </c>
      <c r="DO361" s="308">
        <f t="shared" si="301"/>
        <v>0.16500000000000001</v>
      </c>
      <c r="DP361" s="359">
        <f t="shared" si="309"/>
        <v>0.16500000000000001</v>
      </c>
      <c r="DQ361" s="306">
        <f t="shared" si="302"/>
        <v>0.16500000000000001</v>
      </c>
      <c r="DR361" s="379">
        <f t="shared" si="303"/>
        <v>1</v>
      </c>
      <c r="DS361" s="378">
        <f t="shared" si="304"/>
        <v>0</v>
      </c>
      <c r="DT361" s="173">
        <v>411</v>
      </c>
      <c r="DU361" s="174" t="s">
        <v>105</v>
      </c>
      <c r="DV361" s="173"/>
      <c r="DW361" s="174" t="s">
        <v>84</v>
      </c>
      <c r="DX361" s="173"/>
      <c r="DY361" s="173"/>
      <c r="DZ361" s="173"/>
      <c r="EA361" s="665"/>
      <c r="EB361" s="1254" t="s">
        <v>2405</v>
      </c>
      <c r="EC361" s="537">
        <v>0</v>
      </c>
      <c r="EE361" s="740">
        <v>12</v>
      </c>
      <c r="EF361" s="706"/>
    </row>
    <row r="362" spans="4:136" s="302" customFormat="1" ht="89.25" hidden="1">
      <c r="D362" s="520">
        <v>359</v>
      </c>
      <c r="E362" s="534">
        <v>420</v>
      </c>
      <c r="F362" s="479" t="s">
        <v>44</v>
      </c>
      <c r="G362" s="523" t="s">
        <v>13</v>
      </c>
      <c r="H362" s="479" t="s">
        <v>2668</v>
      </c>
      <c r="I362" s="435" t="s">
        <v>882</v>
      </c>
      <c r="J362" s="335" t="s">
        <v>887</v>
      </c>
      <c r="K362" s="335" t="s">
        <v>888</v>
      </c>
      <c r="L362" s="443" t="s">
        <v>1887</v>
      </c>
      <c r="M362" s="334" t="s">
        <v>1771</v>
      </c>
      <c r="N362" s="334">
        <v>0</v>
      </c>
      <c r="O362" s="333">
        <f t="shared" si="308"/>
        <v>1</v>
      </c>
      <c r="P362" s="332">
        <v>1</v>
      </c>
      <c r="Q362" s="390">
        <v>0.16500000000000001</v>
      </c>
      <c r="R362" s="342">
        <f t="shared" si="282"/>
        <v>0</v>
      </c>
      <c r="S362" s="389">
        <v>0</v>
      </c>
      <c r="T362" s="387">
        <f t="shared" si="264"/>
        <v>0</v>
      </c>
      <c r="U362" s="670">
        <v>0</v>
      </c>
      <c r="V362" s="388">
        <f t="shared" si="265"/>
        <v>0</v>
      </c>
      <c r="W362" s="356">
        <f t="shared" si="266"/>
        <v>0</v>
      </c>
      <c r="X362" s="356">
        <f t="shared" si="283"/>
        <v>0</v>
      </c>
      <c r="Y362" s="356">
        <f t="shared" si="307"/>
        <v>0</v>
      </c>
      <c r="Z362" s="356">
        <f t="shared" si="284"/>
        <v>0</v>
      </c>
      <c r="AA362" s="355">
        <v>0</v>
      </c>
      <c r="AB362" s="355">
        <v>0</v>
      </c>
      <c r="AC362" s="355">
        <v>0</v>
      </c>
      <c r="AD362" s="355">
        <v>0</v>
      </c>
      <c r="AE362" s="355">
        <v>0</v>
      </c>
      <c r="AF362" s="355">
        <v>0</v>
      </c>
      <c r="AG362" s="355">
        <v>0</v>
      </c>
      <c r="AH362" s="355">
        <v>0</v>
      </c>
      <c r="AI362" s="355">
        <v>0</v>
      </c>
      <c r="AJ362" s="355">
        <v>0</v>
      </c>
      <c r="AK362" s="355">
        <v>0</v>
      </c>
      <c r="AL362" s="355">
        <v>0</v>
      </c>
      <c r="AM362" s="355">
        <v>0</v>
      </c>
      <c r="AN362" s="355">
        <v>0</v>
      </c>
      <c r="AO362" s="355">
        <v>0</v>
      </c>
      <c r="AP362" s="355">
        <v>0</v>
      </c>
      <c r="AQ362" s="355">
        <v>0</v>
      </c>
      <c r="AR362" s="355">
        <v>0</v>
      </c>
      <c r="AS362" s="355">
        <v>0</v>
      </c>
      <c r="AT362" s="333">
        <f t="shared" si="285"/>
        <v>0</v>
      </c>
      <c r="AU362" s="334">
        <v>0</v>
      </c>
      <c r="AV362" s="387">
        <f t="shared" si="267"/>
        <v>0</v>
      </c>
      <c r="AW362" s="677">
        <v>0</v>
      </c>
      <c r="AX362" s="366">
        <f t="shared" si="268"/>
        <v>0</v>
      </c>
      <c r="AY362" s="366">
        <f t="shared" si="269"/>
        <v>0</v>
      </c>
      <c r="AZ362" s="366">
        <f t="shared" si="286"/>
        <v>0</v>
      </c>
      <c r="BA362" s="354">
        <f t="shared" si="287"/>
        <v>0</v>
      </c>
      <c r="BB362" s="354">
        <f t="shared" si="288"/>
        <v>0</v>
      </c>
      <c r="BC362" s="353">
        <v>0</v>
      </c>
      <c r="BD362" s="353">
        <v>0</v>
      </c>
      <c r="BE362" s="353">
        <v>0</v>
      </c>
      <c r="BF362" s="353">
        <v>0</v>
      </c>
      <c r="BG362" s="353">
        <v>0</v>
      </c>
      <c r="BH362" s="353">
        <v>0</v>
      </c>
      <c r="BI362" s="353">
        <v>0</v>
      </c>
      <c r="BJ362" s="353">
        <v>0</v>
      </c>
      <c r="BK362" s="386">
        <v>0</v>
      </c>
      <c r="BL362" s="351">
        <v>0</v>
      </c>
      <c r="BM362" s="351">
        <v>0</v>
      </c>
      <c r="BN362" s="351">
        <v>0</v>
      </c>
      <c r="BO362" s="351">
        <v>0</v>
      </c>
      <c r="BP362" s="351">
        <v>0</v>
      </c>
      <c r="BQ362" s="351">
        <v>0</v>
      </c>
      <c r="BR362" s="351">
        <v>0</v>
      </c>
      <c r="BS362" s="351">
        <v>0</v>
      </c>
      <c r="BT362" s="351">
        <v>0</v>
      </c>
      <c r="BU362" s="351">
        <v>0</v>
      </c>
      <c r="BV362" s="350">
        <f t="shared" si="289"/>
        <v>0.16500000000000001</v>
      </c>
      <c r="BW362" s="350">
        <v>1</v>
      </c>
      <c r="BX362" s="385">
        <f t="shared" si="270"/>
        <v>1</v>
      </c>
      <c r="BY362" s="400">
        <v>0.2</v>
      </c>
      <c r="BZ362" s="416">
        <v>0.30000001192092896</v>
      </c>
      <c r="CA362" s="691">
        <v>0.3</v>
      </c>
      <c r="CB362" s="324">
        <f t="shared" si="271"/>
        <v>0.3</v>
      </c>
      <c r="CC362" s="324">
        <f t="shared" si="272"/>
        <v>30</v>
      </c>
      <c r="CD362" s="384">
        <f t="shared" si="290"/>
        <v>30</v>
      </c>
      <c r="CE362" s="383">
        <f t="shared" si="291"/>
        <v>4.9500000000000002E-2</v>
      </c>
      <c r="CF362" s="367">
        <f t="shared" si="292"/>
        <v>30</v>
      </c>
      <c r="CG362" s="383">
        <f t="shared" si="293"/>
        <v>4.9500000000000002E-2</v>
      </c>
      <c r="CH362" s="320">
        <f t="shared" si="294"/>
        <v>0</v>
      </c>
      <c r="CI362" s="319">
        <v>0</v>
      </c>
      <c r="CJ362" s="318">
        <f t="shared" si="273"/>
        <v>0</v>
      </c>
      <c r="CK362" s="1258">
        <v>1</v>
      </c>
      <c r="CL362" s="301">
        <f t="shared" si="274"/>
        <v>-1</v>
      </c>
      <c r="CM362" s="381">
        <f t="shared" si="275"/>
        <v>1</v>
      </c>
      <c r="CN362" s="381">
        <f t="shared" si="276"/>
        <v>0</v>
      </c>
      <c r="CO362" s="316">
        <f t="shared" si="295"/>
        <v>0</v>
      </c>
      <c r="CP362" s="381">
        <f t="shared" si="296"/>
        <v>0</v>
      </c>
      <c r="CQ362" s="381">
        <f t="shared" si="297"/>
        <v>0</v>
      </c>
      <c r="CR362" s="313">
        <v>0</v>
      </c>
      <c r="CS362" s="313">
        <v>0</v>
      </c>
      <c r="CT362" s="313">
        <v>0</v>
      </c>
      <c r="CU362" s="313">
        <v>0</v>
      </c>
      <c r="CV362" s="313">
        <v>0</v>
      </c>
      <c r="CW362" s="313">
        <v>0</v>
      </c>
      <c r="CX362" s="313">
        <v>0</v>
      </c>
      <c r="CY362" s="313">
        <v>0</v>
      </c>
      <c r="CZ362" s="380">
        <v>0</v>
      </c>
      <c r="DA362" s="380">
        <v>0</v>
      </c>
      <c r="DB362" s="380">
        <v>0</v>
      </c>
      <c r="DC362" s="380">
        <v>0</v>
      </c>
      <c r="DD362" s="380">
        <v>0</v>
      </c>
      <c r="DE362" s="380">
        <v>0</v>
      </c>
      <c r="DF362" s="380">
        <v>0</v>
      </c>
      <c r="DG362" s="380">
        <v>0</v>
      </c>
      <c r="DH362" s="380">
        <v>0</v>
      </c>
      <c r="DI362" s="380">
        <v>0</v>
      </c>
      <c r="DJ362" s="380">
        <v>0</v>
      </c>
      <c r="DK362" s="702">
        <f t="shared" si="277"/>
        <v>1.3</v>
      </c>
      <c r="DL362" s="311">
        <f t="shared" si="298"/>
        <v>0.16500000000000001</v>
      </c>
      <c r="DM362" s="310">
        <f t="shared" si="299"/>
        <v>130</v>
      </c>
      <c r="DN362" s="356">
        <f t="shared" si="300"/>
        <v>100</v>
      </c>
      <c r="DO362" s="308">
        <f t="shared" si="301"/>
        <v>0.16500000000000001</v>
      </c>
      <c r="DP362" s="359">
        <f t="shared" si="309"/>
        <v>0.16500000000000001</v>
      </c>
      <c r="DQ362" s="306">
        <f t="shared" si="302"/>
        <v>0.16500000000000001</v>
      </c>
      <c r="DR362" s="379">
        <f t="shared" si="303"/>
        <v>1</v>
      </c>
      <c r="DS362" s="378">
        <f t="shared" si="304"/>
        <v>0</v>
      </c>
      <c r="DT362" s="173">
        <v>411</v>
      </c>
      <c r="DU362" s="174" t="s">
        <v>105</v>
      </c>
      <c r="DV362" s="173"/>
      <c r="DW362" s="174" t="s">
        <v>84</v>
      </c>
      <c r="DX362" s="173"/>
      <c r="DY362" s="173"/>
      <c r="DZ362" s="173"/>
      <c r="EA362" s="665"/>
      <c r="EB362" s="1254" t="s">
        <v>2406</v>
      </c>
      <c r="EC362" s="537">
        <v>575000000</v>
      </c>
      <c r="EE362" s="734">
        <v>200</v>
      </c>
      <c r="EF362" s="706"/>
    </row>
    <row r="363" spans="4:136" s="302" customFormat="1" ht="89.25" hidden="1">
      <c r="D363" s="520">
        <v>360</v>
      </c>
      <c r="E363" s="534">
        <v>421</v>
      </c>
      <c r="F363" s="479" t="s">
        <v>44</v>
      </c>
      <c r="G363" s="523" t="s">
        <v>13</v>
      </c>
      <c r="H363" s="479" t="s">
        <v>2668</v>
      </c>
      <c r="I363" s="435" t="s">
        <v>882</v>
      </c>
      <c r="J363" s="335" t="s">
        <v>889</v>
      </c>
      <c r="K363" s="335" t="s">
        <v>890</v>
      </c>
      <c r="L363" s="443" t="s">
        <v>1825</v>
      </c>
      <c r="M363" s="334" t="s">
        <v>1771</v>
      </c>
      <c r="N363" s="334">
        <v>0</v>
      </c>
      <c r="O363" s="333">
        <f t="shared" si="308"/>
        <v>4</v>
      </c>
      <c r="P363" s="332">
        <v>4</v>
      </c>
      <c r="Q363" s="390">
        <v>0.25</v>
      </c>
      <c r="R363" s="342">
        <f t="shared" si="282"/>
        <v>6.25E-2</v>
      </c>
      <c r="S363" s="389">
        <v>1</v>
      </c>
      <c r="T363" s="387">
        <f t="shared" si="264"/>
        <v>0.25</v>
      </c>
      <c r="U363" s="670">
        <v>1</v>
      </c>
      <c r="V363" s="388">
        <f t="shared" si="265"/>
        <v>1</v>
      </c>
      <c r="W363" s="356">
        <f t="shared" si="266"/>
        <v>100</v>
      </c>
      <c r="X363" s="356">
        <f t="shared" si="283"/>
        <v>100</v>
      </c>
      <c r="Y363" s="356">
        <f t="shared" si="307"/>
        <v>6.25E-2</v>
      </c>
      <c r="Z363" s="356">
        <f t="shared" si="284"/>
        <v>100</v>
      </c>
      <c r="AA363" s="355">
        <v>0</v>
      </c>
      <c r="AB363" s="355">
        <v>0</v>
      </c>
      <c r="AC363" s="355">
        <v>0</v>
      </c>
      <c r="AD363" s="355">
        <v>0</v>
      </c>
      <c r="AE363" s="355">
        <v>0</v>
      </c>
      <c r="AF363" s="355">
        <v>0</v>
      </c>
      <c r="AG363" s="355">
        <v>0</v>
      </c>
      <c r="AH363" s="355">
        <v>0</v>
      </c>
      <c r="AI363" s="355">
        <v>0</v>
      </c>
      <c r="AJ363" s="355">
        <v>0</v>
      </c>
      <c r="AK363" s="355">
        <v>0</v>
      </c>
      <c r="AL363" s="355">
        <v>0</v>
      </c>
      <c r="AM363" s="355">
        <v>0</v>
      </c>
      <c r="AN363" s="355">
        <v>0</v>
      </c>
      <c r="AO363" s="355">
        <v>0</v>
      </c>
      <c r="AP363" s="355">
        <v>0</v>
      </c>
      <c r="AQ363" s="355">
        <v>0</v>
      </c>
      <c r="AR363" s="355">
        <v>0</v>
      </c>
      <c r="AS363" s="355">
        <v>0</v>
      </c>
      <c r="AT363" s="333">
        <f t="shared" si="285"/>
        <v>6.25E-2</v>
      </c>
      <c r="AU363" s="334">
        <v>1</v>
      </c>
      <c r="AV363" s="387">
        <f t="shared" si="267"/>
        <v>0.25</v>
      </c>
      <c r="AW363" s="677">
        <v>1</v>
      </c>
      <c r="AX363" s="366">
        <f t="shared" si="268"/>
        <v>1</v>
      </c>
      <c r="AY363" s="366">
        <f t="shared" si="269"/>
        <v>100</v>
      </c>
      <c r="AZ363" s="366">
        <f t="shared" si="286"/>
        <v>100</v>
      </c>
      <c r="BA363" s="354">
        <f t="shared" si="287"/>
        <v>6.25E-2</v>
      </c>
      <c r="BB363" s="354">
        <f t="shared" si="288"/>
        <v>100</v>
      </c>
      <c r="BC363" s="353">
        <v>0</v>
      </c>
      <c r="BD363" s="353">
        <v>0</v>
      </c>
      <c r="BE363" s="353">
        <v>0</v>
      </c>
      <c r="BF363" s="353">
        <v>0</v>
      </c>
      <c r="BG363" s="353">
        <v>0</v>
      </c>
      <c r="BH363" s="353">
        <v>0</v>
      </c>
      <c r="BI363" s="353">
        <v>0</v>
      </c>
      <c r="BJ363" s="353">
        <v>0</v>
      </c>
      <c r="BK363" s="386">
        <v>0</v>
      </c>
      <c r="BL363" s="351">
        <v>0</v>
      </c>
      <c r="BM363" s="351">
        <v>0</v>
      </c>
      <c r="BN363" s="351">
        <v>0</v>
      </c>
      <c r="BO363" s="351">
        <v>0</v>
      </c>
      <c r="BP363" s="351">
        <v>0</v>
      </c>
      <c r="BQ363" s="351">
        <v>0</v>
      </c>
      <c r="BR363" s="351">
        <v>0</v>
      </c>
      <c r="BS363" s="351">
        <v>0</v>
      </c>
      <c r="BT363" s="351">
        <v>0</v>
      </c>
      <c r="BU363" s="351">
        <v>0</v>
      </c>
      <c r="BV363" s="350">
        <f t="shared" si="289"/>
        <v>6.25E-2</v>
      </c>
      <c r="BW363" s="350">
        <v>1</v>
      </c>
      <c r="BX363" s="385">
        <f t="shared" si="270"/>
        <v>0.25</v>
      </c>
      <c r="BY363" s="400">
        <v>0</v>
      </c>
      <c r="BZ363" s="416">
        <v>0</v>
      </c>
      <c r="CA363" s="691">
        <v>1</v>
      </c>
      <c r="CB363" s="324">
        <f t="shared" si="271"/>
        <v>1</v>
      </c>
      <c r="CC363" s="324">
        <f t="shared" si="272"/>
        <v>100</v>
      </c>
      <c r="CD363" s="384">
        <f t="shared" si="290"/>
        <v>100</v>
      </c>
      <c r="CE363" s="383">
        <f t="shared" si="291"/>
        <v>6.25E-2</v>
      </c>
      <c r="CF363" s="367">
        <f t="shared" si="292"/>
        <v>100</v>
      </c>
      <c r="CG363" s="383">
        <f t="shared" si="293"/>
        <v>6.25E-2</v>
      </c>
      <c r="CH363" s="320">
        <f t="shared" si="294"/>
        <v>6.25E-2</v>
      </c>
      <c r="CI363" s="319">
        <v>1</v>
      </c>
      <c r="CJ363" s="318">
        <f t="shared" si="273"/>
        <v>0.25</v>
      </c>
      <c r="CK363" s="1258">
        <v>1</v>
      </c>
      <c r="CL363" s="301">
        <f t="shared" si="274"/>
        <v>0</v>
      </c>
      <c r="CM363" s="381">
        <f t="shared" si="275"/>
        <v>1</v>
      </c>
      <c r="CN363" s="381">
        <f t="shared" si="276"/>
        <v>100</v>
      </c>
      <c r="CO363" s="316">
        <f t="shared" si="295"/>
        <v>100</v>
      </c>
      <c r="CP363" s="381">
        <f t="shared" si="296"/>
        <v>6.25E-2</v>
      </c>
      <c r="CQ363" s="381">
        <f t="shared" si="297"/>
        <v>6.25E-2</v>
      </c>
      <c r="CR363" s="313">
        <v>0</v>
      </c>
      <c r="CS363" s="313">
        <v>0</v>
      </c>
      <c r="CT363" s="313">
        <v>0</v>
      </c>
      <c r="CU363" s="313">
        <v>0</v>
      </c>
      <c r="CV363" s="313">
        <v>0</v>
      </c>
      <c r="CW363" s="313">
        <v>0</v>
      </c>
      <c r="CX363" s="313">
        <v>0</v>
      </c>
      <c r="CY363" s="313">
        <v>0</v>
      </c>
      <c r="CZ363" s="380">
        <v>0</v>
      </c>
      <c r="DA363" s="380">
        <v>0</v>
      </c>
      <c r="DB363" s="380">
        <v>0</v>
      </c>
      <c r="DC363" s="380">
        <v>0</v>
      </c>
      <c r="DD363" s="380">
        <v>0</v>
      </c>
      <c r="DE363" s="380">
        <v>0</v>
      </c>
      <c r="DF363" s="380">
        <v>0</v>
      </c>
      <c r="DG363" s="380">
        <v>0</v>
      </c>
      <c r="DH363" s="380">
        <v>0</v>
      </c>
      <c r="DI363" s="380">
        <v>0</v>
      </c>
      <c r="DJ363" s="380">
        <v>0</v>
      </c>
      <c r="DK363" s="702">
        <f t="shared" si="277"/>
        <v>4</v>
      </c>
      <c r="DL363" s="311">
        <f t="shared" si="298"/>
        <v>0.25</v>
      </c>
      <c r="DM363" s="310">
        <f t="shared" si="299"/>
        <v>100</v>
      </c>
      <c r="DN363" s="356">
        <f t="shared" si="300"/>
        <v>100</v>
      </c>
      <c r="DO363" s="308">
        <f t="shared" si="301"/>
        <v>0.25</v>
      </c>
      <c r="DP363" s="359">
        <f t="shared" si="309"/>
        <v>0.25</v>
      </c>
      <c r="DQ363" s="306">
        <f t="shared" si="302"/>
        <v>0.25</v>
      </c>
      <c r="DR363" s="379">
        <f t="shared" si="303"/>
        <v>1</v>
      </c>
      <c r="DS363" s="378">
        <f t="shared" si="304"/>
        <v>0</v>
      </c>
      <c r="DT363" s="173">
        <v>411</v>
      </c>
      <c r="DU363" s="174" t="s">
        <v>105</v>
      </c>
      <c r="DV363" s="173"/>
      <c r="DW363" s="174" t="s">
        <v>84</v>
      </c>
      <c r="DX363" s="173"/>
      <c r="DY363" s="173"/>
      <c r="DZ363" s="173"/>
      <c r="EA363" s="665"/>
      <c r="EB363" s="1254" t="s">
        <v>3123</v>
      </c>
      <c r="EC363" s="537">
        <v>45000000</v>
      </c>
      <c r="EE363" s="734">
        <v>500</v>
      </c>
      <c r="EF363" s="706"/>
    </row>
    <row r="364" spans="4:136" s="302" customFormat="1" ht="132" hidden="1">
      <c r="D364" s="520">
        <v>361</v>
      </c>
      <c r="E364" s="534">
        <v>423</v>
      </c>
      <c r="F364" s="479" t="s">
        <v>45</v>
      </c>
      <c r="G364" s="479" t="s">
        <v>17</v>
      </c>
      <c r="H364" s="479" t="s">
        <v>2669</v>
      </c>
      <c r="I364" s="435" t="s">
        <v>891</v>
      </c>
      <c r="J364" s="335" t="s">
        <v>892</v>
      </c>
      <c r="K364" s="335" t="s">
        <v>893</v>
      </c>
      <c r="L364" s="436" t="s">
        <v>1791</v>
      </c>
      <c r="M364" s="334" t="s">
        <v>1771</v>
      </c>
      <c r="N364" s="334">
        <v>2</v>
      </c>
      <c r="O364" s="333">
        <f t="shared" si="308"/>
        <v>10</v>
      </c>
      <c r="P364" s="332">
        <v>8</v>
      </c>
      <c r="Q364" s="390">
        <v>0.25</v>
      </c>
      <c r="R364" s="342">
        <f t="shared" si="282"/>
        <v>3.125E-2</v>
      </c>
      <c r="S364" s="389">
        <v>1</v>
      </c>
      <c r="T364" s="387">
        <f t="shared" si="264"/>
        <v>0.125</v>
      </c>
      <c r="U364" s="670">
        <v>1</v>
      </c>
      <c r="V364" s="388">
        <f t="shared" si="265"/>
        <v>1</v>
      </c>
      <c r="W364" s="356">
        <f t="shared" si="266"/>
        <v>100</v>
      </c>
      <c r="X364" s="356">
        <f t="shared" si="283"/>
        <v>100</v>
      </c>
      <c r="Y364" s="356">
        <f t="shared" si="307"/>
        <v>3.125E-2</v>
      </c>
      <c r="Z364" s="356">
        <f t="shared" si="284"/>
        <v>100</v>
      </c>
      <c r="AA364" s="355">
        <v>150000000</v>
      </c>
      <c r="AB364" s="355">
        <v>150000000</v>
      </c>
      <c r="AC364" s="355">
        <v>0</v>
      </c>
      <c r="AD364" s="355">
        <v>0</v>
      </c>
      <c r="AE364" s="355">
        <v>0</v>
      </c>
      <c r="AF364" s="355">
        <v>0</v>
      </c>
      <c r="AG364" s="355">
        <v>0</v>
      </c>
      <c r="AH364" s="355">
        <v>0</v>
      </c>
      <c r="AI364" s="355">
        <v>87000000</v>
      </c>
      <c r="AJ364" s="355">
        <v>87000000</v>
      </c>
      <c r="AK364" s="355">
        <v>0</v>
      </c>
      <c r="AL364" s="355">
        <v>0</v>
      </c>
      <c r="AM364" s="355">
        <v>0</v>
      </c>
      <c r="AN364" s="355">
        <v>0</v>
      </c>
      <c r="AO364" s="355">
        <v>0</v>
      </c>
      <c r="AP364" s="355">
        <v>0</v>
      </c>
      <c r="AQ364" s="355">
        <v>0</v>
      </c>
      <c r="AR364" s="355">
        <v>0</v>
      </c>
      <c r="AS364" s="355">
        <v>0</v>
      </c>
      <c r="AT364" s="333">
        <f t="shared" si="285"/>
        <v>9.375E-2</v>
      </c>
      <c r="AU364" s="334">
        <v>3</v>
      </c>
      <c r="AV364" s="387">
        <f t="shared" si="267"/>
        <v>0.375</v>
      </c>
      <c r="AW364" s="677">
        <v>3</v>
      </c>
      <c r="AX364" s="366">
        <f t="shared" si="268"/>
        <v>3</v>
      </c>
      <c r="AY364" s="366">
        <f t="shared" si="269"/>
        <v>100</v>
      </c>
      <c r="AZ364" s="366">
        <f t="shared" si="286"/>
        <v>100</v>
      </c>
      <c r="BA364" s="354">
        <f t="shared" si="287"/>
        <v>9.375E-2</v>
      </c>
      <c r="BB364" s="354">
        <f t="shared" si="288"/>
        <v>100</v>
      </c>
      <c r="BC364" s="353">
        <v>0</v>
      </c>
      <c r="BD364" s="353">
        <v>0</v>
      </c>
      <c r="BE364" s="353">
        <v>0</v>
      </c>
      <c r="BF364" s="353">
        <v>0</v>
      </c>
      <c r="BG364" s="353">
        <v>0</v>
      </c>
      <c r="BH364" s="353">
        <v>0</v>
      </c>
      <c r="BI364" s="353">
        <v>0</v>
      </c>
      <c r="BJ364" s="353">
        <v>0</v>
      </c>
      <c r="BK364" s="428">
        <v>2368957381</v>
      </c>
      <c r="BL364" s="351">
        <v>871875290</v>
      </c>
      <c r="BM364" s="351">
        <v>0</v>
      </c>
      <c r="BN364" s="351">
        <v>0</v>
      </c>
      <c r="BO364" s="351">
        <v>0</v>
      </c>
      <c r="BP364" s="351">
        <v>1497082091</v>
      </c>
      <c r="BQ364" s="351">
        <v>0</v>
      </c>
      <c r="BR364" s="351">
        <v>0</v>
      </c>
      <c r="BS364" s="351">
        <v>0</v>
      </c>
      <c r="BT364" s="351">
        <v>0</v>
      </c>
      <c r="BU364" s="351">
        <v>0</v>
      </c>
      <c r="BV364" s="350">
        <f t="shared" si="289"/>
        <v>6.25E-2</v>
      </c>
      <c r="BW364" s="350">
        <v>2</v>
      </c>
      <c r="BX364" s="385">
        <f t="shared" si="270"/>
        <v>0.25</v>
      </c>
      <c r="BY364" s="369">
        <v>3</v>
      </c>
      <c r="BZ364" s="391">
        <v>0</v>
      </c>
      <c r="CA364" s="689">
        <v>4</v>
      </c>
      <c r="CB364" s="324">
        <f t="shared" si="271"/>
        <v>4</v>
      </c>
      <c r="CC364" s="324">
        <f t="shared" si="272"/>
        <v>200</v>
      </c>
      <c r="CD364" s="384">
        <f t="shared" si="290"/>
        <v>100</v>
      </c>
      <c r="CE364" s="383">
        <f t="shared" si="291"/>
        <v>6.25E-2</v>
      </c>
      <c r="CF364" s="367">
        <f t="shared" si="292"/>
        <v>100</v>
      </c>
      <c r="CG364" s="383">
        <f t="shared" si="293"/>
        <v>0.125</v>
      </c>
      <c r="CH364" s="320">
        <f t="shared" si="294"/>
        <v>6.25E-2</v>
      </c>
      <c r="CI364" s="319">
        <v>2</v>
      </c>
      <c r="CJ364" s="318">
        <f t="shared" si="273"/>
        <v>0.25</v>
      </c>
      <c r="CK364" s="1259">
        <v>2</v>
      </c>
      <c r="CL364" s="301">
        <f t="shared" si="274"/>
        <v>0</v>
      </c>
      <c r="CM364" s="381">
        <f t="shared" si="275"/>
        <v>2</v>
      </c>
      <c r="CN364" s="381">
        <f t="shared" si="276"/>
        <v>100</v>
      </c>
      <c r="CO364" s="316">
        <f t="shared" si="295"/>
        <v>100</v>
      </c>
      <c r="CP364" s="381">
        <f t="shared" si="296"/>
        <v>6.25E-2</v>
      </c>
      <c r="CQ364" s="381">
        <f t="shared" si="297"/>
        <v>6.25E-2</v>
      </c>
      <c r="CR364" s="313">
        <v>0</v>
      </c>
      <c r="CS364" s="313">
        <v>0</v>
      </c>
      <c r="CT364" s="313">
        <v>0</v>
      </c>
      <c r="CU364" s="313">
        <v>0</v>
      </c>
      <c r="CV364" s="313">
        <v>0</v>
      </c>
      <c r="CW364" s="313">
        <v>0</v>
      </c>
      <c r="CX364" s="313">
        <v>0</v>
      </c>
      <c r="CY364" s="313">
        <v>0</v>
      </c>
      <c r="CZ364" s="380">
        <v>0</v>
      </c>
      <c r="DA364" s="380">
        <v>0</v>
      </c>
      <c r="DB364" s="380">
        <v>0</v>
      </c>
      <c r="DC364" s="380">
        <v>0</v>
      </c>
      <c r="DD364" s="380">
        <v>0</v>
      </c>
      <c r="DE364" s="380">
        <v>0</v>
      </c>
      <c r="DF364" s="380">
        <v>0</v>
      </c>
      <c r="DG364" s="380">
        <v>0</v>
      </c>
      <c r="DH364" s="380">
        <v>0</v>
      </c>
      <c r="DI364" s="380">
        <v>0</v>
      </c>
      <c r="DJ364" s="380">
        <v>0</v>
      </c>
      <c r="DK364" s="702">
        <f t="shared" si="277"/>
        <v>10</v>
      </c>
      <c r="DL364" s="311">
        <f t="shared" si="298"/>
        <v>0.25</v>
      </c>
      <c r="DM364" s="310">
        <f t="shared" si="299"/>
        <v>125</v>
      </c>
      <c r="DN364" s="356">
        <f t="shared" si="300"/>
        <v>100</v>
      </c>
      <c r="DO364" s="308">
        <f t="shared" si="301"/>
        <v>0.25</v>
      </c>
      <c r="DP364" s="359">
        <f t="shared" si="309"/>
        <v>0.25</v>
      </c>
      <c r="DQ364" s="306">
        <f t="shared" si="302"/>
        <v>0.25</v>
      </c>
      <c r="DR364" s="379">
        <f t="shared" si="303"/>
        <v>1</v>
      </c>
      <c r="DS364" s="378">
        <f t="shared" si="304"/>
        <v>0</v>
      </c>
      <c r="DT364" s="173">
        <v>1</v>
      </c>
      <c r="DU364" s="174" t="s">
        <v>186</v>
      </c>
      <c r="DV364" s="173">
        <v>422</v>
      </c>
      <c r="DW364" s="174" t="s">
        <v>104</v>
      </c>
      <c r="DX364" s="173"/>
      <c r="DY364" s="173"/>
      <c r="DZ364" s="173"/>
      <c r="EA364" s="665"/>
      <c r="EB364" s="1254" t="s">
        <v>2615</v>
      </c>
      <c r="EC364" s="537">
        <v>10000000</v>
      </c>
      <c r="EE364" s="734">
        <v>1</v>
      </c>
      <c r="EF364" s="706"/>
    </row>
    <row r="365" spans="4:136" s="302" customFormat="1" ht="60" hidden="1">
      <c r="D365" s="520">
        <v>362</v>
      </c>
      <c r="E365" s="534">
        <v>424</v>
      </c>
      <c r="F365" s="479" t="s">
        <v>45</v>
      </c>
      <c r="G365" s="479" t="s">
        <v>17</v>
      </c>
      <c r="H365" s="479" t="s">
        <v>2669</v>
      </c>
      <c r="I365" s="435" t="s">
        <v>891</v>
      </c>
      <c r="J365" s="335" t="s">
        <v>894</v>
      </c>
      <c r="K365" s="335" t="s">
        <v>895</v>
      </c>
      <c r="L365" s="436" t="s">
        <v>1886</v>
      </c>
      <c r="M365" s="334" t="s">
        <v>1771</v>
      </c>
      <c r="N365" s="334">
        <v>0</v>
      </c>
      <c r="O365" s="333">
        <f t="shared" si="308"/>
        <v>1</v>
      </c>
      <c r="P365" s="332">
        <v>1</v>
      </c>
      <c r="Q365" s="390">
        <v>0.25</v>
      </c>
      <c r="R365" s="342">
        <f t="shared" si="282"/>
        <v>0.17499999999999999</v>
      </c>
      <c r="S365" s="389">
        <v>0.7</v>
      </c>
      <c r="T365" s="387">
        <f t="shared" si="264"/>
        <v>0.7</v>
      </c>
      <c r="U365" s="670">
        <v>0.7</v>
      </c>
      <c r="V365" s="388">
        <f t="shared" si="265"/>
        <v>0.7</v>
      </c>
      <c r="W365" s="356">
        <f t="shared" si="266"/>
        <v>100</v>
      </c>
      <c r="X365" s="356">
        <f t="shared" si="283"/>
        <v>100</v>
      </c>
      <c r="Y365" s="356">
        <f t="shared" si="307"/>
        <v>0.17499999999999999</v>
      </c>
      <c r="Z365" s="356">
        <f t="shared" si="284"/>
        <v>100</v>
      </c>
      <c r="AA365" s="355">
        <v>0</v>
      </c>
      <c r="AB365" s="355">
        <v>0</v>
      </c>
      <c r="AC365" s="355">
        <v>0</v>
      </c>
      <c r="AD365" s="355">
        <v>0</v>
      </c>
      <c r="AE365" s="355">
        <v>0</v>
      </c>
      <c r="AF365" s="355">
        <v>0</v>
      </c>
      <c r="AG365" s="355">
        <v>0</v>
      </c>
      <c r="AH365" s="355">
        <v>0</v>
      </c>
      <c r="AI365" s="355">
        <v>0</v>
      </c>
      <c r="AJ365" s="355">
        <v>0</v>
      </c>
      <c r="AK365" s="355">
        <v>0</v>
      </c>
      <c r="AL365" s="355">
        <v>0</v>
      </c>
      <c r="AM365" s="355">
        <v>0</v>
      </c>
      <c r="AN365" s="355">
        <v>0</v>
      </c>
      <c r="AO365" s="355">
        <v>0</v>
      </c>
      <c r="AP365" s="355">
        <v>0</v>
      </c>
      <c r="AQ365" s="355">
        <v>0</v>
      </c>
      <c r="AR365" s="355">
        <v>0</v>
      </c>
      <c r="AS365" s="355">
        <v>0</v>
      </c>
      <c r="AT365" s="333">
        <f t="shared" si="285"/>
        <v>2.5000000000000001E-2</v>
      </c>
      <c r="AU365" s="334">
        <v>0.1</v>
      </c>
      <c r="AV365" s="387">
        <f t="shared" si="267"/>
        <v>0.1</v>
      </c>
      <c r="AW365" s="677">
        <v>0.1</v>
      </c>
      <c r="AX365" s="366">
        <f t="shared" si="268"/>
        <v>0.1</v>
      </c>
      <c r="AY365" s="366">
        <f t="shared" si="269"/>
        <v>100</v>
      </c>
      <c r="AZ365" s="366">
        <f t="shared" si="286"/>
        <v>100</v>
      </c>
      <c r="BA365" s="354">
        <f t="shared" si="287"/>
        <v>2.5000000000000001E-2</v>
      </c>
      <c r="BB365" s="354">
        <f t="shared" si="288"/>
        <v>100</v>
      </c>
      <c r="BC365" s="353">
        <v>0</v>
      </c>
      <c r="BD365" s="353">
        <v>0</v>
      </c>
      <c r="BE365" s="353">
        <v>0</v>
      </c>
      <c r="BF365" s="353">
        <v>0</v>
      </c>
      <c r="BG365" s="353">
        <v>0</v>
      </c>
      <c r="BH365" s="353">
        <v>0</v>
      </c>
      <c r="BI365" s="353">
        <v>0</v>
      </c>
      <c r="BJ365" s="353">
        <v>0</v>
      </c>
      <c r="BK365" s="428">
        <v>40000000</v>
      </c>
      <c r="BL365" s="351">
        <v>40000000</v>
      </c>
      <c r="BM365" s="351">
        <v>0</v>
      </c>
      <c r="BN365" s="351">
        <v>0</v>
      </c>
      <c r="BO365" s="351">
        <v>0</v>
      </c>
      <c r="BP365" s="351">
        <v>0</v>
      </c>
      <c r="BQ365" s="351">
        <v>0</v>
      </c>
      <c r="BR365" s="351">
        <v>0</v>
      </c>
      <c r="BS365" s="351">
        <v>0</v>
      </c>
      <c r="BT365" s="351">
        <v>0</v>
      </c>
      <c r="BU365" s="351">
        <v>0</v>
      </c>
      <c r="BV365" s="350">
        <f t="shared" si="289"/>
        <v>2.5000000000000001E-2</v>
      </c>
      <c r="BW365" s="350">
        <v>0.1</v>
      </c>
      <c r="BX365" s="385">
        <f t="shared" si="270"/>
        <v>0.1</v>
      </c>
      <c r="BY365" s="369">
        <v>0</v>
      </c>
      <c r="BZ365" s="391">
        <v>0</v>
      </c>
      <c r="CA365" s="689">
        <v>0</v>
      </c>
      <c r="CB365" s="324">
        <f t="shared" si="271"/>
        <v>0</v>
      </c>
      <c r="CC365" s="324">
        <f t="shared" si="272"/>
        <v>0</v>
      </c>
      <c r="CD365" s="384">
        <f t="shared" si="290"/>
        <v>0</v>
      </c>
      <c r="CE365" s="383">
        <f t="shared" si="291"/>
        <v>0</v>
      </c>
      <c r="CF365" s="367">
        <f t="shared" si="292"/>
        <v>0</v>
      </c>
      <c r="CG365" s="383">
        <f t="shared" si="293"/>
        <v>0</v>
      </c>
      <c r="CH365" s="320">
        <f t="shared" si="294"/>
        <v>2.5000000000000001E-2</v>
      </c>
      <c r="CI365" s="319">
        <v>0.1</v>
      </c>
      <c r="CJ365" s="318">
        <f t="shared" si="273"/>
        <v>0.1</v>
      </c>
      <c r="CK365" s="1260">
        <v>0.1</v>
      </c>
      <c r="CL365" s="301">
        <f t="shared" si="274"/>
        <v>0</v>
      </c>
      <c r="CM365" s="381">
        <f t="shared" si="275"/>
        <v>0.1</v>
      </c>
      <c r="CN365" s="381">
        <f t="shared" si="276"/>
        <v>100</v>
      </c>
      <c r="CO365" s="316">
        <f t="shared" si="295"/>
        <v>100</v>
      </c>
      <c r="CP365" s="381">
        <f t="shared" si="296"/>
        <v>2.5000000000000001E-2</v>
      </c>
      <c r="CQ365" s="381">
        <f t="shared" si="297"/>
        <v>2.5000000000000001E-2</v>
      </c>
      <c r="CR365" s="313">
        <v>0</v>
      </c>
      <c r="CS365" s="313">
        <v>0</v>
      </c>
      <c r="CT365" s="313">
        <v>0</v>
      </c>
      <c r="CU365" s="313">
        <v>0</v>
      </c>
      <c r="CV365" s="313">
        <v>0</v>
      </c>
      <c r="CW365" s="313">
        <v>0</v>
      </c>
      <c r="CX365" s="313">
        <v>0</v>
      </c>
      <c r="CY365" s="313">
        <v>0</v>
      </c>
      <c r="CZ365" s="380">
        <v>0</v>
      </c>
      <c r="DA365" s="380">
        <v>0</v>
      </c>
      <c r="DB365" s="380">
        <v>0</v>
      </c>
      <c r="DC365" s="380">
        <v>0</v>
      </c>
      <c r="DD365" s="380">
        <v>0</v>
      </c>
      <c r="DE365" s="380">
        <v>0</v>
      </c>
      <c r="DF365" s="380">
        <v>0</v>
      </c>
      <c r="DG365" s="380">
        <v>0</v>
      </c>
      <c r="DH365" s="380">
        <v>0</v>
      </c>
      <c r="DI365" s="380">
        <v>0</v>
      </c>
      <c r="DJ365" s="380">
        <v>0</v>
      </c>
      <c r="DK365" s="702">
        <f t="shared" si="277"/>
        <v>0.89999999999999991</v>
      </c>
      <c r="DL365" s="311">
        <f t="shared" si="298"/>
        <v>0.24999999999999997</v>
      </c>
      <c r="DM365" s="310">
        <f t="shared" si="299"/>
        <v>89.999999999999986</v>
      </c>
      <c r="DN365" s="356">
        <f t="shared" si="300"/>
        <v>89.999999999999986</v>
      </c>
      <c r="DO365" s="308">
        <f t="shared" si="301"/>
        <v>0.22499999999999998</v>
      </c>
      <c r="DP365" s="359">
        <f t="shared" si="309"/>
        <v>0.22499999999999998</v>
      </c>
      <c r="DQ365" s="306">
        <f t="shared" si="302"/>
        <v>0.22499999999999998</v>
      </c>
      <c r="DR365" s="379">
        <f t="shared" si="303"/>
        <v>0.99999999999999989</v>
      </c>
      <c r="DS365" s="378">
        <f t="shared" si="304"/>
        <v>0</v>
      </c>
      <c r="DT365" s="173">
        <v>422</v>
      </c>
      <c r="DU365" s="174" t="s">
        <v>104</v>
      </c>
      <c r="DV365" s="173"/>
      <c r="DW365" s="174" t="s">
        <v>84</v>
      </c>
      <c r="DX365" s="173"/>
      <c r="DY365" s="173"/>
      <c r="DZ365" s="173"/>
      <c r="EA365" s="665"/>
      <c r="EB365" s="1254" t="s">
        <v>2411</v>
      </c>
      <c r="EC365" s="537">
        <v>243000000</v>
      </c>
      <c r="EE365" s="734">
        <v>100</v>
      </c>
      <c r="EF365" s="706"/>
    </row>
    <row r="366" spans="4:136" s="302" customFormat="1" ht="60" hidden="1">
      <c r="D366" s="520">
        <v>363</v>
      </c>
      <c r="E366" s="534">
        <v>425</v>
      </c>
      <c r="F366" s="479" t="s">
        <v>45</v>
      </c>
      <c r="G366" s="479" t="s">
        <v>17</v>
      </c>
      <c r="H366" s="479" t="s">
        <v>2669</v>
      </c>
      <c r="I366" s="435" t="s">
        <v>896</v>
      </c>
      <c r="J366" s="335" t="s">
        <v>897</v>
      </c>
      <c r="K366" s="335" t="s">
        <v>898</v>
      </c>
      <c r="L366" s="436" t="s">
        <v>1885</v>
      </c>
      <c r="M366" s="334" t="s">
        <v>1771</v>
      </c>
      <c r="N366" s="334">
        <v>266</v>
      </c>
      <c r="O366" s="333">
        <f t="shared" si="308"/>
        <v>1266</v>
      </c>
      <c r="P366" s="332">
        <v>1000</v>
      </c>
      <c r="Q366" s="390">
        <v>0.16500000000000001</v>
      </c>
      <c r="R366" s="342">
        <f t="shared" si="282"/>
        <v>3.3000000000000002E-2</v>
      </c>
      <c r="S366" s="389">
        <v>200</v>
      </c>
      <c r="T366" s="387">
        <f t="shared" si="264"/>
        <v>0.2</v>
      </c>
      <c r="U366" s="670">
        <v>174</v>
      </c>
      <c r="V366" s="388">
        <f t="shared" si="265"/>
        <v>174</v>
      </c>
      <c r="W366" s="356">
        <f t="shared" si="266"/>
        <v>87</v>
      </c>
      <c r="X366" s="356">
        <f t="shared" si="283"/>
        <v>87</v>
      </c>
      <c r="Y366" s="356">
        <f t="shared" si="307"/>
        <v>2.8709999999999999E-2</v>
      </c>
      <c r="Z366" s="356">
        <f t="shared" si="284"/>
        <v>87</v>
      </c>
      <c r="AA366" s="355">
        <v>3059600000</v>
      </c>
      <c r="AB366" s="355">
        <v>2516600000</v>
      </c>
      <c r="AC366" s="355">
        <v>0</v>
      </c>
      <c r="AD366" s="355">
        <v>0</v>
      </c>
      <c r="AE366" s="355">
        <v>0</v>
      </c>
      <c r="AF366" s="355">
        <v>0</v>
      </c>
      <c r="AG366" s="355">
        <v>0</v>
      </c>
      <c r="AH366" s="355">
        <v>543000000</v>
      </c>
      <c r="AI366" s="355">
        <v>1583708000</v>
      </c>
      <c r="AJ366" s="355">
        <v>1583708000</v>
      </c>
      <c r="AK366" s="355">
        <v>0</v>
      </c>
      <c r="AL366" s="355">
        <v>0</v>
      </c>
      <c r="AM366" s="355">
        <v>0</v>
      </c>
      <c r="AN366" s="355">
        <v>0</v>
      </c>
      <c r="AO366" s="355">
        <v>0</v>
      </c>
      <c r="AP366" s="355">
        <v>0</v>
      </c>
      <c r="AQ366" s="355">
        <v>0</v>
      </c>
      <c r="AR366" s="355">
        <v>0</v>
      </c>
      <c r="AS366" s="355">
        <v>0</v>
      </c>
      <c r="AT366" s="333">
        <f t="shared" si="285"/>
        <v>4.1250000000000002E-2</v>
      </c>
      <c r="AU366" s="334">
        <v>250</v>
      </c>
      <c r="AV366" s="387">
        <f t="shared" si="267"/>
        <v>0.25</v>
      </c>
      <c r="AW366" s="677">
        <v>180</v>
      </c>
      <c r="AX366" s="366">
        <f t="shared" si="268"/>
        <v>180</v>
      </c>
      <c r="AY366" s="366">
        <f t="shared" si="269"/>
        <v>72</v>
      </c>
      <c r="AZ366" s="366">
        <f t="shared" si="286"/>
        <v>72</v>
      </c>
      <c r="BA366" s="354">
        <f t="shared" si="287"/>
        <v>2.9700000000000001E-2</v>
      </c>
      <c r="BB366" s="354">
        <f t="shared" si="288"/>
        <v>72</v>
      </c>
      <c r="BC366" s="353">
        <v>0</v>
      </c>
      <c r="BD366" s="353">
        <v>0</v>
      </c>
      <c r="BE366" s="353">
        <v>0</v>
      </c>
      <c r="BF366" s="353">
        <v>0</v>
      </c>
      <c r="BG366" s="353">
        <v>0</v>
      </c>
      <c r="BH366" s="353">
        <v>0</v>
      </c>
      <c r="BI366" s="353">
        <v>0</v>
      </c>
      <c r="BJ366" s="353">
        <v>0</v>
      </c>
      <c r="BK366" s="428">
        <v>1304830000</v>
      </c>
      <c r="BL366" s="351">
        <v>1304830000</v>
      </c>
      <c r="BM366" s="351">
        <v>0</v>
      </c>
      <c r="BN366" s="351">
        <v>0</v>
      </c>
      <c r="BO366" s="351">
        <v>0</v>
      </c>
      <c r="BP366" s="351">
        <v>0</v>
      </c>
      <c r="BQ366" s="351">
        <v>0</v>
      </c>
      <c r="BR366" s="351">
        <v>0</v>
      </c>
      <c r="BS366" s="351">
        <v>0</v>
      </c>
      <c r="BT366" s="351">
        <v>0</v>
      </c>
      <c r="BU366" s="351">
        <v>0</v>
      </c>
      <c r="BV366" s="350">
        <f t="shared" si="289"/>
        <v>4.1250000000000002E-2</v>
      </c>
      <c r="BW366" s="350">
        <v>250</v>
      </c>
      <c r="BX366" s="385">
        <f t="shared" si="270"/>
        <v>0.25</v>
      </c>
      <c r="BY366" s="369">
        <v>306</v>
      </c>
      <c r="BZ366" s="391">
        <v>306</v>
      </c>
      <c r="CA366" s="689">
        <v>380</v>
      </c>
      <c r="CB366" s="324">
        <f t="shared" si="271"/>
        <v>380</v>
      </c>
      <c r="CC366" s="324">
        <f t="shared" si="272"/>
        <v>152</v>
      </c>
      <c r="CD366" s="384">
        <f t="shared" si="290"/>
        <v>100</v>
      </c>
      <c r="CE366" s="383">
        <f t="shared" si="291"/>
        <v>4.1250000000000002E-2</v>
      </c>
      <c r="CF366" s="367">
        <f t="shared" si="292"/>
        <v>100</v>
      </c>
      <c r="CG366" s="383">
        <f t="shared" si="293"/>
        <v>6.2700000000000006E-2</v>
      </c>
      <c r="CH366" s="320">
        <f t="shared" si="294"/>
        <v>4.9500000000000002E-2</v>
      </c>
      <c r="CI366" s="319">
        <v>300</v>
      </c>
      <c r="CJ366" s="318">
        <f t="shared" si="273"/>
        <v>0.3</v>
      </c>
      <c r="CK366" s="1259">
        <v>531</v>
      </c>
      <c r="CL366" s="301">
        <f t="shared" si="274"/>
        <v>-231</v>
      </c>
      <c r="CM366" s="381">
        <f t="shared" si="275"/>
        <v>531</v>
      </c>
      <c r="CN366" s="381">
        <f t="shared" si="276"/>
        <v>177</v>
      </c>
      <c r="CO366" s="316">
        <f t="shared" si="295"/>
        <v>100</v>
      </c>
      <c r="CP366" s="381">
        <f t="shared" si="296"/>
        <v>4.9500000000000002E-2</v>
      </c>
      <c r="CQ366" s="381">
        <f t="shared" si="297"/>
        <v>8.7614999999999998E-2</v>
      </c>
      <c r="CR366" s="313">
        <v>0</v>
      </c>
      <c r="CS366" s="313">
        <v>0</v>
      </c>
      <c r="CT366" s="313">
        <v>0</v>
      </c>
      <c r="CU366" s="313">
        <v>0</v>
      </c>
      <c r="CV366" s="313">
        <v>0</v>
      </c>
      <c r="CW366" s="313">
        <v>0</v>
      </c>
      <c r="CX366" s="313">
        <v>0</v>
      </c>
      <c r="CY366" s="313">
        <v>0</v>
      </c>
      <c r="CZ366" s="380">
        <v>0</v>
      </c>
      <c r="DA366" s="380">
        <v>0</v>
      </c>
      <c r="DB366" s="380">
        <v>0</v>
      </c>
      <c r="DC366" s="380">
        <v>0</v>
      </c>
      <c r="DD366" s="380">
        <v>0</v>
      </c>
      <c r="DE366" s="380">
        <v>0</v>
      </c>
      <c r="DF366" s="380">
        <v>0</v>
      </c>
      <c r="DG366" s="380">
        <v>0</v>
      </c>
      <c r="DH366" s="380">
        <v>0</v>
      </c>
      <c r="DI366" s="380">
        <v>0</v>
      </c>
      <c r="DJ366" s="380">
        <v>0</v>
      </c>
      <c r="DK366" s="702">
        <f t="shared" si="277"/>
        <v>1265</v>
      </c>
      <c r="DL366" s="311">
        <f t="shared" si="298"/>
        <v>0.16500000000000004</v>
      </c>
      <c r="DM366" s="310">
        <f t="shared" si="299"/>
        <v>126.5</v>
      </c>
      <c r="DN366" s="356">
        <f t="shared" si="300"/>
        <v>100</v>
      </c>
      <c r="DO366" s="308">
        <f t="shared" si="301"/>
        <v>0.16500000000000001</v>
      </c>
      <c r="DP366" s="359">
        <f t="shared" si="309"/>
        <v>0.16500000000000001</v>
      </c>
      <c r="DQ366" s="306">
        <f t="shared" si="302"/>
        <v>0.16500000000000001</v>
      </c>
      <c r="DR366" s="379">
        <f t="shared" si="303"/>
        <v>1</v>
      </c>
      <c r="DS366" s="378">
        <f t="shared" si="304"/>
        <v>0</v>
      </c>
      <c r="DT366" s="173">
        <v>422</v>
      </c>
      <c r="DU366" s="174" t="s">
        <v>104</v>
      </c>
      <c r="DV366" s="173"/>
      <c r="DW366" s="174" t="s">
        <v>84</v>
      </c>
      <c r="DX366" s="173"/>
      <c r="DY366" s="173"/>
      <c r="DZ366" s="173"/>
      <c r="EA366" s="665"/>
      <c r="EB366" s="1254" t="s">
        <v>2412</v>
      </c>
      <c r="EC366" s="537">
        <v>155000000</v>
      </c>
      <c r="EE366" s="734">
        <v>116</v>
      </c>
      <c r="EF366" s="706"/>
    </row>
    <row r="367" spans="4:136" s="302" customFormat="1" ht="120" hidden="1">
      <c r="D367" s="520">
        <v>364</v>
      </c>
      <c r="E367" s="534">
        <v>426</v>
      </c>
      <c r="F367" s="479" t="s">
        <v>45</v>
      </c>
      <c r="G367" s="479" t="s">
        <v>17</v>
      </c>
      <c r="H367" s="479" t="s">
        <v>2669</v>
      </c>
      <c r="I367" s="435" t="s">
        <v>899</v>
      </c>
      <c r="J367" s="335" t="s">
        <v>900</v>
      </c>
      <c r="K367" s="335" t="s">
        <v>901</v>
      </c>
      <c r="L367" s="436" t="s">
        <v>1884</v>
      </c>
      <c r="M367" s="334" t="s">
        <v>1771</v>
      </c>
      <c r="N367" s="334">
        <v>200</v>
      </c>
      <c r="O367" s="333">
        <f t="shared" si="308"/>
        <v>450</v>
      </c>
      <c r="P367" s="332">
        <v>250</v>
      </c>
      <c r="Q367" s="390">
        <v>0.16500000000000001</v>
      </c>
      <c r="R367" s="342">
        <f t="shared" si="282"/>
        <v>1.6500000000000001E-2</v>
      </c>
      <c r="S367" s="389">
        <v>25</v>
      </c>
      <c r="T367" s="387">
        <f t="shared" si="264"/>
        <v>0.1</v>
      </c>
      <c r="U367" s="670">
        <v>106</v>
      </c>
      <c r="V367" s="388">
        <f t="shared" si="265"/>
        <v>106</v>
      </c>
      <c r="W367" s="356">
        <f t="shared" si="266"/>
        <v>424</v>
      </c>
      <c r="X367" s="356">
        <f t="shared" si="283"/>
        <v>100</v>
      </c>
      <c r="Y367" s="356">
        <f t="shared" si="307"/>
        <v>1.6500000000000001E-2</v>
      </c>
      <c r="Z367" s="356">
        <f t="shared" si="284"/>
        <v>100</v>
      </c>
      <c r="AA367" s="355">
        <v>0</v>
      </c>
      <c r="AB367" s="355">
        <v>0</v>
      </c>
      <c r="AC367" s="355">
        <v>0</v>
      </c>
      <c r="AD367" s="355">
        <v>0</v>
      </c>
      <c r="AE367" s="355">
        <v>0</v>
      </c>
      <c r="AF367" s="355">
        <v>0</v>
      </c>
      <c r="AG367" s="355">
        <v>0</v>
      </c>
      <c r="AH367" s="355">
        <v>0</v>
      </c>
      <c r="AI367" s="355">
        <v>0</v>
      </c>
      <c r="AJ367" s="355">
        <v>0</v>
      </c>
      <c r="AK367" s="355">
        <v>0</v>
      </c>
      <c r="AL367" s="355">
        <v>0</v>
      </c>
      <c r="AM367" s="355">
        <v>0</v>
      </c>
      <c r="AN367" s="355">
        <v>0</v>
      </c>
      <c r="AO367" s="355">
        <v>0</v>
      </c>
      <c r="AP367" s="355">
        <v>0</v>
      </c>
      <c r="AQ367" s="355">
        <v>0</v>
      </c>
      <c r="AR367" s="355">
        <v>0</v>
      </c>
      <c r="AS367" s="355">
        <v>0</v>
      </c>
      <c r="AT367" s="333">
        <f t="shared" si="285"/>
        <v>4.6200000000000005E-2</v>
      </c>
      <c r="AU367" s="334">
        <v>70</v>
      </c>
      <c r="AV367" s="387">
        <f t="shared" si="267"/>
        <v>0.28000000000000003</v>
      </c>
      <c r="AW367" s="677">
        <v>32</v>
      </c>
      <c r="AX367" s="366">
        <f t="shared" si="268"/>
        <v>32</v>
      </c>
      <c r="AY367" s="366">
        <f t="shared" si="269"/>
        <v>45.714285714285715</v>
      </c>
      <c r="AZ367" s="366">
        <f t="shared" si="286"/>
        <v>45.714285714285715</v>
      </c>
      <c r="BA367" s="354">
        <f t="shared" si="287"/>
        <v>2.112E-2</v>
      </c>
      <c r="BB367" s="354">
        <f t="shared" si="288"/>
        <v>45.714285714285715</v>
      </c>
      <c r="BC367" s="353">
        <v>0</v>
      </c>
      <c r="BD367" s="353">
        <v>0</v>
      </c>
      <c r="BE367" s="353">
        <v>0</v>
      </c>
      <c r="BF367" s="353">
        <v>0</v>
      </c>
      <c r="BG367" s="353">
        <v>0</v>
      </c>
      <c r="BH367" s="353">
        <v>0</v>
      </c>
      <c r="BI367" s="353">
        <v>0</v>
      </c>
      <c r="BJ367" s="353">
        <v>0</v>
      </c>
      <c r="BK367" s="428">
        <v>0</v>
      </c>
      <c r="BL367" s="351">
        <v>0</v>
      </c>
      <c r="BM367" s="351">
        <v>0</v>
      </c>
      <c r="BN367" s="351">
        <v>0</v>
      </c>
      <c r="BO367" s="351">
        <v>0</v>
      </c>
      <c r="BP367" s="351">
        <v>0</v>
      </c>
      <c r="BQ367" s="351">
        <v>0</v>
      </c>
      <c r="BR367" s="351">
        <v>0</v>
      </c>
      <c r="BS367" s="351">
        <v>0</v>
      </c>
      <c r="BT367" s="351">
        <v>0</v>
      </c>
      <c r="BU367" s="351">
        <v>0</v>
      </c>
      <c r="BV367" s="350">
        <f t="shared" si="289"/>
        <v>4.6200000000000005E-2</v>
      </c>
      <c r="BW367" s="350">
        <v>70</v>
      </c>
      <c r="BX367" s="385">
        <f t="shared" si="270"/>
        <v>0.28000000000000003</v>
      </c>
      <c r="BY367" s="369">
        <v>9</v>
      </c>
      <c r="BZ367" s="391">
        <v>9</v>
      </c>
      <c r="CA367" s="689">
        <v>14</v>
      </c>
      <c r="CB367" s="324">
        <f t="shared" si="271"/>
        <v>14</v>
      </c>
      <c r="CC367" s="324">
        <f t="shared" si="272"/>
        <v>20</v>
      </c>
      <c r="CD367" s="384">
        <f t="shared" si="290"/>
        <v>20</v>
      </c>
      <c r="CE367" s="383">
        <f t="shared" si="291"/>
        <v>9.2400000000000017E-3</v>
      </c>
      <c r="CF367" s="367">
        <f t="shared" si="292"/>
        <v>20</v>
      </c>
      <c r="CG367" s="383">
        <f t="shared" si="293"/>
        <v>9.2400000000000017E-3</v>
      </c>
      <c r="CH367" s="320">
        <f t="shared" si="294"/>
        <v>5.6100000000000004E-2</v>
      </c>
      <c r="CI367" s="319">
        <v>85</v>
      </c>
      <c r="CJ367" s="318">
        <f t="shared" si="273"/>
        <v>0.34</v>
      </c>
      <c r="CK367" s="1259">
        <v>70</v>
      </c>
      <c r="CL367" s="301">
        <f t="shared" si="274"/>
        <v>15</v>
      </c>
      <c r="CM367" s="381">
        <f t="shared" si="275"/>
        <v>70</v>
      </c>
      <c r="CN367" s="381">
        <f t="shared" si="276"/>
        <v>82.352941176470594</v>
      </c>
      <c r="CO367" s="316">
        <f t="shared" si="295"/>
        <v>82.352941176470594</v>
      </c>
      <c r="CP367" s="381">
        <f t="shared" si="296"/>
        <v>4.6200000000000012E-2</v>
      </c>
      <c r="CQ367" s="381">
        <f t="shared" si="297"/>
        <v>4.6200000000000012E-2</v>
      </c>
      <c r="CR367" s="313">
        <v>0</v>
      </c>
      <c r="CS367" s="313">
        <v>0</v>
      </c>
      <c r="CT367" s="313">
        <v>0</v>
      </c>
      <c r="CU367" s="313">
        <v>0</v>
      </c>
      <c r="CV367" s="313">
        <v>0</v>
      </c>
      <c r="CW367" s="313">
        <v>0</v>
      </c>
      <c r="CX367" s="313">
        <v>0</v>
      </c>
      <c r="CY367" s="313">
        <v>0</v>
      </c>
      <c r="CZ367" s="380">
        <v>0</v>
      </c>
      <c r="DA367" s="380">
        <v>0</v>
      </c>
      <c r="DB367" s="380">
        <v>0</v>
      </c>
      <c r="DC367" s="380">
        <v>0</v>
      </c>
      <c r="DD367" s="380">
        <v>0</v>
      </c>
      <c r="DE367" s="380">
        <v>0</v>
      </c>
      <c r="DF367" s="380">
        <v>0</v>
      </c>
      <c r="DG367" s="380">
        <v>0</v>
      </c>
      <c r="DH367" s="380">
        <v>0</v>
      </c>
      <c r="DI367" s="380">
        <v>0</v>
      </c>
      <c r="DJ367" s="380">
        <v>0</v>
      </c>
      <c r="DK367" s="702">
        <f t="shared" si="277"/>
        <v>222</v>
      </c>
      <c r="DL367" s="311">
        <f t="shared" si="298"/>
        <v>0.16500000000000001</v>
      </c>
      <c r="DM367" s="310">
        <f t="shared" si="299"/>
        <v>88.8</v>
      </c>
      <c r="DN367" s="356">
        <f t="shared" si="300"/>
        <v>88.8</v>
      </c>
      <c r="DO367" s="308">
        <f t="shared" si="301"/>
        <v>0.14652000000000001</v>
      </c>
      <c r="DP367" s="359">
        <f t="shared" si="309"/>
        <v>0.14652000000000001</v>
      </c>
      <c r="DQ367" s="306">
        <f t="shared" si="302"/>
        <v>0.14652000000000001</v>
      </c>
      <c r="DR367" s="379">
        <f t="shared" si="303"/>
        <v>1</v>
      </c>
      <c r="DS367" s="378">
        <f t="shared" si="304"/>
        <v>0</v>
      </c>
      <c r="DT367" s="173">
        <v>422</v>
      </c>
      <c r="DU367" s="174" t="s">
        <v>104</v>
      </c>
      <c r="DV367" s="173">
        <v>434</v>
      </c>
      <c r="DW367" s="174" t="s">
        <v>103</v>
      </c>
      <c r="DX367" s="173"/>
      <c r="DY367" s="173"/>
      <c r="DZ367" s="173"/>
      <c r="EA367" s="665"/>
      <c r="EB367" s="1254" t="s">
        <v>2413</v>
      </c>
      <c r="EC367" s="537">
        <v>80000000</v>
      </c>
      <c r="EE367" s="735">
        <v>100</v>
      </c>
      <c r="EF367" s="706"/>
    </row>
    <row r="368" spans="4:136" s="302" customFormat="1" ht="153" hidden="1">
      <c r="D368" s="520">
        <v>365</v>
      </c>
      <c r="E368" s="534">
        <v>427</v>
      </c>
      <c r="F368" s="479" t="s">
        <v>45</v>
      </c>
      <c r="G368" s="479" t="s">
        <v>17</v>
      </c>
      <c r="H368" s="479" t="s">
        <v>2669</v>
      </c>
      <c r="I368" s="435" t="s">
        <v>899</v>
      </c>
      <c r="J368" s="335" t="s">
        <v>902</v>
      </c>
      <c r="K368" s="335" t="s">
        <v>903</v>
      </c>
      <c r="L368" s="436" t="s">
        <v>1864</v>
      </c>
      <c r="M368" s="334" t="s">
        <v>1771</v>
      </c>
      <c r="N368" s="334">
        <v>0</v>
      </c>
      <c r="O368" s="333">
        <f t="shared" si="308"/>
        <v>3</v>
      </c>
      <c r="P368" s="332">
        <v>3</v>
      </c>
      <c r="Q368" s="390">
        <v>0.25</v>
      </c>
      <c r="R368" s="342">
        <f t="shared" si="282"/>
        <v>0</v>
      </c>
      <c r="S368" s="389">
        <v>0</v>
      </c>
      <c r="T368" s="387">
        <f t="shared" si="264"/>
        <v>0</v>
      </c>
      <c r="U368" s="670">
        <v>3</v>
      </c>
      <c r="V368" s="388">
        <f t="shared" si="265"/>
        <v>3</v>
      </c>
      <c r="W368" s="356">
        <f t="shared" si="266"/>
        <v>0</v>
      </c>
      <c r="X368" s="356">
        <f t="shared" si="283"/>
        <v>0</v>
      </c>
      <c r="Y368" s="356">
        <f t="shared" si="307"/>
        <v>0</v>
      </c>
      <c r="Z368" s="356">
        <f t="shared" si="284"/>
        <v>100</v>
      </c>
      <c r="AA368" s="355">
        <v>1100000000</v>
      </c>
      <c r="AB368" s="355">
        <v>1100000000</v>
      </c>
      <c r="AC368" s="355">
        <v>0</v>
      </c>
      <c r="AD368" s="355">
        <v>0</v>
      </c>
      <c r="AE368" s="355">
        <v>0</v>
      </c>
      <c r="AF368" s="355">
        <v>0</v>
      </c>
      <c r="AG368" s="355">
        <v>0</v>
      </c>
      <c r="AH368" s="355">
        <v>0</v>
      </c>
      <c r="AI368" s="355">
        <v>782103000</v>
      </c>
      <c r="AJ368" s="355">
        <v>782103000</v>
      </c>
      <c r="AK368" s="355">
        <v>0</v>
      </c>
      <c r="AL368" s="355">
        <v>0</v>
      </c>
      <c r="AM368" s="355">
        <v>0</v>
      </c>
      <c r="AN368" s="355">
        <v>0</v>
      </c>
      <c r="AO368" s="355">
        <v>0</v>
      </c>
      <c r="AP368" s="355">
        <v>0</v>
      </c>
      <c r="AQ368" s="355">
        <v>0</v>
      </c>
      <c r="AR368" s="355">
        <v>0</v>
      </c>
      <c r="AS368" s="355">
        <v>0</v>
      </c>
      <c r="AT368" s="333">
        <f t="shared" si="285"/>
        <v>8.3333333333333329E-2</v>
      </c>
      <c r="AU368" s="334">
        <v>1</v>
      </c>
      <c r="AV368" s="387">
        <f t="shared" si="267"/>
        <v>0.33333333333333331</v>
      </c>
      <c r="AW368" s="677">
        <v>1</v>
      </c>
      <c r="AX368" s="366">
        <f t="shared" si="268"/>
        <v>1</v>
      </c>
      <c r="AY368" s="366">
        <f t="shared" si="269"/>
        <v>100</v>
      </c>
      <c r="AZ368" s="366">
        <f t="shared" si="286"/>
        <v>100</v>
      </c>
      <c r="BA368" s="354">
        <f t="shared" si="287"/>
        <v>8.3333333333333315E-2</v>
      </c>
      <c r="BB368" s="354">
        <f t="shared" si="288"/>
        <v>100</v>
      </c>
      <c r="BC368" s="353">
        <v>0</v>
      </c>
      <c r="BD368" s="353">
        <v>0</v>
      </c>
      <c r="BE368" s="353">
        <v>0</v>
      </c>
      <c r="BF368" s="353">
        <v>0</v>
      </c>
      <c r="BG368" s="353">
        <v>0</v>
      </c>
      <c r="BH368" s="353">
        <v>0</v>
      </c>
      <c r="BI368" s="353">
        <v>0</v>
      </c>
      <c r="BJ368" s="353">
        <v>0</v>
      </c>
      <c r="BK368" s="428">
        <v>31000000</v>
      </c>
      <c r="BL368" s="351">
        <v>31000000</v>
      </c>
      <c r="BM368" s="351">
        <v>0</v>
      </c>
      <c r="BN368" s="351">
        <v>0</v>
      </c>
      <c r="BO368" s="351">
        <v>0</v>
      </c>
      <c r="BP368" s="351">
        <v>0</v>
      </c>
      <c r="BQ368" s="351">
        <v>0</v>
      </c>
      <c r="BR368" s="351">
        <v>0</v>
      </c>
      <c r="BS368" s="351">
        <v>0</v>
      </c>
      <c r="BT368" s="351">
        <v>0</v>
      </c>
      <c r="BU368" s="351">
        <v>0</v>
      </c>
      <c r="BV368" s="350">
        <f t="shared" si="289"/>
        <v>8.3333333333333329E-2</v>
      </c>
      <c r="BW368" s="350">
        <v>1</v>
      </c>
      <c r="BX368" s="385">
        <f t="shared" si="270"/>
        <v>0.33333333333333331</v>
      </c>
      <c r="BY368" s="369">
        <v>1</v>
      </c>
      <c r="BZ368" s="391">
        <v>1</v>
      </c>
      <c r="CA368" s="689">
        <v>1</v>
      </c>
      <c r="CB368" s="324">
        <f t="shared" si="271"/>
        <v>1</v>
      </c>
      <c r="CC368" s="324">
        <f t="shared" si="272"/>
        <v>100</v>
      </c>
      <c r="CD368" s="384">
        <f t="shared" si="290"/>
        <v>100</v>
      </c>
      <c r="CE368" s="383">
        <f t="shared" si="291"/>
        <v>8.3333333333333315E-2</v>
      </c>
      <c r="CF368" s="367">
        <f t="shared" si="292"/>
        <v>100</v>
      </c>
      <c r="CG368" s="383">
        <f t="shared" si="293"/>
        <v>8.3333333333333315E-2</v>
      </c>
      <c r="CH368" s="320">
        <f t="shared" si="294"/>
        <v>8.3333333333333329E-2</v>
      </c>
      <c r="CI368" s="319">
        <v>1</v>
      </c>
      <c r="CJ368" s="318">
        <f t="shared" si="273"/>
        <v>0.33333333333333331</v>
      </c>
      <c r="CK368" s="1259">
        <v>1</v>
      </c>
      <c r="CL368" s="301">
        <f t="shared" si="274"/>
        <v>0</v>
      </c>
      <c r="CM368" s="381">
        <f t="shared" si="275"/>
        <v>1</v>
      </c>
      <c r="CN368" s="381">
        <f t="shared" si="276"/>
        <v>100</v>
      </c>
      <c r="CO368" s="316">
        <f t="shared" si="295"/>
        <v>100</v>
      </c>
      <c r="CP368" s="381">
        <f t="shared" si="296"/>
        <v>8.3333333333333315E-2</v>
      </c>
      <c r="CQ368" s="381">
        <f t="shared" si="297"/>
        <v>8.3333333333333315E-2</v>
      </c>
      <c r="CR368" s="313">
        <v>0</v>
      </c>
      <c r="CS368" s="313">
        <v>0</v>
      </c>
      <c r="CT368" s="313">
        <v>0</v>
      </c>
      <c r="CU368" s="313">
        <v>0</v>
      </c>
      <c r="CV368" s="313">
        <v>0</v>
      </c>
      <c r="CW368" s="313">
        <v>0</v>
      </c>
      <c r="CX368" s="313">
        <v>0</v>
      </c>
      <c r="CY368" s="313">
        <v>0</v>
      </c>
      <c r="CZ368" s="380">
        <v>0</v>
      </c>
      <c r="DA368" s="380">
        <v>0</v>
      </c>
      <c r="DB368" s="380">
        <v>0</v>
      </c>
      <c r="DC368" s="380">
        <v>0</v>
      </c>
      <c r="DD368" s="380">
        <v>0</v>
      </c>
      <c r="DE368" s="380">
        <v>0</v>
      </c>
      <c r="DF368" s="380">
        <v>0</v>
      </c>
      <c r="DG368" s="380">
        <v>0</v>
      </c>
      <c r="DH368" s="380">
        <v>0</v>
      </c>
      <c r="DI368" s="380">
        <v>0</v>
      </c>
      <c r="DJ368" s="380">
        <v>0</v>
      </c>
      <c r="DK368" s="702">
        <f t="shared" si="277"/>
        <v>6</v>
      </c>
      <c r="DL368" s="311">
        <f t="shared" si="298"/>
        <v>0.25</v>
      </c>
      <c r="DM368" s="310">
        <f t="shared" si="299"/>
        <v>200</v>
      </c>
      <c r="DN368" s="356">
        <f t="shared" si="300"/>
        <v>100</v>
      </c>
      <c r="DO368" s="308">
        <f t="shared" si="301"/>
        <v>0.25</v>
      </c>
      <c r="DP368" s="359">
        <f t="shared" si="309"/>
        <v>0.25</v>
      </c>
      <c r="DQ368" s="306">
        <f t="shared" si="302"/>
        <v>0.25</v>
      </c>
      <c r="DR368" s="379">
        <f t="shared" si="303"/>
        <v>1</v>
      </c>
      <c r="DS368" s="378">
        <f t="shared" si="304"/>
        <v>0</v>
      </c>
      <c r="DT368" s="173">
        <v>422</v>
      </c>
      <c r="DU368" s="174" t="s">
        <v>104</v>
      </c>
      <c r="DV368" s="173"/>
      <c r="DW368" s="174" t="s">
        <v>84</v>
      </c>
      <c r="DX368" s="173"/>
      <c r="DY368" s="173"/>
      <c r="DZ368" s="173"/>
      <c r="EA368" s="665"/>
      <c r="EB368" s="1254" t="s">
        <v>2582</v>
      </c>
      <c r="EC368" s="537">
        <v>40000000</v>
      </c>
      <c r="EE368" s="734">
        <v>100</v>
      </c>
      <c r="EF368" s="706"/>
    </row>
    <row r="369" spans="4:136" s="302" customFormat="1" ht="63.75" hidden="1">
      <c r="D369" s="520">
        <v>366</v>
      </c>
      <c r="E369" s="534">
        <v>428</v>
      </c>
      <c r="F369" s="479" t="s">
        <v>45</v>
      </c>
      <c r="G369" s="479" t="s">
        <v>17</v>
      </c>
      <c r="H369" s="479" t="s">
        <v>2669</v>
      </c>
      <c r="I369" s="435" t="s">
        <v>899</v>
      </c>
      <c r="J369" s="335" t="s">
        <v>904</v>
      </c>
      <c r="K369" s="335" t="s">
        <v>905</v>
      </c>
      <c r="L369" s="436" t="s">
        <v>1415</v>
      </c>
      <c r="M369" s="334" t="s">
        <v>1771</v>
      </c>
      <c r="N369" s="334">
        <v>23</v>
      </c>
      <c r="O369" s="333">
        <f t="shared" si="308"/>
        <v>58</v>
      </c>
      <c r="P369" s="332">
        <v>35</v>
      </c>
      <c r="Q369" s="390">
        <v>0.25</v>
      </c>
      <c r="R369" s="342">
        <f t="shared" si="282"/>
        <v>5.7142857142857141E-2</v>
      </c>
      <c r="S369" s="389">
        <v>8</v>
      </c>
      <c r="T369" s="387">
        <f t="shared" si="264"/>
        <v>0.22857142857142856</v>
      </c>
      <c r="U369" s="670">
        <v>1</v>
      </c>
      <c r="V369" s="388">
        <f t="shared" si="265"/>
        <v>1</v>
      </c>
      <c r="W369" s="356">
        <f t="shared" si="266"/>
        <v>12.5</v>
      </c>
      <c r="X369" s="356">
        <f t="shared" si="283"/>
        <v>12.5</v>
      </c>
      <c r="Y369" s="356">
        <f t="shared" si="307"/>
        <v>7.1428571428571426E-3</v>
      </c>
      <c r="Z369" s="356">
        <f t="shared" si="284"/>
        <v>12.5</v>
      </c>
      <c r="AA369" s="355">
        <v>500000000</v>
      </c>
      <c r="AB369" s="355">
        <v>500000000</v>
      </c>
      <c r="AC369" s="355">
        <v>0</v>
      </c>
      <c r="AD369" s="355">
        <v>0</v>
      </c>
      <c r="AE369" s="355">
        <v>0</v>
      </c>
      <c r="AF369" s="355">
        <v>0</v>
      </c>
      <c r="AG369" s="355">
        <v>0</v>
      </c>
      <c r="AH369" s="355">
        <v>0</v>
      </c>
      <c r="AI369" s="355">
        <v>21450000</v>
      </c>
      <c r="AJ369" s="355">
        <v>21450000</v>
      </c>
      <c r="AK369" s="355">
        <v>0</v>
      </c>
      <c r="AL369" s="355">
        <v>0</v>
      </c>
      <c r="AM369" s="355">
        <v>0</v>
      </c>
      <c r="AN369" s="355">
        <v>0</v>
      </c>
      <c r="AO369" s="355">
        <v>0</v>
      </c>
      <c r="AP369" s="355">
        <v>0</v>
      </c>
      <c r="AQ369" s="355">
        <v>0</v>
      </c>
      <c r="AR369" s="355">
        <v>0</v>
      </c>
      <c r="AS369" s="355">
        <v>0</v>
      </c>
      <c r="AT369" s="333">
        <f t="shared" si="285"/>
        <v>8.5714285714285715E-2</v>
      </c>
      <c r="AU369" s="334">
        <v>12</v>
      </c>
      <c r="AV369" s="387">
        <f t="shared" si="267"/>
        <v>0.34285714285714286</v>
      </c>
      <c r="AW369" s="677">
        <v>9</v>
      </c>
      <c r="AX369" s="366">
        <f t="shared" si="268"/>
        <v>9</v>
      </c>
      <c r="AY369" s="366">
        <f t="shared" si="269"/>
        <v>75</v>
      </c>
      <c r="AZ369" s="366">
        <f t="shared" si="286"/>
        <v>75</v>
      </c>
      <c r="BA369" s="354">
        <f t="shared" si="287"/>
        <v>6.4285714285714293E-2</v>
      </c>
      <c r="BB369" s="354">
        <f t="shared" si="288"/>
        <v>75</v>
      </c>
      <c r="BC369" s="353">
        <v>0</v>
      </c>
      <c r="BD369" s="353">
        <v>0</v>
      </c>
      <c r="BE369" s="353">
        <v>0</v>
      </c>
      <c r="BF369" s="353">
        <v>0</v>
      </c>
      <c r="BG369" s="353">
        <v>0</v>
      </c>
      <c r="BH369" s="353">
        <v>0</v>
      </c>
      <c r="BI369" s="353">
        <v>0</v>
      </c>
      <c r="BJ369" s="353">
        <v>0</v>
      </c>
      <c r="BK369" s="428">
        <v>0</v>
      </c>
      <c r="BL369" s="351">
        <v>0</v>
      </c>
      <c r="BM369" s="351">
        <v>0</v>
      </c>
      <c r="BN369" s="351">
        <v>0</v>
      </c>
      <c r="BO369" s="351">
        <v>0</v>
      </c>
      <c r="BP369" s="351">
        <v>0</v>
      </c>
      <c r="BQ369" s="351">
        <v>0</v>
      </c>
      <c r="BR369" s="351">
        <v>0</v>
      </c>
      <c r="BS369" s="351">
        <v>0</v>
      </c>
      <c r="BT369" s="351">
        <v>0</v>
      </c>
      <c r="BU369" s="351">
        <v>0</v>
      </c>
      <c r="BV369" s="350">
        <f t="shared" si="289"/>
        <v>7.1428571428571425E-2</v>
      </c>
      <c r="BW369" s="350">
        <v>10</v>
      </c>
      <c r="BX369" s="385">
        <f t="shared" si="270"/>
        <v>0.2857142857142857</v>
      </c>
      <c r="BY369" s="369">
        <v>0</v>
      </c>
      <c r="BZ369" s="391">
        <v>0</v>
      </c>
      <c r="CA369" s="689">
        <v>0</v>
      </c>
      <c r="CB369" s="324">
        <f t="shared" si="271"/>
        <v>0</v>
      </c>
      <c r="CC369" s="324">
        <f t="shared" si="272"/>
        <v>0</v>
      </c>
      <c r="CD369" s="384">
        <f t="shared" si="290"/>
        <v>0</v>
      </c>
      <c r="CE369" s="383">
        <f t="shared" si="291"/>
        <v>0</v>
      </c>
      <c r="CF369" s="367">
        <f t="shared" si="292"/>
        <v>0</v>
      </c>
      <c r="CG369" s="383">
        <f t="shared" si="293"/>
        <v>0</v>
      </c>
      <c r="CH369" s="320">
        <f t="shared" si="294"/>
        <v>3.5714285714285712E-2</v>
      </c>
      <c r="CI369" s="319">
        <v>5</v>
      </c>
      <c r="CJ369" s="318">
        <f t="shared" si="273"/>
        <v>0.14285714285714285</v>
      </c>
      <c r="CK369" s="1259">
        <v>14</v>
      </c>
      <c r="CL369" s="301">
        <f t="shared" si="274"/>
        <v>-9</v>
      </c>
      <c r="CM369" s="381">
        <f t="shared" si="275"/>
        <v>14</v>
      </c>
      <c r="CN369" s="381">
        <f t="shared" si="276"/>
        <v>280</v>
      </c>
      <c r="CO369" s="316">
        <f t="shared" si="295"/>
        <v>100</v>
      </c>
      <c r="CP369" s="381">
        <f t="shared" si="296"/>
        <v>3.5714285714285712E-2</v>
      </c>
      <c r="CQ369" s="381">
        <f t="shared" si="297"/>
        <v>0.1</v>
      </c>
      <c r="CR369" s="313">
        <v>0</v>
      </c>
      <c r="CS369" s="313">
        <v>0</v>
      </c>
      <c r="CT369" s="313">
        <v>0</v>
      </c>
      <c r="CU369" s="313">
        <v>0</v>
      </c>
      <c r="CV369" s="313">
        <v>0</v>
      </c>
      <c r="CW369" s="313">
        <v>0</v>
      </c>
      <c r="CX369" s="313">
        <v>0</v>
      </c>
      <c r="CY369" s="313">
        <v>0</v>
      </c>
      <c r="CZ369" s="380">
        <v>0</v>
      </c>
      <c r="DA369" s="380">
        <v>0</v>
      </c>
      <c r="DB369" s="380">
        <v>0</v>
      </c>
      <c r="DC369" s="380">
        <v>0</v>
      </c>
      <c r="DD369" s="380">
        <v>0</v>
      </c>
      <c r="DE369" s="380">
        <v>0</v>
      </c>
      <c r="DF369" s="380">
        <v>0</v>
      </c>
      <c r="DG369" s="380">
        <v>0</v>
      </c>
      <c r="DH369" s="380">
        <v>0</v>
      </c>
      <c r="DI369" s="380">
        <v>0</v>
      </c>
      <c r="DJ369" s="380">
        <v>0</v>
      </c>
      <c r="DK369" s="702">
        <f t="shared" si="277"/>
        <v>24</v>
      </c>
      <c r="DL369" s="311">
        <f t="shared" si="298"/>
        <v>0.25</v>
      </c>
      <c r="DM369" s="310">
        <f t="shared" si="299"/>
        <v>68.571428571428569</v>
      </c>
      <c r="DN369" s="356">
        <f t="shared" si="300"/>
        <v>68.571428571428569</v>
      </c>
      <c r="DO369" s="308">
        <f t="shared" si="301"/>
        <v>0.17142857142857143</v>
      </c>
      <c r="DP369" s="359">
        <f t="shared" si="309"/>
        <v>0.17142857142857143</v>
      </c>
      <c r="DQ369" s="306">
        <f t="shared" si="302"/>
        <v>0.17142857142857143</v>
      </c>
      <c r="DR369" s="379">
        <f t="shared" si="303"/>
        <v>1</v>
      </c>
      <c r="DS369" s="378">
        <f t="shared" si="304"/>
        <v>0</v>
      </c>
      <c r="DT369" s="173">
        <v>422</v>
      </c>
      <c r="DU369" s="174" t="s">
        <v>104</v>
      </c>
      <c r="DV369" s="173"/>
      <c r="DW369" s="174" t="s">
        <v>84</v>
      </c>
      <c r="DX369" s="173"/>
      <c r="DY369" s="173"/>
      <c r="DZ369" s="173"/>
      <c r="EA369" s="665"/>
      <c r="EB369" s="1254" t="s">
        <v>2414</v>
      </c>
      <c r="EC369" s="537">
        <v>60000000</v>
      </c>
      <c r="EE369" s="734">
        <v>1</v>
      </c>
      <c r="EF369" s="706"/>
    </row>
    <row r="370" spans="4:136" s="302" customFormat="1" ht="63.75" hidden="1">
      <c r="D370" s="520">
        <v>367</v>
      </c>
      <c r="E370" s="534">
        <v>429</v>
      </c>
      <c r="F370" s="479" t="s">
        <v>45</v>
      </c>
      <c r="G370" s="479" t="s">
        <v>17</v>
      </c>
      <c r="H370" s="479" t="s">
        <v>2669</v>
      </c>
      <c r="I370" s="435" t="s">
        <v>899</v>
      </c>
      <c r="J370" s="335" t="s">
        <v>906</v>
      </c>
      <c r="K370" s="335" t="s">
        <v>907</v>
      </c>
      <c r="L370" s="436" t="s">
        <v>1883</v>
      </c>
      <c r="M370" s="334" t="s">
        <v>1771</v>
      </c>
      <c r="N370" s="334">
        <v>2714</v>
      </c>
      <c r="O370" s="333">
        <f t="shared" si="308"/>
        <v>4714</v>
      </c>
      <c r="P370" s="332">
        <v>2000</v>
      </c>
      <c r="Q370" s="390">
        <v>0.25</v>
      </c>
      <c r="R370" s="342">
        <f t="shared" si="282"/>
        <v>6.25E-2</v>
      </c>
      <c r="S370" s="389">
        <v>500</v>
      </c>
      <c r="T370" s="387">
        <f t="shared" si="264"/>
        <v>0.25</v>
      </c>
      <c r="U370" s="670">
        <v>322</v>
      </c>
      <c r="V370" s="388">
        <f t="shared" si="265"/>
        <v>322</v>
      </c>
      <c r="W370" s="356">
        <f t="shared" si="266"/>
        <v>64.400000000000006</v>
      </c>
      <c r="X370" s="356">
        <f t="shared" si="283"/>
        <v>64.400000000000006</v>
      </c>
      <c r="Y370" s="356">
        <f t="shared" si="307"/>
        <v>4.0250000000000001E-2</v>
      </c>
      <c r="Z370" s="356">
        <f t="shared" si="284"/>
        <v>64.400000000000006</v>
      </c>
      <c r="AA370" s="355">
        <v>5850000000</v>
      </c>
      <c r="AB370" s="355">
        <v>150000000</v>
      </c>
      <c r="AC370" s="355">
        <v>0</v>
      </c>
      <c r="AD370" s="355">
        <v>5700000000</v>
      </c>
      <c r="AE370" s="355">
        <v>0</v>
      </c>
      <c r="AF370" s="355">
        <v>0</v>
      </c>
      <c r="AG370" s="355">
        <v>0</v>
      </c>
      <c r="AH370" s="355">
        <v>0</v>
      </c>
      <c r="AI370" s="355">
        <v>150000000</v>
      </c>
      <c r="AJ370" s="355">
        <v>150000000</v>
      </c>
      <c r="AK370" s="355">
        <v>0</v>
      </c>
      <c r="AL370" s="355">
        <v>0</v>
      </c>
      <c r="AM370" s="355">
        <v>0</v>
      </c>
      <c r="AN370" s="355">
        <v>0</v>
      </c>
      <c r="AO370" s="355">
        <v>0</v>
      </c>
      <c r="AP370" s="355">
        <v>0</v>
      </c>
      <c r="AQ370" s="355">
        <v>0</v>
      </c>
      <c r="AR370" s="355">
        <v>0</v>
      </c>
      <c r="AS370" s="355">
        <v>0</v>
      </c>
      <c r="AT370" s="333">
        <f t="shared" si="285"/>
        <v>6.25E-2</v>
      </c>
      <c r="AU370" s="334">
        <v>500</v>
      </c>
      <c r="AV370" s="387">
        <f t="shared" si="267"/>
        <v>0.25</v>
      </c>
      <c r="AW370" s="677">
        <v>565</v>
      </c>
      <c r="AX370" s="366">
        <f t="shared" si="268"/>
        <v>565</v>
      </c>
      <c r="AY370" s="366">
        <f t="shared" si="269"/>
        <v>113</v>
      </c>
      <c r="AZ370" s="366">
        <f t="shared" si="286"/>
        <v>100</v>
      </c>
      <c r="BA370" s="354">
        <f t="shared" si="287"/>
        <v>6.25E-2</v>
      </c>
      <c r="BB370" s="354">
        <f t="shared" si="288"/>
        <v>100</v>
      </c>
      <c r="BC370" s="353">
        <v>0</v>
      </c>
      <c r="BD370" s="353">
        <v>0</v>
      </c>
      <c r="BE370" s="353">
        <v>0</v>
      </c>
      <c r="BF370" s="353">
        <v>0</v>
      </c>
      <c r="BG370" s="353">
        <v>0</v>
      </c>
      <c r="BH370" s="353">
        <v>0</v>
      </c>
      <c r="BI370" s="353">
        <v>0</v>
      </c>
      <c r="BJ370" s="353">
        <v>0</v>
      </c>
      <c r="BK370" s="428">
        <v>150000000</v>
      </c>
      <c r="BL370" s="351">
        <v>150000000</v>
      </c>
      <c r="BM370" s="351">
        <v>0</v>
      </c>
      <c r="BN370" s="351">
        <v>0</v>
      </c>
      <c r="BO370" s="351">
        <v>0</v>
      </c>
      <c r="BP370" s="351">
        <v>0</v>
      </c>
      <c r="BQ370" s="351">
        <v>0</v>
      </c>
      <c r="BR370" s="351">
        <v>0</v>
      </c>
      <c r="BS370" s="351">
        <v>0</v>
      </c>
      <c r="BT370" s="351">
        <v>0</v>
      </c>
      <c r="BU370" s="351">
        <v>0</v>
      </c>
      <c r="BV370" s="350">
        <f t="shared" si="289"/>
        <v>6.25E-2</v>
      </c>
      <c r="BW370" s="350">
        <v>500</v>
      </c>
      <c r="BX370" s="385">
        <f t="shared" si="270"/>
        <v>0.25</v>
      </c>
      <c r="BY370" s="369">
        <v>0</v>
      </c>
      <c r="BZ370" s="391">
        <v>0</v>
      </c>
      <c r="CA370" s="689">
        <v>1166</v>
      </c>
      <c r="CB370" s="324">
        <f t="shared" si="271"/>
        <v>1166</v>
      </c>
      <c r="CC370" s="324">
        <f t="shared" si="272"/>
        <v>233.2</v>
      </c>
      <c r="CD370" s="384">
        <f t="shared" si="290"/>
        <v>100</v>
      </c>
      <c r="CE370" s="383">
        <f t="shared" si="291"/>
        <v>6.25E-2</v>
      </c>
      <c r="CF370" s="367">
        <f t="shared" si="292"/>
        <v>100</v>
      </c>
      <c r="CG370" s="383">
        <f t="shared" si="293"/>
        <v>0.14574999999999999</v>
      </c>
      <c r="CH370" s="320">
        <f t="shared" si="294"/>
        <v>6.25E-2</v>
      </c>
      <c r="CI370" s="319">
        <v>500</v>
      </c>
      <c r="CJ370" s="318">
        <f t="shared" si="273"/>
        <v>0.25</v>
      </c>
      <c r="CK370" s="1260">
        <v>865</v>
      </c>
      <c r="CL370" s="301">
        <f t="shared" si="274"/>
        <v>-365</v>
      </c>
      <c r="CM370" s="381">
        <f t="shared" si="275"/>
        <v>865</v>
      </c>
      <c r="CN370" s="381">
        <f t="shared" si="276"/>
        <v>173</v>
      </c>
      <c r="CO370" s="316">
        <f t="shared" si="295"/>
        <v>100</v>
      </c>
      <c r="CP370" s="381">
        <f t="shared" si="296"/>
        <v>6.25E-2</v>
      </c>
      <c r="CQ370" s="381">
        <f t="shared" si="297"/>
        <v>0.108125</v>
      </c>
      <c r="CR370" s="313">
        <v>0</v>
      </c>
      <c r="CS370" s="313">
        <v>0</v>
      </c>
      <c r="CT370" s="313">
        <v>0</v>
      </c>
      <c r="CU370" s="313">
        <v>0</v>
      </c>
      <c r="CV370" s="313">
        <v>0</v>
      </c>
      <c r="CW370" s="313">
        <v>0</v>
      </c>
      <c r="CX370" s="313">
        <v>0</v>
      </c>
      <c r="CY370" s="313">
        <v>0</v>
      </c>
      <c r="CZ370" s="380">
        <v>0</v>
      </c>
      <c r="DA370" s="380">
        <v>0</v>
      </c>
      <c r="DB370" s="380">
        <v>0</v>
      </c>
      <c r="DC370" s="380">
        <v>0</v>
      </c>
      <c r="DD370" s="380">
        <v>0</v>
      </c>
      <c r="DE370" s="380">
        <v>0</v>
      </c>
      <c r="DF370" s="380">
        <v>0</v>
      </c>
      <c r="DG370" s="380">
        <v>0</v>
      </c>
      <c r="DH370" s="380">
        <v>0</v>
      </c>
      <c r="DI370" s="380">
        <v>0</v>
      </c>
      <c r="DJ370" s="380">
        <v>0</v>
      </c>
      <c r="DK370" s="702">
        <f t="shared" si="277"/>
        <v>2918</v>
      </c>
      <c r="DL370" s="311">
        <f t="shared" si="298"/>
        <v>0.25</v>
      </c>
      <c r="DM370" s="310">
        <f t="shared" si="299"/>
        <v>145.9</v>
      </c>
      <c r="DN370" s="356">
        <f t="shared" si="300"/>
        <v>100</v>
      </c>
      <c r="DO370" s="308">
        <f t="shared" si="301"/>
        <v>0.25</v>
      </c>
      <c r="DP370" s="359">
        <f t="shared" si="309"/>
        <v>0.25</v>
      </c>
      <c r="DQ370" s="306">
        <f t="shared" si="302"/>
        <v>0.25</v>
      </c>
      <c r="DR370" s="379">
        <f t="shared" si="303"/>
        <v>1</v>
      </c>
      <c r="DS370" s="378">
        <f t="shared" si="304"/>
        <v>0</v>
      </c>
      <c r="DT370" s="173">
        <v>422</v>
      </c>
      <c r="DU370" s="174" t="s">
        <v>104</v>
      </c>
      <c r="DV370" s="173"/>
      <c r="DW370" s="174" t="s">
        <v>84</v>
      </c>
      <c r="DX370" s="173"/>
      <c r="DY370" s="173"/>
      <c r="DZ370" s="173"/>
      <c r="EA370" s="665"/>
      <c r="EB370" s="1254" t="s">
        <v>2415</v>
      </c>
      <c r="EC370" s="537">
        <v>300000000</v>
      </c>
      <c r="EE370" s="734">
        <v>100</v>
      </c>
      <c r="EF370" s="706"/>
    </row>
    <row r="371" spans="4:136" s="302" customFormat="1" ht="63.75" hidden="1">
      <c r="D371" s="520">
        <v>368</v>
      </c>
      <c r="E371" s="534">
        <v>430</v>
      </c>
      <c r="F371" s="479" t="s">
        <v>45</v>
      </c>
      <c r="G371" s="479" t="s">
        <v>17</v>
      </c>
      <c r="H371" s="479" t="s">
        <v>2669</v>
      </c>
      <c r="I371" s="435" t="s">
        <v>899</v>
      </c>
      <c r="J371" s="335" t="s">
        <v>908</v>
      </c>
      <c r="K371" s="335" t="s">
        <v>909</v>
      </c>
      <c r="L371" s="436" t="s">
        <v>1</v>
      </c>
      <c r="M371" s="334" t="s">
        <v>1771</v>
      </c>
      <c r="N371" s="334">
        <v>0</v>
      </c>
      <c r="O371" s="333">
        <f t="shared" si="308"/>
        <v>1</v>
      </c>
      <c r="P371" s="332">
        <v>1</v>
      </c>
      <c r="Q371" s="390">
        <v>0.25</v>
      </c>
      <c r="R371" s="342">
        <f t="shared" si="282"/>
        <v>0.17499999999999999</v>
      </c>
      <c r="S371" s="389">
        <v>0.7</v>
      </c>
      <c r="T371" s="387">
        <f t="shared" si="264"/>
        <v>0.7</v>
      </c>
      <c r="U371" s="670">
        <v>0.2</v>
      </c>
      <c r="V371" s="388">
        <f t="shared" si="265"/>
        <v>0.2</v>
      </c>
      <c r="W371" s="356">
        <f t="shared" si="266"/>
        <v>28.571428571428573</v>
      </c>
      <c r="X371" s="356">
        <f t="shared" si="283"/>
        <v>28.571428571428573</v>
      </c>
      <c r="Y371" s="356">
        <f t="shared" si="307"/>
        <v>0.05</v>
      </c>
      <c r="Z371" s="356">
        <f t="shared" si="284"/>
        <v>28.571428571428573</v>
      </c>
      <c r="AA371" s="355">
        <v>100000000</v>
      </c>
      <c r="AB371" s="355">
        <v>100000000</v>
      </c>
      <c r="AC371" s="355">
        <v>0</v>
      </c>
      <c r="AD371" s="355">
        <v>0</v>
      </c>
      <c r="AE371" s="355">
        <v>0</v>
      </c>
      <c r="AF371" s="355">
        <v>0</v>
      </c>
      <c r="AG371" s="355">
        <v>0</v>
      </c>
      <c r="AH371" s="355">
        <v>0</v>
      </c>
      <c r="AI371" s="355">
        <v>0</v>
      </c>
      <c r="AJ371" s="355">
        <v>0</v>
      </c>
      <c r="AK371" s="355">
        <v>0</v>
      </c>
      <c r="AL371" s="355">
        <v>0</v>
      </c>
      <c r="AM371" s="355">
        <v>0</v>
      </c>
      <c r="AN371" s="355">
        <v>0</v>
      </c>
      <c r="AO371" s="355">
        <v>0</v>
      </c>
      <c r="AP371" s="355">
        <v>0</v>
      </c>
      <c r="AQ371" s="355">
        <v>0</v>
      </c>
      <c r="AR371" s="355">
        <v>0</v>
      </c>
      <c r="AS371" s="355">
        <v>0</v>
      </c>
      <c r="AT371" s="333">
        <f t="shared" si="285"/>
        <v>2.5000000000000001E-2</v>
      </c>
      <c r="AU371" s="334">
        <v>0.1</v>
      </c>
      <c r="AV371" s="387">
        <f t="shared" si="267"/>
        <v>0.1</v>
      </c>
      <c r="AW371" s="677">
        <v>0.4</v>
      </c>
      <c r="AX371" s="366">
        <f t="shared" si="268"/>
        <v>0.4</v>
      </c>
      <c r="AY371" s="366">
        <f t="shared" si="269"/>
        <v>400</v>
      </c>
      <c r="AZ371" s="366">
        <f t="shared" si="286"/>
        <v>100</v>
      </c>
      <c r="BA371" s="354">
        <f t="shared" si="287"/>
        <v>2.5000000000000001E-2</v>
      </c>
      <c r="BB371" s="354">
        <f t="shared" si="288"/>
        <v>100</v>
      </c>
      <c r="BC371" s="353">
        <v>0</v>
      </c>
      <c r="BD371" s="353">
        <v>0</v>
      </c>
      <c r="BE371" s="353">
        <v>0</v>
      </c>
      <c r="BF371" s="353">
        <v>0</v>
      </c>
      <c r="BG371" s="353">
        <v>0</v>
      </c>
      <c r="BH371" s="353">
        <v>0</v>
      </c>
      <c r="BI371" s="353">
        <v>0</v>
      </c>
      <c r="BJ371" s="353">
        <v>0</v>
      </c>
      <c r="BK371" s="428">
        <v>110900000</v>
      </c>
      <c r="BL371" s="351">
        <v>110900000</v>
      </c>
      <c r="BM371" s="351">
        <v>0</v>
      </c>
      <c r="BN371" s="351">
        <v>0</v>
      </c>
      <c r="BO371" s="351">
        <v>0</v>
      </c>
      <c r="BP371" s="351">
        <v>0</v>
      </c>
      <c r="BQ371" s="351">
        <v>0</v>
      </c>
      <c r="BR371" s="351">
        <v>0</v>
      </c>
      <c r="BS371" s="351">
        <v>0</v>
      </c>
      <c r="BT371" s="351">
        <v>0</v>
      </c>
      <c r="BU371" s="351">
        <v>0</v>
      </c>
      <c r="BV371" s="350">
        <f t="shared" si="289"/>
        <v>2.5000000000000001E-2</v>
      </c>
      <c r="BW371" s="350">
        <v>0.1</v>
      </c>
      <c r="BX371" s="385">
        <f t="shared" si="270"/>
        <v>0.1</v>
      </c>
      <c r="BY371" s="369">
        <v>5.000000074505806E-2</v>
      </c>
      <c r="BZ371" s="391">
        <v>0.05</v>
      </c>
      <c r="CA371" s="689">
        <v>0.25</v>
      </c>
      <c r="CB371" s="324">
        <f t="shared" si="271"/>
        <v>0.25</v>
      </c>
      <c r="CC371" s="324">
        <f t="shared" si="272"/>
        <v>250</v>
      </c>
      <c r="CD371" s="384">
        <f t="shared" si="290"/>
        <v>100</v>
      </c>
      <c r="CE371" s="383">
        <f t="shared" si="291"/>
        <v>2.5000000000000001E-2</v>
      </c>
      <c r="CF371" s="367">
        <f t="shared" si="292"/>
        <v>100</v>
      </c>
      <c r="CG371" s="383">
        <f t="shared" si="293"/>
        <v>6.25E-2</v>
      </c>
      <c r="CH371" s="320">
        <f t="shared" si="294"/>
        <v>2.5000000000000001E-2</v>
      </c>
      <c r="CI371" s="319">
        <v>0.1</v>
      </c>
      <c r="CJ371" s="318">
        <f t="shared" si="273"/>
        <v>0.1</v>
      </c>
      <c r="CK371" s="1260">
        <v>0.1</v>
      </c>
      <c r="CL371" s="301">
        <f t="shared" si="274"/>
        <v>0</v>
      </c>
      <c r="CM371" s="381">
        <f t="shared" si="275"/>
        <v>0.1</v>
      </c>
      <c r="CN371" s="381">
        <f t="shared" si="276"/>
        <v>100</v>
      </c>
      <c r="CO371" s="316">
        <f t="shared" si="295"/>
        <v>100</v>
      </c>
      <c r="CP371" s="381">
        <f t="shared" si="296"/>
        <v>2.5000000000000001E-2</v>
      </c>
      <c r="CQ371" s="381">
        <f t="shared" si="297"/>
        <v>2.5000000000000001E-2</v>
      </c>
      <c r="CR371" s="313">
        <v>0</v>
      </c>
      <c r="CS371" s="313">
        <v>0</v>
      </c>
      <c r="CT371" s="313">
        <v>0</v>
      </c>
      <c r="CU371" s="313">
        <v>0</v>
      </c>
      <c r="CV371" s="313">
        <v>0</v>
      </c>
      <c r="CW371" s="313">
        <v>0</v>
      </c>
      <c r="CX371" s="313">
        <v>0</v>
      </c>
      <c r="CY371" s="313">
        <v>0</v>
      </c>
      <c r="CZ371" s="380">
        <v>0</v>
      </c>
      <c r="DA371" s="380">
        <v>0</v>
      </c>
      <c r="DB371" s="380">
        <v>0</v>
      </c>
      <c r="DC371" s="380">
        <v>0</v>
      </c>
      <c r="DD371" s="380">
        <v>0</v>
      </c>
      <c r="DE371" s="380">
        <v>0</v>
      </c>
      <c r="DF371" s="380">
        <v>0</v>
      </c>
      <c r="DG371" s="380">
        <v>0</v>
      </c>
      <c r="DH371" s="380">
        <v>0</v>
      </c>
      <c r="DI371" s="380">
        <v>0</v>
      </c>
      <c r="DJ371" s="380">
        <v>0</v>
      </c>
      <c r="DK371" s="702">
        <f t="shared" si="277"/>
        <v>0.95000000000000007</v>
      </c>
      <c r="DL371" s="311">
        <f t="shared" si="298"/>
        <v>0.24999999999999997</v>
      </c>
      <c r="DM371" s="310">
        <f t="shared" si="299"/>
        <v>95</v>
      </c>
      <c r="DN371" s="356">
        <f t="shared" si="300"/>
        <v>95</v>
      </c>
      <c r="DO371" s="308">
        <f t="shared" si="301"/>
        <v>0.23749999999999999</v>
      </c>
      <c r="DP371" s="359">
        <f t="shared" si="309"/>
        <v>0.23749999999999999</v>
      </c>
      <c r="DQ371" s="306">
        <f t="shared" si="302"/>
        <v>0.23749999999999999</v>
      </c>
      <c r="DR371" s="379">
        <f t="shared" si="303"/>
        <v>0.99999999999999989</v>
      </c>
      <c r="DS371" s="378">
        <f t="shared" si="304"/>
        <v>0</v>
      </c>
      <c r="DT371" s="173">
        <v>422</v>
      </c>
      <c r="DU371" s="174" t="s">
        <v>104</v>
      </c>
      <c r="DV371" s="173"/>
      <c r="DW371" s="174" t="s">
        <v>84</v>
      </c>
      <c r="DX371" s="173"/>
      <c r="DY371" s="173"/>
      <c r="DZ371" s="173"/>
      <c r="EA371" s="665"/>
      <c r="EB371" s="1254" t="s">
        <v>2583</v>
      </c>
      <c r="EC371" s="537">
        <v>1200000000</v>
      </c>
      <c r="EE371" s="733">
        <v>100</v>
      </c>
      <c r="EF371" s="706"/>
    </row>
    <row r="372" spans="4:136" s="302" customFormat="1" ht="60" hidden="1">
      <c r="D372" s="520">
        <v>369</v>
      </c>
      <c r="E372" s="534">
        <v>431</v>
      </c>
      <c r="F372" s="479" t="s">
        <v>45</v>
      </c>
      <c r="G372" s="479" t="s">
        <v>17</v>
      </c>
      <c r="H372" s="479" t="s">
        <v>2669</v>
      </c>
      <c r="I372" s="435" t="s">
        <v>899</v>
      </c>
      <c r="J372" s="335" t="s">
        <v>910</v>
      </c>
      <c r="K372" s="335" t="s">
        <v>911</v>
      </c>
      <c r="L372" s="436" t="s">
        <v>1882</v>
      </c>
      <c r="M372" s="334" t="s">
        <v>1771</v>
      </c>
      <c r="N372" s="334">
        <v>0</v>
      </c>
      <c r="O372" s="333">
        <f t="shared" si="308"/>
        <v>30</v>
      </c>
      <c r="P372" s="332">
        <v>30</v>
      </c>
      <c r="Q372" s="390">
        <v>0.16500000000000001</v>
      </c>
      <c r="R372" s="342">
        <f t="shared" si="282"/>
        <v>3.85E-2</v>
      </c>
      <c r="S372" s="389">
        <v>7</v>
      </c>
      <c r="T372" s="387">
        <f t="shared" ref="T372:T397" si="310">IF($M372="M",0.25,(IF($P372&gt;0,S372/$P372," ")))</f>
        <v>0.23333333333333334</v>
      </c>
      <c r="U372" s="670">
        <v>18</v>
      </c>
      <c r="V372" s="388">
        <f t="shared" ref="V372:V397" si="311">+IF(M372="I",(+U372),IF(M372="M",(+U372)/4,))</f>
        <v>18</v>
      </c>
      <c r="W372" s="356">
        <f t="shared" ref="W372:W397" si="312">IF(S372=0,0,+U372*100/S372)</f>
        <v>257.14285714285717</v>
      </c>
      <c r="X372" s="356">
        <f t="shared" si="283"/>
        <v>100</v>
      </c>
      <c r="Y372" s="356">
        <f t="shared" si="307"/>
        <v>3.85E-2</v>
      </c>
      <c r="Z372" s="356">
        <f t="shared" si="284"/>
        <v>100</v>
      </c>
      <c r="AA372" s="355">
        <v>184136000</v>
      </c>
      <c r="AB372" s="355">
        <v>184136000</v>
      </c>
      <c r="AC372" s="355">
        <v>0</v>
      </c>
      <c r="AD372" s="355">
        <v>0</v>
      </c>
      <c r="AE372" s="355">
        <v>0</v>
      </c>
      <c r="AF372" s="355">
        <v>0</v>
      </c>
      <c r="AG372" s="355">
        <v>0</v>
      </c>
      <c r="AH372" s="355">
        <v>0</v>
      </c>
      <c r="AI372" s="355">
        <v>240027000</v>
      </c>
      <c r="AJ372" s="355">
        <v>240027000</v>
      </c>
      <c r="AK372" s="355">
        <v>0</v>
      </c>
      <c r="AL372" s="355">
        <v>0</v>
      </c>
      <c r="AM372" s="355">
        <v>0</v>
      </c>
      <c r="AN372" s="355">
        <v>0</v>
      </c>
      <c r="AO372" s="355">
        <v>0</v>
      </c>
      <c r="AP372" s="355">
        <v>0</v>
      </c>
      <c r="AQ372" s="355">
        <v>0</v>
      </c>
      <c r="AR372" s="355">
        <v>0</v>
      </c>
      <c r="AS372" s="355">
        <v>0</v>
      </c>
      <c r="AT372" s="333">
        <f t="shared" si="285"/>
        <v>3.85E-2</v>
      </c>
      <c r="AU372" s="334">
        <v>7</v>
      </c>
      <c r="AV372" s="387">
        <f t="shared" ref="AV372:AV397" si="313">IF($M372="M",0.25,(IF($P372&gt;0,AU372/$P372," ")))</f>
        <v>0.23333333333333334</v>
      </c>
      <c r="AW372" s="677">
        <v>14</v>
      </c>
      <c r="AX372" s="366">
        <f t="shared" ref="AX372:AX397" si="314">+IF(M372="I",(+AW372),IF(M372="M",(+AW372)/4,))</f>
        <v>14</v>
      </c>
      <c r="AY372" s="366">
        <f t="shared" ref="AY372:AY397" si="315">IF(AU372=0,0,+AW372*100/AU372)</f>
        <v>200</v>
      </c>
      <c r="AZ372" s="366">
        <f t="shared" si="286"/>
        <v>100</v>
      </c>
      <c r="BA372" s="354">
        <f t="shared" si="287"/>
        <v>3.85E-2</v>
      </c>
      <c r="BB372" s="354">
        <f t="shared" si="288"/>
        <v>100</v>
      </c>
      <c r="BC372" s="353">
        <v>0</v>
      </c>
      <c r="BD372" s="353">
        <v>0</v>
      </c>
      <c r="BE372" s="353">
        <v>0</v>
      </c>
      <c r="BF372" s="353">
        <v>0</v>
      </c>
      <c r="BG372" s="353">
        <v>0</v>
      </c>
      <c r="BH372" s="353">
        <v>0</v>
      </c>
      <c r="BI372" s="353">
        <v>0</v>
      </c>
      <c r="BJ372" s="353">
        <v>0</v>
      </c>
      <c r="BK372" s="428">
        <v>330362160</v>
      </c>
      <c r="BL372" s="351">
        <v>330362160</v>
      </c>
      <c r="BM372" s="351">
        <v>0</v>
      </c>
      <c r="BN372" s="351">
        <v>0</v>
      </c>
      <c r="BO372" s="351">
        <v>0</v>
      </c>
      <c r="BP372" s="351">
        <v>0</v>
      </c>
      <c r="BQ372" s="351">
        <v>0</v>
      </c>
      <c r="BR372" s="351">
        <v>0</v>
      </c>
      <c r="BS372" s="351">
        <v>0</v>
      </c>
      <c r="BT372" s="351">
        <v>0</v>
      </c>
      <c r="BU372" s="351">
        <v>0</v>
      </c>
      <c r="BV372" s="350">
        <f t="shared" si="289"/>
        <v>4.9500000000000002E-2</v>
      </c>
      <c r="BW372" s="350">
        <v>9</v>
      </c>
      <c r="BX372" s="385">
        <f t="shared" ref="BX372:BX397" si="316">IF($M372="M",0.25,(IF($P372&gt;0,BW372/$P372," ")))</f>
        <v>0.3</v>
      </c>
      <c r="BY372" s="369">
        <v>0</v>
      </c>
      <c r="BZ372" s="391">
        <v>2</v>
      </c>
      <c r="CA372" s="689">
        <v>11</v>
      </c>
      <c r="CB372" s="324">
        <f t="shared" ref="CB372:CB397" si="317">+IF(M372="I",(+CA372),IF(M372="M",(+CA372)/4,))</f>
        <v>11</v>
      </c>
      <c r="CC372" s="324">
        <f t="shared" ref="CC372:CC397" si="318">IF(BW372=0,0,+CA372*100/BW372)</f>
        <v>122.22222222222223</v>
      </c>
      <c r="CD372" s="384">
        <f t="shared" si="290"/>
        <v>100</v>
      </c>
      <c r="CE372" s="383">
        <f t="shared" si="291"/>
        <v>4.9500000000000002E-2</v>
      </c>
      <c r="CF372" s="367">
        <f t="shared" si="292"/>
        <v>100</v>
      </c>
      <c r="CG372" s="383">
        <f t="shared" si="293"/>
        <v>6.0500000000000005E-2</v>
      </c>
      <c r="CH372" s="320">
        <f t="shared" si="294"/>
        <v>3.85E-2</v>
      </c>
      <c r="CI372" s="319">
        <v>7</v>
      </c>
      <c r="CJ372" s="318">
        <f t="shared" ref="CJ372:CJ397" si="319">IF($M372="M",0.25,(IF($P372&gt;0,CI372/$P372," ")))</f>
        <v>0.23333333333333334</v>
      </c>
      <c r="CK372" s="1259">
        <v>12</v>
      </c>
      <c r="CL372" s="301">
        <f t="shared" ref="CL372:CL435" si="320">+CI372-CK372</f>
        <v>-5</v>
      </c>
      <c r="CM372" s="381">
        <f t="shared" ref="CM372:CM397" si="321">+IF(M372="I",(+CK372),IF(M372="M",(+CK372)/4,))</f>
        <v>12</v>
      </c>
      <c r="CN372" s="381">
        <f t="shared" ref="CN372:CN397" si="322">IF(CI372=0,0,+CK372*100/CI372)</f>
        <v>171.42857142857142</v>
      </c>
      <c r="CO372" s="316">
        <f t="shared" si="295"/>
        <v>100</v>
      </c>
      <c r="CP372" s="381">
        <f t="shared" si="296"/>
        <v>3.85E-2</v>
      </c>
      <c r="CQ372" s="381">
        <f t="shared" si="297"/>
        <v>6.6000000000000003E-2</v>
      </c>
      <c r="CR372" s="313">
        <v>0</v>
      </c>
      <c r="CS372" s="313">
        <v>0</v>
      </c>
      <c r="CT372" s="313">
        <v>0</v>
      </c>
      <c r="CU372" s="313">
        <v>0</v>
      </c>
      <c r="CV372" s="313">
        <v>0</v>
      </c>
      <c r="CW372" s="313">
        <v>0</v>
      </c>
      <c r="CX372" s="313">
        <v>0</v>
      </c>
      <c r="CY372" s="313">
        <v>0</v>
      </c>
      <c r="CZ372" s="380">
        <v>0</v>
      </c>
      <c r="DA372" s="380">
        <v>0</v>
      </c>
      <c r="DB372" s="380">
        <v>0</v>
      </c>
      <c r="DC372" s="380">
        <v>0</v>
      </c>
      <c r="DD372" s="380">
        <v>0</v>
      </c>
      <c r="DE372" s="380">
        <v>0</v>
      </c>
      <c r="DF372" s="380">
        <v>0</v>
      </c>
      <c r="DG372" s="380">
        <v>0</v>
      </c>
      <c r="DH372" s="380">
        <v>0</v>
      </c>
      <c r="DI372" s="380">
        <v>0</v>
      </c>
      <c r="DJ372" s="380">
        <v>0</v>
      </c>
      <c r="DK372" s="702">
        <f t="shared" ref="DK372:DK397" si="323">+IF(M372="I",(+U372+AW372+CA372+CK372),IF(M372="M",(+U372+AW372+CA372+CK372)/4,))</f>
        <v>55</v>
      </c>
      <c r="DL372" s="311">
        <f t="shared" si="298"/>
        <v>0.16500000000000001</v>
      </c>
      <c r="DM372" s="310">
        <f t="shared" si="299"/>
        <v>183.33333333333334</v>
      </c>
      <c r="DN372" s="356">
        <f t="shared" si="300"/>
        <v>100</v>
      </c>
      <c r="DO372" s="308">
        <f t="shared" si="301"/>
        <v>0.16500000000000001</v>
      </c>
      <c r="DP372" s="359">
        <f t="shared" si="309"/>
        <v>0.16500000000000001</v>
      </c>
      <c r="DQ372" s="306">
        <f t="shared" si="302"/>
        <v>0.16500000000000001</v>
      </c>
      <c r="DR372" s="379">
        <f t="shared" si="303"/>
        <v>1</v>
      </c>
      <c r="DS372" s="378">
        <f t="shared" si="304"/>
        <v>0</v>
      </c>
      <c r="DT372" s="173">
        <v>422</v>
      </c>
      <c r="DU372" s="174" t="s">
        <v>104</v>
      </c>
      <c r="DV372" s="173"/>
      <c r="DW372" s="174" t="s">
        <v>84</v>
      </c>
      <c r="DX372" s="173"/>
      <c r="DY372" s="173"/>
      <c r="DZ372" s="173"/>
      <c r="EA372" s="665"/>
      <c r="EB372" s="1254" t="s">
        <v>2416</v>
      </c>
      <c r="EC372" s="537">
        <v>0</v>
      </c>
      <c r="EE372" s="734">
        <v>2</v>
      </c>
      <c r="EF372" s="706"/>
    </row>
    <row r="373" spans="4:136" s="302" customFormat="1" ht="114.75" hidden="1">
      <c r="D373" s="520">
        <v>370</v>
      </c>
      <c r="E373" s="534">
        <v>432</v>
      </c>
      <c r="F373" s="479" t="s">
        <v>45</v>
      </c>
      <c r="G373" s="479" t="s">
        <v>17</v>
      </c>
      <c r="H373" s="479" t="s">
        <v>2669</v>
      </c>
      <c r="I373" s="435" t="s">
        <v>912</v>
      </c>
      <c r="J373" s="335" t="s">
        <v>913</v>
      </c>
      <c r="K373" s="335" t="s">
        <v>914</v>
      </c>
      <c r="L373" s="436" t="s">
        <v>1862</v>
      </c>
      <c r="M373" s="334" t="s">
        <v>1771</v>
      </c>
      <c r="N373" s="334">
        <v>2</v>
      </c>
      <c r="O373" s="333">
        <f t="shared" si="308"/>
        <v>4</v>
      </c>
      <c r="P373" s="332">
        <v>2</v>
      </c>
      <c r="Q373" s="390">
        <v>0.16500000000000001</v>
      </c>
      <c r="R373" s="342">
        <f t="shared" si="282"/>
        <v>0</v>
      </c>
      <c r="S373" s="389">
        <v>0</v>
      </c>
      <c r="T373" s="387">
        <f t="shared" si="310"/>
        <v>0</v>
      </c>
      <c r="U373" s="670">
        <v>1</v>
      </c>
      <c r="V373" s="388">
        <f t="shared" si="311"/>
        <v>1</v>
      </c>
      <c r="W373" s="356">
        <f t="shared" si="312"/>
        <v>0</v>
      </c>
      <c r="X373" s="356">
        <f t="shared" si="283"/>
        <v>0</v>
      </c>
      <c r="Y373" s="356">
        <f t="shared" si="307"/>
        <v>0</v>
      </c>
      <c r="Z373" s="356">
        <f t="shared" si="284"/>
        <v>100</v>
      </c>
      <c r="AA373" s="355">
        <v>0</v>
      </c>
      <c r="AB373" s="355">
        <v>0</v>
      </c>
      <c r="AC373" s="355">
        <v>0</v>
      </c>
      <c r="AD373" s="355">
        <v>0</v>
      </c>
      <c r="AE373" s="355">
        <v>0</v>
      </c>
      <c r="AF373" s="355">
        <v>0</v>
      </c>
      <c r="AG373" s="355">
        <v>0</v>
      </c>
      <c r="AH373" s="355">
        <v>0</v>
      </c>
      <c r="AI373" s="355">
        <v>0</v>
      </c>
      <c r="AJ373" s="355">
        <v>0</v>
      </c>
      <c r="AK373" s="355">
        <v>0</v>
      </c>
      <c r="AL373" s="355">
        <v>0</v>
      </c>
      <c r="AM373" s="355">
        <v>0</v>
      </c>
      <c r="AN373" s="355">
        <v>0</v>
      </c>
      <c r="AO373" s="355">
        <v>0</v>
      </c>
      <c r="AP373" s="355">
        <v>0</v>
      </c>
      <c r="AQ373" s="355">
        <v>0</v>
      </c>
      <c r="AR373" s="355">
        <v>0</v>
      </c>
      <c r="AS373" s="355">
        <v>0</v>
      </c>
      <c r="AT373" s="333">
        <f t="shared" si="285"/>
        <v>8.2500000000000004E-2</v>
      </c>
      <c r="AU373" s="334">
        <v>1</v>
      </c>
      <c r="AV373" s="387">
        <f t="shared" si="313"/>
        <v>0.5</v>
      </c>
      <c r="AW373" s="677">
        <v>1</v>
      </c>
      <c r="AX373" s="366">
        <f t="shared" si="314"/>
        <v>1</v>
      </c>
      <c r="AY373" s="366">
        <f t="shared" si="315"/>
        <v>100</v>
      </c>
      <c r="AZ373" s="366">
        <f t="shared" si="286"/>
        <v>100</v>
      </c>
      <c r="BA373" s="354">
        <f t="shared" si="287"/>
        <v>8.2500000000000004E-2</v>
      </c>
      <c r="BB373" s="354">
        <f t="shared" si="288"/>
        <v>100</v>
      </c>
      <c r="BC373" s="353">
        <v>0</v>
      </c>
      <c r="BD373" s="353">
        <v>0</v>
      </c>
      <c r="BE373" s="353">
        <v>0</v>
      </c>
      <c r="BF373" s="353">
        <v>0</v>
      </c>
      <c r="BG373" s="353">
        <v>0</v>
      </c>
      <c r="BH373" s="353">
        <v>0</v>
      </c>
      <c r="BI373" s="353">
        <v>0</v>
      </c>
      <c r="BJ373" s="353">
        <v>0</v>
      </c>
      <c r="BK373" s="428">
        <v>31000000</v>
      </c>
      <c r="BL373" s="351">
        <v>31000000</v>
      </c>
      <c r="BM373" s="351">
        <v>0</v>
      </c>
      <c r="BN373" s="351">
        <v>0</v>
      </c>
      <c r="BO373" s="351">
        <v>0</v>
      </c>
      <c r="BP373" s="351">
        <v>0</v>
      </c>
      <c r="BQ373" s="351">
        <v>0</v>
      </c>
      <c r="BR373" s="351">
        <v>0</v>
      </c>
      <c r="BS373" s="351">
        <v>0</v>
      </c>
      <c r="BT373" s="351">
        <v>0</v>
      </c>
      <c r="BU373" s="351">
        <v>0</v>
      </c>
      <c r="BV373" s="350">
        <f t="shared" si="289"/>
        <v>8.2500000000000004E-2</v>
      </c>
      <c r="BW373" s="350">
        <v>1</v>
      </c>
      <c r="BX373" s="385">
        <f t="shared" si="316"/>
        <v>0.5</v>
      </c>
      <c r="BY373" s="369">
        <v>1</v>
      </c>
      <c r="BZ373" s="391">
        <v>0</v>
      </c>
      <c r="CA373" s="689">
        <v>1</v>
      </c>
      <c r="CB373" s="324">
        <f t="shared" si="317"/>
        <v>1</v>
      </c>
      <c r="CC373" s="324">
        <f t="shared" si="318"/>
        <v>100</v>
      </c>
      <c r="CD373" s="384">
        <f t="shared" si="290"/>
        <v>100</v>
      </c>
      <c r="CE373" s="383">
        <f t="shared" si="291"/>
        <v>8.2500000000000004E-2</v>
      </c>
      <c r="CF373" s="367">
        <f t="shared" si="292"/>
        <v>100</v>
      </c>
      <c r="CG373" s="383">
        <f t="shared" si="293"/>
        <v>8.2500000000000004E-2</v>
      </c>
      <c r="CH373" s="320">
        <f t="shared" si="294"/>
        <v>0</v>
      </c>
      <c r="CI373" s="319">
        <v>0</v>
      </c>
      <c r="CJ373" s="318">
        <f t="shared" si="319"/>
        <v>0</v>
      </c>
      <c r="CK373" s="1259">
        <v>2</v>
      </c>
      <c r="CL373" s="301">
        <f t="shared" si="320"/>
        <v>-2</v>
      </c>
      <c r="CM373" s="381">
        <f t="shared" si="321"/>
        <v>2</v>
      </c>
      <c r="CN373" s="381">
        <f t="shared" si="322"/>
        <v>0</v>
      </c>
      <c r="CO373" s="316">
        <f t="shared" si="295"/>
        <v>0</v>
      </c>
      <c r="CP373" s="381">
        <f t="shared" si="296"/>
        <v>0</v>
      </c>
      <c r="CQ373" s="381">
        <f t="shared" si="297"/>
        <v>0</v>
      </c>
      <c r="CR373" s="313">
        <v>0</v>
      </c>
      <c r="CS373" s="313">
        <v>0</v>
      </c>
      <c r="CT373" s="313">
        <v>0</v>
      </c>
      <c r="CU373" s="313">
        <v>0</v>
      </c>
      <c r="CV373" s="313">
        <v>0</v>
      </c>
      <c r="CW373" s="313">
        <v>0</v>
      </c>
      <c r="CX373" s="313">
        <v>0</v>
      </c>
      <c r="CY373" s="313">
        <v>0</v>
      </c>
      <c r="CZ373" s="380">
        <v>0</v>
      </c>
      <c r="DA373" s="380">
        <v>0</v>
      </c>
      <c r="DB373" s="380">
        <v>0</v>
      </c>
      <c r="DC373" s="380">
        <v>0</v>
      </c>
      <c r="DD373" s="380">
        <v>0</v>
      </c>
      <c r="DE373" s="380">
        <v>0</v>
      </c>
      <c r="DF373" s="380">
        <v>0</v>
      </c>
      <c r="DG373" s="380">
        <v>0</v>
      </c>
      <c r="DH373" s="380">
        <v>0</v>
      </c>
      <c r="DI373" s="380">
        <v>0</v>
      </c>
      <c r="DJ373" s="380">
        <v>0</v>
      </c>
      <c r="DK373" s="702">
        <f t="shared" si="323"/>
        <v>5</v>
      </c>
      <c r="DL373" s="311">
        <f t="shared" si="298"/>
        <v>0.16500000000000001</v>
      </c>
      <c r="DM373" s="310">
        <f t="shared" si="299"/>
        <v>250</v>
      </c>
      <c r="DN373" s="356">
        <f t="shared" si="300"/>
        <v>100</v>
      </c>
      <c r="DO373" s="308">
        <f t="shared" si="301"/>
        <v>0.16500000000000001</v>
      </c>
      <c r="DP373" s="359">
        <f t="shared" si="309"/>
        <v>0.16500000000000001</v>
      </c>
      <c r="DQ373" s="306">
        <f t="shared" si="302"/>
        <v>0.16500000000000001</v>
      </c>
      <c r="DR373" s="379">
        <f t="shared" si="303"/>
        <v>1</v>
      </c>
      <c r="DS373" s="378">
        <f t="shared" si="304"/>
        <v>0</v>
      </c>
      <c r="DT373" s="173">
        <v>422</v>
      </c>
      <c r="DU373" s="174" t="s">
        <v>104</v>
      </c>
      <c r="DV373" s="173"/>
      <c r="DW373" s="174" t="s">
        <v>84</v>
      </c>
      <c r="DX373" s="173"/>
      <c r="DY373" s="173"/>
      <c r="DZ373" s="173"/>
      <c r="EA373" s="665"/>
      <c r="EB373" s="1254" t="s">
        <v>2417</v>
      </c>
      <c r="EC373" s="537">
        <v>14000000</v>
      </c>
      <c r="EE373" s="734">
        <v>0</v>
      </c>
      <c r="EF373" s="706"/>
    </row>
    <row r="374" spans="4:136" s="302" customFormat="1" ht="102" hidden="1">
      <c r="D374" s="520">
        <v>371</v>
      </c>
      <c r="E374" s="534">
        <v>433</v>
      </c>
      <c r="F374" s="479" t="s">
        <v>45</v>
      </c>
      <c r="G374" s="479" t="s">
        <v>17</v>
      </c>
      <c r="H374" s="479" t="s">
        <v>2669</v>
      </c>
      <c r="I374" s="435" t="s">
        <v>912</v>
      </c>
      <c r="J374" s="335" t="s">
        <v>915</v>
      </c>
      <c r="K374" s="335" t="s">
        <v>916</v>
      </c>
      <c r="L374" s="436" t="s">
        <v>1</v>
      </c>
      <c r="M374" s="334" t="s">
        <v>1785</v>
      </c>
      <c r="N374" s="334">
        <v>0</v>
      </c>
      <c r="O374" s="333">
        <f>+P374</f>
        <v>15</v>
      </c>
      <c r="P374" s="332">
        <v>15</v>
      </c>
      <c r="Q374" s="390">
        <v>0.16500000000000001</v>
      </c>
      <c r="R374" s="342">
        <f t="shared" si="282"/>
        <v>4.1250000000000002E-2</v>
      </c>
      <c r="S374" s="389">
        <v>15</v>
      </c>
      <c r="T374" s="387">
        <f t="shared" si="310"/>
        <v>0.25</v>
      </c>
      <c r="U374" s="670">
        <v>17</v>
      </c>
      <c r="V374" s="388">
        <f t="shared" si="311"/>
        <v>4.25</v>
      </c>
      <c r="W374" s="356">
        <f t="shared" si="312"/>
        <v>113.33333333333333</v>
      </c>
      <c r="X374" s="356">
        <f t="shared" si="283"/>
        <v>100</v>
      </c>
      <c r="Y374" s="356">
        <f t="shared" si="307"/>
        <v>4.1250000000000002E-2</v>
      </c>
      <c r="Z374" s="356">
        <f t="shared" si="284"/>
        <v>100</v>
      </c>
      <c r="AA374" s="355">
        <v>0</v>
      </c>
      <c r="AB374" s="355">
        <v>0</v>
      </c>
      <c r="AC374" s="355">
        <v>0</v>
      </c>
      <c r="AD374" s="355">
        <v>0</v>
      </c>
      <c r="AE374" s="355">
        <v>0</v>
      </c>
      <c r="AF374" s="355">
        <v>0</v>
      </c>
      <c r="AG374" s="355">
        <v>0</v>
      </c>
      <c r="AH374" s="355">
        <v>0</v>
      </c>
      <c r="AI374" s="355">
        <v>0</v>
      </c>
      <c r="AJ374" s="355">
        <v>0</v>
      </c>
      <c r="AK374" s="355">
        <v>0</v>
      </c>
      <c r="AL374" s="355">
        <v>0</v>
      </c>
      <c r="AM374" s="355">
        <v>0</v>
      </c>
      <c r="AN374" s="355">
        <v>0</v>
      </c>
      <c r="AO374" s="355">
        <v>0</v>
      </c>
      <c r="AP374" s="355">
        <v>0</v>
      </c>
      <c r="AQ374" s="355">
        <v>0</v>
      </c>
      <c r="AR374" s="355">
        <v>0</v>
      </c>
      <c r="AS374" s="355">
        <v>0</v>
      </c>
      <c r="AT374" s="333">
        <f t="shared" si="285"/>
        <v>4.1250000000000002E-2</v>
      </c>
      <c r="AU374" s="334">
        <v>15</v>
      </c>
      <c r="AV374" s="387">
        <f t="shared" si="313"/>
        <v>0.25</v>
      </c>
      <c r="AW374" s="677">
        <v>15</v>
      </c>
      <c r="AX374" s="366">
        <f t="shared" si="314"/>
        <v>3.75</v>
      </c>
      <c r="AY374" s="366">
        <f t="shared" si="315"/>
        <v>100</v>
      </c>
      <c r="AZ374" s="366">
        <f t="shared" si="286"/>
        <v>100</v>
      </c>
      <c r="BA374" s="354">
        <f t="shared" si="287"/>
        <v>4.1250000000000002E-2</v>
      </c>
      <c r="BB374" s="354">
        <f t="shared" si="288"/>
        <v>100</v>
      </c>
      <c r="BC374" s="353">
        <v>0</v>
      </c>
      <c r="BD374" s="353">
        <v>0</v>
      </c>
      <c r="BE374" s="353">
        <v>0</v>
      </c>
      <c r="BF374" s="353">
        <v>0</v>
      </c>
      <c r="BG374" s="353">
        <v>0</v>
      </c>
      <c r="BH374" s="353">
        <v>0</v>
      </c>
      <c r="BI374" s="353">
        <v>0</v>
      </c>
      <c r="BJ374" s="353">
        <v>0</v>
      </c>
      <c r="BK374" s="428">
        <v>0</v>
      </c>
      <c r="BL374" s="351">
        <v>0</v>
      </c>
      <c r="BM374" s="351">
        <v>0</v>
      </c>
      <c r="BN374" s="351">
        <v>0</v>
      </c>
      <c r="BO374" s="351">
        <v>0</v>
      </c>
      <c r="BP374" s="351">
        <v>0</v>
      </c>
      <c r="BQ374" s="351">
        <v>0</v>
      </c>
      <c r="BR374" s="351">
        <v>0</v>
      </c>
      <c r="BS374" s="351">
        <v>0</v>
      </c>
      <c r="BT374" s="351">
        <v>0</v>
      </c>
      <c r="BU374" s="351">
        <v>0</v>
      </c>
      <c r="BV374" s="350">
        <f t="shared" si="289"/>
        <v>4.1250000000000002E-2</v>
      </c>
      <c r="BW374" s="350">
        <v>15</v>
      </c>
      <c r="BX374" s="385">
        <f t="shared" si="316"/>
        <v>0.25</v>
      </c>
      <c r="BY374" s="369">
        <v>0</v>
      </c>
      <c r="BZ374" s="391">
        <v>0</v>
      </c>
      <c r="CA374" s="689">
        <v>15</v>
      </c>
      <c r="CB374" s="324">
        <f t="shared" si="317"/>
        <v>3.75</v>
      </c>
      <c r="CC374" s="324">
        <f t="shared" si="318"/>
        <v>100</v>
      </c>
      <c r="CD374" s="384">
        <f t="shared" si="290"/>
        <v>100</v>
      </c>
      <c r="CE374" s="383">
        <f t="shared" si="291"/>
        <v>4.1250000000000002E-2</v>
      </c>
      <c r="CF374" s="367">
        <f t="shared" si="292"/>
        <v>100</v>
      </c>
      <c r="CG374" s="383">
        <f t="shared" si="293"/>
        <v>4.1250000000000002E-2</v>
      </c>
      <c r="CH374" s="320">
        <f t="shared" si="294"/>
        <v>4.1250000000000002E-2</v>
      </c>
      <c r="CI374" s="319">
        <v>15</v>
      </c>
      <c r="CJ374" s="318">
        <f t="shared" si="319"/>
        <v>0.25</v>
      </c>
      <c r="CK374" s="1259">
        <v>15</v>
      </c>
      <c r="CL374" s="301">
        <f t="shared" si="320"/>
        <v>0</v>
      </c>
      <c r="CM374" s="381">
        <f t="shared" si="321"/>
        <v>3.75</v>
      </c>
      <c r="CN374" s="381">
        <f t="shared" si="322"/>
        <v>100</v>
      </c>
      <c r="CO374" s="381">
        <f t="shared" si="295"/>
        <v>100</v>
      </c>
      <c r="CP374" s="381">
        <f t="shared" si="296"/>
        <v>4.1250000000000002E-2</v>
      </c>
      <c r="CQ374" s="381">
        <f t="shared" si="297"/>
        <v>4.1250000000000002E-2</v>
      </c>
      <c r="CR374" s="313">
        <v>0</v>
      </c>
      <c r="CS374" s="313">
        <v>0</v>
      </c>
      <c r="CT374" s="313">
        <v>0</v>
      </c>
      <c r="CU374" s="313">
        <v>0</v>
      </c>
      <c r="CV374" s="313">
        <v>0</v>
      </c>
      <c r="CW374" s="313">
        <v>0</v>
      </c>
      <c r="CX374" s="313">
        <v>0</v>
      </c>
      <c r="CY374" s="313">
        <v>0</v>
      </c>
      <c r="CZ374" s="380">
        <v>0</v>
      </c>
      <c r="DA374" s="380">
        <v>0</v>
      </c>
      <c r="DB374" s="380">
        <v>0</v>
      </c>
      <c r="DC374" s="380">
        <v>0</v>
      </c>
      <c r="DD374" s="380">
        <v>0</v>
      </c>
      <c r="DE374" s="380">
        <v>0</v>
      </c>
      <c r="DF374" s="380">
        <v>0</v>
      </c>
      <c r="DG374" s="380">
        <v>0</v>
      </c>
      <c r="DH374" s="380">
        <v>0</v>
      </c>
      <c r="DI374" s="380">
        <v>0</v>
      </c>
      <c r="DJ374" s="380">
        <v>0</v>
      </c>
      <c r="DK374" s="702">
        <f t="shared" si="323"/>
        <v>15.5</v>
      </c>
      <c r="DL374" s="311">
        <f t="shared" si="298"/>
        <v>0.16500000000000001</v>
      </c>
      <c r="DM374" s="310">
        <f t="shared" si="299"/>
        <v>103.33333333333333</v>
      </c>
      <c r="DN374" s="356">
        <f t="shared" si="300"/>
        <v>100</v>
      </c>
      <c r="DO374" s="308">
        <f t="shared" si="301"/>
        <v>0.16500000000000001</v>
      </c>
      <c r="DP374" s="359">
        <f>+IF(M374="M",DO374,0)</f>
        <v>0.16500000000000001</v>
      </c>
      <c r="DQ374" s="306">
        <f t="shared" si="302"/>
        <v>0.16500000000000001</v>
      </c>
      <c r="DR374" s="379">
        <f t="shared" si="303"/>
        <v>1</v>
      </c>
      <c r="DS374" s="378">
        <f t="shared" si="304"/>
        <v>0</v>
      </c>
      <c r="DT374" s="173">
        <v>422</v>
      </c>
      <c r="DU374" s="174" t="s">
        <v>104</v>
      </c>
      <c r="DV374" s="173"/>
      <c r="DW374" s="174" t="s">
        <v>84</v>
      </c>
      <c r="DX374" s="173"/>
      <c r="DY374" s="173"/>
      <c r="DZ374" s="173"/>
      <c r="EA374" s="665"/>
      <c r="EB374" s="1254" t="s">
        <v>2584</v>
      </c>
      <c r="EC374" s="537">
        <v>12000000</v>
      </c>
      <c r="EE374" s="734">
        <v>50</v>
      </c>
      <c r="EF374" s="706"/>
    </row>
    <row r="375" spans="4:136" s="302" customFormat="1" ht="76.5" hidden="1">
      <c r="D375" s="520">
        <v>372</v>
      </c>
      <c r="E375" s="534">
        <v>435</v>
      </c>
      <c r="F375" s="479" t="s">
        <v>45</v>
      </c>
      <c r="G375" s="479" t="s">
        <v>17</v>
      </c>
      <c r="H375" s="479" t="s">
        <v>2670</v>
      </c>
      <c r="I375" s="435" t="s">
        <v>917</v>
      </c>
      <c r="J375" s="335" t="s">
        <v>918</v>
      </c>
      <c r="K375" s="335" t="s">
        <v>919</v>
      </c>
      <c r="L375" s="436" t="s">
        <v>1485</v>
      </c>
      <c r="M375" s="334" t="s">
        <v>1771</v>
      </c>
      <c r="N375" s="334">
        <v>0</v>
      </c>
      <c r="O375" s="333">
        <f t="shared" ref="O375:O392" si="324">+N375+P375</f>
        <v>4</v>
      </c>
      <c r="P375" s="332">
        <v>4</v>
      </c>
      <c r="Q375" s="390">
        <v>0.16500000000000001</v>
      </c>
      <c r="R375" s="342">
        <f t="shared" si="282"/>
        <v>4.1250000000000002E-2</v>
      </c>
      <c r="S375" s="389">
        <v>1</v>
      </c>
      <c r="T375" s="387">
        <f t="shared" si="310"/>
        <v>0.25</v>
      </c>
      <c r="U375" s="670">
        <v>0</v>
      </c>
      <c r="V375" s="388">
        <f t="shared" si="311"/>
        <v>0</v>
      </c>
      <c r="W375" s="356">
        <f t="shared" si="312"/>
        <v>0</v>
      </c>
      <c r="X375" s="356">
        <f t="shared" si="283"/>
        <v>0</v>
      </c>
      <c r="Y375" s="356">
        <f t="shared" si="307"/>
        <v>0</v>
      </c>
      <c r="Z375" s="356">
        <f t="shared" si="284"/>
        <v>0</v>
      </c>
      <c r="AA375" s="355">
        <v>120000000</v>
      </c>
      <c r="AB375" s="355">
        <v>120000000</v>
      </c>
      <c r="AC375" s="355">
        <v>0</v>
      </c>
      <c r="AD375" s="355">
        <v>0</v>
      </c>
      <c r="AE375" s="355">
        <v>0</v>
      </c>
      <c r="AF375" s="355">
        <v>0</v>
      </c>
      <c r="AG375" s="355">
        <v>0</v>
      </c>
      <c r="AH375" s="355">
        <v>0</v>
      </c>
      <c r="AI375" s="355">
        <v>0</v>
      </c>
      <c r="AJ375" s="355">
        <v>0</v>
      </c>
      <c r="AK375" s="355">
        <v>0</v>
      </c>
      <c r="AL375" s="355">
        <v>0</v>
      </c>
      <c r="AM375" s="355">
        <v>0</v>
      </c>
      <c r="AN375" s="355">
        <v>0</v>
      </c>
      <c r="AO375" s="355">
        <v>0</v>
      </c>
      <c r="AP375" s="355">
        <v>0</v>
      </c>
      <c r="AQ375" s="355">
        <v>0</v>
      </c>
      <c r="AR375" s="355">
        <v>0</v>
      </c>
      <c r="AS375" s="355">
        <v>0</v>
      </c>
      <c r="AT375" s="333">
        <f t="shared" si="285"/>
        <v>4.1250000000000002E-2</v>
      </c>
      <c r="AU375" s="334">
        <v>1</v>
      </c>
      <c r="AV375" s="387">
        <f t="shared" si="313"/>
        <v>0.25</v>
      </c>
      <c r="AW375" s="677">
        <v>4</v>
      </c>
      <c r="AX375" s="366">
        <f t="shared" si="314"/>
        <v>4</v>
      </c>
      <c r="AY375" s="366">
        <f t="shared" si="315"/>
        <v>400</v>
      </c>
      <c r="AZ375" s="366">
        <f t="shared" si="286"/>
        <v>100</v>
      </c>
      <c r="BA375" s="354">
        <f t="shared" si="287"/>
        <v>4.1250000000000002E-2</v>
      </c>
      <c r="BB375" s="354">
        <f t="shared" si="288"/>
        <v>100</v>
      </c>
      <c r="BC375" s="353">
        <v>0</v>
      </c>
      <c r="BD375" s="353">
        <v>0</v>
      </c>
      <c r="BE375" s="353">
        <v>0</v>
      </c>
      <c r="BF375" s="353">
        <v>0</v>
      </c>
      <c r="BG375" s="353">
        <v>0</v>
      </c>
      <c r="BH375" s="353">
        <v>0</v>
      </c>
      <c r="BI375" s="353">
        <v>0</v>
      </c>
      <c r="BJ375" s="353">
        <v>0</v>
      </c>
      <c r="BK375" s="428">
        <v>92479477</v>
      </c>
      <c r="BL375" s="351">
        <v>92479477</v>
      </c>
      <c r="BM375" s="351">
        <v>0</v>
      </c>
      <c r="BN375" s="351">
        <v>0</v>
      </c>
      <c r="BO375" s="351">
        <v>0</v>
      </c>
      <c r="BP375" s="351">
        <v>0</v>
      </c>
      <c r="BQ375" s="351">
        <v>0</v>
      </c>
      <c r="BR375" s="351">
        <v>0</v>
      </c>
      <c r="BS375" s="351">
        <v>0</v>
      </c>
      <c r="BT375" s="351">
        <v>0</v>
      </c>
      <c r="BU375" s="351">
        <v>0</v>
      </c>
      <c r="BV375" s="350">
        <f t="shared" si="289"/>
        <v>4.1250000000000002E-2</v>
      </c>
      <c r="BW375" s="350">
        <v>1</v>
      </c>
      <c r="BX375" s="385">
        <f t="shared" si="316"/>
        <v>0.25</v>
      </c>
      <c r="BY375" s="369">
        <v>0</v>
      </c>
      <c r="BZ375" s="391">
        <v>4</v>
      </c>
      <c r="CA375" s="689">
        <v>5</v>
      </c>
      <c r="CB375" s="324">
        <f t="shared" si="317"/>
        <v>5</v>
      </c>
      <c r="CC375" s="324">
        <f t="shared" si="318"/>
        <v>500</v>
      </c>
      <c r="CD375" s="384">
        <f t="shared" si="290"/>
        <v>100</v>
      </c>
      <c r="CE375" s="383">
        <f t="shared" si="291"/>
        <v>4.1250000000000002E-2</v>
      </c>
      <c r="CF375" s="367">
        <f t="shared" si="292"/>
        <v>100</v>
      </c>
      <c r="CG375" s="383">
        <f t="shared" si="293"/>
        <v>0.20624999999999999</v>
      </c>
      <c r="CH375" s="320">
        <f t="shared" si="294"/>
        <v>4.1250000000000002E-2</v>
      </c>
      <c r="CI375" s="319">
        <v>1</v>
      </c>
      <c r="CJ375" s="318">
        <f t="shared" si="319"/>
        <v>0.25</v>
      </c>
      <c r="CK375" s="1259">
        <v>9</v>
      </c>
      <c r="CL375" s="301">
        <f t="shared" si="320"/>
        <v>-8</v>
      </c>
      <c r="CM375" s="381">
        <f t="shared" si="321"/>
        <v>9</v>
      </c>
      <c r="CN375" s="381">
        <f t="shared" si="322"/>
        <v>900</v>
      </c>
      <c r="CO375" s="316">
        <f t="shared" si="295"/>
        <v>100</v>
      </c>
      <c r="CP375" s="381">
        <f t="shared" si="296"/>
        <v>4.1250000000000002E-2</v>
      </c>
      <c r="CQ375" s="381">
        <f t="shared" si="297"/>
        <v>0.37125000000000002</v>
      </c>
      <c r="CR375" s="313">
        <v>0</v>
      </c>
      <c r="CS375" s="313">
        <v>0</v>
      </c>
      <c r="CT375" s="313">
        <v>0</v>
      </c>
      <c r="CU375" s="313">
        <v>0</v>
      </c>
      <c r="CV375" s="313">
        <v>0</v>
      </c>
      <c r="CW375" s="313">
        <v>0</v>
      </c>
      <c r="CX375" s="313">
        <v>0</v>
      </c>
      <c r="CY375" s="313">
        <v>0</v>
      </c>
      <c r="CZ375" s="380">
        <v>0</v>
      </c>
      <c r="DA375" s="380">
        <v>0</v>
      </c>
      <c r="DB375" s="380">
        <v>0</v>
      </c>
      <c r="DC375" s="380">
        <v>0</v>
      </c>
      <c r="DD375" s="380">
        <v>0</v>
      </c>
      <c r="DE375" s="380">
        <v>0</v>
      </c>
      <c r="DF375" s="380">
        <v>0</v>
      </c>
      <c r="DG375" s="380">
        <v>0</v>
      </c>
      <c r="DH375" s="380">
        <v>0</v>
      </c>
      <c r="DI375" s="380">
        <v>0</v>
      </c>
      <c r="DJ375" s="380">
        <v>0</v>
      </c>
      <c r="DK375" s="702">
        <f t="shared" si="323"/>
        <v>18</v>
      </c>
      <c r="DL375" s="311">
        <f t="shared" si="298"/>
        <v>0.16500000000000001</v>
      </c>
      <c r="DM375" s="310">
        <f t="shared" si="299"/>
        <v>450</v>
      </c>
      <c r="DN375" s="356">
        <f t="shared" si="300"/>
        <v>100</v>
      </c>
      <c r="DO375" s="308">
        <f t="shared" si="301"/>
        <v>0.16500000000000001</v>
      </c>
      <c r="DP375" s="359">
        <f t="shared" ref="DP375:DP393" si="325">+IF(((DN375*Q375)/100)&lt;Q375, ((DN375*Q375)/100),Q375)</f>
        <v>0.16500000000000001</v>
      </c>
      <c r="DQ375" s="306">
        <f t="shared" si="302"/>
        <v>0.16500000000000001</v>
      </c>
      <c r="DR375" s="379">
        <f t="shared" si="303"/>
        <v>1</v>
      </c>
      <c r="DS375" s="378">
        <f t="shared" si="304"/>
        <v>0</v>
      </c>
      <c r="DT375" s="173">
        <v>434</v>
      </c>
      <c r="DU375" s="174" t="s">
        <v>103</v>
      </c>
      <c r="DV375" s="173"/>
      <c r="DW375" s="174" t="s">
        <v>84</v>
      </c>
      <c r="DX375" s="173"/>
      <c r="DY375" s="173"/>
      <c r="DZ375" s="173"/>
      <c r="EA375" s="665"/>
      <c r="EB375" s="1254" t="s">
        <v>2418</v>
      </c>
      <c r="EC375" s="537">
        <v>0</v>
      </c>
      <c r="EE375" s="740">
        <v>100</v>
      </c>
      <c r="EF375" s="706"/>
    </row>
    <row r="376" spans="4:136" s="302" customFormat="1" ht="89.25" hidden="1">
      <c r="D376" s="520">
        <v>373</v>
      </c>
      <c r="E376" s="534">
        <v>436</v>
      </c>
      <c r="F376" s="479" t="s">
        <v>45</v>
      </c>
      <c r="G376" s="479" t="s">
        <v>17</v>
      </c>
      <c r="H376" s="479" t="s">
        <v>2670</v>
      </c>
      <c r="I376" s="435" t="s">
        <v>917</v>
      </c>
      <c r="J376" s="335" t="s">
        <v>920</v>
      </c>
      <c r="K376" s="335" t="s">
        <v>921</v>
      </c>
      <c r="L376" s="436" t="s">
        <v>1881</v>
      </c>
      <c r="M376" s="334" t="s">
        <v>1771</v>
      </c>
      <c r="N376" s="334">
        <v>0</v>
      </c>
      <c r="O376" s="333">
        <f t="shared" si="324"/>
        <v>100</v>
      </c>
      <c r="P376" s="332">
        <v>100</v>
      </c>
      <c r="Q376" s="390">
        <v>0.25</v>
      </c>
      <c r="R376" s="342">
        <f t="shared" si="282"/>
        <v>2.5000000000000001E-2</v>
      </c>
      <c r="S376" s="389">
        <v>10</v>
      </c>
      <c r="T376" s="387">
        <f t="shared" si="310"/>
        <v>0.1</v>
      </c>
      <c r="U376" s="670">
        <v>10</v>
      </c>
      <c r="V376" s="388">
        <f t="shared" si="311"/>
        <v>10</v>
      </c>
      <c r="W376" s="356">
        <f t="shared" si="312"/>
        <v>100</v>
      </c>
      <c r="X376" s="356">
        <f t="shared" si="283"/>
        <v>100</v>
      </c>
      <c r="Y376" s="356">
        <f t="shared" si="307"/>
        <v>2.5000000000000001E-2</v>
      </c>
      <c r="Z376" s="356">
        <f t="shared" si="284"/>
        <v>100</v>
      </c>
      <c r="AA376" s="355">
        <v>40000000</v>
      </c>
      <c r="AB376" s="355">
        <v>40000000</v>
      </c>
      <c r="AC376" s="355">
        <v>0</v>
      </c>
      <c r="AD376" s="355">
        <v>0</v>
      </c>
      <c r="AE376" s="355">
        <v>0</v>
      </c>
      <c r="AF376" s="355">
        <v>0</v>
      </c>
      <c r="AG376" s="355">
        <v>0</v>
      </c>
      <c r="AH376" s="355">
        <v>0</v>
      </c>
      <c r="AI376" s="355">
        <v>8000000</v>
      </c>
      <c r="AJ376" s="355">
        <v>8000000</v>
      </c>
      <c r="AK376" s="355">
        <v>0</v>
      </c>
      <c r="AL376" s="355">
        <v>0</v>
      </c>
      <c r="AM376" s="355">
        <v>0</v>
      </c>
      <c r="AN376" s="355">
        <v>0</v>
      </c>
      <c r="AO376" s="355">
        <v>0</v>
      </c>
      <c r="AP376" s="355">
        <v>0</v>
      </c>
      <c r="AQ376" s="355">
        <v>0</v>
      </c>
      <c r="AR376" s="355">
        <v>0</v>
      </c>
      <c r="AS376" s="355">
        <v>0</v>
      </c>
      <c r="AT376" s="333">
        <f t="shared" si="285"/>
        <v>7.4999999999999997E-2</v>
      </c>
      <c r="AU376" s="334">
        <v>30</v>
      </c>
      <c r="AV376" s="387">
        <f t="shared" si="313"/>
        <v>0.3</v>
      </c>
      <c r="AW376" s="677">
        <v>40</v>
      </c>
      <c r="AX376" s="366">
        <f t="shared" si="314"/>
        <v>40</v>
      </c>
      <c r="AY376" s="366">
        <f t="shared" si="315"/>
        <v>133.33333333333334</v>
      </c>
      <c r="AZ376" s="366">
        <f t="shared" si="286"/>
        <v>100</v>
      </c>
      <c r="BA376" s="354">
        <f t="shared" si="287"/>
        <v>7.4999999999999997E-2</v>
      </c>
      <c r="BB376" s="354">
        <f t="shared" si="288"/>
        <v>100</v>
      </c>
      <c r="BC376" s="353">
        <v>0</v>
      </c>
      <c r="BD376" s="353">
        <v>0</v>
      </c>
      <c r="BE376" s="353">
        <v>0</v>
      </c>
      <c r="BF376" s="353">
        <v>0</v>
      </c>
      <c r="BG376" s="353">
        <v>0</v>
      </c>
      <c r="BH376" s="353">
        <v>0</v>
      </c>
      <c r="BI376" s="353">
        <v>0</v>
      </c>
      <c r="BJ376" s="353">
        <v>0</v>
      </c>
      <c r="BK376" s="428">
        <v>344856875</v>
      </c>
      <c r="BL376" s="351">
        <v>344856875</v>
      </c>
      <c r="BM376" s="351">
        <v>0</v>
      </c>
      <c r="BN376" s="351">
        <v>0</v>
      </c>
      <c r="BO376" s="351">
        <v>0</v>
      </c>
      <c r="BP376" s="351">
        <v>0</v>
      </c>
      <c r="BQ376" s="351">
        <v>0</v>
      </c>
      <c r="BR376" s="351">
        <v>0</v>
      </c>
      <c r="BS376" s="351">
        <v>0</v>
      </c>
      <c r="BT376" s="351">
        <v>0</v>
      </c>
      <c r="BU376" s="351">
        <v>0</v>
      </c>
      <c r="BV376" s="350">
        <f t="shared" si="289"/>
        <v>7.4999999999999997E-2</v>
      </c>
      <c r="BW376" s="350">
        <v>30</v>
      </c>
      <c r="BX376" s="385">
        <f t="shared" si="316"/>
        <v>0.3</v>
      </c>
      <c r="BY376" s="369">
        <v>29</v>
      </c>
      <c r="BZ376" s="391">
        <v>35</v>
      </c>
      <c r="CA376" s="689">
        <v>83</v>
      </c>
      <c r="CB376" s="324">
        <f t="shared" si="317"/>
        <v>83</v>
      </c>
      <c r="CC376" s="324">
        <f t="shared" si="318"/>
        <v>276.66666666666669</v>
      </c>
      <c r="CD376" s="384">
        <f t="shared" si="290"/>
        <v>100</v>
      </c>
      <c r="CE376" s="383">
        <f t="shared" si="291"/>
        <v>7.4999999999999997E-2</v>
      </c>
      <c r="CF376" s="367">
        <f t="shared" si="292"/>
        <v>100</v>
      </c>
      <c r="CG376" s="383">
        <f t="shared" si="293"/>
        <v>0.20749999999999999</v>
      </c>
      <c r="CH376" s="320">
        <f t="shared" si="294"/>
        <v>7.4999999999999997E-2</v>
      </c>
      <c r="CI376" s="319">
        <v>30</v>
      </c>
      <c r="CJ376" s="318">
        <f t="shared" si="319"/>
        <v>0.3</v>
      </c>
      <c r="CK376" s="1259">
        <v>30</v>
      </c>
      <c r="CL376" s="301">
        <f t="shared" si="320"/>
        <v>0</v>
      </c>
      <c r="CM376" s="381">
        <f t="shared" si="321"/>
        <v>30</v>
      </c>
      <c r="CN376" s="381">
        <f t="shared" si="322"/>
        <v>100</v>
      </c>
      <c r="CO376" s="316">
        <f t="shared" si="295"/>
        <v>100</v>
      </c>
      <c r="CP376" s="381">
        <f t="shared" si="296"/>
        <v>7.4999999999999997E-2</v>
      </c>
      <c r="CQ376" s="381">
        <f t="shared" si="297"/>
        <v>7.4999999999999997E-2</v>
      </c>
      <c r="CR376" s="313">
        <v>0</v>
      </c>
      <c r="CS376" s="313">
        <v>0</v>
      </c>
      <c r="CT376" s="313">
        <v>0</v>
      </c>
      <c r="CU376" s="313">
        <v>0</v>
      </c>
      <c r="CV376" s="313">
        <v>0</v>
      </c>
      <c r="CW376" s="313">
        <v>0</v>
      </c>
      <c r="CX376" s="313">
        <v>0</v>
      </c>
      <c r="CY376" s="313">
        <v>0</v>
      </c>
      <c r="CZ376" s="380">
        <v>0</v>
      </c>
      <c r="DA376" s="380">
        <v>0</v>
      </c>
      <c r="DB376" s="380">
        <v>0</v>
      </c>
      <c r="DC376" s="380">
        <v>0</v>
      </c>
      <c r="DD376" s="380">
        <v>0</v>
      </c>
      <c r="DE376" s="380">
        <v>0</v>
      </c>
      <c r="DF376" s="380">
        <v>0</v>
      </c>
      <c r="DG376" s="380">
        <v>0</v>
      </c>
      <c r="DH376" s="380">
        <v>0</v>
      </c>
      <c r="DI376" s="380">
        <v>0</v>
      </c>
      <c r="DJ376" s="380">
        <v>0</v>
      </c>
      <c r="DK376" s="702">
        <f t="shared" si="323"/>
        <v>163</v>
      </c>
      <c r="DL376" s="311">
        <f t="shared" si="298"/>
        <v>0.25</v>
      </c>
      <c r="DM376" s="310">
        <f t="shared" si="299"/>
        <v>163</v>
      </c>
      <c r="DN376" s="356">
        <f t="shared" si="300"/>
        <v>100</v>
      </c>
      <c r="DO376" s="308">
        <f t="shared" si="301"/>
        <v>0.25</v>
      </c>
      <c r="DP376" s="359">
        <f t="shared" si="325"/>
        <v>0.25</v>
      </c>
      <c r="DQ376" s="306">
        <f t="shared" si="302"/>
        <v>0.25</v>
      </c>
      <c r="DR376" s="379">
        <f t="shared" si="303"/>
        <v>1</v>
      </c>
      <c r="DS376" s="378">
        <f t="shared" si="304"/>
        <v>0</v>
      </c>
      <c r="DT376" s="173">
        <v>434</v>
      </c>
      <c r="DU376" s="174" t="s">
        <v>103</v>
      </c>
      <c r="DV376" s="173"/>
      <c r="DW376" s="174" t="s">
        <v>84</v>
      </c>
      <c r="DX376" s="173"/>
      <c r="DY376" s="173"/>
      <c r="DZ376" s="173"/>
      <c r="EA376" s="665"/>
      <c r="EB376" s="1254" t="s">
        <v>2208</v>
      </c>
      <c r="EC376" s="537">
        <v>60000000</v>
      </c>
      <c r="EE376" s="735">
        <v>100</v>
      </c>
      <c r="EF376" s="706"/>
    </row>
    <row r="377" spans="4:136" s="302" customFormat="1" ht="63.75" hidden="1">
      <c r="D377" s="520">
        <v>374</v>
      </c>
      <c r="E377" s="534">
        <v>437</v>
      </c>
      <c r="F377" s="479" t="s">
        <v>45</v>
      </c>
      <c r="G377" s="479" t="s">
        <v>17</v>
      </c>
      <c r="H377" s="479" t="s">
        <v>2670</v>
      </c>
      <c r="I377" s="435" t="s">
        <v>922</v>
      </c>
      <c r="J377" s="335" t="s">
        <v>923</v>
      </c>
      <c r="K377" s="335" t="s">
        <v>924</v>
      </c>
      <c r="L377" s="436" t="s">
        <v>1880</v>
      </c>
      <c r="M377" s="334" t="s">
        <v>1771</v>
      </c>
      <c r="N377" s="334">
        <v>0</v>
      </c>
      <c r="O377" s="333">
        <f t="shared" si="324"/>
        <v>1</v>
      </c>
      <c r="P377" s="332">
        <v>1</v>
      </c>
      <c r="Q377" s="390">
        <v>0.25</v>
      </c>
      <c r="R377" s="342">
        <f t="shared" si="282"/>
        <v>0.1</v>
      </c>
      <c r="S377" s="389">
        <v>0.4</v>
      </c>
      <c r="T377" s="387">
        <f t="shared" si="310"/>
        <v>0.4</v>
      </c>
      <c r="U377" s="670">
        <v>0.4</v>
      </c>
      <c r="V377" s="388">
        <f t="shared" si="311"/>
        <v>0.4</v>
      </c>
      <c r="W377" s="356">
        <f t="shared" si="312"/>
        <v>100</v>
      </c>
      <c r="X377" s="356">
        <f t="shared" si="283"/>
        <v>100</v>
      </c>
      <c r="Y377" s="356">
        <f t="shared" si="307"/>
        <v>0.1</v>
      </c>
      <c r="Z377" s="356">
        <f t="shared" si="284"/>
        <v>100</v>
      </c>
      <c r="AA377" s="355">
        <v>0</v>
      </c>
      <c r="AB377" s="355">
        <v>0</v>
      </c>
      <c r="AC377" s="355">
        <v>0</v>
      </c>
      <c r="AD377" s="355">
        <v>0</v>
      </c>
      <c r="AE377" s="355">
        <v>0</v>
      </c>
      <c r="AF377" s="355">
        <v>0</v>
      </c>
      <c r="AG377" s="355">
        <v>0</v>
      </c>
      <c r="AH377" s="355">
        <v>0</v>
      </c>
      <c r="AI377" s="355">
        <v>0</v>
      </c>
      <c r="AJ377" s="355">
        <v>0</v>
      </c>
      <c r="AK377" s="355">
        <v>0</v>
      </c>
      <c r="AL377" s="355">
        <v>0</v>
      </c>
      <c r="AM377" s="355">
        <v>0</v>
      </c>
      <c r="AN377" s="355">
        <v>0</v>
      </c>
      <c r="AO377" s="355">
        <v>0</v>
      </c>
      <c r="AP377" s="355">
        <v>0</v>
      </c>
      <c r="AQ377" s="355">
        <v>0</v>
      </c>
      <c r="AR377" s="355">
        <v>0</v>
      </c>
      <c r="AS377" s="355">
        <v>0</v>
      </c>
      <c r="AT377" s="333">
        <f t="shared" si="285"/>
        <v>0.1</v>
      </c>
      <c r="AU377" s="334">
        <v>0.4</v>
      </c>
      <c r="AV377" s="387">
        <f t="shared" si="313"/>
        <v>0.4</v>
      </c>
      <c r="AW377" s="677">
        <v>0.4</v>
      </c>
      <c r="AX377" s="366">
        <f t="shared" si="314"/>
        <v>0.4</v>
      </c>
      <c r="AY377" s="366">
        <f t="shared" si="315"/>
        <v>100</v>
      </c>
      <c r="AZ377" s="366">
        <f t="shared" si="286"/>
        <v>100</v>
      </c>
      <c r="BA377" s="354">
        <f t="shared" si="287"/>
        <v>0.1</v>
      </c>
      <c r="BB377" s="354">
        <f t="shared" si="288"/>
        <v>100</v>
      </c>
      <c r="BC377" s="353">
        <v>0</v>
      </c>
      <c r="BD377" s="353">
        <v>0</v>
      </c>
      <c r="BE377" s="353">
        <v>0</v>
      </c>
      <c r="BF377" s="353">
        <v>0</v>
      </c>
      <c r="BG377" s="353">
        <v>0</v>
      </c>
      <c r="BH377" s="353">
        <v>0</v>
      </c>
      <c r="BI377" s="353">
        <v>0</v>
      </c>
      <c r="BJ377" s="353">
        <v>0</v>
      </c>
      <c r="BK377" s="428">
        <v>60000000</v>
      </c>
      <c r="BL377" s="351">
        <v>60000000</v>
      </c>
      <c r="BM377" s="351">
        <v>0</v>
      </c>
      <c r="BN377" s="351">
        <v>0</v>
      </c>
      <c r="BO377" s="351">
        <v>0</v>
      </c>
      <c r="BP377" s="351">
        <v>0</v>
      </c>
      <c r="BQ377" s="351">
        <v>0</v>
      </c>
      <c r="BR377" s="351">
        <v>0</v>
      </c>
      <c r="BS377" s="351">
        <v>0</v>
      </c>
      <c r="BT377" s="351">
        <v>0</v>
      </c>
      <c r="BU377" s="351">
        <v>0</v>
      </c>
      <c r="BV377" s="350">
        <f t="shared" si="289"/>
        <v>2.5000000000000001E-2</v>
      </c>
      <c r="BW377" s="350">
        <v>0.1</v>
      </c>
      <c r="BX377" s="385">
        <f t="shared" si="316"/>
        <v>0.1</v>
      </c>
      <c r="BY377" s="369">
        <v>2.9999999329447746E-2</v>
      </c>
      <c r="BZ377" s="391">
        <v>5.000000074505806E-2</v>
      </c>
      <c r="CA377" s="689">
        <v>0.10000000149011612</v>
      </c>
      <c r="CB377" s="324">
        <f t="shared" si="317"/>
        <v>0.10000000149011612</v>
      </c>
      <c r="CC377" s="324">
        <f t="shared" si="318"/>
        <v>100.00000149011612</v>
      </c>
      <c r="CD377" s="384">
        <f t="shared" si="290"/>
        <v>100</v>
      </c>
      <c r="CE377" s="383">
        <f t="shared" si="291"/>
        <v>2.5000000000000001E-2</v>
      </c>
      <c r="CF377" s="367">
        <f t="shared" si="292"/>
        <v>100</v>
      </c>
      <c r="CG377" s="383">
        <f t="shared" si="293"/>
        <v>2.500000037252903E-2</v>
      </c>
      <c r="CH377" s="320">
        <f t="shared" si="294"/>
        <v>2.5000000000000001E-2</v>
      </c>
      <c r="CI377" s="418">
        <v>0.1</v>
      </c>
      <c r="CJ377" s="318">
        <f t="shared" si="319"/>
        <v>0.1</v>
      </c>
      <c r="CK377" s="1259">
        <v>0.1</v>
      </c>
      <c r="CL377" s="301">
        <f t="shared" si="320"/>
        <v>0</v>
      </c>
      <c r="CM377" s="381">
        <f t="shared" si="321"/>
        <v>0.1</v>
      </c>
      <c r="CN377" s="381">
        <f t="shared" si="322"/>
        <v>100</v>
      </c>
      <c r="CO377" s="316">
        <f t="shared" si="295"/>
        <v>100</v>
      </c>
      <c r="CP377" s="381">
        <f t="shared" si="296"/>
        <v>2.5000000000000001E-2</v>
      </c>
      <c r="CQ377" s="381">
        <f t="shared" si="297"/>
        <v>2.5000000000000001E-2</v>
      </c>
      <c r="CR377" s="313">
        <v>0</v>
      </c>
      <c r="CS377" s="313">
        <v>0</v>
      </c>
      <c r="CT377" s="313">
        <v>0</v>
      </c>
      <c r="CU377" s="313">
        <v>0</v>
      </c>
      <c r="CV377" s="313">
        <v>0</v>
      </c>
      <c r="CW377" s="313">
        <v>0</v>
      </c>
      <c r="CX377" s="313">
        <v>0</v>
      </c>
      <c r="CY377" s="313">
        <v>0</v>
      </c>
      <c r="CZ377" s="380">
        <v>0</v>
      </c>
      <c r="DA377" s="380">
        <v>0</v>
      </c>
      <c r="DB377" s="380">
        <v>0</v>
      </c>
      <c r="DC377" s="380">
        <v>0</v>
      </c>
      <c r="DD377" s="380">
        <v>0</v>
      </c>
      <c r="DE377" s="380">
        <v>0</v>
      </c>
      <c r="DF377" s="380">
        <v>0</v>
      </c>
      <c r="DG377" s="380">
        <v>0</v>
      </c>
      <c r="DH377" s="380">
        <v>0</v>
      </c>
      <c r="DI377" s="380">
        <v>0</v>
      </c>
      <c r="DJ377" s="380">
        <v>0</v>
      </c>
      <c r="DK377" s="702">
        <f t="shared" si="323"/>
        <v>1.0000000014901163</v>
      </c>
      <c r="DL377" s="311">
        <f t="shared" si="298"/>
        <v>0.25</v>
      </c>
      <c r="DM377" s="310">
        <f t="shared" si="299"/>
        <v>100.00000014901163</v>
      </c>
      <c r="DN377" s="356">
        <f t="shared" si="300"/>
        <v>100</v>
      </c>
      <c r="DO377" s="308">
        <f t="shared" si="301"/>
        <v>0.25</v>
      </c>
      <c r="DP377" s="359">
        <f t="shared" si="325"/>
        <v>0.25</v>
      </c>
      <c r="DQ377" s="306">
        <f t="shared" si="302"/>
        <v>0.25</v>
      </c>
      <c r="DR377" s="379">
        <f t="shared" si="303"/>
        <v>1</v>
      </c>
      <c r="DS377" s="378">
        <f t="shared" si="304"/>
        <v>0</v>
      </c>
      <c r="DT377" s="173">
        <v>434</v>
      </c>
      <c r="DU377" s="174" t="s">
        <v>103</v>
      </c>
      <c r="DV377" s="173"/>
      <c r="DW377" s="174" t="s">
        <v>84</v>
      </c>
      <c r="DX377" s="173"/>
      <c r="DY377" s="173"/>
      <c r="DZ377" s="173"/>
      <c r="EA377" s="665"/>
      <c r="EB377" s="1254" t="s">
        <v>2419</v>
      </c>
      <c r="EC377" s="537">
        <v>60000000</v>
      </c>
      <c r="EE377" s="735">
        <v>100</v>
      </c>
      <c r="EF377" s="706"/>
    </row>
    <row r="378" spans="4:136" s="302" customFormat="1" ht="89.25" hidden="1">
      <c r="D378" s="520">
        <v>375</v>
      </c>
      <c r="E378" s="534">
        <v>438</v>
      </c>
      <c r="F378" s="479" t="s">
        <v>45</v>
      </c>
      <c r="G378" s="479" t="s">
        <v>17</v>
      </c>
      <c r="H378" s="479" t="s">
        <v>2670</v>
      </c>
      <c r="I378" s="435" t="s">
        <v>2329</v>
      </c>
      <c r="J378" s="335" t="s">
        <v>925</v>
      </c>
      <c r="K378" s="335" t="s">
        <v>926</v>
      </c>
      <c r="L378" s="436" t="s">
        <v>1</v>
      </c>
      <c r="M378" s="334" t="s">
        <v>1771</v>
      </c>
      <c r="N378" s="334">
        <v>0</v>
      </c>
      <c r="O378" s="333">
        <f t="shared" si="324"/>
        <v>1</v>
      </c>
      <c r="P378" s="332">
        <v>1</v>
      </c>
      <c r="Q378" s="390">
        <v>0.16500000000000001</v>
      </c>
      <c r="R378" s="342">
        <f t="shared" si="282"/>
        <v>5.7749999999999996E-2</v>
      </c>
      <c r="S378" s="389">
        <v>0.35</v>
      </c>
      <c r="T378" s="387">
        <f t="shared" si="310"/>
        <v>0.35</v>
      </c>
      <c r="U378" s="670">
        <v>0.35</v>
      </c>
      <c r="V378" s="388">
        <f t="shared" si="311"/>
        <v>0.35</v>
      </c>
      <c r="W378" s="356">
        <f t="shared" si="312"/>
        <v>100</v>
      </c>
      <c r="X378" s="356">
        <f t="shared" si="283"/>
        <v>100</v>
      </c>
      <c r="Y378" s="356">
        <f t="shared" si="307"/>
        <v>5.7749999999999996E-2</v>
      </c>
      <c r="Z378" s="356">
        <f t="shared" si="284"/>
        <v>100</v>
      </c>
      <c r="AA378" s="355">
        <v>40000000</v>
      </c>
      <c r="AB378" s="355">
        <v>40000000</v>
      </c>
      <c r="AC378" s="355">
        <v>0</v>
      </c>
      <c r="AD378" s="355">
        <v>0</v>
      </c>
      <c r="AE378" s="355">
        <v>0</v>
      </c>
      <c r="AF378" s="355">
        <v>0</v>
      </c>
      <c r="AG378" s="355">
        <v>0</v>
      </c>
      <c r="AH378" s="355">
        <v>0</v>
      </c>
      <c r="AI378" s="355">
        <v>8000000</v>
      </c>
      <c r="AJ378" s="355">
        <v>8000000</v>
      </c>
      <c r="AK378" s="355">
        <v>0</v>
      </c>
      <c r="AL378" s="355">
        <v>0</v>
      </c>
      <c r="AM378" s="355">
        <v>0</v>
      </c>
      <c r="AN378" s="355">
        <v>0</v>
      </c>
      <c r="AO378" s="355">
        <v>0</v>
      </c>
      <c r="AP378" s="355">
        <v>0</v>
      </c>
      <c r="AQ378" s="355">
        <v>0</v>
      </c>
      <c r="AR378" s="355">
        <v>0</v>
      </c>
      <c r="AS378" s="355">
        <v>0</v>
      </c>
      <c r="AT378" s="333">
        <f t="shared" si="285"/>
        <v>3.3000000000000002E-2</v>
      </c>
      <c r="AU378" s="334">
        <v>0.2</v>
      </c>
      <c r="AV378" s="387">
        <f t="shared" si="313"/>
        <v>0.2</v>
      </c>
      <c r="AW378" s="677">
        <v>0.5</v>
      </c>
      <c r="AX378" s="366">
        <f t="shared" si="314"/>
        <v>0.5</v>
      </c>
      <c r="AY378" s="366">
        <f t="shared" si="315"/>
        <v>250</v>
      </c>
      <c r="AZ378" s="366">
        <f t="shared" si="286"/>
        <v>100</v>
      </c>
      <c r="BA378" s="354">
        <f t="shared" si="287"/>
        <v>3.3000000000000002E-2</v>
      </c>
      <c r="BB378" s="354">
        <f t="shared" si="288"/>
        <v>100</v>
      </c>
      <c r="BC378" s="353">
        <v>0</v>
      </c>
      <c r="BD378" s="353">
        <v>0</v>
      </c>
      <c r="BE378" s="353">
        <v>0</v>
      </c>
      <c r="BF378" s="353">
        <v>0</v>
      </c>
      <c r="BG378" s="353">
        <v>0</v>
      </c>
      <c r="BH378" s="353">
        <v>0</v>
      </c>
      <c r="BI378" s="353">
        <v>0</v>
      </c>
      <c r="BJ378" s="353">
        <v>0</v>
      </c>
      <c r="BK378" s="428">
        <v>24840914</v>
      </c>
      <c r="BL378" s="351">
        <v>24840914</v>
      </c>
      <c r="BM378" s="351">
        <v>0</v>
      </c>
      <c r="BN378" s="351">
        <v>0</v>
      </c>
      <c r="BO378" s="351">
        <v>0</v>
      </c>
      <c r="BP378" s="351">
        <v>0</v>
      </c>
      <c r="BQ378" s="351">
        <v>0</v>
      </c>
      <c r="BR378" s="351">
        <v>0</v>
      </c>
      <c r="BS378" s="351">
        <v>0</v>
      </c>
      <c r="BT378" s="351">
        <v>0</v>
      </c>
      <c r="BU378" s="351">
        <v>0</v>
      </c>
      <c r="BV378" s="350">
        <f t="shared" si="289"/>
        <v>3.3000000000000002E-2</v>
      </c>
      <c r="BW378" s="350">
        <v>0.2</v>
      </c>
      <c r="BX378" s="385">
        <f t="shared" si="316"/>
        <v>0.2</v>
      </c>
      <c r="BY378" s="369">
        <v>0.5</v>
      </c>
      <c r="BZ378" s="391">
        <v>5.000000074505806E-2</v>
      </c>
      <c r="CA378" s="689">
        <v>7.0000000298023224E-2</v>
      </c>
      <c r="CB378" s="324">
        <f t="shared" si="317"/>
        <v>7.0000000298023224E-2</v>
      </c>
      <c r="CC378" s="324">
        <f t="shared" si="318"/>
        <v>35.000000149011612</v>
      </c>
      <c r="CD378" s="384">
        <f t="shared" si="290"/>
        <v>35.000000149011612</v>
      </c>
      <c r="CE378" s="383">
        <f t="shared" si="291"/>
        <v>1.1550000049173831E-2</v>
      </c>
      <c r="CF378" s="367">
        <f t="shared" si="292"/>
        <v>35.000000149011612</v>
      </c>
      <c r="CG378" s="383">
        <f t="shared" si="293"/>
        <v>1.1550000049173831E-2</v>
      </c>
      <c r="CH378" s="320">
        <f t="shared" si="294"/>
        <v>4.1250000000000002E-2</v>
      </c>
      <c r="CI378" s="396">
        <v>0.25</v>
      </c>
      <c r="CJ378" s="318">
        <f t="shared" si="319"/>
        <v>0.25</v>
      </c>
      <c r="CK378" s="1259">
        <v>0.25</v>
      </c>
      <c r="CL378" s="301">
        <f t="shared" si="320"/>
        <v>0</v>
      </c>
      <c r="CM378" s="381">
        <f t="shared" si="321"/>
        <v>0.25</v>
      </c>
      <c r="CN378" s="381">
        <f t="shared" si="322"/>
        <v>100</v>
      </c>
      <c r="CO378" s="316">
        <f t="shared" si="295"/>
        <v>100</v>
      </c>
      <c r="CP378" s="381">
        <f t="shared" si="296"/>
        <v>4.1250000000000002E-2</v>
      </c>
      <c r="CQ378" s="381">
        <f t="shared" si="297"/>
        <v>4.1250000000000002E-2</v>
      </c>
      <c r="CR378" s="313">
        <v>0</v>
      </c>
      <c r="CS378" s="313">
        <v>0</v>
      </c>
      <c r="CT378" s="313">
        <v>0</v>
      </c>
      <c r="CU378" s="313">
        <v>0</v>
      </c>
      <c r="CV378" s="313">
        <v>0</v>
      </c>
      <c r="CW378" s="313">
        <v>0</v>
      </c>
      <c r="CX378" s="313">
        <v>0</v>
      </c>
      <c r="CY378" s="313">
        <v>0</v>
      </c>
      <c r="CZ378" s="380">
        <v>0</v>
      </c>
      <c r="DA378" s="380">
        <v>0</v>
      </c>
      <c r="DB378" s="380">
        <v>0</v>
      </c>
      <c r="DC378" s="380">
        <v>0</v>
      </c>
      <c r="DD378" s="380">
        <v>0</v>
      </c>
      <c r="DE378" s="380">
        <v>0</v>
      </c>
      <c r="DF378" s="380">
        <v>0</v>
      </c>
      <c r="DG378" s="380">
        <v>0</v>
      </c>
      <c r="DH378" s="380">
        <v>0</v>
      </c>
      <c r="DI378" s="380">
        <v>0</v>
      </c>
      <c r="DJ378" s="380">
        <v>0</v>
      </c>
      <c r="DK378" s="702">
        <f t="shared" si="323"/>
        <v>1.1700000002980233</v>
      </c>
      <c r="DL378" s="311">
        <f t="shared" si="298"/>
        <v>0.16500000000000001</v>
      </c>
      <c r="DM378" s="310">
        <f t="shared" si="299"/>
        <v>117.00000002980234</v>
      </c>
      <c r="DN378" s="356">
        <f t="shared" si="300"/>
        <v>100</v>
      </c>
      <c r="DO378" s="308">
        <f t="shared" si="301"/>
        <v>0.16500000000000001</v>
      </c>
      <c r="DP378" s="359">
        <f t="shared" si="325"/>
        <v>0.16500000000000001</v>
      </c>
      <c r="DQ378" s="306">
        <f t="shared" si="302"/>
        <v>0.16500000000000001</v>
      </c>
      <c r="DR378" s="379">
        <f t="shared" si="303"/>
        <v>1</v>
      </c>
      <c r="DS378" s="378">
        <f t="shared" si="304"/>
        <v>0</v>
      </c>
      <c r="DT378" s="173">
        <v>434</v>
      </c>
      <c r="DU378" s="174" t="s">
        <v>103</v>
      </c>
      <c r="DV378" s="173"/>
      <c r="DW378" s="174" t="s">
        <v>84</v>
      </c>
      <c r="DX378" s="173"/>
      <c r="DY378" s="173"/>
      <c r="DZ378" s="173"/>
      <c r="EA378" s="665"/>
      <c r="EB378" s="1254" t="s">
        <v>2585</v>
      </c>
      <c r="EC378" s="537">
        <v>32500000</v>
      </c>
      <c r="EE378" s="735">
        <v>50</v>
      </c>
      <c r="EF378" s="706"/>
    </row>
    <row r="379" spans="4:136" s="302" customFormat="1" ht="76.5" hidden="1">
      <c r="D379" s="520">
        <v>376</v>
      </c>
      <c r="E379" s="534">
        <v>439</v>
      </c>
      <c r="F379" s="479" t="s">
        <v>45</v>
      </c>
      <c r="G379" s="479" t="s">
        <v>17</v>
      </c>
      <c r="H379" s="479" t="s">
        <v>2670</v>
      </c>
      <c r="I379" s="435" t="s">
        <v>927</v>
      </c>
      <c r="J379" s="335" t="s">
        <v>928</v>
      </c>
      <c r="K379" s="335" t="s">
        <v>929</v>
      </c>
      <c r="L379" s="436" t="s">
        <v>1879</v>
      </c>
      <c r="M379" s="334" t="s">
        <v>1771</v>
      </c>
      <c r="N379" s="334">
        <v>0</v>
      </c>
      <c r="O379" s="333">
        <f t="shared" si="324"/>
        <v>50</v>
      </c>
      <c r="P379" s="332">
        <v>50</v>
      </c>
      <c r="Q379" s="390">
        <v>0.16500000000000001</v>
      </c>
      <c r="R379" s="342">
        <f t="shared" si="282"/>
        <v>3.3000000000000002E-2</v>
      </c>
      <c r="S379" s="389">
        <v>10</v>
      </c>
      <c r="T379" s="387">
        <f t="shared" si="310"/>
        <v>0.2</v>
      </c>
      <c r="U379" s="670">
        <v>2</v>
      </c>
      <c r="V379" s="388">
        <f t="shared" si="311"/>
        <v>2</v>
      </c>
      <c r="W379" s="356">
        <f t="shared" si="312"/>
        <v>20</v>
      </c>
      <c r="X379" s="356">
        <f t="shared" si="283"/>
        <v>20</v>
      </c>
      <c r="Y379" s="356">
        <f t="shared" si="307"/>
        <v>6.6E-3</v>
      </c>
      <c r="Z379" s="356">
        <f t="shared" si="284"/>
        <v>20</v>
      </c>
      <c r="AA379" s="355">
        <v>0</v>
      </c>
      <c r="AB379" s="355">
        <v>0</v>
      </c>
      <c r="AC379" s="355">
        <v>0</v>
      </c>
      <c r="AD379" s="355">
        <v>0</v>
      </c>
      <c r="AE379" s="355">
        <v>0</v>
      </c>
      <c r="AF379" s="355">
        <v>0</v>
      </c>
      <c r="AG379" s="355">
        <v>0</v>
      </c>
      <c r="AH379" s="355">
        <v>0</v>
      </c>
      <c r="AI379" s="355">
        <v>0</v>
      </c>
      <c r="AJ379" s="355">
        <v>0</v>
      </c>
      <c r="AK379" s="355">
        <v>0</v>
      </c>
      <c r="AL379" s="355">
        <v>0</v>
      </c>
      <c r="AM379" s="355">
        <v>0</v>
      </c>
      <c r="AN379" s="355">
        <v>0</v>
      </c>
      <c r="AO379" s="355">
        <v>0</v>
      </c>
      <c r="AP379" s="355">
        <v>0</v>
      </c>
      <c r="AQ379" s="355">
        <v>0</v>
      </c>
      <c r="AR379" s="355">
        <v>0</v>
      </c>
      <c r="AS379" s="355">
        <v>0</v>
      </c>
      <c r="AT379" s="333">
        <f t="shared" si="285"/>
        <v>6.6000000000000003E-2</v>
      </c>
      <c r="AU379" s="334">
        <v>20</v>
      </c>
      <c r="AV379" s="387">
        <f t="shared" si="313"/>
        <v>0.4</v>
      </c>
      <c r="AW379" s="677">
        <v>0</v>
      </c>
      <c r="AX379" s="366">
        <f t="shared" si="314"/>
        <v>0</v>
      </c>
      <c r="AY379" s="366">
        <f t="shared" si="315"/>
        <v>0</v>
      </c>
      <c r="AZ379" s="366">
        <f t="shared" si="286"/>
        <v>0</v>
      </c>
      <c r="BA379" s="354">
        <f t="shared" si="287"/>
        <v>0</v>
      </c>
      <c r="BB379" s="354">
        <f t="shared" si="288"/>
        <v>0</v>
      </c>
      <c r="BC379" s="353">
        <v>0</v>
      </c>
      <c r="BD379" s="353">
        <v>0</v>
      </c>
      <c r="BE379" s="353">
        <v>0</v>
      </c>
      <c r="BF379" s="353">
        <v>0</v>
      </c>
      <c r="BG379" s="353">
        <v>0</v>
      </c>
      <c r="BH379" s="353">
        <v>0</v>
      </c>
      <c r="BI379" s="353">
        <v>0</v>
      </c>
      <c r="BJ379" s="353">
        <v>0</v>
      </c>
      <c r="BK379" s="428">
        <v>0</v>
      </c>
      <c r="BL379" s="351">
        <v>0</v>
      </c>
      <c r="BM379" s="351">
        <v>0</v>
      </c>
      <c r="BN379" s="351">
        <v>0</v>
      </c>
      <c r="BO379" s="351">
        <v>0</v>
      </c>
      <c r="BP379" s="351">
        <v>0</v>
      </c>
      <c r="BQ379" s="351">
        <v>0</v>
      </c>
      <c r="BR379" s="351">
        <v>0</v>
      </c>
      <c r="BS379" s="351">
        <v>0</v>
      </c>
      <c r="BT379" s="351">
        <v>0</v>
      </c>
      <c r="BU379" s="351">
        <v>0</v>
      </c>
      <c r="BV379" s="350">
        <f t="shared" si="289"/>
        <v>3.3000000000000002E-2</v>
      </c>
      <c r="BW379" s="350">
        <v>10</v>
      </c>
      <c r="BX379" s="385">
        <f t="shared" si="316"/>
        <v>0.2</v>
      </c>
      <c r="BY379" s="369">
        <v>0</v>
      </c>
      <c r="BZ379" s="391">
        <v>28</v>
      </c>
      <c r="CA379" s="689">
        <v>48</v>
      </c>
      <c r="CB379" s="324">
        <f t="shared" si="317"/>
        <v>48</v>
      </c>
      <c r="CC379" s="324">
        <f t="shared" si="318"/>
        <v>480</v>
      </c>
      <c r="CD379" s="384">
        <f t="shared" si="290"/>
        <v>100</v>
      </c>
      <c r="CE379" s="383">
        <f t="shared" si="291"/>
        <v>3.3000000000000002E-2</v>
      </c>
      <c r="CF379" s="367">
        <f t="shared" si="292"/>
        <v>100</v>
      </c>
      <c r="CG379" s="383">
        <f t="shared" si="293"/>
        <v>0.15839999999999999</v>
      </c>
      <c r="CH379" s="320">
        <f t="shared" si="294"/>
        <v>3.3000000000000002E-2</v>
      </c>
      <c r="CI379" s="319">
        <v>10</v>
      </c>
      <c r="CJ379" s="318">
        <f t="shared" si="319"/>
        <v>0.2</v>
      </c>
      <c r="CK379" s="1259">
        <v>10</v>
      </c>
      <c r="CL379" s="301">
        <f t="shared" si="320"/>
        <v>0</v>
      </c>
      <c r="CM379" s="381">
        <f t="shared" si="321"/>
        <v>10</v>
      </c>
      <c r="CN379" s="381">
        <f t="shared" si="322"/>
        <v>100</v>
      </c>
      <c r="CO379" s="316">
        <f t="shared" si="295"/>
        <v>100</v>
      </c>
      <c r="CP379" s="381">
        <f t="shared" si="296"/>
        <v>3.3000000000000002E-2</v>
      </c>
      <c r="CQ379" s="381">
        <f t="shared" si="297"/>
        <v>3.3000000000000002E-2</v>
      </c>
      <c r="CR379" s="313">
        <v>0</v>
      </c>
      <c r="CS379" s="313">
        <v>0</v>
      </c>
      <c r="CT379" s="313">
        <v>0</v>
      </c>
      <c r="CU379" s="313">
        <v>0</v>
      </c>
      <c r="CV379" s="313">
        <v>0</v>
      </c>
      <c r="CW379" s="313">
        <v>0</v>
      </c>
      <c r="CX379" s="313">
        <v>0</v>
      </c>
      <c r="CY379" s="313">
        <v>0</v>
      </c>
      <c r="CZ379" s="380">
        <v>0</v>
      </c>
      <c r="DA379" s="380">
        <v>0</v>
      </c>
      <c r="DB379" s="380">
        <v>0</v>
      </c>
      <c r="DC379" s="380">
        <v>0</v>
      </c>
      <c r="DD379" s="380">
        <v>0</v>
      </c>
      <c r="DE379" s="380">
        <v>0</v>
      </c>
      <c r="DF379" s="380">
        <v>0</v>
      </c>
      <c r="DG379" s="380">
        <v>0</v>
      </c>
      <c r="DH379" s="380">
        <v>0</v>
      </c>
      <c r="DI379" s="380">
        <v>0</v>
      </c>
      <c r="DJ379" s="380">
        <v>0</v>
      </c>
      <c r="DK379" s="702">
        <f t="shared" si="323"/>
        <v>60</v>
      </c>
      <c r="DL379" s="311">
        <f t="shared" si="298"/>
        <v>0.16500000000000001</v>
      </c>
      <c r="DM379" s="310">
        <f t="shared" si="299"/>
        <v>120</v>
      </c>
      <c r="DN379" s="356">
        <f t="shared" si="300"/>
        <v>100</v>
      </c>
      <c r="DO379" s="308">
        <f t="shared" si="301"/>
        <v>0.16500000000000001</v>
      </c>
      <c r="DP379" s="359">
        <f t="shared" si="325"/>
        <v>0.16500000000000001</v>
      </c>
      <c r="DQ379" s="306">
        <f t="shared" si="302"/>
        <v>0.16500000000000001</v>
      </c>
      <c r="DR379" s="379">
        <f t="shared" si="303"/>
        <v>1</v>
      </c>
      <c r="DS379" s="378">
        <f t="shared" si="304"/>
        <v>0</v>
      </c>
      <c r="DT379" s="173">
        <v>434</v>
      </c>
      <c r="DU379" s="174" t="s">
        <v>103</v>
      </c>
      <c r="DV379" s="173"/>
      <c r="DW379" s="174" t="s">
        <v>84</v>
      </c>
      <c r="DX379" s="173"/>
      <c r="DY379" s="173"/>
      <c r="DZ379" s="173"/>
      <c r="EA379" s="665"/>
      <c r="EB379" s="1254" t="s">
        <v>2420</v>
      </c>
      <c r="EC379" s="537">
        <v>2021000000</v>
      </c>
      <c r="EE379" s="740">
        <v>100</v>
      </c>
      <c r="EF379" s="706"/>
    </row>
    <row r="380" spans="4:136" s="302" customFormat="1" ht="96" hidden="1">
      <c r="D380" s="520">
        <v>377</v>
      </c>
      <c r="E380" s="534">
        <v>443</v>
      </c>
      <c r="F380" s="479" t="s">
        <v>45</v>
      </c>
      <c r="G380" s="479" t="s">
        <v>21</v>
      </c>
      <c r="H380" s="479" t="s">
        <v>2670</v>
      </c>
      <c r="I380" s="435" t="s">
        <v>930</v>
      </c>
      <c r="J380" s="335" t="s">
        <v>931</v>
      </c>
      <c r="K380" s="335" t="s">
        <v>932</v>
      </c>
      <c r="L380" s="434" t="s">
        <v>1816</v>
      </c>
      <c r="M380" s="334" t="s">
        <v>1771</v>
      </c>
      <c r="N380" s="337">
        <v>0</v>
      </c>
      <c r="O380" s="333">
        <f t="shared" si="324"/>
        <v>9</v>
      </c>
      <c r="P380" s="422">
        <v>9</v>
      </c>
      <c r="Q380" s="390">
        <v>0.25</v>
      </c>
      <c r="R380" s="342">
        <f t="shared" si="282"/>
        <v>2.7777777777777776E-2</v>
      </c>
      <c r="S380" s="417">
        <v>1</v>
      </c>
      <c r="T380" s="387">
        <f t="shared" si="310"/>
        <v>0.1111111111111111</v>
      </c>
      <c r="U380" s="673">
        <v>2</v>
      </c>
      <c r="V380" s="388">
        <f t="shared" si="311"/>
        <v>2</v>
      </c>
      <c r="W380" s="356">
        <f t="shared" si="312"/>
        <v>200</v>
      </c>
      <c r="X380" s="356">
        <f t="shared" si="283"/>
        <v>100</v>
      </c>
      <c r="Y380" s="356">
        <f t="shared" si="307"/>
        <v>2.7777777777777776E-2</v>
      </c>
      <c r="Z380" s="356">
        <f t="shared" si="284"/>
        <v>100</v>
      </c>
      <c r="AA380" s="413">
        <v>882000000</v>
      </c>
      <c r="AB380" s="413">
        <v>432000000</v>
      </c>
      <c r="AC380" s="413">
        <v>0</v>
      </c>
      <c r="AD380" s="413">
        <v>300000000</v>
      </c>
      <c r="AE380" s="413">
        <v>0</v>
      </c>
      <c r="AF380" s="413">
        <v>0</v>
      </c>
      <c r="AG380" s="413">
        <v>0</v>
      </c>
      <c r="AH380" s="413">
        <v>150000000</v>
      </c>
      <c r="AI380" s="413">
        <v>604825000</v>
      </c>
      <c r="AJ380" s="413">
        <v>432964000</v>
      </c>
      <c r="AK380" s="413">
        <v>0</v>
      </c>
      <c r="AL380" s="413">
        <v>171861000</v>
      </c>
      <c r="AM380" s="413">
        <v>0</v>
      </c>
      <c r="AN380" s="413">
        <v>0</v>
      </c>
      <c r="AO380" s="413">
        <v>0</v>
      </c>
      <c r="AP380" s="413">
        <v>0</v>
      </c>
      <c r="AQ380" s="413">
        <v>0</v>
      </c>
      <c r="AR380" s="413">
        <v>0</v>
      </c>
      <c r="AS380" s="413">
        <v>0</v>
      </c>
      <c r="AT380" s="333">
        <f t="shared" si="285"/>
        <v>5.5555555555555552E-2</v>
      </c>
      <c r="AU380" s="334">
        <v>2</v>
      </c>
      <c r="AV380" s="387">
        <f t="shared" si="313"/>
        <v>0.22222222222222221</v>
      </c>
      <c r="AW380" s="677">
        <v>2</v>
      </c>
      <c r="AX380" s="366">
        <f t="shared" si="314"/>
        <v>2</v>
      </c>
      <c r="AY380" s="366">
        <f t="shared" si="315"/>
        <v>100</v>
      </c>
      <c r="AZ380" s="366">
        <f t="shared" si="286"/>
        <v>100</v>
      </c>
      <c r="BA380" s="354">
        <f t="shared" si="287"/>
        <v>5.5555555555555552E-2</v>
      </c>
      <c r="BB380" s="354">
        <f t="shared" si="288"/>
        <v>100</v>
      </c>
      <c r="BC380" s="353">
        <v>500000000</v>
      </c>
      <c r="BD380" s="353">
        <v>0</v>
      </c>
      <c r="BE380" s="353">
        <v>500000000</v>
      </c>
      <c r="BF380" s="353">
        <v>0</v>
      </c>
      <c r="BG380" s="353">
        <v>0</v>
      </c>
      <c r="BH380" s="353">
        <v>0</v>
      </c>
      <c r="BI380" s="353">
        <v>0</v>
      </c>
      <c r="BJ380" s="353">
        <v>0</v>
      </c>
      <c r="BK380" s="428">
        <v>500000000</v>
      </c>
      <c r="BL380" s="351">
        <v>500000000</v>
      </c>
      <c r="BM380" s="351">
        <v>0</v>
      </c>
      <c r="BN380" s="351">
        <v>0</v>
      </c>
      <c r="BO380" s="351">
        <v>0</v>
      </c>
      <c r="BP380" s="351">
        <v>0</v>
      </c>
      <c r="BQ380" s="351">
        <v>0</v>
      </c>
      <c r="BR380" s="351">
        <v>0</v>
      </c>
      <c r="BS380" s="351">
        <v>0</v>
      </c>
      <c r="BT380" s="351">
        <v>500000000</v>
      </c>
      <c r="BU380" s="351">
        <v>0</v>
      </c>
      <c r="BV380" s="350">
        <f t="shared" si="289"/>
        <v>8.3333333333333329E-2</v>
      </c>
      <c r="BW380" s="350">
        <v>3</v>
      </c>
      <c r="BX380" s="385">
        <f t="shared" si="316"/>
        <v>0.33333333333333331</v>
      </c>
      <c r="BY380" s="369">
        <v>0</v>
      </c>
      <c r="BZ380" s="391">
        <v>0</v>
      </c>
      <c r="CA380" s="689">
        <v>1</v>
      </c>
      <c r="CB380" s="324">
        <f t="shared" si="317"/>
        <v>1</v>
      </c>
      <c r="CC380" s="324">
        <f t="shared" si="318"/>
        <v>33.333333333333336</v>
      </c>
      <c r="CD380" s="384">
        <f t="shared" si="290"/>
        <v>33.333333333333336</v>
      </c>
      <c r="CE380" s="383">
        <f t="shared" si="291"/>
        <v>2.7777777777777776E-2</v>
      </c>
      <c r="CF380" s="367">
        <f t="shared" si="292"/>
        <v>33.333333333333336</v>
      </c>
      <c r="CG380" s="383">
        <f t="shared" si="293"/>
        <v>2.7777777777777776E-2</v>
      </c>
      <c r="CH380" s="320">
        <f t="shared" si="294"/>
        <v>8.3333333333333329E-2</v>
      </c>
      <c r="CI380" s="319">
        <v>3</v>
      </c>
      <c r="CJ380" s="318">
        <f t="shared" si="319"/>
        <v>0.33333333333333331</v>
      </c>
      <c r="CK380" s="1259">
        <v>4</v>
      </c>
      <c r="CL380" s="301">
        <f t="shared" si="320"/>
        <v>-1</v>
      </c>
      <c r="CM380" s="381">
        <f t="shared" si="321"/>
        <v>4</v>
      </c>
      <c r="CN380" s="381">
        <f t="shared" si="322"/>
        <v>133.33333333333334</v>
      </c>
      <c r="CO380" s="316">
        <f t="shared" si="295"/>
        <v>100</v>
      </c>
      <c r="CP380" s="381">
        <f t="shared" si="296"/>
        <v>8.3333333333333315E-2</v>
      </c>
      <c r="CQ380" s="381">
        <f t="shared" si="297"/>
        <v>0.1111111111111111</v>
      </c>
      <c r="CR380" s="313">
        <v>1000000000</v>
      </c>
      <c r="CS380" s="313">
        <v>1000000000</v>
      </c>
      <c r="CT380" s="313">
        <v>0</v>
      </c>
      <c r="CU380" s="313">
        <v>0</v>
      </c>
      <c r="CV380" s="313">
        <v>0</v>
      </c>
      <c r="CW380" s="313">
        <v>0</v>
      </c>
      <c r="CX380" s="313">
        <v>0</v>
      </c>
      <c r="CY380" s="313">
        <v>0</v>
      </c>
      <c r="CZ380" s="380">
        <v>0</v>
      </c>
      <c r="DA380" s="380">
        <v>0</v>
      </c>
      <c r="DB380" s="380">
        <v>0</v>
      </c>
      <c r="DC380" s="380">
        <v>0</v>
      </c>
      <c r="DD380" s="380">
        <v>0</v>
      </c>
      <c r="DE380" s="380">
        <v>0</v>
      </c>
      <c r="DF380" s="380">
        <v>0</v>
      </c>
      <c r="DG380" s="380">
        <v>0</v>
      </c>
      <c r="DH380" s="380">
        <v>0</v>
      </c>
      <c r="DI380" s="380">
        <v>0</v>
      </c>
      <c r="DJ380" s="380">
        <v>0</v>
      </c>
      <c r="DK380" s="702">
        <f t="shared" si="323"/>
        <v>9</v>
      </c>
      <c r="DL380" s="311">
        <f t="shared" si="298"/>
        <v>0.25</v>
      </c>
      <c r="DM380" s="310">
        <f t="shared" si="299"/>
        <v>100</v>
      </c>
      <c r="DN380" s="356">
        <f t="shared" si="300"/>
        <v>100</v>
      </c>
      <c r="DO380" s="308">
        <f t="shared" si="301"/>
        <v>0.25</v>
      </c>
      <c r="DP380" s="359">
        <f t="shared" si="325"/>
        <v>0.25</v>
      </c>
      <c r="DQ380" s="306">
        <f t="shared" si="302"/>
        <v>0.25</v>
      </c>
      <c r="DR380" s="379">
        <f t="shared" si="303"/>
        <v>1</v>
      </c>
      <c r="DS380" s="378">
        <f t="shared" si="304"/>
        <v>0</v>
      </c>
      <c r="DT380" s="173">
        <v>440</v>
      </c>
      <c r="DU380" s="174" t="s">
        <v>933</v>
      </c>
      <c r="DV380" s="173"/>
      <c r="DW380" s="174" t="s">
        <v>84</v>
      </c>
      <c r="DX380" s="173"/>
      <c r="DY380" s="173"/>
      <c r="DZ380" s="173"/>
      <c r="EA380" s="665"/>
      <c r="EB380" s="1254" t="s">
        <v>2586</v>
      </c>
      <c r="EC380" s="537">
        <v>6375000000</v>
      </c>
      <c r="EE380" s="740">
        <v>0.25</v>
      </c>
      <c r="EF380" s="706"/>
    </row>
    <row r="381" spans="4:136" s="302" customFormat="1" ht="96" hidden="1">
      <c r="D381" s="520">
        <v>378</v>
      </c>
      <c r="E381" s="534">
        <v>444</v>
      </c>
      <c r="F381" s="336" t="s">
        <v>45</v>
      </c>
      <c r="G381" s="336" t="s">
        <v>21</v>
      </c>
      <c r="H381" s="336" t="s">
        <v>2671</v>
      </c>
      <c r="I381" s="336" t="s">
        <v>930</v>
      </c>
      <c r="J381" s="335" t="s">
        <v>1291</v>
      </c>
      <c r="K381" s="335" t="s">
        <v>934</v>
      </c>
      <c r="L381" s="434" t="s">
        <v>1878</v>
      </c>
      <c r="M381" s="337" t="s">
        <v>1771</v>
      </c>
      <c r="N381" s="337">
        <v>346</v>
      </c>
      <c r="O381" s="333">
        <f t="shared" si="324"/>
        <v>946</v>
      </c>
      <c r="P381" s="422">
        <v>600</v>
      </c>
      <c r="Q381" s="393">
        <v>0.16500000000000001</v>
      </c>
      <c r="R381" s="342">
        <f t="shared" si="282"/>
        <v>1.925E-2</v>
      </c>
      <c r="S381" s="417">
        <v>70</v>
      </c>
      <c r="T381" s="387">
        <f t="shared" si="310"/>
        <v>0.11666666666666667</v>
      </c>
      <c r="U381" s="673">
        <v>155</v>
      </c>
      <c r="V381" s="388">
        <f t="shared" si="311"/>
        <v>155</v>
      </c>
      <c r="W381" s="356">
        <f t="shared" si="312"/>
        <v>221.42857142857142</v>
      </c>
      <c r="X381" s="356">
        <f t="shared" si="283"/>
        <v>100</v>
      </c>
      <c r="Y381" s="356">
        <f t="shared" si="307"/>
        <v>1.925E-2</v>
      </c>
      <c r="Z381" s="356">
        <f t="shared" si="284"/>
        <v>100</v>
      </c>
      <c r="AA381" s="413">
        <v>55000000</v>
      </c>
      <c r="AB381" s="413">
        <v>25000000</v>
      </c>
      <c r="AC381" s="413">
        <v>0</v>
      </c>
      <c r="AD381" s="413">
        <v>0</v>
      </c>
      <c r="AE381" s="413">
        <v>0</v>
      </c>
      <c r="AF381" s="413">
        <v>0</v>
      </c>
      <c r="AG381" s="413">
        <v>0</v>
      </c>
      <c r="AH381" s="413">
        <v>30000000</v>
      </c>
      <c r="AI381" s="413">
        <v>50000000</v>
      </c>
      <c r="AJ381" s="413">
        <v>0</v>
      </c>
      <c r="AK381" s="413">
        <v>0</v>
      </c>
      <c r="AL381" s="413">
        <v>0</v>
      </c>
      <c r="AM381" s="413">
        <v>0</v>
      </c>
      <c r="AN381" s="413">
        <v>0</v>
      </c>
      <c r="AO381" s="413">
        <v>0</v>
      </c>
      <c r="AP381" s="413">
        <v>50000000</v>
      </c>
      <c r="AQ381" s="413">
        <v>0</v>
      </c>
      <c r="AR381" s="413">
        <v>0</v>
      </c>
      <c r="AS381" s="413">
        <v>0</v>
      </c>
      <c r="AT381" s="392">
        <f t="shared" si="285"/>
        <v>3.5750000000000004E-2</v>
      </c>
      <c r="AU381" s="334">
        <v>130</v>
      </c>
      <c r="AV381" s="387">
        <f t="shared" si="313"/>
        <v>0.21666666666666667</v>
      </c>
      <c r="AW381" s="677">
        <v>134</v>
      </c>
      <c r="AX381" s="366">
        <f t="shared" si="314"/>
        <v>134</v>
      </c>
      <c r="AY381" s="366">
        <f t="shared" si="315"/>
        <v>103.07692307692308</v>
      </c>
      <c r="AZ381" s="366">
        <f t="shared" si="286"/>
        <v>100</v>
      </c>
      <c r="BA381" s="354">
        <f t="shared" si="287"/>
        <v>3.5750000000000004E-2</v>
      </c>
      <c r="BB381" s="354">
        <f t="shared" si="288"/>
        <v>100</v>
      </c>
      <c r="BC381" s="353">
        <v>169000000</v>
      </c>
      <c r="BD381" s="353">
        <v>0</v>
      </c>
      <c r="BE381" s="353">
        <v>169000000</v>
      </c>
      <c r="BF381" s="353">
        <v>0</v>
      </c>
      <c r="BG381" s="353">
        <v>0</v>
      </c>
      <c r="BH381" s="353">
        <v>0</v>
      </c>
      <c r="BI381" s="353">
        <v>0</v>
      </c>
      <c r="BJ381" s="353">
        <v>0</v>
      </c>
      <c r="BK381" s="428">
        <v>48000000</v>
      </c>
      <c r="BL381" s="351">
        <v>48000000</v>
      </c>
      <c r="BM381" s="351">
        <v>0</v>
      </c>
      <c r="BN381" s="351">
        <v>0</v>
      </c>
      <c r="BO381" s="351">
        <v>0</v>
      </c>
      <c r="BP381" s="351">
        <v>0</v>
      </c>
      <c r="BQ381" s="351">
        <v>0</v>
      </c>
      <c r="BR381" s="351">
        <v>0</v>
      </c>
      <c r="BS381" s="351">
        <v>0</v>
      </c>
      <c r="BT381" s="351">
        <v>48000000</v>
      </c>
      <c r="BU381" s="351">
        <v>0</v>
      </c>
      <c r="BV381" s="350">
        <f t="shared" si="289"/>
        <v>5.5E-2</v>
      </c>
      <c r="BW381" s="350">
        <v>200</v>
      </c>
      <c r="BX381" s="385">
        <f t="shared" si="316"/>
        <v>0.33333333333333331</v>
      </c>
      <c r="BY381" s="369">
        <v>81</v>
      </c>
      <c r="BZ381" s="391">
        <v>81</v>
      </c>
      <c r="CA381" s="689">
        <v>212</v>
      </c>
      <c r="CB381" s="324">
        <f t="shared" si="317"/>
        <v>212</v>
      </c>
      <c r="CC381" s="324">
        <f t="shared" si="318"/>
        <v>106</v>
      </c>
      <c r="CD381" s="384">
        <f t="shared" si="290"/>
        <v>100</v>
      </c>
      <c r="CE381" s="383">
        <f t="shared" si="291"/>
        <v>5.5E-2</v>
      </c>
      <c r="CF381" s="367">
        <f t="shared" si="292"/>
        <v>100</v>
      </c>
      <c r="CG381" s="383">
        <f t="shared" si="293"/>
        <v>5.8299999999999998E-2</v>
      </c>
      <c r="CH381" s="320">
        <f t="shared" si="294"/>
        <v>5.5E-2</v>
      </c>
      <c r="CI381" s="319">
        <v>200</v>
      </c>
      <c r="CJ381" s="318">
        <f t="shared" si="319"/>
        <v>0.33333333333333331</v>
      </c>
      <c r="CK381" s="1259">
        <v>944</v>
      </c>
      <c r="CL381" s="301">
        <f t="shared" si="320"/>
        <v>-744</v>
      </c>
      <c r="CM381" s="381">
        <f t="shared" si="321"/>
        <v>944</v>
      </c>
      <c r="CN381" s="381">
        <f t="shared" si="322"/>
        <v>472</v>
      </c>
      <c r="CO381" s="316">
        <f t="shared" si="295"/>
        <v>100</v>
      </c>
      <c r="CP381" s="381">
        <f t="shared" si="296"/>
        <v>5.5E-2</v>
      </c>
      <c r="CQ381" s="381">
        <f t="shared" si="297"/>
        <v>0.2596</v>
      </c>
      <c r="CR381" s="313">
        <v>300000000</v>
      </c>
      <c r="CS381" s="313">
        <v>300000000</v>
      </c>
      <c r="CT381" s="313">
        <v>0</v>
      </c>
      <c r="CU381" s="313">
        <v>0</v>
      </c>
      <c r="CV381" s="313">
        <v>0</v>
      </c>
      <c r="CW381" s="313">
        <v>0</v>
      </c>
      <c r="CX381" s="313">
        <v>0</v>
      </c>
      <c r="CY381" s="313">
        <v>0</v>
      </c>
      <c r="CZ381" s="380">
        <v>0</v>
      </c>
      <c r="DA381" s="380">
        <v>0</v>
      </c>
      <c r="DB381" s="380">
        <v>0</v>
      </c>
      <c r="DC381" s="380">
        <v>0</v>
      </c>
      <c r="DD381" s="380">
        <v>0</v>
      </c>
      <c r="DE381" s="380">
        <v>0</v>
      </c>
      <c r="DF381" s="380">
        <v>0</v>
      </c>
      <c r="DG381" s="380">
        <v>0</v>
      </c>
      <c r="DH381" s="380">
        <v>0</v>
      </c>
      <c r="DI381" s="380">
        <v>0</v>
      </c>
      <c r="DJ381" s="380">
        <v>0</v>
      </c>
      <c r="DK381" s="702">
        <f t="shared" si="323"/>
        <v>1445</v>
      </c>
      <c r="DL381" s="311">
        <f t="shared" si="298"/>
        <v>0.16500000000000001</v>
      </c>
      <c r="DM381" s="310">
        <f t="shared" si="299"/>
        <v>240.83333333333334</v>
      </c>
      <c r="DN381" s="356">
        <f t="shared" si="300"/>
        <v>100</v>
      </c>
      <c r="DO381" s="308">
        <f t="shared" si="301"/>
        <v>0.16500000000000001</v>
      </c>
      <c r="DP381" s="359">
        <f t="shared" si="325"/>
        <v>0.16500000000000001</v>
      </c>
      <c r="DQ381" s="306">
        <f t="shared" si="302"/>
        <v>0.16500000000000001</v>
      </c>
      <c r="DR381" s="379">
        <f t="shared" si="303"/>
        <v>1</v>
      </c>
      <c r="DS381" s="378">
        <f t="shared" si="304"/>
        <v>0</v>
      </c>
      <c r="DT381" s="173">
        <v>440</v>
      </c>
      <c r="DU381" s="174" t="s">
        <v>933</v>
      </c>
      <c r="DV381" s="173"/>
      <c r="DW381" s="174" t="s">
        <v>84</v>
      </c>
      <c r="DX381" s="173"/>
      <c r="DY381" s="173"/>
      <c r="DZ381" s="173"/>
      <c r="EA381" s="665"/>
      <c r="EB381" s="1254" t="s">
        <v>2587</v>
      </c>
      <c r="EC381" s="537">
        <v>0</v>
      </c>
      <c r="EE381" s="734">
        <v>5</v>
      </c>
      <c r="EF381" s="706"/>
    </row>
    <row r="382" spans="4:136" s="302" customFormat="1" ht="96" hidden="1">
      <c r="D382" s="520">
        <v>379</v>
      </c>
      <c r="E382" s="534">
        <v>445</v>
      </c>
      <c r="F382" s="479" t="s">
        <v>45</v>
      </c>
      <c r="G382" s="479" t="s">
        <v>21</v>
      </c>
      <c r="H382" s="479" t="s">
        <v>2671</v>
      </c>
      <c r="I382" s="435" t="s">
        <v>930</v>
      </c>
      <c r="J382" s="335" t="s">
        <v>935</v>
      </c>
      <c r="K382" s="335" t="s">
        <v>936</v>
      </c>
      <c r="L382" s="434" t="s">
        <v>1800</v>
      </c>
      <c r="M382" s="334" t="s">
        <v>1771</v>
      </c>
      <c r="N382" s="337">
        <v>0</v>
      </c>
      <c r="O382" s="333">
        <f t="shared" si="324"/>
        <v>4</v>
      </c>
      <c r="P382" s="422">
        <v>4</v>
      </c>
      <c r="Q382" s="390">
        <v>0.16500000000000001</v>
      </c>
      <c r="R382" s="342">
        <f t="shared" si="282"/>
        <v>4.1250000000000002E-2</v>
      </c>
      <c r="S382" s="417">
        <v>1</v>
      </c>
      <c r="T382" s="337">
        <f t="shared" si="310"/>
        <v>0.25</v>
      </c>
      <c r="U382" s="673">
        <v>1</v>
      </c>
      <c r="V382" s="388">
        <f t="shared" si="311"/>
        <v>1</v>
      </c>
      <c r="W382" s="356">
        <f t="shared" si="312"/>
        <v>100</v>
      </c>
      <c r="X382" s="356">
        <f t="shared" si="283"/>
        <v>100</v>
      </c>
      <c r="Y382" s="356">
        <f t="shared" si="307"/>
        <v>4.1250000000000002E-2</v>
      </c>
      <c r="Z382" s="356">
        <f t="shared" si="284"/>
        <v>100</v>
      </c>
      <c r="AA382" s="413">
        <v>130000000</v>
      </c>
      <c r="AB382" s="413">
        <v>130000000</v>
      </c>
      <c r="AC382" s="413">
        <v>0</v>
      </c>
      <c r="AD382" s="413">
        <v>0</v>
      </c>
      <c r="AE382" s="413">
        <v>0</v>
      </c>
      <c r="AF382" s="413">
        <v>0</v>
      </c>
      <c r="AG382" s="413">
        <v>0</v>
      </c>
      <c r="AH382" s="413">
        <v>0</v>
      </c>
      <c r="AI382" s="413">
        <v>135000000</v>
      </c>
      <c r="AJ382" s="413">
        <v>130000000</v>
      </c>
      <c r="AK382" s="413">
        <v>0</v>
      </c>
      <c r="AL382" s="413">
        <v>5000000</v>
      </c>
      <c r="AM382" s="413">
        <v>0</v>
      </c>
      <c r="AN382" s="413">
        <v>0</v>
      </c>
      <c r="AO382" s="413">
        <v>0</v>
      </c>
      <c r="AP382" s="413">
        <v>0</v>
      </c>
      <c r="AQ382" s="413">
        <v>0</v>
      </c>
      <c r="AR382" s="413">
        <v>0</v>
      </c>
      <c r="AS382" s="413">
        <v>0</v>
      </c>
      <c r="AT382" s="333">
        <f t="shared" si="285"/>
        <v>4.1250000000000002E-2</v>
      </c>
      <c r="AU382" s="334">
        <v>1</v>
      </c>
      <c r="AV382" s="387">
        <f t="shared" si="313"/>
        <v>0.25</v>
      </c>
      <c r="AW382" s="677">
        <v>1</v>
      </c>
      <c r="AX382" s="366">
        <f t="shared" si="314"/>
        <v>1</v>
      </c>
      <c r="AY382" s="366">
        <f t="shared" si="315"/>
        <v>100</v>
      </c>
      <c r="AZ382" s="366">
        <f t="shared" si="286"/>
        <v>100</v>
      </c>
      <c r="BA382" s="354">
        <f t="shared" si="287"/>
        <v>4.1250000000000002E-2</v>
      </c>
      <c r="BB382" s="354">
        <f t="shared" si="288"/>
        <v>100</v>
      </c>
      <c r="BC382" s="353">
        <v>0</v>
      </c>
      <c r="BD382" s="353">
        <v>0</v>
      </c>
      <c r="BE382" s="353">
        <v>0</v>
      </c>
      <c r="BF382" s="353">
        <v>0</v>
      </c>
      <c r="BG382" s="353">
        <v>0</v>
      </c>
      <c r="BH382" s="353">
        <v>0</v>
      </c>
      <c r="BI382" s="353">
        <v>0</v>
      </c>
      <c r="BJ382" s="353">
        <v>0</v>
      </c>
      <c r="BK382" s="428">
        <v>11948000</v>
      </c>
      <c r="BL382" s="351">
        <v>11948000</v>
      </c>
      <c r="BM382" s="351">
        <v>0</v>
      </c>
      <c r="BN382" s="351">
        <v>0</v>
      </c>
      <c r="BO382" s="351">
        <v>0</v>
      </c>
      <c r="BP382" s="351">
        <v>0</v>
      </c>
      <c r="BQ382" s="351">
        <v>0</v>
      </c>
      <c r="BR382" s="351">
        <v>0</v>
      </c>
      <c r="BS382" s="351">
        <v>0</v>
      </c>
      <c r="BT382" s="351">
        <v>11948000</v>
      </c>
      <c r="BU382" s="351">
        <v>0</v>
      </c>
      <c r="BV382" s="350">
        <f t="shared" si="289"/>
        <v>4.1250000000000002E-2</v>
      </c>
      <c r="BW382" s="350">
        <v>1</v>
      </c>
      <c r="BX382" s="385">
        <f t="shared" si="316"/>
        <v>0.25</v>
      </c>
      <c r="BY382" s="369">
        <v>0</v>
      </c>
      <c r="BZ382" s="391">
        <v>1</v>
      </c>
      <c r="CA382" s="689">
        <v>1</v>
      </c>
      <c r="CB382" s="324">
        <f t="shared" si="317"/>
        <v>1</v>
      </c>
      <c r="CC382" s="324">
        <f t="shared" si="318"/>
        <v>100</v>
      </c>
      <c r="CD382" s="384">
        <f t="shared" si="290"/>
        <v>100</v>
      </c>
      <c r="CE382" s="383">
        <f t="shared" si="291"/>
        <v>4.1250000000000002E-2</v>
      </c>
      <c r="CF382" s="367">
        <f t="shared" si="292"/>
        <v>100</v>
      </c>
      <c r="CG382" s="383">
        <f t="shared" si="293"/>
        <v>4.1250000000000002E-2</v>
      </c>
      <c r="CH382" s="320">
        <f t="shared" si="294"/>
        <v>4.1250000000000002E-2</v>
      </c>
      <c r="CI382" s="319">
        <v>1</v>
      </c>
      <c r="CJ382" s="318">
        <f t="shared" si="319"/>
        <v>0.25</v>
      </c>
      <c r="CK382" s="1259">
        <v>1</v>
      </c>
      <c r="CL382" s="301">
        <f t="shared" si="320"/>
        <v>0</v>
      </c>
      <c r="CM382" s="381">
        <f t="shared" si="321"/>
        <v>1</v>
      </c>
      <c r="CN382" s="381">
        <f t="shared" si="322"/>
        <v>100</v>
      </c>
      <c r="CO382" s="316">
        <f t="shared" si="295"/>
        <v>100</v>
      </c>
      <c r="CP382" s="381">
        <f t="shared" si="296"/>
        <v>4.1250000000000002E-2</v>
      </c>
      <c r="CQ382" s="381">
        <f t="shared" si="297"/>
        <v>4.1250000000000002E-2</v>
      </c>
      <c r="CR382" s="313">
        <v>0</v>
      </c>
      <c r="CS382" s="313">
        <v>0</v>
      </c>
      <c r="CT382" s="313">
        <v>0</v>
      </c>
      <c r="CU382" s="313">
        <v>0</v>
      </c>
      <c r="CV382" s="313">
        <v>0</v>
      </c>
      <c r="CW382" s="313">
        <v>0</v>
      </c>
      <c r="CX382" s="313">
        <v>0</v>
      </c>
      <c r="CY382" s="313">
        <v>0</v>
      </c>
      <c r="CZ382" s="380">
        <v>0</v>
      </c>
      <c r="DA382" s="380">
        <v>0</v>
      </c>
      <c r="DB382" s="380">
        <v>0</v>
      </c>
      <c r="DC382" s="380">
        <v>0</v>
      </c>
      <c r="DD382" s="380">
        <v>0</v>
      </c>
      <c r="DE382" s="380">
        <v>0</v>
      </c>
      <c r="DF382" s="380">
        <v>0</v>
      </c>
      <c r="DG382" s="380">
        <v>0</v>
      </c>
      <c r="DH382" s="380">
        <v>0</v>
      </c>
      <c r="DI382" s="380">
        <v>0</v>
      </c>
      <c r="DJ382" s="380">
        <v>0</v>
      </c>
      <c r="DK382" s="702">
        <f t="shared" si="323"/>
        <v>4</v>
      </c>
      <c r="DL382" s="311">
        <f t="shared" si="298"/>
        <v>0.16500000000000001</v>
      </c>
      <c r="DM382" s="310">
        <f t="shared" si="299"/>
        <v>100</v>
      </c>
      <c r="DN382" s="356">
        <f t="shared" si="300"/>
        <v>100</v>
      </c>
      <c r="DO382" s="308">
        <f t="shared" si="301"/>
        <v>0.16500000000000001</v>
      </c>
      <c r="DP382" s="359">
        <f t="shared" si="325"/>
        <v>0.16500000000000001</v>
      </c>
      <c r="DQ382" s="306">
        <f t="shared" si="302"/>
        <v>0.16500000000000001</v>
      </c>
      <c r="DR382" s="379">
        <f t="shared" si="303"/>
        <v>1</v>
      </c>
      <c r="DS382" s="378">
        <f t="shared" si="304"/>
        <v>0</v>
      </c>
      <c r="DT382" s="173">
        <v>440</v>
      </c>
      <c r="DU382" s="174" t="s">
        <v>933</v>
      </c>
      <c r="DV382" s="173"/>
      <c r="DW382" s="174" t="s">
        <v>84</v>
      </c>
      <c r="DX382" s="173"/>
      <c r="DY382" s="173"/>
      <c r="DZ382" s="173"/>
      <c r="EA382" s="665"/>
      <c r="EB382" s="1255" t="s">
        <v>2588</v>
      </c>
      <c r="EC382" s="537">
        <v>0</v>
      </c>
      <c r="EE382" s="734">
        <v>20</v>
      </c>
      <c r="EF382" s="706"/>
    </row>
    <row r="383" spans="4:136" s="302" customFormat="1" ht="96" hidden="1">
      <c r="D383" s="520">
        <v>380</v>
      </c>
      <c r="E383" s="534">
        <v>446</v>
      </c>
      <c r="F383" s="479" t="s">
        <v>45</v>
      </c>
      <c r="G383" s="479" t="s">
        <v>21</v>
      </c>
      <c r="H383" s="479" t="s">
        <v>2671</v>
      </c>
      <c r="I383" s="435" t="s">
        <v>930</v>
      </c>
      <c r="J383" s="335" t="s">
        <v>937</v>
      </c>
      <c r="K383" s="335" t="s">
        <v>938</v>
      </c>
      <c r="L383" s="434" t="s">
        <v>1864</v>
      </c>
      <c r="M383" s="334" t="s">
        <v>1771</v>
      </c>
      <c r="N383" s="337">
        <v>0</v>
      </c>
      <c r="O383" s="333">
        <f t="shared" si="324"/>
        <v>2</v>
      </c>
      <c r="P383" s="422">
        <v>2</v>
      </c>
      <c r="Q383" s="390">
        <v>0.25</v>
      </c>
      <c r="R383" s="342">
        <f t="shared" si="282"/>
        <v>0</v>
      </c>
      <c r="S383" s="417">
        <v>0</v>
      </c>
      <c r="T383" s="337">
        <f t="shared" si="310"/>
        <v>0</v>
      </c>
      <c r="U383" s="673">
        <v>0</v>
      </c>
      <c r="V383" s="388">
        <f t="shared" si="311"/>
        <v>0</v>
      </c>
      <c r="W383" s="356">
        <f t="shared" si="312"/>
        <v>0</v>
      </c>
      <c r="X383" s="356">
        <f t="shared" si="283"/>
        <v>0</v>
      </c>
      <c r="Y383" s="356">
        <f t="shared" si="307"/>
        <v>0</v>
      </c>
      <c r="Z383" s="356">
        <f t="shared" si="284"/>
        <v>0</v>
      </c>
      <c r="AA383" s="413">
        <v>0</v>
      </c>
      <c r="AB383" s="413">
        <v>0</v>
      </c>
      <c r="AC383" s="413">
        <v>0</v>
      </c>
      <c r="AD383" s="413">
        <v>0</v>
      </c>
      <c r="AE383" s="413">
        <v>0</v>
      </c>
      <c r="AF383" s="413">
        <v>0</v>
      </c>
      <c r="AG383" s="413">
        <v>0</v>
      </c>
      <c r="AH383" s="413">
        <v>0</v>
      </c>
      <c r="AI383" s="413">
        <v>0</v>
      </c>
      <c r="AJ383" s="413">
        <v>0</v>
      </c>
      <c r="AK383" s="413">
        <v>0</v>
      </c>
      <c r="AL383" s="413">
        <v>0</v>
      </c>
      <c r="AM383" s="413">
        <v>0</v>
      </c>
      <c r="AN383" s="413">
        <v>0</v>
      </c>
      <c r="AO383" s="413">
        <v>0</v>
      </c>
      <c r="AP383" s="413">
        <v>0</v>
      </c>
      <c r="AQ383" s="413">
        <v>0</v>
      </c>
      <c r="AR383" s="413">
        <v>0</v>
      </c>
      <c r="AS383" s="413">
        <v>0</v>
      </c>
      <c r="AT383" s="333">
        <f t="shared" si="285"/>
        <v>0.125</v>
      </c>
      <c r="AU383" s="334">
        <v>1</v>
      </c>
      <c r="AV383" s="387">
        <f t="shared" si="313"/>
        <v>0.5</v>
      </c>
      <c r="AW383" s="677">
        <v>1</v>
      </c>
      <c r="AX383" s="366">
        <f t="shared" si="314"/>
        <v>1</v>
      </c>
      <c r="AY383" s="366">
        <f t="shared" si="315"/>
        <v>100</v>
      </c>
      <c r="AZ383" s="366">
        <f t="shared" si="286"/>
        <v>100</v>
      </c>
      <c r="BA383" s="354">
        <f t="shared" si="287"/>
        <v>0.125</v>
      </c>
      <c r="BB383" s="354">
        <f t="shared" si="288"/>
        <v>100</v>
      </c>
      <c r="BC383" s="353">
        <v>80000000</v>
      </c>
      <c r="BD383" s="353">
        <v>0</v>
      </c>
      <c r="BE383" s="353">
        <v>80000000</v>
      </c>
      <c r="BF383" s="353">
        <v>0</v>
      </c>
      <c r="BG383" s="353">
        <v>0</v>
      </c>
      <c r="BH383" s="353">
        <v>0</v>
      </c>
      <c r="BI383" s="353">
        <v>0</v>
      </c>
      <c r="BJ383" s="353">
        <v>0</v>
      </c>
      <c r="BK383" s="428">
        <v>80000000</v>
      </c>
      <c r="BL383" s="351">
        <v>80000000</v>
      </c>
      <c r="BM383" s="351">
        <v>0</v>
      </c>
      <c r="BN383" s="351">
        <v>0</v>
      </c>
      <c r="BO383" s="351">
        <v>0</v>
      </c>
      <c r="BP383" s="351">
        <v>0</v>
      </c>
      <c r="BQ383" s="351">
        <v>0</v>
      </c>
      <c r="BR383" s="351">
        <v>0</v>
      </c>
      <c r="BS383" s="351">
        <v>0</v>
      </c>
      <c r="BT383" s="351">
        <v>80000000</v>
      </c>
      <c r="BU383" s="351">
        <v>0</v>
      </c>
      <c r="BV383" s="350">
        <f t="shared" si="289"/>
        <v>0</v>
      </c>
      <c r="BW383" s="350">
        <v>0</v>
      </c>
      <c r="BX383" s="385">
        <f t="shared" si="316"/>
        <v>0</v>
      </c>
      <c r="BY383" s="369">
        <v>0</v>
      </c>
      <c r="BZ383" s="391">
        <v>0</v>
      </c>
      <c r="CA383" s="689">
        <v>0</v>
      </c>
      <c r="CB383" s="324">
        <f t="shared" si="317"/>
        <v>0</v>
      </c>
      <c r="CC383" s="324">
        <f t="shared" si="318"/>
        <v>0</v>
      </c>
      <c r="CD383" s="384">
        <f t="shared" si="290"/>
        <v>0</v>
      </c>
      <c r="CE383" s="383">
        <f t="shared" si="291"/>
        <v>0</v>
      </c>
      <c r="CF383" s="367">
        <f t="shared" si="292"/>
        <v>0</v>
      </c>
      <c r="CG383" s="383">
        <f t="shared" si="293"/>
        <v>0</v>
      </c>
      <c r="CH383" s="320">
        <f t="shared" si="294"/>
        <v>0.125</v>
      </c>
      <c r="CI383" s="319">
        <v>1</v>
      </c>
      <c r="CJ383" s="318">
        <f t="shared" si="319"/>
        <v>0.5</v>
      </c>
      <c r="CK383" s="1259">
        <v>1</v>
      </c>
      <c r="CL383" s="301">
        <f t="shared" si="320"/>
        <v>0</v>
      </c>
      <c r="CM383" s="381">
        <f t="shared" si="321"/>
        <v>1</v>
      </c>
      <c r="CN383" s="381">
        <f t="shared" si="322"/>
        <v>100</v>
      </c>
      <c r="CO383" s="316">
        <f t="shared" si="295"/>
        <v>100</v>
      </c>
      <c r="CP383" s="381">
        <f t="shared" si="296"/>
        <v>0.125</v>
      </c>
      <c r="CQ383" s="381">
        <f t="shared" si="297"/>
        <v>0.125</v>
      </c>
      <c r="CR383" s="313">
        <v>0</v>
      </c>
      <c r="CS383" s="313">
        <v>0</v>
      </c>
      <c r="CT383" s="313">
        <v>0</v>
      </c>
      <c r="CU383" s="313">
        <v>0</v>
      </c>
      <c r="CV383" s="313">
        <v>0</v>
      </c>
      <c r="CW383" s="313">
        <v>0</v>
      </c>
      <c r="CX383" s="313">
        <v>0</v>
      </c>
      <c r="CY383" s="313">
        <v>0</v>
      </c>
      <c r="CZ383" s="380">
        <v>0</v>
      </c>
      <c r="DA383" s="380">
        <v>0</v>
      </c>
      <c r="DB383" s="380">
        <v>0</v>
      </c>
      <c r="DC383" s="380">
        <v>0</v>
      </c>
      <c r="DD383" s="380">
        <v>0</v>
      </c>
      <c r="DE383" s="380">
        <v>0</v>
      </c>
      <c r="DF383" s="380">
        <v>0</v>
      </c>
      <c r="DG383" s="380">
        <v>0</v>
      </c>
      <c r="DH383" s="380">
        <v>0</v>
      </c>
      <c r="DI383" s="380">
        <v>0</v>
      </c>
      <c r="DJ383" s="380">
        <v>0</v>
      </c>
      <c r="DK383" s="702">
        <f t="shared" si="323"/>
        <v>2</v>
      </c>
      <c r="DL383" s="311">
        <f t="shared" si="298"/>
        <v>0.25</v>
      </c>
      <c r="DM383" s="310">
        <f t="shared" si="299"/>
        <v>100</v>
      </c>
      <c r="DN383" s="356">
        <f t="shared" si="300"/>
        <v>100</v>
      </c>
      <c r="DO383" s="308">
        <f t="shared" si="301"/>
        <v>0.25</v>
      </c>
      <c r="DP383" s="359">
        <f t="shared" si="325"/>
        <v>0.25</v>
      </c>
      <c r="DQ383" s="306">
        <f t="shared" si="302"/>
        <v>0.25</v>
      </c>
      <c r="DR383" s="379">
        <f t="shared" si="303"/>
        <v>1</v>
      </c>
      <c r="DS383" s="378">
        <f t="shared" si="304"/>
        <v>0</v>
      </c>
      <c r="DT383" s="173">
        <v>440</v>
      </c>
      <c r="DU383" s="174" t="s">
        <v>933</v>
      </c>
      <c r="DV383" s="173"/>
      <c r="DW383" s="174" t="s">
        <v>84</v>
      </c>
      <c r="DX383" s="173"/>
      <c r="DY383" s="173"/>
      <c r="DZ383" s="173"/>
      <c r="EA383" s="665"/>
      <c r="EB383" s="1254" t="s">
        <v>2589</v>
      </c>
      <c r="EC383" s="537">
        <v>45000000000</v>
      </c>
      <c r="EE383" s="741">
        <v>0</v>
      </c>
      <c r="EF383" s="706"/>
    </row>
    <row r="384" spans="4:136" s="302" customFormat="1" ht="60" hidden="1">
      <c r="D384" s="520">
        <v>381</v>
      </c>
      <c r="E384" s="534">
        <v>447</v>
      </c>
      <c r="F384" s="336" t="s">
        <v>45</v>
      </c>
      <c r="G384" s="336" t="s">
        <v>21</v>
      </c>
      <c r="H384" s="338" t="s">
        <v>2671</v>
      </c>
      <c r="I384" s="336" t="s">
        <v>939</v>
      </c>
      <c r="J384" s="335" t="s">
        <v>1292</v>
      </c>
      <c r="K384" s="335" t="s">
        <v>940</v>
      </c>
      <c r="L384" s="434" t="s">
        <v>1415</v>
      </c>
      <c r="M384" s="1363" t="s">
        <v>1771</v>
      </c>
      <c r="N384" s="337">
        <v>52</v>
      </c>
      <c r="O384" s="333">
        <f t="shared" si="324"/>
        <v>92</v>
      </c>
      <c r="P384" s="422">
        <v>40</v>
      </c>
      <c r="Q384" s="393">
        <v>0.25</v>
      </c>
      <c r="R384" s="342">
        <f t="shared" si="282"/>
        <v>3.125E-2</v>
      </c>
      <c r="S384" s="1367">
        <v>5</v>
      </c>
      <c r="T384" s="337">
        <f t="shared" si="310"/>
        <v>0.125</v>
      </c>
      <c r="U384" s="673">
        <v>0</v>
      </c>
      <c r="V384" s="388">
        <f t="shared" si="311"/>
        <v>0</v>
      </c>
      <c r="W384" s="356">
        <f t="shared" si="312"/>
        <v>0</v>
      </c>
      <c r="X384" s="356">
        <f t="shared" si="283"/>
        <v>0</v>
      </c>
      <c r="Y384" s="356">
        <f t="shared" si="307"/>
        <v>0</v>
      </c>
      <c r="Z384" s="356">
        <f t="shared" si="284"/>
        <v>0</v>
      </c>
      <c r="AA384" s="413">
        <v>9822000000</v>
      </c>
      <c r="AB384" s="413">
        <v>800000000</v>
      </c>
      <c r="AC384" s="413">
        <v>0</v>
      </c>
      <c r="AD384" s="413">
        <v>0</v>
      </c>
      <c r="AE384" s="413">
        <v>0</v>
      </c>
      <c r="AF384" s="413">
        <v>0</v>
      </c>
      <c r="AG384" s="413">
        <v>0</v>
      </c>
      <c r="AH384" s="413">
        <v>9022000000</v>
      </c>
      <c r="AI384" s="413">
        <v>1738482000</v>
      </c>
      <c r="AJ384" s="413">
        <v>1130000000</v>
      </c>
      <c r="AK384" s="413">
        <v>0</v>
      </c>
      <c r="AL384" s="413">
        <v>608482000</v>
      </c>
      <c r="AM384" s="413">
        <v>0</v>
      </c>
      <c r="AN384" s="413">
        <v>0</v>
      </c>
      <c r="AO384" s="413">
        <v>0</v>
      </c>
      <c r="AP384" s="413">
        <v>0</v>
      </c>
      <c r="AQ384" s="413">
        <v>0</v>
      </c>
      <c r="AR384" s="413">
        <v>0</v>
      </c>
      <c r="AS384" s="413">
        <v>0</v>
      </c>
      <c r="AT384" s="392">
        <f t="shared" si="285"/>
        <v>1.8749999999999999E-2</v>
      </c>
      <c r="AU384" s="334">
        <v>3</v>
      </c>
      <c r="AV384" s="387">
        <f t="shared" si="313"/>
        <v>7.4999999999999997E-2</v>
      </c>
      <c r="AW384" s="677">
        <v>7</v>
      </c>
      <c r="AX384" s="366">
        <f t="shared" si="314"/>
        <v>7</v>
      </c>
      <c r="AY384" s="366">
        <f t="shared" si="315"/>
        <v>233.33333333333334</v>
      </c>
      <c r="AZ384" s="366">
        <f t="shared" si="286"/>
        <v>100</v>
      </c>
      <c r="BA384" s="354">
        <f t="shared" si="287"/>
        <v>1.8749999999999999E-2</v>
      </c>
      <c r="BB384" s="354">
        <f t="shared" si="288"/>
        <v>100</v>
      </c>
      <c r="BC384" s="353">
        <v>995000000</v>
      </c>
      <c r="BD384" s="353">
        <v>0</v>
      </c>
      <c r="BE384" s="353">
        <v>500000000</v>
      </c>
      <c r="BF384" s="353">
        <v>0</v>
      </c>
      <c r="BG384" s="353">
        <v>0</v>
      </c>
      <c r="BH384" s="353">
        <v>0</v>
      </c>
      <c r="BI384" s="353">
        <v>0</v>
      </c>
      <c r="BJ384" s="353">
        <v>495000000</v>
      </c>
      <c r="BK384" s="428">
        <v>4726602069</v>
      </c>
      <c r="BL384" s="351">
        <v>2527460043</v>
      </c>
      <c r="BM384" s="351">
        <v>0</v>
      </c>
      <c r="BN384" s="351">
        <v>0</v>
      </c>
      <c r="BO384" s="351">
        <v>0</v>
      </c>
      <c r="BP384" s="351">
        <v>2199142000</v>
      </c>
      <c r="BQ384" s="351">
        <v>0</v>
      </c>
      <c r="BR384" s="351">
        <v>26</v>
      </c>
      <c r="BS384" s="351">
        <v>0</v>
      </c>
      <c r="BT384" s="351">
        <v>4726602069</v>
      </c>
      <c r="BU384" s="351">
        <v>0</v>
      </c>
      <c r="BV384" s="350">
        <f t="shared" si="289"/>
        <v>0.13750000000000001</v>
      </c>
      <c r="BW384" s="350">
        <v>22</v>
      </c>
      <c r="BX384" s="385">
        <f t="shared" si="316"/>
        <v>0.55000000000000004</v>
      </c>
      <c r="BY384" s="369">
        <v>26</v>
      </c>
      <c r="BZ384" s="391">
        <v>2</v>
      </c>
      <c r="CA384" s="689">
        <v>30</v>
      </c>
      <c r="CB384" s="324">
        <f t="shared" si="317"/>
        <v>30</v>
      </c>
      <c r="CC384" s="324">
        <f t="shared" si="318"/>
        <v>136.36363636363637</v>
      </c>
      <c r="CD384" s="384">
        <f t="shared" si="290"/>
        <v>100</v>
      </c>
      <c r="CE384" s="383">
        <f t="shared" si="291"/>
        <v>0.13750000000000001</v>
      </c>
      <c r="CF384" s="367">
        <f t="shared" si="292"/>
        <v>100</v>
      </c>
      <c r="CG384" s="383">
        <f t="shared" si="293"/>
        <v>0.18750000000000003</v>
      </c>
      <c r="CH384" s="320">
        <f t="shared" si="294"/>
        <v>6.25E-2</v>
      </c>
      <c r="CI384" s="319">
        <v>10</v>
      </c>
      <c r="CJ384" s="318">
        <f t="shared" si="319"/>
        <v>0.25</v>
      </c>
      <c r="CK384" s="1259">
        <v>7</v>
      </c>
      <c r="CL384" s="301">
        <f t="shared" si="320"/>
        <v>3</v>
      </c>
      <c r="CM384" s="381">
        <f t="shared" si="321"/>
        <v>7</v>
      </c>
      <c r="CN384" s="381">
        <f t="shared" si="322"/>
        <v>70</v>
      </c>
      <c r="CO384" s="316">
        <f t="shared" si="295"/>
        <v>70</v>
      </c>
      <c r="CP384" s="381">
        <f t="shared" si="296"/>
        <v>4.3749999999999997E-2</v>
      </c>
      <c r="CQ384" s="381">
        <f t="shared" si="297"/>
        <v>4.3749999999999997E-2</v>
      </c>
      <c r="CR384" s="313">
        <v>2495000000</v>
      </c>
      <c r="CS384" s="313">
        <v>2000000000</v>
      </c>
      <c r="CT384" s="313">
        <v>0</v>
      </c>
      <c r="CU384" s="313">
        <v>0</v>
      </c>
      <c r="CV384" s="313">
        <v>0</v>
      </c>
      <c r="CW384" s="313">
        <v>0</v>
      </c>
      <c r="CX384" s="313">
        <v>0</v>
      </c>
      <c r="CY384" s="313">
        <v>495000000</v>
      </c>
      <c r="CZ384" s="380">
        <v>0</v>
      </c>
      <c r="DA384" s="380">
        <v>0</v>
      </c>
      <c r="DB384" s="380">
        <v>0</v>
      </c>
      <c r="DC384" s="380">
        <v>0</v>
      </c>
      <c r="DD384" s="380">
        <v>0</v>
      </c>
      <c r="DE384" s="380">
        <v>0</v>
      </c>
      <c r="DF384" s="380">
        <v>0</v>
      </c>
      <c r="DG384" s="380">
        <v>0</v>
      </c>
      <c r="DH384" s="380">
        <v>0</v>
      </c>
      <c r="DI384" s="380">
        <v>0</v>
      </c>
      <c r="DJ384" s="380">
        <v>0</v>
      </c>
      <c r="DK384" s="702">
        <f t="shared" si="323"/>
        <v>44</v>
      </c>
      <c r="DL384" s="311">
        <f t="shared" si="298"/>
        <v>0.25</v>
      </c>
      <c r="DM384" s="310">
        <f t="shared" si="299"/>
        <v>110</v>
      </c>
      <c r="DN384" s="356">
        <f t="shared" si="300"/>
        <v>100</v>
      </c>
      <c r="DO384" s="308">
        <f t="shared" si="301"/>
        <v>0.25</v>
      </c>
      <c r="DP384" s="359">
        <f t="shared" si="325"/>
        <v>0.25</v>
      </c>
      <c r="DQ384" s="306">
        <f t="shared" si="302"/>
        <v>0.25</v>
      </c>
      <c r="DR384" s="379">
        <f t="shared" si="303"/>
        <v>1</v>
      </c>
      <c r="DS384" s="378">
        <f t="shared" si="304"/>
        <v>0</v>
      </c>
      <c r="DT384" s="173">
        <v>442</v>
      </c>
      <c r="DU384" s="174" t="s">
        <v>941</v>
      </c>
      <c r="DV384" s="173"/>
      <c r="DW384" s="174" t="s">
        <v>84</v>
      </c>
      <c r="DX384" s="173"/>
      <c r="DY384" s="173"/>
      <c r="DZ384" s="173"/>
      <c r="EA384" s="665"/>
      <c r="EB384" s="1254" t="s">
        <v>2590</v>
      </c>
      <c r="EC384" s="537">
        <v>109000000</v>
      </c>
      <c r="EE384" s="737">
        <v>1</v>
      </c>
      <c r="EF384" s="706"/>
    </row>
    <row r="385" spans="4:136" s="302" customFormat="1" ht="63.75" hidden="1">
      <c r="D385" s="520">
        <v>382</v>
      </c>
      <c r="E385" s="534">
        <v>448</v>
      </c>
      <c r="F385" s="336" t="s">
        <v>45</v>
      </c>
      <c r="G385" s="336" t="s">
        <v>21</v>
      </c>
      <c r="H385" s="338" t="s">
        <v>2671</v>
      </c>
      <c r="I385" s="336" t="s">
        <v>939</v>
      </c>
      <c r="J385" s="335" t="s">
        <v>1293</v>
      </c>
      <c r="K385" s="335" t="s">
        <v>942</v>
      </c>
      <c r="L385" s="434" t="s">
        <v>1877</v>
      </c>
      <c r="M385" s="334" t="s">
        <v>1771</v>
      </c>
      <c r="N385" s="337">
        <v>0</v>
      </c>
      <c r="O385" s="333">
        <f t="shared" si="324"/>
        <v>400</v>
      </c>
      <c r="P385" s="422">
        <v>400</v>
      </c>
      <c r="Q385" s="393">
        <v>0.16500000000000001</v>
      </c>
      <c r="R385" s="342">
        <f t="shared" si="282"/>
        <v>2.0625000000000001E-2</v>
      </c>
      <c r="S385" s="1367">
        <v>50</v>
      </c>
      <c r="T385" s="337">
        <f t="shared" si="310"/>
        <v>0.125</v>
      </c>
      <c r="U385" s="673">
        <v>0</v>
      </c>
      <c r="V385" s="388">
        <f t="shared" si="311"/>
        <v>0</v>
      </c>
      <c r="W385" s="356">
        <f t="shared" si="312"/>
        <v>0</v>
      </c>
      <c r="X385" s="356">
        <f t="shared" si="283"/>
        <v>0</v>
      </c>
      <c r="Y385" s="356">
        <f t="shared" si="307"/>
        <v>0</v>
      </c>
      <c r="Z385" s="356">
        <f t="shared" si="284"/>
        <v>0</v>
      </c>
      <c r="AA385" s="413">
        <v>785000000</v>
      </c>
      <c r="AB385" s="413">
        <v>785000000</v>
      </c>
      <c r="AC385" s="413">
        <v>0</v>
      </c>
      <c r="AD385" s="413">
        <v>0</v>
      </c>
      <c r="AE385" s="413">
        <v>0</v>
      </c>
      <c r="AF385" s="413">
        <v>0</v>
      </c>
      <c r="AG385" s="413">
        <v>0</v>
      </c>
      <c r="AH385" s="413">
        <v>0</v>
      </c>
      <c r="AI385" s="413">
        <v>835160000</v>
      </c>
      <c r="AJ385" s="413">
        <v>796660000</v>
      </c>
      <c r="AK385" s="413">
        <v>0</v>
      </c>
      <c r="AL385" s="413">
        <v>38500000</v>
      </c>
      <c r="AM385" s="413">
        <v>0</v>
      </c>
      <c r="AN385" s="413">
        <v>0</v>
      </c>
      <c r="AO385" s="413">
        <v>0</v>
      </c>
      <c r="AP385" s="413">
        <v>0</v>
      </c>
      <c r="AQ385" s="413">
        <v>0</v>
      </c>
      <c r="AR385" s="413">
        <v>0</v>
      </c>
      <c r="AS385" s="413">
        <v>0</v>
      </c>
      <c r="AT385" s="392">
        <f t="shared" si="285"/>
        <v>2.0625000000000001E-2</v>
      </c>
      <c r="AU385" s="334">
        <v>50</v>
      </c>
      <c r="AV385" s="387">
        <f t="shared" si="313"/>
        <v>0.125</v>
      </c>
      <c r="AW385" s="677">
        <v>74</v>
      </c>
      <c r="AX385" s="366">
        <f t="shared" si="314"/>
        <v>74</v>
      </c>
      <c r="AY385" s="366">
        <f t="shared" si="315"/>
        <v>148</v>
      </c>
      <c r="AZ385" s="366">
        <f t="shared" si="286"/>
        <v>100</v>
      </c>
      <c r="BA385" s="354">
        <f t="shared" si="287"/>
        <v>2.0625000000000001E-2</v>
      </c>
      <c r="BB385" s="354">
        <f t="shared" si="288"/>
        <v>100</v>
      </c>
      <c r="BC385" s="353">
        <v>499000000</v>
      </c>
      <c r="BD385" s="353">
        <v>0</v>
      </c>
      <c r="BE385" s="353">
        <v>499000000</v>
      </c>
      <c r="BF385" s="353">
        <v>0</v>
      </c>
      <c r="BG385" s="353">
        <v>0</v>
      </c>
      <c r="BH385" s="353">
        <v>0</v>
      </c>
      <c r="BI385" s="353">
        <v>0</v>
      </c>
      <c r="BJ385" s="353">
        <v>0</v>
      </c>
      <c r="BK385" s="428">
        <v>1547119227</v>
      </c>
      <c r="BL385" s="351">
        <v>502000000</v>
      </c>
      <c r="BM385" s="351">
        <v>0</v>
      </c>
      <c r="BN385" s="351">
        <v>0</v>
      </c>
      <c r="BO385" s="351">
        <v>0</v>
      </c>
      <c r="BP385" s="351">
        <v>1045119227</v>
      </c>
      <c r="BQ385" s="351">
        <v>0</v>
      </c>
      <c r="BR385" s="351">
        <v>0</v>
      </c>
      <c r="BS385" s="351">
        <v>0</v>
      </c>
      <c r="BT385" s="351">
        <v>1547119227</v>
      </c>
      <c r="BU385" s="351">
        <v>0</v>
      </c>
      <c r="BV385" s="350">
        <f t="shared" si="289"/>
        <v>4.1250000000000002E-2</v>
      </c>
      <c r="BW385" s="350">
        <v>100</v>
      </c>
      <c r="BX385" s="385">
        <f t="shared" si="316"/>
        <v>0.25</v>
      </c>
      <c r="BY385" s="369">
        <v>0</v>
      </c>
      <c r="BZ385" s="391">
        <v>54</v>
      </c>
      <c r="CA385" s="689">
        <v>123</v>
      </c>
      <c r="CB385" s="324">
        <f t="shared" si="317"/>
        <v>123</v>
      </c>
      <c r="CC385" s="324">
        <f t="shared" si="318"/>
        <v>123</v>
      </c>
      <c r="CD385" s="384">
        <f t="shared" si="290"/>
        <v>100</v>
      </c>
      <c r="CE385" s="383">
        <f t="shared" si="291"/>
        <v>4.1250000000000002E-2</v>
      </c>
      <c r="CF385" s="367">
        <f t="shared" si="292"/>
        <v>100</v>
      </c>
      <c r="CG385" s="383">
        <f t="shared" si="293"/>
        <v>5.0737500000000005E-2</v>
      </c>
      <c r="CH385" s="320">
        <f t="shared" si="294"/>
        <v>8.2500000000000004E-2</v>
      </c>
      <c r="CI385" s="319">
        <v>200</v>
      </c>
      <c r="CJ385" s="318">
        <f t="shared" si="319"/>
        <v>0.5</v>
      </c>
      <c r="CK385" s="1259">
        <v>0</v>
      </c>
      <c r="CL385" s="301">
        <f t="shared" si="320"/>
        <v>200</v>
      </c>
      <c r="CM385" s="381">
        <f t="shared" si="321"/>
        <v>0</v>
      </c>
      <c r="CN385" s="381">
        <f t="shared" si="322"/>
        <v>0</v>
      </c>
      <c r="CO385" s="316">
        <f t="shared" si="295"/>
        <v>0</v>
      </c>
      <c r="CP385" s="381">
        <f t="shared" si="296"/>
        <v>0</v>
      </c>
      <c r="CQ385" s="381">
        <f t="shared" si="297"/>
        <v>0</v>
      </c>
      <c r="CR385" s="313">
        <v>529000000</v>
      </c>
      <c r="CS385" s="313">
        <v>529000000</v>
      </c>
      <c r="CT385" s="313">
        <v>0</v>
      </c>
      <c r="CU385" s="313">
        <v>0</v>
      </c>
      <c r="CV385" s="313">
        <v>0</v>
      </c>
      <c r="CW385" s="313">
        <v>0</v>
      </c>
      <c r="CX385" s="313">
        <v>0</v>
      </c>
      <c r="CY385" s="313">
        <v>0</v>
      </c>
      <c r="CZ385" s="380">
        <v>0</v>
      </c>
      <c r="DA385" s="380">
        <v>0</v>
      </c>
      <c r="DB385" s="380">
        <v>0</v>
      </c>
      <c r="DC385" s="380">
        <v>0</v>
      </c>
      <c r="DD385" s="380">
        <v>0</v>
      </c>
      <c r="DE385" s="380">
        <v>0</v>
      </c>
      <c r="DF385" s="380">
        <v>0</v>
      </c>
      <c r="DG385" s="380">
        <v>0</v>
      </c>
      <c r="DH385" s="380">
        <v>0</v>
      </c>
      <c r="DI385" s="380">
        <v>0</v>
      </c>
      <c r="DJ385" s="380">
        <v>0</v>
      </c>
      <c r="DK385" s="702">
        <f t="shared" si="323"/>
        <v>197</v>
      </c>
      <c r="DL385" s="311">
        <f t="shared" si="298"/>
        <v>0.16500000000000001</v>
      </c>
      <c r="DM385" s="310">
        <f t="shared" si="299"/>
        <v>49.25</v>
      </c>
      <c r="DN385" s="356">
        <f t="shared" si="300"/>
        <v>49.25</v>
      </c>
      <c r="DO385" s="308">
        <f t="shared" si="301"/>
        <v>8.1262500000000001E-2</v>
      </c>
      <c r="DP385" s="359">
        <f t="shared" si="325"/>
        <v>8.1262500000000001E-2</v>
      </c>
      <c r="DQ385" s="306">
        <f t="shared" si="302"/>
        <v>8.1262500000000001E-2</v>
      </c>
      <c r="DR385" s="379">
        <f t="shared" si="303"/>
        <v>1</v>
      </c>
      <c r="DS385" s="378">
        <f t="shared" si="304"/>
        <v>0</v>
      </c>
      <c r="DT385" s="173">
        <v>441</v>
      </c>
      <c r="DU385" s="174" t="s">
        <v>943</v>
      </c>
      <c r="DV385" s="173"/>
      <c r="DW385" s="174" t="s">
        <v>84</v>
      </c>
      <c r="DX385" s="173"/>
      <c r="DY385" s="173"/>
      <c r="DZ385" s="173"/>
      <c r="EA385" s="665"/>
      <c r="EB385" s="1254" t="s">
        <v>2591</v>
      </c>
      <c r="EC385" s="537">
        <v>100000000</v>
      </c>
      <c r="EE385" s="737">
        <v>1</v>
      </c>
      <c r="EF385" s="706"/>
    </row>
    <row r="386" spans="4:136" s="302" customFormat="1" ht="96" hidden="1">
      <c r="D386" s="520">
        <v>383</v>
      </c>
      <c r="E386" s="534">
        <v>451</v>
      </c>
      <c r="F386" s="479" t="s">
        <v>45</v>
      </c>
      <c r="G386" s="479" t="s">
        <v>15</v>
      </c>
      <c r="H386" s="527" t="s">
        <v>2672</v>
      </c>
      <c r="I386" s="435" t="s">
        <v>944</v>
      </c>
      <c r="J386" s="335" t="s">
        <v>945</v>
      </c>
      <c r="K386" s="335" t="s">
        <v>946</v>
      </c>
      <c r="L386" s="436" t="s">
        <v>1876</v>
      </c>
      <c r="M386" s="330" t="s">
        <v>1771</v>
      </c>
      <c r="N386" s="337">
        <v>1751</v>
      </c>
      <c r="O386" s="333">
        <f t="shared" si="324"/>
        <v>2001</v>
      </c>
      <c r="P386" s="422">
        <v>250</v>
      </c>
      <c r="Q386" s="390">
        <v>0.33</v>
      </c>
      <c r="R386" s="342">
        <f t="shared" si="282"/>
        <v>3.3000000000000002E-2</v>
      </c>
      <c r="S386" s="1367">
        <v>25</v>
      </c>
      <c r="T386" s="337">
        <f t="shared" si="310"/>
        <v>0.1</v>
      </c>
      <c r="U386" s="1370">
        <v>72</v>
      </c>
      <c r="V386" s="388">
        <f t="shared" si="311"/>
        <v>72</v>
      </c>
      <c r="W386" s="356">
        <f t="shared" si="312"/>
        <v>288</v>
      </c>
      <c r="X386" s="356">
        <f t="shared" si="283"/>
        <v>100</v>
      </c>
      <c r="Y386" s="356">
        <f t="shared" si="307"/>
        <v>3.3000000000000002E-2</v>
      </c>
      <c r="Z386" s="356">
        <f t="shared" si="284"/>
        <v>100</v>
      </c>
      <c r="AA386" s="1375">
        <v>5419000000</v>
      </c>
      <c r="AB386" s="1375">
        <v>5419000000</v>
      </c>
      <c r="AC386" s="1375">
        <v>0</v>
      </c>
      <c r="AD386" s="1375">
        <v>0</v>
      </c>
      <c r="AE386" s="1375">
        <v>0</v>
      </c>
      <c r="AF386" s="1375">
        <v>0</v>
      </c>
      <c r="AG386" s="1375">
        <v>0</v>
      </c>
      <c r="AH386" s="1375">
        <v>0</v>
      </c>
      <c r="AI386" s="1375">
        <v>37646475000</v>
      </c>
      <c r="AJ386" s="1375">
        <v>37646475000</v>
      </c>
      <c r="AK386" s="1375">
        <v>0</v>
      </c>
      <c r="AL386" s="1375">
        <v>0</v>
      </c>
      <c r="AM386" s="1375">
        <v>0</v>
      </c>
      <c r="AN386" s="1375">
        <v>0</v>
      </c>
      <c r="AO386" s="1375">
        <v>0</v>
      </c>
      <c r="AP386" s="1375">
        <v>0</v>
      </c>
      <c r="AQ386" s="1375">
        <v>0</v>
      </c>
      <c r="AR386" s="1375">
        <v>0</v>
      </c>
      <c r="AS386" s="1375">
        <v>0</v>
      </c>
      <c r="AT386" s="333">
        <f t="shared" si="285"/>
        <v>0.13068000000000002</v>
      </c>
      <c r="AU386" s="330">
        <v>99</v>
      </c>
      <c r="AV386" s="387">
        <f t="shared" si="313"/>
        <v>0.39600000000000002</v>
      </c>
      <c r="AW386" s="677">
        <v>315</v>
      </c>
      <c r="AX386" s="366">
        <f t="shared" si="314"/>
        <v>315</v>
      </c>
      <c r="AY386" s="366">
        <f t="shared" si="315"/>
        <v>318.18181818181819</v>
      </c>
      <c r="AZ386" s="366">
        <f t="shared" si="286"/>
        <v>100</v>
      </c>
      <c r="BA386" s="354">
        <f t="shared" si="287"/>
        <v>0.13068000000000002</v>
      </c>
      <c r="BB386" s="354">
        <f t="shared" si="288"/>
        <v>100</v>
      </c>
      <c r="BC386" s="353">
        <v>99101000000</v>
      </c>
      <c r="BD386" s="353">
        <v>0</v>
      </c>
      <c r="BE386" s="353">
        <v>40351000</v>
      </c>
      <c r="BF386" s="353">
        <v>0</v>
      </c>
      <c r="BG386" s="353">
        <v>0</v>
      </c>
      <c r="BH386" s="353">
        <v>0</v>
      </c>
      <c r="BI386" s="353">
        <v>0</v>
      </c>
      <c r="BJ386" s="353">
        <v>58750000</v>
      </c>
      <c r="BK386" s="428">
        <v>73110349994</v>
      </c>
      <c r="BL386" s="351">
        <v>69905430205</v>
      </c>
      <c r="BM386" s="351">
        <v>0</v>
      </c>
      <c r="BN386" s="351">
        <v>0</v>
      </c>
      <c r="BO386" s="351">
        <v>0</v>
      </c>
      <c r="BP386" s="351">
        <v>3204919789</v>
      </c>
      <c r="BQ386" s="351">
        <v>0</v>
      </c>
      <c r="BR386" s="351">
        <v>0</v>
      </c>
      <c r="BS386" s="351">
        <v>0</v>
      </c>
      <c r="BT386" s="351">
        <v>0</v>
      </c>
      <c r="BU386" s="351">
        <v>0</v>
      </c>
      <c r="BV386" s="350">
        <f t="shared" si="289"/>
        <v>9.6360000000000001E-2</v>
      </c>
      <c r="BW386" s="350">
        <v>73</v>
      </c>
      <c r="BX386" s="385">
        <f t="shared" si="316"/>
        <v>0.29199999999999998</v>
      </c>
      <c r="BY386" s="369">
        <v>329.489990234375</v>
      </c>
      <c r="BZ386" s="391">
        <v>329.489990234375</v>
      </c>
      <c r="CA386" s="689">
        <v>429.30999755859375</v>
      </c>
      <c r="CB386" s="324">
        <f t="shared" si="317"/>
        <v>429.30999755859375</v>
      </c>
      <c r="CC386" s="324">
        <f t="shared" si="318"/>
        <v>588.09588706656677</v>
      </c>
      <c r="CD386" s="384">
        <f t="shared" si="290"/>
        <v>100</v>
      </c>
      <c r="CE386" s="383">
        <f t="shared" si="291"/>
        <v>9.6359999999999987E-2</v>
      </c>
      <c r="CF386" s="367">
        <f t="shared" si="292"/>
        <v>100</v>
      </c>
      <c r="CG386" s="383">
        <f t="shared" si="293"/>
        <v>0.56668919677734375</v>
      </c>
      <c r="CH386" s="320">
        <f t="shared" si="294"/>
        <v>6.9959999999999994E-2</v>
      </c>
      <c r="CI386" s="319">
        <v>53</v>
      </c>
      <c r="CJ386" s="318">
        <f t="shared" si="319"/>
        <v>0.21199999999999999</v>
      </c>
      <c r="CK386" s="1259">
        <v>85</v>
      </c>
      <c r="CL386" s="301">
        <f t="shared" si="320"/>
        <v>-32</v>
      </c>
      <c r="CM386" s="381">
        <f t="shared" si="321"/>
        <v>85</v>
      </c>
      <c r="CN386" s="381">
        <f t="shared" si="322"/>
        <v>160.37735849056602</v>
      </c>
      <c r="CO386" s="316">
        <f t="shared" si="295"/>
        <v>100</v>
      </c>
      <c r="CP386" s="381">
        <f t="shared" si="296"/>
        <v>6.9959999999999994E-2</v>
      </c>
      <c r="CQ386" s="381">
        <f t="shared" si="297"/>
        <v>0.11219999999999999</v>
      </c>
      <c r="CR386" s="313">
        <v>77285000000</v>
      </c>
      <c r="CS386" s="313">
        <v>18535000</v>
      </c>
      <c r="CT386" s="313">
        <v>0</v>
      </c>
      <c r="CU386" s="313">
        <v>0</v>
      </c>
      <c r="CV386" s="313">
        <v>0</v>
      </c>
      <c r="CW386" s="313">
        <v>0</v>
      </c>
      <c r="CX386" s="313">
        <v>0</v>
      </c>
      <c r="CY386" s="313">
        <v>58750000</v>
      </c>
      <c r="CZ386" s="380">
        <v>0</v>
      </c>
      <c r="DA386" s="380">
        <v>0</v>
      </c>
      <c r="DB386" s="380">
        <v>0</v>
      </c>
      <c r="DC386" s="380">
        <v>0</v>
      </c>
      <c r="DD386" s="380">
        <v>0</v>
      </c>
      <c r="DE386" s="380">
        <v>0</v>
      </c>
      <c r="DF386" s="380">
        <v>0</v>
      </c>
      <c r="DG386" s="380">
        <v>0</v>
      </c>
      <c r="DH386" s="380">
        <v>0</v>
      </c>
      <c r="DI386" s="380">
        <v>0</v>
      </c>
      <c r="DJ386" s="380">
        <v>0</v>
      </c>
      <c r="DK386" s="702">
        <f t="shared" si="323"/>
        <v>901.30999755859375</v>
      </c>
      <c r="DL386" s="311">
        <f t="shared" si="298"/>
        <v>0.33000000000000007</v>
      </c>
      <c r="DM386" s="310">
        <f t="shared" si="299"/>
        <v>360.52399902343751</v>
      </c>
      <c r="DN386" s="356">
        <f t="shared" si="300"/>
        <v>100</v>
      </c>
      <c r="DO386" s="308">
        <f t="shared" si="301"/>
        <v>0.33</v>
      </c>
      <c r="DP386" s="359">
        <f t="shared" si="325"/>
        <v>0.33</v>
      </c>
      <c r="DQ386" s="306">
        <f t="shared" si="302"/>
        <v>0.33</v>
      </c>
      <c r="DR386" s="379">
        <f t="shared" si="303"/>
        <v>1</v>
      </c>
      <c r="DS386" s="378">
        <f t="shared" si="304"/>
        <v>0</v>
      </c>
      <c r="DT386" s="173">
        <v>449</v>
      </c>
      <c r="DU386" s="174" t="s">
        <v>947</v>
      </c>
      <c r="DV386" s="173">
        <v>450</v>
      </c>
      <c r="DW386" s="174" t="s">
        <v>948</v>
      </c>
      <c r="DX386" s="173"/>
      <c r="DY386" s="173"/>
      <c r="DZ386" s="173"/>
      <c r="EA386" s="665"/>
      <c r="EB386" s="1254" t="s">
        <v>2398</v>
      </c>
      <c r="EC386" s="537">
        <v>210000000</v>
      </c>
      <c r="EE386" s="734">
        <v>25</v>
      </c>
      <c r="EF386" s="706"/>
    </row>
    <row r="387" spans="4:136" s="302" customFormat="1" ht="96" hidden="1">
      <c r="D387" s="520">
        <v>384</v>
      </c>
      <c r="E387" s="534">
        <v>452</v>
      </c>
      <c r="F387" s="479" t="s">
        <v>45</v>
      </c>
      <c r="G387" s="479" t="s">
        <v>15</v>
      </c>
      <c r="H387" s="479" t="s">
        <v>2672</v>
      </c>
      <c r="I387" s="435" t="s">
        <v>944</v>
      </c>
      <c r="J387" s="335" t="s">
        <v>949</v>
      </c>
      <c r="K387" s="335" t="s">
        <v>950</v>
      </c>
      <c r="L387" s="436" t="s">
        <v>1876</v>
      </c>
      <c r="M387" s="334" t="s">
        <v>1771</v>
      </c>
      <c r="N387" s="337">
        <v>0</v>
      </c>
      <c r="O387" s="333">
        <f t="shared" si="324"/>
        <v>3000</v>
      </c>
      <c r="P387" s="422">
        <v>3000</v>
      </c>
      <c r="Q387" s="390">
        <v>0.25</v>
      </c>
      <c r="R387" s="342">
        <f t="shared" si="282"/>
        <v>6.25E-2</v>
      </c>
      <c r="S387" s="417">
        <v>750</v>
      </c>
      <c r="T387" s="337">
        <f t="shared" si="310"/>
        <v>0.25</v>
      </c>
      <c r="U387" s="673">
        <v>347</v>
      </c>
      <c r="V387" s="388">
        <f t="shared" si="311"/>
        <v>347</v>
      </c>
      <c r="W387" s="356">
        <f t="shared" si="312"/>
        <v>46.266666666666666</v>
      </c>
      <c r="X387" s="356">
        <f t="shared" si="283"/>
        <v>46.266666666666666</v>
      </c>
      <c r="Y387" s="356">
        <f t="shared" si="307"/>
        <v>2.8916666666666667E-2</v>
      </c>
      <c r="Z387" s="356">
        <f t="shared" si="284"/>
        <v>46.266666666666666</v>
      </c>
      <c r="AA387" s="413">
        <v>5393000000</v>
      </c>
      <c r="AB387" s="413">
        <v>5393000000</v>
      </c>
      <c r="AC387" s="413">
        <v>0</v>
      </c>
      <c r="AD387" s="413">
        <v>0</v>
      </c>
      <c r="AE387" s="413">
        <v>0</v>
      </c>
      <c r="AF387" s="413">
        <v>0</v>
      </c>
      <c r="AG387" s="413">
        <v>0</v>
      </c>
      <c r="AH387" s="413">
        <v>0</v>
      </c>
      <c r="AI387" s="413">
        <v>12184145000</v>
      </c>
      <c r="AJ387" s="413">
        <v>12024859000</v>
      </c>
      <c r="AK387" s="413">
        <v>0</v>
      </c>
      <c r="AL387" s="413">
        <v>0</v>
      </c>
      <c r="AM387" s="413">
        <v>0</v>
      </c>
      <c r="AN387" s="413">
        <v>0</v>
      </c>
      <c r="AO387" s="413">
        <v>0</v>
      </c>
      <c r="AP387" s="413">
        <v>159286000</v>
      </c>
      <c r="AQ387" s="413">
        <v>0</v>
      </c>
      <c r="AR387" s="413">
        <v>0</v>
      </c>
      <c r="AS387" s="413">
        <v>0</v>
      </c>
      <c r="AT387" s="333">
        <f t="shared" si="285"/>
        <v>6.25E-2</v>
      </c>
      <c r="AU387" s="334">
        <v>750</v>
      </c>
      <c r="AV387" s="387">
        <f t="shared" si="313"/>
        <v>0.25</v>
      </c>
      <c r="AW387" s="677">
        <v>2260.61</v>
      </c>
      <c r="AX387" s="366">
        <f t="shared" si="314"/>
        <v>2260.61</v>
      </c>
      <c r="AY387" s="366">
        <f t="shared" si="315"/>
        <v>301.41466666666668</v>
      </c>
      <c r="AZ387" s="366">
        <f t="shared" si="286"/>
        <v>100</v>
      </c>
      <c r="BA387" s="354">
        <f t="shared" si="287"/>
        <v>6.25E-2</v>
      </c>
      <c r="BB387" s="354">
        <f t="shared" si="288"/>
        <v>100</v>
      </c>
      <c r="BC387" s="353">
        <v>18000000000</v>
      </c>
      <c r="BD387" s="353">
        <v>0</v>
      </c>
      <c r="BE387" s="353">
        <v>13000000</v>
      </c>
      <c r="BF387" s="353">
        <v>0</v>
      </c>
      <c r="BG387" s="353">
        <v>0</v>
      </c>
      <c r="BH387" s="353">
        <v>0</v>
      </c>
      <c r="BI387" s="353">
        <v>0</v>
      </c>
      <c r="BJ387" s="353">
        <v>5000000000</v>
      </c>
      <c r="BK387" s="428">
        <v>37648900660</v>
      </c>
      <c r="BL387" s="351">
        <v>29569177651</v>
      </c>
      <c r="BM387" s="351">
        <v>0</v>
      </c>
      <c r="BN387" s="351">
        <v>0</v>
      </c>
      <c r="BO387" s="351">
        <v>0</v>
      </c>
      <c r="BP387" s="351">
        <v>8079723009</v>
      </c>
      <c r="BQ387" s="351">
        <v>0</v>
      </c>
      <c r="BR387" s="351">
        <v>0</v>
      </c>
      <c r="BS387" s="351">
        <v>0</v>
      </c>
      <c r="BT387" s="351">
        <v>129600612</v>
      </c>
      <c r="BU387" s="351">
        <v>0</v>
      </c>
      <c r="BV387" s="350">
        <f t="shared" si="289"/>
        <v>6.25E-2</v>
      </c>
      <c r="BW387" s="350">
        <v>750</v>
      </c>
      <c r="BX387" s="385">
        <f t="shared" si="316"/>
        <v>0.25</v>
      </c>
      <c r="BY387" s="369">
        <v>2286.010009765625</v>
      </c>
      <c r="BZ387" s="391">
        <v>2286.010009765625</v>
      </c>
      <c r="CA387" s="689">
        <v>4663.39990234375</v>
      </c>
      <c r="CB387" s="324">
        <f t="shared" si="317"/>
        <v>4663.39990234375</v>
      </c>
      <c r="CC387" s="324">
        <f t="shared" si="318"/>
        <v>621.78665364583333</v>
      </c>
      <c r="CD387" s="384">
        <f t="shared" si="290"/>
        <v>100</v>
      </c>
      <c r="CE387" s="383">
        <f t="shared" si="291"/>
        <v>6.25E-2</v>
      </c>
      <c r="CF387" s="367">
        <f t="shared" si="292"/>
        <v>100</v>
      </c>
      <c r="CG387" s="383">
        <f t="shared" si="293"/>
        <v>0.38861665852864585</v>
      </c>
      <c r="CH387" s="320">
        <f t="shared" si="294"/>
        <v>6.25E-2</v>
      </c>
      <c r="CI387" s="319">
        <v>750</v>
      </c>
      <c r="CJ387" s="318">
        <f t="shared" si="319"/>
        <v>0.25</v>
      </c>
      <c r="CK387" s="1259">
        <v>1213</v>
      </c>
      <c r="CL387" s="301">
        <f t="shared" si="320"/>
        <v>-463</v>
      </c>
      <c r="CM387" s="381">
        <f t="shared" si="321"/>
        <v>1213</v>
      </c>
      <c r="CN387" s="381">
        <f t="shared" si="322"/>
        <v>161.73333333333332</v>
      </c>
      <c r="CO387" s="316">
        <f t="shared" si="295"/>
        <v>100</v>
      </c>
      <c r="CP387" s="381">
        <f t="shared" si="296"/>
        <v>6.25E-2</v>
      </c>
      <c r="CQ387" s="381">
        <f t="shared" si="297"/>
        <v>0.10108333333333333</v>
      </c>
      <c r="CR387" s="313">
        <v>39000000000</v>
      </c>
      <c r="CS387" s="313">
        <v>34000000</v>
      </c>
      <c r="CT387" s="313">
        <v>0</v>
      </c>
      <c r="CU387" s="313">
        <v>0</v>
      </c>
      <c r="CV387" s="313">
        <v>0</v>
      </c>
      <c r="CW387" s="313">
        <v>0</v>
      </c>
      <c r="CX387" s="313">
        <v>0</v>
      </c>
      <c r="CY387" s="313">
        <v>5000000000</v>
      </c>
      <c r="CZ387" s="380">
        <v>0</v>
      </c>
      <c r="DA387" s="380">
        <v>0</v>
      </c>
      <c r="DB387" s="380">
        <v>0</v>
      </c>
      <c r="DC387" s="380">
        <v>0</v>
      </c>
      <c r="DD387" s="380">
        <v>0</v>
      </c>
      <c r="DE387" s="380">
        <v>0</v>
      </c>
      <c r="DF387" s="380">
        <v>0</v>
      </c>
      <c r="DG387" s="380">
        <v>0</v>
      </c>
      <c r="DH387" s="380">
        <v>0</v>
      </c>
      <c r="DI387" s="380">
        <v>0</v>
      </c>
      <c r="DJ387" s="380">
        <v>0</v>
      </c>
      <c r="DK387" s="702">
        <f t="shared" si="323"/>
        <v>8484.0099023437506</v>
      </c>
      <c r="DL387" s="311">
        <f t="shared" si="298"/>
        <v>0.25</v>
      </c>
      <c r="DM387" s="310">
        <f t="shared" si="299"/>
        <v>282.800330078125</v>
      </c>
      <c r="DN387" s="356">
        <f t="shared" si="300"/>
        <v>100</v>
      </c>
      <c r="DO387" s="308">
        <f t="shared" si="301"/>
        <v>0.25</v>
      </c>
      <c r="DP387" s="359">
        <f t="shared" si="325"/>
        <v>0.25</v>
      </c>
      <c r="DQ387" s="306">
        <f t="shared" si="302"/>
        <v>0.25</v>
      </c>
      <c r="DR387" s="379">
        <f t="shared" si="303"/>
        <v>1</v>
      </c>
      <c r="DS387" s="378">
        <f t="shared" si="304"/>
        <v>0</v>
      </c>
      <c r="DT387" s="173">
        <v>449</v>
      </c>
      <c r="DU387" s="174" t="s">
        <v>947</v>
      </c>
      <c r="DV387" s="173">
        <v>450</v>
      </c>
      <c r="DW387" s="174" t="s">
        <v>948</v>
      </c>
      <c r="DX387" s="173"/>
      <c r="DY387" s="173"/>
      <c r="DZ387" s="173"/>
      <c r="EA387" s="665"/>
      <c r="EB387" s="1254" t="s">
        <v>2399</v>
      </c>
      <c r="EC387" s="537">
        <v>519000000</v>
      </c>
      <c r="EE387" s="734">
        <v>37</v>
      </c>
      <c r="EF387" s="706"/>
    </row>
    <row r="388" spans="4:136" s="302" customFormat="1" ht="96" hidden="1">
      <c r="D388" s="520">
        <v>385</v>
      </c>
      <c r="E388" s="534">
        <v>453</v>
      </c>
      <c r="F388" s="479" t="s">
        <v>45</v>
      </c>
      <c r="G388" s="479" t="s">
        <v>15</v>
      </c>
      <c r="H388" s="479" t="s">
        <v>2672</v>
      </c>
      <c r="I388" s="435" t="s">
        <v>944</v>
      </c>
      <c r="J388" s="335" t="s">
        <v>951</v>
      </c>
      <c r="K388" s="335" t="s">
        <v>952</v>
      </c>
      <c r="L388" s="436" t="s">
        <v>1876</v>
      </c>
      <c r="M388" s="334" t="s">
        <v>1771</v>
      </c>
      <c r="N388" s="337">
        <v>0</v>
      </c>
      <c r="O388" s="333">
        <f t="shared" si="324"/>
        <v>3000</v>
      </c>
      <c r="P388" s="422">
        <v>3000</v>
      </c>
      <c r="Q388" s="390">
        <v>0.33</v>
      </c>
      <c r="R388" s="342">
        <f t="shared" si="282"/>
        <v>5.5E-2</v>
      </c>
      <c r="S388" s="417">
        <v>500</v>
      </c>
      <c r="T388" s="337">
        <f t="shared" si="310"/>
        <v>0.16666666666666666</v>
      </c>
      <c r="U388" s="673">
        <v>257</v>
      </c>
      <c r="V388" s="388">
        <f t="shared" si="311"/>
        <v>257</v>
      </c>
      <c r="W388" s="356">
        <f t="shared" si="312"/>
        <v>51.4</v>
      </c>
      <c r="X388" s="356">
        <f t="shared" si="283"/>
        <v>51.4</v>
      </c>
      <c r="Y388" s="356">
        <f t="shared" si="307"/>
        <v>2.827E-2</v>
      </c>
      <c r="Z388" s="356">
        <f t="shared" si="284"/>
        <v>51.4</v>
      </c>
      <c r="AA388" s="413">
        <v>8272000000</v>
      </c>
      <c r="AB388" s="413">
        <v>8272000000</v>
      </c>
      <c r="AC388" s="413">
        <v>0</v>
      </c>
      <c r="AD388" s="413">
        <v>0</v>
      </c>
      <c r="AE388" s="413">
        <v>0</v>
      </c>
      <c r="AF388" s="413">
        <v>0</v>
      </c>
      <c r="AG388" s="413">
        <v>0</v>
      </c>
      <c r="AH388" s="413">
        <v>0</v>
      </c>
      <c r="AI388" s="413">
        <v>18024045000</v>
      </c>
      <c r="AJ388" s="413">
        <v>14253016000</v>
      </c>
      <c r="AK388" s="413">
        <v>0</v>
      </c>
      <c r="AL388" s="413">
        <v>0</v>
      </c>
      <c r="AM388" s="413">
        <v>0</v>
      </c>
      <c r="AN388" s="413">
        <v>0</v>
      </c>
      <c r="AO388" s="413">
        <v>0</v>
      </c>
      <c r="AP388" s="413">
        <v>3771029000</v>
      </c>
      <c r="AQ388" s="413">
        <v>0</v>
      </c>
      <c r="AR388" s="413">
        <v>0</v>
      </c>
      <c r="AS388" s="413">
        <v>0</v>
      </c>
      <c r="AT388" s="333">
        <f t="shared" si="285"/>
        <v>7.986E-2</v>
      </c>
      <c r="AU388" s="334">
        <v>726</v>
      </c>
      <c r="AV388" s="387">
        <f t="shared" si="313"/>
        <v>0.24199999999999999</v>
      </c>
      <c r="AW388" s="677">
        <v>1219</v>
      </c>
      <c r="AX388" s="366">
        <f t="shared" si="314"/>
        <v>1219</v>
      </c>
      <c r="AY388" s="366">
        <f t="shared" si="315"/>
        <v>167.90633608815426</v>
      </c>
      <c r="AZ388" s="366">
        <f t="shared" si="286"/>
        <v>100</v>
      </c>
      <c r="BA388" s="354">
        <f t="shared" si="287"/>
        <v>7.986E-2</v>
      </c>
      <c r="BB388" s="354">
        <f t="shared" si="288"/>
        <v>100</v>
      </c>
      <c r="BC388" s="353">
        <v>4000000000</v>
      </c>
      <c r="BD388" s="353">
        <v>0</v>
      </c>
      <c r="BE388" s="353">
        <v>3500000000</v>
      </c>
      <c r="BF388" s="353">
        <v>0</v>
      </c>
      <c r="BG388" s="353">
        <v>0</v>
      </c>
      <c r="BH388" s="353">
        <v>0</v>
      </c>
      <c r="BI388" s="353">
        <v>0</v>
      </c>
      <c r="BJ388" s="353">
        <v>500000000</v>
      </c>
      <c r="BK388" s="428">
        <v>9188591090</v>
      </c>
      <c r="BL388" s="351">
        <v>7334800166</v>
      </c>
      <c r="BM388" s="351">
        <v>0</v>
      </c>
      <c r="BN388" s="351">
        <v>0</v>
      </c>
      <c r="BO388" s="351">
        <v>0</v>
      </c>
      <c r="BP388" s="351">
        <v>753790924</v>
      </c>
      <c r="BQ388" s="351">
        <v>300000000</v>
      </c>
      <c r="BR388" s="351">
        <v>800000000</v>
      </c>
      <c r="BS388" s="351">
        <v>0</v>
      </c>
      <c r="BT388" s="351">
        <v>3170340646</v>
      </c>
      <c r="BU388" s="351" t="s">
        <v>1875</v>
      </c>
      <c r="BV388" s="350">
        <f t="shared" si="289"/>
        <v>9.9000000000000005E-2</v>
      </c>
      <c r="BW388" s="350">
        <v>900</v>
      </c>
      <c r="BX388" s="385">
        <f t="shared" si="316"/>
        <v>0.3</v>
      </c>
      <c r="BY388" s="369">
        <v>2926</v>
      </c>
      <c r="BZ388" s="391">
        <v>2926</v>
      </c>
      <c r="CA388" s="689">
        <v>6955</v>
      </c>
      <c r="CB388" s="324">
        <f t="shared" si="317"/>
        <v>6955</v>
      </c>
      <c r="CC388" s="324">
        <f t="shared" si="318"/>
        <v>772.77777777777783</v>
      </c>
      <c r="CD388" s="384">
        <f t="shared" si="290"/>
        <v>100</v>
      </c>
      <c r="CE388" s="383">
        <f t="shared" si="291"/>
        <v>9.9000000000000005E-2</v>
      </c>
      <c r="CF388" s="367">
        <f t="shared" si="292"/>
        <v>100</v>
      </c>
      <c r="CG388" s="383">
        <f t="shared" si="293"/>
        <v>0.76505000000000012</v>
      </c>
      <c r="CH388" s="320">
        <f t="shared" si="294"/>
        <v>9.6140000000000003E-2</v>
      </c>
      <c r="CI388" s="319">
        <v>874</v>
      </c>
      <c r="CJ388" s="318">
        <f t="shared" si="319"/>
        <v>0.29133333333333333</v>
      </c>
      <c r="CK388" s="1259">
        <v>3816</v>
      </c>
      <c r="CL388" s="301">
        <f t="shared" si="320"/>
        <v>-2942</v>
      </c>
      <c r="CM388" s="381">
        <f t="shared" si="321"/>
        <v>3816</v>
      </c>
      <c r="CN388" s="381">
        <f t="shared" si="322"/>
        <v>436.61327231121282</v>
      </c>
      <c r="CO388" s="316">
        <f t="shared" si="295"/>
        <v>100</v>
      </c>
      <c r="CP388" s="381">
        <f t="shared" si="296"/>
        <v>9.6140000000000003E-2</v>
      </c>
      <c r="CQ388" s="381">
        <f t="shared" si="297"/>
        <v>0.41975999999999997</v>
      </c>
      <c r="CR388" s="313">
        <v>8000000000</v>
      </c>
      <c r="CS388" s="313">
        <v>7000000000</v>
      </c>
      <c r="CT388" s="313">
        <v>0</v>
      </c>
      <c r="CU388" s="313">
        <v>0</v>
      </c>
      <c r="CV388" s="313">
        <v>0</v>
      </c>
      <c r="CW388" s="313">
        <v>0</v>
      </c>
      <c r="CX388" s="313">
        <v>0</v>
      </c>
      <c r="CY388" s="313">
        <v>1000000000</v>
      </c>
      <c r="CZ388" s="380">
        <v>0</v>
      </c>
      <c r="DA388" s="380">
        <v>0</v>
      </c>
      <c r="DB388" s="380">
        <v>0</v>
      </c>
      <c r="DC388" s="380">
        <v>0</v>
      </c>
      <c r="DD388" s="380">
        <v>0</v>
      </c>
      <c r="DE388" s="380">
        <v>0</v>
      </c>
      <c r="DF388" s="380">
        <v>0</v>
      </c>
      <c r="DG388" s="380">
        <v>0</v>
      </c>
      <c r="DH388" s="380">
        <v>0</v>
      </c>
      <c r="DI388" s="380">
        <v>0</v>
      </c>
      <c r="DJ388" s="380">
        <v>0</v>
      </c>
      <c r="DK388" s="702">
        <f t="shared" si="323"/>
        <v>12247</v>
      </c>
      <c r="DL388" s="311">
        <f t="shared" si="298"/>
        <v>0.33</v>
      </c>
      <c r="DM388" s="310">
        <f t="shared" si="299"/>
        <v>408.23333333333335</v>
      </c>
      <c r="DN388" s="356">
        <f t="shared" si="300"/>
        <v>100</v>
      </c>
      <c r="DO388" s="308">
        <f t="shared" si="301"/>
        <v>0.33</v>
      </c>
      <c r="DP388" s="359">
        <f t="shared" si="325"/>
        <v>0.33</v>
      </c>
      <c r="DQ388" s="306">
        <f t="shared" si="302"/>
        <v>0.33</v>
      </c>
      <c r="DR388" s="379">
        <f t="shared" si="303"/>
        <v>0.99999999999999989</v>
      </c>
      <c r="DS388" s="378">
        <f t="shared" si="304"/>
        <v>0</v>
      </c>
      <c r="DT388" s="173">
        <v>449</v>
      </c>
      <c r="DU388" s="174" t="s">
        <v>947</v>
      </c>
      <c r="DV388" s="173">
        <v>450</v>
      </c>
      <c r="DW388" s="174" t="s">
        <v>948</v>
      </c>
      <c r="DX388" s="173">
        <v>622</v>
      </c>
      <c r="DY388" s="173"/>
      <c r="DZ388" s="173"/>
      <c r="EA388" s="665"/>
      <c r="EB388" s="1254" t="s">
        <v>2400</v>
      </c>
      <c r="EC388" s="537">
        <v>125000000</v>
      </c>
      <c r="EE388" s="734">
        <v>1</v>
      </c>
      <c r="EF388" s="706"/>
    </row>
    <row r="389" spans="4:136" s="302" customFormat="1" ht="96" hidden="1">
      <c r="D389" s="520">
        <v>386</v>
      </c>
      <c r="E389" s="534">
        <v>454</v>
      </c>
      <c r="F389" s="336" t="s">
        <v>45</v>
      </c>
      <c r="G389" s="336" t="s">
        <v>15</v>
      </c>
      <c r="H389" s="336" t="s">
        <v>2672</v>
      </c>
      <c r="I389" s="336" t="s">
        <v>944</v>
      </c>
      <c r="J389" s="335" t="s">
        <v>1294</v>
      </c>
      <c r="K389" s="335" t="s">
        <v>953</v>
      </c>
      <c r="L389" s="436" t="s">
        <v>1872</v>
      </c>
      <c r="M389" s="337" t="s">
        <v>1771</v>
      </c>
      <c r="N389" s="337">
        <v>234000</v>
      </c>
      <c r="O389" s="333">
        <f t="shared" si="324"/>
        <v>699000</v>
      </c>
      <c r="P389" s="422">
        <v>465000</v>
      </c>
      <c r="Q389" s="393">
        <v>0.33</v>
      </c>
      <c r="R389" s="342">
        <f t="shared" ref="R389:R452" si="326">+Q389*T389</f>
        <v>7.0967741935483884E-3</v>
      </c>
      <c r="S389" s="417">
        <v>10000</v>
      </c>
      <c r="T389" s="337">
        <f t="shared" si="310"/>
        <v>2.1505376344086023E-2</v>
      </c>
      <c r="U389" s="673">
        <v>6457</v>
      </c>
      <c r="V389" s="388">
        <f t="shared" si="311"/>
        <v>6457</v>
      </c>
      <c r="W389" s="356">
        <f t="shared" si="312"/>
        <v>64.569999999999993</v>
      </c>
      <c r="X389" s="356">
        <f t="shared" ref="X389:X452" si="327">+IF(W389&lt;100,W389,100)</f>
        <v>64.569999999999993</v>
      </c>
      <c r="Y389" s="356">
        <f t="shared" si="307"/>
        <v>4.582387096774194E-3</v>
      </c>
      <c r="Z389" s="356">
        <f t="shared" ref="Z389:Z452" si="328">+IF(U389&gt;S389,100,X389)</f>
        <v>64.569999999999993</v>
      </c>
      <c r="AA389" s="413">
        <v>80000000</v>
      </c>
      <c r="AB389" s="413">
        <v>80000000</v>
      </c>
      <c r="AC389" s="413">
        <v>0</v>
      </c>
      <c r="AD389" s="413">
        <v>0</v>
      </c>
      <c r="AE389" s="413">
        <v>0</v>
      </c>
      <c r="AF389" s="413">
        <v>0</v>
      </c>
      <c r="AG389" s="413">
        <v>0</v>
      </c>
      <c r="AH389" s="413">
        <v>0</v>
      </c>
      <c r="AI389" s="413">
        <v>37204270000</v>
      </c>
      <c r="AJ389" s="413">
        <v>31793703000</v>
      </c>
      <c r="AK389" s="413">
        <v>0</v>
      </c>
      <c r="AL389" s="413">
        <v>0</v>
      </c>
      <c r="AM389" s="413">
        <v>0</v>
      </c>
      <c r="AN389" s="413">
        <v>0</v>
      </c>
      <c r="AO389" s="413">
        <v>5262710000</v>
      </c>
      <c r="AP389" s="413">
        <v>147857000</v>
      </c>
      <c r="AQ389" s="413">
        <v>0</v>
      </c>
      <c r="AR389" s="413">
        <v>0</v>
      </c>
      <c r="AS389" s="413">
        <v>0</v>
      </c>
      <c r="AT389" s="392">
        <f t="shared" ref="AT389:AT452" si="329">+Q389*AV389</f>
        <v>5.8193548387096776E-2</v>
      </c>
      <c r="AU389" s="334">
        <v>82000</v>
      </c>
      <c r="AV389" s="387">
        <f t="shared" si="313"/>
        <v>0.17634408602150536</v>
      </c>
      <c r="AW389" s="677">
        <v>84696</v>
      </c>
      <c r="AX389" s="366">
        <f t="shared" si="314"/>
        <v>84696</v>
      </c>
      <c r="AY389" s="366">
        <f t="shared" si="315"/>
        <v>103.28780487804877</v>
      </c>
      <c r="AZ389" s="366">
        <f t="shared" ref="AZ389:AZ452" si="330">+IF(AY389&lt;100,AY389,100)</f>
        <v>100</v>
      </c>
      <c r="BA389" s="354">
        <f t="shared" ref="BA389:BA452" si="331">+(AZ389*AT389)/100</f>
        <v>5.8193548387096776E-2</v>
      </c>
      <c r="BB389" s="354">
        <f t="shared" ref="BB389:BB452" si="332">+IF(AW389&gt;AU389,100,AZ389)</f>
        <v>100</v>
      </c>
      <c r="BC389" s="353">
        <v>2000000000</v>
      </c>
      <c r="BD389" s="353">
        <v>0</v>
      </c>
      <c r="BE389" s="353">
        <v>2000000000</v>
      </c>
      <c r="BF389" s="353">
        <v>0</v>
      </c>
      <c r="BG389" s="353">
        <v>0</v>
      </c>
      <c r="BH389" s="353">
        <v>0</v>
      </c>
      <c r="BI389" s="353">
        <v>0</v>
      </c>
      <c r="BJ389" s="353">
        <v>0</v>
      </c>
      <c r="BK389" s="428">
        <v>29751229543</v>
      </c>
      <c r="BL389" s="351">
        <v>0</v>
      </c>
      <c r="BM389" s="351">
        <v>0</v>
      </c>
      <c r="BN389" s="351">
        <v>0</v>
      </c>
      <c r="BO389" s="351">
        <v>0</v>
      </c>
      <c r="BP389" s="351">
        <v>0</v>
      </c>
      <c r="BQ389" s="351">
        <v>4875137928</v>
      </c>
      <c r="BR389" s="351">
        <v>24876091615</v>
      </c>
      <c r="BS389" s="351">
        <v>0</v>
      </c>
      <c r="BT389" s="351">
        <v>2445171830</v>
      </c>
      <c r="BU389" s="351">
        <v>0</v>
      </c>
      <c r="BV389" s="350">
        <f t="shared" ref="BV389:BV452" si="333">+Q389*BX389</f>
        <v>0.10645161290322581</v>
      </c>
      <c r="BW389" s="351">
        <v>150000</v>
      </c>
      <c r="BX389" s="385">
        <f t="shared" si="316"/>
        <v>0.32258064516129031</v>
      </c>
      <c r="BY389" s="369">
        <v>178272</v>
      </c>
      <c r="BZ389" s="391">
        <v>179690</v>
      </c>
      <c r="CA389" s="689">
        <v>440096</v>
      </c>
      <c r="CB389" s="324">
        <f t="shared" si="317"/>
        <v>440096</v>
      </c>
      <c r="CC389" s="324">
        <f t="shared" si="318"/>
        <v>293.39733333333334</v>
      </c>
      <c r="CD389" s="384">
        <f t="shared" ref="CD389:CD452" si="334">+IF(CC389&lt;100,CC389,100)</f>
        <v>100</v>
      </c>
      <c r="CE389" s="383">
        <f t="shared" ref="CE389:CE452" si="335">+(CD389*BV389)/100</f>
        <v>0.10645161290322581</v>
      </c>
      <c r="CF389" s="367">
        <f t="shared" ref="CF389:CF452" si="336">+IF(BZ389&gt;BW389,100,CD389)</f>
        <v>100</v>
      </c>
      <c r="CG389" s="383">
        <f t="shared" ref="CG389:CG452" si="337">(CC389*BV389)/100</f>
        <v>0.31232619354838709</v>
      </c>
      <c r="CH389" s="320">
        <f t="shared" ref="CH389:CH452" si="338">+Q389*CJ389</f>
        <v>0.15825806451612903</v>
      </c>
      <c r="CI389" s="319">
        <v>223000</v>
      </c>
      <c r="CJ389" s="318">
        <f t="shared" si="319"/>
        <v>0.47956989247311826</v>
      </c>
      <c r="CK389" s="1259">
        <v>182780</v>
      </c>
      <c r="CL389" s="301">
        <f t="shared" si="320"/>
        <v>40220</v>
      </c>
      <c r="CM389" s="381">
        <f t="shared" si="321"/>
        <v>182780</v>
      </c>
      <c r="CN389" s="381">
        <f t="shared" si="322"/>
        <v>81.964125560538122</v>
      </c>
      <c r="CO389" s="316">
        <f t="shared" ref="CO389:CO452" si="339">+IF(CN389&lt;100,CN389,100)</f>
        <v>81.964125560538122</v>
      </c>
      <c r="CP389" s="381">
        <f t="shared" ref="CP389:CP452" si="340">+(CO389*CH389)/100</f>
        <v>0.12971483870967743</v>
      </c>
      <c r="CQ389" s="381">
        <f t="shared" ref="CQ389:CQ452" si="341">+(CN389*CH389)/100</f>
        <v>0.12971483870967743</v>
      </c>
      <c r="CR389" s="313">
        <v>6000000000</v>
      </c>
      <c r="CS389" s="313">
        <v>6000000000</v>
      </c>
      <c r="CT389" s="313">
        <v>0</v>
      </c>
      <c r="CU389" s="313">
        <v>0</v>
      </c>
      <c r="CV389" s="313">
        <v>0</v>
      </c>
      <c r="CW389" s="313">
        <v>0</v>
      </c>
      <c r="CX389" s="313">
        <v>0</v>
      </c>
      <c r="CY389" s="313">
        <v>0</v>
      </c>
      <c r="CZ389" s="380">
        <v>0</v>
      </c>
      <c r="DA389" s="380">
        <v>0</v>
      </c>
      <c r="DB389" s="380">
        <v>0</v>
      </c>
      <c r="DC389" s="380">
        <v>0</v>
      </c>
      <c r="DD389" s="380">
        <v>0</v>
      </c>
      <c r="DE389" s="380">
        <v>0</v>
      </c>
      <c r="DF389" s="380">
        <v>0</v>
      </c>
      <c r="DG389" s="380">
        <v>0</v>
      </c>
      <c r="DH389" s="380">
        <v>0</v>
      </c>
      <c r="DI389" s="380">
        <v>0</v>
      </c>
      <c r="DJ389" s="380">
        <v>0</v>
      </c>
      <c r="DK389" s="702">
        <f t="shared" si="323"/>
        <v>714029</v>
      </c>
      <c r="DL389" s="311">
        <f t="shared" ref="DL389:DL452" si="342">+R389+AT389+BV389+CH389</f>
        <v>0.33</v>
      </c>
      <c r="DM389" s="310">
        <f t="shared" ref="DM389:DM452" si="343">+DK389*100/P389</f>
        <v>153.55462365591399</v>
      </c>
      <c r="DN389" s="356">
        <f t="shared" ref="DN389:DN452" si="344">+IF(DM389&lt;100,DM389,100)</f>
        <v>100</v>
      </c>
      <c r="DO389" s="308">
        <f t="shared" ref="DO389:DO452" si="345">+(DN389*Q389)/100</f>
        <v>0.33</v>
      </c>
      <c r="DP389" s="359">
        <f t="shared" si="325"/>
        <v>0.33</v>
      </c>
      <c r="DQ389" s="306">
        <f t="shared" ref="DQ389:DQ452" si="346">+IF(DL389&lt;DP389,DL389,DP389)</f>
        <v>0.33</v>
      </c>
      <c r="DR389" s="379">
        <f t="shared" ref="DR389:DR452" si="347">+T389+AV389+BX389+CJ389</f>
        <v>1</v>
      </c>
      <c r="DS389" s="378">
        <f t="shared" ref="DS389:DS452" si="348">+Q389-R389-AT389-BV389-CH389</f>
        <v>0</v>
      </c>
      <c r="DT389" s="173">
        <v>449</v>
      </c>
      <c r="DU389" s="174" t="s">
        <v>947</v>
      </c>
      <c r="DV389" s="173">
        <v>450</v>
      </c>
      <c r="DW389" s="174" t="s">
        <v>948</v>
      </c>
      <c r="DX389" s="173"/>
      <c r="DY389" s="173"/>
      <c r="DZ389" s="173"/>
      <c r="EA389" s="665"/>
      <c r="EB389" s="1254" t="s">
        <v>2592</v>
      </c>
      <c r="EC389" s="537">
        <v>4899000000</v>
      </c>
      <c r="EE389" s="734">
        <v>600</v>
      </c>
      <c r="EF389" s="706"/>
    </row>
    <row r="390" spans="4:136" s="302" customFormat="1" ht="96" hidden="1">
      <c r="D390" s="520">
        <v>387</v>
      </c>
      <c r="E390" s="534">
        <v>455</v>
      </c>
      <c r="F390" s="479" t="s">
        <v>45</v>
      </c>
      <c r="G390" s="479" t="s">
        <v>15</v>
      </c>
      <c r="H390" s="479" t="s">
        <v>2672</v>
      </c>
      <c r="I390" s="435" t="s">
        <v>944</v>
      </c>
      <c r="J390" s="335" t="s">
        <v>954</v>
      </c>
      <c r="K390" s="335" t="s">
        <v>955</v>
      </c>
      <c r="L390" s="436" t="s">
        <v>1872</v>
      </c>
      <c r="M390" s="337" t="s">
        <v>1771</v>
      </c>
      <c r="N390" s="337">
        <v>593858</v>
      </c>
      <c r="O390" s="333">
        <f t="shared" si="324"/>
        <v>693858</v>
      </c>
      <c r="P390" s="422">
        <v>100000</v>
      </c>
      <c r="Q390" s="390">
        <v>0.25</v>
      </c>
      <c r="R390" s="342">
        <f t="shared" si="326"/>
        <v>1.2500000000000001E-2</v>
      </c>
      <c r="S390" s="417">
        <v>5000</v>
      </c>
      <c r="T390" s="337">
        <f t="shared" si="310"/>
        <v>0.05</v>
      </c>
      <c r="U390" s="673">
        <v>2808</v>
      </c>
      <c r="V390" s="388">
        <f t="shared" si="311"/>
        <v>2808</v>
      </c>
      <c r="W390" s="356">
        <f t="shared" si="312"/>
        <v>56.16</v>
      </c>
      <c r="X390" s="356">
        <f t="shared" si="327"/>
        <v>56.16</v>
      </c>
      <c r="Y390" s="356">
        <f t="shared" si="307"/>
        <v>7.0199999999999993E-3</v>
      </c>
      <c r="Z390" s="356">
        <f t="shared" si="328"/>
        <v>56.16</v>
      </c>
      <c r="AA390" s="413">
        <v>1614000000</v>
      </c>
      <c r="AB390" s="413">
        <v>1614000000</v>
      </c>
      <c r="AC390" s="413">
        <v>0</v>
      </c>
      <c r="AD390" s="413">
        <v>0</v>
      </c>
      <c r="AE390" s="413">
        <v>0</v>
      </c>
      <c r="AF390" s="413">
        <v>0</v>
      </c>
      <c r="AG390" s="413">
        <v>0</v>
      </c>
      <c r="AH390" s="413">
        <v>0</v>
      </c>
      <c r="AI390" s="413">
        <v>4751518000</v>
      </c>
      <c r="AJ390" s="413">
        <v>3453139000</v>
      </c>
      <c r="AK390" s="413">
        <v>0</v>
      </c>
      <c r="AL390" s="413">
        <v>0</v>
      </c>
      <c r="AM390" s="413">
        <v>0</v>
      </c>
      <c r="AN390" s="413">
        <v>0</v>
      </c>
      <c r="AO390" s="413">
        <v>1235379000</v>
      </c>
      <c r="AP390" s="413">
        <v>63000000</v>
      </c>
      <c r="AQ390" s="413">
        <v>0</v>
      </c>
      <c r="AR390" s="413">
        <v>0</v>
      </c>
      <c r="AS390" s="413">
        <v>0</v>
      </c>
      <c r="AT390" s="333">
        <f t="shared" si="329"/>
        <v>0.105</v>
      </c>
      <c r="AU390" s="334">
        <v>42000</v>
      </c>
      <c r="AV390" s="387">
        <f t="shared" si="313"/>
        <v>0.42</v>
      </c>
      <c r="AW390" s="677">
        <v>48946</v>
      </c>
      <c r="AX390" s="366">
        <f t="shared" si="314"/>
        <v>48946</v>
      </c>
      <c r="AY390" s="366">
        <f t="shared" si="315"/>
        <v>116.53809523809524</v>
      </c>
      <c r="AZ390" s="366">
        <f t="shared" si="330"/>
        <v>100</v>
      </c>
      <c r="BA390" s="354">
        <f t="shared" si="331"/>
        <v>0.105</v>
      </c>
      <c r="BB390" s="354">
        <f t="shared" si="332"/>
        <v>100</v>
      </c>
      <c r="BC390" s="353">
        <v>2500000000</v>
      </c>
      <c r="BD390" s="353">
        <v>0</v>
      </c>
      <c r="BE390" s="353">
        <v>1500000000</v>
      </c>
      <c r="BF390" s="353">
        <v>0</v>
      </c>
      <c r="BG390" s="353">
        <v>0</v>
      </c>
      <c r="BH390" s="353">
        <v>0</v>
      </c>
      <c r="BI390" s="353">
        <v>0</v>
      </c>
      <c r="BJ390" s="353">
        <v>1000000000</v>
      </c>
      <c r="BK390" s="428">
        <v>4907394135</v>
      </c>
      <c r="BL390" s="351">
        <v>4747999999</v>
      </c>
      <c r="BM390" s="351">
        <v>0</v>
      </c>
      <c r="BN390" s="351">
        <v>0</v>
      </c>
      <c r="BO390" s="351">
        <v>0</v>
      </c>
      <c r="BP390" s="351">
        <v>159394136</v>
      </c>
      <c r="BQ390" s="351">
        <v>0</v>
      </c>
      <c r="BR390" s="351">
        <v>0</v>
      </c>
      <c r="BS390" s="351">
        <v>0</v>
      </c>
      <c r="BT390" s="351">
        <v>9150406515</v>
      </c>
      <c r="BU390" s="351">
        <v>0</v>
      </c>
      <c r="BV390" s="350">
        <f t="shared" si="333"/>
        <v>9.375E-2</v>
      </c>
      <c r="BW390" s="350">
        <v>37500</v>
      </c>
      <c r="BX390" s="385">
        <f t="shared" si="316"/>
        <v>0.375</v>
      </c>
      <c r="BY390" s="369">
        <v>26690</v>
      </c>
      <c r="BZ390" s="391">
        <v>43224</v>
      </c>
      <c r="CA390" s="689">
        <v>80372</v>
      </c>
      <c r="CB390" s="324">
        <f t="shared" si="317"/>
        <v>80372</v>
      </c>
      <c r="CC390" s="324">
        <f t="shared" si="318"/>
        <v>214.32533333333333</v>
      </c>
      <c r="CD390" s="384">
        <f t="shared" si="334"/>
        <v>100</v>
      </c>
      <c r="CE390" s="383">
        <f t="shared" si="335"/>
        <v>9.375E-2</v>
      </c>
      <c r="CF390" s="367">
        <f t="shared" si="336"/>
        <v>100</v>
      </c>
      <c r="CG390" s="383">
        <f t="shared" si="337"/>
        <v>0.20093</v>
      </c>
      <c r="CH390" s="320">
        <f t="shared" si="338"/>
        <v>3.875E-2</v>
      </c>
      <c r="CI390" s="319">
        <v>15500</v>
      </c>
      <c r="CJ390" s="318">
        <f t="shared" si="319"/>
        <v>0.155</v>
      </c>
      <c r="CK390" s="1259">
        <v>14146</v>
      </c>
      <c r="CL390" s="301">
        <f t="shared" si="320"/>
        <v>1354</v>
      </c>
      <c r="CM390" s="381">
        <f t="shared" si="321"/>
        <v>14146</v>
      </c>
      <c r="CN390" s="381">
        <f t="shared" si="322"/>
        <v>91.264516129032259</v>
      </c>
      <c r="CO390" s="316">
        <f t="shared" si="339"/>
        <v>91.264516129032259</v>
      </c>
      <c r="CP390" s="381">
        <f t="shared" si="340"/>
        <v>3.5365000000000001E-2</v>
      </c>
      <c r="CQ390" s="381">
        <f t="shared" si="341"/>
        <v>3.5365000000000001E-2</v>
      </c>
      <c r="CR390" s="313">
        <v>8000000000</v>
      </c>
      <c r="CS390" s="313">
        <v>7000000000</v>
      </c>
      <c r="CT390" s="313">
        <v>0</v>
      </c>
      <c r="CU390" s="313">
        <v>0</v>
      </c>
      <c r="CV390" s="313">
        <v>0</v>
      </c>
      <c r="CW390" s="313">
        <v>0</v>
      </c>
      <c r="CX390" s="313">
        <v>0</v>
      </c>
      <c r="CY390" s="313">
        <v>1000000000</v>
      </c>
      <c r="CZ390" s="380">
        <v>0</v>
      </c>
      <c r="DA390" s="380">
        <v>0</v>
      </c>
      <c r="DB390" s="380">
        <v>0</v>
      </c>
      <c r="DC390" s="380">
        <v>0</v>
      </c>
      <c r="DD390" s="380">
        <v>0</v>
      </c>
      <c r="DE390" s="380">
        <v>0</v>
      </c>
      <c r="DF390" s="380">
        <v>0</v>
      </c>
      <c r="DG390" s="380">
        <v>0</v>
      </c>
      <c r="DH390" s="380">
        <v>0</v>
      </c>
      <c r="DI390" s="380">
        <v>0</v>
      </c>
      <c r="DJ390" s="380">
        <v>0</v>
      </c>
      <c r="DK390" s="702">
        <f t="shared" si="323"/>
        <v>146272</v>
      </c>
      <c r="DL390" s="311">
        <f t="shared" si="342"/>
        <v>0.25</v>
      </c>
      <c r="DM390" s="310">
        <f t="shared" si="343"/>
        <v>146.27199999999999</v>
      </c>
      <c r="DN390" s="356">
        <f t="shared" si="344"/>
        <v>100</v>
      </c>
      <c r="DO390" s="308">
        <f t="shared" si="345"/>
        <v>0.25</v>
      </c>
      <c r="DP390" s="359">
        <f t="shared" si="325"/>
        <v>0.25</v>
      </c>
      <c r="DQ390" s="306">
        <f t="shared" si="346"/>
        <v>0.25</v>
      </c>
      <c r="DR390" s="379">
        <f t="shared" si="347"/>
        <v>1</v>
      </c>
      <c r="DS390" s="378">
        <f t="shared" si="348"/>
        <v>0</v>
      </c>
      <c r="DT390" s="173">
        <v>449</v>
      </c>
      <c r="DU390" s="174" t="s">
        <v>947</v>
      </c>
      <c r="DV390" s="173">
        <v>450</v>
      </c>
      <c r="DW390" s="174" t="s">
        <v>948</v>
      </c>
      <c r="DX390" s="173"/>
      <c r="DY390" s="173"/>
      <c r="DZ390" s="173"/>
      <c r="EA390" s="665"/>
      <c r="EB390" s="1254" t="s">
        <v>2593</v>
      </c>
      <c r="EC390" s="537">
        <v>717000000</v>
      </c>
      <c r="EE390" s="734">
        <v>58</v>
      </c>
      <c r="EF390" s="706"/>
    </row>
    <row r="391" spans="4:136" s="302" customFormat="1" ht="96" hidden="1">
      <c r="D391" s="520">
        <v>388</v>
      </c>
      <c r="E391" s="534">
        <v>456</v>
      </c>
      <c r="F391" s="336" t="s">
        <v>45</v>
      </c>
      <c r="G391" s="336" t="s">
        <v>15</v>
      </c>
      <c r="H391" s="336" t="s">
        <v>2672</v>
      </c>
      <c r="I391" s="336" t="s">
        <v>944</v>
      </c>
      <c r="J391" s="335" t="s">
        <v>1295</v>
      </c>
      <c r="K391" s="335" t="s">
        <v>956</v>
      </c>
      <c r="L391" s="436" t="s">
        <v>1872</v>
      </c>
      <c r="M391" s="337" t="s">
        <v>1771</v>
      </c>
      <c r="N391" s="337">
        <v>6800</v>
      </c>
      <c r="O391" s="333">
        <f t="shared" si="324"/>
        <v>21000</v>
      </c>
      <c r="P391" s="422">
        <v>14200</v>
      </c>
      <c r="Q391" s="393">
        <v>0.25</v>
      </c>
      <c r="R391" s="342">
        <f t="shared" si="326"/>
        <v>0.12323943661971831</v>
      </c>
      <c r="S391" s="417">
        <v>7000</v>
      </c>
      <c r="T391" s="337">
        <f t="shared" si="310"/>
        <v>0.49295774647887325</v>
      </c>
      <c r="U391" s="673">
        <v>7436</v>
      </c>
      <c r="V391" s="388">
        <f t="shared" si="311"/>
        <v>7436</v>
      </c>
      <c r="W391" s="356">
        <f t="shared" si="312"/>
        <v>106.22857142857143</v>
      </c>
      <c r="X391" s="356">
        <f t="shared" si="327"/>
        <v>100</v>
      </c>
      <c r="Y391" s="356">
        <f t="shared" si="307"/>
        <v>0.12323943661971831</v>
      </c>
      <c r="Z391" s="356">
        <f t="shared" si="328"/>
        <v>100</v>
      </c>
      <c r="AA391" s="413">
        <v>202059000000</v>
      </c>
      <c r="AB391" s="413">
        <v>202059000000</v>
      </c>
      <c r="AC391" s="413">
        <v>0</v>
      </c>
      <c r="AD391" s="413">
        <v>0</v>
      </c>
      <c r="AE391" s="413">
        <v>0</v>
      </c>
      <c r="AF391" s="413">
        <v>0</v>
      </c>
      <c r="AG391" s="413">
        <v>0</v>
      </c>
      <c r="AH391" s="413">
        <v>0</v>
      </c>
      <c r="AI391" s="413">
        <v>19567242000</v>
      </c>
      <c r="AJ391" s="413">
        <v>19217242000</v>
      </c>
      <c r="AK391" s="413">
        <v>0</v>
      </c>
      <c r="AL391" s="413">
        <v>0</v>
      </c>
      <c r="AM391" s="413">
        <v>0</v>
      </c>
      <c r="AN391" s="413">
        <v>0</v>
      </c>
      <c r="AO391" s="413">
        <v>305000000</v>
      </c>
      <c r="AP391" s="413">
        <v>45000000</v>
      </c>
      <c r="AQ391" s="413">
        <v>0</v>
      </c>
      <c r="AR391" s="413">
        <v>0</v>
      </c>
      <c r="AS391" s="413">
        <v>0</v>
      </c>
      <c r="AT391" s="392">
        <f t="shared" si="329"/>
        <v>9.8573943661971836E-2</v>
      </c>
      <c r="AU391" s="334">
        <v>5599</v>
      </c>
      <c r="AV391" s="387">
        <f t="shared" si="313"/>
        <v>0.39429577464788734</v>
      </c>
      <c r="AW391" s="677">
        <v>5955</v>
      </c>
      <c r="AX391" s="366">
        <f t="shared" si="314"/>
        <v>5955</v>
      </c>
      <c r="AY391" s="366">
        <f t="shared" si="315"/>
        <v>106.35827826397571</v>
      </c>
      <c r="AZ391" s="366">
        <f t="shared" si="330"/>
        <v>100</v>
      </c>
      <c r="BA391" s="354">
        <f t="shared" si="331"/>
        <v>9.8573943661971836E-2</v>
      </c>
      <c r="BB391" s="354">
        <f t="shared" si="332"/>
        <v>100</v>
      </c>
      <c r="BC391" s="353">
        <v>10753000000</v>
      </c>
      <c r="BD391" s="353">
        <v>0</v>
      </c>
      <c r="BE391" s="353">
        <v>3000000000</v>
      </c>
      <c r="BF391" s="353">
        <v>0</v>
      </c>
      <c r="BG391" s="353">
        <v>0</v>
      </c>
      <c r="BH391" s="353">
        <v>0</v>
      </c>
      <c r="BI391" s="353">
        <v>0</v>
      </c>
      <c r="BJ391" s="353">
        <v>7753000000</v>
      </c>
      <c r="BK391" s="428">
        <v>38465635</v>
      </c>
      <c r="BL391" s="351">
        <v>24711509</v>
      </c>
      <c r="BM391" s="351">
        <v>0</v>
      </c>
      <c r="BN391" s="351">
        <v>0</v>
      </c>
      <c r="BO391" s="351">
        <v>0</v>
      </c>
      <c r="BP391" s="351">
        <v>0</v>
      </c>
      <c r="BQ391" s="351">
        <v>13754126</v>
      </c>
      <c r="BR391" s="351">
        <v>0</v>
      </c>
      <c r="BS391" s="351">
        <v>0</v>
      </c>
      <c r="BT391" s="351">
        <v>3716527111</v>
      </c>
      <c r="BU391" s="351">
        <v>0</v>
      </c>
      <c r="BV391" s="350">
        <f t="shared" si="333"/>
        <v>1.3644366197183098E-2</v>
      </c>
      <c r="BW391" s="350">
        <v>775</v>
      </c>
      <c r="BX391" s="385">
        <f t="shared" si="316"/>
        <v>5.4577464788732391E-2</v>
      </c>
      <c r="BY391" s="369">
        <v>58.599998474121094</v>
      </c>
      <c r="BZ391" s="391">
        <v>58.599998474121094</v>
      </c>
      <c r="CA391" s="689">
        <v>258.60000610351562</v>
      </c>
      <c r="CB391" s="324">
        <f t="shared" si="317"/>
        <v>258.60000610351562</v>
      </c>
      <c r="CC391" s="324">
        <f t="shared" si="318"/>
        <v>33.367742723034276</v>
      </c>
      <c r="CD391" s="384">
        <f t="shared" si="334"/>
        <v>33.367742723034276</v>
      </c>
      <c r="CE391" s="383">
        <f t="shared" si="335"/>
        <v>4.5528170088647117E-3</v>
      </c>
      <c r="CF391" s="367">
        <f t="shared" si="336"/>
        <v>33.367742723034276</v>
      </c>
      <c r="CG391" s="383">
        <f t="shared" si="337"/>
        <v>4.5528170088647117E-3</v>
      </c>
      <c r="CH391" s="320">
        <f t="shared" si="338"/>
        <v>1.4542253521126761E-2</v>
      </c>
      <c r="CI391" s="319">
        <v>826</v>
      </c>
      <c r="CJ391" s="318">
        <f t="shared" si="319"/>
        <v>5.8169014084507045E-2</v>
      </c>
      <c r="CK391" s="1259">
        <v>1200</v>
      </c>
      <c r="CL391" s="301">
        <f t="shared" si="320"/>
        <v>-374</v>
      </c>
      <c r="CM391" s="381">
        <f t="shared" si="321"/>
        <v>1200</v>
      </c>
      <c r="CN391" s="381">
        <f t="shared" si="322"/>
        <v>145.27845036319613</v>
      </c>
      <c r="CO391" s="316">
        <f t="shared" si="339"/>
        <v>100</v>
      </c>
      <c r="CP391" s="381">
        <f t="shared" si="340"/>
        <v>1.4542253521126763E-2</v>
      </c>
      <c r="CQ391" s="381">
        <f t="shared" si="341"/>
        <v>2.1126760563380285E-2</v>
      </c>
      <c r="CR391" s="313">
        <v>18743000000</v>
      </c>
      <c r="CS391" s="313">
        <v>10990000</v>
      </c>
      <c r="CT391" s="313">
        <v>0</v>
      </c>
      <c r="CU391" s="313">
        <v>0</v>
      </c>
      <c r="CV391" s="313">
        <v>0</v>
      </c>
      <c r="CW391" s="313">
        <v>0</v>
      </c>
      <c r="CX391" s="313">
        <v>0</v>
      </c>
      <c r="CY391" s="313">
        <v>7753000000</v>
      </c>
      <c r="CZ391" s="380">
        <v>0</v>
      </c>
      <c r="DA391" s="380">
        <v>0</v>
      </c>
      <c r="DB391" s="380">
        <v>0</v>
      </c>
      <c r="DC391" s="380">
        <v>0</v>
      </c>
      <c r="DD391" s="380">
        <v>0</v>
      </c>
      <c r="DE391" s="380">
        <v>0</v>
      </c>
      <c r="DF391" s="380">
        <v>0</v>
      </c>
      <c r="DG391" s="380">
        <v>0</v>
      </c>
      <c r="DH391" s="380">
        <v>0</v>
      </c>
      <c r="DI391" s="380">
        <v>0</v>
      </c>
      <c r="DJ391" s="380">
        <v>0</v>
      </c>
      <c r="DK391" s="702">
        <f t="shared" si="323"/>
        <v>14849.600006103516</v>
      </c>
      <c r="DL391" s="311">
        <f t="shared" si="342"/>
        <v>0.25</v>
      </c>
      <c r="DM391" s="310">
        <f t="shared" si="343"/>
        <v>104.57464793030645</v>
      </c>
      <c r="DN391" s="356">
        <f t="shared" si="344"/>
        <v>100</v>
      </c>
      <c r="DO391" s="308">
        <f t="shared" si="345"/>
        <v>0.25</v>
      </c>
      <c r="DP391" s="359">
        <f t="shared" si="325"/>
        <v>0.25</v>
      </c>
      <c r="DQ391" s="306">
        <f t="shared" si="346"/>
        <v>0.25</v>
      </c>
      <c r="DR391" s="379">
        <f t="shared" si="347"/>
        <v>1</v>
      </c>
      <c r="DS391" s="378">
        <f t="shared" si="348"/>
        <v>0</v>
      </c>
      <c r="DT391" s="173">
        <v>449</v>
      </c>
      <c r="DU391" s="174" t="s">
        <v>947</v>
      </c>
      <c r="DV391" s="173">
        <v>450</v>
      </c>
      <c r="DW391" s="174" t="s">
        <v>948</v>
      </c>
      <c r="DX391" s="173"/>
      <c r="DY391" s="173"/>
      <c r="DZ391" s="173"/>
      <c r="EA391" s="665"/>
      <c r="EB391" s="1254" t="s">
        <v>2401</v>
      </c>
      <c r="EC391" s="537">
        <v>522000000</v>
      </c>
      <c r="EE391" s="734">
        <v>5000</v>
      </c>
      <c r="EF391" s="706"/>
    </row>
    <row r="392" spans="4:136" s="302" customFormat="1" ht="96" hidden="1">
      <c r="D392" s="520">
        <v>389</v>
      </c>
      <c r="E392" s="534">
        <v>457</v>
      </c>
      <c r="F392" s="479" t="s">
        <v>45</v>
      </c>
      <c r="G392" s="479" t="s">
        <v>15</v>
      </c>
      <c r="H392" s="479" t="s">
        <v>2672</v>
      </c>
      <c r="I392" s="435" t="s">
        <v>944</v>
      </c>
      <c r="J392" s="335" t="s">
        <v>957</v>
      </c>
      <c r="K392" s="335" t="s">
        <v>958</v>
      </c>
      <c r="L392" s="442" t="s">
        <v>1874</v>
      </c>
      <c r="M392" s="334" t="s">
        <v>1771</v>
      </c>
      <c r="N392" s="337">
        <v>163</v>
      </c>
      <c r="O392" s="333">
        <f t="shared" si="324"/>
        <v>333</v>
      </c>
      <c r="P392" s="422">
        <v>170</v>
      </c>
      <c r="Q392" s="390">
        <v>0.25</v>
      </c>
      <c r="R392" s="342">
        <f t="shared" si="326"/>
        <v>5.1470588235294115E-2</v>
      </c>
      <c r="S392" s="417">
        <v>35</v>
      </c>
      <c r="T392" s="337">
        <f t="shared" si="310"/>
        <v>0.20588235294117646</v>
      </c>
      <c r="U392" s="673">
        <v>55</v>
      </c>
      <c r="V392" s="388">
        <f t="shared" si="311"/>
        <v>55</v>
      </c>
      <c r="W392" s="356">
        <f t="shared" si="312"/>
        <v>157.14285714285714</v>
      </c>
      <c r="X392" s="356">
        <f t="shared" si="327"/>
        <v>100</v>
      </c>
      <c r="Y392" s="356">
        <f t="shared" si="307"/>
        <v>5.1470588235294115E-2</v>
      </c>
      <c r="Z392" s="356">
        <f t="shared" si="328"/>
        <v>100</v>
      </c>
      <c r="AA392" s="413">
        <v>305000000000</v>
      </c>
      <c r="AB392" s="413">
        <v>305000000000</v>
      </c>
      <c r="AC392" s="413">
        <v>0</v>
      </c>
      <c r="AD392" s="413">
        <v>0</v>
      </c>
      <c r="AE392" s="413">
        <v>0</v>
      </c>
      <c r="AF392" s="413">
        <v>0</v>
      </c>
      <c r="AG392" s="413">
        <v>0</v>
      </c>
      <c r="AH392" s="413">
        <v>0</v>
      </c>
      <c r="AI392" s="413">
        <v>3766172000</v>
      </c>
      <c r="AJ392" s="413">
        <v>3766172000</v>
      </c>
      <c r="AK392" s="413">
        <v>0</v>
      </c>
      <c r="AL392" s="413">
        <v>0</v>
      </c>
      <c r="AM392" s="413">
        <v>0</v>
      </c>
      <c r="AN392" s="413">
        <v>0</v>
      </c>
      <c r="AO392" s="413">
        <v>0</v>
      </c>
      <c r="AP392" s="413">
        <v>0</v>
      </c>
      <c r="AQ392" s="413">
        <v>0</v>
      </c>
      <c r="AR392" s="413">
        <v>0</v>
      </c>
      <c r="AS392" s="413">
        <v>0</v>
      </c>
      <c r="AT392" s="333">
        <f t="shared" si="329"/>
        <v>5.1470588235294115E-2</v>
      </c>
      <c r="AU392" s="334">
        <v>35</v>
      </c>
      <c r="AV392" s="387">
        <f t="shared" si="313"/>
        <v>0.20588235294117646</v>
      </c>
      <c r="AW392" s="677">
        <v>72</v>
      </c>
      <c r="AX392" s="366">
        <f t="shared" si="314"/>
        <v>72</v>
      </c>
      <c r="AY392" s="366">
        <f t="shared" si="315"/>
        <v>205.71428571428572</v>
      </c>
      <c r="AZ392" s="366">
        <f t="shared" si="330"/>
        <v>100</v>
      </c>
      <c r="BA392" s="354">
        <f t="shared" si="331"/>
        <v>5.1470588235294115E-2</v>
      </c>
      <c r="BB392" s="354">
        <f t="shared" si="332"/>
        <v>100</v>
      </c>
      <c r="BC392" s="353">
        <v>463000000</v>
      </c>
      <c r="BD392" s="353">
        <v>0</v>
      </c>
      <c r="BE392" s="353">
        <v>200000000</v>
      </c>
      <c r="BF392" s="353">
        <v>0</v>
      </c>
      <c r="BG392" s="353">
        <v>0</v>
      </c>
      <c r="BH392" s="353">
        <v>0</v>
      </c>
      <c r="BI392" s="353">
        <v>0</v>
      </c>
      <c r="BJ392" s="353">
        <v>263000000</v>
      </c>
      <c r="BK392" s="428">
        <v>10103924430</v>
      </c>
      <c r="BL392" s="351">
        <v>3250000000</v>
      </c>
      <c r="BM392" s="351">
        <v>0</v>
      </c>
      <c r="BN392" s="351">
        <v>0</v>
      </c>
      <c r="BO392" s="351">
        <v>0</v>
      </c>
      <c r="BP392" s="351">
        <v>620304130</v>
      </c>
      <c r="BQ392" s="351">
        <v>165190692</v>
      </c>
      <c r="BR392" s="351">
        <v>6068429608</v>
      </c>
      <c r="BS392" s="351">
        <v>0</v>
      </c>
      <c r="BT392" s="351">
        <v>0</v>
      </c>
      <c r="BU392" s="351">
        <v>0</v>
      </c>
      <c r="BV392" s="350">
        <f t="shared" si="333"/>
        <v>7.3529411764705885E-2</v>
      </c>
      <c r="BW392" s="350">
        <v>50</v>
      </c>
      <c r="BX392" s="385">
        <f t="shared" si="316"/>
        <v>0.29411764705882354</v>
      </c>
      <c r="BY392" s="369">
        <v>0</v>
      </c>
      <c r="BZ392" s="391">
        <v>0</v>
      </c>
      <c r="CA392" s="689">
        <v>2</v>
      </c>
      <c r="CB392" s="324">
        <f t="shared" si="317"/>
        <v>2</v>
      </c>
      <c r="CC392" s="324">
        <f t="shared" si="318"/>
        <v>4</v>
      </c>
      <c r="CD392" s="384">
        <f t="shared" si="334"/>
        <v>4</v>
      </c>
      <c r="CE392" s="383">
        <f t="shared" si="335"/>
        <v>2.9411764705882353E-3</v>
      </c>
      <c r="CF392" s="367">
        <f t="shared" si="336"/>
        <v>4</v>
      </c>
      <c r="CG392" s="383">
        <f t="shared" si="337"/>
        <v>2.9411764705882353E-3</v>
      </c>
      <c r="CH392" s="320">
        <f t="shared" si="338"/>
        <v>7.3529411764705885E-2</v>
      </c>
      <c r="CI392" s="319">
        <v>50</v>
      </c>
      <c r="CJ392" s="318">
        <f t="shared" si="319"/>
        <v>0.29411764705882354</v>
      </c>
      <c r="CK392" s="1259">
        <v>43</v>
      </c>
      <c r="CL392" s="301">
        <f t="shared" si="320"/>
        <v>7</v>
      </c>
      <c r="CM392" s="381">
        <f t="shared" si="321"/>
        <v>43</v>
      </c>
      <c r="CN392" s="381">
        <f t="shared" si="322"/>
        <v>86</v>
      </c>
      <c r="CO392" s="316">
        <f t="shared" si="339"/>
        <v>86</v>
      </c>
      <c r="CP392" s="381">
        <f t="shared" si="340"/>
        <v>6.323529411764707E-2</v>
      </c>
      <c r="CQ392" s="381">
        <f t="shared" si="341"/>
        <v>6.323529411764707E-2</v>
      </c>
      <c r="CR392" s="313">
        <v>863000000</v>
      </c>
      <c r="CS392" s="313">
        <v>600000000</v>
      </c>
      <c r="CT392" s="313">
        <v>0</v>
      </c>
      <c r="CU392" s="313">
        <v>0</v>
      </c>
      <c r="CV392" s="313">
        <v>0</v>
      </c>
      <c r="CW392" s="313">
        <v>0</v>
      </c>
      <c r="CX392" s="313">
        <v>0</v>
      </c>
      <c r="CY392" s="313">
        <v>263000000</v>
      </c>
      <c r="CZ392" s="380">
        <v>0</v>
      </c>
      <c r="DA392" s="380">
        <v>0</v>
      </c>
      <c r="DB392" s="380">
        <v>0</v>
      </c>
      <c r="DC392" s="380">
        <v>0</v>
      </c>
      <c r="DD392" s="380">
        <v>0</v>
      </c>
      <c r="DE392" s="380">
        <v>0</v>
      </c>
      <c r="DF392" s="380">
        <v>0</v>
      </c>
      <c r="DG392" s="380">
        <v>0</v>
      </c>
      <c r="DH392" s="380">
        <v>0</v>
      </c>
      <c r="DI392" s="380">
        <v>0</v>
      </c>
      <c r="DJ392" s="380">
        <v>0</v>
      </c>
      <c r="DK392" s="702">
        <f t="shared" si="323"/>
        <v>172</v>
      </c>
      <c r="DL392" s="311">
        <f t="shared" si="342"/>
        <v>0.25</v>
      </c>
      <c r="DM392" s="310">
        <f t="shared" si="343"/>
        <v>101.17647058823529</v>
      </c>
      <c r="DN392" s="356">
        <f t="shared" si="344"/>
        <v>100</v>
      </c>
      <c r="DO392" s="308">
        <f t="shared" si="345"/>
        <v>0.25</v>
      </c>
      <c r="DP392" s="359">
        <f t="shared" si="325"/>
        <v>0.25</v>
      </c>
      <c r="DQ392" s="306">
        <f t="shared" si="346"/>
        <v>0.25</v>
      </c>
      <c r="DR392" s="379">
        <f t="shared" si="347"/>
        <v>1</v>
      </c>
      <c r="DS392" s="378">
        <f t="shared" si="348"/>
        <v>0</v>
      </c>
      <c r="DT392" s="173">
        <v>449</v>
      </c>
      <c r="DU392" s="174" t="s">
        <v>947</v>
      </c>
      <c r="DV392" s="173">
        <v>450</v>
      </c>
      <c r="DW392" s="174" t="s">
        <v>948</v>
      </c>
      <c r="DX392" s="173"/>
      <c r="DY392" s="173"/>
      <c r="DZ392" s="173"/>
      <c r="EA392" s="665"/>
      <c r="EB392" s="1254" t="s">
        <v>2402</v>
      </c>
      <c r="EC392" s="537">
        <v>135000000</v>
      </c>
      <c r="EE392" s="734">
        <v>50</v>
      </c>
      <c r="EF392" s="706"/>
    </row>
    <row r="393" spans="4:136" s="302" customFormat="1" ht="96" hidden="1">
      <c r="D393" s="520">
        <v>390</v>
      </c>
      <c r="E393" s="534">
        <v>458</v>
      </c>
      <c r="F393" s="479" t="s">
        <v>45</v>
      </c>
      <c r="G393" s="479" t="s">
        <v>15</v>
      </c>
      <c r="H393" s="479" t="s">
        <v>2672</v>
      </c>
      <c r="I393" s="435" t="s">
        <v>944</v>
      </c>
      <c r="J393" s="335" t="s">
        <v>959</v>
      </c>
      <c r="K393" s="335" t="s">
        <v>960</v>
      </c>
      <c r="L393" s="436" t="s">
        <v>1415</v>
      </c>
      <c r="M393" s="334" t="s">
        <v>1771</v>
      </c>
      <c r="N393" s="337">
        <v>0</v>
      </c>
      <c r="O393" s="333">
        <v>116</v>
      </c>
      <c r="P393" s="422">
        <v>116</v>
      </c>
      <c r="Q393" s="390">
        <v>0.33</v>
      </c>
      <c r="R393" s="342">
        <f t="shared" si="326"/>
        <v>8.2500000000000004E-2</v>
      </c>
      <c r="S393" s="417">
        <v>29</v>
      </c>
      <c r="T393" s="337">
        <f t="shared" si="310"/>
        <v>0.25</v>
      </c>
      <c r="U393" s="673">
        <v>58</v>
      </c>
      <c r="V393" s="388">
        <f t="shared" si="311"/>
        <v>58</v>
      </c>
      <c r="W393" s="356">
        <f t="shared" si="312"/>
        <v>200</v>
      </c>
      <c r="X393" s="356">
        <f t="shared" si="327"/>
        <v>100</v>
      </c>
      <c r="Y393" s="356">
        <f t="shared" si="307"/>
        <v>8.2500000000000004E-2</v>
      </c>
      <c r="Z393" s="356">
        <f t="shared" si="328"/>
        <v>100</v>
      </c>
      <c r="AA393" s="413">
        <v>0</v>
      </c>
      <c r="AB393" s="413">
        <v>0</v>
      </c>
      <c r="AC393" s="413">
        <v>0</v>
      </c>
      <c r="AD393" s="413">
        <v>0</v>
      </c>
      <c r="AE393" s="413">
        <v>0</v>
      </c>
      <c r="AF393" s="413">
        <v>0</v>
      </c>
      <c r="AG393" s="413">
        <v>0</v>
      </c>
      <c r="AH393" s="413">
        <v>0</v>
      </c>
      <c r="AI393" s="413">
        <v>19167750000</v>
      </c>
      <c r="AJ393" s="413">
        <v>14578750000</v>
      </c>
      <c r="AK393" s="413">
        <v>0</v>
      </c>
      <c r="AL393" s="413">
        <v>0</v>
      </c>
      <c r="AM393" s="413">
        <v>0</v>
      </c>
      <c r="AN393" s="413">
        <v>0</v>
      </c>
      <c r="AO393" s="413">
        <v>0</v>
      </c>
      <c r="AP393" s="413">
        <v>4589000000</v>
      </c>
      <c r="AQ393" s="413">
        <v>0</v>
      </c>
      <c r="AR393" s="413">
        <v>0</v>
      </c>
      <c r="AS393" s="413">
        <v>0</v>
      </c>
      <c r="AT393" s="333">
        <f t="shared" si="329"/>
        <v>0.15362068965517242</v>
      </c>
      <c r="AU393" s="334">
        <v>54</v>
      </c>
      <c r="AV393" s="387">
        <f t="shared" si="313"/>
        <v>0.46551724137931033</v>
      </c>
      <c r="AW393" s="681">
        <v>52</v>
      </c>
      <c r="AX393" s="366">
        <f t="shared" si="314"/>
        <v>52</v>
      </c>
      <c r="AY393" s="366">
        <f t="shared" si="315"/>
        <v>96.296296296296291</v>
      </c>
      <c r="AZ393" s="366">
        <f t="shared" si="330"/>
        <v>96.296296296296291</v>
      </c>
      <c r="BA393" s="354">
        <f t="shared" si="331"/>
        <v>0.1479310344827586</v>
      </c>
      <c r="BB393" s="354">
        <f t="shared" si="332"/>
        <v>96.296296296296291</v>
      </c>
      <c r="BC393" s="353">
        <v>15494000000</v>
      </c>
      <c r="BD393" s="353">
        <v>0</v>
      </c>
      <c r="BE393" s="353">
        <v>4000000000</v>
      </c>
      <c r="BF393" s="353">
        <v>0</v>
      </c>
      <c r="BG393" s="353">
        <v>0</v>
      </c>
      <c r="BH393" s="353">
        <v>0</v>
      </c>
      <c r="BI393" s="353">
        <v>0</v>
      </c>
      <c r="BJ393" s="353">
        <v>11494000</v>
      </c>
      <c r="BK393" s="428">
        <v>3918884609</v>
      </c>
      <c r="BL393" s="351">
        <v>3918884609</v>
      </c>
      <c r="BM393" s="351">
        <v>0</v>
      </c>
      <c r="BN393" s="351">
        <v>0</v>
      </c>
      <c r="BO393" s="351">
        <v>0</v>
      </c>
      <c r="BP393" s="351">
        <v>0</v>
      </c>
      <c r="BQ393" s="351">
        <v>0</v>
      </c>
      <c r="BR393" s="351">
        <v>0</v>
      </c>
      <c r="BS393" s="351">
        <v>0</v>
      </c>
      <c r="BT393" s="351">
        <v>8643257256</v>
      </c>
      <c r="BU393" s="351">
        <v>0</v>
      </c>
      <c r="BV393" s="350">
        <f t="shared" si="333"/>
        <v>8.2500000000000004E-2</v>
      </c>
      <c r="BW393" s="350">
        <v>29</v>
      </c>
      <c r="BX393" s="385">
        <f t="shared" si="316"/>
        <v>0.25</v>
      </c>
      <c r="BY393" s="369">
        <v>0</v>
      </c>
      <c r="BZ393" s="391">
        <v>0</v>
      </c>
      <c r="CA393" s="689">
        <v>0</v>
      </c>
      <c r="CB393" s="324">
        <f t="shared" si="317"/>
        <v>0</v>
      </c>
      <c r="CC393" s="324">
        <f t="shared" si="318"/>
        <v>0</v>
      </c>
      <c r="CD393" s="384">
        <f t="shared" si="334"/>
        <v>0</v>
      </c>
      <c r="CE393" s="383">
        <f t="shared" si="335"/>
        <v>0</v>
      </c>
      <c r="CF393" s="367">
        <f t="shared" si="336"/>
        <v>0</v>
      </c>
      <c r="CG393" s="383">
        <f t="shared" si="337"/>
        <v>0</v>
      </c>
      <c r="CH393" s="320">
        <f t="shared" si="338"/>
        <v>1.1379310344827587E-2</v>
      </c>
      <c r="CI393" s="319">
        <v>4</v>
      </c>
      <c r="CJ393" s="318">
        <f t="shared" si="319"/>
        <v>3.4482758620689655E-2</v>
      </c>
      <c r="CK393" s="1259">
        <v>224</v>
      </c>
      <c r="CL393" s="301">
        <f t="shared" si="320"/>
        <v>-220</v>
      </c>
      <c r="CM393" s="381">
        <f t="shared" si="321"/>
        <v>224</v>
      </c>
      <c r="CN393" s="381">
        <f t="shared" si="322"/>
        <v>5600</v>
      </c>
      <c r="CO393" s="316">
        <f t="shared" si="339"/>
        <v>100</v>
      </c>
      <c r="CP393" s="381">
        <f t="shared" si="340"/>
        <v>1.1379310344827587E-2</v>
      </c>
      <c r="CQ393" s="381">
        <f t="shared" si="341"/>
        <v>0.63724137931034486</v>
      </c>
      <c r="CR393" s="313">
        <v>31494000000</v>
      </c>
      <c r="CS393" s="313">
        <v>20000000</v>
      </c>
      <c r="CT393" s="313">
        <v>0</v>
      </c>
      <c r="CU393" s="313">
        <v>0</v>
      </c>
      <c r="CV393" s="313">
        <v>0</v>
      </c>
      <c r="CW393" s="313">
        <v>0</v>
      </c>
      <c r="CX393" s="313">
        <v>0</v>
      </c>
      <c r="CY393" s="313">
        <v>11494000</v>
      </c>
      <c r="CZ393" s="380">
        <v>0</v>
      </c>
      <c r="DA393" s="380">
        <v>0</v>
      </c>
      <c r="DB393" s="380">
        <v>0</v>
      </c>
      <c r="DC393" s="380">
        <v>0</v>
      </c>
      <c r="DD393" s="380">
        <v>0</v>
      </c>
      <c r="DE393" s="380">
        <v>0</v>
      </c>
      <c r="DF393" s="380">
        <v>0</v>
      </c>
      <c r="DG393" s="380">
        <v>0</v>
      </c>
      <c r="DH393" s="380">
        <v>0</v>
      </c>
      <c r="DI393" s="380">
        <v>0</v>
      </c>
      <c r="DJ393" s="380">
        <v>0</v>
      </c>
      <c r="DK393" s="702">
        <f t="shared" si="323"/>
        <v>334</v>
      </c>
      <c r="DL393" s="311">
        <f t="shared" si="342"/>
        <v>0.33</v>
      </c>
      <c r="DM393" s="310">
        <f t="shared" si="343"/>
        <v>287.93103448275861</v>
      </c>
      <c r="DN393" s="356">
        <f t="shared" si="344"/>
        <v>100</v>
      </c>
      <c r="DO393" s="308">
        <f t="shared" si="345"/>
        <v>0.33</v>
      </c>
      <c r="DP393" s="359">
        <f t="shared" si="325"/>
        <v>0.33</v>
      </c>
      <c r="DQ393" s="306">
        <f t="shared" si="346"/>
        <v>0.33</v>
      </c>
      <c r="DR393" s="379">
        <f t="shared" si="347"/>
        <v>0.99999999999999989</v>
      </c>
      <c r="DS393" s="378">
        <f t="shared" si="348"/>
        <v>-1.3877787807814457E-17</v>
      </c>
      <c r="DT393" s="173">
        <v>449</v>
      </c>
      <c r="DU393" s="174" t="s">
        <v>947</v>
      </c>
      <c r="DV393" s="173">
        <v>450</v>
      </c>
      <c r="DW393" s="174" t="s">
        <v>948</v>
      </c>
      <c r="DX393" s="173"/>
      <c r="DY393" s="173"/>
      <c r="DZ393" s="173"/>
      <c r="EA393" s="665"/>
      <c r="EB393" s="1254" t="s">
        <v>2594</v>
      </c>
      <c r="EC393" s="537">
        <v>650000000</v>
      </c>
      <c r="EE393" s="734">
        <v>0</v>
      </c>
      <c r="EF393" s="706"/>
    </row>
    <row r="394" spans="4:136" s="302" customFormat="1" ht="51" hidden="1">
      <c r="D394" s="520">
        <v>391</v>
      </c>
      <c r="E394" s="534">
        <v>459</v>
      </c>
      <c r="F394" s="479" t="s">
        <v>45</v>
      </c>
      <c r="G394" s="479" t="s">
        <v>15</v>
      </c>
      <c r="H394" s="479" t="s">
        <v>2672</v>
      </c>
      <c r="I394" s="435" t="s">
        <v>944</v>
      </c>
      <c r="J394" s="335" t="s">
        <v>961</v>
      </c>
      <c r="K394" s="335" t="s">
        <v>962</v>
      </c>
      <c r="L394" s="436" t="s">
        <v>1873</v>
      </c>
      <c r="M394" s="334" t="s">
        <v>1785</v>
      </c>
      <c r="N394" s="337">
        <v>0</v>
      </c>
      <c r="O394" s="333">
        <f>+P394</f>
        <v>3</v>
      </c>
      <c r="P394" s="332">
        <v>3</v>
      </c>
      <c r="Q394" s="390">
        <v>8.8999999999999996E-2</v>
      </c>
      <c r="R394" s="342">
        <f t="shared" si="326"/>
        <v>2.2249999999999999E-2</v>
      </c>
      <c r="S394" s="417">
        <v>3</v>
      </c>
      <c r="T394" s="337">
        <f t="shared" si="310"/>
        <v>0.25</v>
      </c>
      <c r="U394" s="673">
        <v>3</v>
      </c>
      <c r="V394" s="388">
        <f t="shared" si="311"/>
        <v>0.75</v>
      </c>
      <c r="W394" s="356">
        <f t="shared" si="312"/>
        <v>100</v>
      </c>
      <c r="X394" s="356">
        <f t="shared" si="327"/>
        <v>100</v>
      </c>
      <c r="Y394" s="356">
        <f t="shared" si="307"/>
        <v>2.2250000000000002E-2</v>
      </c>
      <c r="Z394" s="356">
        <f t="shared" si="328"/>
        <v>100</v>
      </c>
      <c r="AA394" s="413">
        <v>0</v>
      </c>
      <c r="AB394" s="413">
        <v>0</v>
      </c>
      <c r="AC394" s="413">
        <v>0</v>
      </c>
      <c r="AD394" s="413">
        <v>0</v>
      </c>
      <c r="AE394" s="413">
        <v>0</v>
      </c>
      <c r="AF394" s="413">
        <v>0</v>
      </c>
      <c r="AG394" s="413">
        <v>0</v>
      </c>
      <c r="AH394" s="413">
        <v>0</v>
      </c>
      <c r="AI394" s="413">
        <v>24691475000</v>
      </c>
      <c r="AJ394" s="413">
        <v>24691475000</v>
      </c>
      <c r="AK394" s="413">
        <v>0</v>
      </c>
      <c r="AL394" s="413">
        <v>0</v>
      </c>
      <c r="AM394" s="413">
        <v>0</v>
      </c>
      <c r="AN394" s="413">
        <v>0</v>
      </c>
      <c r="AO394" s="413">
        <v>0</v>
      </c>
      <c r="AP394" s="413">
        <v>0</v>
      </c>
      <c r="AQ394" s="413">
        <v>0</v>
      </c>
      <c r="AR394" s="413">
        <v>0</v>
      </c>
      <c r="AS394" s="413">
        <v>0</v>
      </c>
      <c r="AT394" s="333">
        <f t="shared" si="329"/>
        <v>2.2249999999999999E-2</v>
      </c>
      <c r="AU394" s="334">
        <v>3</v>
      </c>
      <c r="AV394" s="387">
        <f t="shared" si="313"/>
        <v>0.25</v>
      </c>
      <c r="AW394" s="681">
        <v>3</v>
      </c>
      <c r="AX394" s="366">
        <f t="shared" si="314"/>
        <v>0.75</v>
      </c>
      <c r="AY394" s="366">
        <f t="shared" si="315"/>
        <v>100</v>
      </c>
      <c r="AZ394" s="366">
        <f t="shared" si="330"/>
        <v>100</v>
      </c>
      <c r="BA394" s="354">
        <f t="shared" si="331"/>
        <v>2.2250000000000002E-2</v>
      </c>
      <c r="BB394" s="354">
        <f t="shared" si="332"/>
        <v>100</v>
      </c>
      <c r="BC394" s="353">
        <v>10000000000</v>
      </c>
      <c r="BD394" s="353">
        <v>0</v>
      </c>
      <c r="BE394" s="353">
        <v>10000000</v>
      </c>
      <c r="BF394" s="353">
        <v>0</v>
      </c>
      <c r="BG394" s="353">
        <v>0</v>
      </c>
      <c r="BH394" s="353">
        <v>0</v>
      </c>
      <c r="BI394" s="353">
        <v>0</v>
      </c>
      <c r="BJ394" s="353">
        <v>0</v>
      </c>
      <c r="BK394" s="428">
        <v>0</v>
      </c>
      <c r="BL394" s="351">
        <v>0</v>
      </c>
      <c r="BM394" s="351">
        <v>0</v>
      </c>
      <c r="BN394" s="351">
        <v>0</v>
      </c>
      <c r="BO394" s="351">
        <v>0</v>
      </c>
      <c r="BP394" s="351">
        <v>0</v>
      </c>
      <c r="BQ394" s="351">
        <v>0</v>
      </c>
      <c r="BR394" s="351">
        <v>0</v>
      </c>
      <c r="BS394" s="351">
        <v>0</v>
      </c>
      <c r="BT394" s="351">
        <v>0</v>
      </c>
      <c r="BU394" s="351">
        <v>0</v>
      </c>
      <c r="BV394" s="350">
        <f t="shared" si="333"/>
        <v>2.2249999999999999E-2</v>
      </c>
      <c r="BW394" s="350">
        <v>3</v>
      </c>
      <c r="BX394" s="385">
        <f t="shared" si="316"/>
        <v>0.25</v>
      </c>
      <c r="BY394" s="369">
        <v>3</v>
      </c>
      <c r="BZ394" s="391">
        <v>3</v>
      </c>
      <c r="CA394" s="689">
        <v>3</v>
      </c>
      <c r="CB394" s="324">
        <f t="shared" si="317"/>
        <v>0.75</v>
      </c>
      <c r="CC394" s="324">
        <f t="shared" si="318"/>
        <v>100</v>
      </c>
      <c r="CD394" s="384">
        <f t="shared" si="334"/>
        <v>100</v>
      </c>
      <c r="CE394" s="383">
        <f t="shared" si="335"/>
        <v>2.2250000000000002E-2</v>
      </c>
      <c r="CF394" s="367">
        <f t="shared" si="336"/>
        <v>100</v>
      </c>
      <c r="CG394" s="383">
        <f t="shared" si="337"/>
        <v>2.2250000000000002E-2</v>
      </c>
      <c r="CH394" s="320">
        <f t="shared" si="338"/>
        <v>2.2249999999999999E-2</v>
      </c>
      <c r="CI394" s="319">
        <v>3</v>
      </c>
      <c r="CJ394" s="318">
        <f t="shared" si="319"/>
        <v>0.25</v>
      </c>
      <c r="CK394" s="1258">
        <v>3</v>
      </c>
      <c r="CL394" s="301">
        <f t="shared" si="320"/>
        <v>0</v>
      </c>
      <c r="CM394" s="381">
        <f t="shared" si="321"/>
        <v>0.75</v>
      </c>
      <c r="CN394" s="381">
        <f t="shared" si="322"/>
        <v>100</v>
      </c>
      <c r="CO394" s="381">
        <f t="shared" si="339"/>
        <v>100</v>
      </c>
      <c r="CP394" s="381">
        <f t="shared" si="340"/>
        <v>2.2250000000000002E-2</v>
      </c>
      <c r="CQ394" s="381">
        <f t="shared" si="341"/>
        <v>2.2250000000000002E-2</v>
      </c>
      <c r="CR394" s="313">
        <v>19550000000</v>
      </c>
      <c r="CS394" s="313">
        <v>19550000</v>
      </c>
      <c r="CT394" s="313">
        <v>0</v>
      </c>
      <c r="CU394" s="313">
        <v>0</v>
      </c>
      <c r="CV394" s="313">
        <v>0</v>
      </c>
      <c r="CW394" s="313">
        <v>0</v>
      </c>
      <c r="CX394" s="313">
        <v>0</v>
      </c>
      <c r="CY394" s="313">
        <v>0</v>
      </c>
      <c r="CZ394" s="380">
        <v>0</v>
      </c>
      <c r="DA394" s="380">
        <v>0</v>
      </c>
      <c r="DB394" s="380">
        <v>0</v>
      </c>
      <c r="DC394" s="380">
        <v>0</v>
      </c>
      <c r="DD394" s="380">
        <v>0</v>
      </c>
      <c r="DE394" s="380">
        <v>0</v>
      </c>
      <c r="DF394" s="380">
        <v>0</v>
      </c>
      <c r="DG394" s="380">
        <v>0</v>
      </c>
      <c r="DH394" s="380">
        <v>0</v>
      </c>
      <c r="DI394" s="380">
        <v>0</v>
      </c>
      <c r="DJ394" s="380">
        <v>0</v>
      </c>
      <c r="DK394" s="702">
        <f t="shared" si="323"/>
        <v>3</v>
      </c>
      <c r="DL394" s="311">
        <f t="shared" si="342"/>
        <v>8.8999999999999996E-2</v>
      </c>
      <c r="DM394" s="310">
        <f t="shared" si="343"/>
        <v>100</v>
      </c>
      <c r="DN394" s="356">
        <f t="shared" si="344"/>
        <v>100</v>
      </c>
      <c r="DO394" s="308">
        <f t="shared" si="345"/>
        <v>8.900000000000001E-2</v>
      </c>
      <c r="DP394" s="359">
        <f>+IF(M394="M",DO394,0)</f>
        <v>8.900000000000001E-2</v>
      </c>
      <c r="DQ394" s="306">
        <f t="shared" si="346"/>
        <v>8.900000000000001E-2</v>
      </c>
      <c r="DR394" s="379">
        <f t="shared" si="347"/>
        <v>1</v>
      </c>
      <c r="DS394" s="378">
        <f t="shared" si="348"/>
        <v>0</v>
      </c>
      <c r="DT394" s="173">
        <v>450</v>
      </c>
      <c r="DU394" s="174" t="s">
        <v>948</v>
      </c>
      <c r="DV394" s="173"/>
      <c r="DW394" s="174" t="s">
        <v>84</v>
      </c>
      <c r="DX394" s="173"/>
      <c r="DY394" s="173"/>
      <c r="DZ394" s="173"/>
      <c r="EA394" s="665"/>
      <c r="EB394" s="1254" t="s">
        <v>2122</v>
      </c>
      <c r="EC394" s="537">
        <v>638000000</v>
      </c>
      <c r="EE394" s="734">
        <v>20000</v>
      </c>
      <c r="EF394" s="706"/>
    </row>
    <row r="395" spans="4:136" s="302" customFormat="1" ht="51" hidden="1">
      <c r="D395" s="520">
        <v>392</v>
      </c>
      <c r="E395" s="534">
        <v>460</v>
      </c>
      <c r="F395" s="336" t="s">
        <v>45</v>
      </c>
      <c r="G395" s="336" t="s">
        <v>15</v>
      </c>
      <c r="H395" s="336" t="s">
        <v>2672</v>
      </c>
      <c r="I395" s="336" t="s">
        <v>944</v>
      </c>
      <c r="J395" s="335" t="s">
        <v>1296</v>
      </c>
      <c r="K395" s="335" t="s">
        <v>963</v>
      </c>
      <c r="L395" s="436" t="s">
        <v>1872</v>
      </c>
      <c r="M395" s="337" t="s">
        <v>1771</v>
      </c>
      <c r="N395" s="337">
        <v>13630</v>
      </c>
      <c r="O395" s="333">
        <f>+N395+P395</f>
        <v>28340</v>
      </c>
      <c r="P395" s="422">
        <v>14710</v>
      </c>
      <c r="Q395" s="393">
        <v>0.25</v>
      </c>
      <c r="R395" s="342">
        <f t="shared" si="326"/>
        <v>0</v>
      </c>
      <c r="S395" s="417">
        <v>0</v>
      </c>
      <c r="T395" s="337">
        <f t="shared" si="310"/>
        <v>0</v>
      </c>
      <c r="U395" s="673">
        <v>10</v>
      </c>
      <c r="V395" s="388">
        <f t="shared" si="311"/>
        <v>10</v>
      </c>
      <c r="W395" s="356">
        <f t="shared" si="312"/>
        <v>0</v>
      </c>
      <c r="X395" s="356">
        <f t="shared" si="327"/>
        <v>0</v>
      </c>
      <c r="Y395" s="356">
        <f t="shared" si="307"/>
        <v>0</v>
      </c>
      <c r="Z395" s="356">
        <f t="shared" si="328"/>
        <v>100</v>
      </c>
      <c r="AA395" s="413">
        <v>100000000000</v>
      </c>
      <c r="AB395" s="413">
        <v>100000000000</v>
      </c>
      <c r="AC395" s="413">
        <v>0</v>
      </c>
      <c r="AD395" s="413">
        <v>0</v>
      </c>
      <c r="AE395" s="413">
        <v>0</v>
      </c>
      <c r="AF395" s="413">
        <v>0</v>
      </c>
      <c r="AG395" s="413">
        <v>0</v>
      </c>
      <c r="AH395" s="413">
        <v>0</v>
      </c>
      <c r="AI395" s="413">
        <v>51900000</v>
      </c>
      <c r="AJ395" s="413">
        <v>51900000</v>
      </c>
      <c r="AK395" s="413">
        <v>0</v>
      </c>
      <c r="AL395" s="413">
        <v>0</v>
      </c>
      <c r="AM395" s="413">
        <v>0</v>
      </c>
      <c r="AN395" s="413">
        <v>0</v>
      </c>
      <c r="AO395" s="413">
        <v>0</v>
      </c>
      <c r="AP395" s="413">
        <v>0</v>
      </c>
      <c r="AQ395" s="413">
        <v>0</v>
      </c>
      <c r="AR395" s="413">
        <v>0</v>
      </c>
      <c r="AS395" s="413">
        <v>0</v>
      </c>
      <c r="AT395" s="392">
        <f t="shared" si="329"/>
        <v>0.1650237933378654</v>
      </c>
      <c r="AU395" s="334">
        <v>9710</v>
      </c>
      <c r="AV395" s="387">
        <f t="shared" si="313"/>
        <v>0.66009517335146162</v>
      </c>
      <c r="AW395" s="677">
        <v>14700</v>
      </c>
      <c r="AX395" s="366">
        <f t="shared" si="314"/>
        <v>14700</v>
      </c>
      <c r="AY395" s="366">
        <f t="shared" si="315"/>
        <v>151.39031925849639</v>
      </c>
      <c r="AZ395" s="366">
        <f t="shared" si="330"/>
        <v>100</v>
      </c>
      <c r="BA395" s="354">
        <f t="shared" si="331"/>
        <v>0.1650237933378654</v>
      </c>
      <c r="BB395" s="354">
        <f t="shared" si="332"/>
        <v>100</v>
      </c>
      <c r="BC395" s="353">
        <v>0</v>
      </c>
      <c r="BD395" s="353">
        <v>0</v>
      </c>
      <c r="BE395" s="353">
        <v>0</v>
      </c>
      <c r="BF395" s="353">
        <v>0</v>
      </c>
      <c r="BG395" s="353">
        <v>0</v>
      </c>
      <c r="BH395" s="353">
        <v>0</v>
      </c>
      <c r="BI395" s="353">
        <v>0</v>
      </c>
      <c r="BJ395" s="353">
        <v>0</v>
      </c>
      <c r="BK395" s="428">
        <v>200000000</v>
      </c>
      <c r="BL395" s="351">
        <v>200000000</v>
      </c>
      <c r="BM395" s="351">
        <v>0</v>
      </c>
      <c r="BN395" s="351">
        <v>0</v>
      </c>
      <c r="BO395" s="351">
        <v>0</v>
      </c>
      <c r="BP395" s="351">
        <v>0</v>
      </c>
      <c r="BQ395" s="351">
        <v>0</v>
      </c>
      <c r="BR395" s="351">
        <v>0</v>
      </c>
      <c r="BS395" s="351">
        <v>0</v>
      </c>
      <c r="BT395" s="351">
        <v>0</v>
      </c>
      <c r="BU395" s="351">
        <v>0</v>
      </c>
      <c r="BV395" s="350">
        <f t="shared" si="333"/>
        <v>3.3990482664853841E-2</v>
      </c>
      <c r="BW395" s="350">
        <v>2000</v>
      </c>
      <c r="BX395" s="385">
        <f t="shared" si="316"/>
        <v>0.13596193065941536</v>
      </c>
      <c r="BY395" s="369">
        <v>0</v>
      </c>
      <c r="BZ395" s="391">
        <v>0</v>
      </c>
      <c r="CA395" s="689">
        <v>0</v>
      </c>
      <c r="CB395" s="324">
        <f t="shared" si="317"/>
        <v>0</v>
      </c>
      <c r="CC395" s="324">
        <f t="shared" si="318"/>
        <v>0</v>
      </c>
      <c r="CD395" s="384">
        <f t="shared" si="334"/>
        <v>0</v>
      </c>
      <c r="CE395" s="383">
        <f t="shared" si="335"/>
        <v>0</v>
      </c>
      <c r="CF395" s="367">
        <f t="shared" si="336"/>
        <v>0</v>
      </c>
      <c r="CG395" s="383">
        <f t="shared" si="337"/>
        <v>0</v>
      </c>
      <c r="CH395" s="320">
        <f t="shared" si="338"/>
        <v>5.0985723997280762E-2</v>
      </c>
      <c r="CI395" s="319">
        <v>3000</v>
      </c>
      <c r="CJ395" s="318">
        <f t="shared" si="319"/>
        <v>0.20394289598912305</v>
      </c>
      <c r="CK395" s="1258">
        <v>0</v>
      </c>
      <c r="CL395" s="301">
        <f t="shared" si="320"/>
        <v>3000</v>
      </c>
      <c r="CM395" s="381">
        <f t="shared" si="321"/>
        <v>0</v>
      </c>
      <c r="CN395" s="381">
        <f t="shared" si="322"/>
        <v>0</v>
      </c>
      <c r="CO395" s="316">
        <f t="shared" si="339"/>
        <v>0</v>
      </c>
      <c r="CP395" s="381">
        <f t="shared" si="340"/>
        <v>0</v>
      </c>
      <c r="CQ395" s="381">
        <f t="shared" si="341"/>
        <v>0</v>
      </c>
      <c r="CR395" s="313">
        <v>300000000</v>
      </c>
      <c r="CS395" s="313">
        <v>150000000</v>
      </c>
      <c r="CT395" s="313">
        <v>0</v>
      </c>
      <c r="CU395" s="313">
        <v>0</v>
      </c>
      <c r="CV395" s="313">
        <v>0</v>
      </c>
      <c r="CW395" s="313">
        <v>0</v>
      </c>
      <c r="CX395" s="313">
        <v>0</v>
      </c>
      <c r="CY395" s="313">
        <v>150000000</v>
      </c>
      <c r="CZ395" s="380">
        <v>0</v>
      </c>
      <c r="DA395" s="380">
        <v>0</v>
      </c>
      <c r="DB395" s="380">
        <v>0</v>
      </c>
      <c r="DC395" s="380">
        <v>0</v>
      </c>
      <c r="DD395" s="380">
        <v>0</v>
      </c>
      <c r="DE395" s="380">
        <v>0</v>
      </c>
      <c r="DF395" s="380">
        <v>0</v>
      </c>
      <c r="DG395" s="380">
        <v>0</v>
      </c>
      <c r="DH395" s="380">
        <v>0</v>
      </c>
      <c r="DI395" s="380">
        <v>0</v>
      </c>
      <c r="DJ395" s="380">
        <v>0</v>
      </c>
      <c r="DK395" s="702">
        <f t="shared" si="323"/>
        <v>14710</v>
      </c>
      <c r="DL395" s="311">
        <f t="shared" si="342"/>
        <v>0.25</v>
      </c>
      <c r="DM395" s="310">
        <f t="shared" si="343"/>
        <v>100</v>
      </c>
      <c r="DN395" s="356">
        <f t="shared" si="344"/>
        <v>100</v>
      </c>
      <c r="DO395" s="308">
        <f t="shared" si="345"/>
        <v>0.25</v>
      </c>
      <c r="DP395" s="359">
        <f t="shared" ref="DP395:DP433" si="349">+IF(((DN395*Q395)/100)&lt;Q395, ((DN395*Q395)/100),Q395)</f>
        <v>0.25</v>
      </c>
      <c r="DQ395" s="306">
        <f t="shared" si="346"/>
        <v>0.25</v>
      </c>
      <c r="DR395" s="379">
        <f t="shared" si="347"/>
        <v>1</v>
      </c>
      <c r="DS395" s="378">
        <f t="shared" si="348"/>
        <v>0</v>
      </c>
      <c r="DT395" s="173">
        <v>449</v>
      </c>
      <c r="DU395" s="174" t="s">
        <v>947</v>
      </c>
      <c r="DV395" s="173"/>
      <c r="DW395" s="174" t="s">
        <v>84</v>
      </c>
      <c r="DX395" s="173"/>
      <c r="DY395" s="173"/>
      <c r="DZ395" s="173"/>
      <c r="EA395" s="665"/>
      <c r="EB395" s="1254" t="s">
        <v>2123</v>
      </c>
      <c r="EC395" s="537">
        <v>975000000</v>
      </c>
      <c r="EE395" s="734">
        <v>35</v>
      </c>
      <c r="EF395" s="706"/>
    </row>
    <row r="396" spans="4:136" s="302" customFormat="1" ht="51" hidden="1">
      <c r="D396" s="520">
        <v>393</v>
      </c>
      <c r="E396" s="534">
        <v>461</v>
      </c>
      <c r="F396" s="336" t="s">
        <v>45</v>
      </c>
      <c r="G396" s="336" t="s">
        <v>15</v>
      </c>
      <c r="H396" s="336" t="s">
        <v>2672</v>
      </c>
      <c r="I396" s="336" t="s">
        <v>944</v>
      </c>
      <c r="J396" s="335" t="s">
        <v>1297</v>
      </c>
      <c r="K396" s="335" t="s">
        <v>964</v>
      </c>
      <c r="L396" s="436" t="s">
        <v>1871</v>
      </c>
      <c r="M396" s="334" t="s">
        <v>1771</v>
      </c>
      <c r="N396" s="337">
        <v>0</v>
      </c>
      <c r="O396" s="333">
        <f>+N396+P396</f>
        <v>2</v>
      </c>
      <c r="P396" s="422">
        <v>2</v>
      </c>
      <c r="Q396" s="393">
        <v>0.16500000000000001</v>
      </c>
      <c r="R396" s="342">
        <f t="shared" si="326"/>
        <v>8.2500000000000004E-2</v>
      </c>
      <c r="S396" s="417">
        <v>1</v>
      </c>
      <c r="T396" s="337">
        <f t="shared" si="310"/>
        <v>0.5</v>
      </c>
      <c r="U396" s="673">
        <v>1</v>
      </c>
      <c r="V396" s="388">
        <f t="shared" si="311"/>
        <v>1</v>
      </c>
      <c r="W396" s="356">
        <f t="shared" si="312"/>
        <v>100</v>
      </c>
      <c r="X396" s="356">
        <f t="shared" si="327"/>
        <v>100</v>
      </c>
      <c r="Y396" s="356">
        <f t="shared" si="307"/>
        <v>8.2500000000000004E-2</v>
      </c>
      <c r="Z396" s="356">
        <f t="shared" si="328"/>
        <v>100</v>
      </c>
      <c r="AA396" s="413">
        <v>0</v>
      </c>
      <c r="AB396" s="413">
        <v>0</v>
      </c>
      <c r="AC396" s="413">
        <v>0</v>
      </c>
      <c r="AD396" s="413">
        <v>0</v>
      </c>
      <c r="AE396" s="413">
        <v>0</v>
      </c>
      <c r="AF396" s="413">
        <v>0</v>
      </c>
      <c r="AG396" s="413">
        <v>0</v>
      </c>
      <c r="AH396" s="413">
        <v>0</v>
      </c>
      <c r="AI396" s="413">
        <v>0</v>
      </c>
      <c r="AJ396" s="413">
        <v>0</v>
      </c>
      <c r="AK396" s="413">
        <v>0</v>
      </c>
      <c r="AL396" s="413">
        <v>0</v>
      </c>
      <c r="AM396" s="413">
        <v>0</v>
      </c>
      <c r="AN396" s="413">
        <v>0</v>
      </c>
      <c r="AO396" s="413">
        <v>0</v>
      </c>
      <c r="AP396" s="413">
        <v>0</v>
      </c>
      <c r="AQ396" s="413">
        <v>0</v>
      </c>
      <c r="AR396" s="413">
        <v>1950000000</v>
      </c>
      <c r="AS396" s="413" t="s">
        <v>1870</v>
      </c>
      <c r="AT396" s="392">
        <f t="shared" si="329"/>
        <v>0</v>
      </c>
      <c r="AU396" s="334">
        <v>0</v>
      </c>
      <c r="AV396" s="387">
        <f t="shared" si="313"/>
        <v>0</v>
      </c>
      <c r="AW396" s="677">
        <v>0</v>
      </c>
      <c r="AX396" s="366">
        <f t="shared" si="314"/>
        <v>0</v>
      </c>
      <c r="AY396" s="366">
        <f t="shared" si="315"/>
        <v>0</v>
      </c>
      <c r="AZ396" s="366">
        <f t="shared" si="330"/>
        <v>0</v>
      </c>
      <c r="BA396" s="354">
        <f t="shared" si="331"/>
        <v>0</v>
      </c>
      <c r="BB396" s="354">
        <f t="shared" si="332"/>
        <v>0</v>
      </c>
      <c r="BC396" s="353">
        <v>0</v>
      </c>
      <c r="BD396" s="353">
        <v>0</v>
      </c>
      <c r="BE396" s="353">
        <v>0</v>
      </c>
      <c r="BF396" s="353">
        <v>0</v>
      </c>
      <c r="BG396" s="353">
        <v>0</v>
      </c>
      <c r="BH396" s="353">
        <v>0</v>
      </c>
      <c r="BI396" s="353">
        <v>0</v>
      </c>
      <c r="BJ396" s="353">
        <v>0</v>
      </c>
      <c r="BK396" s="428">
        <v>0</v>
      </c>
      <c r="BL396" s="351">
        <v>0</v>
      </c>
      <c r="BM396" s="351">
        <v>0</v>
      </c>
      <c r="BN396" s="351">
        <v>0</v>
      </c>
      <c r="BO396" s="351">
        <v>0</v>
      </c>
      <c r="BP396" s="351">
        <v>0</v>
      </c>
      <c r="BQ396" s="351">
        <v>0</v>
      </c>
      <c r="BR396" s="351">
        <v>0</v>
      </c>
      <c r="BS396" s="351">
        <v>0</v>
      </c>
      <c r="BT396" s="351">
        <v>0</v>
      </c>
      <c r="BU396" s="351">
        <v>0</v>
      </c>
      <c r="BV396" s="350">
        <f t="shared" si="333"/>
        <v>0</v>
      </c>
      <c r="BW396" s="350">
        <v>0</v>
      </c>
      <c r="BX396" s="385">
        <f t="shared" si="316"/>
        <v>0</v>
      </c>
      <c r="BY396" s="369">
        <v>0</v>
      </c>
      <c r="BZ396" s="391">
        <v>0</v>
      </c>
      <c r="CA396" s="689">
        <v>0</v>
      </c>
      <c r="CB396" s="324">
        <f t="shared" si="317"/>
        <v>0</v>
      </c>
      <c r="CC396" s="324">
        <f t="shared" si="318"/>
        <v>0</v>
      </c>
      <c r="CD396" s="384">
        <f t="shared" si="334"/>
        <v>0</v>
      </c>
      <c r="CE396" s="383">
        <f t="shared" si="335"/>
        <v>0</v>
      </c>
      <c r="CF396" s="367">
        <f t="shared" si="336"/>
        <v>0</v>
      </c>
      <c r="CG396" s="383">
        <f t="shared" si="337"/>
        <v>0</v>
      </c>
      <c r="CH396" s="320">
        <f t="shared" si="338"/>
        <v>8.2500000000000004E-2</v>
      </c>
      <c r="CI396" s="319">
        <v>1</v>
      </c>
      <c r="CJ396" s="318">
        <f t="shared" si="319"/>
        <v>0.5</v>
      </c>
      <c r="CK396" s="1258">
        <v>0</v>
      </c>
      <c r="CL396" s="301">
        <f t="shared" si="320"/>
        <v>1</v>
      </c>
      <c r="CM396" s="381">
        <f t="shared" si="321"/>
        <v>0</v>
      </c>
      <c r="CN396" s="381">
        <f t="shared" si="322"/>
        <v>0</v>
      </c>
      <c r="CO396" s="316">
        <f t="shared" si="339"/>
        <v>0</v>
      </c>
      <c r="CP396" s="381">
        <f t="shared" si="340"/>
        <v>0</v>
      </c>
      <c r="CQ396" s="381">
        <f t="shared" si="341"/>
        <v>0</v>
      </c>
      <c r="CR396" s="313">
        <v>0</v>
      </c>
      <c r="CS396" s="313">
        <v>0</v>
      </c>
      <c r="CT396" s="313">
        <v>0</v>
      </c>
      <c r="CU396" s="313">
        <v>0</v>
      </c>
      <c r="CV396" s="313">
        <v>0</v>
      </c>
      <c r="CW396" s="313">
        <v>0</v>
      </c>
      <c r="CX396" s="313">
        <v>0</v>
      </c>
      <c r="CY396" s="313">
        <v>0</v>
      </c>
      <c r="CZ396" s="380">
        <v>0</v>
      </c>
      <c r="DA396" s="380">
        <v>0</v>
      </c>
      <c r="DB396" s="380">
        <v>0</v>
      </c>
      <c r="DC396" s="380">
        <v>0</v>
      </c>
      <c r="DD396" s="380">
        <v>0</v>
      </c>
      <c r="DE396" s="380">
        <v>0</v>
      </c>
      <c r="DF396" s="380">
        <v>0</v>
      </c>
      <c r="DG396" s="380">
        <v>0</v>
      </c>
      <c r="DH396" s="380">
        <v>0</v>
      </c>
      <c r="DI396" s="380">
        <v>0</v>
      </c>
      <c r="DJ396" s="380">
        <v>0</v>
      </c>
      <c r="DK396" s="702">
        <f t="shared" si="323"/>
        <v>1</v>
      </c>
      <c r="DL396" s="311">
        <f t="shared" si="342"/>
        <v>0.16500000000000001</v>
      </c>
      <c r="DM396" s="310">
        <f t="shared" si="343"/>
        <v>50</v>
      </c>
      <c r="DN396" s="356">
        <f t="shared" si="344"/>
        <v>50</v>
      </c>
      <c r="DO396" s="308">
        <f t="shared" si="345"/>
        <v>8.2500000000000004E-2</v>
      </c>
      <c r="DP396" s="359">
        <f t="shared" si="349"/>
        <v>8.2500000000000004E-2</v>
      </c>
      <c r="DQ396" s="306">
        <f t="shared" si="346"/>
        <v>8.2500000000000004E-2</v>
      </c>
      <c r="DR396" s="379">
        <f t="shared" si="347"/>
        <v>1</v>
      </c>
      <c r="DS396" s="378">
        <f t="shared" si="348"/>
        <v>0</v>
      </c>
      <c r="DT396" s="173">
        <v>450</v>
      </c>
      <c r="DU396" s="174" t="s">
        <v>948</v>
      </c>
      <c r="DV396" s="173"/>
      <c r="DW396" s="174" t="s">
        <v>84</v>
      </c>
      <c r="DX396" s="173"/>
      <c r="DY396" s="173"/>
      <c r="DZ396" s="173"/>
      <c r="EA396" s="665"/>
      <c r="EB396" s="1254" t="s">
        <v>2124</v>
      </c>
      <c r="EC396" s="537">
        <v>435000000</v>
      </c>
      <c r="EE396" s="734">
        <v>100</v>
      </c>
      <c r="EF396" s="706"/>
    </row>
    <row r="397" spans="4:136" s="302" customFormat="1" ht="84" hidden="1">
      <c r="D397" s="520">
        <v>394</v>
      </c>
      <c r="E397" s="534">
        <v>462</v>
      </c>
      <c r="F397" s="479" t="s">
        <v>45</v>
      </c>
      <c r="G397" s="479" t="s">
        <v>22</v>
      </c>
      <c r="H397" s="479" t="s">
        <v>2672</v>
      </c>
      <c r="I397" s="435" t="s">
        <v>965</v>
      </c>
      <c r="J397" s="335" t="s">
        <v>966</v>
      </c>
      <c r="K397" s="335" t="s">
        <v>967</v>
      </c>
      <c r="L397" s="434" t="s">
        <v>1869</v>
      </c>
      <c r="M397" s="334" t="s">
        <v>1771</v>
      </c>
      <c r="N397" s="337">
        <v>0</v>
      </c>
      <c r="O397" s="333">
        <f>+N397+P397</f>
        <v>400</v>
      </c>
      <c r="P397" s="422">
        <v>400</v>
      </c>
      <c r="Q397" s="390">
        <v>0.16500000000000001</v>
      </c>
      <c r="R397" s="342">
        <f t="shared" si="326"/>
        <v>3.91875E-2</v>
      </c>
      <c r="S397" s="417">
        <v>95</v>
      </c>
      <c r="T397" s="337">
        <f t="shared" si="310"/>
        <v>0.23749999999999999</v>
      </c>
      <c r="U397" s="673">
        <v>0</v>
      </c>
      <c r="V397" s="388">
        <f t="shared" si="311"/>
        <v>0</v>
      </c>
      <c r="W397" s="356">
        <f t="shared" si="312"/>
        <v>0</v>
      </c>
      <c r="X397" s="356">
        <f t="shared" si="327"/>
        <v>0</v>
      </c>
      <c r="Y397" s="356">
        <f t="shared" si="307"/>
        <v>0</v>
      </c>
      <c r="Z397" s="356">
        <f t="shared" si="328"/>
        <v>0</v>
      </c>
      <c r="AA397" s="413">
        <v>1432000000</v>
      </c>
      <c r="AB397" s="413">
        <v>1232000000</v>
      </c>
      <c r="AC397" s="413">
        <v>0</v>
      </c>
      <c r="AD397" s="413">
        <v>0</v>
      </c>
      <c r="AE397" s="413">
        <v>0</v>
      </c>
      <c r="AF397" s="413">
        <v>0</v>
      </c>
      <c r="AG397" s="413">
        <v>0</v>
      </c>
      <c r="AH397" s="413">
        <v>200000000</v>
      </c>
      <c r="AI397" s="413">
        <v>44800000</v>
      </c>
      <c r="AJ397" s="413">
        <v>44800000</v>
      </c>
      <c r="AK397" s="413">
        <v>0</v>
      </c>
      <c r="AL397" s="413">
        <v>0</v>
      </c>
      <c r="AM397" s="413">
        <v>0</v>
      </c>
      <c r="AN397" s="413">
        <v>0</v>
      </c>
      <c r="AO397" s="413">
        <v>0</v>
      </c>
      <c r="AP397" s="413">
        <v>0</v>
      </c>
      <c r="AQ397" s="413">
        <v>0</v>
      </c>
      <c r="AR397" s="413">
        <v>0</v>
      </c>
      <c r="AS397" s="413">
        <v>0</v>
      </c>
      <c r="AT397" s="333">
        <f t="shared" si="329"/>
        <v>4.0837499999999999E-2</v>
      </c>
      <c r="AU397" s="334">
        <v>99</v>
      </c>
      <c r="AV397" s="387">
        <f t="shared" si="313"/>
        <v>0.2475</v>
      </c>
      <c r="AW397" s="677">
        <v>72.3</v>
      </c>
      <c r="AX397" s="366">
        <f t="shared" si="314"/>
        <v>72.3</v>
      </c>
      <c r="AY397" s="366">
        <f t="shared" si="315"/>
        <v>73.030303030303031</v>
      </c>
      <c r="AZ397" s="366">
        <f t="shared" si="330"/>
        <v>73.030303030303031</v>
      </c>
      <c r="BA397" s="354">
        <f t="shared" si="331"/>
        <v>2.9823749999999996E-2</v>
      </c>
      <c r="BB397" s="354">
        <f t="shared" si="332"/>
        <v>73.030303030303031</v>
      </c>
      <c r="BC397" s="353">
        <v>1332000000</v>
      </c>
      <c r="BD397" s="353">
        <v>0</v>
      </c>
      <c r="BE397" s="353">
        <v>1332000000</v>
      </c>
      <c r="BF397" s="353">
        <v>0</v>
      </c>
      <c r="BG397" s="353">
        <v>0</v>
      </c>
      <c r="BH397" s="353">
        <v>0</v>
      </c>
      <c r="BI397" s="353">
        <v>0</v>
      </c>
      <c r="BJ397" s="353">
        <v>0</v>
      </c>
      <c r="BK397" s="428">
        <v>3872398045</v>
      </c>
      <c r="BL397" s="351">
        <v>3872398045</v>
      </c>
      <c r="BM397" s="351">
        <v>0</v>
      </c>
      <c r="BN397" s="351">
        <v>0</v>
      </c>
      <c r="BO397" s="351">
        <v>0</v>
      </c>
      <c r="BP397" s="351">
        <v>0</v>
      </c>
      <c r="BQ397" s="351">
        <v>0</v>
      </c>
      <c r="BR397" s="351">
        <v>0</v>
      </c>
      <c r="BS397" s="351">
        <v>0</v>
      </c>
      <c r="BT397" s="351">
        <v>0</v>
      </c>
      <c r="BU397" s="351">
        <v>0</v>
      </c>
      <c r="BV397" s="350">
        <f t="shared" si="333"/>
        <v>4.2075000000000001E-2</v>
      </c>
      <c r="BW397" s="350">
        <v>102</v>
      </c>
      <c r="BX397" s="385">
        <f t="shared" si="316"/>
        <v>0.255</v>
      </c>
      <c r="BY397" s="369">
        <v>81.5</v>
      </c>
      <c r="BZ397" s="391">
        <v>126.37000274658203</v>
      </c>
      <c r="CA397" s="689">
        <v>218.33999633789062</v>
      </c>
      <c r="CB397" s="324">
        <f t="shared" si="317"/>
        <v>218.33999633789062</v>
      </c>
      <c r="CC397" s="324">
        <f t="shared" si="318"/>
        <v>214.05881993910845</v>
      </c>
      <c r="CD397" s="384">
        <f t="shared" si="334"/>
        <v>100</v>
      </c>
      <c r="CE397" s="383">
        <f t="shared" si="335"/>
        <v>4.2075000000000001E-2</v>
      </c>
      <c r="CF397" s="367">
        <f t="shared" si="336"/>
        <v>100</v>
      </c>
      <c r="CG397" s="383">
        <f t="shared" si="337"/>
        <v>9.0065248489379884E-2</v>
      </c>
      <c r="CH397" s="320">
        <f t="shared" si="338"/>
        <v>4.2900000000000001E-2</v>
      </c>
      <c r="CI397" s="319">
        <v>104</v>
      </c>
      <c r="CJ397" s="318">
        <f t="shared" si="319"/>
        <v>0.26</v>
      </c>
      <c r="CK397" s="1258">
        <v>201.1</v>
      </c>
      <c r="CL397" s="301">
        <f t="shared" si="320"/>
        <v>-97.1</v>
      </c>
      <c r="CM397" s="381">
        <f t="shared" si="321"/>
        <v>201.1</v>
      </c>
      <c r="CN397" s="381">
        <f t="shared" si="322"/>
        <v>193.36538461538461</v>
      </c>
      <c r="CO397" s="316">
        <f t="shared" si="339"/>
        <v>100</v>
      </c>
      <c r="CP397" s="381">
        <f t="shared" si="340"/>
        <v>4.2900000000000001E-2</v>
      </c>
      <c r="CQ397" s="381">
        <f t="shared" si="341"/>
        <v>8.2953749999999993E-2</v>
      </c>
      <c r="CR397" s="313">
        <v>1413000000</v>
      </c>
      <c r="CS397" s="313">
        <v>1413000000</v>
      </c>
      <c r="CT397" s="313">
        <v>0</v>
      </c>
      <c r="CU397" s="313">
        <v>0</v>
      </c>
      <c r="CV397" s="313">
        <v>0</v>
      </c>
      <c r="CW397" s="313">
        <v>0</v>
      </c>
      <c r="CX397" s="313">
        <v>0</v>
      </c>
      <c r="CY397" s="313">
        <v>0</v>
      </c>
      <c r="CZ397" s="380">
        <v>0</v>
      </c>
      <c r="DA397" s="380">
        <v>0</v>
      </c>
      <c r="DB397" s="380">
        <v>0</v>
      </c>
      <c r="DC397" s="380">
        <v>0</v>
      </c>
      <c r="DD397" s="380">
        <v>0</v>
      </c>
      <c r="DE397" s="380">
        <v>0</v>
      </c>
      <c r="DF397" s="380">
        <v>0</v>
      </c>
      <c r="DG397" s="380">
        <v>0</v>
      </c>
      <c r="DH397" s="380">
        <v>0</v>
      </c>
      <c r="DI397" s="380">
        <v>0</v>
      </c>
      <c r="DJ397" s="380">
        <v>0</v>
      </c>
      <c r="DK397" s="702">
        <f t="shared" si="323"/>
        <v>491.7399963378906</v>
      </c>
      <c r="DL397" s="311">
        <f t="shared" si="342"/>
        <v>0.16500000000000001</v>
      </c>
      <c r="DM397" s="310">
        <f t="shared" si="343"/>
        <v>122.93499908447265</v>
      </c>
      <c r="DN397" s="356">
        <f t="shared" si="344"/>
        <v>100</v>
      </c>
      <c r="DO397" s="308">
        <f t="shared" si="345"/>
        <v>0.16500000000000001</v>
      </c>
      <c r="DP397" s="359">
        <f t="shared" si="349"/>
        <v>0.16500000000000001</v>
      </c>
      <c r="DQ397" s="306">
        <f t="shared" si="346"/>
        <v>0.16500000000000001</v>
      </c>
      <c r="DR397" s="379">
        <f t="shared" si="347"/>
        <v>1</v>
      </c>
      <c r="DS397" s="378">
        <f t="shared" si="348"/>
        <v>0</v>
      </c>
      <c r="DT397" s="173">
        <v>2</v>
      </c>
      <c r="DU397" s="174" t="s">
        <v>968</v>
      </c>
      <c r="DV397" s="173">
        <v>34</v>
      </c>
      <c r="DW397" s="174" t="s">
        <v>138</v>
      </c>
      <c r="DX397" s="173">
        <v>73</v>
      </c>
      <c r="DY397" s="173">
        <v>116</v>
      </c>
      <c r="DZ397" s="173">
        <v>159</v>
      </c>
      <c r="EA397" s="665">
        <v>178</v>
      </c>
      <c r="EB397" s="1254" t="s">
        <v>2340</v>
      </c>
      <c r="EC397" s="537">
        <v>5500000000</v>
      </c>
      <c r="EE397" s="734">
        <v>3</v>
      </c>
      <c r="EF397" s="706"/>
    </row>
    <row r="398" spans="4:136" s="302" customFormat="1" ht="84" hidden="1">
      <c r="D398" s="520">
        <v>395</v>
      </c>
      <c r="E398" s="534">
        <v>463</v>
      </c>
      <c r="F398" s="479" t="s">
        <v>45</v>
      </c>
      <c r="G398" s="479" t="s">
        <v>22</v>
      </c>
      <c r="H398" s="479" t="s">
        <v>2672</v>
      </c>
      <c r="I398" s="435" t="s">
        <v>965</v>
      </c>
      <c r="J398" s="335" t="s">
        <v>1868</v>
      </c>
      <c r="K398" s="335" t="s">
        <v>969</v>
      </c>
      <c r="L398" s="434" t="s">
        <v>1545</v>
      </c>
      <c r="M398" s="334" t="s">
        <v>1823</v>
      </c>
      <c r="N398" s="334">
        <v>443</v>
      </c>
      <c r="O398" s="334">
        <v>369</v>
      </c>
      <c r="P398" s="332">
        <v>74</v>
      </c>
      <c r="Q398" s="390">
        <v>0.25</v>
      </c>
      <c r="R398" s="441">
        <f t="shared" si="326"/>
        <v>6.0810810810810814E-2</v>
      </c>
      <c r="S398" s="414">
        <f>+N398-18</f>
        <v>425</v>
      </c>
      <c r="T398" s="387">
        <f>IF(M398="M",0.25,IF(M398="R",(N398-S398)/P398,(IF($P398&gt;0,S398/$P398," "))))</f>
        <v>0.24324324324324326</v>
      </c>
      <c r="U398" s="670">
        <f>+N398-58</f>
        <v>385</v>
      </c>
      <c r="V398" s="388">
        <f>+IF($M398="I",(U398),IF($M398="M",U398/4, U398))</f>
        <v>385</v>
      </c>
      <c r="W398" s="356">
        <f>IF(S398=0,0, IF(M398="R",(N398-U398)/(N398-S398)*100,U398*100/S398))</f>
        <v>322.22222222222223</v>
      </c>
      <c r="X398" s="356">
        <f t="shared" si="327"/>
        <v>100</v>
      </c>
      <c r="Y398" s="356">
        <f t="shared" si="307"/>
        <v>6.0810810810810814E-2</v>
      </c>
      <c r="Z398" s="356">
        <f t="shared" si="328"/>
        <v>100</v>
      </c>
      <c r="AA398" s="413">
        <v>1049000000</v>
      </c>
      <c r="AB398" s="413">
        <v>0</v>
      </c>
      <c r="AC398" s="413">
        <v>0</v>
      </c>
      <c r="AD398" s="413">
        <v>0</v>
      </c>
      <c r="AE398" s="413">
        <v>0</v>
      </c>
      <c r="AF398" s="413">
        <v>0</v>
      </c>
      <c r="AG398" s="413">
        <v>0</v>
      </c>
      <c r="AH398" s="413">
        <v>0</v>
      </c>
      <c r="AI398" s="413">
        <v>777976000</v>
      </c>
      <c r="AJ398" s="413">
        <v>0</v>
      </c>
      <c r="AK398" s="413">
        <v>0</v>
      </c>
      <c r="AL398" s="413">
        <v>0</v>
      </c>
      <c r="AM398" s="413">
        <v>0</v>
      </c>
      <c r="AN398" s="413">
        <v>0</v>
      </c>
      <c r="AO398" s="413">
        <v>0</v>
      </c>
      <c r="AP398" s="413">
        <v>0</v>
      </c>
      <c r="AQ398" s="413">
        <v>0</v>
      </c>
      <c r="AR398" s="413">
        <v>0</v>
      </c>
      <c r="AS398" s="413">
        <v>0</v>
      </c>
      <c r="AT398" s="333">
        <f t="shared" si="329"/>
        <v>6.4189189189189186E-2</v>
      </c>
      <c r="AU398" s="412">
        <f>425-19</f>
        <v>406</v>
      </c>
      <c r="AV398" s="387">
        <f>IF($M398="M",0.25,IF($M398="R",(+S398-AU398)/$P398,(IF($P398&gt;0,AU398/$P398," "))))</f>
        <v>0.25675675675675674</v>
      </c>
      <c r="AW398" s="677">
        <v>356</v>
      </c>
      <c r="AX398" s="409">
        <f>+IF($M398="I",(AW398),IF($M398="M",AW398/4, AW398))</f>
        <v>356</v>
      </c>
      <c r="AY398" s="354">
        <f>IF(AU398=0,0, IF($M398="R",(S398-AW398)/(S398-AU398)*100,AW398*100/AU398))</f>
        <v>363.15789473684214</v>
      </c>
      <c r="AZ398" s="366">
        <f t="shared" si="330"/>
        <v>100</v>
      </c>
      <c r="BA398" s="354">
        <f t="shared" si="331"/>
        <v>6.4189189189189186E-2</v>
      </c>
      <c r="BB398" s="354">
        <f t="shared" si="332"/>
        <v>100</v>
      </c>
      <c r="BC398" s="353">
        <v>0</v>
      </c>
      <c r="BD398" s="353">
        <v>0</v>
      </c>
      <c r="BE398" s="353">
        <v>0</v>
      </c>
      <c r="BF398" s="353">
        <v>0</v>
      </c>
      <c r="BG398" s="353">
        <v>0</v>
      </c>
      <c r="BH398" s="353">
        <v>0</v>
      </c>
      <c r="BI398" s="353">
        <v>0</v>
      </c>
      <c r="BJ398" s="353">
        <v>0</v>
      </c>
      <c r="BK398" s="428">
        <v>2080501750</v>
      </c>
      <c r="BL398" s="351">
        <v>2080501750</v>
      </c>
      <c r="BM398" s="351">
        <v>0</v>
      </c>
      <c r="BN398" s="351">
        <v>0</v>
      </c>
      <c r="BO398" s="351">
        <v>0</v>
      </c>
      <c r="BP398" s="351">
        <v>0</v>
      </c>
      <c r="BQ398" s="351">
        <v>0</v>
      </c>
      <c r="BR398" s="351">
        <v>0</v>
      </c>
      <c r="BS398" s="351">
        <v>0</v>
      </c>
      <c r="BT398" s="351">
        <v>0</v>
      </c>
      <c r="BU398" s="351">
        <v>0</v>
      </c>
      <c r="BV398" s="350">
        <f t="shared" si="333"/>
        <v>6.4189189189189186E-2</v>
      </c>
      <c r="BW398" s="411">
        <f>+AU398-19</f>
        <v>387</v>
      </c>
      <c r="BX398" s="410">
        <f>IF($M398="M",0.25,IF($M398="R",(AU398-BW398)/$P398,(IF($P398&gt;0,BW398/$P398," "))))</f>
        <v>0.25675675675675674</v>
      </c>
      <c r="BY398" s="369">
        <v>2</v>
      </c>
      <c r="BZ398" s="391">
        <v>61</v>
      </c>
      <c r="CA398" s="693">
        <v>392</v>
      </c>
      <c r="CB398" s="409">
        <f>+IF($M398="I",(CA398),IF($M398="M",CA398/4, CA398))</f>
        <v>392</v>
      </c>
      <c r="CC398" s="354">
        <f>IF(CA398=0,0,IF($M398="R",((AU398-CA398)/(AU398-BW398))*100,CA398*100/BW398))</f>
        <v>73.68421052631578</v>
      </c>
      <c r="CD398" s="384">
        <f t="shared" si="334"/>
        <v>73.68421052631578</v>
      </c>
      <c r="CE398" s="383">
        <f t="shared" si="335"/>
        <v>4.7297297297297286E-2</v>
      </c>
      <c r="CF398" s="367">
        <f t="shared" si="336"/>
        <v>73.68421052631578</v>
      </c>
      <c r="CG398" s="383">
        <f t="shared" si="337"/>
        <v>4.7297297297297286E-2</v>
      </c>
      <c r="CH398" s="320">
        <f t="shared" si="338"/>
        <v>6.0810810810810814E-2</v>
      </c>
      <c r="CI398" s="319">
        <f>+BW398-18</f>
        <v>369</v>
      </c>
      <c r="CJ398" s="408">
        <f>IF($M398="M",0.25,IF($M398="R",(BW398-CI398)/$P398,(IF($P398&gt;0,CI398/$P398," "))))</f>
        <v>0.24324324324324326</v>
      </c>
      <c r="CK398" s="1259">
        <v>373</v>
      </c>
      <c r="CL398" s="301">
        <f t="shared" si="320"/>
        <v>-4</v>
      </c>
      <c r="CM398" s="388">
        <f>+IF($M398="I",(CK398),IF($M398="M",CK398/4, CK398))</f>
        <v>373</v>
      </c>
      <c r="CN398" s="356">
        <f>IF(CK398=0,0,IF($M398="R",((BW398-CK398)/(BW398-CI398))*100,CK398*100/CI398))</f>
        <v>77.777777777777786</v>
      </c>
      <c r="CO398" s="381">
        <f t="shared" si="339"/>
        <v>77.777777777777786</v>
      </c>
      <c r="CP398" s="381">
        <f t="shared" si="340"/>
        <v>4.7297297297297307E-2</v>
      </c>
      <c r="CQ398" s="381">
        <f t="shared" si="341"/>
        <v>4.7297297297297307E-2</v>
      </c>
      <c r="CR398" s="313">
        <v>0</v>
      </c>
      <c r="CS398" s="313">
        <v>0</v>
      </c>
      <c r="CT398" s="313">
        <v>0</v>
      </c>
      <c r="CU398" s="313">
        <v>0</v>
      </c>
      <c r="CV398" s="313">
        <v>0</v>
      </c>
      <c r="CW398" s="313">
        <v>0</v>
      </c>
      <c r="CX398" s="313">
        <v>0</v>
      </c>
      <c r="CY398" s="313">
        <v>0</v>
      </c>
      <c r="CZ398" s="380">
        <v>0</v>
      </c>
      <c r="DA398" s="380">
        <v>0</v>
      </c>
      <c r="DB398" s="380">
        <v>0</v>
      </c>
      <c r="DC398" s="380">
        <v>0</v>
      </c>
      <c r="DD398" s="380">
        <v>0</v>
      </c>
      <c r="DE398" s="380">
        <v>0</v>
      </c>
      <c r="DF398" s="380">
        <v>0</v>
      </c>
      <c r="DG398" s="380">
        <v>0</v>
      </c>
      <c r="DH398" s="380">
        <v>0</v>
      </c>
      <c r="DI398" s="380">
        <v>0</v>
      </c>
      <c r="DJ398" s="380">
        <v>0</v>
      </c>
      <c r="DK398" s="703">
        <f>+IF(M398="I",(H398+AF398+BJ398),IF(M398="M",(H398+AF398+BJ398)/3,N398-CK398 ))</f>
        <v>70</v>
      </c>
      <c r="DL398" s="311">
        <f t="shared" si="342"/>
        <v>0.25</v>
      </c>
      <c r="DM398" s="310">
        <f t="shared" si="343"/>
        <v>94.594594594594597</v>
      </c>
      <c r="DN398" s="356">
        <f t="shared" si="344"/>
        <v>94.594594594594597</v>
      </c>
      <c r="DO398" s="308">
        <f t="shared" si="345"/>
        <v>0.23648648648648649</v>
      </c>
      <c r="DP398" s="359">
        <f t="shared" si="349"/>
        <v>0.23648648648648649</v>
      </c>
      <c r="DQ398" s="306">
        <f t="shared" si="346"/>
        <v>0.23648648648648649</v>
      </c>
      <c r="DR398" s="379">
        <f t="shared" si="347"/>
        <v>1</v>
      </c>
      <c r="DS398" s="378">
        <f t="shared" si="348"/>
        <v>0</v>
      </c>
      <c r="DT398" s="173">
        <v>2</v>
      </c>
      <c r="DU398" s="174" t="s">
        <v>968</v>
      </c>
      <c r="DV398" s="173">
        <v>34</v>
      </c>
      <c r="DW398" s="174" t="s">
        <v>138</v>
      </c>
      <c r="DX398" s="173">
        <v>73</v>
      </c>
      <c r="DY398" s="173">
        <v>116</v>
      </c>
      <c r="DZ398" s="173">
        <v>159</v>
      </c>
      <c r="EA398" s="665">
        <v>178</v>
      </c>
      <c r="EB398" s="1254" t="s">
        <v>2236</v>
      </c>
      <c r="EC398" s="537">
        <v>64500000000</v>
      </c>
      <c r="EE398" s="740">
        <v>15</v>
      </c>
      <c r="EF398" s="706"/>
    </row>
    <row r="399" spans="4:136" s="302" customFormat="1" ht="84" hidden="1">
      <c r="D399" s="520">
        <v>396</v>
      </c>
      <c r="E399" s="534">
        <v>464</v>
      </c>
      <c r="F399" s="479" t="s">
        <v>45</v>
      </c>
      <c r="G399" s="479" t="s">
        <v>22</v>
      </c>
      <c r="H399" s="479" t="s">
        <v>2672</v>
      </c>
      <c r="I399" s="435" t="s">
        <v>965</v>
      </c>
      <c r="J399" s="335" t="s">
        <v>970</v>
      </c>
      <c r="K399" s="335" t="s">
        <v>971</v>
      </c>
      <c r="L399" s="434" t="s">
        <v>1802</v>
      </c>
      <c r="M399" s="334" t="s">
        <v>1771</v>
      </c>
      <c r="N399" s="337">
        <v>0</v>
      </c>
      <c r="O399" s="333">
        <f t="shared" ref="O399:O433" si="350">+N399+P399</f>
        <v>1</v>
      </c>
      <c r="P399" s="422">
        <v>1</v>
      </c>
      <c r="Q399" s="390">
        <v>0.25</v>
      </c>
      <c r="R399" s="342">
        <f t="shared" si="326"/>
        <v>2.5000000000000001E-2</v>
      </c>
      <c r="S399" s="417">
        <v>0.1</v>
      </c>
      <c r="T399" s="402">
        <f t="shared" ref="T399:T430" si="351">IF($M399="M",0.25,(IF($P399&gt;0,S399/$P399," ")))</f>
        <v>0.1</v>
      </c>
      <c r="U399" s="673">
        <v>0</v>
      </c>
      <c r="V399" s="388">
        <f t="shared" ref="V399:V430" si="352">+IF(M399="I",(+U399),IF(M399="M",(+U399)/4,))</f>
        <v>0</v>
      </c>
      <c r="W399" s="356">
        <f t="shared" ref="W399:W430" si="353">IF(S399=0,0,+U399*100/S399)</f>
        <v>0</v>
      </c>
      <c r="X399" s="356">
        <f t="shared" si="327"/>
        <v>0</v>
      </c>
      <c r="Y399" s="356">
        <f t="shared" si="307"/>
        <v>0</v>
      </c>
      <c r="Z399" s="356">
        <f t="shared" si="328"/>
        <v>0</v>
      </c>
      <c r="AA399" s="413">
        <v>240000000</v>
      </c>
      <c r="AB399" s="413">
        <v>240000000</v>
      </c>
      <c r="AC399" s="413">
        <v>0</v>
      </c>
      <c r="AD399" s="413">
        <v>0</v>
      </c>
      <c r="AE399" s="413">
        <v>0</v>
      </c>
      <c r="AF399" s="413">
        <v>0</v>
      </c>
      <c r="AG399" s="413">
        <v>0</v>
      </c>
      <c r="AH399" s="413">
        <v>0</v>
      </c>
      <c r="AI399" s="413">
        <v>85647000</v>
      </c>
      <c r="AJ399" s="413">
        <v>85647000</v>
      </c>
      <c r="AK399" s="413">
        <v>0</v>
      </c>
      <c r="AL399" s="413">
        <v>0</v>
      </c>
      <c r="AM399" s="413">
        <v>0</v>
      </c>
      <c r="AN399" s="413">
        <v>0</v>
      </c>
      <c r="AO399" s="413">
        <v>0</v>
      </c>
      <c r="AP399" s="413">
        <v>0</v>
      </c>
      <c r="AQ399" s="413">
        <v>0</v>
      </c>
      <c r="AR399" s="413">
        <v>0</v>
      </c>
      <c r="AS399" s="413">
        <v>0</v>
      </c>
      <c r="AT399" s="333">
        <f t="shared" si="329"/>
        <v>7.4999999999999997E-2</v>
      </c>
      <c r="AU399" s="334">
        <v>0.3</v>
      </c>
      <c r="AV399" s="387">
        <f t="shared" ref="AV399:AV430" si="354">IF($M399="M",0.25,(IF($P399&gt;0,AU399/$P399," ")))</f>
        <v>0.3</v>
      </c>
      <c r="AW399" s="677">
        <v>0.1</v>
      </c>
      <c r="AX399" s="366">
        <f t="shared" ref="AX399:AX430" si="355">+IF(M399="I",(+AW399),IF(M399="M",(+AW399)/4,))</f>
        <v>0.1</v>
      </c>
      <c r="AY399" s="366">
        <f t="shared" ref="AY399:AY430" si="356">IF(AU399=0,0,+AW399*100/AU399)</f>
        <v>33.333333333333336</v>
      </c>
      <c r="AZ399" s="366">
        <f t="shared" si="330"/>
        <v>33.333333333333336</v>
      </c>
      <c r="BA399" s="354">
        <f t="shared" si="331"/>
        <v>2.5000000000000001E-2</v>
      </c>
      <c r="BB399" s="354">
        <f t="shared" si="332"/>
        <v>33.333333333333336</v>
      </c>
      <c r="BC399" s="353">
        <v>396000000</v>
      </c>
      <c r="BD399" s="353">
        <v>0</v>
      </c>
      <c r="BE399" s="353">
        <v>396000000</v>
      </c>
      <c r="BF399" s="353">
        <v>0</v>
      </c>
      <c r="BG399" s="353">
        <v>0</v>
      </c>
      <c r="BH399" s="353">
        <v>0</v>
      </c>
      <c r="BI399" s="353">
        <v>0</v>
      </c>
      <c r="BJ399" s="353">
        <v>0</v>
      </c>
      <c r="BK399" s="428">
        <v>128996000</v>
      </c>
      <c r="BL399" s="351">
        <v>128996000</v>
      </c>
      <c r="BM399" s="351">
        <v>0</v>
      </c>
      <c r="BN399" s="351">
        <v>0</v>
      </c>
      <c r="BO399" s="351">
        <v>0</v>
      </c>
      <c r="BP399" s="351">
        <v>0</v>
      </c>
      <c r="BQ399" s="351">
        <v>0</v>
      </c>
      <c r="BR399" s="351">
        <v>0</v>
      </c>
      <c r="BS399" s="351">
        <v>0</v>
      </c>
      <c r="BT399" s="351">
        <v>0</v>
      </c>
      <c r="BU399" s="351">
        <v>0</v>
      </c>
      <c r="BV399" s="350">
        <f t="shared" si="333"/>
        <v>7.4999999999999997E-2</v>
      </c>
      <c r="BW399" s="350">
        <v>0.3</v>
      </c>
      <c r="BX399" s="385">
        <f t="shared" ref="BX399:BX430" si="357">IF($M399="M",0.25,(IF($P399&gt;0,BW399/$P399," ")))</f>
        <v>0.3</v>
      </c>
      <c r="BY399" s="369">
        <v>0.5</v>
      </c>
      <c r="BZ399" s="391">
        <v>0.5</v>
      </c>
      <c r="CA399" s="689">
        <v>0.6</v>
      </c>
      <c r="CB399" s="324">
        <f t="shared" ref="CB399:CB430" si="358">+IF(M399="I",(+CA399),IF(M399="M",(+CA399)/4,))</f>
        <v>0.6</v>
      </c>
      <c r="CC399" s="324">
        <f t="shared" ref="CC399:CC430" si="359">IF(BW399=0,0,+CA399*100/BW399)</f>
        <v>200</v>
      </c>
      <c r="CD399" s="384">
        <f t="shared" si="334"/>
        <v>100</v>
      </c>
      <c r="CE399" s="383">
        <f t="shared" si="335"/>
        <v>7.4999999999999997E-2</v>
      </c>
      <c r="CF399" s="367">
        <f t="shared" si="336"/>
        <v>100</v>
      </c>
      <c r="CG399" s="383">
        <f t="shared" si="337"/>
        <v>0.15</v>
      </c>
      <c r="CH399" s="320">
        <f t="shared" si="338"/>
        <v>7.4999999999999997E-2</v>
      </c>
      <c r="CI399" s="396">
        <v>0.3</v>
      </c>
      <c r="CJ399" s="318">
        <f t="shared" ref="CJ399:CJ430" si="360">IF($M399="M",0.25,(IF($P399&gt;0,CI399/$P399," ")))</f>
        <v>0.3</v>
      </c>
      <c r="CK399" s="1259">
        <v>0.6</v>
      </c>
      <c r="CL399" s="301">
        <f t="shared" si="320"/>
        <v>-0.3</v>
      </c>
      <c r="CM399" s="381">
        <f t="shared" ref="CM399:CM430" si="361">+IF(M399="I",(+CK399),IF(M399="M",(+CK399)/4,))</f>
        <v>0.6</v>
      </c>
      <c r="CN399" s="381">
        <f t="shared" ref="CN399:CN430" si="362">IF(CI399=0,0,+CK399*100/CI399)</f>
        <v>200</v>
      </c>
      <c r="CO399" s="316">
        <f t="shared" si="339"/>
        <v>100</v>
      </c>
      <c r="CP399" s="381">
        <f t="shared" si="340"/>
        <v>7.4999999999999997E-2</v>
      </c>
      <c r="CQ399" s="381">
        <f t="shared" si="341"/>
        <v>0.15</v>
      </c>
      <c r="CR399" s="313">
        <v>420000000</v>
      </c>
      <c r="CS399" s="313">
        <v>420000000</v>
      </c>
      <c r="CT399" s="313">
        <v>0</v>
      </c>
      <c r="CU399" s="313">
        <v>0</v>
      </c>
      <c r="CV399" s="313">
        <v>0</v>
      </c>
      <c r="CW399" s="313">
        <v>0</v>
      </c>
      <c r="CX399" s="313">
        <v>0</v>
      </c>
      <c r="CY399" s="313">
        <v>0</v>
      </c>
      <c r="CZ399" s="380">
        <v>0</v>
      </c>
      <c r="DA399" s="380">
        <v>0</v>
      </c>
      <c r="DB399" s="380">
        <v>0</v>
      </c>
      <c r="DC399" s="380">
        <v>0</v>
      </c>
      <c r="DD399" s="380">
        <v>0</v>
      </c>
      <c r="DE399" s="380">
        <v>0</v>
      </c>
      <c r="DF399" s="380">
        <v>0</v>
      </c>
      <c r="DG399" s="380">
        <v>0</v>
      </c>
      <c r="DH399" s="380">
        <v>0</v>
      </c>
      <c r="DI399" s="380">
        <v>0</v>
      </c>
      <c r="DJ399" s="380">
        <v>0</v>
      </c>
      <c r="DK399" s="702">
        <f t="shared" ref="DK399:DK430" si="363">+IF(M399="I",(+U399+AW399+CA399+CK399),IF(M399="M",(+U399+AW399+CA399+CK399)/4,))</f>
        <v>1.2999999999999998</v>
      </c>
      <c r="DL399" s="311">
        <f t="shared" si="342"/>
        <v>0.25</v>
      </c>
      <c r="DM399" s="310">
        <f t="shared" si="343"/>
        <v>129.99999999999997</v>
      </c>
      <c r="DN399" s="356">
        <f t="shared" si="344"/>
        <v>100</v>
      </c>
      <c r="DO399" s="308">
        <f t="shared" si="345"/>
        <v>0.25</v>
      </c>
      <c r="DP399" s="359">
        <f t="shared" si="349"/>
        <v>0.25</v>
      </c>
      <c r="DQ399" s="306">
        <f t="shared" si="346"/>
        <v>0.25</v>
      </c>
      <c r="DR399" s="379">
        <f t="shared" si="347"/>
        <v>1</v>
      </c>
      <c r="DS399" s="378">
        <f t="shared" si="348"/>
        <v>0</v>
      </c>
      <c r="DT399" s="173">
        <v>2</v>
      </c>
      <c r="DU399" s="174" t="s">
        <v>968</v>
      </c>
      <c r="DV399" s="173">
        <v>34</v>
      </c>
      <c r="DW399" s="174" t="s">
        <v>138</v>
      </c>
      <c r="DX399" s="173">
        <v>73</v>
      </c>
      <c r="DY399" s="173">
        <v>116</v>
      </c>
      <c r="DZ399" s="173">
        <v>159</v>
      </c>
      <c r="EA399" s="665">
        <v>178</v>
      </c>
      <c r="EB399" s="1254" t="s">
        <v>2237</v>
      </c>
      <c r="EC399" s="537">
        <v>17464000000</v>
      </c>
      <c r="EE399" s="740">
        <v>100</v>
      </c>
      <c r="EF399" s="706"/>
    </row>
    <row r="400" spans="4:136" s="302" customFormat="1" ht="84" hidden="1">
      <c r="D400" s="520">
        <v>397</v>
      </c>
      <c r="E400" s="534">
        <v>465</v>
      </c>
      <c r="F400" s="479" t="s">
        <v>45</v>
      </c>
      <c r="G400" s="479" t="s">
        <v>22</v>
      </c>
      <c r="H400" s="479" t="s">
        <v>2672</v>
      </c>
      <c r="I400" s="435" t="s">
        <v>965</v>
      </c>
      <c r="J400" s="335" t="s">
        <v>972</v>
      </c>
      <c r="K400" s="335" t="s">
        <v>973</v>
      </c>
      <c r="L400" s="434" t="s">
        <v>1802</v>
      </c>
      <c r="M400" s="334" t="s">
        <v>1771</v>
      </c>
      <c r="N400" s="337">
        <v>0</v>
      </c>
      <c r="O400" s="333">
        <f t="shared" si="350"/>
        <v>1</v>
      </c>
      <c r="P400" s="422">
        <v>1</v>
      </c>
      <c r="Q400" s="390">
        <v>0.16500000000000001</v>
      </c>
      <c r="R400" s="342">
        <f t="shared" si="326"/>
        <v>3.3000000000000002E-2</v>
      </c>
      <c r="S400" s="417">
        <v>0.2</v>
      </c>
      <c r="T400" s="402">
        <f t="shared" si="351"/>
        <v>0.2</v>
      </c>
      <c r="U400" s="673">
        <v>0.1</v>
      </c>
      <c r="V400" s="388">
        <f t="shared" si="352"/>
        <v>0.1</v>
      </c>
      <c r="W400" s="356">
        <f t="shared" si="353"/>
        <v>50</v>
      </c>
      <c r="X400" s="356">
        <f t="shared" si="327"/>
        <v>50</v>
      </c>
      <c r="Y400" s="356">
        <f t="shared" si="307"/>
        <v>1.6500000000000001E-2</v>
      </c>
      <c r="Z400" s="356">
        <f t="shared" si="328"/>
        <v>50</v>
      </c>
      <c r="AA400" s="413">
        <v>2558000000</v>
      </c>
      <c r="AB400" s="413">
        <v>758000000</v>
      </c>
      <c r="AC400" s="413">
        <v>0</v>
      </c>
      <c r="AD400" s="413">
        <v>0</v>
      </c>
      <c r="AE400" s="413">
        <v>0</v>
      </c>
      <c r="AF400" s="413">
        <v>0</v>
      </c>
      <c r="AG400" s="413">
        <v>0</v>
      </c>
      <c r="AH400" s="413">
        <v>1800000000</v>
      </c>
      <c r="AI400" s="413">
        <v>233006000</v>
      </c>
      <c r="AJ400" s="413">
        <v>233006000</v>
      </c>
      <c r="AK400" s="413">
        <v>0</v>
      </c>
      <c r="AL400" s="413">
        <v>0</v>
      </c>
      <c r="AM400" s="413">
        <v>0</v>
      </c>
      <c r="AN400" s="413">
        <v>0</v>
      </c>
      <c r="AO400" s="413">
        <v>0</v>
      </c>
      <c r="AP400" s="413">
        <v>0</v>
      </c>
      <c r="AQ400" s="413">
        <v>0</v>
      </c>
      <c r="AR400" s="413">
        <v>0</v>
      </c>
      <c r="AS400" s="413">
        <v>0</v>
      </c>
      <c r="AT400" s="333">
        <f t="shared" si="329"/>
        <v>4.9500000000000002E-2</v>
      </c>
      <c r="AU400" s="334">
        <v>0.3</v>
      </c>
      <c r="AV400" s="387">
        <f t="shared" si="354"/>
        <v>0.3</v>
      </c>
      <c r="AW400" s="677">
        <v>0.1</v>
      </c>
      <c r="AX400" s="366">
        <f t="shared" si="355"/>
        <v>0.1</v>
      </c>
      <c r="AY400" s="366">
        <f t="shared" si="356"/>
        <v>33.333333333333336</v>
      </c>
      <c r="AZ400" s="366">
        <f t="shared" si="330"/>
        <v>33.333333333333336</v>
      </c>
      <c r="BA400" s="354">
        <f t="shared" si="331"/>
        <v>1.6500000000000001E-2</v>
      </c>
      <c r="BB400" s="354">
        <f t="shared" si="332"/>
        <v>33.333333333333336</v>
      </c>
      <c r="BC400" s="353">
        <v>828000000</v>
      </c>
      <c r="BD400" s="353">
        <v>0</v>
      </c>
      <c r="BE400" s="353">
        <v>828000000</v>
      </c>
      <c r="BF400" s="353">
        <v>0</v>
      </c>
      <c r="BG400" s="353">
        <v>0</v>
      </c>
      <c r="BH400" s="353">
        <v>0</v>
      </c>
      <c r="BI400" s="353">
        <v>0</v>
      </c>
      <c r="BJ400" s="353">
        <v>0</v>
      </c>
      <c r="BK400" s="428">
        <v>33000000</v>
      </c>
      <c r="BL400" s="351">
        <v>33000000</v>
      </c>
      <c r="BM400" s="351">
        <v>0</v>
      </c>
      <c r="BN400" s="351">
        <v>0</v>
      </c>
      <c r="BO400" s="351">
        <v>0</v>
      </c>
      <c r="BP400" s="351">
        <v>0</v>
      </c>
      <c r="BQ400" s="351">
        <v>0</v>
      </c>
      <c r="BR400" s="351">
        <v>0</v>
      </c>
      <c r="BS400" s="351">
        <v>0</v>
      </c>
      <c r="BT400" s="351">
        <v>0</v>
      </c>
      <c r="BU400" s="351">
        <v>0</v>
      </c>
      <c r="BV400" s="350">
        <f t="shared" si="333"/>
        <v>4.9500000000000002E-2</v>
      </c>
      <c r="BW400" s="350">
        <v>0.3</v>
      </c>
      <c r="BX400" s="385">
        <f t="shared" si="357"/>
        <v>0.3</v>
      </c>
      <c r="BY400" s="369">
        <v>0.5</v>
      </c>
      <c r="BZ400" s="391">
        <v>0.5</v>
      </c>
      <c r="CA400" s="689">
        <v>0.64999997615814209</v>
      </c>
      <c r="CB400" s="324">
        <f t="shared" si="358"/>
        <v>0.64999997615814209</v>
      </c>
      <c r="CC400" s="324">
        <f t="shared" si="359"/>
        <v>216.66665871938071</v>
      </c>
      <c r="CD400" s="384">
        <f t="shared" si="334"/>
        <v>100</v>
      </c>
      <c r="CE400" s="383">
        <f t="shared" si="335"/>
        <v>4.9500000000000002E-2</v>
      </c>
      <c r="CF400" s="367">
        <f t="shared" si="336"/>
        <v>100</v>
      </c>
      <c r="CG400" s="383">
        <f t="shared" si="337"/>
        <v>0.10724999606609346</v>
      </c>
      <c r="CH400" s="320">
        <f t="shared" si="338"/>
        <v>3.3000000000000002E-2</v>
      </c>
      <c r="CI400" s="396">
        <v>0.2</v>
      </c>
      <c r="CJ400" s="318">
        <f t="shared" si="360"/>
        <v>0.2</v>
      </c>
      <c r="CK400" s="1259">
        <v>0.2</v>
      </c>
      <c r="CL400" s="301">
        <f t="shared" si="320"/>
        <v>0</v>
      </c>
      <c r="CM400" s="381">
        <f t="shared" si="361"/>
        <v>0.2</v>
      </c>
      <c r="CN400" s="381">
        <f t="shared" si="362"/>
        <v>100</v>
      </c>
      <c r="CO400" s="316">
        <f t="shared" si="339"/>
        <v>100</v>
      </c>
      <c r="CP400" s="381">
        <f t="shared" si="340"/>
        <v>3.3000000000000002E-2</v>
      </c>
      <c r="CQ400" s="381">
        <f t="shared" si="341"/>
        <v>3.3000000000000002E-2</v>
      </c>
      <c r="CR400" s="313">
        <v>878000000</v>
      </c>
      <c r="CS400" s="313">
        <v>878000000</v>
      </c>
      <c r="CT400" s="313">
        <v>0</v>
      </c>
      <c r="CU400" s="313">
        <v>0</v>
      </c>
      <c r="CV400" s="313">
        <v>0</v>
      </c>
      <c r="CW400" s="313">
        <v>0</v>
      </c>
      <c r="CX400" s="313">
        <v>0</v>
      </c>
      <c r="CY400" s="313">
        <v>0</v>
      </c>
      <c r="CZ400" s="380">
        <v>0</v>
      </c>
      <c r="DA400" s="380">
        <v>0</v>
      </c>
      <c r="DB400" s="380">
        <v>0</v>
      </c>
      <c r="DC400" s="380">
        <v>0</v>
      </c>
      <c r="DD400" s="380">
        <v>0</v>
      </c>
      <c r="DE400" s="380">
        <v>0</v>
      </c>
      <c r="DF400" s="380">
        <v>0</v>
      </c>
      <c r="DG400" s="380">
        <v>0</v>
      </c>
      <c r="DH400" s="380">
        <v>0</v>
      </c>
      <c r="DI400" s="380">
        <v>0</v>
      </c>
      <c r="DJ400" s="380">
        <v>0</v>
      </c>
      <c r="DK400" s="702">
        <f t="shared" si="363"/>
        <v>1.049999976158142</v>
      </c>
      <c r="DL400" s="311">
        <f t="shared" si="342"/>
        <v>0.16500000000000001</v>
      </c>
      <c r="DM400" s="310">
        <f t="shared" si="343"/>
        <v>104.99999761581419</v>
      </c>
      <c r="DN400" s="356">
        <f t="shared" si="344"/>
        <v>100</v>
      </c>
      <c r="DO400" s="308">
        <f t="shared" si="345"/>
        <v>0.16500000000000001</v>
      </c>
      <c r="DP400" s="359">
        <f t="shared" si="349"/>
        <v>0.16500000000000001</v>
      </c>
      <c r="DQ400" s="306">
        <f t="shared" si="346"/>
        <v>0.16500000000000001</v>
      </c>
      <c r="DR400" s="379">
        <f t="shared" si="347"/>
        <v>1</v>
      </c>
      <c r="DS400" s="378">
        <f t="shared" si="348"/>
        <v>0</v>
      </c>
      <c r="DT400" s="173">
        <v>2</v>
      </c>
      <c r="DU400" s="174" t="s">
        <v>968</v>
      </c>
      <c r="DV400" s="173">
        <v>34</v>
      </c>
      <c r="DW400" s="174" t="s">
        <v>138</v>
      </c>
      <c r="DX400" s="173">
        <v>73</v>
      </c>
      <c r="DY400" s="173">
        <v>116</v>
      </c>
      <c r="DZ400" s="173">
        <v>159</v>
      </c>
      <c r="EA400" s="665">
        <v>178</v>
      </c>
      <c r="EB400" s="1254" t="s">
        <v>2238</v>
      </c>
      <c r="EC400" s="537">
        <v>7138000000</v>
      </c>
      <c r="EE400" s="740">
        <v>20</v>
      </c>
      <c r="EF400" s="706"/>
    </row>
    <row r="401" spans="4:136" s="302" customFormat="1" ht="51" hidden="1">
      <c r="D401" s="520">
        <v>398</v>
      </c>
      <c r="E401" s="534">
        <v>466</v>
      </c>
      <c r="F401" s="336" t="s">
        <v>45</v>
      </c>
      <c r="G401" s="336" t="s">
        <v>15</v>
      </c>
      <c r="H401" s="336" t="s">
        <v>2672</v>
      </c>
      <c r="I401" s="336" t="s">
        <v>974</v>
      </c>
      <c r="J401" s="335" t="s">
        <v>1298</v>
      </c>
      <c r="K401" s="335" t="s">
        <v>975</v>
      </c>
      <c r="L401" s="436" t="s">
        <v>1867</v>
      </c>
      <c r="M401" s="334" t="s">
        <v>1771</v>
      </c>
      <c r="N401" s="337">
        <v>0</v>
      </c>
      <c r="O401" s="333">
        <f t="shared" si="350"/>
        <v>3</v>
      </c>
      <c r="P401" s="422">
        <v>3</v>
      </c>
      <c r="Q401" s="393">
        <v>0.25</v>
      </c>
      <c r="R401" s="342">
        <f t="shared" si="326"/>
        <v>0</v>
      </c>
      <c r="S401" s="417">
        <v>0</v>
      </c>
      <c r="T401" s="337">
        <f t="shared" si="351"/>
        <v>0</v>
      </c>
      <c r="U401" s="673">
        <v>0</v>
      </c>
      <c r="V401" s="388">
        <f t="shared" si="352"/>
        <v>0</v>
      </c>
      <c r="W401" s="356">
        <f t="shared" si="353"/>
        <v>0</v>
      </c>
      <c r="X401" s="356">
        <f t="shared" si="327"/>
        <v>0</v>
      </c>
      <c r="Y401" s="356">
        <f t="shared" si="307"/>
        <v>0</v>
      </c>
      <c r="Z401" s="356">
        <f t="shared" si="328"/>
        <v>0</v>
      </c>
      <c r="AA401" s="413">
        <v>0</v>
      </c>
      <c r="AB401" s="413">
        <v>0</v>
      </c>
      <c r="AC401" s="413">
        <v>0</v>
      </c>
      <c r="AD401" s="413">
        <v>0</v>
      </c>
      <c r="AE401" s="413">
        <v>0</v>
      </c>
      <c r="AF401" s="413">
        <v>0</v>
      </c>
      <c r="AG401" s="413">
        <v>0</v>
      </c>
      <c r="AH401" s="413">
        <v>0</v>
      </c>
      <c r="AI401" s="413">
        <v>0</v>
      </c>
      <c r="AJ401" s="413">
        <v>0</v>
      </c>
      <c r="AK401" s="413">
        <v>0</v>
      </c>
      <c r="AL401" s="413">
        <v>0</v>
      </c>
      <c r="AM401" s="413">
        <v>0</v>
      </c>
      <c r="AN401" s="413">
        <v>0</v>
      </c>
      <c r="AO401" s="413">
        <v>0</v>
      </c>
      <c r="AP401" s="413">
        <v>0</v>
      </c>
      <c r="AQ401" s="413">
        <v>0</v>
      </c>
      <c r="AR401" s="413">
        <v>0</v>
      </c>
      <c r="AS401" s="413">
        <v>0</v>
      </c>
      <c r="AT401" s="392">
        <f t="shared" si="329"/>
        <v>0</v>
      </c>
      <c r="AU401" s="334">
        <v>0</v>
      </c>
      <c r="AV401" s="387">
        <f t="shared" si="354"/>
        <v>0</v>
      </c>
      <c r="AW401" s="677">
        <v>0</v>
      </c>
      <c r="AX401" s="366">
        <f t="shared" si="355"/>
        <v>0</v>
      </c>
      <c r="AY401" s="366">
        <f t="shared" si="356"/>
        <v>0</v>
      </c>
      <c r="AZ401" s="366">
        <f t="shared" si="330"/>
        <v>0</v>
      </c>
      <c r="BA401" s="354">
        <f t="shared" si="331"/>
        <v>0</v>
      </c>
      <c r="BB401" s="354">
        <f t="shared" si="332"/>
        <v>0</v>
      </c>
      <c r="BC401" s="353">
        <v>94249000000</v>
      </c>
      <c r="BD401" s="353">
        <v>0</v>
      </c>
      <c r="BE401" s="353">
        <v>650000000</v>
      </c>
      <c r="BF401" s="353">
        <v>0</v>
      </c>
      <c r="BG401" s="353">
        <v>0</v>
      </c>
      <c r="BH401" s="353">
        <v>0</v>
      </c>
      <c r="BI401" s="353">
        <v>0</v>
      </c>
      <c r="BJ401" s="353">
        <v>93599000</v>
      </c>
      <c r="BK401" s="428">
        <v>0</v>
      </c>
      <c r="BL401" s="351">
        <v>0</v>
      </c>
      <c r="BM401" s="351">
        <v>0</v>
      </c>
      <c r="BN401" s="351">
        <v>0</v>
      </c>
      <c r="BO401" s="351">
        <v>0</v>
      </c>
      <c r="BP401" s="351">
        <v>0</v>
      </c>
      <c r="BQ401" s="351">
        <v>0</v>
      </c>
      <c r="BR401" s="351">
        <v>0</v>
      </c>
      <c r="BS401" s="351">
        <v>0</v>
      </c>
      <c r="BT401" s="351">
        <v>0</v>
      </c>
      <c r="BU401" s="351">
        <v>0</v>
      </c>
      <c r="BV401" s="350">
        <f t="shared" si="333"/>
        <v>8.3333333333333329E-2</v>
      </c>
      <c r="BW401" s="350">
        <v>1</v>
      </c>
      <c r="BX401" s="385">
        <f t="shared" si="357"/>
        <v>0.33333333333333331</v>
      </c>
      <c r="BY401" s="369">
        <v>0</v>
      </c>
      <c r="BZ401" s="391">
        <v>0</v>
      </c>
      <c r="CA401" s="689">
        <v>0</v>
      </c>
      <c r="CB401" s="324">
        <f t="shared" si="358"/>
        <v>0</v>
      </c>
      <c r="CC401" s="324">
        <f t="shared" si="359"/>
        <v>0</v>
      </c>
      <c r="CD401" s="384">
        <f t="shared" si="334"/>
        <v>0</v>
      </c>
      <c r="CE401" s="383">
        <f t="shared" si="335"/>
        <v>0</v>
      </c>
      <c r="CF401" s="367">
        <f t="shared" si="336"/>
        <v>0</v>
      </c>
      <c r="CG401" s="383">
        <f t="shared" si="337"/>
        <v>0</v>
      </c>
      <c r="CH401" s="320">
        <f t="shared" si="338"/>
        <v>0.16666666666666666</v>
      </c>
      <c r="CI401" s="319">
        <v>2</v>
      </c>
      <c r="CJ401" s="318">
        <f t="shared" si="360"/>
        <v>0.66666666666666663</v>
      </c>
      <c r="CK401" s="1258">
        <v>3</v>
      </c>
      <c r="CL401" s="301">
        <f t="shared" si="320"/>
        <v>-1</v>
      </c>
      <c r="CM401" s="381">
        <f t="shared" si="361"/>
        <v>3</v>
      </c>
      <c r="CN401" s="381">
        <f t="shared" si="362"/>
        <v>150</v>
      </c>
      <c r="CO401" s="316">
        <f t="shared" si="339"/>
        <v>100</v>
      </c>
      <c r="CP401" s="381">
        <f t="shared" si="340"/>
        <v>0.16666666666666663</v>
      </c>
      <c r="CQ401" s="381">
        <f t="shared" si="341"/>
        <v>0.25</v>
      </c>
      <c r="CR401" s="313">
        <v>95099000000</v>
      </c>
      <c r="CS401" s="313">
        <v>1500000000</v>
      </c>
      <c r="CT401" s="313">
        <v>0</v>
      </c>
      <c r="CU401" s="313">
        <v>0</v>
      </c>
      <c r="CV401" s="313">
        <v>0</v>
      </c>
      <c r="CW401" s="313">
        <v>0</v>
      </c>
      <c r="CX401" s="313">
        <v>0</v>
      </c>
      <c r="CY401" s="313">
        <v>93599000</v>
      </c>
      <c r="CZ401" s="380">
        <v>0</v>
      </c>
      <c r="DA401" s="380">
        <v>0</v>
      </c>
      <c r="DB401" s="380">
        <v>0</v>
      </c>
      <c r="DC401" s="380">
        <v>0</v>
      </c>
      <c r="DD401" s="380">
        <v>0</v>
      </c>
      <c r="DE401" s="380">
        <v>0</v>
      </c>
      <c r="DF401" s="380">
        <v>0</v>
      </c>
      <c r="DG401" s="380">
        <v>0</v>
      </c>
      <c r="DH401" s="380">
        <v>0</v>
      </c>
      <c r="DI401" s="380">
        <v>0</v>
      </c>
      <c r="DJ401" s="380">
        <v>0</v>
      </c>
      <c r="DK401" s="702">
        <f t="shared" si="363"/>
        <v>3</v>
      </c>
      <c r="DL401" s="311">
        <f t="shared" si="342"/>
        <v>0.25</v>
      </c>
      <c r="DM401" s="310">
        <f t="shared" si="343"/>
        <v>100</v>
      </c>
      <c r="DN401" s="356">
        <f t="shared" si="344"/>
        <v>100</v>
      </c>
      <c r="DO401" s="308">
        <f t="shared" si="345"/>
        <v>0.25</v>
      </c>
      <c r="DP401" s="359">
        <f t="shared" si="349"/>
        <v>0.25</v>
      </c>
      <c r="DQ401" s="306">
        <f t="shared" si="346"/>
        <v>0.25</v>
      </c>
      <c r="DR401" s="379">
        <f t="shared" si="347"/>
        <v>1</v>
      </c>
      <c r="DS401" s="378">
        <f t="shared" si="348"/>
        <v>0</v>
      </c>
      <c r="DT401" s="173">
        <v>257</v>
      </c>
      <c r="DU401" s="174" t="s">
        <v>118</v>
      </c>
      <c r="DV401" s="173"/>
      <c r="DW401" s="174" t="s">
        <v>84</v>
      </c>
      <c r="DX401" s="173"/>
      <c r="DY401" s="173"/>
      <c r="DZ401" s="173"/>
      <c r="EA401" s="665"/>
      <c r="EB401" s="1254" t="s">
        <v>2403</v>
      </c>
      <c r="EC401" s="537">
        <v>3760000000</v>
      </c>
      <c r="EE401" s="734">
        <v>1</v>
      </c>
      <c r="EF401" s="706"/>
    </row>
    <row r="402" spans="4:136" s="302" customFormat="1" ht="89.25" hidden="1">
      <c r="D402" s="520">
        <v>399</v>
      </c>
      <c r="E402" s="534">
        <v>467</v>
      </c>
      <c r="F402" s="479" t="s">
        <v>45</v>
      </c>
      <c r="G402" s="479" t="s">
        <v>15</v>
      </c>
      <c r="H402" s="479" t="s">
        <v>2672</v>
      </c>
      <c r="I402" s="435" t="s">
        <v>974</v>
      </c>
      <c r="J402" s="335" t="s">
        <v>976</v>
      </c>
      <c r="K402" s="335" t="s">
        <v>977</v>
      </c>
      <c r="L402" s="436" t="s">
        <v>1867</v>
      </c>
      <c r="M402" s="334" t="s">
        <v>1771</v>
      </c>
      <c r="N402" s="337">
        <v>12</v>
      </c>
      <c r="O402" s="333">
        <f t="shared" si="350"/>
        <v>15</v>
      </c>
      <c r="P402" s="422">
        <v>3</v>
      </c>
      <c r="Q402" s="390">
        <v>0.25</v>
      </c>
      <c r="R402" s="342">
        <f t="shared" si="326"/>
        <v>0</v>
      </c>
      <c r="S402" s="417">
        <v>0</v>
      </c>
      <c r="T402" s="337">
        <f t="shared" si="351"/>
        <v>0</v>
      </c>
      <c r="U402" s="673">
        <v>0</v>
      </c>
      <c r="V402" s="388">
        <f t="shared" si="352"/>
        <v>0</v>
      </c>
      <c r="W402" s="356">
        <f t="shared" si="353"/>
        <v>0</v>
      </c>
      <c r="X402" s="356">
        <f t="shared" si="327"/>
        <v>0</v>
      </c>
      <c r="Y402" s="356">
        <f t="shared" ref="Y402:Y465" si="364">+(X402*R402)/100</f>
        <v>0</v>
      </c>
      <c r="Z402" s="356">
        <f t="shared" si="328"/>
        <v>0</v>
      </c>
      <c r="AA402" s="413">
        <v>0</v>
      </c>
      <c r="AB402" s="413">
        <v>0</v>
      </c>
      <c r="AC402" s="413">
        <v>0</v>
      </c>
      <c r="AD402" s="413">
        <v>0</v>
      </c>
      <c r="AE402" s="413">
        <v>0</v>
      </c>
      <c r="AF402" s="413">
        <v>0</v>
      </c>
      <c r="AG402" s="413">
        <v>0</v>
      </c>
      <c r="AH402" s="413">
        <v>0</v>
      </c>
      <c r="AI402" s="413">
        <v>0</v>
      </c>
      <c r="AJ402" s="413">
        <v>0</v>
      </c>
      <c r="AK402" s="413">
        <v>0</v>
      </c>
      <c r="AL402" s="413">
        <v>0</v>
      </c>
      <c r="AM402" s="413">
        <v>0</v>
      </c>
      <c r="AN402" s="413">
        <v>0</v>
      </c>
      <c r="AO402" s="413">
        <v>0</v>
      </c>
      <c r="AP402" s="413">
        <v>0</v>
      </c>
      <c r="AQ402" s="413">
        <v>0</v>
      </c>
      <c r="AR402" s="413">
        <v>0</v>
      </c>
      <c r="AS402" s="413">
        <v>0</v>
      </c>
      <c r="AT402" s="333">
        <f t="shared" si="329"/>
        <v>0</v>
      </c>
      <c r="AU402" s="334">
        <v>0</v>
      </c>
      <c r="AV402" s="387">
        <f t="shared" si="354"/>
        <v>0</v>
      </c>
      <c r="AW402" s="677">
        <v>0</v>
      </c>
      <c r="AX402" s="366">
        <f t="shared" si="355"/>
        <v>0</v>
      </c>
      <c r="AY402" s="366">
        <f t="shared" si="356"/>
        <v>0</v>
      </c>
      <c r="AZ402" s="366">
        <f t="shared" si="330"/>
        <v>0</v>
      </c>
      <c r="BA402" s="354">
        <f t="shared" si="331"/>
        <v>0</v>
      </c>
      <c r="BB402" s="354">
        <f t="shared" si="332"/>
        <v>0</v>
      </c>
      <c r="BC402" s="353">
        <v>650000000</v>
      </c>
      <c r="BD402" s="353">
        <v>0</v>
      </c>
      <c r="BE402" s="353">
        <v>650000000</v>
      </c>
      <c r="BF402" s="353">
        <v>0</v>
      </c>
      <c r="BG402" s="353">
        <v>0</v>
      </c>
      <c r="BH402" s="353">
        <v>0</v>
      </c>
      <c r="BI402" s="353">
        <v>0</v>
      </c>
      <c r="BJ402" s="353">
        <v>0</v>
      </c>
      <c r="BK402" s="428">
        <v>0</v>
      </c>
      <c r="BL402" s="351">
        <v>0</v>
      </c>
      <c r="BM402" s="351">
        <v>0</v>
      </c>
      <c r="BN402" s="351">
        <v>0</v>
      </c>
      <c r="BO402" s="351">
        <v>0</v>
      </c>
      <c r="BP402" s="351">
        <v>0</v>
      </c>
      <c r="BQ402" s="351">
        <v>0</v>
      </c>
      <c r="BR402" s="351">
        <v>0</v>
      </c>
      <c r="BS402" s="351">
        <v>0</v>
      </c>
      <c r="BT402" s="351">
        <v>0</v>
      </c>
      <c r="BU402" s="351">
        <v>0</v>
      </c>
      <c r="BV402" s="350">
        <f t="shared" si="333"/>
        <v>0.16666666666666666</v>
      </c>
      <c r="BW402" s="350">
        <v>2</v>
      </c>
      <c r="BX402" s="385">
        <f t="shared" si="357"/>
        <v>0.66666666666666663</v>
      </c>
      <c r="BY402" s="369">
        <v>0</v>
      </c>
      <c r="BZ402" s="391">
        <v>0</v>
      </c>
      <c r="CA402" s="689">
        <v>0</v>
      </c>
      <c r="CB402" s="324">
        <f t="shared" si="358"/>
        <v>0</v>
      </c>
      <c r="CC402" s="324">
        <f t="shared" si="359"/>
        <v>0</v>
      </c>
      <c r="CD402" s="384">
        <f t="shared" si="334"/>
        <v>0</v>
      </c>
      <c r="CE402" s="383">
        <f t="shared" si="335"/>
        <v>0</v>
      </c>
      <c r="CF402" s="367">
        <f t="shared" si="336"/>
        <v>0</v>
      </c>
      <c r="CG402" s="383">
        <f t="shared" si="337"/>
        <v>0</v>
      </c>
      <c r="CH402" s="320">
        <f t="shared" si="338"/>
        <v>8.3333333333333329E-2</v>
      </c>
      <c r="CI402" s="319">
        <v>1</v>
      </c>
      <c r="CJ402" s="318">
        <f t="shared" si="360"/>
        <v>0.33333333333333331</v>
      </c>
      <c r="CK402" s="1258">
        <v>4</v>
      </c>
      <c r="CL402" s="301">
        <f t="shared" si="320"/>
        <v>-3</v>
      </c>
      <c r="CM402" s="381">
        <f t="shared" si="361"/>
        <v>4</v>
      </c>
      <c r="CN402" s="381">
        <f t="shared" si="362"/>
        <v>400</v>
      </c>
      <c r="CO402" s="316">
        <f t="shared" si="339"/>
        <v>100</v>
      </c>
      <c r="CP402" s="381">
        <f t="shared" si="340"/>
        <v>8.3333333333333315E-2</v>
      </c>
      <c r="CQ402" s="381">
        <f t="shared" si="341"/>
        <v>0.33333333333333326</v>
      </c>
      <c r="CR402" s="313">
        <v>1500000000</v>
      </c>
      <c r="CS402" s="313">
        <v>1500000000</v>
      </c>
      <c r="CT402" s="313">
        <v>0</v>
      </c>
      <c r="CU402" s="313">
        <v>0</v>
      </c>
      <c r="CV402" s="313">
        <v>0</v>
      </c>
      <c r="CW402" s="313">
        <v>0</v>
      </c>
      <c r="CX402" s="313">
        <v>0</v>
      </c>
      <c r="CY402" s="313">
        <v>0</v>
      </c>
      <c r="CZ402" s="380">
        <v>0</v>
      </c>
      <c r="DA402" s="380">
        <v>0</v>
      </c>
      <c r="DB402" s="380">
        <v>0</v>
      </c>
      <c r="DC402" s="380">
        <v>0</v>
      </c>
      <c r="DD402" s="380">
        <v>0</v>
      </c>
      <c r="DE402" s="380">
        <v>0</v>
      </c>
      <c r="DF402" s="380">
        <v>0</v>
      </c>
      <c r="DG402" s="380">
        <v>0</v>
      </c>
      <c r="DH402" s="380">
        <v>0</v>
      </c>
      <c r="DI402" s="380">
        <v>0</v>
      </c>
      <c r="DJ402" s="380">
        <v>0</v>
      </c>
      <c r="DK402" s="702">
        <f t="shared" si="363"/>
        <v>4</v>
      </c>
      <c r="DL402" s="311">
        <f t="shared" si="342"/>
        <v>0.25</v>
      </c>
      <c r="DM402" s="310">
        <f t="shared" si="343"/>
        <v>133.33333333333334</v>
      </c>
      <c r="DN402" s="356">
        <f t="shared" si="344"/>
        <v>100</v>
      </c>
      <c r="DO402" s="308">
        <f t="shared" si="345"/>
        <v>0.25</v>
      </c>
      <c r="DP402" s="359">
        <f t="shared" si="349"/>
        <v>0.25</v>
      </c>
      <c r="DQ402" s="306">
        <f t="shared" si="346"/>
        <v>0.25</v>
      </c>
      <c r="DR402" s="379">
        <f t="shared" si="347"/>
        <v>1</v>
      </c>
      <c r="DS402" s="378">
        <f t="shared" si="348"/>
        <v>0</v>
      </c>
      <c r="DT402" s="173">
        <v>257</v>
      </c>
      <c r="DU402" s="174" t="s">
        <v>118</v>
      </c>
      <c r="DV402" s="173"/>
      <c r="DW402" s="174" t="s">
        <v>84</v>
      </c>
      <c r="DX402" s="173"/>
      <c r="DY402" s="173"/>
      <c r="DZ402" s="173"/>
      <c r="EA402" s="665"/>
      <c r="EB402" s="1254" t="s">
        <v>2404</v>
      </c>
      <c r="EC402" s="537">
        <v>1760000000</v>
      </c>
      <c r="EE402" s="734">
        <v>1</v>
      </c>
      <c r="EF402" s="706"/>
    </row>
    <row r="403" spans="4:136" s="302" customFormat="1" ht="114.75" hidden="1">
      <c r="D403" s="520">
        <v>400</v>
      </c>
      <c r="E403" s="534">
        <v>469</v>
      </c>
      <c r="F403" s="479" t="s">
        <v>45</v>
      </c>
      <c r="G403" s="479" t="s">
        <v>23</v>
      </c>
      <c r="H403" s="479" t="s">
        <v>2673</v>
      </c>
      <c r="I403" s="435" t="s">
        <v>978</v>
      </c>
      <c r="J403" s="335" t="s">
        <v>979</v>
      </c>
      <c r="K403" s="335" t="s">
        <v>980</v>
      </c>
      <c r="L403" s="436" t="s">
        <v>1781</v>
      </c>
      <c r="M403" s="334" t="s">
        <v>1771</v>
      </c>
      <c r="N403" s="337">
        <v>0</v>
      </c>
      <c r="O403" s="333">
        <f t="shared" si="350"/>
        <v>2</v>
      </c>
      <c r="P403" s="422">
        <v>2</v>
      </c>
      <c r="Q403" s="390">
        <v>0.25</v>
      </c>
      <c r="R403" s="342">
        <f t="shared" si="326"/>
        <v>3.125E-2</v>
      </c>
      <c r="S403" s="417">
        <v>0.25</v>
      </c>
      <c r="T403" s="337">
        <f t="shared" si="351"/>
        <v>0.125</v>
      </c>
      <c r="U403" s="673">
        <v>0.25</v>
      </c>
      <c r="V403" s="388">
        <f t="shared" si="352"/>
        <v>0.25</v>
      </c>
      <c r="W403" s="356">
        <f t="shared" si="353"/>
        <v>100</v>
      </c>
      <c r="X403" s="356">
        <f t="shared" si="327"/>
        <v>100</v>
      </c>
      <c r="Y403" s="356">
        <f t="shared" si="364"/>
        <v>3.125E-2</v>
      </c>
      <c r="Z403" s="356">
        <f t="shared" si="328"/>
        <v>100</v>
      </c>
      <c r="AA403" s="413">
        <v>437000000</v>
      </c>
      <c r="AB403" s="413">
        <v>324500000</v>
      </c>
      <c r="AC403" s="413">
        <v>0</v>
      </c>
      <c r="AD403" s="413">
        <v>0</v>
      </c>
      <c r="AE403" s="413">
        <v>0</v>
      </c>
      <c r="AF403" s="413">
        <v>0</v>
      </c>
      <c r="AG403" s="413">
        <v>0</v>
      </c>
      <c r="AH403" s="413">
        <v>112500000</v>
      </c>
      <c r="AI403" s="413">
        <v>109800000</v>
      </c>
      <c r="AJ403" s="413">
        <v>109000000</v>
      </c>
      <c r="AK403" s="413">
        <v>0</v>
      </c>
      <c r="AL403" s="413">
        <v>800000</v>
      </c>
      <c r="AM403" s="413">
        <v>0</v>
      </c>
      <c r="AN403" s="413">
        <v>0</v>
      </c>
      <c r="AO403" s="413">
        <v>0</v>
      </c>
      <c r="AP403" s="413">
        <v>0</v>
      </c>
      <c r="AQ403" s="413">
        <v>0</v>
      </c>
      <c r="AR403" s="413">
        <v>0</v>
      </c>
      <c r="AS403" s="413">
        <v>0</v>
      </c>
      <c r="AT403" s="333">
        <f t="shared" si="329"/>
        <v>3.125E-2</v>
      </c>
      <c r="AU403" s="334">
        <v>0.25</v>
      </c>
      <c r="AV403" s="387">
        <f t="shared" si="354"/>
        <v>0.125</v>
      </c>
      <c r="AW403" s="677">
        <v>0.35</v>
      </c>
      <c r="AX403" s="366">
        <f t="shared" si="355"/>
        <v>0.35</v>
      </c>
      <c r="AY403" s="366">
        <f t="shared" si="356"/>
        <v>140</v>
      </c>
      <c r="AZ403" s="366">
        <f t="shared" si="330"/>
        <v>100</v>
      </c>
      <c r="BA403" s="354">
        <f t="shared" si="331"/>
        <v>3.125E-2</v>
      </c>
      <c r="BB403" s="354">
        <f t="shared" si="332"/>
        <v>100</v>
      </c>
      <c r="BC403" s="353">
        <v>108000000</v>
      </c>
      <c r="BD403" s="353">
        <v>0</v>
      </c>
      <c r="BE403" s="353">
        <v>33000000</v>
      </c>
      <c r="BF403" s="353">
        <v>0</v>
      </c>
      <c r="BG403" s="353">
        <v>0</v>
      </c>
      <c r="BH403" s="353">
        <v>0</v>
      </c>
      <c r="BI403" s="353">
        <v>0</v>
      </c>
      <c r="BJ403" s="353">
        <v>75000000</v>
      </c>
      <c r="BK403" s="428">
        <v>175035000</v>
      </c>
      <c r="BL403" s="351">
        <v>175035000</v>
      </c>
      <c r="BM403" s="351">
        <v>0</v>
      </c>
      <c r="BN403" s="351">
        <v>0</v>
      </c>
      <c r="BO403" s="351">
        <v>0</v>
      </c>
      <c r="BP403" s="351">
        <v>0</v>
      </c>
      <c r="BQ403" s="351">
        <v>0</v>
      </c>
      <c r="BR403" s="351">
        <v>0</v>
      </c>
      <c r="BS403" s="351">
        <v>0</v>
      </c>
      <c r="BT403" s="351">
        <v>8000000000</v>
      </c>
      <c r="BU403" s="351" t="s">
        <v>1856</v>
      </c>
      <c r="BV403" s="350">
        <f t="shared" si="333"/>
        <v>6.25E-2</v>
      </c>
      <c r="BW403" s="350">
        <v>0.5</v>
      </c>
      <c r="BX403" s="385">
        <f t="shared" si="357"/>
        <v>0.25</v>
      </c>
      <c r="BY403" s="399">
        <v>1.5</v>
      </c>
      <c r="BZ403" s="438">
        <v>0.9</v>
      </c>
      <c r="CA403" s="692">
        <v>0.9</v>
      </c>
      <c r="CB403" s="324">
        <f t="shared" si="358"/>
        <v>0.9</v>
      </c>
      <c r="CC403" s="324">
        <f t="shared" si="359"/>
        <v>180</v>
      </c>
      <c r="CD403" s="384">
        <f t="shared" si="334"/>
        <v>100</v>
      </c>
      <c r="CE403" s="383">
        <f t="shared" si="335"/>
        <v>6.25E-2</v>
      </c>
      <c r="CF403" s="367">
        <f t="shared" si="336"/>
        <v>100</v>
      </c>
      <c r="CG403" s="383">
        <f t="shared" si="337"/>
        <v>0.1125</v>
      </c>
      <c r="CH403" s="320">
        <f t="shared" si="338"/>
        <v>0.125</v>
      </c>
      <c r="CI403" s="319">
        <v>1</v>
      </c>
      <c r="CJ403" s="318">
        <f t="shared" si="360"/>
        <v>0.5</v>
      </c>
      <c r="CK403" s="1258">
        <v>0.5</v>
      </c>
      <c r="CL403" s="301">
        <f t="shared" si="320"/>
        <v>0.5</v>
      </c>
      <c r="CM403" s="381">
        <f t="shared" si="361"/>
        <v>0.5</v>
      </c>
      <c r="CN403" s="381">
        <f t="shared" si="362"/>
        <v>50</v>
      </c>
      <c r="CO403" s="316">
        <f t="shared" si="339"/>
        <v>50</v>
      </c>
      <c r="CP403" s="381">
        <f t="shared" si="340"/>
        <v>6.25E-2</v>
      </c>
      <c r="CQ403" s="381">
        <f t="shared" si="341"/>
        <v>6.25E-2</v>
      </c>
      <c r="CR403" s="313">
        <v>150000000</v>
      </c>
      <c r="CS403" s="313">
        <v>75000000</v>
      </c>
      <c r="CT403" s="313">
        <v>0</v>
      </c>
      <c r="CU403" s="313">
        <v>0</v>
      </c>
      <c r="CV403" s="313">
        <v>0</v>
      </c>
      <c r="CW403" s="313">
        <v>0</v>
      </c>
      <c r="CX403" s="313">
        <v>0</v>
      </c>
      <c r="CY403" s="313">
        <v>75000000</v>
      </c>
      <c r="CZ403" s="380">
        <v>0</v>
      </c>
      <c r="DA403" s="380">
        <v>0</v>
      </c>
      <c r="DB403" s="380">
        <v>0</v>
      </c>
      <c r="DC403" s="380">
        <v>0</v>
      </c>
      <c r="DD403" s="380">
        <v>0</v>
      </c>
      <c r="DE403" s="380">
        <v>0</v>
      </c>
      <c r="DF403" s="380">
        <v>0</v>
      </c>
      <c r="DG403" s="380">
        <v>0</v>
      </c>
      <c r="DH403" s="380">
        <v>0</v>
      </c>
      <c r="DI403" s="380">
        <v>0</v>
      </c>
      <c r="DJ403" s="380">
        <v>0</v>
      </c>
      <c r="DK403" s="702">
        <f t="shared" si="363"/>
        <v>2</v>
      </c>
      <c r="DL403" s="311">
        <f t="shared" si="342"/>
        <v>0.25</v>
      </c>
      <c r="DM403" s="310">
        <f t="shared" si="343"/>
        <v>100</v>
      </c>
      <c r="DN403" s="356">
        <f t="shared" si="344"/>
        <v>100</v>
      </c>
      <c r="DO403" s="308">
        <f t="shared" si="345"/>
        <v>0.25</v>
      </c>
      <c r="DP403" s="359">
        <f t="shared" si="349"/>
        <v>0.25</v>
      </c>
      <c r="DQ403" s="306">
        <f t="shared" si="346"/>
        <v>0.25</v>
      </c>
      <c r="DR403" s="379">
        <f t="shared" si="347"/>
        <v>1</v>
      </c>
      <c r="DS403" s="378">
        <f t="shared" si="348"/>
        <v>0</v>
      </c>
      <c r="DT403" s="173">
        <v>468</v>
      </c>
      <c r="DU403" s="174" t="s">
        <v>102</v>
      </c>
      <c r="DV403" s="173"/>
      <c r="DW403" s="174" t="s">
        <v>84</v>
      </c>
      <c r="DX403" s="173"/>
      <c r="DY403" s="173"/>
      <c r="DZ403" s="173"/>
      <c r="EA403" s="665"/>
      <c r="EB403" s="1254" t="s">
        <v>2595</v>
      </c>
      <c r="EC403" s="537">
        <v>0</v>
      </c>
      <c r="EE403" s="735">
        <v>1</v>
      </c>
      <c r="EF403" s="706"/>
    </row>
    <row r="404" spans="4:136" s="302" customFormat="1" ht="102" hidden="1">
      <c r="D404" s="520">
        <v>401</v>
      </c>
      <c r="E404" s="534">
        <v>470</v>
      </c>
      <c r="F404" s="479" t="s">
        <v>45</v>
      </c>
      <c r="G404" s="479" t="s">
        <v>23</v>
      </c>
      <c r="H404" s="479" t="s">
        <v>2673</v>
      </c>
      <c r="I404" s="435" t="s">
        <v>978</v>
      </c>
      <c r="J404" s="335" t="s">
        <v>981</v>
      </c>
      <c r="K404" s="335" t="s">
        <v>982</v>
      </c>
      <c r="L404" s="434" t="s">
        <v>1866</v>
      </c>
      <c r="M404" s="334" t="s">
        <v>1771</v>
      </c>
      <c r="N404" s="337">
        <v>0</v>
      </c>
      <c r="O404" s="333">
        <f t="shared" si="350"/>
        <v>3</v>
      </c>
      <c r="P404" s="422">
        <v>3</v>
      </c>
      <c r="Q404" s="390">
        <v>0.16500000000000001</v>
      </c>
      <c r="R404" s="342">
        <f t="shared" si="326"/>
        <v>0</v>
      </c>
      <c r="S404" s="417">
        <v>0</v>
      </c>
      <c r="T404" s="337">
        <f t="shared" si="351"/>
        <v>0</v>
      </c>
      <c r="U404" s="673">
        <v>0</v>
      </c>
      <c r="V404" s="388">
        <f t="shared" si="352"/>
        <v>0</v>
      </c>
      <c r="W404" s="356">
        <f t="shared" si="353"/>
        <v>0</v>
      </c>
      <c r="X404" s="356">
        <f t="shared" si="327"/>
        <v>0</v>
      </c>
      <c r="Y404" s="356">
        <f t="shared" si="364"/>
        <v>0</v>
      </c>
      <c r="Z404" s="356">
        <f t="shared" si="328"/>
        <v>0</v>
      </c>
      <c r="AA404" s="413">
        <v>0</v>
      </c>
      <c r="AB404" s="413">
        <v>0</v>
      </c>
      <c r="AC404" s="413">
        <v>0</v>
      </c>
      <c r="AD404" s="413">
        <v>0</v>
      </c>
      <c r="AE404" s="413">
        <v>0</v>
      </c>
      <c r="AF404" s="413">
        <v>0</v>
      </c>
      <c r="AG404" s="413">
        <v>0</v>
      </c>
      <c r="AH404" s="413">
        <v>0</v>
      </c>
      <c r="AI404" s="413">
        <v>0</v>
      </c>
      <c r="AJ404" s="413">
        <v>0</v>
      </c>
      <c r="AK404" s="413">
        <v>0</v>
      </c>
      <c r="AL404" s="413">
        <v>0</v>
      </c>
      <c r="AM404" s="413">
        <v>0</v>
      </c>
      <c r="AN404" s="413">
        <v>0</v>
      </c>
      <c r="AO404" s="413">
        <v>0</v>
      </c>
      <c r="AP404" s="413">
        <v>0</v>
      </c>
      <c r="AQ404" s="413">
        <v>0</v>
      </c>
      <c r="AR404" s="413">
        <v>0</v>
      </c>
      <c r="AS404" s="413">
        <v>0</v>
      </c>
      <c r="AT404" s="333">
        <f t="shared" si="329"/>
        <v>5.5E-2</v>
      </c>
      <c r="AU404" s="334">
        <v>1</v>
      </c>
      <c r="AV404" s="387">
        <f t="shared" si="354"/>
        <v>0.33333333333333331</v>
      </c>
      <c r="AW404" s="677">
        <v>1</v>
      </c>
      <c r="AX404" s="366">
        <f t="shared" si="355"/>
        <v>1</v>
      </c>
      <c r="AY404" s="366">
        <f t="shared" si="356"/>
        <v>100</v>
      </c>
      <c r="AZ404" s="366">
        <f t="shared" si="330"/>
        <v>100</v>
      </c>
      <c r="BA404" s="354">
        <f t="shared" si="331"/>
        <v>5.5E-2</v>
      </c>
      <c r="BB404" s="354">
        <f t="shared" si="332"/>
        <v>100</v>
      </c>
      <c r="BC404" s="353">
        <v>1769000000</v>
      </c>
      <c r="BD404" s="353">
        <v>0</v>
      </c>
      <c r="BE404" s="353">
        <v>769000000</v>
      </c>
      <c r="BF404" s="353">
        <v>0</v>
      </c>
      <c r="BG404" s="353">
        <v>0</v>
      </c>
      <c r="BH404" s="353">
        <v>0</v>
      </c>
      <c r="BI404" s="353">
        <v>0</v>
      </c>
      <c r="BJ404" s="353">
        <v>1000000000</v>
      </c>
      <c r="BK404" s="428">
        <v>1350000000</v>
      </c>
      <c r="BL404" s="351">
        <v>1350000000</v>
      </c>
      <c r="BM404" s="351">
        <v>0</v>
      </c>
      <c r="BN404" s="351">
        <v>0</v>
      </c>
      <c r="BO404" s="351">
        <v>0</v>
      </c>
      <c r="BP404" s="351">
        <v>0</v>
      </c>
      <c r="BQ404" s="351">
        <v>0</v>
      </c>
      <c r="BR404" s="351">
        <v>0</v>
      </c>
      <c r="BS404" s="351">
        <v>0</v>
      </c>
      <c r="BT404" s="351">
        <v>200000000</v>
      </c>
      <c r="BU404" s="351" t="s">
        <v>1865</v>
      </c>
      <c r="BV404" s="350">
        <f t="shared" si="333"/>
        <v>5.5E-2</v>
      </c>
      <c r="BW404" s="350">
        <v>1</v>
      </c>
      <c r="BX404" s="385">
        <f t="shared" si="357"/>
        <v>0.33333333333333331</v>
      </c>
      <c r="BY404" s="369">
        <v>0.5</v>
      </c>
      <c r="BZ404" s="438">
        <v>0.69999998807907104</v>
      </c>
      <c r="CA404" s="692">
        <v>1</v>
      </c>
      <c r="CB404" s="324">
        <f t="shared" si="358"/>
        <v>1</v>
      </c>
      <c r="CC404" s="324">
        <f t="shared" si="359"/>
        <v>100</v>
      </c>
      <c r="CD404" s="384">
        <f t="shared" si="334"/>
        <v>100</v>
      </c>
      <c r="CE404" s="383">
        <f t="shared" si="335"/>
        <v>5.5E-2</v>
      </c>
      <c r="CF404" s="367">
        <f t="shared" si="336"/>
        <v>100</v>
      </c>
      <c r="CG404" s="383">
        <f t="shared" si="337"/>
        <v>5.5E-2</v>
      </c>
      <c r="CH404" s="320">
        <f t="shared" si="338"/>
        <v>5.5E-2</v>
      </c>
      <c r="CI404" s="319">
        <v>1</v>
      </c>
      <c r="CJ404" s="318">
        <f t="shared" si="360"/>
        <v>0.33333333333333331</v>
      </c>
      <c r="CK404" s="1259">
        <v>1</v>
      </c>
      <c r="CL404" s="301">
        <f t="shared" si="320"/>
        <v>0</v>
      </c>
      <c r="CM404" s="381">
        <f t="shared" si="361"/>
        <v>1</v>
      </c>
      <c r="CN404" s="381">
        <f t="shared" si="362"/>
        <v>100</v>
      </c>
      <c r="CO404" s="316">
        <f t="shared" si="339"/>
        <v>100</v>
      </c>
      <c r="CP404" s="381">
        <f t="shared" si="340"/>
        <v>5.5E-2</v>
      </c>
      <c r="CQ404" s="381">
        <f t="shared" si="341"/>
        <v>5.5E-2</v>
      </c>
      <c r="CR404" s="313">
        <v>2775000000</v>
      </c>
      <c r="CS404" s="313">
        <v>1775000000</v>
      </c>
      <c r="CT404" s="313">
        <v>0</v>
      </c>
      <c r="CU404" s="313">
        <v>0</v>
      </c>
      <c r="CV404" s="313">
        <v>0</v>
      </c>
      <c r="CW404" s="313">
        <v>0</v>
      </c>
      <c r="CX404" s="313">
        <v>0</v>
      </c>
      <c r="CY404" s="313">
        <v>1000000000</v>
      </c>
      <c r="CZ404" s="380">
        <v>0</v>
      </c>
      <c r="DA404" s="380">
        <v>0</v>
      </c>
      <c r="DB404" s="380">
        <v>0</v>
      </c>
      <c r="DC404" s="380">
        <v>0</v>
      </c>
      <c r="DD404" s="380">
        <v>0</v>
      </c>
      <c r="DE404" s="380">
        <v>0</v>
      </c>
      <c r="DF404" s="380">
        <v>0</v>
      </c>
      <c r="DG404" s="380">
        <v>0</v>
      </c>
      <c r="DH404" s="380">
        <v>0</v>
      </c>
      <c r="DI404" s="380">
        <v>0</v>
      </c>
      <c r="DJ404" s="380">
        <v>0</v>
      </c>
      <c r="DK404" s="702">
        <f t="shared" si="363"/>
        <v>3</v>
      </c>
      <c r="DL404" s="311">
        <f t="shared" si="342"/>
        <v>0.16500000000000001</v>
      </c>
      <c r="DM404" s="310">
        <f t="shared" si="343"/>
        <v>100</v>
      </c>
      <c r="DN404" s="356">
        <f t="shared" si="344"/>
        <v>100</v>
      </c>
      <c r="DO404" s="308">
        <f t="shared" si="345"/>
        <v>0.16500000000000001</v>
      </c>
      <c r="DP404" s="359">
        <f t="shared" si="349"/>
        <v>0.16500000000000001</v>
      </c>
      <c r="DQ404" s="306">
        <f t="shared" si="346"/>
        <v>0.16500000000000001</v>
      </c>
      <c r="DR404" s="379">
        <f t="shared" si="347"/>
        <v>1</v>
      </c>
      <c r="DS404" s="378">
        <f t="shared" si="348"/>
        <v>0</v>
      </c>
      <c r="DT404" s="173">
        <v>468</v>
      </c>
      <c r="DU404" s="174" t="s">
        <v>102</v>
      </c>
      <c r="DV404" s="173"/>
      <c r="DW404" s="174" t="s">
        <v>84</v>
      </c>
      <c r="DX404" s="173"/>
      <c r="DY404" s="173"/>
      <c r="DZ404" s="173"/>
      <c r="EA404" s="665"/>
      <c r="EB404" s="1254" t="s">
        <v>2596</v>
      </c>
      <c r="EC404" s="537">
        <v>0</v>
      </c>
      <c r="EE404" s="734">
        <v>10</v>
      </c>
      <c r="EF404" s="706"/>
    </row>
    <row r="405" spans="4:136" s="302" customFormat="1" ht="191.25" hidden="1">
      <c r="D405" s="520">
        <v>402</v>
      </c>
      <c r="E405" s="534">
        <v>471</v>
      </c>
      <c r="F405" s="479" t="s">
        <v>45</v>
      </c>
      <c r="G405" s="479" t="s">
        <v>23</v>
      </c>
      <c r="H405" s="479" t="s">
        <v>2673</v>
      </c>
      <c r="I405" s="435" t="s">
        <v>978</v>
      </c>
      <c r="J405" s="335" t="s">
        <v>983</v>
      </c>
      <c r="K405" s="335" t="s">
        <v>984</v>
      </c>
      <c r="L405" s="434" t="s">
        <v>1864</v>
      </c>
      <c r="M405" s="334" t="s">
        <v>1771</v>
      </c>
      <c r="N405" s="337">
        <v>0</v>
      </c>
      <c r="O405" s="333">
        <f t="shared" si="350"/>
        <v>2</v>
      </c>
      <c r="P405" s="422">
        <v>2</v>
      </c>
      <c r="Q405" s="390">
        <v>0.25</v>
      </c>
      <c r="R405" s="342">
        <f t="shared" si="326"/>
        <v>0</v>
      </c>
      <c r="S405" s="417">
        <v>0</v>
      </c>
      <c r="T405" s="337">
        <f t="shared" si="351"/>
        <v>0</v>
      </c>
      <c r="U405" s="673">
        <v>0.1</v>
      </c>
      <c r="V405" s="388">
        <f t="shared" si="352"/>
        <v>0.1</v>
      </c>
      <c r="W405" s="356">
        <f t="shared" si="353"/>
        <v>0</v>
      </c>
      <c r="X405" s="356">
        <f t="shared" si="327"/>
        <v>0</v>
      </c>
      <c r="Y405" s="356">
        <f t="shared" si="364"/>
        <v>0</v>
      </c>
      <c r="Z405" s="356">
        <f t="shared" si="328"/>
        <v>100</v>
      </c>
      <c r="AA405" s="413">
        <v>203500000</v>
      </c>
      <c r="AB405" s="413">
        <v>183000000</v>
      </c>
      <c r="AC405" s="413">
        <v>0</v>
      </c>
      <c r="AD405" s="413">
        <v>0</v>
      </c>
      <c r="AE405" s="413">
        <v>0</v>
      </c>
      <c r="AF405" s="413">
        <v>0</v>
      </c>
      <c r="AG405" s="413">
        <v>0</v>
      </c>
      <c r="AH405" s="413">
        <v>20500000</v>
      </c>
      <c r="AI405" s="413">
        <v>174500000</v>
      </c>
      <c r="AJ405" s="413">
        <v>154000000</v>
      </c>
      <c r="AK405" s="413">
        <v>0</v>
      </c>
      <c r="AL405" s="413">
        <v>20500000</v>
      </c>
      <c r="AM405" s="413">
        <v>0</v>
      </c>
      <c r="AN405" s="413">
        <v>0</v>
      </c>
      <c r="AO405" s="413">
        <v>0</v>
      </c>
      <c r="AP405" s="413">
        <v>0</v>
      </c>
      <c r="AQ405" s="413">
        <v>0</v>
      </c>
      <c r="AR405" s="413">
        <v>0</v>
      </c>
      <c r="AS405" s="413">
        <v>0</v>
      </c>
      <c r="AT405" s="333">
        <f t="shared" si="329"/>
        <v>0</v>
      </c>
      <c r="AU405" s="334">
        <v>0</v>
      </c>
      <c r="AV405" s="387">
        <f t="shared" si="354"/>
        <v>0</v>
      </c>
      <c r="AW405" s="677">
        <v>0.25</v>
      </c>
      <c r="AX405" s="366">
        <f t="shared" si="355"/>
        <v>0.25</v>
      </c>
      <c r="AY405" s="366">
        <f t="shared" si="356"/>
        <v>0</v>
      </c>
      <c r="AZ405" s="366">
        <f t="shared" si="330"/>
        <v>0</v>
      </c>
      <c r="BA405" s="354">
        <f t="shared" si="331"/>
        <v>0</v>
      </c>
      <c r="BB405" s="354">
        <f t="shared" si="332"/>
        <v>100</v>
      </c>
      <c r="BC405" s="353">
        <v>315000000</v>
      </c>
      <c r="BD405" s="353">
        <v>0</v>
      </c>
      <c r="BE405" s="353">
        <v>65000000</v>
      </c>
      <c r="BF405" s="353">
        <v>0</v>
      </c>
      <c r="BG405" s="353">
        <v>0</v>
      </c>
      <c r="BH405" s="353">
        <v>0</v>
      </c>
      <c r="BI405" s="353">
        <v>0</v>
      </c>
      <c r="BJ405" s="353">
        <v>250000000</v>
      </c>
      <c r="BK405" s="428">
        <v>178000000</v>
      </c>
      <c r="BL405" s="351">
        <v>178000000</v>
      </c>
      <c r="BM405" s="351">
        <v>0</v>
      </c>
      <c r="BN405" s="351">
        <v>0</v>
      </c>
      <c r="BO405" s="351">
        <v>0</v>
      </c>
      <c r="BP405" s="351">
        <v>0</v>
      </c>
      <c r="BQ405" s="351">
        <v>0</v>
      </c>
      <c r="BR405" s="351">
        <v>0</v>
      </c>
      <c r="BS405" s="351">
        <v>0</v>
      </c>
      <c r="BT405" s="351">
        <v>1181869382</v>
      </c>
      <c r="BU405" s="351" t="s">
        <v>1863</v>
      </c>
      <c r="BV405" s="350">
        <f t="shared" si="333"/>
        <v>0.125</v>
      </c>
      <c r="BW405" s="350">
        <v>1</v>
      </c>
      <c r="BX405" s="385">
        <f t="shared" si="357"/>
        <v>0.5</v>
      </c>
      <c r="BY405" s="369">
        <v>0.30000001192092896</v>
      </c>
      <c r="BZ405" s="438">
        <v>0.34999999403953552</v>
      </c>
      <c r="CA405" s="692">
        <v>0.64999997615814209</v>
      </c>
      <c r="CB405" s="324">
        <f t="shared" si="358"/>
        <v>0.64999997615814209</v>
      </c>
      <c r="CC405" s="324">
        <f t="shared" si="359"/>
        <v>64.999997615814209</v>
      </c>
      <c r="CD405" s="384">
        <f t="shared" si="334"/>
        <v>64.999997615814209</v>
      </c>
      <c r="CE405" s="383">
        <f t="shared" si="335"/>
        <v>8.1249997019767761E-2</v>
      </c>
      <c r="CF405" s="367">
        <f t="shared" si="336"/>
        <v>64.999997615814209</v>
      </c>
      <c r="CG405" s="383">
        <f t="shared" si="337"/>
        <v>8.1249997019767761E-2</v>
      </c>
      <c r="CH405" s="320">
        <f t="shared" si="338"/>
        <v>0.125</v>
      </c>
      <c r="CI405" s="319">
        <v>1</v>
      </c>
      <c r="CJ405" s="318">
        <f t="shared" si="360"/>
        <v>0.5</v>
      </c>
      <c r="CK405" s="1259">
        <v>1</v>
      </c>
      <c r="CL405" s="301">
        <f t="shared" si="320"/>
        <v>0</v>
      </c>
      <c r="CM405" s="381">
        <f t="shared" si="361"/>
        <v>1</v>
      </c>
      <c r="CN405" s="381">
        <f t="shared" si="362"/>
        <v>100</v>
      </c>
      <c r="CO405" s="316">
        <f t="shared" si="339"/>
        <v>100</v>
      </c>
      <c r="CP405" s="381">
        <f t="shared" si="340"/>
        <v>0.125</v>
      </c>
      <c r="CQ405" s="381">
        <f t="shared" si="341"/>
        <v>0.125</v>
      </c>
      <c r="CR405" s="313">
        <v>400000000</v>
      </c>
      <c r="CS405" s="313">
        <v>150000000</v>
      </c>
      <c r="CT405" s="313">
        <v>0</v>
      </c>
      <c r="CU405" s="313">
        <v>0</v>
      </c>
      <c r="CV405" s="313">
        <v>0</v>
      </c>
      <c r="CW405" s="313">
        <v>0</v>
      </c>
      <c r="CX405" s="313">
        <v>0</v>
      </c>
      <c r="CY405" s="313">
        <v>250000000</v>
      </c>
      <c r="CZ405" s="380">
        <v>0</v>
      </c>
      <c r="DA405" s="380">
        <v>0</v>
      </c>
      <c r="DB405" s="380">
        <v>0</v>
      </c>
      <c r="DC405" s="380">
        <v>0</v>
      </c>
      <c r="DD405" s="380">
        <v>0</v>
      </c>
      <c r="DE405" s="380">
        <v>0</v>
      </c>
      <c r="DF405" s="380">
        <v>0</v>
      </c>
      <c r="DG405" s="380">
        <v>0</v>
      </c>
      <c r="DH405" s="380">
        <v>0</v>
      </c>
      <c r="DI405" s="380">
        <v>0</v>
      </c>
      <c r="DJ405" s="380">
        <v>0</v>
      </c>
      <c r="DK405" s="702">
        <f t="shared" si="363"/>
        <v>1.9999999761581422</v>
      </c>
      <c r="DL405" s="311">
        <f t="shared" si="342"/>
        <v>0.25</v>
      </c>
      <c r="DM405" s="310">
        <f t="shared" si="343"/>
        <v>99.999998807907104</v>
      </c>
      <c r="DN405" s="356">
        <f t="shared" si="344"/>
        <v>99.999998807907104</v>
      </c>
      <c r="DO405" s="308">
        <f t="shared" si="345"/>
        <v>0.24999999701976777</v>
      </c>
      <c r="DP405" s="359">
        <f t="shared" si="349"/>
        <v>0.24999999701976777</v>
      </c>
      <c r="DQ405" s="306">
        <f t="shared" si="346"/>
        <v>0.24999999701976777</v>
      </c>
      <c r="DR405" s="379">
        <f t="shared" si="347"/>
        <v>1</v>
      </c>
      <c r="DS405" s="378">
        <f t="shared" si="348"/>
        <v>0</v>
      </c>
      <c r="DT405" s="173">
        <v>468</v>
      </c>
      <c r="DU405" s="174" t="s">
        <v>102</v>
      </c>
      <c r="DV405" s="173"/>
      <c r="DW405" s="174" t="s">
        <v>84</v>
      </c>
      <c r="DX405" s="173"/>
      <c r="DY405" s="173"/>
      <c r="DZ405" s="173"/>
      <c r="EA405" s="665"/>
      <c r="EB405" s="1254" t="s">
        <v>2199</v>
      </c>
      <c r="EC405" s="537">
        <v>30000000</v>
      </c>
      <c r="EE405" s="734">
        <v>25</v>
      </c>
      <c r="EF405" s="706"/>
    </row>
    <row r="406" spans="4:136" s="302" customFormat="1" ht="51" hidden="1">
      <c r="D406" s="520">
        <v>403</v>
      </c>
      <c r="E406" s="534">
        <v>472</v>
      </c>
      <c r="F406" s="479" t="s">
        <v>45</v>
      </c>
      <c r="G406" s="479" t="s">
        <v>23</v>
      </c>
      <c r="H406" s="479" t="s">
        <v>2673</v>
      </c>
      <c r="I406" s="435" t="s">
        <v>978</v>
      </c>
      <c r="J406" s="335" t="s">
        <v>985</v>
      </c>
      <c r="K406" s="335" t="s">
        <v>986</v>
      </c>
      <c r="L406" s="434" t="s">
        <v>1773</v>
      </c>
      <c r="M406" s="334" t="s">
        <v>1771</v>
      </c>
      <c r="N406" s="337">
        <v>0</v>
      </c>
      <c r="O406" s="333">
        <f t="shared" si="350"/>
        <v>2</v>
      </c>
      <c r="P406" s="422">
        <v>2</v>
      </c>
      <c r="Q406" s="390">
        <v>0.25</v>
      </c>
      <c r="R406" s="342">
        <f t="shared" si="326"/>
        <v>0</v>
      </c>
      <c r="S406" s="417">
        <v>0</v>
      </c>
      <c r="T406" s="337">
        <f t="shared" si="351"/>
        <v>0</v>
      </c>
      <c r="U406" s="673">
        <v>0</v>
      </c>
      <c r="V406" s="388">
        <f t="shared" si="352"/>
        <v>0</v>
      </c>
      <c r="W406" s="356">
        <f t="shared" si="353"/>
        <v>0</v>
      </c>
      <c r="X406" s="356">
        <f t="shared" si="327"/>
        <v>0</v>
      </c>
      <c r="Y406" s="356">
        <f t="shared" si="364"/>
        <v>0</v>
      </c>
      <c r="Z406" s="356">
        <f t="shared" si="328"/>
        <v>0</v>
      </c>
      <c r="AA406" s="413">
        <v>0</v>
      </c>
      <c r="AB406" s="413">
        <v>0</v>
      </c>
      <c r="AC406" s="413">
        <v>0</v>
      </c>
      <c r="AD406" s="413">
        <v>0</v>
      </c>
      <c r="AE406" s="413">
        <v>0</v>
      </c>
      <c r="AF406" s="413">
        <v>0</v>
      </c>
      <c r="AG406" s="413">
        <v>0</v>
      </c>
      <c r="AH406" s="413">
        <v>0</v>
      </c>
      <c r="AI406" s="413">
        <v>0</v>
      </c>
      <c r="AJ406" s="413">
        <v>0</v>
      </c>
      <c r="AK406" s="413">
        <v>0</v>
      </c>
      <c r="AL406" s="413">
        <v>0</v>
      </c>
      <c r="AM406" s="413">
        <v>0</v>
      </c>
      <c r="AN406" s="413">
        <v>0</v>
      </c>
      <c r="AO406" s="413">
        <v>0</v>
      </c>
      <c r="AP406" s="413">
        <v>0</v>
      </c>
      <c r="AQ406" s="413">
        <v>0</v>
      </c>
      <c r="AR406" s="413">
        <v>0</v>
      </c>
      <c r="AS406" s="413">
        <v>0</v>
      </c>
      <c r="AT406" s="333">
        <f t="shared" si="329"/>
        <v>0</v>
      </c>
      <c r="AU406" s="334">
        <v>0</v>
      </c>
      <c r="AV406" s="387">
        <f t="shared" si="354"/>
        <v>0</v>
      </c>
      <c r="AW406" s="677">
        <v>3</v>
      </c>
      <c r="AX406" s="366">
        <f t="shared" si="355"/>
        <v>3</v>
      </c>
      <c r="AY406" s="366">
        <f t="shared" si="356"/>
        <v>0</v>
      </c>
      <c r="AZ406" s="366">
        <f t="shared" si="330"/>
        <v>0</v>
      </c>
      <c r="BA406" s="354">
        <f t="shared" si="331"/>
        <v>0</v>
      </c>
      <c r="BB406" s="354">
        <f t="shared" si="332"/>
        <v>100</v>
      </c>
      <c r="BC406" s="353">
        <v>815000000</v>
      </c>
      <c r="BD406" s="353">
        <v>0</v>
      </c>
      <c r="BE406" s="353">
        <v>65000000</v>
      </c>
      <c r="BF406" s="353">
        <v>0</v>
      </c>
      <c r="BG406" s="353">
        <v>0</v>
      </c>
      <c r="BH406" s="353">
        <v>0</v>
      </c>
      <c r="BI406" s="353">
        <v>0</v>
      </c>
      <c r="BJ406" s="353">
        <v>750000000</v>
      </c>
      <c r="BK406" s="428">
        <v>0</v>
      </c>
      <c r="BL406" s="351">
        <v>0</v>
      </c>
      <c r="BM406" s="351">
        <v>0</v>
      </c>
      <c r="BN406" s="351">
        <v>0</v>
      </c>
      <c r="BO406" s="351">
        <v>0</v>
      </c>
      <c r="BP406" s="351">
        <v>0</v>
      </c>
      <c r="BQ406" s="351">
        <v>0</v>
      </c>
      <c r="BR406" s="351">
        <v>0</v>
      </c>
      <c r="BS406" s="351">
        <v>0</v>
      </c>
      <c r="BT406" s="351">
        <v>0</v>
      </c>
      <c r="BU406" s="351">
        <v>0</v>
      </c>
      <c r="BV406" s="350">
        <f t="shared" si="333"/>
        <v>0.125</v>
      </c>
      <c r="BW406" s="350">
        <v>1</v>
      </c>
      <c r="BX406" s="385">
        <f t="shared" si="357"/>
        <v>0.5</v>
      </c>
      <c r="BY406" s="400">
        <v>0</v>
      </c>
      <c r="BZ406" s="1390">
        <v>3</v>
      </c>
      <c r="CA406" s="697">
        <v>3</v>
      </c>
      <c r="CB406" s="324">
        <f t="shared" si="358"/>
        <v>3</v>
      </c>
      <c r="CC406" s="324">
        <f t="shared" si="359"/>
        <v>300</v>
      </c>
      <c r="CD406" s="384">
        <f t="shared" si="334"/>
        <v>100</v>
      </c>
      <c r="CE406" s="383">
        <f t="shared" si="335"/>
        <v>0.125</v>
      </c>
      <c r="CF406" s="367">
        <f t="shared" si="336"/>
        <v>100</v>
      </c>
      <c r="CG406" s="383">
        <f t="shared" si="337"/>
        <v>0.375</v>
      </c>
      <c r="CH406" s="320">
        <f t="shared" si="338"/>
        <v>0.125</v>
      </c>
      <c r="CI406" s="319">
        <v>1</v>
      </c>
      <c r="CJ406" s="318">
        <f t="shared" si="360"/>
        <v>0.5</v>
      </c>
      <c r="CK406" s="1258">
        <v>0</v>
      </c>
      <c r="CL406" s="301">
        <f t="shared" si="320"/>
        <v>1</v>
      </c>
      <c r="CM406" s="381">
        <f t="shared" si="361"/>
        <v>0</v>
      </c>
      <c r="CN406" s="381">
        <f t="shared" si="362"/>
        <v>0</v>
      </c>
      <c r="CO406" s="316">
        <f t="shared" si="339"/>
        <v>0</v>
      </c>
      <c r="CP406" s="381">
        <f t="shared" si="340"/>
        <v>0</v>
      </c>
      <c r="CQ406" s="381">
        <f t="shared" si="341"/>
        <v>0</v>
      </c>
      <c r="CR406" s="313">
        <v>900000000</v>
      </c>
      <c r="CS406" s="313">
        <v>150000000</v>
      </c>
      <c r="CT406" s="313">
        <v>0</v>
      </c>
      <c r="CU406" s="313">
        <v>0</v>
      </c>
      <c r="CV406" s="313">
        <v>0</v>
      </c>
      <c r="CW406" s="313">
        <v>0</v>
      </c>
      <c r="CX406" s="313">
        <v>0</v>
      </c>
      <c r="CY406" s="313">
        <v>750000000</v>
      </c>
      <c r="CZ406" s="380">
        <v>0</v>
      </c>
      <c r="DA406" s="380">
        <v>0</v>
      </c>
      <c r="DB406" s="380">
        <v>0</v>
      </c>
      <c r="DC406" s="380">
        <v>0</v>
      </c>
      <c r="DD406" s="380">
        <v>0</v>
      </c>
      <c r="DE406" s="380">
        <v>0</v>
      </c>
      <c r="DF406" s="380">
        <v>0</v>
      </c>
      <c r="DG406" s="380">
        <v>0</v>
      </c>
      <c r="DH406" s="380">
        <v>0</v>
      </c>
      <c r="DI406" s="380">
        <v>0</v>
      </c>
      <c r="DJ406" s="380">
        <v>0</v>
      </c>
      <c r="DK406" s="702">
        <f t="shared" si="363"/>
        <v>6</v>
      </c>
      <c r="DL406" s="311">
        <f t="shared" si="342"/>
        <v>0.25</v>
      </c>
      <c r="DM406" s="310">
        <f t="shared" si="343"/>
        <v>300</v>
      </c>
      <c r="DN406" s="356">
        <f t="shared" si="344"/>
        <v>100</v>
      </c>
      <c r="DO406" s="308">
        <f t="shared" si="345"/>
        <v>0.25</v>
      </c>
      <c r="DP406" s="359">
        <f t="shared" si="349"/>
        <v>0.25</v>
      </c>
      <c r="DQ406" s="306">
        <f t="shared" si="346"/>
        <v>0.25</v>
      </c>
      <c r="DR406" s="379">
        <f t="shared" si="347"/>
        <v>1</v>
      </c>
      <c r="DS406" s="378">
        <f t="shared" si="348"/>
        <v>0</v>
      </c>
      <c r="DT406" s="173">
        <v>468</v>
      </c>
      <c r="DU406" s="174" t="s">
        <v>102</v>
      </c>
      <c r="DV406" s="173"/>
      <c r="DW406" s="174" t="s">
        <v>84</v>
      </c>
      <c r="DX406" s="173"/>
      <c r="DY406" s="173"/>
      <c r="DZ406" s="173"/>
      <c r="EA406" s="665"/>
      <c r="EB406" s="1254" t="s">
        <v>2200</v>
      </c>
      <c r="EC406" s="537">
        <v>0</v>
      </c>
      <c r="EE406" s="734">
        <v>25</v>
      </c>
      <c r="EF406" s="706"/>
    </row>
    <row r="407" spans="4:136" s="302" customFormat="1" ht="76.5" hidden="1">
      <c r="D407" s="520">
        <v>404</v>
      </c>
      <c r="E407" s="534">
        <v>473</v>
      </c>
      <c r="F407" s="479" t="s">
        <v>45</v>
      </c>
      <c r="G407" s="479" t="s">
        <v>23</v>
      </c>
      <c r="H407" s="479" t="s">
        <v>2673</v>
      </c>
      <c r="I407" s="435" t="s">
        <v>978</v>
      </c>
      <c r="J407" s="335" t="s">
        <v>987</v>
      </c>
      <c r="K407" s="335" t="s">
        <v>988</v>
      </c>
      <c r="L407" s="436" t="s">
        <v>1843</v>
      </c>
      <c r="M407" s="334" t="s">
        <v>1771</v>
      </c>
      <c r="N407" s="337">
        <v>0</v>
      </c>
      <c r="O407" s="333">
        <f t="shared" si="350"/>
        <v>2</v>
      </c>
      <c r="P407" s="422">
        <v>2</v>
      </c>
      <c r="Q407" s="390">
        <v>0.16500000000000001</v>
      </c>
      <c r="R407" s="342">
        <f t="shared" si="326"/>
        <v>3.3000000000000002E-2</v>
      </c>
      <c r="S407" s="334">
        <v>0.4</v>
      </c>
      <c r="T407" s="387">
        <f t="shared" si="351"/>
        <v>0.2</v>
      </c>
      <c r="U407" s="1372">
        <v>0.25</v>
      </c>
      <c r="V407" s="388">
        <f t="shared" si="352"/>
        <v>0.25</v>
      </c>
      <c r="W407" s="356">
        <f t="shared" si="353"/>
        <v>62.5</v>
      </c>
      <c r="X407" s="356">
        <f t="shared" si="327"/>
        <v>62.5</v>
      </c>
      <c r="Y407" s="356">
        <f t="shared" si="364"/>
        <v>2.0625000000000001E-2</v>
      </c>
      <c r="Z407" s="356">
        <f t="shared" si="328"/>
        <v>62.5</v>
      </c>
      <c r="AA407" s="413">
        <v>0</v>
      </c>
      <c r="AB407" s="413">
        <v>0</v>
      </c>
      <c r="AC407" s="413">
        <v>0</v>
      </c>
      <c r="AD407" s="413">
        <v>0</v>
      </c>
      <c r="AE407" s="413">
        <v>0</v>
      </c>
      <c r="AF407" s="413">
        <v>0</v>
      </c>
      <c r="AG407" s="413">
        <v>0</v>
      </c>
      <c r="AH407" s="413">
        <v>0</v>
      </c>
      <c r="AI407" s="413">
        <v>0</v>
      </c>
      <c r="AJ407" s="413">
        <v>0</v>
      </c>
      <c r="AK407" s="413">
        <v>0</v>
      </c>
      <c r="AL407" s="413">
        <v>0</v>
      </c>
      <c r="AM407" s="413">
        <v>0</v>
      </c>
      <c r="AN407" s="413">
        <v>0</v>
      </c>
      <c r="AO407" s="413">
        <v>0</v>
      </c>
      <c r="AP407" s="413">
        <v>0</v>
      </c>
      <c r="AQ407" s="413">
        <v>0</v>
      </c>
      <c r="AR407" s="413">
        <v>0</v>
      </c>
      <c r="AS407" s="413">
        <v>0</v>
      </c>
      <c r="AT407" s="333">
        <f t="shared" si="329"/>
        <v>0.13200000000000001</v>
      </c>
      <c r="AU407" s="334">
        <v>1.6</v>
      </c>
      <c r="AV407" s="387">
        <f t="shared" si="354"/>
        <v>0.8</v>
      </c>
      <c r="AW407" s="677">
        <v>1.45</v>
      </c>
      <c r="AX407" s="366">
        <f t="shared" si="355"/>
        <v>1.45</v>
      </c>
      <c r="AY407" s="366">
        <f t="shared" si="356"/>
        <v>90.625</v>
      </c>
      <c r="AZ407" s="366">
        <f t="shared" si="330"/>
        <v>90.625</v>
      </c>
      <c r="BA407" s="354">
        <f t="shared" si="331"/>
        <v>0.11962500000000001</v>
      </c>
      <c r="BB407" s="354">
        <f t="shared" si="332"/>
        <v>90.625</v>
      </c>
      <c r="BC407" s="353">
        <v>114000000</v>
      </c>
      <c r="BD407" s="353">
        <v>0</v>
      </c>
      <c r="BE407" s="353">
        <v>39000000</v>
      </c>
      <c r="BF407" s="353">
        <v>0</v>
      </c>
      <c r="BG407" s="353">
        <v>0</v>
      </c>
      <c r="BH407" s="353">
        <v>0</v>
      </c>
      <c r="BI407" s="353">
        <v>0</v>
      </c>
      <c r="BJ407" s="353">
        <v>75000000</v>
      </c>
      <c r="BK407" s="428">
        <v>182500000</v>
      </c>
      <c r="BL407" s="351">
        <v>182500000</v>
      </c>
      <c r="BM407" s="351">
        <v>0</v>
      </c>
      <c r="BN407" s="351">
        <v>0</v>
      </c>
      <c r="BO407" s="351">
        <v>0</v>
      </c>
      <c r="BP407" s="351">
        <v>0</v>
      </c>
      <c r="BQ407" s="351">
        <v>0</v>
      </c>
      <c r="BR407" s="351">
        <v>0</v>
      </c>
      <c r="BS407" s="351">
        <v>0</v>
      </c>
      <c r="BT407" s="351">
        <v>80000000</v>
      </c>
      <c r="BU407" s="351" t="s">
        <v>1856</v>
      </c>
      <c r="BV407" s="350">
        <f t="shared" si="333"/>
        <v>0</v>
      </c>
      <c r="BW407" s="350">
        <v>0</v>
      </c>
      <c r="BX407" s="385">
        <f t="shared" si="357"/>
        <v>0</v>
      </c>
      <c r="BY407" s="369">
        <v>0.34999999403953552</v>
      </c>
      <c r="BZ407" s="438">
        <v>0.30000001192092896</v>
      </c>
      <c r="CA407" s="692">
        <v>0.3</v>
      </c>
      <c r="CB407" s="324">
        <f t="shared" si="358"/>
        <v>0.3</v>
      </c>
      <c r="CC407" s="324">
        <f t="shared" si="359"/>
        <v>0</v>
      </c>
      <c r="CD407" s="384">
        <f t="shared" si="334"/>
        <v>0</v>
      </c>
      <c r="CE407" s="383">
        <f t="shared" si="335"/>
        <v>0</v>
      </c>
      <c r="CF407" s="367">
        <f t="shared" si="336"/>
        <v>100</v>
      </c>
      <c r="CG407" s="383">
        <f t="shared" si="337"/>
        <v>0</v>
      </c>
      <c r="CH407" s="320">
        <f t="shared" si="338"/>
        <v>0</v>
      </c>
      <c r="CI407" s="319">
        <v>0</v>
      </c>
      <c r="CJ407" s="318">
        <f t="shared" si="360"/>
        <v>0</v>
      </c>
      <c r="CK407" s="1258">
        <v>0</v>
      </c>
      <c r="CL407" s="301">
        <f t="shared" si="320"/>
        <v>0</v>
      </c>
      <c r="CM407" s="381">
        <f t="shared" si="361"/>
        <v>0</v>
      </c>
      <c r="CN407" s="381">
        <f t="shared" si="362"/>
        <v>0</v>
      </c>
      <c r="CO407" s="316">
        <f t="shared" si="339"/>
        <v>0</v>
      </c>
      <c r="CP407" s="381">
        <f t="shared" si="340"/>
        <v>0</v>
      </c>
      <c r="CQ407" s="381">
        <f t="shared" si="341"/>
        <v>0</v>
      </c>
      <c r="CR407" s="313">
        <v>165000000</v>
      </c>
      <c r="CS407" s="313">
        <v>90000000</v>
      </c>
      <c r="CT407" s="313">
        <v>0</v>
      </c>
      <c r="CU407" s="313">
        <v>0</v>
      </c>
      <c r="CV407" s="313">
        <v>0</v>
      </c>
      <c r="CW407" s="313">
        <v>0</v>
      </c>
      <c r="CX407" s="313">
        <v>0</v>
      </c>
      <c r="CY407" s="313">
        <v>75000000</v>
      </c>
      <c r="CZ407" s="380">
        <v>0</v>
      </c>
      <c r="DA407" s="380">
        <v>0</v>
      </c>
      <c r="DB407" s="380">
        <v>0</v>
      </c>
      <c r="DC407" s="380">
        <v>0</v>
      </c>
      <c r="DD407" s="380">
        <v>0</v>
      </c>
      <c r="DE407" s="380">
        <v>0</v>
      </c>
      <c r="DF407" s="380">
        <v>0</v>
      </c>
      <c r="DG407" s="380">
        <v>0</v>
      </c>
      <c r="DH407" s="380">
        <v>0</v>
      </c>
      <c r="DI407" s="380">
        <v>0</v>
      </c>
      <c r="DJ407" s="380">
        <v>0</v>
      </c>
      <c r="DK407" s="702">
        <f t="shared" si="363"/>
        <v>2</v>
      </c>
      <c r="DL407" s="311">
        <f t="shared" si="342"/>
        <v>0.16500000000000001</v>
      </c>
      <c r="DM407" s="310">
        <f t="shared" si="343"/>
        <v>100</v>
      </c>
      <c r="DN407" s="356">
        <f t="shared" si="344"/>
        <v>100</v>
      </c>
      <c r="DO407" s="308">
        <f t="shared" si="345"/>
        <v>0.16500000000000001</v>
      </c>
      <c r="DP407" s="359">
        <f t="shared" si="349"/>
        <v>0.16500000000000001</v>
      </c>
      <c r="DQ407" s="306">
        <f t="shared" si="346"/>
        <v>0.16500000000000001</v>
      </c>
      <c r="DR407" s="379">
        <f t="shared" si="347"/>
        <v>1</v>
      </c>
      <c r="DS407" s="378">
        <f t="shared" si="348"/>
        <v>0</v>
      </c>
      <c r="DT407" s="173">
        <v>468</v>
      </c>
      <c r="DU407" s="174" t="s">
        <v>102</v>
      </c>
      <c r="DV407" s="173"/>
      <c r="DW407" s="174" t="s">
        <v>84</v>
      </c>
      <c r="DX407" s="173"/>
      <c r="DY407" s="173"/>
      <c r="DZ407" s="173"/>
      <c r="EA407" s="665"/>
      <c r="EB407" s="1254" t="s">
        <v>2201</v>
      </c>
      <c r="EC407" s="537">
        <v>0</v>
      </c>
      <c r="EE407" s="734">
        <v>1</v>
      </c>
      <c r="EF407" s="706"/>
    </row>
    <row r="408" spans="4:136" s="302" customFormat="1" ht="89.25" hidden="1">
      <c r="D408" s="520">
        <v>405</v>
      </c>
      <c r="E408" s="534">
        <v>474</v>
      </c>
      <c r="F408" s="479" t="s">
        <v>45</v>
      </c>
      <c r="G408" s="479" t="s">
        <v>23</v>
      </c>
      <c r="H408" s="479" t="s">
        <v>2673</v>
      </c>
      <c r="I408" s="530" t="s">
        <v>978</v>
      </c>
      <c r="J408" s="335" t="s">
        <v>989</v>
      </c>
      <c r="K408" s="335" t="s">
        <v>990</v>
      </c>
      <c r="L408" s="440" t="s">
        <v>1862</v>
      </c>
      <c r="M408" s="334" t="s">
        <v>1771</v>
      </c>
      <c r="N408" s="337">
        <v>0</v>
      </c>
      <c r="O408" s="333">
        <f t="shared" si="350"/>
        <v>1</v>
      </c>
      <c r="P408" s="422">
        <v>1</v>
      </c>
      <c r="Q408" s="390">
        <v>0.16500000000000001</v>
      </c>
      <c r="R408" s="342">
        <f t="shared" si="326"/>
        <v>0</v>
      </c>
      <c r="S408" s="417">
        <v>0</v>
      </c>
      <c r="T408" s="402">
        <f t="shared" si="351"/>
        <v>0</v>
      </c>
      <c r="U408" s="673">
        <v>0</v>
      </c>
      <c r="V408" s="388">
        <f t="shared" si="352"/>
        <v>0</v>
      </c>
      <c r="W408" s="356">
        <f t="shared" si="353"/>
        <v>0</v>
      </c>
      <c r="X408" s="356">
        <f t="shared" si="327"/>
        <v>0</v>
      </c>
      <c r="Y408" s="356">
        <f t="shared" si="364"/>
        <v>0</v>
      </c>
      <c r="Z408" s="356">
        <f t="shared" si="328"/>
        <v>0</v>
      </c>
      <c r="AA408" s="413">
        <v>0</v>
      </c>
      <c r="AB408" s="413">
        <v>0</v>
      </c>
      <c r="AC408" s="413">
        <v>0</v>
      </c>
      <c r="AD408" s="413">
        <v>0</v>
      </c>
      <c r="AE408" s="413">
        <v>0</v>
      </c>
      <c r="AF408" s="413">
        <v>0</v>
      </c>
      <c r="AG408" s="413">
        <v>0</v>
      </c>
      <c r="AH408" s="413">
        <v>0</v>
      </c>
      <c r="AI408" s="413">
        <v>0</v>
      </c>
      <c r="AJ408" s="413">
        <v>0</v>
      </c>
      <c r="AK408" s="413">
        <v>0</v>
      </c>
      <c r="AL408" s="413">
        <v>0</v>
      </c>
      <c r="AM408" s="413">
        <v>0</v>
      </c>
      <c r="AN408" s="413">
        <v>0</v>
      </c>
      <c r="AO408" s="413">
        <v>0</v>
      </c>
      <c r="AP408" s="413">
        <v>0</v>
      </c>
      <c r="AQ408" s="413">
        <v>0</v>
      </c>
      <c r="AR408" s="413">
        <v>0</v>
      </c>
      <c r="AS408" s="413">
        <v>0</v>
      </c>
      <c r="AT408" s="333">
        <f t="shared" si="329"/>
        <v>4.9500000000000002E-2</v>
      </c>
      <c r="AU408" s="334">
        <v>0.3</v>
      </c>
      <c r="AV408" s="387">
        <f t="shared" si="354"/>
        <v>0.3</v>
      </c>
      <c r="AW408" s="677">
        <v>0.35</v>
      </c>
      <c r="AX408" s="366">
        <f t="shared" si="355"/>
        <v>0.35</v>
      </c>
      <c r="AY408" s="366">
        <f t="shared" si="356"/>
        <v>116.66666666666667</v>
      </c>
      <c r="AZ408" s="366">
        <f t="shared" si="330"/>
        <v>100</v>
      </c>
      <c r="BA408" s="354">
        <f t="shared" si="331"/>
        <v>4.9500000000000002E-2</v>
      </c>
      <c r="BB408" s="354">
        <f t="shared" si="332"/>
        <v>100</v>
      </c>
      <c r="BC408" s="353">
        <v>38000000</v>
      </c>
      <c r="BD408" s="353">
        <v>0</v>
      </c>
      <c r="BE408" s="353">
        <v>13000000</v>
      </c>
      <c r="BF408" s="353">
        <v>0</v>
      </c>
      <c r="BG408" s="353">
        <v>0</v>
      </c>
      <c r="BH408" s="353">
        <v>0</v>
      </c>
      <c r="BI408" s="353">
        <v>0</v>
      </c>
      <c r="BJ408" s="353">
        <v>25000000</v>
      </c>
      <c r="BK408" s="428">
        <v>50000000</v>
      </c>
      <c r="BL408" s="351">
        <v>50000000</v>
      </c>
      <c r="BM408" s="351">
        <v>0</v>
      </c>
      <c r="BN408" s="351">
        <v>0</v>
      </c>
      <c r="BO408" s="351">
        <v>0</v>
      </c>
      <c r="BP408" s="351">
        <v>0</v>
      </c>
      <c r="BQ408" s="351">
        <v>0</v>
      </c>
      <c r="BR408" s="351">
        <v>0</v>
      </c>
      <c r="BS408" s="351">
        <v>0</v>
      </c>
      <c r="BT408" s="351">
        <v>13952115</v>
      </c>
      <c r="BU408" s="351" t="s">
        <v>1861</v>
      </c>
      <c r="BV408" s="350">
        <f t="shared" si="333"/>
        <v>9.9000000000000005E-2</v>
      </c>
      <c r="BW408" s="350">
        <v>0.6</v>
      </c>
      <c r="BX408" s="385">
        <f t="shared" si="357"/>
        <v>0.6</v>
      </c>
      <c r="BY408" s="399">
        <v>0.2</v>
      </c>
      <c r="BZ408" s="438">
        <v>0.5</v>
      </c>
      <c r="CA408" s="692">
        <v>0.55000001192092896</v>
      </c>
      <c r="CB408" s="324">
        <f t="shared" si="358"/>
        <v>0.55000001192092896</v>
      </c>
      <c r="CC408" s="324">
        <f t="shared" si="359"/>
        <v>91.666668653488159</v>
      </c>
      <c r="CD408" s="384">
        <f t="shared" si="334"/>
        <v>91.666668653488159</v>
      </c>
      <c r="CE408" s="383">
        <f t="shared" si="335"/>
        <v>9.0750001966953278E-2</v>
      </c>
      <c r="CF408" s="367">
        <f t="shared" si="336"/>
        <v>91.666668653488159</v>
      </c>
      <c r="CG408" s="383">
        <f t="shared" si="337"/>
        <v>9.0750001966953278E-2</v>
      </c>
      <c r="CH408" s="320">
        <f t="shared" si="338"/>
        <v>1.6500000000000001E-2</v>
      </c>
      <c r="CI408" s="439">
        <v>0.1</v>
      </c>
      <c r="CJ408" s="318">
        <f t="shared" si="360"/>
        <v>0.1</v>
      </c>
      <c r="CK408" s="1259">
        <v>0</v>
      </c>
      <c r="CL408" s="301">
        <f t="shared" si="320"/>
        <v>0.1</v>
      </c>
      <c r="CM408" s="381">
        <f t="shared" si="361"/>
        <v>0</v>
      </c>
      <c r="CN408" s="381">
        <f t="shared" si="362"/>
        <v>0</v>
      </c>
      <c r="CO408" s="316">
        <f t="shared" si="339"/>
        <v>0</v>
      </c>
      <c r="CP408" s="381">
        <f t="shared" si="340"/>
        <v>0</v>
      </c>
      <c r="CQ408" s="381">
        <f t="shared" si="341"/>
        <v>0</v>
      </c>
      <c r="CR408" s="313">
        <v>55000000</v>
      </c>
      <c r="CS408" s="313">
        <v>30000000</v>
      </c>
      <c r="CT408" s="313">
        <v>0</v>
      </c>
      <c r="CU408" s="313">
        <v>0</v>
      </c>
      <c r="CV408" s="313">
        <v>0</v>
      </c>
      <c r="CW408" s="313">
        <v>0</v>
      </c>
      <c r="CX408" s="313">
        <v>0</v>
      </c>
      <c r="CY408" s="313">
        <v>25000000</v>
      </c>
      <c r="CZ408" s="380">
        <v>0</v>
      </c>
      <c r="DA408" s="380">
        <v>0</v>
      </c>
      <c r="DB408" s="380">
        <v>0</v>
      </c>
      <c r="DC408" s="380">
        <v>0</v>
      </c>
      <c r="DD408" s="380">
        <v>0</v>
      </c>
      <c r="DE408" s="380">
        <v>0</v>
      </c>
      <c r="DF408" s="380">
        <v>0</v>
      </c>
      <c r="DG408" s="380">
        <v>0</v>
      </c>
      <c r="DH408" s="380">
        <v>0</v>
      </c>
      <c r="DI408" s="380">
        <v>0</v>
      </c>
      <c r="DJ408" s="380">
        <v>0</v>
      </c>
      <c r="DK408" s="702">
        <f t="shared" si="363"/>
        <v>0.90000001192092893</v>
      </c>
      <c r="DL408" s="311">
        <f t="shared" si="342"/>
        <v>0.16500000000000004</v>
      </c>
      <c r="DM408" s="310">
        <f t="shared" si="343"/>
        <v>90.000001192092896</v>
      </c>
      <c r="DN408" s="356">
        <f t="shared" si="344"/>
        <v>90.000001192092896</v>
      </c>
      <c r="DO408" s="308">
        <f t="shared" si="345"/>
        <v>0.14850000196695329</v>
      </c>
      <c r="DP408" s="359">
        <f t="shared" si="349"/>
        <v>0.14850000196695329</v>
      </c>
      <c r="DQ408" s="306">
        <f t="shared" si="346"/>
        <v>0.14850000196695329</v>
      </c>
      <c r="DR408" s="379">
        <f t="shared" si="347"/>
        <v>0.99999999999999989</v>
      </c>
      <c r="DS408" s="378">
        <f t="shared" si="348"/>
        <v>0</v>
      </c>
      <c r="DT408" s="173">
        <v>468</v>
      </c>
      <c r="DU408" s="174" t="s">
        <v>102</v>
      </c>
      <c r="DV408" s="173"/>
      <c r="DW408" s="174" t="s">
        <v>84</v>
      </c>
      <c r="DX408" s="173"/>
      <c r="DY408" s="173"/>
      <c r="DZ408" s="173"/>
      <c r="EA408" s="665"/>
      <c r="EB408" s="1254" t="s">
        <v>2597</v>
      </c>
      <c r="EC408" s="537">
        <v>34000000</v>
      </c>
      <c r="EE408" s="735">
        <v>116</v>
      </c>
      <c r="EF408" s="706"/>
    </row>
    <row r="409" spans="4:136" s="302" customFormat="1" ht="63.75" hidden="1">
      <c r="D409" s="520">
        <v>406</v>
      </c>
      <c r="E409" s="534">
        <v>475</v>
      </c>
      <c r="F409" s="479" t="s">
        <v>45</v>
      </c>
      <c r="G409" s="479" t="s">
        <v>23</v>
      </c>
      <c r="H409" s="479" t="s">
        <v>2673</v>
      </c>
      <c r="I409" s="435" t="s">
        <v>978</v>
      </c>
      <c r="J409" s="335" t="s">
        <v>991</v>
      </c>
      <c r="K409" s="335" t="s">
        <v>992</v>
      </c>
      <c r="L409" s="434" t="s">
        <v>1860</v>
      </c>
      <c r="M409" s="334" t="s">
        <v>1771</v>
      </c>
      <c r="N409" s="337">
        <v>0</v>
      </c>
      <c r="O409" s="333">
        <f t="shared" si="350"/>
        <v>4</v>
      </c>
      <c r="P409" s="422">
        <v>4</v>
      </c>
      <c r="Q409" s="390">
        <v>0.25</v>
      </c>
      <c r="R409" s="342">
        <f t="shared" si="326"/>
        <v>6.25E-2</v>
      </c>
      <c r="S409" s="417">
        <v>1</v>
      </c>
      <c r="T409" s="337">
        <f t="shared" si="351"/>
        <v>0.25</v>
      </c>
      <c r="U409" s="673">
        <v>1</v>
      </c>
      <c r="V409" s="388">
        <f t="shared" si="352"/>
        <v>1</v>
      </c>
      <c r="W409" s="356">
        <f t="shared" si="353"/>
        <v>100</v>
      </c>
      <c r="X409" s="356">
        <f t="shared" si="327"/>
        <v>100</v>
      </c>
      <c r="Y409" s="356">
        <f t="shared" si="364"/>
        <v>6.25E-2</v>
      </c>
      <c r="Z409" s="356">
        <f t="shared" si="328"/>
        <v>100</v>
      </c>
      <c r="AA409" s="413">
        <v>180000000</v>
      </c>
      <c r="AB409" s="413">
        <v>180000000</v>
      </c>
      <c r="AC409" s="413">
        <v>0</v>
      </c>
      <c r="AD409" s="413">
        <v>0</v>
      </c>
      <c r="AE409" s="413">
        <v>0</v>
      </c>
      <c r="AF409" s="413">
        <v>0</v>
      </c>
      <c r="AG409" s="413">
        <v>0</v>
      </c>
      <c r="AH409" s="413">
        <v>0</v>
      </c>
      <c r="AI409" s="413">
        <v>87000000</v>
      </c>
      <c r="AJ409" s="413">
        <v>47000000</v>
      </c>
      <c r="AK409" s="413">
        <v>0</v>
      </c>
      <c r="AL409" s="413">
        <v>40000000</v>
      </c>
      <c r="AM409" s="413">
        <v>0</v>
      </c>
      <c r="AN409" s="413">
        <v>0</v>
      </c>
      <c r="AO409" s="413">
        <v>0</v>
      </c>
      <c r="AP409" s="413">
        <v>0</v>
      </c>
      <c r="AQ409" s="413">
        <v>0</v>
      </c>
      <c r="AR409" s="413">
        <v>0</v>
      </c>
      <c r="AS409" s="413">
        <v>0</v>
      </c>
      <c r="AT409" s="333">
        <f t="shared" si="329"/>
        <v>6.25E-2</v>
      </c>
      <c r="AU409" s="334">
        <v>1</v>
      </c>
      <c r="AV409" s="387">
        <f t="shared" si="354"/>
        <v>0.25</v>
      </c>
      <c r="AW409" s="677">
        <v>1</v>
      </c>
      <c r="AX409" s="366">
        <f t="shared" si="355"/>
        <v>1</v>
      </c>
      <c r="AY409" s="366">
        <f t="shared" si="356"/>
        <v>100</v>
      </c>
      <c r="AZ409" s="366">
        <f t="shared" si="330"/>
        <v>100</v>
      </c>
      <c r="BA409" s="354">
        <f t="shared" si="331"/>
        <v>6.25E-2</v>
      </c>
      <c r="BB409" s="354">
        <f t="shared" si="332"/>
        <v>100</v>
      </c>
      <c r="BC409" s="353">
        <v>89000000</v>
      </c>
      <c r="BD409" s="353">
        <v>0</v>
      </c>
      <c r="BE409" s="353">
        <v>39000000</v>
      </c>
      <c r="BF409" s="353">
        <v>0</v>
      </c>
      <c r="BG409" s="353">
        <v>0</v>
      </c>
      <c r="BH409" s="353">
        <v>0</v>
      </c>
      <c r="BI409" s="353">
        <v>0</v>
      </c>
      <c r="BJ409" s="353">
        <v>50000000</v>
      </c>
      <c r="BK409" s="428">
        <v>357500000</v>
      </c>
      <c r="BL409" s="351">
        <v>357500000</v>
      </c>
      <c r="BM409" s="351">
        <v>0</v>
      </c>
      <c r="BN409" s="351">
        <v>0</v>
      </c>
      <c r="BO409" s="351">
        <v>0</v>
      </c>
      <c r="BP409" s="351">
        <v>0</v>
      </c>
      <c r="BQ409" s="351">
        <v>0</v>
      </c>
      <c r="BR409" s="351">
        <v>0</v>
      </c>
      <c r="BS409" s="351">
        <v>0</v>
      </c>
      <c r="BT409" s="351">
        <v>143468158</v>
      </c>
      <c r="BU409" s="351" t="s">
        <v>1859</v>
      </c>
      <c r="BV409" s="350">
        <f t="shared" si="333"/>
        <v>6.25E-2</v>
      </c>
      <c r="BW409" s="350">
        <v>1</v>
      </c>
      <c r="BX409" s="385">
        <f t="shared" si="357"/>
        <v>0.25</v>
      </c>
      <c r="BY409" s="399">
        <v>0.2</v>
      </c>
      <c r="BZ409" s="438">
        <v>0.5</v>
      </c>
      <c r="CA409" s="692">
        <v>1</v>
      </c>
      <c r="CB409" s="324">
        <f t="shared" si="358"/>
        <v>1</v>
      </c>
      <c r="CC409" s="324">
        <f t="shared" si="359"/>
        <v>100</v>
      </c>
      <c r="CD409" s="384">
        <f t="shared" si="334"/>
        <v>100</v>
      </c>
      <c r="CE409" s="383">
        <f t="shared" si="335"/>
        <v>6.25E-2</v>
      </c>
      <c r="CF409" s="367">
        <f t="shared" si="336"/>
        <v>100</v>
      </c>
      <c r="CG409" s="383">
        <f t="shared" si="337"/>
        <v>6.25E-2</v>
      </c>
      <c r="CH409" s="320">
        <f t="shared" si="338"/>
        <v>6.25E-2</v>
      </c>
      <c r="CI409" s="319">
        <v>1</v>
      </c>
      <c r="CJ409" s="318">
        <f t="shared" si="360"/>
        <v>0.25</v>
      </c>
      <c r="CK409" s="1259">
        <v>1</v>
      </c>
      <c r="CL409" s="301">
        <f t="shared" si="320"/>
        <v>0</v>
      </c>
      <c r="CM409" s="381">
        <f t="shared" si="361"/>
        <v>1</v>
      </c>
      <c r="CN409" s="381">
        <f t="shared" si="362"/>
        <v>100</v>
      </c>
      <c r="CO409" s="316">
        <f t="shared" si="339"/>
        <v>100</v>
      </c>
      <c r="CP409" s="381">
        <f t="shared" si="340"/>
        <v>6.25E-2</v>
      </c>
      <c r="CQ409" s="381">
        <f t="shared" si="341"/>
        <v>6.25E-2</v>
      </c>
      <c r="CR409" s="313">
        <v>140000000</v>
      </c>
      <c r="CS409" s="313">
        <v>90000000</v>
      </c>
      <c r="CT409" s="313">
        <v>0</v>
      </c>
      <c r="CU409" s="313">
        <v>0</v>
      </c>
      <c r="CV409" s="313">
        <v>0</v>
      </c>
      <c r="CW409" s="313">
        <v>0</v>
      </c>
      <c r="CX409" s="313">
        <v>0</v>
      </c>
      <c r="CY409" s="313">
        <v>50000000</v>
      </c>
      <c r="CZ409" s="380">
        <v>0</v>
      </c>
      <c r="DA409" s="380">
        <v>0</v>
      </c>
      <c r="DB409" s="380">
        <v>0</v>
      </c>
      <c r="DC409" s="380">
        <v>0</v>
      </c>
      <c r="DD409" s="380">
        <v>0</v>
      </c>
      <c r="DE409" s="380">
        <v>0</v>
      </c>
      <c r="DF409" s="380">
        <v>0</v>
      </c>
      <c r="DG409" s="380">
        <v>0</v>
      </c>
      <c r="DH409" s="380">
        <v>0</v>
      </c>
      <c r="DI409" s="380">
        <v>0</v>
      </c>
      <c r="DJ409" s="380">
        <v>0</v>
      </c>
      <c r="DK409" s="702">
        <f t="shared" si="363"/>
        <v>4</v>
      </c>
      <c r="DL409" s="311">
        <f t="shared" si="342"/>
        <v>0.25</v>
      </c>
      <c r="DM409" s="310">
        <f t="shared" si="343"/>
        <v>100</v>
      </c>
      <c r="DN409" s="356">
        <f t="shared" si="344"/>
        <v>100</v>
      </c>
      <c r="DO409" s="308">
        <f t="shared" si="345"/>
        <v>0.25</v>
      </c>
      <c r="DP409" s="359">
        <f t="shared" si="349"/>
        <v>0.25</v>
      </c>
      <c r="DQ409" s="306">
        <f t="shared" si="346"/>
        <v>0.25</v>
      </c>
      <c r="DR409" s="379">
        <f t="shared" si="347"/>
        <v>1</v>
      </c>
      <c r="DS409" s="378">
        <f t="shared" si="348"/>
        <v>0</v>
      </c>
      <c r="DT409" s="173">
        <v>468</v>
      </c>
      <c r="DU409" s="174" t="s">
        <v>102</v>
      </c>
      <c r="DV409" s="173"/>
      <c r="DW409" s="174" t="s">
        <v>84</v>
      </c>
      <c r="DX409" s="173"/>
      <c r="DY409" s="173"/>
      <c r="DZ409" s="173"/>
      <c r="EA409" s="665"/>
      <c r="EB409" s="1254" t="s">
        <v>2202</v>
      </c>
      <c r="EC409" s="537">
        <v>0</v>
      </c>
      <c r="EE409" s="734">
        <v>25</v>
      </c>
      <c r="EF409" s="706"/>
    </row>
    <row r="410" spans="4:136" s="302" customFormat="1" ht="76.5" hidden="1">
      <c r="D410" s="520">
        <v>407</v>
      </c>
      <c r="E410" s="534">
        <v>476</v>
      </c>
      <c r="F410" s="479" t="s">
        <v>45</v>
      </c>
      <c r="G410" s="479" t="s">
        <v>10</v>
      </c>
      <c r="H410" s="479" t="s">
        <v>2673</v>
      </c>
      <c r="I410" s="435" t="s">
        <v>978</v>
      </c>
      <c r="J410" s="335" t="s">
        <v>993</v>
      </c>
      <c r="K410" s="335" t="s">
        <v>994</v>
      </c>
      <c r="L410" s="436" t="s">
        <v>1773</v>
      </c>
      <c r="M410" s="334" t="s">
        <v>1771</v>
      </c>
      <c r="N410" s="337">
        <v>0</v>
      </c>
      <c r="O410" s="333">
        <f t="shared" si="350"/>
        <v>2</v>
      </c>
      <c r="P410" s="422">
        <v>2</v>
      </c>
      <c r="Q410" s="390">
        <v>0.25</v>
      </c>
      <c r="R410" s="342">
        <f t="shared" si="326"/>
        <v>0</v>
      </c>
      <c r="S410" s="417">
        <v>0</v>
      </c>
      <c r="T410" s="337">
        <f t="shared" si="351"/>
        <v>0</v>
      </c>
      <c r="U410" s="673">
        <v>0</v>
      </c>
      <c r="V410" s="388">
        <f t="shared" si="352"/>
        <v>0</v>
      </c>
      <c r="W410" s="356">
        <f t="shared" si="353"/>
        <v>0</v>
      </c>
      <c r="X410" s="356">
        <f t="shared" si="327"/>
        <v>0</v>
      </c>
      <c r="Y410" s="356">
        <f t="shared" si="364"/>
        <v>0</v>
      </c>
      <c r="Z410" s="356">
        <f t="shared" si="328"/>
        <v>0</v>
      </c>
      <c r="AA410" s="413">
        <v>1935000000</v>
      </c>
      <c r="AB410" s="413">
        <v>1935000000</v>
      </c>
      <c r="AC410" s="413">
        <v>0</v>
      </c>
      <c r="AD410" s="413">
        <v>0</v>
      </c>
      <c r="AE410" s="413">
        <v>0</v>
      </c>
      <c r="AF410" s="413">
        <v>0</v>
      </c>
      <c r="AG410" s="413">
        <v>0</v>
      </c>
      <c r="AH410" s="413">
        <v>0</v>
      </c>
      <c r="AI410" s="413">
        <v>1935000000</v>
      </c>
      <c r="AJ410" s="413">
        <v>1935000000</v>
      </c>
      <c r="AK410" s="413">
        <v>0</v>
      </c>
      <c r="AL410" s="413">
        <v>0</v>
      </c>
      <c r="AM410" s="413">
        <v>0</v>
      </c>
      <c r="AN410" s="413">
        <v>0</v>
      </c>
      <c r="AO410" s="413">
        <v>0</v>
      </c>
      <c r="AP410" s="413">
        <v>0</v>
      </c>
      <c r="AQ410" s="413">
        <v>0</v>
      </c>
      <c r="AR410" s="413">
        <v>0</v>
      </c>
      <c r="AS410" s="413">
        <v>0</v>
      </c>
      <c r="AT410" s="333">
        <f t="shared" si="329"/>
        <v>0.125</v>
      </c>
      <c r="AU410" s="334">
        <v>1</v>
      </c>
      <c r="AV410" s="387">
        <f t="shared" si="354"/>
        <v>0.5</v>
      </c>
      <c r="AW410" s="677">
        <v>1</v>
      </c>
      <c r="AX410" s="366">
        <f t="shared" si="355"/>
        <v>1</v>
      </c>
      <c r="AY410" s="366">
        <f t="shared" si="356"/>
        <v>100</v>
      </c>
      <c r="AZ410" s="366">
        <f t="shared" si="330"/>
        <v>100</v>
      </c>
      <c r="BA410" s="354">
        <f t="shared" si="331"/>
        <v>0.125</v>
      </c>
      <c r="BB410" s="354">
        <f t="shared" si="332"/>
        <v>100</v>
      </c>
      <c r="BC410" s="353">
        <v>2541000000</v>
      </c>
      <c r="BD410" s="353">
        <v>1956000000</v>
      </c>
      <c r="BE410" s="353">
        <v>585000000</v>
      </c>
      <c r="BF410" s="353">
        <v>0</v>
      </c>
      <c r="BG410" s="353">
        <v>0</v>
      </c>
      <c r="BH410" s="353">
        <v>0</v>
      </c>
      <c r="BI410" s="353">
        <v>0</v>
      </c>
      <c r="BJ410" s="353">
        <v>0</v>
      </c>
      <c r="BK410" s="428">
        <v>1243266324</v>
      </c>
      <c r="BL410" s="351">
        <v>1243266324</v>
      </c>
      <c r="BM410" s="351">
        <v>0</v>
      </c>
      <c r="BN410" s="351">
        <v>0</v>
      </c>
      <c r="BO410" s="351">
        <v>0</v>
      </c>
      <c r="BP410" s="351">
        <v>0</v>
      </c>
      <c r="BQ410" s="351">
        <v>0</v>
      </c>
      <c r="BR410" s="351">
        <v>0</v>
      </c>
      <c r="BS410" s="351">
        <v>0</v>
      </c>
      <c r="BT410" s="351">
        <v>0</v>
      </c>
      <c r="BU410" s="351">
        <v>0</v>
      </c>
      <c r="BV410" s="350">
        <f t="shared" si="333"/>
        <v>0.125</v>
      </c>
      <c r="BW410" s="350">
        <v>1</v>
      </c>
      <c r="BX410" s="385">
        <f t="shared" si="357"/>
        <v>0.5</v>
      </c>
      <c r="BY410" s="369">
        <v>26</v>
      </c>
      <c r="BZ410" s="391">
        <v>1</v>
      </c>
      <c r="CA410" s="689">
        <v>0</v>
      </c>
      <c r="CB410" s="324">
        <f t="shared" si="358"/>
        <v>0</v>
      </c>
      <c r="CC410" s="324">
        <f t="shared" si="359"/>
        <v>0</v>
      </c>
      <c r="CD410" s="384">
        <f t="shared" si="334"/>
        <v>0</v>
      </c>
      <c r="CE410" s="383">
        <f t="shared" si="335"/>
        <v>0</v>
      </c>
      <c r="CF410" s="367">
        <f t="shared" si="336"/>
        <v>0</v>
      </c>
      <c r="CG410" s="383">
        <f t="shared" si="337"/>
        <v>0</v>
      </c>
      <c r="CH410" s="320">
        <f t="shared" si="338"/>
        <v>0</v>
      </c>
      <c r="CI410" s="319">
        <v>0</v>
      </c>
      <c r="CJ410" s="318">
        <f t="shared" si="360"/>
        <v>0</v>
      </c>
      <c r="CK410" s="1259">
        <v>0</v>
      </c>
      <c r="CL410" s="301">
        <f t="shared" si="320"/>
        <v>0</v>
      </c>
      <c r="CM410" s="381">
        <f t="shared" si="361"/>
        <v>0</v>
      </c>
      <c r="CN410" s="381">
        <f t="shared" si="362"/>
        <v>0</v>
      </c>
      <c r="CO410" s="316">
        <f t="shared" si="339"/>
        <v>0</v>
      </c>
      <c r="CP410" s="381">
        <f t="shared" si="340"/>
        <v>0</v>
      </c>
      <c r="CQ410" s="381">
        <f t="shared" si="341"/>
        <v>0</v>
      </c>
      <c r="CR410" s="313">
        <v>3409000000</v>
      </c>
      <c r="CS410" s="313">
        <v>1350000000</v>
      </c>
      <c r="CT410" s="313">
        <v>2059000000</v>
      </c>
      <c r="CU410" s="313">
        <v>0</v>
      </c>
      <c r="CV410" s="313">
        <v>0</v>
      </c>
      <c r="CW410" s="313">
        <v>0</v>
      </c>
      <c r="CX410" s="313">
        <v>0</v>
      </c>
      <c r="CY410" s="313">
        <v>0</v>
      </c>
      <c r="CZ410" s="380">
        <v>0</v>
      </c>
      <c r="DA410" s="380">
        <v>0</v>
      </c>
      <c r="DB410" s="380">
        <v>0</v>
      </c>
      <c r="DC410" s="380">
        <v>0</v>
      </c>
      <c r="DD410" s="380">
        <v>0</v>
      </c>
      <c r="DE410" s="380">
        <v>0</v>
      </c>
      <c r="DF410" s="380">
        <v>0</v>
      </c>
      <c r="DG410" s="380">
        <v>0</v>
      </c>
      <c r="DH410" s="380">
        <v>0</v>
      </c>
      <c r="DI410" s="380">
        <v>0</v>
      </c>
      <c r="DJ410" s="380">
        <v>0</v>
      </c>
      <c r="DK410" s="702">
        <f t="shared" si="363"/>
        <v>1</v>
      </c>
      <c r="DL410" s="311">
        <f t="shared" si="342"/>
        <v>0.25</v>
      </c>
      <c r="DM410" s="310">
        <f t="shared" si="343"/>
        <v>50</v>
      </c>
      <c r="DN410" s="356">
        <f t="shared" si="344"/>
        <v>50</v>
      </c>
      <c r="DO410" s="308">
        <f t="shared" si="345"/>
        <v>0.125</v>
      </c>
      <c r="DP410" s="359">
        <f t="shared" si="349"/>
        <v>0.125</v>
      </c>
      <c r="DQ410" s="306">
        <f t="shared" si="346"/>
        <v>0.125</v>
      </c>
      <c r="DR410" s="379">
        <f t="shared" si="347"/>
        <v>1</v>
      </c>
      <c r="DS410" s="378">
        <f t="shared" si="348"/>
        <v>0</v>
      </c>
      <c r="DT410" s="173">
        <v>468</v>
      </c>
      <c r="DU410" s="174" t="s">
        <v>102</v>
      </c>
      <c r="DV410" s="173"/>
      <c r="DW410" s="174" t="s">
        <v>84</v>
      </c>
      <c r="DX410" s="173"/>
      <c r="DY410" s="173"/>
      <c r="DZ410" s="173"/>
      <c r="EA410" s="665"/>
      <c r="EB410" s="1254" t="s">
        <v>84</v>
      </c>
      <c r="EC410" s="537">
        <v>33000000</v>
      </c>
      <c r="EE410" s="734">
        <v>3</v>
      </c>
      <c r="EF410" s="706"/>
    </row>
    <row r="411" spans="4:136" s="302" customFormat="1" ht="76.5" hidden="1">
      <c r="D411" s="520">
        <v>408</v>
      </c>
      <c r="E411" s="534">
        <v>477</v>
      </c>
      <c r="F411" s="479" t="s">
        <v>45</v>
      </c>
      <c r="G411" s="479" t="s">
        <v>23</v>
      </c>
      <c r="H411" s="479" t="s">
        <v>2673</v>
      </c>
      <c r="I411" s="435" t="s">
        <v>978</v>
      </c>
      <c r="J411" s="335" t="s">
        <v>995</v>
      </c>
      <c r="K411" s="335" t="s">
        <v>996</v>
      </c>
      <c r="L411" s="436" t="s">
        <v>1858</v>
      </c>
      <c r="M411" s="334" t="s">
        <v>1771</v>
      </c>
      <c r="N411" s="337">
        <v>0</v>
      </c>
      <c r="O411" s="333">
        <f t="shared" si="350"/>
        <v>3</v>
      </c>
      <c r="P411" s="422">
        <v>3</v>
      </c>
      <c r="Q411" s="390">
        <v>0.25</v>
      </c>
      <c r="R411" s="342">
        <f t="shared" si="326"/>
        <v>0</v>
      </c>
      <c r="S411" s="417">
        <v>0</v>
      </c>
      <c r="T411" s="337">
        <f t="shared" si="351"/>
        <v>0</v>
      </c>
      <c r="U411" s="673">
        <v>0</v>
      </c>
      <c r="V411" s="388">
        <f t="shared" si="352"/>
        <v>0</v>
      </c>
      <c r="W411" s="356">
        <f t="shared" si="353"/>
        <v>0</v>
      </c>
      <c r="X411" s="356">
        <f t="shared" si="327"/>
        <v>0</v>
      </c>
      <c r="Y411" s="356">
        <f t="shared" si="364"/>
        <v>0</v>
      </c>
      <c r="Z411" s="356">
        <f t="shared" si="328"/>
        <v>0</v>
      </c>
      <c r="AA411" s="413">
        <v>0</v>
      </c>
      <c r="AB411" s="413">
        <v>0</v>
      </c>
      <c r="AC411" s="413">
        <v>0</v>
      </c>
      <c r="AD411" s="413">
        <v>0</v>
      </c>
      <c r="AE411" s="413">
        <v>0</v>
      </c>
      <c r="AF411" s="413">
        <v>0</v>
      </c>
      <c r="AG411" s="413">
        <v>0</v>
      </c>
      <c r="AH411" s="413">
        <v>0</v>
      </c>
      <c r="AI411" s="413">
        <v>0</v>
      </c>
      <c r="AJ411" s="413">
        <v>0</v>
      </c>
      <c r="AK411" s="413">
        <v>0</v>
      </c>
      <c r="AL411" s="413">
        <v>0</v>
      </c>
      <c r="AM411" s="413">
        <v>0</v>
      </c>
      <c r="AN411" s="413">
        <v>0</v>
      </c>
      <c r="AO411" s="413">
        <v>0</v>
      </c>
      <c r="AP411" s="413">
        <v>0</v>
      </c>
      <c r="AQ411" s="413">
        <v>0</v>
      </c>
      <c r="AR411" s="413">
        <v>0</v>
      </c>
      <c r="AS411" s="413">
        <v>0</v>
      </c>
      <c r="AT411" s="333">
        <f t="shared" si="329"/>
        <v>8.3333333333333329E-2</v>
      </c>
      <c r="AU411" s="334">
        <v>1</v>
      </c>
      <c r="AV411" s="387">
        <f t="shared" si="354"/>
        <v>0.33333333333333331</v>
      </c>
      <c r="AW411" s="677">
        <v>1</v>
      </c>
      <c r="AX411" s="366">
        <f t="shared" si="355"/>
        <v>1</v>
      </c>
      <c r="AY411" s="366">
        <f t="shared" si="356"/>
        <v>100</v>
      </c>
      <c r="AZ411" s="366">
        <f t="shared" si="330"/>
        <v>100</v>
      </c>
      <c r="BA411" s="354">
        <f t="shared" si="331"/>
        <v>8.3333333333333315E-2</v>
      </c>
      <c r="BB411" s="354">
        <f t="shared" si="332"/>
        <v>100</v>
      </c>
      <c r="BC411" s="353">
        <v>76000000</v>
      </c>
      <c r="BD411" s="353">
        <v>0</v>
      </c>
      <c r="BE411" s="353">
        <v>26000000</v>
      </c>
      <c r="BF411" s="353">
        <v>0</v>
      </c>
      <c r="BG411" s="353">
        <v>0</v>
      </c>
      <c r="BH411" s="353">
        <v>0</v>
      </c>
      <c r="BI411" s="353">
        <v>0</v>
      </c>
      <c r="BJ411" s="353">
        <v>50000000</v>
      </c>
      <c r="BK411" s="428">
        <v>100000000</v>
      </c>
      <c r="BL411" s="351">
        <v>100000000</v>
      </c>
      <c r="BM411" s="351">
        <v>0</v>
      </c>
      <c r="BN411" s="351">
        <v>0</v>
      </c>
      <c r="BO411" s="351">
        <v>0</v>
      </c>
      <c r="BP411" s="351">
        <v>0</v>
      </c>
      <c r="BQ411" s="351">
        <v>0</v>
      </c>
      <c r="BR411" s="351">
        <v>0</v>
      </c>
      <c r="BS411" s="351">
        <v>0</v>
      </c>
      <c r="BT411" s="351">
        <v>0</v>
      </c>
      <c r="BU411" s="351">
        <v>0</v>
      </c>
      <c r="BV411" s="350">
        <f t="shared" si="333"/>
        <v>8.3333333333333329E-2</v>
      </c>
      <c r="BW411" s="350">
        <v>1</v>
      </c>
      <c r="BX411" s="385">
        <f t="shared" si="357"/>
        <v>0.33333333333333331</v>
      </c>
      <c r="BY411" s="369">
        <v>0.15000000596046448</v>
      </c>
      <c r="BZ411" s="438">
        <v>0.34999999403953552</v>
      </c>
      <c r="CA411" s="692">
        <v>1</v>
      </c>
      <c r="CB411" s="324">
        <f t="shared" si="358"/>
        <v>1</v>
      </c>
      <c r="CC411" s="324">
        <f t="shared" si="359"/>
        <v>100</v>
      </c>
      <c r="CD411" s="384">
        <f t="shared" si="334"/>
        <v>100</v>
      </c>
      <c r="CE411" s="383">
        <f t="shared" si="335"/>
        <v>8.3333333333333315E-2</v>
      </c>
      <c r="CF411" s="367">
        <f t="shared" si="336"/>
        <v>100</v>
      </c>
      <c r="CG411" s="383">
        <f t="shared" si="337"/>
        <v>8.3333333333333315E-2</v>
      </c>
      <c r="CH411" s="320">
        <f t="shared" si="338"/>
        <v>8.3333333333333329E-2</v>
      </c>
      <c r="CI411" s="319">
        <v>1</v>
      </c>
      <c r="CJ411" s="318">
        <f t="shared" si="360"/>
        <v>0.33333333333333331</v>
      </c>
      <c r="CK411" s="1259">
        <v>1</v>
      </c>
      <c r="CL411" s="301">
        <f t="shared" si="320"/>
        <v>0</v>
      </c>
      <c r="CM411" s="381">
        <f t="shared" si="361"/>
        <v>1</v>
      </c>
      <c r="CN411" s="381">
        <f t="shared" si="362"/>
        <v>100</v>
      </c>
      <c r="CO411" s="316">
        <f t="shared" si="339"/>
        <v>100</v>
      </c>
      <c r="CP411" s="381">
        <f t="shared" si="340"/>
        <v>8.3333333333333315E-2</v>
      </c>
      <c r="CQ411" s="381">
        <f t="shared" si="341"/>
        <v>8.3333333333333315E-2</v>
      </c>
      <c r="CR411" s="313">
        <v>110000000</v>
      </c>
      <c r="CS411" s="313">
        <v>60000000</v>
      </c>
      <c r="CT411" s="313">
        <v>0</v>
      </c>
      <c r="CU411" s="313">
        <v>0</v>
      </c>
      <c r="CV411" s="313">
        <v>0</v>
      </c>
      <c r="CW411" s="313">
        <v>0</v>
      </c>
      <c r="CX411" s="313">
        <v>0</v>
      </c>
      <c r="CY411" s="313">
        <v>50000000</v>
      </c>
      <c r="CZ411" s="380">
        <v>0</v>
      </c>
      <c r="DA411" s="380">
        <v>0</v>
      </c>
      <c r="DB411" s="380">
        <v>0</v>
      </c>
      <c r="DC411" s="380">
        <v>0</v>
      </c>
      <c r="DD411" s="380">
        <v>0</v>
      </c>
      <c r="DE411" s="380">
        <v>0</v>
      </c>
      <c r="DF411" s="380">
        <v>0</v>
      </c>
      <c r="DG411" s="380">
        <v>0</v>
      </c>
      <c r="DH411" s="380">
        <v>0</v>
      </c>
      <c r="DI411" s="380">
        <v>0</v>
      </c>
      <c r="DJ411" s="380">
        <v>0</v>
      </c>
      <c r="DK411" s="702">
        <f t="shared" si="363"/>
        <v>3</v>
      </c>
      <c r="DL411" s="311">
        <f t="shared" si="342"/>
        <v>0.25</v>
      </c>
      <c r="DM411" s="310">
        <f t="shared" si="343"/>
        <v>100</v>
      </c>
      <c r="DN411" s="356">
        <f t="shared" si="344"/>
        <v>100</v>
      </c>
      <c r="DO411" s="308">
        <f t="shared" si="345"/>
        <v>0.25</v>
      </c>
      <c r="DP411" s="359">
        <f t="shared" si="349"/>
        <v>0.25</v>
      </c>
      <c r="DQ411" s="306">
        <f t="shared" si="346"/>
        <v>0.25</v>
      </c>
      <c r="DR411" s="379">
        <f t="shared" si="347"/>
        <v>1</v>
      </c>
      <c r="DS411" s="378">
        <f t="shared" si="348"/>
        <v>0</v>
      </c>
      <c r="DT411" s="173">
        <v>468</v>
      </c>
      <c r="DU411" s="174" t="s">
        <v>102</v>
      </c>
      <c r="DV411" s="173"/>
      <c r="DW411" s="174" t="s">
        <v>84</v>
      </c>
      <c r="DX411" s="173"/>
      <c r="DY411" s="173"/>
      <c r="DZ411" s="173"/>
      <c r="EA411" s="665"/>
      <c r="EB411" s="1254" t="s">
        <v>2203</v>
      </c>
      <c r="EC411" s="537">
        <v>20402000000</v>
      </c>
      <c r="EE411" s="733">
        <v>8</v>
      </c>
      <c r="EF411" s="706"/>
    </row>
    <row r="412" spans="4:136" s="302" customFormat="1" ht="76.5" hidden="1">
      <c r="D412" s="520">
        <v>409</v>
      </c>
      <c r="E412" s="534">
        <v>478</v>
      </c>
      <c r="F412" s="479" t="s">
        <v>45</v>
      </c>
      <c r="G412" s="479" t="s">
        <v>23</v>
      </c>
      <c r="H412" s="479" t="s">
        <v>2673</v>
      </c>
      <c r="I412" s="435" t="s">
        <v>997</v>
      </c>
      <c r="J412" s="335" t="s">
        <v>998</v>
      </c>
      <c r="K412" s="335" t="s">
        <v>999</v>
      </c>
      <c r="L412" s="436" t="s">
        <v>1791</v>
      </c>
      <c r="M412" s="334" t="s">
        <v>1771</v>
      </c>
      <c r="N412" s="337">
        <v>0</v>
      </c>
      <c r="O412" s="333">
        <f t="shared" si="350"/>
        <v>2</v>
      </c>
      <c r="P412" s="422">
        <v>2</v>
      </c>
      <c r="Q412" s="390">
        <v>0.25</v>
      </c>
      <c r="R412" s="342">
        <f t="shared" si="326"/>
        <v>3.125E-2</v>
      </c>
      <c r="S412" s="417">
        <v>0.25</v>
      </c>
      <c r="T412" s="337">
        <f t="shared" si="351"/>
        <v>0.125</v>
      </c>
      <c r="U412" s="673">
        <v>0.25</v>
      </c>
      <c r="V412" s="388">
        <f t="shared" si="352"/>
        <v>0.25</v>
      </c>
      <c r="W412" s="356">
        <f t="shared" si="353"/>
        <v>100</v>
      </c>
      <c r="X412" s="356">
        <f t="shared" si="327"/>
        <v>100</v>
      </c>
      <c r="Y412" s="356">
        <f t="shared" si="364"/>
        <v>3.125E-2</v>
      </c>
      <c r="Z412" s="356">
        <f t="shared" si="328"/>
        <v>100</v>
      </c>
      <c r="AA412" s="413">
        <v>35000000</v>
      </c>
      <c r="AB412" s="413">
        <v>35000000</v>
      </c>
      <c r="AC412" s="413">
        <v>0</v>
      </c>
      <c r="AD412" s="413">
        <v>0</v>
      </c>
      <c r="AE412" s="413">
        <v>0</v>
      </c>
      <c r="AF412" s="413">
        <v>0</v>
      </c>
      <c r="AG412" s="413">
        <v>0</v>
      </c>
      <c r="AH412" s="413">
        <v>0</v>
      </c>
      <c r="AI412" s="413">
        <v>50000000</v>
      </c>
      <c r="AJ412" s="413">
        <v>50000000</v>
      </c>
      <c r="AK412" s="413">
        <v>0</v>
      </c>
      <c r="AL412" s="413">
        <v>0</v>
      </c>
      <c r="AM412" s="413">
        <v>0</v>
      </c>
      <c r="AN412" s="413">
        <v>0</v>
      </c>
      <c r="AO412" s="413">
        <v>0</v>
      </c>
      <c r="AP412" s="413">
        <v>0</v>
      </c>
      <c r="AQ412" s="413">
        <v>0</v>
      </c>
      <c r="AR412" s="413">
        <v>0</v>
      </c>
      <c r="AS412" s="413">
        <v>0</v>
      </c>
      <c r="AT412" s="333">
        <f t="shared" si="329"/>
        <v>6.25E-2</v>
      </c>
      <c r="AU412" s="334">
        <v>0.5</v>
      </c>
      <c r="AV412" s="387">
        <f t="shared" si="354"/>
        <v>0.25</v>
      </c>
      <c r="AW412" s="677">
        <v>0.5</v>
      </c>
      <c r="AX412" s="366">
        <f t="shared" si="355"/>
        <v>0.5</v>
      </c>
      <c r="AY412" s="366">
        <f t="shared" si="356"/>
        <v>100</v>
      </c>
      <c r="AZ412" s="366">
        <f t="shared" si="330"/>
        <v>100</v>
      </c>
      <c r="BA412" s="354">
        <f t="shared" si="331"/>
        <v>6.25E-2</v>
      </c>
      <c r="BB412" s="354">
        <f t="shared" si="332"/>
        <v>100</v>
      </c>
      <c r="BC412" s="353">
        <v>500000000</v>
      </c>
      <c r="BD412" s="353">
        <v>0</v>
      </c>
      <c r="BE412" s="353">
        <v>0</v>
      </c>
      <c r="BF412" s="353">
        <v>0</v>
      </c>
      <c r="BG412" s="353">
        <v>0</v>
      </c>
      <c r="BH412" s="353">
        <v>0</v>
      </c>
      <c r="BI412" s="353">
        <v>0</v>
      </c>
      <c r="BJ412" s="353">
        <v>500000000</v>
      </c>
      <c r="BK412" s="428">
        <v>49000000</v>
      </c>
      <c r="BL412" s="351">
        <v>49000000</v>
      </c>
      <c r="BM412" s="351">
        <v>0</v>
      </c>
      <c r="BN412" s="351">
        <v>0</v>
      </c>
      <c r="BO412" s="351">
        <v>0</v>
      </c>
      <c r="BP412" s="351">
        <v>0</v>
      </c>
      <c r="BQ412" s="351">
        <v>0</v>
      </c>
      <c r="BR412" s="351">
        <v>0</v>
      </c>
      <c r="BS412" s="351">
        <v>0</v>
      </c>
      <c r="BT412" s="351">
        <v>51000000</v>
      </c>
      <c r="BU412" s="351" t="s">
        <v>1857</v>
      </c>
      <c r="BV412" s="350">
        <f t="shared" si="333"/>
        <v>6.25E-2</v>
      </c>
      <c r="BW412" s="350">
        <v>0.5</v>
      </c>
      <c r="BX412" s="385">
        <f t="shared" si="357"/>
        <v>0.25</v>
      </c>
      <c r="BY412" s="369">
        <v>0.55000001192092896</v>
      </c>
      <c r="BZ412" s="438">
        <v>0.55000001192092896</v>
      </c>
      <c r="CA412" s="692">
        <v>0.55000000000000004</v>
      </c>
      <c r="CB412" s="324">
        <f t="shared" si="358"/>
        <v>0.55000000000000004</v>
      </c>
      <c r="CC412" s="324">
        <f t="shared" si="359"/>
        <v>110.00000000000001</v>
      </c>
      <c r="CD412" s="384">
        <f t="shared" si="334"/>
        <v>100</v>
      </c>
      <c r="CE412" s="383">
        <f t="shared" si="335"/>
        <v>6.25E-2</v>
      </c>
      <c r="CF412" s="367">
        <f t="shared" si="336"/>
        <v>100</v>
      </c>
      <c r="CG412" s="383">
        <f t="shared" si="337"/>
        <v>6.8750000000000006E-2</v>
      </c>
      <c r="CH412" s="320">
        <f t="shared" si="338"/>
        <v>9.375E-2</v>
      </c>
      <c r="CI412" s="396">
        <v>0.75</v>
      </c>
      <c r="CJ412" s="318">
        <f t="shared" si="360"/>
        <v>0.375</v>
      </c>
      <c r="CK412" s="1260">
        <v>0.6</v>
      </c>
      <c r="CL412" s="301">
        <f t="shared" si="320"/>
        <v>0.15000000000000002</v>
      </c>
      <c r="CM412" s="381">
        <f t="shared" si="361"/>
        <v>0.6</v>
      </c>
      <c r="CN412" s="381">
        <f t="shared" si="362"/>
        <v>80</v>
      </c>
      <c r="CO412" s="316">
        <f t="shared" si="339"/>
        <v>80</v>
      </c>
      <c r="CP412" s="381">
        <f t="shared" si="340"/>
        <v>7.4999999999999997E-2</v>
      </c>
      <c r="CQ412" s="381">
        <f t="shared" si="341"/>
        <v>7.4999999999999997E-2</v>
      </c>
      <c r="CR412" s="313">
        <v>500000000</v>
      </c>
      <c r="CS412" s="313">
        <v>0</v>
      </c>
      <c r="CT412" s="313">
        <v>0</v>
      </c>
      <c r="CU412" s="313">
        <v>0</v>
      </c>
      <c r="CV412" s="313">
        <v>0</v>
      </c>
      <c r="CW412" s="313">
        <v>0</v>
      </c>
      <c r="CX412" s="313">
        <v>0</v>
      </c>
      <c r="CY412" s="313">
        <v>500000000</v>
      </c>
      <c r="CZ412" s="380">
        <v>0</v>
      </c>
      <c r="DA412" s="380">
        <v>0</v>
      </c>
      <c r="DB412" s="380">
        <v>0</v>
      </c>
      <c r="DC412" s="380">
        <v>0</v>
      </c>
      <c r="DD412" s="380">
        <v>0</v>
      </c>
      <c r="DE412" s="380">
        <v>0</v>
      </c>
      <c r="DF412" s="380">
        <v>0</v>
      </c>
      <c r="DG412" s="380">
        <v>0</v>
      </c>
      <c r="DH412" s="380">
        <v>0</v>
      </c>
      <c r="DI412" s="380">
        <v>0</v>
      </c>
      <c r="DJ412" s="380">
        <v>0</v>
      </c>
      <c r="DK412" s="702">
        <f t="shared" si="363"/>
        <v>1.9</v>
      </c>
      <c r="DL412" s="311">
        <f t="shared" si="342"/>
        <v>0.25</v>
      </c>
      <c r="DM412" s="310">
        <f t="shared" si="343"/>
        <v>95</v>
      </c>
      <c r="DN412" s="356">
        <f t="shared" si="344"/>
        <v>95</v>
      </c>
      <c r="DO412" s="308">
        <f t="shared" si="345"/>
        <v>0.23749999999999999</v>
      </c>
      <c r="DP412" s="359">
        <f t="shared" si="349"/>
        <v>0.23749999999999999</v>
      </c>
      <c r="DQ412" s="306">
        <f t="shared" si="346"/>
        <v>0.23749999999999999</v>
      </c>
      <c r="DR412" s="379">
        <f t="shared" si="347"/>
        <v>1</v>
      </c>
      <c r="DS412" s="378">
        <f t="shared" si="348"/>
        <v>0</v>
      </c>
      <c r="DT412" s="173">
        <v>468</v>
      </c>
      <c r="DU412" s="174" t="s">
        <v>102</v>
      </c>
      <c r="DV412" s="173"/>
      <c r="DW412" s="174" t="s">
        <v>84</v>
      </c>
      <c r="DX412" s="173"/>
      <c r="DY412" s="173"/>
      <c r="DZ412" s="173"/>
      <c r="EA412" s="665"/>
      <c r="EB412" s="1254" t="s">
        <v>2125</v>
      </c>
      <c r="EC412" s="537">
        <v>0</v>
      </c>
      <c r="EE412" s="733">
        <v>0</v>
      </c>
      <c r="EF412" s="706"/>
    </row>
    <row r="413" spans="4:136" s="302" customFormat="1" ht="63.75" hidden="1">
      <c r="D413" s="520">
        <v>410</v>
      </c>
      <c r="E413" s="534">
        <v>479</v>
      </c>
      <c r="F413" s="479" t="s">
        <v>45</v>
      </c>
      <c r="G413" s="479" t="s">
        <v>23</v>
      </c>
      <c r="H413" s="479" t="s">
        <v>2673</v>
      </c>
      <c r="I413" s="435" t="s">
        <v>997</v>
      </c>
      <c r="J413" s="335" t="s">
        <v>1000</v>
      </c>
      <c r="K413" s="335" t="s">
        <v>1001</v>
      </c>
      <c r="L413" s="436" t="s">
        <v>1</v>
      </c>
      <c r="M413" s="334" t="s">
        <v>1771</v>
      </c>
      <c r="N413" s="337">
        <v>0</v>
      </c>
      <c r="O413" s="333">
        <f t="shared" si="350"/>
        <v>1</v>
      </c>
      <c r="P413" s="422">
        <v>1</v>
      </c>
      <c r="Q413" s="390">
        <v>0.16500000000000001</v>
      </c>
      <c r="R413" s="342">
        <f t="shared" si="326"/>
        <v>0</v>
      </c>
      <c r="S413" s="417">
        <v>0</v>
      </c>
      <c r="T413" s="337">
        <f t="shared" si="351"/>
        <v>0</v>
      </c>
      <c r="U413" s="673">
        <v>0</v>
      </c>
      <c r="V413" s="388">
        <f t="shared" si="352"/>
        <v>0</v>
      </c>
      <c r="W413" s="356">
        <f t="shared" si="353"/>
        <v>0</v>
      </c>
      <c r="X413" s="356">
        <f t="shared" si="327"/>
        <v>0</v>
      </c>
      <c r="Y413" s="356">
        <f t="shared" si="364"/>
        <v>0</v>
      </c>
      <c r="Z413" s="356">
        <f t="shared" si="328"/>
        <v>0</v>
      </c>
      <c r="AA413" s="413">
        <v>0</v>
      </c>
      <c r="AB413" s="413">
        <v>0</v>
      </c>
      <c r="AC413" s="413">
        <v>0</v>
      </c>
      <c r="AD413" s="413">
        <v>0</v>
      </c>
      <c r="AE413" s="413">
        <v>0</v>
      </c>
      <c r="AF413" s="413">
        <v>0</v>
      </c>
      <c r="AG413" s="413">
        <v>0</v>
      </c>
      <c r="AH413" s="413">
        <v>0</v>
      </c>
      <c r="AI413" s="413">
        <v>0</v>
      </c>
      <c r="AJ413" s="413">
        <v>0</v>
      </c>
      <c r="AK413" s="413">
        <v>0</v>
      </c>
      <c r="AL413" s="413">
        <v>0</v>
      </c>
      <c r="AM413" s="413">
        <v>0</v>
      </c>
      <c r="AN413" s="413">
        <v>0</v>
      </c>
      <c r="AO413" s="413">
        <v>0</v>
      </c>
      <c r="AP413" s="413">
        <v>0</v>
      </c>
      <c r="AQ413" s="413">
        <v>0</v>
      </c>
      <c r="AR413" s="413">
        <v>0</v>
      </c>
      <c r="AS413" s="413">
        <v>0</v>
      </c>
      <c r="AT413" s="333">
        <f t="shared" si="329"/>
        <v>0.13200000000000001</v>
      </c>
      <c r="AU413" s="334">
        <v>0.8</v>
      </c>
      <c r="AV413" s="387">
        <f t="shared" si="354"/>
        <v>0.8</v>
      </c>
      <c r="AW413" s="677">
        <v>0.3</v>
      </c>
      <c r="AX413" s="366">
        <f t="shared" si="355"/>
        <v>0.3</v>
      </c>
      <c r="AY413" s="366">
        <f t="shared" si="356"/>
        <v>37.5</v>
      </c>
      <c r="AZ413" s="366">
        <f t="shared" si="330"/>
        <v>37.5</v>
      </c>
      <c r="BA413" s="354">
        <f t="shared" si="331"/>
        <v>4.9500000000000002E-2</v>
      </c>
      <c r="BB413" s="354">
        <f t="shared" si="332"/>
        <v>37.5</v>
      </c>
      <c r="BC413" s="353">
        <v>113000000</v>
      </c>
      <c r="BD413" s="353">
        <v>0</v>
      </c>
      <c r="BE413" s="353">
        <v>13000000</v>
      </c>
      <c r="BF413" s="353">
        <v>0</v>
      </c>
      <c r="BG413" s="353">
        <v>0</v>
      </c>
      <c r="BH413" s="353">
        <v>0</v>
      </c>
      <c r="BI413" s="353">
        <v>0</v>
      </c>
      <c r="BJ413" s="353">
        <v>100000000</v>
      </c>
      <c r="BK413" s="428">
        <v>6670704000</v>
      </c>
      <c r="BL413" s="351">
        <v>500000000</v>
      </c>
      <c r="BM413" s="351">
        <v>0</v>
      </c>
      <c r="BN413" s="351">
        <v>0</v>
      </c>
      <c r="BO413" s="351">
        <v>0</v>
      </c>
      <c r="BP413" s="351">
        <v>6170704000</v>
      </c>
      <c r="BQ413" s="351">
        <v>0</v>
      </c>
      <c r="BR413" s="351">
        <v>0</v>
      </c>
      <c r="BS413" s="351">
        <v>0</v>
      </c>
      <c r="BT413" s="351">
        <v>600000000</v>
      </c>
      <c r="BU413" s="351" t="s">
        <v>1856</v>
      </c>
      <c r="BV413" s="350">
        <f t="shared" si="333"/>
        <v>1.6500000000000001E-2</v>
      </c>
      <c r="BW413" s="350">
        <v>0.1</v>
      </c>
      <c r="BX413" s="385">
        <f t="shared" si="357"/>
        <v>0.1</v>
      </c>
      <c r="BY413" s="369">
        <v>0.40000000596046448</v>
      </c>
      <c r="BZ413" s="438">
        <v>0.6</v>
      </c>
      <c r="CA413" s="692">
        <v>0.7</v>
      </c>
      <c r="CB413" s="324">
        <f t="shared" si="358"/>
        <v>0.7</v>
      </c>
      <c r="CC413" s="324">
        <f t="shared" si="359"/>
        <v>700</v>
      </c>
      <c r="CD413" s="384">
        <f t="shared" si="334"/>
        <v>100</v>
      </c>
      <c r="CE413" s="383">
        <f t="shared" si="335"/>
        <v>1.6500000000000001E-2</v>
      </c>
      <c r="CF413" s="367">
        <f t="shared" si="336"/>
        <v>100</v>
      </c>
      <c r="CG413" s="383">
        <f t="shared" si="337"/>
        <v>0.11550000000000001</v>
      </c>
      <c r="CH413" s="320">
        <f t="shared" si="338"/>
        <v>1.6500000000000001E-2</v>
      </c>
      <c r="CI413" s="319">
        <v>0.1</v>
      </c>
      <c r="CJ413" s="318">
        <f t="shared" si="360"/>
        <v>0.1</v>
      </c>
      <c r="CK413" s="1259">
        <v>0</v>
      </c>
      <c r="CL413" s="301">
        <f t="shared" si="320"/>
        <v>0.1</v>
      </c>
      <c r="CM413" s="381">
        <f t="shared" si="361"/>
        <v>0</v>
      </c>
      <c r="CN413" s="381">
        <f t="shared" si="362"/>
        <v>0</v>
      </c>
      <c r="CO413" s="316">
        <f t="shared" si="339"/>
        <v>0</v>
      </c>
      <c r="CP413" s="381">
        <f t="shared" si="340"/>
        <v>0</v>
      </c>
      <c r="CQ413" s="381">
        <f t="shared" si="341"/>
        <v>0</v>
      </c>
      <c r="CR413" s="313">
        <v>130000000</v>
      </c>
      <c r="CS413" s="313">
        <v>30000000</v>
      </c>
      <c r="CT413" s="313">
        <v>0</v>
      </c>
      <c r="CU413" s="313">
        <v>0</v>
      </c>
      <c r="CV413" s="313">
        <v>0</v>
      </c>
      <c r="CW413" s="313">
        <v>0</v>
      </c>
      <c r="CX413" s="313">
        <v>0</v>
      </c>
      <c r="CY413" s="313">
        <v>100000000</v>
      </c>
      <c r="CZ413" s="380">
        <v>0</v>
      </c>
      <c r="DA413" s="380">
        <v>0</v>
      </c>
      <c r="DB413" s="380">
        <v>0</v>
      </c>
      <c r="DC413" s="380">
        <v>0</v>
      </c>
      <c r="DD413" s="380">
        <v>0</v>
      </c>
      <c r="DE413" s="380">
        <v>0</v>
      </c>
      <c r="DF413" s="380">
        <v>0</v>
      </c>
      <c r="DG413" s="380">
        <v>0</v>
      </c>
      <c r="DH413" s="380">
        <v>0</v>
      </c>
      <c r="DI413" s="380">
        <v>0</v>
      </c>
      <c r="DJ413" s="380">
        <v>0</v>
      </c>
      <c r="DK413" s="702">
        <f t="shared" si="363"/>
        <v>1</v>
      </c>
      <c r="DL413" s="311">
        <f t="shared" si="342"/>
        <v>0.16500000000000004</v>
      </c>
      <c r="DM413" s="310">
        <f t="shared" si="343"/>
        <v>100</v>
      </c>
      <c r="DN413" s="356">
        <f t="shared" si="344"/>
        <v>100</v>
      </c>
      <c r="DO413" s="308">
        <f t="shared" si="345"/>
        <v>0.16500000000000001</v>
      </c>
      <c r="DP413" s="359">
        <f t="shared" si="349"/>
        <v>0.16500000000000001</v>
      </c>
      <c r="DQ413" s="306">
        <f t="shared" si="346"/>
        <v>0.16500000000000001</v>
      </c>
      <c r="DR413" s="379">
        <f t="shared" si="347"/>
        <v>1</v>
      </c>
      <c r="DS413" s="378">
        <f t="shared" si="348"/>
        <v>0</v>
      </c>
      <c r="DT413" s="173">
        <v>468</v>
      </c>
      <c r="DU413" s="174" t="s">
        <v>102</v>
      </c>
      <c r="DV413" s="173"/>
      <c r="DW413" s="174" t="s">
        <v>84</v>
      </c>
      <c r="DX413" s="173"/>
      <c r="DY413" s="173"/>
      <c r="DZ413" s="173"/>
      <c r="EA413" s="665"/>
      <c r="EB413" s="1254" t="s">
        <v>2204</v>
      </c>
      <c r="EC413" s="537">
        <v>1300000000</v>
      </c>
      <c r="EE413" s="734">
        <v>2</v>
      </c>
      <c r="EF413" s="706"/>
    </row>
    <row r="414" spans="4:136" s="302" customFormat="1" ht="63.75" hidden="1">
      <c r="D414" s="520">
        <v>411</v>
      </c>
      <c r="E414" s="534">
        <v>480</v>
      </c>
      <c r="F414" s="479" t="s">
        <v>45</v>
      </c>
      <c r="G414" s="479" t="s">
        <v>23</v>
      </c>
      <c r="H414" s="479" t="s">
        <v>2673</v>
      </c>
      <c r="I414" s="435" t="s">
        <v>997</v>
      </c>
      <c r="J414" s="335" t="s">
        <v>1002</v>
      </c>
      <c r="K414" s="335" t="s">
        <v>1003</v>
      </c>
      <c r="L414" s="436" t="s">
        <v>1810</v>
      </c>
      <c r="M414" s="334" t="s">
        <v>1771</v>
      </c>
      <c r="N414" s="337">
        <v>1</v>
      </c>
      <c r="O414" s="333">
        <f t="shared" si="350"/>
        <v>5</v>
      </c>
      <c r="P414" s="422">
        <v>4</v>
      </c>
      <c r="Q414" s="390">
        <v>0.16500000000000001</v>
      </c>
      <c r="R414" s="342">
        <f t="shared" si="326"/>
        <v>4.1250000000000002E-2</v>
      </c>
      <c r="S414" s="417">
        <v>1</v>
      </c>
      <c r="T414" s="402">
        <f t="shared" si="351"/>
        <v>0.25</v>
      </c>
      <c r="U414" s="673">
        <v>0.5</v>
      </c>
      <c r="V414" s="388">
        <f t="shared" si="352"/>
        <v>0.5</v>
      </c>
      <c r="W414" s="356">
        <f t="shared" si="353"/>
        <v>50</v>
      </c>
      <c r="X414" s="356">
        <f t="shared" si="327"/>
        <v>50</v>
      </c>
      <c r="Y414" s="356">
        <f t="shared" si="364"/>
        <v>2.0625000000000001E-2</v>
      </c>
      <c r="Z414" s="356">
        <f t="shared" si="328"/>
        <v>50</v>
      </c>
      <c r="AA414" s="413">
        <v>15000000</v>
      </c>
      <c r="AB414" s="413">
        <v>15000000</v>
      </c>
      <c r="AC414" s="413">
        <v>0</v>
      </c>
      <c r="AD414" s="413">
        <v>0</v>
      </c>
      <c r="AE414" s="413">
        <v>0</v>
      </c>
      <c r="AF414" s="413">
        <v>0</v>
      </c>
      <c r="AG414" s="413">
        <v>0</v>
      </c>
      <c r="AH414" s="413">
        <v>0</v>
      </c>
      <c r="AI414" s="413">
        <v>0</v>
      </c>
      <c r="AJ414" s="413">
        <v>0</v>
      </c>
      <c r="AK414" s="413">
        <v>0</v>
      </c>
      <c r="AL414" s="413">
        <v>0</v>
      </c>
      <c r="AM414" s="413">
        <v>0</v>
      </c>
      <c r="AN414" s="413">
        <v>0</v>
      </c>
      <c r="AO414" s="413">
        <v>0</v>
      </c>
      <c r="AP414" s="413">
        <v>0</v>
      </c>
      <c r="AQ414" s="413">
        <v>0</v>
      </c>
      <c r="AR414" s="413">
        <v>0</v>
      </c>
      <c r="AS414" s="413">
        <v>0</v>
      </c>
      <c r="AT414" s="333">
        <f t="shared" si="329"/>
        <v>8.2500000000000004E-2</v>
      </c>
      <c r="AU414" s="334">
        <v>2</v>
      </c>
      <c r="AV414" s="387">
        <f t="shared" si="354"/>
        <v>0.5</v>
      </c>
      <c r="AW414" s="677">
        <v>0.3</v>
      </c>
      <c r="AX414" s="366">
        <f t="shared" si="355"/>
        <v>0.3</v>
      </c>
      <c r="AY414" s="366">
        <f t="shared" si="356"/>
        <v>15</v>
      </c>
      <c r="AZ414" s="366">
        <f t="shared" si="330"/>
        <v>15</v>
      </c>
      <c r="BA414" s="354">
        <f t="shared" si="331"/>
        <v>1.2375000000000001E-2</v>
      </c>
      <c r="BB414" s="354">
        <f t="shared" si="332"/>
        <v>15</v>
      </c>
      <c r="BC414" s="353">
        <v>63000000</v>
      </c>
      <c r="BD414" s="353">
        <v>0</v>
      </c>
      <c r="BE414" s="353">
        <v>13000000</v>
      </c>
      <c r="BF414" s="353">
        <v>0</v>
      </c>
      <c r="BG414" s="353">
        <v>0</v>
      </c>
      <c r="BH414" s="353">
        <v>0</v>
      </c>
      <c r="BI414" s="353">
        <v>0</v>
      </c>
      <c r="BJ414" s="353">
        <v>50000000</v>
      </c>
      <c r="BK414" s="428">
        <v>100000000</v>
      </c>
      <c r="BL414" s="351">
        <v>100000000</v>
      </c>
      <c r="BM414" s="351">
        <v>0</v>
      </c>
      <c r="BN414" s="351">
        <v>0</v>
      </c>
      <c r="BO414" s="351">
        <v>0</v>
      </c>
      <c r="BP414" s="351">
        <v>0</v>
      </c>
      <c r="BQ414" s="351">
        <v>0</v>
      </c>
      <c r="BR414" s="351">
        <v>0</v>
      </c>
      <c r="BS414" s="351">
        <v>0</v>
      </c>
      <c r="BT414" s="351">
        <v>0</v>
      </c>
      <c r="BU414" s="351">
        <v>0</v>
      </c>
      <c r="BV414" s="350">
        <f t="shared" si="333"/>
        <v>3.3000000000000002E-2</v>
      </c>
      <c r="BW414" s="350">
        <v>0.8</v>
      </c>
      <c r="BX414" s="385">
        <f t="shared" si="357"/>
        <v>0.2</v>
      </c>
      <c r="BY414" s="399">
        <v>0.3</v>
      </c>
      <c r="BZ414" s="438">
        <v>0.60000002384185791</v>
      </c>
      <c r="CA414" s="692">
        <v>2.2000000000000002</v>
      </c>
      <c r="CB414" s="324">
        <f t="shared" si="358"/>
        <v>2.2000000000000002</v>
      </c>
      <c r="CC414" s="324">
        <f t="shared" si="359"/>
        <v>275</v>
      </c>
      <c r="CD414" s="384">
        <f t="shared" si="334"/>
        <v>100</v>
      </c>
      <c r="CE414" s="383">
        <f t="shared" si="335"/>
        <v>3.3000000000000002E-2</v>
      </c>
      <c r="CF414" s="367">
        <f t="shared" si="336"/>
        <v>100</v>
      </c>
      <c r="CG414" s="383">
        <f t="shared" si="337"/>
        <v>9.0750000000000011E-2</v>
      </c>
      <c r="CH414" s="320">
        <f t="shared" si="338"/>
        <v>8.2500000000000004E-3</v>
      </c>
      <c r="CI414" s="439">
        <v>0.2</v>
      </c>
      <c r="CJ414" s="318">
        <f t="shared" si="360"/>
        <v>0.05</v>
      </c>
      <c r="CK414" s="1259">
        <v>2</v>
      </c>
      <c r="CL414" s="301">
        <f t="shared" si="320"/>
        <v>-1.8</v>
      </c>
      <c r="CM414" s="381">
        <f t="shared" si="361"/>
        <v>2</v>
      </c>
      <c r="CN414" s="381">
        <f t="shared" si="362"/>
        <v>1000</v>
      </c>
      <c r="CO414" s="316">
        <f t="shared" si="339"/>
        <v>100</v>
      </c>
      <c r="CP414" s="381">
        <f t="shared" si="340"/>
        <v>8.2500000000000004E-3</v>
      </c>
      <c r="CQ414" s="381">
        <f t="shared" si="341"/>
        <v>8.2500000000000004E-2</v>
      </c>
      <c r="CR414" s="313">
        <v>80000000</v>
      </c>
      <c r="CS414" s="313">
        <v>30000000</v>
      </c>
      <c r="CT414" s="313">
        <v>0</v>
      </c>
      <c r="CU414" s="313">
        <v>0</v>
      </c>
      <c r="CV414" s="313">
        <v>0</v>
      </c>
      <c r="CW414" s="313">
        <v>0</v>
      </c>
      <c r="CX414" s="313">
        <v>0</v>
      </c>
      <c r="CY414" s="313">
        <v>50000000</v>
      </c>
      <c r="CZ414" s="380">
        <v>0</v>
      </c>
      <c r="DA414" s="380">
        <v>0</v>
      </c>
      <c r="DB414" s="380">
        <v>0</v>
      </c>
      <c r="DC414" s="380">
        <v>0</v>
      </c>
      <c r="DD414" s="380">
        <v>0</v>
      </c>
      <c r="DE414" s="380">
        <v>0</v>
      </c>
      <c r="DF414" s="380">
        <v>0</v>
      </c>
      <c r="DG414" s="380">
        <v>0</v>
      </c>
      <c r="DH414" s="380">
        <v>0</v>
      </c>
      <c r="DI414" s="380">
        <v>0</v>
      </c>
      <c r="DJ414" s="380">
        <v>0</v>
      </c>
      <c r="DK414" s="702">
        <f t="shared" si="363"/>
        <v>5</v>
      </c>
      <c r="DL414" s="311">
        <f t="shared" si="342"/>
        <v>0.16500000000000001</v>
      </c>
      <c r="DM414" s="310">
        <f t="shared" si="343"/>
        <v>125</v>
      </c>
      <c r="DN414" s="356">
        <f t="shared" si="344"/>
        <v>100</v>
      </c>
      <c r="DO414" s="308">
        <f t="shared" si="345"/>
        <v>0.16500000000000001</v>
      </c>
      <c r="DP414" s="359">
        <f t="shared" si="349"/>
        <v>0.16500000000000001</v>
      </c>
      <c r="DQ414" s="306">
        <f t="shared" si="346"/>
        <v>0.16500000000000001</v>
      </c>
      <c r="DR414" s="379">
        <f t="shared" si="347"/>
        <v>1</v>
      </c>
      <c r="DS414" s="378">
        <f t="shared" si="348"/>
        <v>0</v>
      </c>
      <c r="DT414" s="173">
        <v>468</v>
      </c>
      <c r="DU414" s="174" t="s">
        <v>102</v>
      </c>
      <c r="DV414" s="173"/>
      <c r="DW414" s="174" t="s">
        <v>84</v>
      </c>
      <c r="DX414" s="173"/>
      <c r="DY414" s="173"/>
      <c r="DZ414" s="173"/>
      <c r="EA414" s="665"/>
      <c r="EB414" s="1254" t="s">
        <v>3261</v>
      </c>
      <c r="EC414" s="537">
        <v>500000000</v>
      </c>
      <c r="EE414" s="734">
        <v>5</v>
      </c>
      <c r="EF414" s="706"/>
    </row>
    <row r="415" spans="4:136" s="302" customFormat="1" ht="76.5" hidden="1">
      <c r="D415" s="520">
        <v>412</v>
      </c>
      <c r="E415" s="534">
        <v>481</v>
      </c>
      <c r="F415" s="479" t="s">
        <v>45</v>
      </c>
      <c r="G415" s="479" t="s">
        <v>23</v>
      </c>
      <c r="H415" s="479" t="s">
        <v>2673</v>
      </c>
      <c r="I415" s="435" t="s">
        <v>1004</v>
      </c>
      <c r="J415" s="335" t="s">
        <v>1005</v>
      </c>
      <c r="K415" s="335" t="s">
        <v>1006</v>
      </c>
      <c r="L415" s="436" t="s">
        <v>1456</v>
      </c>
      <c r="M415" s="334" t="s">
        <v>1771</v>
      </c>
      <c r="N415" s="337">
        <v>0</v>
      </c>
      <c r="O415" s="333">
        <f t="shared" si="350"/>
        <v>1</v>
      </c>
      <c r="P415" s="422">
        <v>1</v>
      </c>
      <c r="Q415" s="390">
        <v>0.25</v>
      </c>
      <c r="R415" s="342">
        <f t="shared" si="326"/>
        <v>6.25E-2</v>
      </c>
      <c r="S415" s="417">
        <v>0.25</v>
      </c>
      <c r="T415" s="337">
        <f t="shared" si="351"/>
        <v>0.25</v>
      </c>
      <c r="U415" s="673">
        <v>0.25</v>
      </c>
      <c r="V415" s="388">
        <f t="shared" si="352"/>
        <v>0.25</v>
      </c>
      <c r="W415" s="356">
        <f t="shared" si="353"/>
        <v>100</v>
      </c>
      <c r="X415" s="356">
        <f t="shared" si="327"/>
        <v>100</v>
      </c>
      <c r="Y415" s="356">
        <f t="shared" si="364"/>
        <v>6.25E-2</v>
      </c>
      <c r="Z415" s="356">
        <f t="shared" si="328"/>
        <v>100</v>
      </c>
      <c r="AA415" s="413">
        <v>0</v>
      </c>
      <c r="AB415" s="413">
        <v>0</v>
      </c>
      <c r="AC415" s="413">
        <v>0</v>
      </c>
      <c r="AD415" s="413">
        <v>0</v>
      </c>
      <c r="AE415" s="413">
        <v>0</v>
      </c>
      <c r="AF415" s="413">
        <v>0</v>
      </c>
      <c r="AG415" s="413">
        <v>0</v>
      </c>
      <c r="AH415" s="413">
        <v>0</v>
      </c>
      <c r="AI415" s="413">
        <v>0</v>
      </c>
      <c r="AJ415" s="413">
        <v>0</v>
      </c>
      <c r="AK415" s="413">
        <v>0</v>
      </c>
      <c r="AL415" s="413">
        <v>0</v>
      </c>
      <c r="AM415" s="413">
        <v>0</v>
      </c>
      <c r="AN415" s="413">
        <v>0</v>
      </c>
      <c r="AO415" s="413">
        <v>0</v>
      </c>
      <c r="AP415" s="413">
        <v>0</v>
      </c>
      <c r="AQ415" s="413">
        <v>0</v>
      </c>
      <c r="AR415" s="413">
        <v>0</v>
      </c>
      <c r="AS415" s="413">
        <v>0</v>
      </c>
      <c r="AT415" s="333">
        <f t="shared" si="329"/>
        <v>0.13750000000000001</v>
      </c>
      <c r="AU415" s="334">
        <v>0.55000000000000004</v>
      </c>
      <c r="AV415" s="387">
        <f t="shared" si="354"/>
        <v>0.55000000000000004</v>
      </c>
      <c r="AW415" s="677">
        <v>0.55000000000000004</v>
      </c>
      <c r="AX415" s="366">
        <f t="shared" si="355"/>
        <v>0.55000000000000004</v>
      </c>
      <c r="AY415" s="366">
        <f t="shared" si="356"/>
        <v>100</v>
      </c>
      <c r="AZ415" s="366">
        <f t="shared" si="330"/>
        <v>100</v>
      </c>
      <c r="BA415" s="354">
        <f t="shared" si="331"/>
        <v>0.13750000000000001</v>
      </c>
      <c r="BB415" s="354">
        <f t="shared" si="332"/>
        <v>100</v>
      </c>
      <c r="BC415" s="353">
        <v>4359000000</v>
      </c>
      <c r="BD415" s="353">
        <v>0</v>
      </c>
      <c r="BE415" s="353">
        <v>39000000</v>
      </c>
      <c r="BF415" s="353">
        <v>0</v>
      </c>
      <c r="BG415" s="353">
        <v>0</v>
      </c>
      <c r="BH415" s="353">
        <v>0</v>
      </c>
      <c r="BI415" s="353">
        <v>0</v>
      </c>
      <c r="BJ415" s="353">
        <v>4320000000</v>
      </c>
      <c r="BK415" s="428">
        <v>17169536582</v>
      </c>
      <c r="BL415" s="351">
        <v>6368400</v>
      </c>
      <c r="BM415" s="351">
        <v>0</v>
      </c>
      <c r="BN415" s="351">
        <v>0</v>
      </c>
      <c r="BO415" s="351">
        <v>0</v>
      </c>
      <c r="BP415" s="351">
        <v>17163168182</v>
      </c>
      <c r="BQ415" s="351">
        <v>0</v>
      </c>
      <c r="BR415" s="351">
        <v>0</v>
      </c>
      <c r="BS415" s="351">
        <v>0</v>
      </c>
      <c r="BT415" s="351">
        <v>6655000000</v>
      </c>
      <c r="BU415" s="351" t="s">
        <v>1855</v>
      </c>
      <c r="BV415" s="350">
        <f t="shared" si="333"/>
        <v>2.5000000000000001E-2</v>
      </c>
      <c r="BW415" s="350">
        <v>0.1</v>
      </c>
      <c r="BX415" s="385">
        <f t="shared" si="357"/>
        <v>0.1</v>
      </c>
      <c r="BY415" s="399">
        <v>0.1</v>
      </c>
      <c r="BZ415" s="438">
        <v>0.2</v>
      </c>
      <c r="CA415" s="692">
        <v>0.1</v>
      </c>
      <c r="CB415" s="324">
        <f t="shared" si="358"/>
        <v>0.1</v>
      </c>
      <c r="CC415" s="324">
        <f t="shared" si="359"/>
        <v>100</v>
      </c>
      <c r="CD415" s="384">
        <f t="shared" si="334"/>
        <v>100</v>
      </c>
      <c r="CE415" s="383">
        <f t="shared" si="335"/>
        <v>2.5000000000000001E-2</v>
      </c>
      <c r="CF415" s="367">
        <f t="shared" si="336"/>
        <v>100</v>
      </c>
      <c r="CG415" s="383">
        <f t="shared" si="337"/>
        <v>2.5000000000000001E-2</v>
      </c>
      <c r="CH415" s="320">
        <f t="shared" si="338"/>
        <v>2.5000000000000001E-2</v>
      </c>
      <c r="CI415" s="396">
        <v>0.1</v>
      </c>
      <c r="CJ415" s="318">
        <f t="shared" si="360"/>
        <v>0.1</v>
      </c>
      <c r="CK415" s="1259">
        <v>0</v>
      </c>
      <c r="CL415" s="301">
        <f t="shared" si="320"/>
        <v>0.1</v>
      </c>
      <c r="CM415" s="381">
        <f t="shared" si="361"/>
        <v>0</v>
      </c>
      <c r="CN415" s="381">
        <f t="shared" si="362"/>
        <v>0</v>
      </c>
      <c r="CO415" s="316">
        <f t="shared" si="339"/>
        <v>0</v>
      </c>
      <c r="CP415" s="381">
        <f t="shared" si="340"/>
        <v>0</v>
      </c>
      <c r="CQ415" s="381">
        <f t="shared" si="341"/>
        <v>0</v>
      </c>
      <c r="CR415" s="313">
        <v>4410000000</v>
      </c>
      <c r="CS415" s="313">
        <v>90000000</v>
      </c>
      <c r="CT415" s="313">
        <v>0</v>
      </c>
      <c r="CU415" s="313">
        <v>0</v>
      </c>
      <c r="CV415" s="313">
        <v>0</v>
      </c>
      <c r="CW415" s="313">
        <v>0</v>
      </c>
      <c r="CX415" s="313">
        <v>0</v>
      </c>
      <c r="CY415" s="313">
        <v>4320000000</v>
      </c>
      <c r="CZ415" s="380">
        <v>0</v>
      </c>
      <c r="DA415" s="380">
        <v>0</v>
      </c>
      <c r="DB415" s="380">
        <v>0</v>
      </c>
      <c r="DC415" s="380">
        <v>0</v>
      </c>
      <c r="DD415" s="380">
        <v>0</v>
      </c>
      <c r="DE415" s="380">
        <v>0</v>
      </c>
      <c r="DF415" s="380">
        <v>0</v>
      </c>
      <c r="DG415" s="380">
        <v>0</v>
      </c>
      <c r="DH415" s="380">
        <v>0</v>
      </c>
      <c r="DI415" s="380">
        <v>0</v>
      </c>
      <c r="DJ415" s="380">
        <v>0</v>
      </c>
      <c r="DK415" s="702">
        <f t="shared" si="363"/>
        <v>0.9</v>
      </c>
      <c r="DL415" s="311">
        <f t="shared" si="342"/>
        <v>0.25</v>
      </c>
      <c r="DM415" s="310">
        <f t="shared" si="343"/>
        <v>90</v>
      </c>
      <c r="DN415" s="356">
        <f t="shared" si="344"/>
        <v>90</v>
      </c>
      <c r="DO415" s="308">
        <f t="shared" si="345"/>
        <v>0.22500000000000001</v>
      </c>
      <c r="DP415" s="359">
        <f t="shared" si="349"/>
        <v>0.22500000000000001</v>
      </c>
      <c r="DQ415" s="306">
        <f t="shared" si="346"/>
        <v>0.22500000000000001</v>
      </c>
      <c r="DR415" s="379">
        <f t="shared" si="347"/>
        <v>1</v>
      </c>
      <c r="DS415" s="378">
        <f t="shared" si="348"/>
        <v>0</v>
      </c>
      <c r="DT415" s="173">
        <v>468</v>
      </c>
      <c r="DU415" s="174" t="s">
        <v>102</v>
      </c>
      <c r="DV415" s="173"/>
      <c r="DW415" s="174" t="s">
        <v>84</v>
      </c>
      <c r="DX415" s="173"/>
      <c r="DY415" s="173"/>
      <c r="DZ415" s="173"/>
      <c r="EA415" s="665"/>
      <c r="EB415" s="1254" t="s">
        <v>2126</v>
      </c>
      <c r="EC415" s="537">
        <v>5202000000</v>
      </c>
      <c r="EE415" s="734">
        <v>5</v>
      </c>
      <c r="EF415" s="706"/>
    </row>
    <row r="416" spans="4:136" s="302" customFormat="1" ht="102" hidden="1">
      <c r="D416" s="520">
        <v>413</v>
      </c>
      <c r="E416" s="534">
        <v>482</v>
      </c>
      <c r="F416" s="479" t="s">
        <v>45</v>
      </c>
      <c r="G416" s="479" t="s">
        <v>23</v>
      </c>
      <c r="H416" s="479" t="s">
        <v>2673</v>
      </c>
      <c r="I416" s="435" t="s">
        <v>1004</v>
      </c>
      <c r="J416" s="335" t="s">
        <v>1007</v>
      </c>
      <c r="K416" s="335" t="s">
        <v>1008</v>
      </c>
      <c r="L416" s="436" t="s">
        <v>1773</v>
      </c>
      <c r="M416" s="334" t="s">
        <v>1771</v>
      </c>
      <c r="N416" s="337">
        <v>0</v>
      </c>
      <c r="O416" s="333">
        <f t="shared" si="350"/>
        <v>2</v>
      </c>
      <c r="P416" s="422">
        <v>2</v>
      </c>
      <c r="Q416" s="390">
        <v>0.16500000000000001</v>
      </c>
      <c r="R416" s="342">
        <f t="shared" si="326"/>
        <v>0</v>
      </c>
      <c r="S416" s="417">
        <v>0</v>
      </c>
      <c r="T416" s="337">
        <f t="shared" si="351"/>
        <v>0</v>
      </c>
      <c r="U416" s="673">
        <v>0</v>
      </c>
      <c r="V416" s="388">
        <f t="shared" si="352"/>
        <v>0</v>
      </c>
      <c r="W416" s="356">
        <f t="shared" si="353"/>
        <v>0</v>
      </c>
      <c r="X416" s="356">
        <f t="shared" si="327"/>
        <v>0</v>
      </c>
      <c r="Y416" s="356">
        <f t="shared" si="364"/>
        <v>0</v>
      </c>
      <c r="Z416" s="356">
        <f t="shared" si="328"/>
        <v>0</v>
      </c>
      <c r="AA416" s="413">
        <v>0</v>
      </c>
      <c r="AB416" s="413">
        <v>0</v>
      </c>
      <c r="AC416" s="413">
        <v>0</v>
      </c>
      <c r="AD416" s="413">
        <v>0</v>
      </c>
      <c r="AE416" s="413">
        <v>0</v>
      </c>
      <c r="AF416" s="413">
        <v>0</v>
      </c>
      <c r="AG416" s="413">
        <v>0</v>
      </c>
      <c r="AH416" s="413">
        <v>0</v>
      </c>
      <c r="AI416" s="413">
        <v>0</v>
      </c>
      <c r="AJ416" s="413">
        <v>0</v>
      </c>
      <c r="AK416" s="413">
        <v>0</v>
      </c>
      <c r="AL416" s="413">
        <v>0</v>
      </c>
      <c r="AM416" s="413">
        <v>0</v>
      </c>
      <c r="AN416" s="413">
        <v>0</v>
      </c>
      <c r="AO416" s="413">
        <v>0</v>
      </c>
      <c r="AP416" s="413">
        <v>0</v>
      </c>
      <c r="AQ416" s="413">
        <v>0</v>
      </c>
      <c r="AR416" s="413">
        <v>0</v>
      </c>
      <c r="AS416" s="413">
        <v>0</v>
      </c>
      <c r="AT416" s="333">
        <f t="shared" si="329"/>
        <v>8.2500000000000004E-2</v>
      </c>
      <c r="AU416" s="334">
        <v>1</v>
      </c>
      <c r="AV416" s="387">
        <f t="shared" si="354"/>
        <v>0.5</v>
      </c>
      <c r="AW416" s="677">
        <v>3</v>
      </c>
      <c r="AX416" s="366">
        <f t="shared" si="355"/>
        <v>3</v>
      </c>
      <c r="AY416" s="366">
        <f t="shared" si="356"/>
        <v>300</v>
      </c>
      <c r="AZ416" s="366">
        <f t="shared" si="330"/>
        <v>100</v>
      </c>
      <c r="BA416" s="354">
        <f t="shared" si="331"/>
        <v>8.2500000000000004E-2</v>
      </c>
      <c r="BB416" s="354">
        <f t="shared" si="332"/>
        <v>100</v>
      </c>
      <c r="BC416" s="353">
        <v>500000000</v>
      </c>
      <c r="BD416" s="353">
        <v>0</v>
      </c>
      <c r="BE416" s="353">
        <v>0</v>
      </c>
      <c r="BF416" s="353">
        <v>0</v>
      </c>
      <c r="BG416" s="353">
        <v>0</v>
      </c>
      <c r="BH416" s="353">
        <v>0</v>
      </c>
      <c r="BI416" s="353">
        <v>0</v>
      </c>
      <c r="BJ416" s="353">
        <v>500000000</v>
      </c>
      <c r="BK416" s="428">
        <v>2875000000</v>
      </c>
      <c r="BL416" s="351">
        <v>40000000</v>
      </c>
      <c r="BM416" s="351">
        <v>0</v>
      </c>
      <c r="BN416" s="351">
        <v>0</v>
      </c>
      <c r="BO416" s="351">
        <v>0</v>
      </c>
      <c r="BP416" s="351">
        <v>2835000000</v>
      </c>
      <c r="BQ416" s="351">
        <v>0</v>
      </c>
      <c r="BR416" s="351">
        <v>0</v>
      </c>
      <c r="BS416" s="351">
        <v>0</v>
      </c>
      <c r="BT416" s="351">
        <v>3210794147</v>
      </c>
      <c r="BU416" s="351" t="s">
        <v>1854</v>
      </c>
      <c r="BV416" s="350">
        <f t="shared" si="333"/>
        <v>8.2500000000000004E-2</v>
      </c>
      <c r="BW416" s="350">
        <v>1</v>
      </c>
      <c r="BX416" s="385">
        <f t="shared" si="357"/>
        <v>0.5</v>
      </c>
      <c r="BY416" s="399">
        <v>1</v>
      </c>
      <c r="BZ416" s="398">
        <v>1</v>
      </c>
      <c r="CA416" s="690">
        <v>2</v>
      </c>
      <c r="CB416" s="324">
        <f t="shared" si="358"/>
        <v>2</v>
      </c>
      <c r="CC416" s="324">
        <f t="shared" si="359"/>
        <v>200</v>
      </c>
      <c r="CD416" s="384">
        <f t="shared" si="334"/>
        <v>100</v>
      </c>
      <c r="CE416" s="383">
        <f t="shared" si="335"/>
        <v>8.2500000000000004E-2</v>
      </c>
      <c r="CF416" s="367">
        <f t="shared" si="336"/>
        <v>100</v>
      </c>
      <c r="CG416" s="383">
        <f t="shared" si="337"/>
        <v>0.16500000000000001</v>
      </c>
      <c r="CH416" s="320">
        <f t="shared" si="338"/>
        <v>0</v>
      </c>
      <c r="CI416" s="319">
        <v>0</v>
      </c>
      <c r="CJ416" s="318">
        <f t="shared" si="360"/>
        <v>0</v>
      </c>
      <c r="CK416" s="1258">
        <v>0</v>
      </c>
      <c r="CL416" s="301">
        <f t="shared" si="320"/>
        <v>0</v>
      </c>
      <c r="CM416" s="381">
        <f t="shared" si="361"/>
        <v>0</v>
      </c>
      <c r="CN416" s="381">
        <f t="shared" si="362"/>
        <v>0</v>
      </c>
      <c r="CO416" s="316">
        <f t="shared" si="339"/>
        <v>0</v>
      </c>
      <c r="CP416" s="381">
        <f t="shared" si="340"/>
        <v>0</v>
      </c>
      <c r="CQ416" s="381">
        <f t="shared" si="341"/>
        <v>0</v>
      </c>
      <c r="CR416" s="313">
        <v>500000000</v>
      </c>
      <c r="CS416" s="313">
        <v>0</v>
      </c>
      <c r="CT416" s="313">
        <v>0</v>
      </c>
      <c r="CU416" s="313">
        <v>0</v>
      </c>
      <c r="CV416" s="313">
        <v>0</v>
      </c>
      <c r="CW416" s="313">
        <v>0</v>
      </c>
      <c r="CX416" s="313">
        <v>0</v>
      </c>
      <c r="CY416" s="313">
        <v>500000000</v>
      </c>
      <c r="CZ416" s="380">
        <v>0</v>
      </c>
      <c r="DA416" s="380">
        <v>0</v>
      </c>
      <c r="DB416" s="380">
        <v>0</v>
      </c>
      <c r="DC416" s="380">
        <v>0</v>
      </c>
      <c r="DD416" s="380">
        <v>0</v>
      </c>
      <c r="DE416" s="380">
        <v>0</v>
      </c>
      <c r="DF416" s="380">
        <v>0</v>
      </c>
      <c r="DG416" s="380">
        <v>0</v>
      </c>
      <c r="DH416" s="380">
        <v>0</v>
      </c>
      <c r="DI416" s="380">
        <v>0</v>
      </c>
      <c r="DJ416" s="380">
        <v>0</v>
      </c>
      <c r="DK416" s="702">
        <f t="shared" si="363"/>
        <v>5</v>
      </c>
      <c r="DL416" s="311">
        <f t="shared" si="342"/>
        <v>0.16500000000000001</v>
      </c>
      <c r="DM416" s="310">
        <f t="shared" si="343"/>
        <v>250</v>
      </c>
      <c r="DN416" s="356">
        <f t="shared" si="344"/>
        <v>100</v>
      </c>
      <c r="DO416" s="308">
        <f t="shared" si="345"/>
        <v>0.16500000000000001</v>
      </c>
      <c r="DP416" s="359">
        <f t="shared" si="349"/>
        <v>0.16500000000000001</v>
      </c>
      <c r="DQ416" s="306">
        <f t="shared" si="346"/>
        <v>0.16500000000000001</v>
      </c>
      <c r="DR416" s="379">
        <f t="shared" si="347"/>
        <v>1</v>
      </c>
      <c r="DS416" s="378">
        <f t="shared" si="348"/>
        <v>0</v>
      </c>
      <c r="DT416" s="173">
        <v>468</v>
      </c>
      <c r="DU416" s="174" t="s">
        <v>102</v>
      </c>
      <c r="DV416" s="173"/>
      <c r="DW416" s="174" t="s">
        <v>84</v>
      </c>
      <c r="DX416" s="173"/>
      <c r="DY416" s="173"/>
      <c r="DZ416" s="173"/>
      <c r="EA416" s="665"/>
      <c r="EB416" s="1254" t="s">
        <v>2205</v>
      </c>
      <c r="EC416" s="537">
        <v>1231000000</v>
      </c>
      <c r="EE416" s="734">
        <v>1</v>
      </c>
      <c r="EF416" s="706"/>
    </row>
    <row r="417" spans="4:136" s="302" customFormat="1" ht="51" hidden="1">
      <c r="D417" s="520">
        <v>414</v>
      </c>
      <c r="E417" s="534">
        <v>483</v>
      </c>
      <c r="F417" s="479" t="s">
        <v>45</v>
      </c>
      <c r="G417" s="479" t="s">
        <v>23</v>
      </c>
      <c r="H417" s="479" t="s">
        <v>2673</v>
      </c>
      <c r="I417" s="435" t="s">
        <v>1009</v>
      </c>
      <c r="J417" s="335" t="s">
        <v>1010</v>
      </c>
      <c r="K417" s="335" t="s">
        <v>1011</v>
      </c>
      <c r="L417" s="436" t="s">
        <v>1</v>
      </c>
      <c r="M417" s="334" t="s">
        <v>1771</v>
      </c>
      <c r="N417" s="337">
        <v>0</v>
      </c>
      <c r="O417" s="333">
        <f t="shared" si="350"/>
        <v>3</v>
      </c>
      <c r="P417" s="422">
        <v>3</v>
      </c>
      <c r="Q417" s="390">
        <v>0.25</v>
      </c>
      <c r="R417" s="342">
        <f t="shared" si="326"/>
        <v>0</v>
      </c>
      <c r="S417" s="417">
        <v>0</v>
      </c>
      <c r="T417" s="337">
        <f t="shared" si="351"/>
        <v>0</v>
      </c>
      <c r="U417" s="673">
        <v>0</v>
      </c>
      <c r="V417" s="388">
        <f t="shared" si="352"/>
        <v>0</v>
      </c>
      <c r="W417" s="356">
        <f t="shared" si="353"/>
        <v>0</v>
      </c>
      <c r="X417" s="356">
        <f t="shared" si="327"/>
        <v>0</v>
      </c>
      <c r="Y417" s="356">
        <f t="shared" si="364"/>
        <v>0</v>
      </c>
      <c r="Z417" s="356">
        <f t="shared" si="328"/>
        <v>0</v>
      </c>
      <c r="AA417" s="413">
        <v>0</v>
      </c>
      <c r="AB417" s="413">
        <v>0</v>
      </c>
      <c r="AC417" s="413">
        <v>0</v>
      </c>
      <c r="AD417" s="413">
        <v>0</v>
      </c>
      <c r="AE417" s="413">
        <v>0</v>
      </c>
      <c r="AF417" s="413">
        <v>0</v>
      </c>
      <c r="AG417" s="413">
        <v>0</v>
      </c>
      <c r="AH417" s="413">
        <v>0</v>
      </c>
      <c r="AI417" s="413">
        <v>0</v>
      </c>
      <c r="AJ417" s="413">
        <v>0</v>
      </c>
      <c r="AK417" s="413">
        <v>0</v>
      </c>
      <c r="AL417" s="413">
        <v>0</v>
      </c>
      <c r="AM417" s="413">
        <v>0</v>
      </c>
      <c r="AN417" s="413">
        <v>0</v>
      </c>
      <c r="AO417" s="413">
        <v>0</v>
      </c>
      <c r="AP417" s="413">
        <v>0</v>
      </c>
      <c r="AQ417" s="413">
        <v>0</v>
      </c>
      <c r="AR417" s="413">
        <v>0</v>
      </c>
      <c r="AS417" s="413">
        <v>0</v>
      </c>
      <c r="AT417" s="333">
        <f t="shared" si="329"/>
        <v>8.3333333333333329E-2</v>
      </c>
      <c r="AU417" s="334">
        <v>1</v>
      </c>
      <c r="AV417" s="387">
        <f t="shared" si="354"/>
        <v>0.33333333333333331</v>
      </c>
      <c r="AW417" s="677">
        <v>1</v>
      </c>
      <c r="AX417" s="366">
        <f t="shared" si="355"/>
        <v>1</v>
      </c>
      <c r="AY417" s="366">
        <f t="shared" si="356"/>
        <v>100</v>
      </c>
      <c r="AZ417" s="366">
        <f t="shared" si="330"/>
        <v>100</v>
      </c>
      <c r="BA417" s="354">
        <f t="shared" si="331"/>
        <v>8.3333333333333315E-2</v>
      </c>
      <c r="BB417" s="354">
        <f t="shared" si="332"/>
        <v>100</v>
      </c>
      <c r="BC417" s="353">
        <v>250000000</v>
      </c>
      <c r="BD417" s="353">
        <v>0</v>
      </c>
      <c r="BE417" s="353">
        <v>0</v>
      </c>
      <c r="BF417" s="353">
        <v>0</v>
      </c>
      <c r="BG417" s="353">
        <v>0</v>
      </c>
      <c r="BH417" s="353">
        <v>0</v>
      </c>
      <c r="BI417" s="353">
        <v>0</v>
      </c>
      <c r="BJ417" s="353">
        <v>250000000</v>
      </c>
      <c r="BK417" s="428">
        <v>135000000</v>
      </c>
      <c r="BL417" s="351">
        <v>135000000</v>
      </c>
      <c r="BM417" s="351">
        <v>0</v>
      </c>
      <c r="BN417" s="351">
        <v>0</v>
      </c>
      <c r="BO417" s="351">
        <v>0</v>
      </c>
      <c r="BP417" s="351">
        <v>0</v>
      </c>
      <c r="BQ417" s="351">
        <v>0</v>
      </c>
      <c r="BR417" s="351">
        <v>0</v>
      </c>
      <c r="BS417" s="351">
        <v>0</v>
      </c>
      <c r="BT417" s="351">
        <v>35000000</v>
      </c>
      <c r="BU417" s="351" t="s">
        <v>1853</v>
      </c>
      <c r="BV417" s="350">
        <f t="shared" si="333"/>
        <v>8.3333333333333329E-2</v>
      </c>
      <c r="BW417" s="350">
        <v>1</v>
      </c>
      <c r="BX417" s="385">
        <f t="shared" si="357"/>
        <v>0.33333333333333331</v>
      </c>
      <c r="BY417" s="400">
        <v>1</v>
      </c>
      <c r="BZ417" s="416">
        <v>0.40000000596046448</v>
      </c>
      <c r="CA417" s="691">
        <v>1</v>
      </c>
      <c r="CB417" s="324">
        <f t="shared" si="358"/>
        <v>1</v>
      </c>
      <c r="CC417" s="324">
        <f t="shared" si="359"/>
        <v>100</v>
      </c>
      <c r="CD417" s="384">
        <f t="shared" si="334"/>
        <v>100</v>
      </c>
      <c r="CE417" s="383">
        <f t="shared" si="335"/>
        <v>8.3333333333333315E-2</v>
      </c>
      <c r="CF417" s="367">
        <f t="shared" si="336"/>
        <v>100</v>
      </c>
      <c r="CG417" s="383">
        <f t="shared" si="337"/>
        <v>8.3333333333333315E-2</v>
      </c>
      <c r="CH417" s="320">
        <f t="shared" si="338"/>
        <v>8.3333333333333329E-2</v>
      </c>
      <c r="CI417" s="319">
        <v>1</v>
      </c>
      <c r="CJ417" s="318">
        <f t="shared" si="360"/>
        <v>0.33333333333333331</v>
      </c>
      <c r="CK417" s="1259">
        <v>1</v>
      </c>
      <c r="CL417" s="301">
        <f t="shared" si="320"/>
        <v>0</v>
      </c>
      <c r="CM417" s="381">
        <f t="shared" si="361"/>
        <v>1</v>
      </c>
      <c r="CN417" s="381">
        <f t="shared" si="362"/>
        <v>100</v>
      </c>
      <c r="CO417" s="316">
        <f t="shared" si="339"/>
        <v>100</v>
      </c>
      <c r="CP417" s="381">
        <f t="shared" si="340"/>
        <v>8.3333333333333315E-2</v>
      </c>
      <c r="CQ417" s="381">
        <f t="shared" si="341"/>
        <v>8.3333333333333315E-2</v>
      </c>
      <c r="CR417" s="313">
        <v>250000000</v>
      </c>
      <c r="CS417" s="313">
        <v>0</v>
      </c>
      <c r="CT417" s="313">
        <v>0</v>
      </c>
      <c r="CU417" s="313">
        <v>0</v>
      </c>
      <c r="CV417" s="313">
        <v>0</v>
      </c>
      <c r="CW417" s="313">
        <v>0</v>
      </c>
      <c r="CX417" s="313">
        <v>0</v>
      </c>
      <c r="CY417" s="313">
        <v>250000000</v>
      </c>
      <c r="CZ417" s="380">
        <v>0</v>
      </c>
      <c r="DA417" s="380">
        <v>0</v>
      </c>
      <c r="DB417" s="380">
        <v>0</v>
      </c>
      <c r="DC417" s="380">
        <v>0</v>
      </c>
      <c r="DD417" s="380">
        <v>0</v>
      </c>
      <c r="DE417" s="380">
        <v>0</v>
      </c>
      <c r="DF417" s="380">
        <v>0</v>
      </c>
      <c r="DG417" s="380">
        <v>0</v>
      </c>
      <c r="DH417" s="380">
        <v>0</v>
      </c>
      <c r="DI417" s="380">
        <v>0</v>
      </c>
      <c r="DJ417" s="380">
        <v>0</v>
      </c>
      <c r="DK417" s="702">
        <f t="shared" si="363"/>
        <v>3</v>
      </c>
      <c r="DL417" s="311">
        <f t="shared" si="342"/>
        <v>0.25</v>
      </c>
      <c r="DM417" s="310">
        <f t="shared" si="343"/>
        <v>100</v>
      </c>
      <c r="DN417" s="356">
        <f t="shared" si="344"/>
        <v>100</v>
      </c>
      <c r="DO417" s="308">
        <f t="shared" si="345"/>
        <v>0.25</v>
      </c>
      <c r="DP417" s="359">
        <f t="shared" si="349"/>
        <v>0.25</v>
      </c>
      <c r="DQ417" s="306">
        <f t="shared" si="346"/>
        <v>0.25</v>
      </c>
      <c r="DR417" s="379">
        <f t="shared" si="347"/>
        <v>1</v>
      </c>
      <c r="DS417" s="378">
        <f t="shared" si="348"/>
        <v>0</v>
      </c>
      <c r="DT417" s="173">
        <v>468</v>
      </c>
      <c r="DU417" s="174" t="s">
        <v>102</v>
      </c>
      <c r="DV417" s="173"/>
      <c r="DW417" s="174" t="s">
        <v>84</v>
      </c>
      <c r="DX417" s="173"/>
      <c r="DY417" s="173"/>
      <c r="DZ417" s="173"/>
      <c r="EA417" s="665"/>
      <c r="EB417" s="1254" t="s">
        <v>2206</v>
      </c>
      <c r="EC417" s="537">
        <v>1500000000</v>
      </c>
      <c r="EE417" s="734">
        <v>6</v>
      </c>
      <c r="EF417" s="706"/>
    </row>
    <row r="418" spans="4:136" s="302" customFormat="1" ht="51" hidden="1">
      <c r="D418" s="520">
        <v>415</v>
      </c>
      <c r="E418" s="534">
        <v>484</v>
      </c>
      <c r="F418" s="479" t="s">
        <v>45</v>
      </c>
      <c r="G418" s="479" t="s">
        <v>23</v>
      </c>
      <c r="H418" s="479" t="s">
        <v>2673</v>
      </c>
      <c r="I418" s="435" t="s">
        <v>1009</v>
      </c>
      <c r="J418" s="335" t="s">
        <v>1012</v>
      </c>
      <c r="K418" s="335" t="s">
        <v>1013</v>
      </c>
      <c r="L418" s="436" t="s">
        <v>1</v>
      </c>
      <c r="M418" s="334" t="s">
        <v>1771</v>
      </c>
      <c r="N418" s="337">
        <v>0</v>
      </c>
      <c r="O418" s="333">
        <f t="shared" si="350"/>
        <v>1</v>
      </c>
      <c r="P418" s="422">
        <v>1</v>
      </c>
      <c r="Q418" s="390">
        <v>0.25</v>
      </c>
      <c r="R418" s="342">
        <f t="shared" si="326"/>
        <v>0</v>
      </c>
      <c r="S418" s="417">
        <v>0</v>
      </c>
      <c r="T418" s="337">
        <f t="shared" si="351"/>
        <v>0</v>
      </c>
      <c r="U418" s="673">
        <v>0</v>
      </c>
      <c r="V418" s="388">
        <f t="shared" si="352"/>
        <v>0</v>
      </c>
      <c r="W418" s="356">
        <f t="shared" si="353"/>
        <v>0</v>
      </c>
      <c r="X418" s="356">
        <f t="shared" si="327"/>
        <v>0</v>
      </c>
      <c r="Y418" s="356">
        <f t="shared" si="364"/>
        <v>0</v>
      </c>
      <c r="Z418" s="356">
        <f t="shared" si="328"/>
        <v>0</v>
      </c>
      <c r="AA418" s="413">
        <v>0</v>
      </c>
      <c r="AB418" s="413">
        <v>0</v>
      </c>
      <c r="AC418" s="413">
        <v>0</v>
      </c>
      <c r="AD418" s="413">
        <v>0</v>
      </c>
      <c r="AE418" s="413">
        <v>0</v>
      </c>
      <c r="AF418" s="413">
        <v>0</v>
      </c>
      <c r="AG418" s="413">
        <v>0</v>
      </c>
      <c r="AH418" s="413">
        <v>0</v>
      </c>
      <c r="AI418" s="413">
        <v>0</v>
      </c>
      <c r="AJ418" s="413">
        <v>0</v>
      </c>
      <c r="AK418" s="413">
        <v>0</v>
      </c>
      <c r="AL418" s="413">
        <v>0</v>
      </c>
      <c r="AM418" s="413">
        <v>0</v>
      </c>
      <c r="AN418" s="413">
        <v>0</v>
      </c>
      <c r="AO418" s="413">
        <v>0</v>
      </c>
      <c r="AP418" s="413">
        <v>0</v>
      </c>
      <c r="AQ418" s="413">
        <v>0</v>
      </c>
      <c r="AR418" s="413">
        <v>0</v>
      </c>
      <c r="AS418" s="413">
        <v>0</v>
      </c>
      <c r="AT418" s="333">
        <f t="shared" si="329"/>
        <v>0.2</v>
      </c>
      <c r="AU418" s="334">
        <v>0.8</v>
      </c>
      <c r="AV418" s="387">
        <f t="shared" si="354"/>
        <v>0.8</v>
      </c>
      <c r="AW418" s="677">
        <v>0.8</v>
      </c>
      <c r="AX418" s="366">
        <f t="shared" si="355"/>
        <v>0.8</v>
      </c>
      <c r="AY418" s="366">
        <f t="shared" si="356"/>
        <v>100</v>
      </c>
      <c r="AZ418" s="366">
        <f t="shared" si="330"/>
        <v>100</v>
      </c>
      <c r="BA418" s="354">
        <f t="shared" si="331"/>
        <v>0.2</v>
      </c>
      <c r="BB418" s="354">
        <f t="shared" si="332"/>
        <v>100</v>
      </c>
      <c r="BC418" s="353">
        <v>151000000</v>
      </c>
      <c r="BD418" s="353">
        <v>0</v>
      </c>
      <c r="BE418" s="353">
        <v>26000000</v>
      </c>
      <c r="BF418" s="353">
        <v>0</v>
      </c>
      <c r="BG418" s="353">
        <v>0</v>
      </c>
      <c r="BH418" s="353">
        <v>0</v>
      </c>
      <c r="BI418" s="353">
        <v>0</v>
      </c>
      <c r="BJ418" s="353">
        <v>125000000</v>
      </c>
      <c r="BK418" s="428">
        <v>29250000</v>
      </c>
      <c r="BL418" s="351">
        <v>29250000</v>
      </c>
      <c r="BM418" s="351">
        <v>0</v>
      </c>
      <c r="BN418" s="351">
        <v>0</v>
      </c>
      <c r="BO418" s="351">
        <v>0</v>
      </c>
      <c r="BP418" s="351">
        <v>0</v>
      </c>
      <c r="BQ418" s="351">
        <v>0</v>
      </c>
      <c r="BR418" s="351">
        <v>0</v>
      </c>
      <c r="BS418" s="351">
        <v>0</v>
      </c>
      <c r="BT418" s="351">
        <v>0</v>
      </c>
      <c r="BU418" s="351">
        <v>0</v>
      </c>
      <c r="BV418" s="350">
        <f t="shared" si="333"/>
        <v>2.5000000000000001E-2</v>
      </c>
      <c r="BW418" s="350">
        <v>0.1</v>
      </c>
      <c r="BX418" s="385">
        <f t="shared" si="357"/>
        <v>0.1</v>
      </c>
      <c r="BY418" s="369">
        <v>2.9999999329447746E-2</v>
      </c>
      <c r="BZ418" s="391">
        <v>3.9999999105930328E-2</v>
      </c>
      <c r="CA418" s="689">
        <v>0.10000000149011612</v>
      </c>
      <c r="CB418" s="324">
        <f t="shared" si="358"/>
        <v>0.10000000149011612</v>
      </c>
      <c r="CC418" s="324">
        <f t="shared" si="359"/>
        <v>100.00000149011612</v>
      </c>
      <c r="CD418" s="384">
        <f t="shared" si="334"/>
        <v>100</v>
      </c>
      <c r="CE418" s="383">
        <f t="shared" si="335"/>
        <v>2.5000000000000001E-2</v>
      </c>
      <c r="CF418" s="367">
        <f t="shared" si="336"/>
        <v>100</v>
      </c>
      <c r="CG418" s="383">
        <f t="shared" si="337"/>
        <v>2.500000037252903E-2</v>
      </c>
      <c r="CH418" s="320">
        <f t="shared" si="338"/>
        <v>2.5000000000000001E-2</v>
      </c>
      <c r="CI418" s="319">
        <v>0.1</v>
      </c>
      <c r="CJ418" s="318">
        <f t="shared" si="360"/>
        <v>0.1</v>
      </c>
      <c r="CK418" s="1260">
        <v>0.1</v>
      </c>
      <c r="CL418" s="301">
        <f t="shared" si="320"/>
        <v>0</v>
      </c>
      <c r="CM418" s="381">
        <f t="shared" si="361"/>
        <v>0.1</v>
      </c>
      <c r="CN418" s="381">
        <f t="shared" si="362"/>
        <v>100</v>
      </c>
      <c r="CO418" s="316">
        <f t="shared" si="339"/>
        <v>100</v>
      </c>
      <c r="CP418" s="381">
        <f t="shared" si="340"/>
        <v>2.5000000000000001E-2</v>
      </c>
      <c r="CQ418" s="381">
        <f t="shared" si="341"/>
        <v>2.5000000000000001E-2</v>
      </c>
      <c r="CR418" s="313">
        <v>185000000</v>
      </c>
      <c r="CS418" s="313">
        <v>60000000</v>
      </c>
      <c r="CT418" s="313">
        <v>0</v>
      </c>
      <c r="CU418" s="313">
        <v>0</v>
      </c>
      <c r="CV418" s="313">
        <v>0</v>
      </c>
      <c r="CW418" s="313">
        <v>0</v>
      </c>
      <c r="CX418" s="313">
        <v>0</v>
      </c>
      <c r="CY418" s="313">
        <v>125000000</v>
      </c>
      <c r="CZ418" s="380">
        <v>0</v>
      </c>
      <c r="DA418" s="380">
        <v>0</v>
      </c>
      <c r="DB418" s="380">
        <v>0</v>
      </c>
      <c r="DC418" s="380">
        <v>0</v>
      </c>
      <c r="DD418" s="380">
        <v>0</v>
      </c>
      <c r="DE418" s="380">
        <v>0</v>
      </c>
      <c r="DF418" s="380">
        <v>0</v>
      </c>
      <c r="DG418" s="380">
        <v>0</v>
      </c>
      <c r="DH418" s="380">
        <v>0</v>
      </c>
      <c r="DI418" s="380">
        <v>0</v>
      </c>
      <c r="DJ418" s="380">
        <v>0</v>
      </c>
      <c r="DK418" s="702">
        <f t="shared" si="363"/>
        <v>1.0000000014901163</v>
      </c>
      <c r="DL418" s="311">
        <f t="shared" si="342"/>
        <v>0.25</v>
      </c>
      <c r="DM418" s="310">
        <f t="shared" si="343"/>
        <v>100.00000014901163</v>
      </c>
      <c r="DN418" s="356">
        <f t="shared" si="344"/>
        <v>100</v>
      </c>
      <c r="DO418" s="308">
        <f t="shared" si="345"/>
        <v>0.25</v>
      </c>
      <c r="DP418" s="359">
        <f t="shared" si="349"/>
        <v>0.25</v>
      </c>
      <c r="DQ418" s="306">
        <f t="shared" si="346"/>
        <v>0.25</v>
      </c>
      <c r="DR418" s="379">
        <f t="shared" si="347"/>
        <v>1</v>
      </c>
      <c r="DS418" s="378">
        <f t="shared" si="348"/>
        <v>0</v>
      </c>
      <c r="DT418" s="173">
        <v>468</v>
      </c>
      <c r="DU418" s="174" t="s">
        <v>102</v>
      </c>
      <c r="DV418" s="173"/>
      <c r="DW418" s="174" t="s">
        <v>84</v>
      </c>
      <c r="DX418" s="173"/>
      <c r="DY418" s="173"/>
      <c r="DZ418" s="173"/>
      <c r="EA418" s="665"/>
      <c r="EB418" s="1254" t="s">
        <v>2127</v>
      </c>
      <c r="EC418" s="537">
        <v>800000000</v>
      </c>
      <c r="EE418" s="733">
        <v>0</v>
      </c>
      <c r="EF418" s="706"/>
    </row>
    <row r="419" spans="4:136" s="302" customFormat="1" ht="76.5" hidden="1">
      <c r="D419" s="520">
        <v>416</v>
      </c>
      <c r="E419" s="534">
        <v>485</v>
      </c>
      <c r="F419" s="479" t="s">
        <v>45</v>
      </c>
      <c r="G419" s="479" t="s">
        <v>23</v>
      </c>
      <c r="H419" s="479" t="s">
        <v>2673</v>
      </c>
      <c r="I419" s="435" t="s">
        <v>1009</v>
      </c>
      <c r="J419" s="335" t="s">
        <v>1014</v>
      </c>
      <c r="K419" s="335" t="s">
        <v>1015</v>
      </c>
      <c r="L419" s="436" t="s">
        <v>1852</v>
      </c>
      <c r="M419" s="334" t="s">
        <v>1771</v>
      </c>
      <c r="N419" s="337">
        <v>0</v>
      </c>
      <c r="O419" s="333">
        <f t="shared" si="350"/>
        <v>2</v>
      </c>
      <c r="P419" s="422">
        <v>2</v>
      </c>
      <c r="Q419" s="390">
        <v>0.25</v>
      </c>
      <c r="R419" s="342">
        <f t="shared" si="326"/>
        <v>0</v>
      </c>
      <c r="S419" s="417">
        <v>0</v>
      </c>
      <c r="T419" s="337">
        <f t="shared" si="351"/>
        <v>0</v>
      </c>
      <c r="U419" s="673">
        <v>0</v>
      </c>
      <c r="V419" s="388">
        <f t="shared" si="352"/>
        <v>0</v>
      </c>
      <c r="W419" s="356">
        <f t="shared" si="353"/>
        <v>0</v>
      </c>
      <c r="X419" s="356">
        <f t="shared" si="327"/>
        <v>0</v>
      </c>
      <c r="Y419" s="356">
        <f t="shared" si="364"/>
        <v>0</v>
      </c>
      <c r="Z419" s="356">
        <f t="shared" si="328"/>
        <v>0</v>
      </c>
      <c r="AA419" s="413">
        <v>0</v>
      </c>
      <c r="AB419" s="413">
        <v>0</v>
      </c>
      <c r="AC419" s="413">
        <v>0</v>
      </c>
      <c r="AD419" s="413">
        <v>0</v>
      </c>
      <c r="AE419" s="413">
        <v>0</v>
      </c>
      <c r="AF419" s="413">
        <v>0</v>
      </c>
      <c r="AG419" s="413">
        <v>0</v>
      </c>
      <c r="AH419" s="413">
        <v>0</v>
      </c>
      <c r="AI419" s="413">
        <v>0</v>
      </c>
      <c r="AJ419" s="413">
        <v>0</v>
      </c>
      <c r="AK419" s="413">
        <v>0</v>
      </c>
      <c r="AL419" s="413">
        <v>0</v>
      </c>
      <c r="AM419" s="413">
        <v>0</v>
      </c>
      <c r="AN419" s="413">
        <v>0</v>
      </c>
      <c r="AO419" s="413">
        <v>0</v>
      </c>
      <c r="AP419" s="413">
        <v>0</v>
      </c>
      <c r="AQ419" s="413">
        <v>0</v>
      </c>
      <c r="AR419" s="413">
        <v>0</v>
      </c>
      <c r="AS419" s="413">
        <v>0</v>
      </c>
      <c r="AT419" s="333">
        <f t="shared" si="329"/>
        <v>0</v>
      </c>
      <c r="AU419" s="334">
        <v>0</v>
      </c>
      <c r="AV419" s="387">
        <f t="shared" si="354"/>
        <v>0</v>
      </c>
      <c r="AW419" s="677">
        <v>1</v>
      </c>
      <c r="AX419" s="366">
        <f t="shared" si="355"/>
        <v>1</v>
      </c>
      <c r="AY419" s="366">
        <f t="shared" si="356"/>
        <v>0</v>
      </c>
      <c r="AZ419" s="366">
        <f t="shared" si="330"/>
        <v>0</v>
      </c>
      <c r="BA419" s="354">
        <f t="shared" si="331"/>
        <v>0</v>
      </c>
      <c r="BB419" s="354">
        <f t="shared" si="332"/>
        <v>100</v>
      </c>
      <c r="BC419" s="353">
        <v>651000000</v>
      </c>
      <c r="BD419" s="353">
        <v>0</v>
      </c>
      <c r="BE419" s="353">
        <v>26000000</v>
      </c>
      <c r="BF419" s="353">
        <v>0</v>
      </c>
      <c r="BG419" s="353">
        <v>0</v>
      </c>
      <c r="BH419" s="353">
        <v>0</v>
      </c>
      <c r="BI419" s="353">
        <v>0</v>
      </c>
      <c r="BJ419" s="353">
        <v>625000000</v>
      </c>
      <c r="BK419" s="428">
        <v>86000000</v>
      </c>
      <c r="BL419" s="351">
        <v>86000000</v>
      </c>
      <c r="BM419" s="351">
        <v>0</v>
      </c>
      <c r="BN419" s="351">
        <v>0</v>
      </c>
      <c r="BO419" s="351">
        <v>0</v>
      </c>
      <c r="BP419" s="351">
        <v>0</v>
      </c>
      <c r="BQ419" s="351">
        <v>0</v>
      </c>
      <c r="BR419" s="351">
        <v>0</v>
      </c>
      <c r="BS419" s="351">
        <v>0</v>
      </c>
      <c r="BT419" s="351">
        <v>16000000</v>
      </c>
      <c r="BU419" s="351" t="s">
        <v>1851</v>
      </c>
      <c r="BV419" s="350">
        <f t="shared" si="333"/>
        <v>0.125</v>
      </c>
      <c r="BW419" s="350">
        <v>1</v>
      </c>
      <c r="BX419" s="385">
        <f t="shared" si="357"/>
        <v>0.5</v>
      </c>
      <c r="BY419" s="399">
        <v>1</v>
      </c>
      <c r="BZ419" s="398">
        <v>1</v>
      </c>
      <c r="CA419" s="690">
        <v>1</v>
      </c>
      <c r="CB419" s="324">
        <f t="shared" si="358"/>
        <v>1</v>
      </c>
      <c r="CC419" s="324">
        <f t="shared" si="359"/>
        <v>100</v>
      </c>
      <c r="CD419" s="384">
        <f t="shared" si="334"/>
        <v>100</v>
      </c>
      <c r="CE419" s="383">
        <f t="shared" si="335"/>
        <v>0.125</v>
      </c>
      <c r="CF419" s="367">
        <f t="shared" si="336"/>
        <v>100</v>
      </c>
      <c r="CG419" s="383">
        <f t="shared" si="337"/>
        <v>0.125</v>
      </c>
      <c r="CH419" s="320">
        <f t="shared" si="338"/>
        <v>0.125</v>
      </c>
      <c r="CI419" s="319">
        <v>1</v>
      </c>
      <c r="CJ419" s="318">
        <f t="shared" si="360"/>
        <v>0.5</v>
      </c>
      <c r="CK419" s="1258">
        <v>1</v>
      </c>
      <c r="CL419" s="301">
        <f t="shared" si="320"/>
        <v>0</v>
      </c>
      <c r="CM419" s="381">
        <f t="shared" si="361"/>
        <v>1</v>
      </c>
      <c r="CN419" s="381">
        <f t="shared" si="362"/>
        <v>100</v>
      </c>
      <c r="CO419" s="316">
        <f t="shared" si="339"/>
        <v>100</v>
      </c>
      <c r="CP419" s="381">
        <f t="shared" si="340"/>
        <v>0.125</v>
      </c>
      <c r="CQ419" s="381">
        <f t="shared" si="341"/>
        <v>0.125</v>
      </c>
      <c r="CR419" s="313">
        <v>685000000</v>
      </c>
      <c r="CS419" s="313">
        <v>60000000</v>
      </c>
      <c r="CT419" s="313">
        <v>0</v>
      </c>
      <c r="CU419" s="313">
        <v>0</v>
      </c>
      <c r="CV419" s="313">
        <v>0</v>
      </c>
      <c r="CW419" s="313">
        <v>0</v>
      </c>
      <c r="CX419" s="313">
        <v>0</v>
      </c>
      <c r="CY419" s="313">
        <v>625000000</v>
      </c>
      <c r="CZ419" s="380">
        <v>0</v>
      </c>
      <c r="DA419" s="380">
        <v>0</v>
      </c>
      <c r="DB419" s="380">
        <v>0</v>
      </c>
      <c r="DC419" s="380">
        <v>0</v>
      </c>
      <c r="DD419" s="380">
        <v>0</v>
      </c>
      <c r="DE419" s="380">
        <v>0</v>
      </c>
      <c r="DF419" s="380">
        <v>0</v>
      </c>
      <c r="DG419" s="380">
        <v>0</v>
      </c>
      <c r="DH419" s="380">
        <v>0</v>
      </c>
      <c r="DI419" s="380">
        <v>0</v>
      </c>
      <c r="DJ419" s="380">
        <v>0</v>
      </c>
      <c r="DK419" s="702">
        <f t="shared" si="363"/>
        <v>3</v>
      </c>
      <c r="DL419" s="311">
        <f t="shared" si="342"/>
        <v>0.25</v>
      </c>
      <c r="DM419" s="310">
        <f t="shared" si="343"/>
        <v>150</v>
      </c>
      <c r="DN419" s="356">
        <f t="shared" si="344"/>
        <v>100</v>
      </c>
      <c r="DO419" s="308">
        <f t="shared" si="345"/>
        <v>0.25</v>
      </c>
      <c r="DP419" s="359">
        <f t="shared" si="349"/>
        <v>0.25</v>
      </c>
      <c r="DQ419" s="306">
        <f t="shared" si="346"/>
        <v>0.25</v>
      </c>
      <c r="DR419" s="379">
        <f t="shared" si="347"/>
        <v>1</v>
      </c>
      <c r="DS419" s="378">
        <f t="shared" si="348"/>
        <v>0</v>
      </c>
      <c r="DT419" s="173">
        <v>468</v>
      </c>
      <c r="DU419" s="174" t="s">
        <v>102</v>
      </c>
      <c r="DV419" s="173"/>
      <c r="DW419" s="174" t="s">
        <v>84</v>
      </c>
      <c r="DX419" s="173"/>
      <c r="DY419" s="173"/>
      <c r="DZ419" s="173"/>
      <c r="EA419" s="665"/>
      <c r="EB419" s="1254" t="s">
        <v>2207</v>
      </c>
      <c r="EC419" s="537">
        <v>0</v>
      </c>
      <c r="EE419" s="733">
        <v>0</v>
      </c>
      <c r="EF419" s="706"/>
    </row>
    <row r="420" spans="4:136" s="302" customFormat="1" ht="38.25" hidden="1">
      <c r="D420" s="520">
        <v>417</v>
      </c>
      <c r="E420" s="534">
        <v>487</v>
      </c>
      <c r="F420" s="479" t="s">
        <v>45</v>
      </c>
      <c r="G420" s="479" t="s">
        <v>81</v>
      </c>
      <c r="H420" s="479" t="s">
        <v>2674</v>
      </c>
      <c r="I420" s="435" t="s">
        <v>1016</v>
      </c>
      <c r="J420" s="335" t="s">
        <v>1017</v>
      </c>
      <c r="K420" s="335" t="s">
        <v>1018</v>
      </c>
      <c r="L420" s="436" t="s">
        <v>1501</v>
      </c>
      <c r="M420" s="334" t="s">
        <v>1771</v>
      </c>
      <c r="N420" s="337">
        <v>0</v>
      </c>
      <c r="O420" s="333">
        <f t="shared" si="350"/>
        <v>40</v>
      </c>
      <c r="P420" s="422">
        <v>40</v>
      </c>
      <c r="Q420" s="390">
        <v>0.16500000000000001</v>
      </c>
      <c r="R420" s="342">
        <f t="shared" si="326"/>
        <v>0</v>
      </c>
      <c r="S420" s="417">
        <v>0</v>
      </c>
      <c r="T420" s="337">
        <f t="shared" si="351"/>
        <v>0</v>
      </c>
      <c r="U420" s="673">
        <v>0</v>
      </c>
      <c r="V420" s="388">
        <f t="shared" si="352"/>
        <v>0</v>
      </c>
      <c r="W420" s="356">
        <f t="shared" si="353"/>
        <v>0</v>
      </c>
      <c r="X420" s="356">
        <f t="shared" si="327"/>
        <v>0</v>
      </c>
      <c r="Y420" s="356">
        <f t="shared" si="364"/>
        <v>0</v>
      </c>
      <c r="Z420" s="356">
        <f t="shared" si="328"/>
        <v>0</v>
      </c>
      <c r="AA420" s="413">
        <v>0</v>
      </c>
      <c r="AB420" s="413">
        <v>0</v>
      </c>
      <c r="AC420" s="413">
        <v>0</v>
      </c>
      <c r="AD420" s="413">
        <v>0</v>
      </c>
      <c r="AE420" s="413">
        <v>0</v>
      </c>
      <c r="AF420" s="413">
        <v>0</v>
      </c>
      <c r="AG420" s="413">
        <v>0</v>
      </c>
      <c r="AH420" s="413">
        <v>0</v>
      </c>
      <c r="AI420" s="413">
        <v>0</v>
      </c>
      <c r="AJ420" s="413">
        <v>0</v>
      </c>
      <c r="AK420" s="413">
        <v>0</v>
      </c>
      <c r="AL420" s="413">
        <v>0</v>
      </c>
      <c r="AM420" s="413">
        <v>0</v>
      </c>
      <c r="AN420" s="413">
        <v>0</v>
      </c>
      <c r="AO420" s="413">
        <v>0</v>
      </c>
      <c r="AP420" s="413">
        <v>0</v>
      </c>
      <c r="AQ420" s="413">
        <v>0</v>
      </c>
      <c r="AR420" s="413">
        <v>0</v>
      </c>
      <c r="AS420" s="413">
        <v>0</v>
      </c>
      <c r="AT420" s="333">
        <f t="shared" si="329"/>
        <v>4.1250000000000002E-2</v>
      </c>
      <c r="AU420" s="334">
        <v>10</v>
      </c>
      <c r="AV420" s="387">
        <f t="shared" si="354"/>
        <v>0.25</v>
      </c>
      <c r="AW420" s="677">
        <v>0</v>
      </c>
      <c r="AX420" s="366">
        <f t="shared" si="355"/>
        <v>0</v>
      </c>
      <c r="AY420" s="366">
        <f t="shared" si="356"/>
        <v>0</v>
      </c>
      <c r="AZ420" s="366">
        <f t="shared" si="330"/>
        <v>0</v>
      </c>
      <c r="BA420" s="354">
        <f t="shared" si="331"/>
        <v>0</v>
      </c>
      <c r="BB420" s="354">
        <f t="shared" si="332"/>
        <v>0</v>
      </c>
      <c r="BC420" s="353">
        <v>20000000</v>
      </c>
      <c r="BD420" s="353">
        <v>0</v>
      </c>
      <c r="BE420" s="353">
        <v>10000000</v>
      </c>
      <c r="BF420" s="353">
        <v>0</v>
      </c>
      <c r="BG420" s="353">
        <v>0</v>
      </c>
      <c r="BH420" s="353">
        <v>0</v>
      </c>
      <c r="BI420" s="353">
        <v>0</v>
      </c>
      <c r="BJ420" s="353">
        <v>10000000</v>
      </c>
      <c r="BK420" s="428">
        <v>0</v>
      </c>
      <c r="BL420" s="351">
        <v>0</v>
      </c>
      <c r="BM420" s="351">
        <v>0</v>
      </c>
      <c r="BN420" s="351">
        <v>0</v>
      </c>
      <c r="BO420" s="351">
        <v>0</v>
      </c>
      <c r="BP420" s="351">
        <v>0</v>
      </c>
      <c r="BQ420" s="351">
        <v>0</v>
      </c>
      <c r="BR420" s="351">
        <v>0</v>
      </c>
      <c r="BS420" s="351">
        <v>0</v>
      </c>
      <c r="BT420" s="351">
        <v>0</v>
      </c>
      <c r="BU420" s="351">
        <v>0</v>
      </c>
      <c r="BV420" s="350">
        <f t="shared" si="333"/>
        <v>6.1874999999999999E-2</v>
      </c>
      <c r="BW420" s="350">
        <v>15</v>
      </c>
      <c r="BX420" s="385">
        <f t="shared" si="357"/>
        <v>0.375</v>
      </c>
      <c r="BY420" s="399">
        <v>0</v>
      </c>
      <c r="BZ420" s="398">
        <v>0</v>
      </c>
      <c r="CA420" s="690">
        <v>0</v>
      </c>
      <c r="CB420" s="324">
        <f t="shared" si="358"/>
        <v>0</v>
      </c>
      <c r="CC420" s="324">
        <f t="shared" si="359"/>
        <v>0</v>
      </c>
      <c r="CD420" s="384">
        <f t="shared" si="334"/>
        <v>0</v>
      </c>
      <c r="CE420" s="383">
        <f t="shared" si="335"/>
        <v>0</v>
      </c>
      <c r="CF420" s="367">
        <f t="shared" si="336"/>
        <v>0</v>
      </c>
      <c r="CG420" s="383">
        <f t="shared" si="337"/>
        <v>0</v>
      </c>
      <c r="CH420" s="320">
        <f t="shared" si="338"/>
        <v>6.1874999999999999E-2</v>
      </c>
      <c r="CI420" s="319">
        <v>15</v>
      </c>
      <c r="CJ420" s="318">
        <f t="shared" si="360"/>
        <v>0.375</v>
      </c>
      <c r="CK420" s="1259">
        <v>37</v>
      </c>
      <c r="CL420" s="301">
        <f t="shared" si="320"/>
        <v>-22</v>
      </c>
      <c r="CM420" s="381">
        <f t="shared" si="361"/>
        <v>37</v>
      </c>
      <c r="CN420" s="381">
        <f t="shared" si="362"/>
        <v>246.66666666666666</v>
      </c>
      <c r="CO420" s="316">
        <f t="shared" si="339"/>
        <v>100</v>
      </c>
      <c r="CP420" s="381">
        <f t="shared" si="340"/>
        <v>6.1874999999999999E-2</v>
      </c>
      <c r="CQ420" s="381">
        <f t="shared" si="341"/>
        <v>0.15262499999999998</v>
      </c>
      <c r="CR420" s="313">
        <v>25000000</v>
      </c>
      <c r="CS420" s="313">
        <v>10000000</v>
      </c>
      <c r="CT420" s="313">
        <v>0</v>
      </c>
      <c r="CU420" s="313">
        <v>0</v>
      </c>
      <c r="CV420" s="313">
        <v>0</v>
      </c>
      <c r="CW420" s="313">
        <v>0</v>
      </c>
      <c r="CX420" s="313">
        <v>0</v>
      </c>
      <c r="CY420" s="313">
        <v>15000000</v>
      </c>
      <c r="CZ420" s="380">
        <v>0</v>
      </c>
      <c r="DA420" s="380">
        <v>0</v>
      </c>
      <c r="DB420" s="380">
        <v>0</v>
      </c>
      <c r="DC420" s="380">
        <v>0</v>
      </c>
      <c r="DD420" s="380">
        <v>0</v>
      </c>
      <c r="DE420" s="380">
        <v>0</v>
      </c>
      <c r="DF420" s="380">
        <v>0</v>
      </c>
      <c r="DG420" s="380">
        <v>0</v>
      </c>
      <c r="DH420" s="380">
        <v>0</v>
      </c>
      <c r="DI420" s="380">
        <v>0</v>
      </c>
      <c r="DJ420" s="380">
        <v>0</v>
      </c>
      <c r="DK420" s="702">
        <f t="shared" si="363"/>
        <v>37</v>
      </c>
      <c r="DL420" s="311">
        <f t="shared" si="342"/>
        <v>0.16499999999999998</v>
      </c>
      <c r="DM420" s="310">
        <f t="shared" si="343"/>
        <v>92.5</v>
      </c>
      <c r="DN420" s="356">
        <f t="shared" si="344"/>
        <v>92.5</v>
      </c>
      <c r="DO420" s="308">
        <f t="shared" si="345"/>
        <v>0.15262500000000001</v>
      </c>
      <c r="DP420" s="359">
        <f t="shared" si="349"/>
        <v>0.15262500000000001</v>
      </c>
      <c r="DQ420" s="306">
        <f t="shared" si="346"/>
        <v>0.15262500000000001</v>
      </c>
      <c r="DR420" s="379">
        <f t="shared" si="347"/>
        <v>1</v>
      </c>
      <c r="DS420" s="378">
        <f t="shared" si="348"/>
        <v>0</v>
      </c>
      <c r="DT420" s="173">
        <v>486</v>
      </c>
      <c r="DU420" s="174" t="s">
        <v>101</v>
      </c>
      <c r="DV420" s="173"/>
      <c r="DW420" s="174" t="s">
        <v>84</v>
      </c>
      <c r="DX420" s="173"/>
      <c r="DY420" s="173"/>
      <c r="DZ420" s="173"/>
      <c r="EA420" s="665"/>
      <c r="EB420" s="1254" t="s">
        <v>2467</v>
      </c>
      <c r="EC420" s="537">
        <v>1600000000</v>
      </c>
      <c r="EE420" s="734">
        <v>0</v>
      </c>
      <c r="EF420" s="706"/>
    </row>
    <row r="421" spans="4:136" s="302" customFormat="1" ht="51" hidden="1">
      <c r="D421" s="520">
        <v>418</v>
      </c>
      <c r="E421" s="534">
        <v>488</v>
      </c>
      <c r="F421" s="479" t="s">
        <v>45</v>
      </c>
      <c r="G421" s="479" t="s">
        <v>81</v>
      </c>
      <c r="H421" s="479" t="s">
        <v>2674</v>
      </c>
      <c r="I421" s="435" t="s">
        <v>1016</v>
      </c>
      <c r="J421" s="335" t="s">
        <v>1019</v>
      </c>
      <c r="K421" s="335" t="s">
        <v>1020</v>
      </c>
      <c r="L421" s="436" t="s">
        <v>1501</v>
      </c>
      <c r="M421" s="337" t="s">
        <v>1771</v>
      </c>
      <c r="N421" s="337">
        <v>2000</v>
      </c>
      <c r="O421" s="333">
        <f t="shared" si="350"/>
        <v>3500</v>
      </c>
      <c r="P421" s="422">
        <v>1500</v>
      </c>
      <c r="Q421" s="390">
        <v>0.16500000000000001</v>
      </c>
      <c r="R421" s="342">
        <f t="shared" si="326"/>
        <v>0</v>
      </c>
      <c r="S421" s="417">
        <v>0</v>
      </c>
      <c r="T421" s="337">
        <f t="shared" si="351"/>
        <v>0</v>
      </c>
      <c r="U421" s="673">
        <v>0</v>
      </c>
      <c r="V421" s="388">
        <f t="shared" si="352"/>
        <v>0</v>
      </c>
      <c r="W421" s="356">
        <f t="shared" si="353"/>
        <v>0</v>
      </c>
      <c r="X421" s="356">
        <f t="shared" si="327"/>
        <v>0</v>
      </c>
      <c r="Y421" s="356">
        <f t="shared" si="364"/>
        <v>0</v>
      </c>
      <c r="Z421" s="356">
        <f t="shared" si="328"/>
        <v>0</v>
      </c>
      <c r="AA421" s="413">
        <v>0</v>
      </c>
      <c r="AB421" s="413">
        <v>0</v>
      </c>
      <c r="AC421" s="413">
        <v>0</v>
      </c>
      <c r="AD421" s="413">
        <v>0</v>
      </c>
      <c r="AE421" s="413">
        <v>0</v>
      </c>
      <c r="AF421" s="413">
        <v>0</v>
      </c>
      <c r="AG421" s="413">
        <v>0</v>
      </c>
      <c r="AH421" s="413">
        <v>0</v>
      </c>
      <c r="AI421" s="413">
        <v>0</v>
      </c>
      <c r="AJ421" s="413">
        <v>0</v>
      </c>
      <c r="AK421" s="413">
        <v>0</v>
      </c>
      <c r="AL421" s="413">
        <v>0</v>
      </c>
      <c r="AM421" s="413">
        <v>0</v>
      </c>
      <c r="AN421" s="413">
        <v>0</v>
      </c>
      <c r="AO421" s="413">
        <v>0</v>
      </c>
      <c r="AP421" s="413">
        <v>0</v>
      </c>
      <c r="AQ421" s="413">
        <v>0</v>
      </c>
      <c r="AR421" s="413">
        <v>0</v>
      </c>
      <c r="AS421" s="413">
        <v>0</v>
      </c>
      <c r="AT421" s="333">
        <f t="shared" si="329"/>
        <v>3.3000000000000002E-2</v>
      </c>
      <c r="AU421" s="334">
        <v>300</v>
      </c>
      <c r="AV421" s="387">
        <f t="shared" si="354"/>
        <v>0.2</v>
      </c>
      <c r="AW421" s="677">
        <v>502</v>
      </c>
      <c r="AX421" s="366">
        <f t="shared" si="355"/>
        <v>502</v>
      </c>
      <c r="AY421" s="366">
        <f t="shared" si="356"/>
        <v>167.33333333333334</v>
      </c>
      <c r="AZ421" s="366">
        <f t="shared" si="330"/>
        <v>100</v>
      </c>
      <c r="BA421" s="354">
        <f t="shared" si="331"/>
        <v>3.3000000000000002E-2</v>
      </c>
      <c r="BB421" s="354">
        <f t="shared" si="332"/>
        <v>100</v>
      </c>
      <c r="BC421" s="353">
        <v>189000000</v>
      </c>
      <c r="BD421" s="353">
        <v>0</v>
      </c>
      <c r="BE421" s="353">
        <v>114000000</v>
      </c>
      <c r="BF421" s="353">
        <v>0</v>
      </c>
      <c r="BG421" s="353">
        <v>0</v>
      </c>
      <c r="BH421" s="353">
        <v>0</v>
      </c>
      <c r="BI421" s="353">
        <v>0</v>
      </c>
      <c r="BJ421" s="353">
        <v>75000000</v>
      </c>
      <c r="BK421" s="428">
        <v>0</v>
      </c>
      <c r="BL421" s="351">
        <v>0</v>
      </c>
      <c r="BM421" s="351">
        <v>0</v>
      </c>
      <c r="BN421" s="351">
        <v>0</v>
      </c>
      <c r="BO421" s="351">
        <v>0</v>
      </c>
      <c r="BP421" s="351">
        <v>0</v>
      </c>
      <c r="BQ421" s="351">
        <v>0</v>
      </c>
      <c r="BR421" s="351">
        <v>0</v>
      </c>
      <c r="BS421" s="351">
        <v>0</v>
      </c>
      <c r="BT421" s="351">
        <v>0</v>
      </c>
      <c r="BU421" s="351">
        <v>0</v>
      </c>
      <c r="BV421" s="350">
        <f t="shared" si="333"/>
        <v>6.6000000000000003E-2</v>
      </c>
      <c r="BW421" s="350">
        <v>600</v>
      </c>
      <c r="BX421" s="385">
        <f t="shared" si="357"/>
        <v>0.4</v>
      </c>
      <c r="BY421" s="369">
        <v>1</v>
      </c>
      <c r="BZ421" s="391">
        <v>0</v>
      </c>
      <c r="CA421" s="689">
        <v>446</v>
      </c>
      <c r="CB421" s="324">
        <f t="shared" si="358"/>
        <v>446</v>
      </c>
      <c r="CC421" s="324">
        <f t="shared" si="359"/>
        <v>74.333333333333329</v>
      </c>
      <c r="CD421" s="384">
        <f t="shared" si="334"/>
        <v>74.333333333333329</v>
      </c>
      <c r="CE421" s="383">
        <f t="shared" si="335"/>
        <v>4.9059999999999999E-2</v>
      </c>
      <c r="CF421" s="367">
        <f t="shared" si="336"/>
        <v>74.333333333333329</v>
      </c>
      <c r="CG421" s="383">
        <f t="shared" si="337"/>
        <v>4.9059999999999999E-2</v>
      </c>
      <c r="CH421" s="320">
        <f t="shared" si="338"/>
        <v>6.6000000000000003E-2</v>
      </c>
      <c r="CI421" s="319">
        <v>600</v>
      </c>
      <c r="CJ421" s="318">
        <f t="shared" si="360"/>
        <v>0.4</v>
      </c>
      <c r="CK421" s="1259">
        <v>552</v>
      </c>
      <c r="CL421" s="301">
        <f t="shared" si="320"/>
        <v>48</v>
      </c>
      <c r="CM421" s="381">
        <f t="shared" si="361"/>
        <v>552</v>
      </c>
      <c r="CN421" s="381">
        <f t="shared" si="362"/>
        <v>92</v>
      </c>
      <c r="CO421" s="316">
        <f t="shared" si="339"/>
        <v>92</v>
      </c>
      <c r="CP421" s="381">
        <f t="shared" si="340"/>
        <v>6.0720000000000003E-2</v>
      </c>
      <c r="CQ421" s="381">
        <f t="shared" si="341"/>
        <v>6.0720000000000003E-2</v>
      </c>
      <c r="CR421" s="313">
        <v>275000000</v>
      </c>
      <c r="CS421" s="313">
        <v>200000000</v>
      </c>
      <c r="CT421" s="313">
        <v>0</v>
      </c>
      <c r="CU421" s="313">
        <v>0</v>
      </c>
      <c r="CV421" s="313">
        <v>0</v>
      </c>
      <c r="CW421" s="313">
        <v>0</v>
      </c>
      <c r="CX421" s="313">
        <v>0</v>
      </c>
      <c r="CY421" s="313">
        <v>75000000</v>
      </c>
      <c r="CZ421" s="380">
        <v>0</v>
      </c>
      <c r="DA421" s="380">
        <v>0</v>
      </c>
      <c r="DB421" s="380">
        <v>0</v>
      </c>
      <c r="DC421" s="380">
        <v>0</v>
      </c>
      <c r="DD421" s="380">
        <v>0</v>
      </c>
      <c r="DE421" s="380">
        <v>0</v>
      </c>
      <c r="DF421" s="380">
        <v>0</v>
      </c>
      <c r="DG421" s="380">
        <v>0</v>
      </c>
      <c r="DH421" s="380">
        <v>0</v>
      </c>
      <c r="DI421" s="380">
        <v>0</v>
      </c>
      <c r="DJ421" s="380">
        <v>0</v>
      </c>
      <c r="DK421" s="702">
        <f t="shared" si="363"/>
        <v>1500</v>
      </c>
      <c r="DL421" s="311">
        <f t="shared" si="342"/>
        <v>0.16500000000000001</v>
      </c>
      <c r="DM421" s="310">
        <f t="shared" si="343"/>
        <v>100</v>
      </c>
      <c r="DN421" s="356">
        <f t="shared" si="344"/>
        <v>100</v>
      </c>
      <c r="DO421" s="308">
        <f t="shared" si="345"/>
        <v>0.16500000000000001</v>
      </c>
      <c r="DP421" s="359">
        <f t="shared" si="349"/>
        <v>0.16500000000000001</v>
      </c>
      <c r="DQ421" s="306">
        <f t="shared" si="346"/>
        <v>0.16500000000000001</v>
      </c>
      <c r="DR421" s="379">
        <f t="shared" si="347"/>
        <v>1</v>
      </c>
      <c r="DS421" s="378">
        <f t="shared" si="348"/>
        <v>0</v>
      </c>
      <c r="DT421" s="173">
        <v>486</v>
      </c>
      <c r="DU421" s="174" t="s">
        <v>101</v>
      </c>
      <c r="DV421" s="173"/>
      <c r="DW421" s="174" t="s">
        <v>84</v>
      </c>
      <c r="DX421" s="173"/>
      <c r="DY421" s="173"/>
      <c r="DZ421" s="173"/>
      <c r="EA421" s="665"/>
      <c r="EB421" s="1254" t="s">
        <v>2468</v>
      </c>
      <c r="EC421" s="537">
        <v>912000000</v>
      </c>
      <c r="EE421" s="733">
        <v>30000</v>
      </c>
      <c r="EF421" s="706"/>
    </row>
    <row r="422" spans="4:136" s="302" customFormat="1" ht="63.75" hidden="1">
      <c r="D422" s="520">
        <v>419</v>
      </c>
      <c r="E422" s="534">
        <v>489</v>
      </c>
      <c r="F422" s="479" t="s">
        <v>45</v>
      </c>
      <c r="G422" s="479" t="s">
        <v>81</v>
      </c>
      <c r="H422" s="479" t="s">
        <v>2674</v>
      </c>
      <c r="I422" s="435" t="s">
        <v>1016</v>
      </c>
      <c r="J422" s="335" t="s">
        <v>1021</v>
      </c>
      <c r="K422" s="335" t="s">
        <v>1022</v>
      </c>
      <c r="L422" s="436" t="s">
        <v>1850</v>
      </c>
      <c r="M422" s="334" t="s">
        <v>1771</v>
      </c>
      <c r="N422" s="337">
        <v>1</v>
      </c>
      <c r="O422" s="333">
        <f t="shared" si="350"/>
        <v>3</v>
      </c>
      <c r="P422" s="422">
        <v>2</v>
      </c>
      <c r="Q422" s="390">
        <v>0.25</v>
      </c>
      <c r="R422" s="342">
        <f t="shared" si="326"/>
        <v>0</v>
      </c>
      <c r="S422" s="417">
        <v>0</v>
      </c>
      <c r="T422" s="337">
        <f t="shared" si="351"/>
        <v>0</v>
      </c>
      <c r="U422" s="673">
        <v>0</v>
      </c>
      <c r="V422" s="388">
        <f t="shared" si="352"/>
        <v>0</v>
      </c>
      <c r="W422" s="356">
        <f t="shared" si="353"/>
        <v>0</v>
      </c>
      <c r="X422" s="356">
        <f t="shared" si="327"/>
        <v>0</v>
      </c>
      <c r="Y422" s="356">
        <f t="shared" si="364"/>
        <v>0</v>
      </c>
      <c r="Z422" s="356">
        <f t="shared" si="328"/>
        <v>0</v>
      </c>
      <c r="AA422" s="413">
        <v>0</v>
      </c>
      <c r="AB422" s="413">
        <v>0</v>
      </c>
      <c r="AC422" s="413">
        <v>0</v>
      </c>
      <c r="AD422" s="413">
        <v>0</v>
      </c>
      <c r="AE422" s="413">
        <v>0</v>
      </c>
      <c r="AF422" s="413">
        <v>0</v>
      </c>
      <c r="AG422" s="413">
        <v>0</v>
      </c>
      <c r="AH422" s="413">
        <v>0</v>
      </c>
      <c r="AI422" s="413">
        <v>0</v>
      </c>
      <c r="AJ422" s="413">
        <v>0</v>
      </c>
      <c r="AK422" s="413">
        <v>0</v>
      </c>
      <c r="AL422" s="413">
        <v>0</v>
      </c>
      <c r="AM422" s="413">
        <v>0</v>
      </c>
      <c r="AN422" s="413">
        <v>0</v>
      </c>
      <c r="AO422" s="413">
        <v>0</v>
      </c>
      <c r="AP422" s="413">
        <v>0</v>
      </c>
      <c r="AQ422" s="413">
        <v>0</v>
      </c>
      <c r="AR422" s="413">
        <v>0</v>
      </c>
      <c r="AS422" s="413">
        <v>0</v>
      </c>
      <c r="AT422" s="333">
        <f t="shared" si="329"/>
        <v>0.125</v>
      </c>
      <c r="AU422" s="334">
        <v>1</v>
      </c>
      <c r="AV422" s="387">
        <f t="shared" si="354"/>
        <v>0.5</v>
      </c>
      <c r="AW422" s="677">
        <v>1</v>
      </c>
      <c r="AX422" s="366">
        <f t="shared" si="355"/>
        <v>1</v>
      </c>
      <c r="AY422" s="366">
        <f t="shared" si="356"/>
        <v>100</v>
      </c>
      <c r="AZ422" s="366">
        <f t="shared" si="330"/>
        <v>100</v>
      </c>
      <c r="BA422" s="354">
        <f t="shared" si="331"/>
        <v>0.125</v>
      </c>
      <c r="BB422" s="354">
        <f t="shared" si="332"/>
        <v>100</v>
      </c>
      <c r="BC422" s="353">
        <v>30000000</v>
      </c>
      <c r="BD422" s="353">
        <v>0</v>
      </c>
      <c r="BE422" s="353">
        <v>30000000</v>
      </c>
      <c r="BF422" s="353">
        <v>0</v>
      </c>
      <c r="BG422" s="353">
        <v>0</v>
      </c>
      <c r="BH422" s="353">
        <v>0</v>
      </c>
      <c r="BI422" s="353">
        <v>0</v>
      </c>
      <c r="BJ422" s="353">
        <v>0</v>
      </c>
      <c r="BK422" s="428">
        <v>0</v>
      </c>
      <c r="BL422" s="351">
        <v>0</v>
      </c>
      <c r="BM422" s="351">
        <v>0</v>
      </c>
      <c r="BN422" s="351">
        <v>0</v>
      </c>
      <c r="BO422" s="351">
        <v>0</v>
      </c>
      <c r="BP422" s="351">
        <v>0</v>
      </c>
      <c r="BQ422" s="351">
        <v>0</v>
      </c>
      <c r="BR422" s="351">
        <v>0</v>
      </c>
      <c r="BS422" s="351">
        <v>0</v>
      </c>
      <c r="BT422" s="351">
        <v>0</v>
      </c>
      <c r="BU422" s="351">
        <v>0</v>
      </c>
      <c r="BV422" s="350">
        <f t="shared" si="333"/>
        <v>0.125</v>
      </c>
      <c r="BW422" s="350">
        <v>1</v>
      </c>
      <c r="BX422" s="385">
        <f t="shared" si="357"/>
        <v>0.5</v>
      </c>
      <c r="BY422" s="399">
        <v>0</v>
      </c>
      <c r="BZ422" s="398">
        <v>0</v>
      </c>
      <c r="CA422" s="690">
        <v>1</v>
      </c>
      <c r="CB422" s="324">
        <f t="shared" si="358"/>
        <v>1</v>
      </c>
      <c r="CC422" s="324">
        <f t="shared" si="359"/>
        <v>100</v>
      </c>
      <c r="CD422" s="384">
        <f t="shared" si="334"/>
        <v>100</v>
      </c>
      <c r="CE422" s="383">
        <f t="shared" si="335"/>
        <v>0.125</v>
      </c>
      <c r="CF422" s="367">
        <f t="shared" si="336"/>
        <v>100</v>
      </c>
      <c r="CG422" s="383">
        <f t="shared" si="337"/>
        <v>0.125</v>
      </c>
      <c r="CH422" s="320">
        <f t="shared" si="338"/>
        <v>0</v>
      </c>
      <c r="CI422" s="319">
        <v>0</v>
      </c>
      <c r="CJ422" s="318">
        <f t="shared" si="360"/>
        <v>0</v>
      </c>
      <c r="CK422" s="1259">
        <v>1</v>
      </c>
      <c r="CL422" s="301">
        <f t="shared" si="320"/>
        <v>-1</v>
      </c>
      <c r="CM422" s="381">
        <f t="shared" si="361"/>
        <v>1</v>
      </c>
      <c r="CN422" s="381">
        <f t="shared" si="362"/>
        <v>0</v>
      </c>
      <c r="CO422" s="316">
        <f t="shared" si="339"/>
        <v>0</v>
      </c>
      <c r="CP422" s="381">
        <f t="shared" si="340"/>
        <v>0</v>
      </c>
      <c r="CQ422" s="381">
        <f t="shared" si="341"/>
        <v>0</v>
      </c>
      <c r="CR422" s="313">
        <v>0</v>
      </c>
      <c r="CS422" s="313">
        <v>0</v>
      </c>
      <c r="CT422" s="313">
        <v>0</v>
      </c>
      <c r="CU422" s="313">
        <v>0</v>
      </c>
      <c r="CV422" s="313">
        <v>0</v>
      </c>
      <c r="CW422" s="313">
        <v>0</v>
      </c>
      <c r="CX422" s="313">
        <v>0</v>
      </c>
      <c r="CY422" s="313">
        <v>0</v>
      </c>
      <c r="CZ422" s="380">
        <v>0</v>
      </c>
      <c r="DA422" s="380">
        <v>0</v>
      </c>
      <c r="DB422" s="380">
        <v>0</v>
      </c>
      <c r="DC422" s="380">
        <v>0</v>
      </c>
      <c r="DD422" s="380">
        <v>0</v>
      </c>
      <c r="DE422" s="380">
        <v>0</v>
      </c>
      <c r="DF422" s="380">
        <v>0</v>
      </c>
      <c r="DG422" s="380">
        <v>0</v>
      </c>
      <c r="DH422" s="380">
        <v>0</v>
      </c>
      <c r="DI422" s="380">
        <v>0</v>
      </c>
      <c r="DJ422" s="380">
        <v>0</v>
      </c>
      <c r="DK422" s="702">
        <f t="shared" si="363"/>
        <v>3</v>
      </c>
      <c r="DL422" s="311">
        <f t="shared" si="342"/>
        <v>0.25</v>
      </c>
      <c r="DM422" s="310">
        <f t="shared" si="343"/>
        <v>150</v>
      </c>
      <c r="DN422" s="356">
        <f t="shared" si="344"/>
        <v>100</v>
      </c>
      <c r="DO422" s="308">
        <f t="shared" si="345"/>
        <v>0.25</v>
      </c>
      <c r="DP422" s="359">
        <f t="shared" si="349"/>
        <v>0.25</v>
      </c>
      <c r="DQ422" s="306">
        <f t="shared" si="346"/>
        <v>0.25</v>
      </c>
      <c r="DR422" s="379">
        <f t="shared" si="347"/>
        <v>1</v>
      </c>
      <c r="DS422" s="378">
        <f t="shared" si="348"/>
        <v>0</v>
      </c>
      <c r="DT422" s="173">
        <v>486</v>
      </c>
      <c r="DU422" s="174" t="s">
        <v>101</v>
      </c>
      <c r="DV422" s="173"/>
      <c r="DW422" s="174" t="s">
        <v>84</v>
      </c>
      <c r="DX422" s="173"/>
      <c r="DY422" s="173"/>
      <c r="DZ422" s="173"/>
      <c r="EA422" s="665"/>
      <c r="EB422" s="1254" t="s">
        <v>2469</v>
      </c>
      <c r="EC422" s="537">
        <v>775000000</v>
      </c>
      <c r="EE422" s="734">
        <v>40</v>
      </c>
      <c r="EF422" s="706"/>
    </row>
    <row r="423" spans="4:136" s="302" customFormat="1" ht="153" hidden="1">
      <c r="D423" s="520">
        <v>420</v>
      </c>
      <c r="E423" s="534">
        <v>490</v>
      </c>
      <c r="F423" s="479" t="s">
        <v>45</v>
      </c>
      <c r="G423" s="479" t="s">
        <v>81</v>
      </c>
      <c r="H423" s="479" t="s">
        <v>2674</v>
      </c>
      <c r="I423" s="435" t="s">
        <v>1016</v>
      </c>
      <c r="J423" s="335" t="s">
        <v>1023</v>
      </c>
      <c r="K423" s="335" t="s">
        <v>1024</v>
      </c>
      <c r="L423" s="436" t="s">
        <v>1849</v>
      </c>
      <c r="M423" s="334" t="s">
        <v>1771</v>
      </c>
      <c r="N423" s="337">
        <v>0</v>
      </c>
      <c r="O423" s="333">
        <f t="shared" si="350"/>
        <v>13</v>
      </c>
      <c r="P423" s="422">
        <v>13</v>
      </c>
      <c r="Q423" s="390">
        <v>0.16500000000000001</v>
      </c>
      <c r="R423" s="342">
        <f t="shared" si="326"/>
        <v>5.0769230769230775E-2</v>
      </c>
      <c r="S423" s="417">
        <v>4</v>
      </c>
      <c r="T423" s="337">
        <f t="shared" si="351"/>
        <v>0.30769230769230771</v>
      </c>
      <c r="U423" s="673">
        <v>5</v>
      </c>
      <c r="V423" s="388">
        <f t="shared" si="352"/>
        <v>5</v>
      </c>
      <c r="W423" s="356">
        <f t="shared" si="353"/>
        <v>125</v>
      </c>
      <c r="X423" s="356">
        <f t="shared" si="327"/>
        <v>100</v>
      </c>
      <c r="Y423" s="356">
        <f t="shared" si="364"/>
        <v>5.0769230769230775E-2</v>
      </c>
      <c r="Z423" s="356">
        <f t="shared" si="328"/>
        <v>100</v>
      </c>
      <c r="AA423" s="413">
        <v>60000000</v>
      </c>
      <c r="AB423" s="413">
        <v>60000000</v>
      </c>
      <c r="AC423" s="413">
        <v>0</v>
      </c>
      <c r="AD423" s="413">
        <v>0</v>
      </c>
      <c r="AE423" s="413">
        <v>0</v>
      </c>
      <c r="AF423" s="413">
        <v>0</v>
      </c>
      <c r="AG423" s="413">
        <v>0</v>
      </c>
      <c r="AH423" s="413">
        <v>0</v>
      </c>
      <c r="AI423" s="413">
        <v>135000000</v>
      </c>
      <c r="AJ423" s="413">
        <v>135000000</v>
      </c>
      <c r="AK423" s="413">
        <v>0</v>
      </c>
      <c r="AL423" s="413">
        <v>0</v>
      </c>
      <c r="AM423" s="413">
        <v>0</v>
      </c>
      <c r="AN423" s="413">
        <v>0</v>
      </c>
      <c r="AO423" s="413">
        <v>0</v>
      </c>
      <c r="AP423" s="413">
        <v>0</v>
      </c>
      <c r="AQ423" s="413">
        <v>0</v>
      </c>
      <c r="AR423" s="413">
        <v>140000000</v>
      </c>
      <c r="AS423" s="413" t="s">
        <v>1847</v>
      </c>
      <c r="AT423" s="333">
        <f t="shared" si="329"/>
        <v>2.5384615384615387E-2</v>
      </c>
      <c r="AU423" s="334">
        <v>2</v>
      </c>
      <c r="AV423" s="387">
        <f t="shared" si="354"/>
        <v>0.15384615384615385</v>
      </c>
      <c r="AW423" s="677">
        <v>4</v>
      </c>
      <c r="AX423" s="366">
        <f t="shared" si="355"/>
        <v>4</v>
      </c>
      <c r="AY423" s="366">
        <f t="shared" si="356"/>
        <v>200</v>
      </c>
      <c r="AZ423" s="366">
        <f t="shared" si="330"/>
        <v>100</v>
      </c>
      <c r="BA423" s="354">
        <f t="shared" si="331"/>
        <v>2.5384615384615387E-2</v>
      </c>
      <c r="BB423" s="354">
        <f t="shared" si="332"/>
        <v>100</v>
      </c>
      <c r="BC423" s="353">
        <v>300000000</v>
      </c>
      <c r="BD423" s="353">
        <v>0</v>
      </c>
      <c r="BE423" s="353">
        <v>50000000</v>
      </c>
      <c r="BF423" s="353">
        <v>0</v>
      </c>
      <c r="BG423" s="353">
        <v>0</v>
      </c>
      <c r="BH423" s="353">
        <v>0</v>
      </c>
      <c r="BI423" s="353">
        <v>0</v>
      </c>
      <c r="BJ423" s="353">
        <v>250000000</v>
      </c>
      <c r="BK423" s="428">
        <v>104724830</v>
      </c>
      <c r="BL423" s="351">
        <v>104724830</v>
      </c>
      <c r="BM423" s="351">
        <v>0</v>
      </c>
      <c r="BN423" s="351">
        <v>0</v>
      </c>
      <c r="BO423" s="351">
        <v>0</v>
      </c>
      <c r="BP423" s="351">
        <v>0</v>
      </c>
      <c r="BQ423" s="351">
        <v>0</v>
      </c>
      <c r="BR423" s="351">
        <v>0</v>
      </c>
      <c r="BS423" s="351">
        <v>0</v>
      </c>
      <c r="BT423" s="351">
        <v>0</v>
      </c>
      <c r="BU423" s="351">
        <v>0</v>
      </c>
      <c r="BV423" s="350">
        <f t="shared" si="333"/>
        <v>3.8076923076923078E-2</v>
      </c>
      <c r="BW423" s="350">
        <v>3</v>
      </c>
      <c r="BX423" s="385">
        <f t="shared" si="357"/>
        <v>0.23076923076923078</v>
      </c>
      <c r="BY423" s="399">
        <v>0</v>
      </c>
      <c r="BZ423" s="398">
        <v>0</v>
      </c>
      <c r="CA423" s="690">
        <v>6</v>
      </c>
      <c r="CB423" s="324">
        <f t="shared" si="358"/>
        <v>6</v>
      </c>
      <c r="CC423" s="324">
        <f t="shared" si="359"/>
        <v>200</v>
      </c>
      <c r="CD423" s="384">
        <f t="shared" si="334"/>
        <v>100</v>
      </c>
      <c r="CE423" s="383">
        <f t="shared" si="335"/>
        <v>3.8076923076923078E-2</v>
      </c>
      <c r="CF423" s="367">
        <f t="shared" si="336"/>
        <v>100</v>
      </c>
      <c r="CG423" s="383">
        <f t="shared" si="337"/>
        <v>7.6153846153846155E-2</v>
      </c>
      <c r="CH423" s="320">
        <f t="shared" si="338"/>
        <v>5.0769230769230775E-2</v>
      </c>
      <c r="CI423" s="319">
        <v>4</v>
      </c>
      <c r="CJ423" s="318">
        <f t="shared" si="360"/>
        <v>0.30769230769230771</v>
      </c>
      <c r="CK423" s="1259">
        <v>2</v>
      </c>
      <c r="CL423" s="301">
        <f t="shared" si="320"/>
        <v>2</v>
      </c>
      <c r="CM423" s="381">
        <f t="shared" si="361"/>
        <v>2</v>
      </c>
      <c r="CN423" s="381">
        <f t="shared" si="362"/>
        <v>50</v>
      </c>
      <c r="CO423" s="316">
        <f t="shared" si="339"/>
        <v>50</v>
      </c>
      <c r="CP423" s="381">
        <f t="shared" si="340"/>
        <v>2.5384615384615387E-2</v>
      </c>
      <c r="CQ423" s="381">
        <f t="shared" si="341"/>
        <v>2.5384615384615387E-2</v>
      </c>
      <c r="CR423" s="313">
        <v>0</v>
      </c>
      <c r="CS423" s="313">
        <v>0</v>
      </c>
      <c r="CT423" s="313">
        <v>0</v>
      </c>
      <c r="CU423" s="313">
        <v>0</v>
      </c>
      <c r="CV423" s="313">
        <v>0</v>
      </c>
      <c r="CW423" s="313">
        <v>0</v>
      </c>
      <c r="CX423" s="313">
        <v>0</v>
      </c>
      <c r="CY423" s="313">
        <v>0</v>
      </c>
      <c r="CZ423" s="380">
        <v>0</v>
      </c>
      <c r="DA423" s="380">
        <v>0</v>
      </c>
      <c r="DB423" s="380">
        <v>0</v>
      </c>
      <c r="DC423" s="380">
        <v>0</v>
      </c>
      <c r="DD423" s="380">
        <v>0</v>
      </c>
      <c r="DE423" s="380">
        <v>0</v>
      </c>
      <c r="DF423" s="380">
        <v>0</v>
      </c>
      <c r="DG423" s="380">
        <v>0</v>
      </c>
      <c r="DH423" s="380">
        <v>0</v>
      </c>
      <c r="DI423" s="380">
        <v>0</v>
      </c>
      <c r="DJ423" s="380">
        <v>0</v>
      </c>
      <c r="DK423" s="702">
        <f t="shared" si="363"/>
        <v>17</v>
      </c>
      <c r="DL423" s="311">
        <f t="shared" si="342"/>
        <v>0.16500000000000001</v>
      </c>
      <c r="DM423" s="310">
        <f t="shared" si="343"/>
        <v>130.76923076923077</v>
      </c>
      <c r="DN423" s="356">
        <f t="shared" si="344"/>
        <v>100</v>
      </c>
      <c r="DO423" s="308">
        <f t="shared" si="345"/>
        <v>0.16500000000000001</v>
      </c>
      <c r="DP423" s="359">
        <f t="shared" si="349"/>
        <v>0.16500000000000001</v>
      </c>
      <c r="DQ423" s="306">
        <f t="shared" si="346"/>
        <v>0.16500000000000001</v>
      </c>
      <c r="DR423" s="379">
        <f t="shared" si="347"/>
        <v>1</v>
      </c>
      <c r="DS423" s="378">
        <f t="shared" si="348"/>
        <v>0</v>
      </c>
      <c r="DT423" s="173">
        <v>486</v>
      </c>
      <c r="DU423" s="174" t="s">
        <v>101</v>
      </c>
      <c r="DV423" s="173"/>
      <c r="DW423" s="174" t="s">
        <v>84</v>
      </c>
      <c r="DX423" s="173"/>
      <c r="DY423" s="173"/>
      <c r="DZ423" s="173"/>
      <c r="EA423" s="665"/>
      <c r="EB423" s="1254" t="s">
        <v>2618</v>
      </c>
      <c r="EC423" s="537">
        <v>276000000</v>
      </c>
      <c r="EE423" s="734">
        <v>100</v>
      </c>
      <c r="EF423" s="706"/>
    </row>
    <row r="424" spans="4:136" s="302" customFormat="1" ht="306" hidden="1">
      <c r="D424" s="520">
        <v>421</v>
      </c>
      <c r="E424" s="534">
        <v>491</v>
      </c>
      <c r="F424" s="479" t="s">
        <v>45</v>
      </c>
      <c r="G424" s="479" t="s">
        <v>81</v>
      </c>
      <c r="H424" s="479" t="s">
        <v>2674</v>
      </c>
      <c r="I424" s="435" t="s">
        <v>1016</v>
      </c>
      <c r="J424" s="335" t="s">
        <v>1025</v>
      </c>
      <c r="K424" s="335" t="s">
        <v>1026</v>
      </c>
      <c r="L424" s="436" t="s">
        <v>1448</v>
      </c>
      <c r="M424" s="334" t="s">
        <v>1771</v>
      </c>
      <c r="N424" s="337">
        <v>0</v>
      </c>
      <c r="O424" s="333">
        <f t="shared" si="350"/>
        <v>4</v>
      </c>
      <c r="P424" s="422">
        <v>4</v>
      </c>
      <c r="Q424" s="390">
        <v>0.25</v>
      </c>
      <c r="R424" s="342">
        <f t="shared" si="326"/>
        <v>0</v>
      </c>
      <c r="S424" s="417">
        <v>0</v>
      </c>
      <c r="T424" s="337">
        <f t="shared" si="351"/>
        <v>0</v>
      </c>
      <c r="U424" s="673">
        <v>2</v>
      </c>
      <c r="V424" s="388">
        <f t="shared" si="352"/>
        <v>2</v>
      </c>
      <c r="W424" s="356">
        <f t="shared" si="353"/>
        <v>0</v>
      </c>
      <c r="X424" s="356">
        <f t="shared" si="327"/>
        <v>0</v>
      </c>
      <c r="Y424" s="356">
        <f t="shared" si="364"/>
        <v>0</v>
      </c>
      <c r="Z424" s="356">
        <f t="shared" si="328"/>
        <v>100</v>
      </c>
      <c r="AA424" s="413">
        <v>20000000</v>
      </c>
      <c r="AB424" s="413">
        <v>20000000</v>
      </c>
      <c r="AC424" s="413">
        <v>0</v>
      </c>
      <c r="AD424" s="413">
        <v>0</v>
      </c>
      <c r="AE424" s="413">
        <v>0</v>
      </c>
      <c r="AF424" s="413">
        <v>0</v>
      </c>
      <c r="AG424" s="413">
        <v>0</v>
      </c>
      <c r="AH424" s="413">
        <v>0</v>
      </c>
      <c r="AI424" s="413">
        <v>232000000</v>
      </c>
      <c r="AJ424" s="413">
        <v>162000000</v>
      </c>
      <c r="AK424" s="413">
        <v>0</v>
      </c>
      <c r="AL424" s="413">
        <v>0</v>
      </c>
      <c r="AM424" s="413">
        <v>0</v>
      </c>
      <c r="AN424" s="413">
        <v>0</v>
      </c>
      <c r="AO424" s="413">
        <v>0</v>
      </c>
      <c r="AP424" s="413">
        <v>70000000</v>
      </c>
      <c r="AQ424" s="413">
        <v>0</v>
      </c>
      <c r="AR424" s="413">
        <v>1020000000</v>
      </c>
      <c r="AS424" s="413" t="s">
        <v>1848</v>
      </c>
      <c r="AT424" s="333">
        <f t="shared" si="329"/>
        <v>6.25E-2</v>
      </c>
      <c r="AU424" s="334">
        <v>1</v>
      </c>
      <c r="AV424" s="387">
        <f t="shared" si="354"/>
        <v>0.25</v>
      </c>
      <c r="AW424" s="683">
        <v>1</v>
      </c>
      <c r="AX424" s="366">
        <f t="shared" si="355"/>
        <v>1</v>
      </c>
      <c r="AY424" s="366">
        <f t="shared" si="356"/>
        <v>100</v>
      </c>
      <c r="AZ424" s="366">
        <f t="shared" si="330"/>
        <v>100</v>
      </c>
      <c r="BA424" s="354">
        <f t="shared" si="331"/>
        <v>6.25E-2</v>
      </c>
      <c r="BB424" s="354">
        <f t="shared" si="332"/>
        <v>100</v>
      </c>
      <c r="BC424" s="353">
        <v>1500000000</v>
      </c>
      <c r="BD424" s="353">
        <v>0</v>
      </c>
      <c r="BE424" s="353">
        <v>500000000</v>
      </c>
      <c r="BF424" s="353">
        <v>0</v>
      </c>
      <c r="BG424" s="353">
        <v>0</v>
      </c>
      <c r="BH424" s="353">
        <v>0</v>
      </c>
      <c r="BI424" s="353">
        <v>0</v>
      </c>
      <c r="BJ424" s="353">
        <v>1000000000</v>
      </c>
      <c r="BK424" s="428">
        <v>30750000</v>
      </c>
      <c r="BL424" s="351">
        <v>30750000</v>
      </c>
      <c r="BM424" s="351">
        <v>0</v>
      </c>
      <c r="BN424" s="351">
        <v>0</v>
      </c>
      <c r="BO424" s="351">
        <v>0</v>
      </c>
      <c r="BP424" s="351">
        <v>0</v>
      </c>
      <c r="BQ424" s="351">
        <v>0</v>
      </c>
      <c r="BR424" s="351">
        <v>0</v>
      </c>
      <c r="BS424" s="351">
        <v>0</v>
      </c>
      <c r="BT424" s="351">
        <v>0</v>
      </c>
      <c r="BU424" s="351">
        <v>0</v>
      </c>
      <c r="BV424" s="350">
        <f t="shared" si="333"/>
        <v>0.125</v>
      </c>
      <c r="BW424" s="350">
        <v>2</v>
      </c>
      <c r="BX424" s="385">
        <f t="shared" si="357"/>
        <v>0.5</v>
      </c>
      <c r="BY424" s="369">
        <v>1</v>
      </c>
      <c r="BZ424" s="391">
        <v>0</v>
      </c>
      <c r="CA424" s="689">
        <v>2</v>
      </c>
      <c r="CB424" s="324">
        <f t="shared" si="358"/>
        <v>2</v>
      </c>
      <c r="CC424" s="324">
        <f t="shared" si="359"/>
        <v>100</v>
      </c>
      <c r="CD424" s="384">
        <f t="shared" si="334"/>
        <v>100</v>
      </c>
      <c r="CE424" s="383">
        <f t="shared" si="335"/>
        <v>0.125</v>
      </c>
      <c r="CF424" s="367">
        <f t="shared" si="336"/>
        <v>100</v>
      </c>
      <c r="CG424" s="383">
        <f t="shared" si="337"/>
        <v>0.125</v>
      </c>
      <c r="CH424" s="320">
        <f t="shared" si="338"/>
        <v>6.25E-2</v>
      </c>
      <c r="CI424" s="319">
        <v>1</v>
      </c>
      <c r="CJ424" s="318">
        <f t="shared" si="360"/>
        <v>0.25</v>
      </c>
      <c r="CK424" s="1259">
        <v>4</v>
      </c>
      <c r="CL424" s="301">
        <f t="shared" si="320"/>
        <v>-3</v>
      </c>
      <c r="CM424" s="381">
        <f t="shared" si="361"/>
        <v>4</v>
      </c>
      <c r="CN424" s="381">
        <f t="shared" si="362"/>
        <v>400</v>
      </c>
      <c r="CO424" s="316">
        <f t="shared" si="339"/>
        <v>100</v>
      </c>
      <c r="CP424" s="381">
        <f t="shared" si="340"/>
        <v>6.25E-2</v>
      </c>
      <c r="CQ424" s="381">
        <f t="shared" si="341"/>
        <v>0.25</v>
      </c>
      <c r="CR424" s="313">
        <v>1700000000</v>
      </c>
      <c r="CS424" s="313">
        <v>700000000</v>
      </c>
      <c r="CT424" s="313">
        <v>0</v>
      </c>
      <c r="CU424" s="313">
        <v>0</v>
      </c>
      <c r="CV424" s="313">
        <v>0</v>
      </c>
      <c r="CW424" s="313">
        <v>0</v>
      </c>
      <c r="CX424" s="313">
        <v>0</v>
      </c>
      <c r="CY424" s="313">
        <v>1000000000</v>
      </c>
      <c r="CZ424" s="380">
        <v>0</v>
      </c>
      <c r="DA424" s="380">
        <v>0</v>
      </c>
      <c r="DB424" s="380">
        <v>0</v>
      </c>
      <c r="DC424" s="380">
        <v>0</v>
      </c>
      <c r="DD424" s="380">
        <v>0</v>
      </c>
      <c r="DE424" s="380">
        <v>0</v>
      </c>
      <c r="DF424" s="380">
        <v>0</v>
      </c>
      <c r="DG424" s="380">
        <v>0</v>
      </c>
      <c r="DH424" s="380">
        <v>0</v>
      </c>
      <c r="DI424" s="380">
        <v>0</v>
      </c>
      <c r="DJ424" s="380">
        <v>0</v>
      </c>
      <c r="DK424" s="702">
        <f t="shared" si="363"/>
        <v>9</v>
      </c>
      <c r="DL424" s="311">
        <f t="shared" si="342"/>
        <v>0.25</v>
      </c>
      <c r="DM424" s="310">
        <f t="shared" si="343"/>
        <v>225</v>
      </c>
      <c r="DN424" s="356">
        <f t="shared" si="344"/>
        <v>100</v>
      </c>
      <c r="DO424" s="308">
        <f t="shared" si="345"/>
        <v>0.25</v>
      </c>
      <c r="DP424" s="359">
        <f t="shared" si="349"/>
        <v>0.25</v>
      </c>
      <c r="DQ424" s="306">
        <f t="shared" si="346"/>
        <v>0.25</v>
      </c>
      <c r="DR424" s="379">
        <f t="shared" si="347"/>
        <v>1</v>
      </c>
      <c r="DS424" s="378">
        <f t="shared" si="348"/>
        <v>0</v>
      </c>
      <c r="DT424" s="173">
        <v>486</v>
      </c>
      <c r="DU424" s="174" t="s">
        <v>101</v>
      </c>
      <c r="DV424" s="173"/>
      <c r="DW424" s="174" t="s">
        <v>84</v>
      </c>
      <c r="DX424" s="173"/>
      <c r="DY424" s="173"/>
      <c r="DZ424" s="173"/>
      <c r="EA424" s="665"/>
      <c r="EB424" s="1254" t="s">
        <v>2619</v>
      </c>
      <c r="EC424" s="537">
        <v>0</v>
      </c>
      <c r="EE424" s="734">
        <v>5</v>
      </c>
      <c r="EF424" s="706"/>
    </row>
    <row r="425" spans="4:136" s="302" customFormat="1" ht="76.5" hidden="1">
      <c r="D425" s="520">
        <v>422</v>
      </c>
      <c r="E425" s="534">
        <v>492</v>
      </c>
      <c r="F425" s="479" t="s">
        <v>45</v>
      </c>
      <c r="G425" s="479" t="s">
        <v>81</v>
      </c>
      <c r="H425" s="479" t="s">
        <v>2674</v>
      </c>
      <c r="I425" s="435" t="s">
        <v>1016</v>
      </c>
      <c r="J425" s="335" t="s">
        <v>1027</v>
      </c>
      <c r="K425" s="335" t="s">
        <v>1028</v>
      </c>
      <c r="L425" s="436" t="s">
        <v>1415</v>
      </c>
      <c r="M425" s="334" t="s">
        <v>1771</v>
      </c>
      <c r="N425" s="337">
        <v>0</v>
      </c>
      <c r="O425" s="333">
        <f t="shared" si="350"/>
        <v>22</v>
      </c>
      <c r="P425" s="422">
        <v>22</v>
      </c>
      <c r="Q425" s="390">
        <v>0.16500000000000001</v>
      </c>
      <c r="R425" s="342">
        <f t="shared" si="326"/>
        <v>0</v>
      </c>
      <c r="S425" s="417">
        <v>0</v>
      </c>
      <c r="T425" s="337">
        <f t="shared" si="351"/>
        <v>0</v>
      </c>
      <c r="U425" s="673">
        <v>14</v>
      </c>
      <c r="V425" s="388">
        <f t="shared" si="352"/>
        <v>14</v>
      </c>
      <c r="W425" s="356">
        <f t="shared" si="353"/>
        <v>0</v>
      </c>
      <c r="X425" s="356">
        <f t="shared" si="327"/>
        <v>0</v>
      </c>
      <c r="Y425" s="356">
        <f t="shared" si="364"/>
        <v>0</v>
      </c>
      <c r="Z425" s="356">
        <f t="shared" si="328"/>
        <v>100</v>
      </c>
      <c r="AA425" s="413">
        <v>0</v>
      </c>
      <c r="AB425" s="413">
        <v>0</v>
      </c>
      <c r="AC425" s="413">
        <v>0</v>
      </c>
      <c r="AD425" s="413">
        <v>0</v>
      </c>
      <c r="AE425" s="413">
        <v>0</v>
      </c>
      <c r="AF425" s="413">
        <v>0</v>
      </c>
      <c r="AG425" s="413">
        <v>0</v>
      </c>
      <c r="AH425" s="413">
        <v>0</v>
      </c>
      <c r="AI425" s="413">
        <v>0</v>
      </c>
      <c r="AJ425" s="413">
        <v>0</v>
      </c>
      <c r="AK425" s="413">
        <v>0</v>
      </c>
      <c r="AL425" s="413">
        <v>0</v>
      </c>
      <c r="AM425" s="413">
        <v>0</v>
      </c>
      <c r="AN425" s="413">
        <v>0</v>
      </c>
      <c r="AO425" s="413">
        <v>0</v>
      </c>
      <c r="AP425" s="413">
        <v>0</v>
      </c>
      <c r="AQ425" s="413">
        <v>0</v>
      </c>
      <c r="AR425" s="413">
        <v>370549000</v>
      </c>
      <c r="AS425" s="413" t="s">
        <v>1847</v>
      </c>
      <c r="AT425" s="333">
        <f t="shared" si="329"/>
        <v>6.0000000000000005E-2</v>
      </c>
      <c r="AU425" s="334">
        <v>8</v>
      </c>
      <c r="AV425" s="387">
        <f t="shared" si="354"/>
        <v>0.36363636363636365</v>
      </c>
      <c r="AW425" s="677">
        <v>22</v>
      </c>
      <c r="AX425" s="366">
        <f t="shared" si="355"/>
        <v>22</v>
      </c>
      <c r="AY425" s="366">
        <f t="shared" si="356"/>
        <v>275</v>
      </c>
      <c r="AZ425" s="366">
        <f t="shared" si="330"/>
        <v>100</v>
      </c>
      <c r="BA425" s="354">
        <f t="shared" si="331"/>
        <v>6.0000000000000012E-2</v>
      </c>
      <c r="BB425" s="354">
        <f t="shared" si="332"/>
        <v>100</v>
      </c>
      <c r="BC425" s="353">
        <v>200000000</v>
      </c>
      <c r="BD425" s="353">
        <v>0</v>
      </c>
      <c r="BE425" s="353">
        <v>100000000</v>
      </c>
      <c r="BF425" s="353">
        <v>0</v>
      </c>
      <c r="BG425" s="353">
        <v>0</v>
      </c>
      <c r="BH425" s="353">
        <v>0</v>
      </c>
      <c r="BI425" s="353">
        <v>0</v>
      </c>
      <c r="BJ425" s="353">
        <v>100000000</v>
      </c>
      <c r="BK425" s="428">
        <v>0</v>
      </c>
      <c r="BL425" s="351">
        <v>0</v>
      </c>
      <c r="BM425" s="351">
        <v>0</v>
      </c>
      <c r="BN425" s="351">
        <v>0</v>
      </c>
      <c r="BO425" s="351">
        <v>0</v>
      </c>
      <c r="BP425" s="351">
        <v>0</v>
      </c>
      <c r="BQ425" s="351">
        <v>0</v>
      </c>
      <c r="BR425" s="351">
        <v>0</v>
      </c>
      <c r="BS425" s="351">
        <v>0</v>
      </c>
      <c r="BT425" s="351">
        <v>0</v>
      </c>
      <c r="BU425" s="351">
        <v>0</v>
      </c>
      <c r="BV425" s="350">
        <f t="shared" si="333"/>
        <v>5.2500000000000005E-2</v>
      </c>
      <c r="BW425" s="350">
        <v>7</v>
      </c>
      <c r="BX425" s="385">
        <f t="shared" si="357"/>
        <v>0.31818181818181818</v>
      </c>
      <c r="BY425" s="399">
        <v>0</v>
      </c>
      <c r="BZ425" s="398">
        <v>0</v>
      </c>
      <c r="CA425" s="690">
        <v>0</v>
      </c>
      <c r="CB425" s="324">
        <f t="shared" si="358"/>
        <v>0</v>
      </c>
      <c r="CC425" s="324">
        <f t="shared" si="359"/>
        <v>0</v>
      </c>
      <c r="CD425" s="384">
        <f t="shared" si="334"/>
        <v>0</v>
      </c>
      <c r="CE425" s="383">
        <f t="shared" si="335"/>
        <v>0</v>
      </c>
      <c r="CF425" s="367">
        <f t="shared" si="336"/>
        <v>0</v>
      </c>
      <c r="CG425" s="383">
        <f t="shared" si="337"/>
        <v>0</v>
      </c>
      <c r="CH425" s="320">
        <f t="shared" si="338"/>
        <v>5.2500000000000005E-2</v>
      </c>
      <c r="CI425" s="319">
        <v>7</v>
      </c>
      <c r="CJ425" s="318">
        <f t="shared" si="360"/>
        <v>0.31818181818181818</v>
      </c>
      <c r="CK425" s="1258">
        <v>0</v>
      </c>
      <c r="CL425" s="301">
        <f t="shared" si="320"/>
        <v>7</v>
      </c>
      <c r="CM425" s="381">
        <f t="shared" si="361"/>
        <v>0</v>
      </c>
      <c r="CN425" s="381">
        <f t="shared" si="362"/>
        <v>0</v>
      </c>
      <c r="CO425" s="316">
        <f t="shared" si="339"/>
        <v>0</v>
      </c>
      <c r="CP425" s="381">
        <f t="shared" si="340"/>
        <v>0</v>
      </c>
      <c r="CQ425" s="381">
        <f t="shared" si="341"/>
        <v>0</v>
      </c>
      <c r="CR425" s="313">
        <v>231000000</v>
      </c>
      <c r="CS425" s="313">
        <v>100000000</v>
      </c>
      <c r="CT425" s="313">
        <v>0</v>
      </c>
      <c r="CU425" s="313">
        <v>0</v>
      </c>
      <c r="CV425" s="313">
        <v>0</v>
      </c>
      <c r="CW425" s="313">
        <v>0</v>
      </c>
      <c r="CX425" s="313">
        <v>0</v>
      </c>
      <c r="CY425" s="313">
        <v>131000000</v>
      </c>
      <c r="CZ425" s="380">
        <v>0</v>
      </c>
      <c r="DA425" s="380">
        <v>0</v>
      </c>
      <c r="DB425" s="380">
        <v>0</v>
      </c>
      <c r="DC425" s="380">
        <v>0</v>
      </c>
      <c r="DD425" s="380">
        <v>0</v>
      </c>
      <c r="DE425" s="380">
        <v>0</v>
      </c>
      <c r="DF425" s="380">
        <v>0</v>
      </c>
      <c r="DG425" s="380">
        <v>0</v>
      </c>
      <c r="DH425" s="380">
        <v>0</v>
      </c>
      <c r="DI425" s="380">
        <v>0</v>
      </c>
      <c r="DJ425" s="380">
        <v>0</v>
      </c>
      <c r="DK425" s="702">
        <f t="shared" si="363"/>
        <v>36</v>
      </c>
      <c r="DL425" s="311">
        <f t="shared" si="342"/>
        <v>0.16500000000000004</v>
      </c>
      <c r="DM425" s="310">
        <f t="shared" si="343"/>
        <v>163.63636363636363</v>
      </c>
      <c r="DN425" s="356">
        <f t="shared" si="344"/>
        <v>100</v>
      </c>
      <c r="DO425" s="308">
        <f t="shared" si="345"/>
        <v>0.16500000000000001</v>
      </c>
      <c r="DP425" s="359">
        <f t="shared" si="349"/>
        <v>0.16500000000000001</v>
      </c>
      <c r="DQ425" s="306">
        <f t="shared" si="346"/>
        <v>0.16500000000000001</v>
      </c>
      <c r="DR425" s="379">
        <f t="shared" si="347"/>
        <v>1</v>
      </c>
      <c r="DS425" s="378">
        <f t="shared" si="348"/>
        <v>0</v>
      </c>
      <c r="DT425" s="173">
        <v>486</v>
      </c>
      <c r="DU425" s="174" t="s">
        <v>101</v>
      </c>
      <c r="DV425" s="173"/>
      <c r="DW425" s="174" t="s">
        <v>84</v>
      </c>
      <c r="DX425" s="173"/>
      <c r="DY425" s="173"/>
      <c r="DZ425" s="173"/>
      <c r="EA425" s="665"/>
      <c r="EB425" s="1254" t="s">
        <v>2470</v>
      </c>
      <c r="EC425" s="537">
        <v>60000000</v>
      </c>
      <c r="EE425" s="734">
        <v>0.25</v>
      </c>
      <c r="EF425" s="706"/>
    </row>
    <row r="426" spans="4:136" s="302" customFormat="1" ht="51" hidden="1">
      <c r="D426" s="520">
        <v>423</v>
      </c>
      <c r="E426" s="534">
        <v>493</v>
      </c>
      <c r="F426" s="479" t="s">
        <v>45</v>
      </c>
      <c r="G426" s="479" t="s">
        <v>81</v>
      </c>
      <c r="H426" s="479" t="s">
        <v>2674</v>
      </c>
      <c r="I426" s="435" t="s">
        <v>1016</v>
      </c>
      <c r="J426" s="335" t="s">
        <v>1029</v>
      </c>
      <c r="K426" s="335" t="s">
        <v>1030</v>
      </c>
      <c r="L426" s="436" t="s">
        <v>1456</v>
      </c>
      <c r="M426" s="334" t="s">
        <v>1771</v>
      </c>
      <c r="N426" s="337">
        <v>0</v>
      </c>
      <c r="O426" s="333">
        <f t="shared" si="350"/>
        <v>1</v>
      </c>
      <c r="P426" s="422">
        <v>1</v>
      </c>
      <c r="Q426" s="390">
        <v>0.16500000000000001</v>
      </c>
      <c r="R426" s="342">
        <f t="shared" si="326"/>
        <v>1.6500000000000001E-2</v>
      </c>
      <c r="S426" s="417">
        <v>0.1</v>
      </c>
      <c r="T426" s="337">
        <f t="shared" si="351"/>
        <v>0.1</v>
      </c>
      <c r="U426" s="673">
        <v>0.1</v>
      </c>
      <c r="V426" s="388">
        <f t="shared" si="352"/>
        <v>0.1</v>
      </c>
      <c r="W426" s="356">
        <f t="shared" si="353"/>
        <v>100</v>
      </c>
      <c r="X426" s="356">
        <f t="shared" si="327"/>
        <v>100</v>
      </c>
      <c r="Y426" s="356">
        <f t="shared" si="364"/>
        <v>1.6500000000000001E-2</v>
      </c>
      <c r="Z426" s="356">
        <f t="shared" si="328"/>
        <v>100</v>
      </c>
      <c r="AA426" s="413">
        <v>0</v>
      </c>
      <c r="AB426" s="413">
        <v>0</v>
      </c>
      <c r="AC426" s="413">
        <v>0</v>
      </c>
      <c r="AD426" s="413">
        <v>0</v>
      </c>
      <c r="AE426" s="413">
        <v>0</v>
      </c>
      <c r="AF426" s="413">
        <v>0</v>
      </c>
      <c r="AG426" s="413">
        <v>0</v>
      </c>
      <c r="AH426" s="413">
        <v>0</v>
      </c>
      <c r="AI426" s="413">
        <v>4800000</v>
      </c>
      <c r="AJ426" s="413">
        <v>4800000</v>
      </c>
      <c r="AK426" s="413">
        <v>0</v>
      </c>
      <c r="AL426" s="413">
        <v>0</v>
      </c>
      <c r="AM426" s="413">
        <v>0</v>
      </c>
      <c r="AN426" s="413">
        <v>0</v>
      </c>
      <c r="AO426" s="413">
        <v>0</v>
      </c>
      <c r="AP426" s="413">
        <v>0</v>
      </c>
      <c r="AQ426" s="413">
        <v>0</v>
      </c>
      <c r="AR426" s="413">
        <v>0</v>
      </c>
      <c r="AS426" s="413">
        <v>0</v>
      </c>
      <c r="AT426" s="333">
        <f t="shared" si="329"/>
        <v>3.3000000000000002E-2</v>
      </c>
      <c r="AU426" s="334">
        <v>0.2</v>
      </c>
      <c r="AV426" s="387">
        <f t="shared" si="354"/>
        <v>0.2</v>
      </c>
      <c r="AW426" s="677">
        <v>0.3</v>
      </c>
      <c r="AX426" s="366">
        <f t="shared" si="355"/>
        <v>0.3</v>
      </c>
      <c r="AY426" s="366">
        <f t="shared" si="356"/>
        <v>150</v>
      </c>
      <c r="AZ426" s="366">
        <f t="shared" si="330"/>
        <v>100</v>
      </c>
      <c r="BA426" s="354">
        <f t="shared" si="331"/>
        <v>3.3000000000000002E-2</v>
      </c>
      <c r="BB426" s="354">
        <f t="shared" si="332"/>
        <v>100</v>
      </c>
      <c r="BC426" s="353">
        <v>5900000000</v>
      </c>
      <c r="BD426" s="353">
        <v>0</v>
      </c>
      <c r="BE426" s="353">
        <v>0</v>
      </c>
      <c r="BF426" s="353">
        <v>0</v>
      </c>
      <c r="BG426" s="353">
        <v>0</v>
      </c>
      <c r="BH426" s="353">
        <v>0</v>
      </c>
      <c r="BI426" s="353">
        <v>0</v>
      </c>
      <c r="BJ426" s="353">
        <v>5900000000</v>
      </c>
      <c r="BK426" s="428">
        <v>0</v>
      </c>
      <c r="BL426" s="351">
        <v>0</v>
      </c>
      <c r="BM426" s="351">
        <v>0</v>
      </c>
      <c r="BN426" s="351">
        <v>0</v>
      </c>
      <c r="BO426" s="351">
        <v>0</v>
      </c>
      <c r="BP426" s="351">
        <v>0</v>
      </c>
      <c r="BQ426" s="351">
        <v>0</v>
      </c>
      <c r="BR426" s="351">
        <v>0</v>
      </c>
      <c r="BS426" s="351">
        <v>0</v>
      </c>
      <c r="BT426" s="351">
        <v>0</v>
      </c>
      <c r="BU426" s="351">
        <v>0</v>
      </c>
      <c r="BV426" s="350">
        <f t="shared" si="333"/>
        <v>4.9500000000000002E-2</v>
      </c>
      <c r="BW426" s="350">
        <v>0.3</v>
      </c>
      <c r="BX426" s="385">
        <f t="shared" si="357"/>
        <v>0.3</v>
      </c>
      <c r="BY426" s="399">
        <v>0</v>
      </c>
      <c r="BZ426" s="398">
        <v>0.4</v>
      </c>
      <c r="CA426" s="690">
        <v>0.1</v>
      </c>
      <c r="CB426" s="324">
        <f t="shared" si="358"/>
        <v>0.1</v>
      </c>
      <c r="CC426" s="324">
        <f t="shared" si="359"/>
        <v>33.333333333333336</v>
      </c>
      <c r="CD426" s="384">
        <f t="shared" si="334"/>
        <v>33.333333333333336</v>
      </c>
      <c r="CE426" s="383">
        <f t="shared" si="335"/>
        <v>1.6500000000000001E-2</v>
      </c>
      <c r="CF426" s="367">
        <f t="shared" si="336"/>
        <v>100</v>
      </c>
      <c r="CG426" s="383">
        <f t="shared" si="337"/>
        <v>1.6500000000000001E-2</v>
      </c>
      <c r="CH426" s="320">
        <f t="shared" si="338"/>
        <v>6.6000000000000003E-2</v>
      </c>
      <c r="CI426" s="319">
        <v>0.4</v>
      </c>
      <c r="CJ426" s="318">
        <f t="shared" si="360"/>
        <v>0.4</v>
      </c>
      <c r="CK426" s="1259">
        <v>0</v>
      </c>
      <c r="CL426" s="301">
        <f t="shared" si="320"/>
        <v>0.4</v>
      </c>
      <c r="CM426" s="381">
        <f t="shared" si="361"/>
        <v>0</v>
      </c>
      <c r="CN426" s="381">
        <f t="shared" si="362"/>
        <v>0</v>
      </c>
      <c r="CO426" s="316">
        <f t="shared" si="339"/>
        <v>0</v>
      </c>
      <c r="CP426" s="381">
        <f t="shared" si="340"/>
        <v>0</v>
      </c>
      <c r="CQ426" s="381">
        <f t="shared" si="341"/>
        <v>0</v>
      </c>
      <c r="CR426" s="313">
        <v>5900000000</v>
      </c>
      <c r="CS426" s="313">
        <v>0</v>
      </c>
      <c r="CT426" s="313">
        <v>0</v>
      </c>
      <c r="CU426" s="313">
        <v>0</v>
      </c>
      <c r="CV426" s="313">
        <v>0</v>
      </c>
      <c r="CW426" s="313">
        <v>0</v>
      </c>
      <c r="CX426" s="313">
        <v>0</v>
      </c>
      <c r="CY426" s="313">
        <v>5900000000</v>
      </c>
      <c r="CZ426" s="380">
        <v>0</v>
      </c>
      <c r="DA426" s="380">
        <v>0</v>
      </c>
      <c r="DB426" s="380">
        <v>0</v>
      </c>
      <c r="DC426" s="380">
        <v>0</v>
      </c>
      <c r="DD426" s="380">
        <v>0</v>
      </c>
      <c r="DE426" s="380">
        <v>0</v>
      </c>
      <c r="DF426" s="380">
        <v>0</v>
      </c>
      <c r="DG426" s="380">
        <v>0</v>
      </c>
      <c r="DH426" s="380">
        <v>0</v>
      </c>
      <c r="DI426" s="380">
        <v>0</v>
      </c>
      <c r="DJ426" s="380">
        <v>0</v>
      </c>
      <c r="DK426" s="702">
        <f t="shared" si="363"/>
        <v>0.5</v>
      </c>
      <c r="DL426" s="311">
        <f t="shared" si="342"/>
        <v>0.16500000000000001</v>
      </c>
      <c r="DM426" s="310">
        <f t="shared" si="343"/>
        <v>50</v>
      </c>
      <c r="DN426" s="356">
        <f t="shared" si="344"/>
        <v>50</v>
      </c>
      <c r="DO426" s="308">
        <f t="shared" si="345"/>
        <v>8.2500000000000004E-2</v>
      </c>
      <c r="DP426" s="359">
        <f t="shared" si="349"/>
        <v>8.2500000000000004E-2</v>
      </c>
      <c r="DQ426" s="306">
        <f t="shared" si="346"/>
        <v>8.2500000000000004E-2</v>
      </c>
      <c r="DR426" s="379">
        <f t="shared" si="347"/>
        <v>1</v>
      </c>
      <c r="DS426" s="378">
        <f t="shared" si="348"/>
        <v>0</v>
      </c>
      <c r="DT426" s="173">
        <v>486</v>
      </c>
      <c r="DU426" s="174" t="s">
        <v>101</v>
      </c>
      <c r="DV426" s="173"/>
      <c r="DW426" s="174" t="s">
        <v>84</v>
      </c>
      <c r="DX426" s="173"/>
      <c r="DY426" s="173"/>
      <c r="DZ426" s="173"/>
      <c r="EA426" s="665"/>
      <c r="EB426" s="1254" t="s">
        <v>2471</v>
      </c>
      <c r="EC426" s="537">
        <v>0</v>
      </c>
      <c r="EE426" s="734">
        <v>1</v>
      </c>
      <c r="EF426" s="706"/>
    </row>
    <row r="427" spans="4:136" s="302" customFormat="1" ht="318.75" hidden="1">
      <c r="D427" s="520">
        <v>424</v>
      </c>
      <c r="E427" s="534">
        <v>494</v>
      </c>
      <c r="F427" s="479" t="s">
        <v>45</v>
      </c>
      <c r="G427" s="479" t="s">
        <v>81</v>
      </c>
      <c r="H427" s="479" t="s">
        <v>2674</v>
      </c>
      <c r="I427" s="435" t="s">
        <v>1031</v>
      </c>
      <c r="J427" s="335" t="s">
        <v>1032</v>
      </c>
      <c r="K427" s="335" t="s">
        <v>1033</v>
      </c>
      <c r="L427" s="436" t="s">
        <v>1800</v>
      </c>
      <c r="M427" s="334" t="s">
        <v>1771</v>
      </c>
      <c r="N427" s="337">
        <v>0</v>
      </c>
      <c r="O427" s="333">
        <f t="shared" si="350"/>
        <v>20</v>
      </c>
      <c r="P427" s="422">
        <v>20</v>
      </c>
      <c r="Q427" s="390">
        <v>0.16500000000000001</v>
      </c>
      <c r="R427" s="342">
        <f t="shared" si="326"/>
        <v>1.6500000000000001E-2</v>
      </c>
      <c r="S427" s="417">
        <v>2</v>
      </c>
      <c r="T427" s="337">
        <f t="shared" si="351"/>
        <v>0.1</v>
      </c>
      <c r="U427" s="673">
        <v>6</v>
      </c>
      <c r="V427" s="388">
        <f t="shared" si="352"/>
        <v>6</v>
      </c>
      <c r="W427" s="356">
        <f t="shared" si="353"/>
        <v>300</v>
      </c>
      <c r="X427" s="356">
        <f t="shared" si="327"/>
        <v>100</v>
      </c>
      <c r="Y427" s="356">
        <f t="shared" si="364"/>
        <v>1.6500000000000001E-2</v>
      </c>
      <c r="Z427" s="356">
        <f t="shared" si="328"/>
        <v>100</v>
      </c>
      <c r="AA427" s="413">
        <v>129000000</v>
      </c>
      <c r="AB427" s="413">
        <v>129000000</v>
      </c>
      <c r="AC427" s="413">
        <v>0</v>
      </c>
      <c r="AD427" s="413">
        <v>0</v>
      </c>
      <c r="AE427" s="413">
        <v>0</v>
      </c>
      <c r="AF427" s="413">
        <v>0</v>
      </c>
      <c r="AG427" s="413">
        <v>0</v>
      </c>
      <c r="AH427" s="413">
        <v>0</v>
      </c>
      <c r="AI427" s="413">
        <v>0</v>
      </c>
      <c r="AJ427" s="413">
        <v>0</v>
      </c>
      <c r="AK427" s="413">
        <v>0</v>
      </c>
      <c r="AL427" s="413">
        <v>0</v>
      </c>
      <c r="AM427" s="413">
        <v>0</v>
      </c>
      <c r="AN427" s="413">
        <v>0</v>
      </c>
      <c r="AO427" s="413">
        <v>0</v>
      </c>
      <c r="AP427" s="413">
        <v>0</v>
      </c>
      <c r="AQ427" s="413">
        <v>0</v>
      </c>
      <c r="AR427" s="413">
        <v>0</v>
      </c>
      <c r="AS427" s="413">
        <v>0</v>
      </c>
      <c r="AT427" s="333">
        <f t="shared" si="329"/>
        <v>3.3000000000000002E-2</v>
      </c>
      <c r="AU427" s="334">
        <v>4</v>
      </c>
      <c r="AV427" s="387">
        <f t="shared" si="354"/>
        <v>0.2</v>
      </c>
      <c r="AW427" s="677">
        <v>2</v>
      </c>
      <c r="AX427" s="366">
        <f t="shared" si="355"/>
        <v>2</v>
      </c>
      <c r="AY427" s="366">
        <f t="shared" si="356"/>
        <v>50</v>
      </c>
      <c r="AZ427" s="366">
        <f t="shared" si="330"/>
        <v>50</v>
      </c>
      <c r="BA427" s="354">
        <f t="shared" si="331"/>
        <v>1.6500000000000001E-2</v>
      </c>
      <c r="BB427" s="354">
        <f t="shared" si="332"/>
        <v>50</v>
      </c>
      <c r="BC427" s="353">
        <v>80000000</v>
      </c>
      <c r="BD427" s="353">
        <v>0</v>
      </c>
      <c r="BE427" s="353">
        <v>80000000</v>
      </c>
      <c r="BF427" s="353">
        <v>0</v>
      </c>
      <c r="BG427" s="353">
        <v>0</v>
      </c>
      <c r="BH427" s="353">
        <v>0</v>
      </c>
      <c r="BI427" s="353">
        <v>0</v>
      </c>
      <c r="BJ427" s="353">
        <v>0</v>
      </c>
      <c r="BK427" s="428">
        <v>80000000</v>
      </c>
      <c r="BL427" s="351">
        <v>80000000</v>
      </c>
      <c r="BM427" s="351">
        <v>0</v>
      </c>
      <c r="BN427" s="351">
        <v>0</v>
      </c>
      <c r="BO427" s="351">
        <v>0</v>
      </c>
      <c r="BP427" s="351">
        <v>0</v>
      </c>
      <c r="BQ427" s="351">
        <v>0</v>
      </c>
      <c r="BR427" s="351">
        <v>0</v>
      </c>
      <c r="BS427" s="351">
        <v>0</v>
      </c>
      <c r="BT427" s="351">
        <v>0</v>
      </c>
      <c r="BU427" s="351">
        <v>0</v>
      </c>
      <c r="BV427" s="350">
        <f t="shared" si="333"/>
        <v>5.7749999999999996E-2</v>
      </c>
      <c r="BW427" s="350">
        <v>7</v>
      </c>
      <c r="BX427" s="385">
        <f t="shared" si="357"/>
        <v>0.35</v>
      </c>
      <c r="BY427" s="399">
        <v>0</v>
      </c>
      <c r="BZ427" s="398">
        <v>24</v>
      </c>
      <c r="CA427" s="690">
        <v>24</v>
      </c>
      <c r="CB427" s="324">
        <f t="shared" si="358"/>
        <v>24</v>
      </c>
      <c r="CC427" s="324">
        <f t="shared" si="359"/>
        <v>342.85714285714283</v>
      </c>
      <c r="CD427" s="384">
        <f t="shared" si="334"/>
        <v>100</v>
      </c>
      <c r="CE427" s="383">
        <f t="shared" si="335"/>
        <v>5.7749999999999996E-2</v>
      </c>
      <c r="CF427" s="367">
        <f t="shared" si="336"/>
        <v>100</v>
      </c>
      <c r="CG427" s="383">
        <f t="shared" si="337"/>
        <v>0.19799999999999998</v>
      </c>
      <c r="CH427" s="320">
        <f t="shared" si="338"/>
        <v>5.7749999999999996E-2</v>
      </c>
      <c r="CI427" s="319">
        <v>7</v>
      </c>
      <c r="CJ427" s="318">
        <f t="shared" si="360"/>
        <v>0.35</v>
      </c>
      <c r="CK427" s="1259">
        <v>9</v>
      </c>
      <c r="CL427" s="301">
        <f t="shared" si="320"/>
        <v>-2</v>
      </c>
      <c r="CM427" s="381">
        <f t="shared" si="361"/>
        <v>9</v>
      </c>
      <c r="CN427" s="381">
        <f t="shared" si="362"/>
        <v>128.57142857142858</v>
      </c>
      <c r="CO427" s="316">
        <f t="shared" si="339"/>
        <v>100</v>
      </c>
      <c r="CP427" s="381">
        <f t="shared" si="340"/>
        <v>5.7749999999999996E-2</v>
      </c>
      <c r="CQ427" s="381">
        <f t="shared" si="341"/>
        <v>7.4249999999999997E-2</v>
      </c>
      <c r="CR427" s="313">
        <v>160000000</v>
      </c>
      <c r="CS427" s="313">
        <v>160000000</v>
      </c>
      <c r="CT427" s="313">
        <v>0</v>
      </c>
      <c r="CU427" s="313">
        <v>0</v>
      </c>
      <c r="CV427" s="313">
        <v>0</v>
      </c>
      <c r="CW427" s="313">
        <v>0</v>
      </c>
      <c r="CX427" s="313">
        <v>0</v>
      </c>
      <c r="CY427" s="313">
        <v>0</v>
      </c>
      <c r="CZ427" s="380">
        <v>0</v>
      </c>
      <c r="DA427" s="380">
        <v>0</v>
      </c>
      <c r="DB427" s="380">
        <v>0</v>
      </c>
      <c r="DC427" s="380">
        <v>0</v>
      </c>
      <c r="DD427" s="380">
        <v>0</v>
      </c>
      <c r="DE427" s="380">
        <v>0</v>
      </c>
      <c r="DF427" s="380">
        <v>0</v>
      </c>
      <c r="DG427" s="380">
        <v>0</v>
      </c>
      <c r="DH427" s="380">
        <v>0</v>
      </c>
      <c r="DI427" s="380">
        <v>0</v>
      </c>
      <c r="DJ427" s="380">
        <v>0</v>
      </c>
      <c r="DK427" s="702">
        <f t="shared" si="363"/>
        <v>41</v>
      </c>
      <c r="DL427" s="311">
        <f t="shared" si="342"/>
        <v>0.16499999999999998</v>
      </c>
      <c r="DM427" s="310">
        <f t="shared" si="343"/>
        <v>205</v>
      </c>
      <c r="DN427" s="356">
        <f t="shared" si="344"/>
        <v>100</v>
      </c>
      <c r="DO427" s="308">
        <f t="shared" si="345"/>
        <v>0.16500000000000001</v>
      </c>
      <c r="DP427" s="359">
        <f t="shared" si="349"/>
        <v>0.16500000000000001</v>
      </c>
      <c r="DQ427" s="306">
        <f t="shared" si="346"/>
        <v>0.16500000000000001</v>
      </c>
      <c r="DR427" s="379">
        <f t="shared" si="347"/>
        <v>1</v>
      </c>
      <c r="DS427" s="378">
        <f t="shared" si="348"/>
        <v>0</v>
      </c>
      <c r="DT427" s="173">
        <v>486</v>
      </c>
      <c r="DU427" s="174" t="s">
        <v>101</v>
      </c>
      <c r="DV427" s="173"/>
      <c r="DW427" s="174" t="s">
        <v>84</v>
      </c>
      <c r="DX427" s="173"/>
      <c r="DY427" s="173"/>
      <c r="DZ427" s="173"/>
      <c r="EA427" s="665"/>
      <c r="EB427" s="1254" t="s">
        <v>2620</v>
      </c>
      <c r="EC427" s="537">
        <v>20000000</v>
      </c>
      <c r="EE427" s="734">
        <v>0</v>
      </c>
      <c r="EF427" s="706"/>
    </row>
    <row r="428" spans="4:136" s="302" customFormat="1" ht="409.5" hidden="1">
      <c r="D428" s="520">
        <v>425</v>
      </c>
      <c r="E428" s="534">
        <v>495</v>
      </c>
      <c r="F428" s="336" t="s">
        <v>45</v>
      </c>
      <c r="G428" s="336" t="s">
        <v>81</v>
      </c>
      <c r="H428" s="336" t="s">
        <v>2674</v>
      </c>
      <c r="I428" s="336" t="s">
        <v>1031</v>
      </c>
      <c r="J428" s="335" t="s">
        <v>1299</v>
      </c>
      <c r="K428" s="335" t="s">
        <v>1034</v>
      </c>
      <c r="L428" s="436" t="s">
        <v>1800</v>
      </c>
      <c r="M428" s="334" t="s">
        <v>1771</v>
      </c>
      <c r="N428" s="337">
        <v>341</v>
      </c>
      <c r="O428" s="333">
        <f t="shared" si="350"/>
        <v>641</v>
      </c>
      <c r="P428" s="332">
        <v>300</v>
      </c>
      <c r="Q428" s="393">
        <v>0.16500000000000001</v>
      </c>
      <c r="R428" s="342">
        <f t="shared" si="326"/>
        <v>3.3000000000000002E-2</v>
      </c>
      <c r="S428" s="417">
        <v>60</v>
      </c>
      <c r="T428" s="337">
        <f t="shared" si="351"/>
        <v>0.2</v>
      </c>
      <c r="U428" s="673">
        <v>60</v>
      </c>
      <c r="V428" s="388">
        <f t="shared" si="352"/>
        <v>60</v>
      </c>
      <c r="W428" s="356">
        <f t="shared" si="353"/>
        <v>100</v>
      </c>
      <c r="X428" s="356">
        <f t="shared" si="327"/>
        <v>100</v>
      </c>
      <c r="Y428" s="356">
        <f t="shared" si="364"/>
        <v>3.3000000000000002E-2</v>
      </c>
      <c r="Z428" s="356">
        <f t="shared" si="328"/>
        <v>100</v>
      </c>
      <c r="AA428" s="413">
        <v>350000000</v>
      </c>
      <c r="AB428" s="413">
        <v>350000000</v>
      </c>
      <c r="AC428" s="413">
        <v>0</v>
      </c>
      <c r="AD428" s="413">
        <v>0</v>
      </c>
      <c r="AE428" s="413">
        <v>0</v>
      </c>
      <c r="AF428" s="413">
        <v>0</v>
      </c>
      <c r="AG428" s="413">
        <v>0</v>
      </c>
      <c r="AH428" s="413">
        <v>0</v>
      </c>
      <c r="AI428" s="413">
        <v>354600000</v>
      </c>
      <c r="AJ428" s="413">
        <v>354600000</v>
      </c>
      <c r="AK428" s="413">
        <v>0</v>
      </c>
      <c r="AL428" s="413">
        <v>0</v>
      </c>
      <c r="AM428" s="413">
        <v>0</v>
      </c>
      <c r="AN428" s="413">
        <v>0</v>
      </c>
      <c r="AO428" s="413">
        <v>0</v>
      </c>
      <c r="AP428" s="413">
        <v>0</v>
      </c>
      <c r="AQ428" s="413">
        <v>0</v>
      </c>
      <c r="AR428" s="413">
        <v>724652000</v>
      </c>
      <c r="AS428" s="413" t="s">
        <v>1846</v>
      </c>
      <c r="AT428" s="392">
        <f t="shared" si="329"/>
        <v>6.2149999999999997E-2</v>
      </c>
      <c r="AU428" s="334">
        <v>113</v>
      </c>
      <c r="AV428" s="387">
        <f t="shared" si="354"/>
        <v>0.37666666666666665</v>
      </c>
      <c r="AW428" s="677">
        <v>98</v>
      </c>
      <c r="AX428" s="366">
        <f t="shared" si="355"/>
        <v>98</v>
      </c>
      <c r="AY428" s="366">
        <f t="shared" si="356"/>
        <v>86.725663716814154</v>
      </c>
      <c r="AZ428" s="366">
        <f t="shared" si="330"/>
        <v>86.725663716814154</v>
      </c>
      <c r="BA428" s="354">
        <f t="shared" si="331"/>
        <v>5.3899999999999997E-2</v>
      </c>
      <c r="BB428" s="354">
        <f t="shared" si="332"/>
        <v>86.725663716814154</v>
      </c>
      <c r="BC428" s="353">
        <v>350000000</v>
      </c>
      <c r="BD428" s="353">
        <v>0</v>
      </c>
      <c r="BE428" s="353">
        <v>350000000</v>
      </c>
      <c r="BF428" s="353">
        <v>0</v>
      </c>
      <c r="BG428" s="353">
        <v>0</v>
      </c>
      <c r="BH428" s="353">
        <v>0</v>
      </c>
      <c r="BI428" s="353">
        <v>0</v>
      </c>
      <c r="BJ428" s="353">
        <v>0</v>
      </c>
      <c r="BK428" s="428">
        <v>1657106331</v>
      </c>
      <c r="BL428" s="351">
        <v>1657106331</v>
      </c>
      <c r="BM428" s="351">
        <v>0</v>
      </c>
      <c r="BN428" s="351">
        <v>0</v>
      </c>
      <c r="BO428" s="351">
        <v>0</v>
      </c>
      <c r="BP428" s="351">
        <v>0</v>
      </c>
      <c r="BQ428" s="351">
        <v>0</v>
      </c>
      <c r="BR428" s="351">
        <v>0</v>
      </c>
      <c r="BS428" s="351">
        <v>0</v>
      </c>
      <c r="BT428" s="351">
        <v>0</v>
      </c>
      <c r="BU428" s="351">
        <v>0</v>
      </c>
      <c r="BV428" s="350">
        <f t="shared" si="333"/>
        <v>3.5200000000000002E-2</v>
      </c>
      <c r="BW428" s="350">
        <v>64</v>
      </c>
      <c r="BX428" s="385">
        <f t="shared" si="357"/>
        <v>0.21333333333333335</v>
      </c>
      <c r="BY428" s="369">
        <v>24</v>
      </c>
      <c r="BZ428" s="437">
        <v>24</v>
      </c>
      <c r="CA428" s="694">
        <v>71</v>
      </c>
      <c r="CB428" s="324">
        <f t="shared" si="358"/>
        <v>71</v>
      </c>
      <c r="CC428" s="324">
        <f t="shared" si="359"/>
        <v>110.9375</v>
      </c>
      <c r="CD428" s="384">
        <f t="shared" si="334"/>
        <v>100</v>
      </c>
      <c r="CE428" s="383">
        <f t="shared" si="335"/>
        <v>3.5200000000000002E-2</v>
      </c>
      <c r="CF428" s="367">
        <f t="shared" si="336"/>
        <v>100</v>
      </c>
      <c r="CG428" s="383">
        <f t="shared" si="337"/>
        <v>3.9050000000000001E-2</v>
      </c>
      <c r="CH428" s="320">
        <f t="shared" si="338"/>
        <v>3.465E-2</v>
      </c>
      <c r="CI428" s="319">
        <v>63</v>
      </c>
      <c r="CJ428" s="318">
        <f t="shared" si="360"/>
        <v>0.21</v>
      </c>
      <c r="CK428" s="1259">
        <v>73</v>
      </c>
      <c r="CL428" s="301">
        <f t="shared" si="320"/>
        <v>-10</v>
      </c>
      <c r="CM428" s="381">
        <f t="shared" si="361"/>
        <v>73</v>
      </c>
      <c r="CN428" s="381">
        <f t="shared" si="362"/>
        <v>115.87301587301587</v>
      </c>
      <c r="CO428" s="316">
        <f t="shared" si="339"/>
        <v>100</v>
      </c>
      <c r="CP428" s="381">
        <f t="shared" si="340"/>
        <v>3.465E-2</v>
      </c>
      <c r="CQ428" s="381">
        <f t="shared" si="341"/>
        <v>4.0149999999999998E-2</v>
      </c>
      <c r="CR428" s="313">
        <v>850000000</v>
      </c>
      <c r="CS428" s="313">
        <v>850000000</v>
      </c>
      <c r="CT428" s="313">
        <v>0</v>
      </c>
      <c r="CU428" s="313">
        <v>0</v>
      </c>
      <c r="CV428" s="313">
        <v>0</v>
      </c>
      <c r="CW428" s="313">
        <v>0</v>
      </c>
      <c r="CX428" s="313">
        <v>0</v>
      </c>
      <c r="CY428" s="313">
        <v>0</v>
      </c>
      <c r="CZ428" s="380">
        <v>0</v>
      </c>
      <c r="DA428" s="380">
        <v>0</v>
      </c>
      <c r="DB428" s="380">
        <v>0</v>
      </c>
      <c r="DC428" s="380">
        <v>0</v>
      </c>
      <c r="DD428" s="380">
        <v>0</v>
      </c>
      <c r="DE428" s="380">
        <v>0</v>
      </c>
      <c r="DF428" s="380">
        <v>0</v>
      </c>
      <c r="DG428" s="380">
        <v>0</v>
      </c>
      <c r="DH428" s="380">
        <v>0</v>
      </c>
      <c r="DI428" s="380">
        <v>0</v>
      </c>
      <c r="DJ428" s="380">
        <v>0</v>
      </c>
      <c r="DK428" s="702">
        <f t="shared" si="363"/>
        <v>302</v>
      </c>
      <c r="DL428" s="311">
        <f t="shared" si="342"/>
        <v>0.16499999999999998</v>
      </c>
      <c r="DM428" s="310">
        <f t="shared" si="343"/>
        <v>100.66666666666667</v>
      </c>
      <c r="DN428" s="356">
        <f t="shared" si="344"/>
        <v>100</v>
      </c>
      <c r="DO428" s="308">
        <f t="shared" si="345"/>
        <v>0.16500000000000001</v>
      </c>
      <c r="DP428" s="359">
        <f t="shared" si="349"/>
        <v>0.16500000000000001</v>
      </c>
      <c r="DQ428" s="306">
        <f t="shared" si="346"/>
        <v>0.16500000000000001</v>
      </c>
      <c r="DR428" s="379">
        <f t="shared" si="347"/>
        <v>1</v>
      </c>
      <c r="DS428" s="378">
        <f t="shared" si="348"/>
        <v>0</v>
      </c>
      <c r="DT428" s="173">
        <v>486</v>
      </c>
      <c r="DU428" s="174" t="s">
        <v>101</v>
      </c>
      <c r="DV428" s="173"/>
      <c r="DW428" s="174" t="s">
        <v>84</v>
      </c>
      <c r="DX428" s="173"/>
      <c r="DY428" s="173"/>
      <c r="DZ428" s="173"/>
      <c r="EA428" s="665"/>
      <c r="EB428" s="1254" t="s">
        <v>2472</v>
      </c>
      <c r="EC428" s="537">
        <v>0</v>
      </c>
      <c r="EE428" s="734">
        <v>50</v>
      </c>
      <c r="EF428" s="706"/>
    </row>
    <row r="429" spans="4:136" s="302" customFormat="1" ht="255" hidden="1">
      <c r="D429" s="520">
        <v>426</v>
      </c>
      <c r="E429" s="534">
        <v>496</v>
      </c>
      <c r="F429" s="479" t="s">
        <v>45</v>
      </c>
      <c r="G429" s="479" t="s">
        <v>81</v>
      </c>
      <c r="H429" s="479" t="s">
        <v>2674</v>
      </c>
      <c r="I429" s="435" t="s">
        <v>1031</v>
      </c>
      <c r="J429" s="335" t="s">
        <v>1035</v>
      </c>
      <c r="K429" s="335" t="s">
        <v>1036</v>
      </c>
      <c r="L429" s="436" t="s">
        <v>1845</v>
      </c>
      <c r="M429" s="334" t="s">
        <v>1771</v>
      </c>
      <c r="N429" s="337">
        <v>0</v>
      </c>
      <c r="O429" s="333">
        <f t="shared" si="350"/>
        <v>8</v>
      </c>
      <c r="P429" s="422">
        <v>8</v>
      </c>
      <c r="Q429" s="390">
        <v>0.16500000000000001</v>
      </c>
      <c r="R429" s="342">
        <f t="shared" si="326"/>
        <v>0</v>
      </c>
      <c r="S429" s="417">
        <v>0</v>
      </c>
      <c r="T429" s="337">
        <f t="shared" si="351"/>
        <v>0</v>
      </c>
      <c r="U429" s="673">
        <v>1</v>
      </c>
      <c r="V429" s="388">
        <f t="shared" si="352"/>
        <v>1</v>
      </c>
      <c r="W429" s="356">
        <f t="shared" si="353"/>
        <v>0</v>
      </c>
      <c r="X429" s="356">
        <f t="shared" si="327"/>
        <v>0</v>
      </c>
      <c r="Y429" s="356">
        <f t="shared" si="364"/>
        <v>0</v>
      </c>
      <c r="Z429" s="356">
        <f t="shared" si="328"/>
        <v>100</v>
      </c>
      <c r="AA429" s="413">
        <v>69000000</v>
      </c>
      <c r="AB429" s="413">
        <v>69000000</v>
      </c>
      <c r="AC429" s="413">
        <v>0</v>
      </c>
      <c r="AD429" s="413">
        <v>0</v>
      </c>
      <c r="AE429" s="413">
        <v>0</v>
      </c>
      <c r="AF429" s="413">
        <v>0</v>
      </c>
      <c r="AG429" s="413">
        <v>0</v>
      </c>
      <c r="AH429" s="413">
        <v>0</v>
      </c>
      <c r="AI429" s="413">
        <v>50600000</v>
      </c>
      <c r="AJ429" s="413">
        <v>50600000</v>
      </c>
      <c r="AK429" s="413">
        <v>0</v>
      </c>
      <c r="AL429" s="413">
        <v>0</v>
      </c>
      <c r="AM429" s="413">
        <v>0</v>
      </c>
      <c r="AN429" s="413">
        <v>0</v>
      </c>
      <c r="AO429" s="413">
        <v>0</v>
      </c>
      <c r="AP429" s="413">
        <v>0</v>
      </c>
      <c r="AQ429" s="413">
        <v>0</v>
      </c>
      <c r="AR429" s="413">
        <v>26500000</v>
      </c>
      <c r="AS429" s="413" t="s">
        <v>1844</v>
      </c>
      <c r="AT429" s="333">
        <f t="shared" si="329"/>
        <v>4.1250000000000002E-2</v>
      </c>
      <c r="AU429" s="334">
        <v>2</v>
      </c>
      <c r="AV429" s="387">
        <f t="shared" si="354"/>
        <v>0.25</v>
      </c>
      <c r="AW429" s="677">
        <v>11</v>
      </c>
      <c r="AX429" s="366">
        <f t="shared" si="355"/>
        <v>11</v>
      </c>
      <c r="AY429" s="366">
        <f t="shared" si="356"/>
        <v>550</v>
      </c>
      <c r="AZ429" s="366">
        <f t="shared" si="330"/>
        <v>100</v>
      </c>
      <c r="BA429" s="354">
        <f t="shared" si="331"/>
        <v>4.1250000000000002E-2</v>
      </c>
      <c r="BB429" s="354">
        <f t="shared" si="332"/>
        <v>100</v>
      </c>
      <c r="BC429" s="353">
        <v>1000000000</v>
      </c>
      <c r="BD429" s="353">
        <v>0</v>
      </c>
      <c r="BE429" s="353">
        <v>1000000000</v>
      </c>
      <c r="BF429" s="353">
        <v>0</v>
      </c>
      <c r="BG429" s="353">
        <v>0</v>
      </c>
      <c r="BH429" s="353">
        <v>0</v>
      </c>
      <c r="BI429" s="353">
        <v>0</v>
      </c>
      <c r="BJ429" s="353">
        <v>0</v>
      </c>
      <c r="BK429" s="428">
        <v>567006406</v>
      </c>
      <c r="BL429" s="351">
        <v>567006406</v>
      </c>
      <c r="BM429" s="351">
        <v>0</v>
      </c>
      <c r="BN429" s="351">
        <v>0</v>
      </c>
      <c r="BO429" s="351">
        <v>0</v>
      </c>
      <c r="BP429" s="351">
        <v>0</v>
      </c>
      <c r="BQ429" s="351">
        <v>0</v>
      </c>
      <c r="BR429" s="351">
        <v>0</v>
      </c>
      <c r="BS429" s="351">
        <v>0</v>
      </c>
      <c r="BT429" s="351">
        <v>0</v>
      </c>
      <c r="BU429" s="351">
        <v>0</v>
      </c>
      <c r="BV429" s="350">
        <f t="shared" si="333"/>
        <v>6.1874999999999999E-2</v>
      </c>
      <c r="BW429" s="350">
        <v>3</v>
      </c>
      <c r="BX429" s="385">
        <f t="shared" si="357"/>
        <v>0.375</v>
      </c>
      <c r="BY429" s="369">
        <v>1</v>
      </c>
      <c r="BZ429" s="391">
        <v>1</v>
      </c>
      <c r="CA429" s="689">
        <v>7</v>
      </c>
      <c r="CB429" s="324">
        <f t="shared" si="358"/>
        <v>7</v>
      </c>
      <c r="CC429" s="324">
        <f t="shared" si="359"/>
        <v>233.33333333333334</v>
      </c>
      <c r="CD429" s="384">
        <f t="shared" si="334"/>
        <v>100</v>
      </c>
      <c r="CE429" s="383">
        <f t="shared" si="335"/>
        <v>6.1874999999999999E-2</v>
      </c>
      <c r="CF429" s="367">
        <f t="shared" si="336"/>
        <v>100</v>
      </c>
      <c r="CG429" s="383">
        <f t="shared" si="337"/>
        <v>0.144375</v>
      </c>
      <c r="CH429" s="320">
        <f t="shared" si="338"/>
        <v>6.1874999999999999E-2</v>
      </c>
      <c r="CI429" s="319">
        <v>3</v>
      </c>
      <c r="CJ429" s="318">
        <f t="shared" si="360"/>
        <v>0.375</v>
      </c>
      <c r="CK429" s="1259">
        <v>8</v>
      </c>
      <c r="CL429" s="301">
        <f t="shared" si="320"/>
        <v>-5</v>
      </c>
      <c r="CM429" s="381">
        <f t="shared" si="361"/>
        <v>8</v>
      </c>
      <c r="CN429" s="381">
        <f t="shared" si="362"/>
        <v>266.66666666666669</v>
      </c>
      <c r="CO429" s="316">
        <f t="shared" si="339"/>
        <v>100</v>
      </c>
      <c r="CP429" s="381">
        <f t="shared" si="340"/>
        <v>6.1874999999999999E-2</v>
      </c>
      <c r="CQ429" s="381">
        <f t="shared" si="341"/>
        <v>0.16500000000000001</v>
      </c>
      <c r="CR429" s="313">
        <v>3350000000</v>
      </c>
      <c r="CS429" s="313">
        <v>3350000000</v>
      </c>
      <c r="CT429" s="313">
        <v>0</v>
      </c>
      <c r="CU429" s="313">
        <v>0</v>
      </c>
      <c r="CV429" s="313">
        <v>0</v>
      </c>
      <c r="CW429" s="313">
        <v>0</v>
      </c>
      <c r="CX429" s="313">
        <v>0</v>
      </c>
      <c r="CY429" s="313">
        <v>0</v>
      </c>
      <c r="CZ429" s="380">
        <v>0</v>
      </c>
      <c r="DA429" s="380">
        <v>0</v>
      </c>
      <c r="DB429" s="380">
        <v>0</v>
      </c>
      <c r="DC429" s="380">
        <v>0</v>
      </c>
      <c r="DD429" s="380">
        <v>0</v>
      </c>
      <c r="DE429" s="380">
        <v>0</v>
      </c>
      <c r="DF429" s="380">
        <v>0</v>
      </c>
      <c r="DG429" s="380">
        <v>0</v>
      </c>
      <c r="DH429" s="380">
        <v>0</v>
      </c>
      <c r="DI429" s="380">
        <v>0</v>
      </c>
      <c r="DJ429" s="380">
        <v>0</v>
      </c>
      <c r="DK429" s="702">
        <f t="shared" si="363"/>
        <v>27</v>
      </c>
      <c r="DL429" s="311">
        <f t="shared" si="342"/>
        <v>0.16499999999999998</v>
      </c>
      <c r="DM429" s="310">
        <f t="shared" si="343"/>
        <v>337.5</v>
      </c>
      <c r="DN429" s="356">
        <f t="shared" si="344"/>
        <v>100</v>
      </c>
      <c r="DO429" s="308">
        <f t="shared" si="345"/>
        <v>0.16500000000000001</v>
      </c>
      <c r="DP429" s="359">
        <f t="shared" si="349"/>
        <v>0.16500000000000001</v>
      </c>
      <c r="DQ429" s="306">
        <f t="shared" si="346"/>
        <v>0.16500000000000001</v>
      </c>
      <c r="DR429" s="379">
        <f t="shared" si="347"/>
        <v>1</v>
      </c>
      <c r="DS429" s="378">
        <f t="shared" si="348"/>
        <v>0</v>
      </c>
      <c r="DT429" s="173">
        <v>486</v>
      </c>
      <c r="DU429" s="174" t="s">
        <v>101</v>
      </c>
      <c r="DV429" s="173"/>
      <c r="DW429" s="174" t="s">
        <v>84</v>
      </c>
      <c r="DX429" s="173"/>
      <c r="DY429" s="173"/>
      <c r="DZ429" s="173"/>
      <c r="EA429" s="665"/>
      <c r="EB429" s="1254" t="s">
        <v>2617</v>
      </c>
      <c r="EC429" s="537">
        <v>15000000</v>
      </c>
      <c r="EE429" s="734">
        <v>500</v>
      </c>
      <c r="EF429" s="706"/>
    </row>
    <row r="430" spans="4:136" s="302" customFormat="1" ht="204" hidden="1">
      <c r="D430" s="520">
        <v>427</v>
      </c>
      <c r="E430" s="534">
        <v>498</v>
      </c>
      <c r="F430" s="479" t="s">
        <v>45</v>
      </c>
      <c r="G430" s="531" t="s">
        <v>18</v>
      </c>
      <c r="H430" s="531" t="s">
        <v>2675</v>
      </c>
      <c r="I430" s="435" t="s">
        <v>1037</v>
      </c>
      <c r="J430" s="335" t="s">
        <v>1038</v>
      </c>
      <c r="K430" s="335" t="s">
        <v>1039</v>
      </c>
      <c r="L430" s="434" t="s">
        <v>1843</v>
      </c>
      <c r="M430" s="429" t="s">
        <v>1771</v>
      </c>
      <c r="N430" s="430">
        <v>0</v>
      </c>
      <c r="O430" s="333">
        <f t="shared" si="350"/>
        <v>2</v>
      </c>
      <c r="P430" s="433">
        <v>2</v>
      </c>
      <c r="Q430" s="390">
        <v>0.16500000000000001</v>
      </c>
      <c r="R430" s="342">
        <f t="shared" si="326"/>
        <v>0</v>
      </c>
      <c r="S430" s="432">
        <v>0</v>
      </c>
      <c r="T430" s="337">
        <f t="shared" si="351"/>
        <v>0</v>
      </c>
      <c r="U430" s="674">
        <v>0</v>
      </c>
      <c r="V430" s="388">
        <f t="shared" si="352"/>
        <v>0</v>
      </c>
      <c r="W430" s="356">
        <f t="shared" si="353"/>
        <v>0</v>
      </c>
      <c r="X430" s="356">
        <f t="shared" si="327"/>
        <v>0</v>
      </c>
      <c r="Y430" s="356">
        <f t="shared" si="364"/>
        <v>0</v>
      </c>
      <c r="Z430" s="356">
        <f t="shared" si="328"/>
        <v>0</v>
      </c>
      <c r="AA430" s="431">
        <v>3000000000</v>
      </c>
      <c r="AB430" s="431">
        <v>0</v>
      </c>
      <c r="AC430" s="431">
        <v>0</v>
      </c>
      <c r="AD430" s="431">
        <v>0</v>
      </c>
      <c r="AE430" s="431">
        <v>0</v>
      </c>
      <c r="AF430" s="431">
        <v>3000000000</v>
      </c>
      <c r="AG430" s="431">
        <v>0</v>
      </c>
      <c r="AH430" s="431">
        <v>0</v>
      </c>
      <c r="AI430" s="430">
        <v>0</v>
      </c>
      <c r="AJ430" s="430">
        <v>0</v>
      </c>
      <c r="AK430" s="430">
        <v>0</v>
      </c>
      <c r="AL430" s="430">
        <v>0</v>
      </c>
      <c r="AM430" s="430">
        <v>0</v>
      </c>
      <c r="AN430" s="430">
        <v>0</v>
      </c>
      <c r="AO430" s="430">
        <v>0</v>
      </c>
      <c r="AP430" s="430">
        <v>0</v>
      </c>
      <c r="AQ430" s="430">
        <v>0</v>
      </c>
      <c r="AR430" s="430">
        <v>0</v>
      </c>
      <c r="AS430" s="430">
        <v>0</v>
      </c>
      <c r="AT430" s="333">
        <f t="shared" si="329"/>
        <v>5.7749999999999996E-2</v>
      </c>
      <c r="AU430" s="429">
        <v>0.7</v>
      </c>
      <c r="AV430" s="387">
        <f t="shared" si="354"/>
        <v>0.35</v>
      </c>
      <c r="AW430" s="677">
        <v>0.7</v>
      </c>
      <c r="AX430" s="366">
        <f t="shared" si="355"/>
        <v>0.7</v>
      </c>
      <c r="AY430" s="366">
        <f t="shared" si="356"/>
        <v>100</v>
      </c>
      <c r="AZ430" s="366">
        <f t="shared" si="330"/>
        <v>100</v>
      </c>
      <c r="BA430" s="354">
        <f t="shared" si="331"/>
        <v>5.7749999999999996E-2</v>
      </c>
      <c r="BB430" s="354">
        <f t="shared" si="332"/>
        <v>100</v>
      </c>
      <c r="BC430" s="353">
        <v>507000000</v>
      </c>
      <c r="BD430" s="353">
        <v>0</v>
      </c>
      <c r="BE430" s="353">
        <v>245000000</v>
      </c>
      <c r="BF430" s="353">
        <v>0</v>
      </c>
      <c r="BG430" s="353">
        <v>0</v>
      </c>
      <c r="BH430" s="353">
        <v>0</v>
      </c>
      <c r="BI430" s="353">
        <v>0</v>
      </c>
      <c r="BJ430" s="353">
        <v>262000000</v>
      </c>
      <c r="BK430" s="428">
        <v>250987533</v>
      </c>
      <c r="BL430" s="351">
        <v>250987533</v>
      </c>
      <c r="BM430" s="351">
        <v>0</v>
      </c>
      <c r="BN430" s="351">
        <v>0</v>
      </c>
      <c r="BO430" s="351">
        <v>0</v>
      </c>
      <c r="BP430" s="351">
        <v>0</v>
      </c>
      <c r="BQ430" s="351">
        <v>0</v>
      </c>
      <c r="BR430" s="351">
        <v>0</v>
      </c>
      <c r="BS430" s="351">
        <v>0</v>
      </c>
      <c r="BT430" s="351">
        <v>201717168</v>
      </c>
      <c r="BU430" s="351" t="s">
        <v>2369</v>
      </c>
      <c r="BV430" s="350">
        <f t="shared" si="333"/>
        <v>5.7749999999999996E-2</v>
      </c>
      <c r="BW430" s="350">
        <v>0.7</v>
      </c>
      <c r="BX430" s="385">
        <f t="shared" si="357"/>
        <v>0.35</v>
      </c>
      <c r="BY430" s="369">
        <v>1</v>
      </c>
      <c r="BZ430" s="391">
        <v>1</v>
      </c>
      <c r="CA430" s="689">
        <v>1</v>
      </c>
      <c r="CB430" s="324">
        <f t="shared" si="358"/>
        <v>1</v>
      </c>
      <c r="CC430" s="324">
        <f t="shared" si="359"/>
        <v>142.85714285714286</v>
      </c>
      <c r="CD430" s="384">
        <f t="shared" si="334"/>
        <v>100</v>
      </c>
      <c r="CE430" s="383">
        <f t="shared" si="335"/>
        <v>5.7749999999999996E-2</v>
      </c>
      <c r="CF430" s="367">
        <f t="shared" si="336"/>
        <v>100</v>
      </c>
      <c r="CG430" s="383">
        <f t="shared" si="337"/>
        <v>8.2500000000000004E-2</v>
      </c>
      <c r="CH430" s="320">
        <f t="shared" si="338"/>
        <v>4.9500000000000002E-2</v>
      </c>
      <c r="CI430" s="319">
        <v>0.6</v>
      </c>
      <c r="CJ430" s="318">
        <f t="shared" si="360"/>
        <v>0.3</v>
      </c>
      <c r="CK430" s="1258">
        <v>1.2</v>
      </c>
      <c r="CL430" s="301">
        <f t="shared" si="320"/>
        <v>-0.6</v>
      </c>
      <c r="CM430" s="381">
        <f t="shared" si="361"/>
        <v>1.2</v>
      </c>
      <c r="CN430" s="381">
        <f t="shared" si="362"/>
        <v>200</v>
      </c>
      <c r="CO430" s="316">
        <f t="shared" si="339"/>
        <v>100</v>
      </c>
      <c r="CP430" s="381">
        <f t="shared" si="340"/>
        <v>4.9500000000000002E-2</v>
      </c>
      <c r="CQ430" s="381">
        <f t="shared" si="341"/>
        <v>9.9000000000000005E-2</v>
      </c>
      <c r="CR430" s="313">
        <v>830000000</v>
      </c>
      <c r="CS430" s="313">
        <v>566000000</v>
      </c>
      <c r="CT430" s="313">
        <v>0</v>
      </c>
      <c r="CU430" s="313">
        <v>0</v>
      </c>
      <c r="CV430" s="313">
        <v>0</v>
      </c>
      <c r="CW430" s="313">
        <v>0</v>
      </c>
      <c r="CX430" s="313">
        <v>0</v>
      </c>
      <c r="CY430" s="313">
        <v>264000000</v>
      </c>
      <c r="CZ430" s="380">
        <v>0</v>
      </c>
      <c r="DA430" s="380">
        <v>0</v>
      </c>
      <c r="DB430" s="380">
        <v>0</v>
      </c>
      <c r="DC430" s="380">
        <v>0</v>
      </c>
      <c r="DD430" s="380">
        <v>0</v>
      </c>
      <c r="DE430" s="380">
        <v>0</v>
      </c>
      <c r="DF430" s="380">
        <v>0</v>
      </c>
      <c r="DG430" s="380">
        <v>0</v>
      </c>
      <c r="DH430" s="380">
        <v>0</v>
      </c>
      <c r="DI430" s="380">
        <v>0</v>
      </c>
      <c r="DJ430" s="380">
        <v>0</v>
      </c>
      <c r="DK430" s="702">
        <f t="shared" si="363"/>
        <v>2.9</v>
      </c>
      <c r="DL430" s="311">
        <f t="shared" si="342"/>
        <v>0.16499999999999998</v>
      </c>
      <c r="DM430" s="310">
        <f t="shared" si="343"/>
        <v>145</v>
      </c>
      <c r="DN430" s="356">
        <f t="shared" si="344"/>
        <v>100</v>
      </c>
      <c r="DO430" s="308">
        <f t="shared" si="345"/>
        <v>0.16500000000000001</v>
      </c>
      <c r="DP430" s="359">
        <f t="shared" si="349"/>
        <v>0.16500000000000001</v>
      </c>
      <c r="DQ430" s="306">
        <f t="shared" si="346"/>
        <v>0.16500000000000001</v>
      </c>
      <c r="DR430" s="379">
        <f t="shared" si="347"/>
        <v>1</v>
      </c>
      <c r="DS430" s="378">
        <f t="shared" si="348"/>
        <v>0</v>
      </c>
      <c r="DT430" s="173">
        <v>327</v>
      </c>
      <c r="DU430" s="174" t="s">
        <v>116</v>
      </c>
      <c r="DV430" s="173">
        <v>497</v>
      </c>
      <c r="DW430" s="174" t="s">
        <v>100</v>
      </c>
      <c r="DX430" s="173"/>
      <c r="DY430" s="173"/>
      <c r="DZ430" s="173"/>
      <c r="EA430" s="665"/>
      <c r="EB430" s="1254" t="s">
        <v>3141</v>
      </c>
      <c r="EC430" s="537">
        <v>850000000</v>
      </c>
      <c r="EE430" s="734">
        <v>50</v>
      </c>
      <c r="EF430" s="706"/>
    </row>
    <row r="431" spans="4:136" s="302" customFormat="1" ht="409.5" hidden="1">
      <c r="D431" s="520">
        <v>428</v>
      </c>
      <c r="E431" s="534">
        <v>499</v>
      </c>
      <c r="F431" s="336" t="s">
        <v>45</v>
      </c>
      <c r="G431" s="336" t="s">
        <v>18</v>
      </c>
      <c r="H431" s="336" t="s">
        <v>2675</v>
      </c>
      <c r="I431" s="336" t="s">
        <v>1040</v>
      </c>
      <c r="J431" s="335" t="s">
        <v>1300</v>
      </c>
      <c r="K431" s="335" t="s">
        <v>1041</v>
      </c>
      <c r="L431" s="434" t="s">
        <v>1843</v>
      </c>
      <c r="M431" s="429" t="s">
        <v>1771</v>
      </c>
      <c r="N431" s="430">
        <v>1</v>
      </c>
      <c r="O431" s="333">
        <f t="shared" si="350"/>
        <v>11</v>
      </c>
      <c r="P431" s="433">
        <v>10</v>
      </c>
      <c r="Q431" s="393">
        <v>0.25</v>
      </c>
      <c r="R431" s="342">
        <f t="shared" si="326"/>
        <v>0.1</v>
      </c>
      <c r="S431" s="432">
        <v>4</v>
      </c>
      <c r="T431" s="337">
        <f t="shared" ref="T431:T462" si="365">IF($M431="M",0.25,(IF($P431&gt;0,S431/$P431," ")))</f>
        <v>0.4</v>
      </c>
      <c r="U431" s="674">
        <v>4</v>
      </c>
      <c r="V431" s="388">
        <f t="shared" ref="V431:V461" si="366">+IF(M431="I",(+U431),IF(M431="M",(+U431)/4,))</f>
        <v>4</v>
      </c>
      <c r="W431" s="356">
        <f t="shared" ref="W431:W462" si="367">IF(S431=0,0,+U431*100/S431)</f>
        <v>100</v>
      </c>
      <c r="X431" s="356">
        <f t="shared" si="327"/>
        <v>100</v>
      </c>
      <c r="Y431" s="356">
        <f t="shared" si="364"/>
        <v>0.1</v>
      </c>
      <c r="Z431" s="356">
        <f t="shared" si="328"/>
        <v>100</v>
      </c>
      <c r="AA431" s="431">
        <v>8493000000</v>
      </c>
      <c r="AB431" s="431">
        <v>4693000000</v>
      </c>
      <c r="AC431" s="431">
        <v>0</v>
      </c>
      <c r="AD431" s="431">
        <v>0</v>
      </c>
      <c r="AE431" s="431">
        <v>0</v>
      </c>
      <c r="AF431" s="431">
        <v>3800000000</v>
      </c>
      <c r="AG431" s="431">
        <v>0</v>
      </c>
      <c r="AH431" s="431">
        <v>0</v>
      </c>
      <c r="AI431" s="430">
        <v>0</v>
      </c>
      <c r="AJ431" s="430">
        <v>0</v>
      </c>
      <c r="AK431" s="430">
        <v>0</v>
      </c>
      <c r="AL431" s="430">
        <v>0</v>
      </c>
      <c r="AM431" s="430">
        <v>0</v>
      </c>
      <c r="AN431" s="430">
        <v>0</v>
      </c>
      <c r="AO431" s="430">
        <v>0</v>
      </c>
      <c r="AP431" s="430">
        <v>0</v>
      </c>
      <c r="AQ431" s="430">
        <v>0</v>
      </c>
      <c r="AR431" s="430">
        <v>0</v>
      </c>
      <c r="AS431" s="430">
        <v>0</v>
      </c>
      <c r="AT431" s="392">
        <f t="shared" si="329"/>
        <v>0.1</v>
      </c>
      <c r="AU431" s="429">
        <v>4</v>
      </c>
      <c r="AV431" s="387">
        <f t="shared" ref="AV431:AV462" si="368">IF($M431="M",0.25,(IF($P431&gt;0,AU431/$P431," ")))</f>
        <v>0.4</v>
      </c>
      <c r="AW431" s="677">
        <v>4</v>
      </c>
      <c r="AX431" s="366">
        <f t="shared" ref="AX431:AX462" si="369">+IF(M431="I",(+AW431),IF(M431="M",(+AW431)/4,))</f>
        <v>4</v>
      </c>
      <c r="AY431" s="366">
        <f t="shared" ref="AY431:AY462" si="370">IF(AU431=0,0,+AW431*100/AU431)</f>
        <v>100</v>
      </c>
      <c r="AZ431" s="366">
        <f t="shared" si="330"/>
        <v>100</v>
      </c>
      <c r="BA431" s="354">
        <f t="shared" si="331"/>
        <v>0.1</v>
      </c>
      <c r="BB431" s="354">
        <f t="shared" si="332"/>
        <v>100</v>
      </c>
      <c r="BC431" s="353">
        <v>1937000000</v>
      </c>
      <c r="BD431" s="353">
        <v>0</v>
      </c>
      <c r="BE431" s="353">
        <v>650000000</v>
      </c>
      <c r="BF431" s="353">
        <v>0</v>
      </c>
      <c r="BG431" s="353">
        <v>0</v>
      </c>
      <c r="BH431" s="353">
        <v>0</v>
      </c>
      <c r="BI431" s="353">
        <v>0</v>
      </c>
      <c r="BJ431" s="353">
        <v>1287000000</v>
      </c>
      <c r="BK431" s="428">
        <v>5852267060</v>
      </c>
      <c r="BL431" s="351">
        <v>2278085572</v>
      </c>
      <c r="BM431" s="351">
        <v>0</v>
      </c>
      <c r="BN431" s="351">
        <v>0</v>
      </c>
      <c r="BO431" s="351">
        <v>70000000</v>
      </c>
      <c r="BP431" s="351">
        <v>3504181488</v>
      </c>
      <c r="BQ431" s="351">
        <v>0</v>
      </c>
      <c r="BR431" s="351">
        <v>0</v>
      </c>
      <c r="BS431" s="351">
        <v>0</v>
      </c>
      <c r="BT431" s="351">
        <v>271459841</v>
      </c>
      <c r="BU431" s="351" t="s">
        <v>2370</v>
      </c>
      <c r="BV431" s="350">
        <f t="shared" si="333"/>
        <v>2.5000000000000001E-2</v>
      </c>
      <c r="BW431" s="350">
        <v>1</v>
      </c>
      <c r="BX431" s="385">
        <f t="shared" ref="BX431:BX462" si="371">IF($M431="M",0.25,(IF($P431&gt;0,BW431/$P431," ")))</f>
        <v>0.1</v>
      </c>
      <c r="BY431" s="369">
        <v>1</v>
      </c>
      <c r="BZ431" s="391">
        <v>1</v>
      </c>
      <c r="CA431" s="689">
        <v>1</v>
      </c>
      <c r="CB431" s="324">
        <f t="shared" ref="CB431:CB462" si="372">+IF(M431="I",(+CA431),IF(M431="M",(+CA431)/4,))</f>
        <v>1</v>
      </c>
      <c r="CC431" s="324">
        <f t="shared" ref="CC431:CC462" si="373">IF(BW431=0,0,+CA431*100/BW431)</f>
        <v>100</v>
      </c>
      <c r="CD431" s="384">
        <f t="shared" si="334"/>
        <v>100</v>
      </c>
      <c r="CE431" s="383">
        <f t="shared" si="335"/>
        <v>2.5000000000000001E-2</v>
      </c>
      <c r="CF431" s="367">
        <f t="shared" si="336"/>
        <v>100</v>
      </c>
      <c r="CG431" s="383">
        <f t="shared" si="337"/>
        <v>2.5000000000000001E-2</v>
      </c>
      <c r="CH431" s="320">
        <f t="shared" si="338"/>
        <v>2.5000000000000001E-2</v>
      </c>
      <c r="CI431" s="319">
        <v>1</v>
      </c>
      <c r="CJ431" s="318">
        <f t="shared" ref="CJ431:CJ462" si="374">IF($M431="M",0.25,(IF($P431&gt;0,CI431/$P431," ")))</f>
        <v>0.1</v>
      </c>
      <c r="CK431" s="1258">
        <v>1</v>
      </c>
      <c r="CL431" s="301">
        <f t="shared" si="320"/>
        <v>0</v>
      </c>
      <c r="CM431" s="381">
        <f t="shared" ref="CM431:CM462" si="375">+IF(M431="I",(+CK431),IF(M431="M",(+CK431)/4,))</f>
        <v>1</v>
      </c>
      <c r="CN431" s="381">
        <f t="shared" ref="CN431:CN462" si="376">IF(CI431=0,0,+CK431*100/CI431)</f>
        <v>100</v>
      </c>
      <c r="CO431" s="316">
        <f t="shared" si="339"/>
        <v>100</v>
      </c>
      <c r="CP431" s="381">
        <f t="shared" si="340"/>
        <v>2.5000000000000001E-2</v>
      </c>
      <c r="CQ431" s="381">
        <f t="shared" si="341"/>
        <v>2.5000000000000001E-2</v>
      </c>
      <c r="CR431" s="313">
        <v>2789000000</v>
      </c>
      <c r="CS431" s="313">
        <v>1500000000</v>
      </c>
      <c r="CT431" s="313">
        <v>0</v>
      </c>
      <c r="CU431" s="313">
        <v>0</v>
      </c>
      <c r="CV431" s="313">
        <v>0</v>
      </c>
      <c r="CW431" s="313">
        <v>0</v>
      </c>
      <c r="CX431" s="313">
        <v>0</v>
      </c>
      <c r="CY431" s="313">
        <v>1289000000</v>
      </c>
      <c r="CZ431" s="380">
        <v>0</v>
      </c>
      <c r="DA431" s="380">
        <v>0</v>
      </c>
      <c r="DB431" s="380">
        <v>0</v>
      </c>
      <c r="DC431" s="380">
        <v>0</v>
      </c>
      <c r="DD431" s="380">
        <v>0</v>
      </c>
      <c r="DE431" s="380">
        <v>0</v>
      </c>
      <c r="DF431" s="380">
        <v>0</v>
      </c>
      <c r="DG431" s="380">
        <v>0</v>
      </c>
      <c r="DH431" s="380">
        <v>0</v>
      </c>
      <c r="DI431" s="380">
        <v>0</v>
      </c>
      <c r="DJ431" s="380">
        <v>0</v>
      </c>
      <c r="DK431" s="702">
        <f t="shared" ref="DK431:DK462" si="377">+IF(M431="I",(+U431+AW431+CA431+CK431),IF(M431="M",(+U431+AW431+CA431+CK431)/4,))</f>
        <v>10</v>
      </c>
      <c r="DL431" s="311">
        <f t="shared" si="342"/>
        <v>0.25</v>
      </c>
      <c r="DM431" s="310">
        <f t="shared" si="343"/>
        <v>100</v>
      </c>
      <c r="DN431" s="356">
        <f t="shared" si="344"/>
        <v>100</v>
      </c>
      <c r="DO431" s="308">
        <f t="shared" si="345"/>
        <v>0.25</v>
      </c>
      <c r="DP431" s="359">
        <f t="shared" si="349"/>
        <v>0.25</v>
      </c>
      <c r="DQ431" s="306">
        <f t="shared" si="346"/>
        <v>0.25</v>
      </c>
      <c r="DR431" s="379">
        <f t="shared" si="347"/>
        <v>1</v>
      </c>
      <c r="DS431" s="378">
        <f t="shared" si="348"/>
        <v>0</v>
      </c>
      <c r="DT431" s="173">
        <v>327</v>
      </c>
      <c r="DU431" s="174" t="s">
        <v>116</v>
      </c>
      <c r="DV431" s="173">
        <v>497</v>
      </c>
      <c r="DW431" s="174" t="s">
        <v>100</v>
      </c>
      <c r="DX431" s="173"/>
      <c r="DY431" s="173"/>
      <c r="DZ431" s="173"/>
      <c r="EA431" s="665"/>
      <c r="EB431" s="1254" t="s">
        <v>3142</v>
      </c>
      <c r="EC431" s="537">
        <v>3500000000</v>
      </c>
      <c r="EE431" s="734">
        <v>3</v>
      </c>
      <c r="EF431" s="706"/>
    </row>
    <row r="432" spans="4:136" s="302" customFormat="1" ht="255" hidden="1">
      <c r="D432" s="520">
        <v>429</v>
      </c>
      <c r="E432" s="534">
        <v>500</v>
      </c>
      <c r="F432" s="336" t="s">
        <v>45</v>
      </c>
      <c r="G432" s="336" t="s">
        <v>18</v>
      </c>
      <c r="H432" s="336" t="s">
        <v>2675</v>
      </c>
      <c r="I432" s="336" t="s">
        <v>1042</v>
      </c>
      <c r="J432" s="335" t="s">
        <v>1301</v>
      </c>
      <c r="K432" s="335" t="s">
        <v>1043</v>
      </c>
      <c r="L432" s="434" t="s">
        <v>1843</v>
      </c>
      <c r="M432" s="429" t="s">
        <v>1771</v>
      </c>
      <c r="N432" s="430">
        <v>1</v>
      </c>
      <c r="O432" s="333">
        <f t="shared" si="350"/>
        <v>14</v>
      </c>
      <c r="P432" s="433">
        <v>13</v>
      </c>
      <c r="Q432" s="393">
        <v>0.25</v>
      </c>
      <c r="R432" s="342">
        <f t="shared" si="326"/>
        <v>5.7692307692307696E-2</v>
      </c>
      <c r="S432" s="432">
        <v>3</v>
      </c>
      <c r="T432" s="403">
        <f t="shared" si="365"/>
        <v>0.23076923076923078</v>
      </c>
      <c r="U432" s="674">
        <v>3</v>
      </c>
      <c r="V432" s="388">
        <f t="shared" si="366"/>
        <v>3</v>
      </c>
      <c r="W432" s="356">
        <f t="shared" si="367"/>
        <v>100</v>
      </c>
      <c r="X432" s="356">
        <f t="shared" si="327"/>
        <v>100</v>
      </c>
      <c r="Y432" s="356">
        <f t="shared" si="364"/>
        <v>5.7692307692307689E-2</v>
      </c>
      <c r="Z432" s="356">
        <f t="shared" si="328"/>
        <v>100</v>
      </c>
      <c r="AA432" s="431">
        <v>365000000</v>
      </c>
      <c r="AB432" s="431">
        <v>365000000</v>
      </c>
      <c r="AC432" s="431">
        <v>0</v>
      </c>
      <c r="AD432" s="431">
        <v>0</v>
      </c>
      <c r="AE432" s="431">
        <v>0</v>
      </c>
      <c r="AF432" s="431">
        <v>0</v>
      </c>
      <c r="AG432" s="431">
        <v>0</v>
      </c>
      <c r="AH432" s="431">
        <v>0</v>
      </c>
      <c r="AI432" s="430">
        <v>0</v>
      </c>
      <c r="AJ432" s="430">
        <v>0</v>
      </c>
      <c r="AK432" s="430">
        <v>0</v>
      </c>
      <c r="AL432" s="430">
        <v>0</v>
      </c>
      <c r="AM432" s="430">
        <v>0</v>
      </c>
      <c r="AN432" s="430">
        <v>0</v>
      </c>
      <c r="AO432" s="430">
        <v>0</v>
      </c>
      <c r="AP432" s="430">
        <v>0</v>
      </c>
      <c r="AQ432" s="430">
        <v>0</v>
      </c>
      <c r="AR432" s="430">
        <v>0</v>
      </c>
      <c r="AS432" s="430">
        <v>0</v>
      </c>
      <c r="AT432" s="392">
        <f t="shared" si="329"/>
        <v>5.7692307692307696E-2</v>
      </c>
      <c r="AU432" s="429">
        <v>3</v>
      </c>
      <c r="AV432" s="387">
        <f t="shared" si="368"/>
        <v>0.23076923076923078</v>
      </c>
      <c r="AW432" s="677">
        <v>3</v>
      </c>
      <c r="AX432" s="366">
        <f t="shared" si="369"/>
        <v>3</v>
      </c>
      <c r="AY432" s="366">
        <f t="shared" si="370"/>
        <v>100</v>
      </c>
      <c r="AZ432" s="366">
        <f t="shared" si="330"/>
        <v>100</v>
      </c>
      <c r="BA432" s="354">
        <f t="shared" si="331"/>
        <v>5.7692307692307689E-2</v>
      </c>
      <c r="BB432" s="354">
        <f t="shared" si="332"/>
        <v>100</v>
      </c>
      <c r="BC432" s="353">
        <v>1860000000</v>
      </c>
      <c r="BD432" s="353">
        <v>0</v>
      </c>
      <c r="BE432" s="353">
        <v>910000000</v>
      </c>
      <c r="BF432" s="353">
        <v>0</v>
      </c>
      <c r="BG432" s="353">
        <v>0</v>
      </c>
      <c r="BH432" s="353">
        <v>0</v>
      </c>
      <c r="BI432" s="353">
        <v>0</v>
      </c>
      <c r="BJ432" s="353">
        <v>950000000</v>
      </c>
      <c r="BK432" s="428">
        <v>908000000</v>
      </c>
      <c r="BL432" s="351">
        <v>908000000</v>
      </c>
      <c r="BM432" s="351">
        <v>0</v>
      </c>
      <c r="BN432" s="351">
        <v>0</v>
      </c>
      <c r="BO432" s="351">
        <v>0</v>
      </c>
      <c r="BP432" s="351">
        <v>0</v>
      </c>
      <c r="BQ432" s="351">
        <v>0</v>
      </c>
      <c r="BR432" s="351">
        <v>0</v>
      </c>
      <c r="BS432" s="351">
        <v>0</v>
      </c>
      <c r="BT432" s="351">
        <v>444493000</v>
      </c>
      <c r="BU432" s="351" t="s">
        <v>1842</v>
      </c>
      <c r="BV432" s="350">
        <f t="shared" si="333"/>
        <v>7.6923076923076927E-2</v>
      </c>
      <c r="BW432" s="350">
        <v>4</v>
      </c>
      <c r="BX432" s="385">
        <f t="shared" si="371"/>
        <v>0.30769230769230771</v>
      </c>
      <c r="BY432" s="400">
        <v>1</v>
      </c>
      <c r="BZ432" s="416">
        <v>1</v>
      </c>
      <c r="CA432" s="691">
        <v>5</v>
      </c>
      <c r="CB432" s="324">
        <f t="shared" si="372"/>
        <v>5</v>
      </c>
      <c r="CC432" s="324">
        <f t="shared" si="373"/>
        <v>125</v>
      </c>
      <c r="CD432" s="384">
        <f t="shared" si="334"/>
        <v>100</v>
      </c>
      <c r="CE432" s="383">
        <f t="shared" si="335"/>
        <v>7.6923076923076927E-2</v>
      </c>
      <c r="CF432" s="367">
        <f t="shared" si="336"/>
        <v>100</v>
      </c>
      <c r="CG432" s="383">
        <f t="shared" si="337"/>
        <v>9.6153846153846173E-2</v>
      </c>
      <c r="CH432" s="320">
        <f t="shared" si="338"/>
        <v>5.7692307692307696E-2</v>
      </c>
      <c r="CI432" s="319">
        <v>3</v>
      </c>
      <c r="CJ432" s="318">
        <f t="shared" si="374"/>
        <v>0.23076923076923078</v>
      </c>
      <c r="CK432" s="1259">
        <v>3</v>
      </c>
      <c r="CL432" s="301">
        <f t="shared" si="320"/>
        <v>0</v>
      </c>
      <c r="CM432" s="381">
        <f t="shared" si="375"/>
        <v>3</v>
      </c>
      <c r="CN432" s="381">
        <f t="shared" si="376"/>
        <v>100</v>
      </c>
      <c r="CO432" s="316">
        <f t="shared" si="339"/>
        <v>100</v>
      </c>
      <c r="CP432" s="381">
        <f t="shared" si="340"/>
        <v>5.7692307692307689E-2</v>
      </c>
      <c r="CQ432" s="381">
        <f t="shared" si="341"/>
        <v>5.7692307692307689E-2</v>
      </c>
      <c r="CR432" s="313">
        <v>3050000000</v>
      </c>
      <c r="CS432" s="313">
        <v>2100000000</v>
      </c>
      <c r="CT432" s="313">
        <v>0</v>
      </c>
      <c r="CU432" s="313">
        <v>0</v>
      </c>
      <c r="CV432" s="313">
        <v>0</v>
      </c>
      <c r="CW432" s="313">
        <v>0</v>
      </c>
      <c r="CX432" s="313">
        <v>0</v>
      </c>
      <c r="CY432" s="313">
        <v>950000000</v>
      </c>
      <c r="CZ432" s="380">
        <v>0</v>
      </c>
      <c r="DA432" s="380">
        <v>0</v>
      </c>
      <c r="DB432" s="380">
        <v>0</v>
      </c>
      <c r="DC432" s="380">
        <v>0</v>
      </c>
      <c r="DD432" s="380">
        <v>0</v>
      </c>
      <c r="DE432" s="380">
        <v>0</v>
      </c>
      <c r="DF432" s="380">
        <v>0</v>
      </c>
      <c r="DG432" s="380">
        <v>0</v>
      </c>
      <c r="DH432" s="380">
        <v>0</v>
      </c>
      <c r="DI432" s="380">
        <v>0</v>
      </c>
      <c r="DJ432" s="380">
        <v>0</v>
      </c>
      <c r="DK432" s="702">
        <f t="shared" si="377"/>
        <v>14</v>
      </c>
      <c r="DL432" s="311">
        <f t="shared" si="342"/>
        <v>0.25</v>
      </c>
      <c r="DM432" s="310">
        <f t="shared" si="343"/>
        <v>107.69230769230769</v>
      </c>
      <c r="DN432" s="356">
        <f t="shared" si="344"/>
        <v>100</v>
      </c>
      <c r="DO432" s="308">
        <f t="shared" si="345"/>
        <v>0.25</v>
      </c>
      <c r="DP432" s="359">
        <f t="shared" si="349"/>
        <v>0.25</v>
      </c>
      <c r="DQ432" s="306">
        <f t="shared" si="346"/>
        <v>0.25</v>
      </c>
      <c r="DR432" s="379">
        <f t="shared" si="347"/>
        <v>1</v>
      </c>
      <c r="DS432" s="378">
        <f t="shared" si="348"/>
        <v>0</v>
      </c>
      <c r="DT432" s="173">
        <v>327</v>
      </c>
      <c r="DU432" s="174" t="s">
        <v>116</v>
      </c>
      <c r="DV432" s="173">
        <v>497</v>
      </c>
      <c r="DW432" s="174" t="s">
        <v>100</v>
      </c>
      <c r="DX432" s="173"/>
      <c r="DY432" s="173"/>
      <c r="DZ432" s="173"/>
      <c r="EA432" s="665"/>
      <c r="EB432" s="1254" t="s">
        <v>3143</v>
      </c>
      <c r="EC432" s="537">
        <v>828000000</v>
      </c>
      <c r="EE432" s="733">
        <v>1</v>
      </c>
      <c r="EF432" s="706"/>
    </row>
    <row r="433" spans="4:136" s="302" customFormat="1" ht="140.25" hidden="1">
      <c r="D433" s="520">
        <v>430</v>
      </c>
      <c r="E433" s="534">
        <v>501</v>
      </c>
      <c r="F433" s="336" t="s">
        <v>46</v>
      </c>
      <c r="G433" s="336" t="s">
        <v>9</v>
      </c>
      <c r="H433" s="336" t="s">
        <v>2676</v>
      </c>
      <c r="I433" s="336" t="s">
        <v>1044</v>
      </c>
      <c r="J433" s="335" t="s">
        <v>1302</v>
      </c>
      <c r="K433" s="335" t="s">
        <v>1045</v>
      </c>
      <c r="L433" s="358" t="s">
        <v>1415</v>
      </c>
      <c r="M433" s="334" t="s">
        <v>1771</v>
      </c>
      <c r="N433" s="337">
        <v>0</v>
      </c>
      <c r="O433" s="333">
        <f t="shared" si="350"/>
        <v>40</v>
      </c>
      <c r="P433" s="422">
        <v>40</v>
      </c>
      <c r="Q433" s="393">
        <v>0.16500000000000001</v>
      </c>
      <c r="R433" s="342">
        <f t="shared" si="326"/>
        <v>8.2500000000000004E-2</v>
      </c>
      <c r="S433" s="417">
        <v>20</v>
      </c>
      <c r="T433" s="337">
        <f t="shared" si="365"/>
        <v>0.5</v>
      </c>
      <c r="U433" s="673">
        <v>32</v>
      </c>
      <c r="V433" s="388">
        <f t="shared" si="366"/>
        <v>32</v>
      </c>
      <c r="W433" s="356">
        <f t="shared" si="367"/>
        <v>160</v>
      </c>
      <c r="X433" s="356">
        <f t="shared" si="327"/>
        <v>100</v>
      </c>
      <c r="Y433" s="356">
        <f t="shared" si="364"/>
        <v>8.2500000000000004E-2</v>
      </c>
      <c r="Z433" s="356">
        <f t="shared" si="328"/>
        <v>100</v>
      </c>
      <c r="AA433" s="413">
        <v>1650000000</v>
      </c>
      <c r="AB433" s="413">
        <v>1650000000</v>
      </c>
      <c r="AC433" s="413">
        <v>0</v>
      </c>
      <c r="AD433" s="413">
        <v>0</v>
      </c>
      <c r="AE433" s="413">
        <v>0</v>
      </c>
      <c r="AF433" s="413">
        <v>0</v>
      </c>
      <c r="AG433" s="413">
        <v>0</v>
      </c>
      <c r="AH433" s="413">
        <v>0</v>
      </c>
      <c r="AI433" s="413">
        <v>1650000000</v>
      </c>
      <c r="AJ433" s="413">
        <v>1650000000</v>
      </c>
      <c r="AK433" s="413">
        <v>0</v>
      </c>
      <c r="AL433" s="413">
        <v>0</v>
      </c>
      <c r="AM433" s="413">
        <v>0</v>
      </c>
      <c r="AN433" s="413">
        <v>0</v>
      </c>
      <c r="AO433" s="413">
        <v>0</v>
      </c>
      <c r="AP433" s="413">
        <v>0</v>
      </c>
      <c r="AQ433" s="413">
        <v>0</v>
      </c>
      <c r="AR433" s="413">
        <v>1815000000</v>
      </c>
      <c r="AS433" s="413" t="s">
        <v>1415</v>
      </c>
      <c r="AT433" s="392">
        <f t="shared" si="329"/>
        <v>4.1250000000000002E-2</v>
      </c>
      <c r="AU433" s="334">
        <v>10</v>
      </c>
      <c r="AV433" s="387">
        <f t="shared" si="368"/>
        <v>0.25</v>
      </c>
      <c r="AW433" s="677">
        <v>10</v>
      </c>
      <c r="AX433" s="366">
        <f t="shared" si="369"/>
        <v>10</v>
      </c>
      <c r="AY433" s="366">
        <f t="shared" si="370"/>
        <v>100</v>
      </c>
      <c r="AZ433" s="366">
        <f t="shared" si="330"/>
        <v>100</v>
      </c>
      <c r="BA433" s="354">
        <f t="shared" si="331"/>
        <v>4.1250000000000002E-2</v>
      </c>
      <c r="BB433" s="354">
        <f t="shared" si="332"/>
        <v>100</v>
      </c>
      <c r="BC433" s="353">
        <v>577000000</v>
      </c>
      <c r="BD433" s="353">
        <v>0</v>
      </c>
      <c r="BE433" s="353">
        <v>577000000</v>
      </c>
      <c r="BF433" s="353">
        <v>0</v>
      </c>
      <c r="BG433" s="353">
        <v>0</v>
      </c>
      <c r="BH433" s="353">
        <v>0</v>
      </c>
      <c r="BI433" s="353">
        <v>0</v>
      </c>
      <c r="BJ433" s="353">
        <v>0</v>
      </c>
      <c r="BK433" s="386">
        <v>300000000</v>
      </c>
      <c r="BL433" s="351">
        <v>300000000</v>
      </c>
      <c r="BM433" s="351">
        <v>0</v>
      </c>
      <c r="BN433" s="351">
        <v>0</v>
      </c>
      <c r="BO433" s="351">
        <v>0</v>
      </c>
      <c r="BP433" s="351">
        <v>0</v>
      </c>
      <c r="BQ433" s="351">
        <v>0</v>
      </c>
      <c r="BR433" s="351">
        <v>0</v>
      </c>
      <c r="BS433" s="351">
        <v>0</v>
      </c>
      <c r="BT433" s="351">
        <v>1650000000</v>
      </c>
      <c r="BU433" s="351" t="s">
        <v>1841</v>
      </c>
      <c r="BV433" s="350">
        <f t="shared" si="333"/>
        <v>2.0625000000000001E-2</v>
      </c>
      <c r="BW433" s="350">
        <v>5</v>
      </c>
      <c r="BX433" s="385">
        <f t="shared" si="371"/>
        <v>0.125</v>
      </c>
      <c r="BY433" s="400">
        <v>4</v>
      </c>
      <c r="BZ433" s="416">
        <v>0</v>
      </c>
      <c r="CA433" s="691">
        <v>0</v>
      </c>
      <c r="CB433" s="324">
        <f t="shared" si="372"/>
        <v>0</v>
      </c>
      <c r="CC433" s="324">
        <f t="shared" si="373"/>
        <v>0</v>
      </c>
      <c r="CD433" s="384">
        <f t="shared" si="334"/>
        <v>0</v>
      </c>
      <c r="CE433" s="383">
        <f t="shared" si="335"/>
        <v>0</v>
      </c>
      <c r="CF433" s="367">
        <f t="shared" si="336"/>
        <v>0</v>
      </c>
      <c r="CG433" s="383">
        <f t="shared" si="337"/>
        <v>0</v>
      </c>
      <c r="CH433" s="320">
        <f t="shared" si="338"/>
        <v>2.0625000000000001E-2</v>
      </c>
      <c r="CI433" s="319">
        <v>5</v>
      </c>
      <c r="CJ433" s="318">
        <f t="shared" si="374"/>
        <v>0.125</v>
      </c>
      <c r="CK433" s="1259">
        <v>0</v>
      </c>
      <c r="CL433" s="301">
        <f t="shared" si="320"/>
        <v>5</v>
      </c>
      <c r="CM433" s="381">
        <f t="shared" si="375"/>
        <v>0</v>
      </c>
      <c r="CN433" s="381">
        <f t="shared" si="376"/>
        <v>0</v>
      </c>
      <c r="CO433" s="316">
        <f t="shared" si="339"/>
        <v>0</v>
      </c>
      <c r="CP433" s="381">
        <f t="shared" si="340"/>
        <v>0</v>
      </c>
      <c r="CQ433" s="381">
        <f t="shared" si="341"/>
        <v>0</v>
      </c>
      <c r="CR433" s="313">
        <v>612000000</v>
      </c>
      <c r="CS433" s="313">
        <v>612000000</v>
      </c>
      <c r="CT433" s="313">
        <v>0</v>
      </c>
      <c r="CU433" s="313">
        <v>0</v>
      </c>
      <c r="CV433" s="313">
        <v>0</v>
      </c>
      <c r="CW433" s="313">
        <v>0</v>
      </c>
      <c r="CX433" s="313">
        <v>0</v>
      </c>
      <c r="CY433" s="313">
        <v>0</v>
      </c>
      <c r="CZ433" s="380">
        <v>0</v>
      </c>
      <c r="DA433" s="380">
        <v>0</v>
      </c>
      <c r="DB433" s="380">
        <v>0</v>
      </c>
      <c r="DC433" s="380">
        <v>0</v>
      </c>
      <c r="DD433" s="380">
        <v>0</v>
      </c>
      <c r="DE433" s="380">
        <v>0</v>
      </c>
      <c r="DF433" s="380">
        <v>0</v>
      </c>
      <c r="DG433" s="380">
        <v>0</v>
      </c>
      <c r="DH433" s="380">
        <v>0</v>
      </c>
      <c r="DI433" s="380">
        <v>0</v>
      </c>
      <c r="DJ433" s="380">
        <v>0</v>
      </c>
      <c r="DK433" s="702">
        <f t="shared" si="377"/>
        <v>42</v>
      </c>
      <c r="DL433" s="311">
        <f t="shared" si="342"/>
        <v>0.16500000000000001</v>
      </c>
      <c r="DM433" s="310">
        <f t="shared" si="343"/>
        <v>105</v>
      </c>
      <c r="DN433" s="356">
        <f t="shared" si="344"/>
        <v>100</v>
      </c>
      <c r="DO433" s="308">
        <f t="shared" si="345"/>
        <v>0.16500000000000001</v>
      </c>
      <c r="DP433" s="359">
        <f t="shared" si="349"/>
        <v>0.16500000000000001</v>
      </c>
      <c r="DQ433" s="306">
        <f t="shared" si="346"/>
        <v>0.16500000000000001</v>
      </c>
      <c r="DR433" s="379">
        <f t="shared" si="347"/>
        <v>1</v>
      </c>
      <c r="DS433" s="378">
        <f t="shared" si="348"/>
        <v>0</v>
      </c>
      <c r="DT433" s="173">
        <v>611</v>
      </c>
      <c r="DU433" s="174" t="s">
        <v>98</v>
      </c>
      <c r="DV433" s="173"/>
      <c r="DW433" s="174" t="s">
        <v>84</v>
      </c>
      <c r="DX433" s="173"/>
      <c r="DY433" s="173"/>
      <c r="DZ433" s="173"/>
      <c r="EA433" s="665"/>
      <c r="EB433" s="1254" t="s">
        <v>2128</v>
      </c>
      <c r="EC433" s="537">
        <v>0</v>
      </c>
      <c r="EE433" s="733">
        <v>1</v>
      </c>
      <c r="EF433" s="706"/>
    </row>
    <row r="434" spans="4:136" s="302" customFormat="1" ht="60" hidden="1">
      <c r="D434" s="520">
        <v>431</v>
      </c>
      <c r="E434" s="534">
        <v>502</v>
      </c>
      <c r="F434" s="479" t="s">
        <v>46</v>
      </c>
      <c r="G434" s="479" t="s">
        <v>9</v>
      </c>
      <c r="H434" s="479" t="s">
        <v>2676</v>
      </c>
      <c r="I434" s="435" t="s">
        <v>1044</v>
      </c>
      <c r="J434" s="335" t="s">
        <v>1046</v>
      </c>
      <c r="K434" s="335" t="s">
        <v>1047</v>
      </c>
      <c r="L434" s="407" t="s">
        <v>1485</v>
      </c>
      <c r="M434" s="334" t="s">
        <v>1785</v>
      </c>
      <c r="N434" s="337">
        <v>0</v>
      </c>
      <c r="O434" s="333">
        <f>+P434</f>
        <v>15</v>
      </c>
      <c r="P434" s="332">
        <v>15</v>
      </c>
      <c r="Q434" s="390">
        <v>0.16500000000000001</v>
      </c>
      <c r="R434" s="342">
        <f t="shared" si="326"/>
        <v>4.1250000000000002E-2</v>
      </c>
      <c r="S434" s="417">
        <v>15</v>
      </c>
      <c r="T434" s="337">
        <f t="shared" si="365"/>
        <v>0.25</v>
      </c>
      <c r="U434" s="673">
        <v>15</v>
      </c>
      <c r="V434" s="388">
        <f t="shared" si="366"/>
        <v>3.75</v>
      </c>
      <c r="W434" s="356">
        <f t="shared" si="367"/>
        <v>100</v>
      </c>
      <c r="X434" s="356">
        <f t="shared" si="327"/>
        <v>100</v>
      </c>
      <c r="Y434" s="356">
        <f t="shared" si="364"/>
        <v>4.1250000000000002E-2</v>
      </c>
      <c r="Z434" s="356">
        <f t="shared" si="328"/>
        <v>100</v>
      </c>
      <c r="AA434" s="413">
        <v>13267000000</v>
      </c>
      <c r="AB434" s="413">
        <v>8884000000</v>
      </c>
      <c r="AC434" s="413">
        <v>0</v>
      </c>
      <c r="AD434" s="413">
        <v>4295000000</v>
      </c>
      <c r="AE434" s="413">
        <v>0</v>
      </c>
      <c r="AF434" s="413">
        <v>0</v>
      </c>
      <c r="AG434" s="413">
        <v>0</v>
      </c>
      <c r="AH434" s="413">
        <v>88000000</v>
      </c>
      <c r="AI434" s="413">
        <v>5649953000</v>
      </c>
      <c r="AJ434" s="413">
        <v>5649953000</v>
      </c>
      <c r="AK434" s="413">
        <v>0</v>
      </c>
      <c r="AL434" s="413">
        <v>0</v>
      </c>
      <c r="AM434" s="413">
        <v>0</v>
      </c>
      <c r="AN434" s="413">
        <v>0</v>
      </c>
      <c r="AO434" s="413">
        <v>0</v>
      </c>
      <c r="AP434" s="413">
        <v>0</v>
      </c>
      <c r="AQ434" s="413">
        <v>0</v>
      </c>
      <c r="AR434" s="413">
        <v>6933226000</v>
      </c>
      <c r="AS434" s="413" t="s">
        <v>1840</v>
      </c>
      <c r="AT434" s="333">
        <f t="shared" si="329"/>
        <v>4.1250000000000002E-2</v>
      </c>
      <c r="AU434" s="334">
        <v>15</v>
      </c>
      <c r="AV434" s="387">
        <f t="shared" si="368"/>
        <v>0.25</v>
      </c>
      <c r="AW434" s="677">
        <v>15</v>
      </c>
      <c r="AX434" s="366">
        <f t="shared" si="369"/>
        <v>3.75</v>
      </c>
      <c r="AY434" s="366">
        <f t="shared" si="370"/>
        <v>100</v>
      </c>
      <c r="AZ434" s="366">
        <f t="shared" si="330"/>
        <v>100</v>
      </c>
      <c r="BA434" s="354">
        <f t="shared" si="331"/>
        <v>4.1250000000000002E-2</v>
      </c>
      <c r="BB434" s="354">
        <f t="shared" si="332"/>
        <v>100</v>
      </c>
      <c r="BC434" s="353">
        <v>1942000000</v>
      </c>
      <c r="BD434" s="353">
        <v>0</v>
      </c>
      <c r="BE434" s="353">
        <v>1942000000</v>
      </c>
      <c r="BF434" s="353">
        <v>0</v>
      </c>
      <c r="BG434" s="353">
        <v>0</v>
      </c>
      <c r="BH434" s="353">
        <v>0</v>
      </c>
      <c r="BI434" s="353">
        <v>0</v>
      </c>
      <c r="BJ434" s="353">
        <v>0</v>
      </c>
      <c r="BK434" s="386">
        <v>15340458453</v>
      </c>
      <c r="BL434" s="351">
        <v>15340458453</v>
      </c>
      <c r="BM434" s="351">
        <v>0</v>
      </c>
      <c r="BN434" s="351">
        <v>0</v>
      </c>
      <c r="BO434" s="351">
        <v>0</v>
      </c>
      <c r="BP434" s="351">
        <v>0</v>
      </c>
      <c r="BQ434" s="351">
        <v>0</v>
      </c>
      <c r="BR434" s="351">
        <v>0</v>
      </c>
      <c r="BS434" s="351">
        <v>0</v>
      </c>
      <c r="BT434" s="351">
        <v>10058874880</v>
      </c>
      <c r="BU434" s="351" t="s">
        <v>1839</v>
      </c>
      <c r="BV434" s="350">
        <f t="shared" si="333"/>
        <v>4.1250000000000002E-2</v>
      </c>
      <c r="BW434" s="350">
        <v>15</v>
      </c>
      <c r="BX434" s="385">
        <f t="shared" si="371"/>
        <v>0.25</v>
      </c>
      <c r="BY434" s="369">
        <v>15</v>
      </c>
      <c r="BZ434" s="391">
        <v>15</v>
      </c>
      <c r="CA434" s="689">
        <v>15</v>
      </c>
      <c r="CB434" s="324">
        <f t="shared" si="372"/>
        <v>3.75</v>
      </c>
      <c r="CC434" s="324">
        <f t="shared" si="373"/>
        <v>100</v>
      </c>
      <c r="CD434" s="384">
        <f t="shared" si="334"/>
        <v>100</v>
      </c>
      <c r="CE434" s="383">
        <f t="shared" si="335"/>
        <v>4.1250000000000002E-2</v>
      </c>
      <c r="CF434" s="367">
        <f t="shared" si="336"/>
        <v>100</v>
      </c>
      <c r="CG434" s="383">
        <f t="shared" si="337"/>
        <v>4.1250000000000002E-2</v>
      </c>
      <c r="CH434" s="320">
        <f t="shared" si="338"/>
        <v>4.1250000000000002E-2</v>
      </c>
      <c r="CI434" s="319">
        <v>3</v>
      </c>
      <c r="CJ434" s="318">
        <f t="shared" si="374"/>
        <v>0.25</v>
      </c>
      <c r="CK434" s="1259">
        <v>15</v>
      </c>
      <c r="CL434" s="301">
        <f t="shared" si="320"/>
        <v>-12</v>
      </c>
      <c r="CM434" s="381">
        <f t="shared" si="375"/>
        <v>3.75</v>
      </c>
      <c r="CN434" s="381">
        <f t="shared" si="376"/>
        <v>500</v>
      </c>
      <c r="CO434" s="381">
        <f t="shared" si="339"/>
        <v>100</v>
      </c>
      <c r="CP434" s="381">
        <f t="shared" si="340"/>
        <v>4.1250000000000002E-2</v>
      </c>
      <c r="CQ434" s="381">
        <f t="shared" si="341"/>
        <v>0.20624999999999999</v>
      </c>
      <c r="CR434" s="313">
        <v>2060000000</v>
      </c>
      <c r="CS434" s="313">
        <v>2060000000</v>
      </c>
      <c r="CT434" s="313">
        <v>0</v>
      </c>
      <c r="CU434" s="313">
        <v>0</v>
      </c>
      <c r="CV434" s="313">
        <v>0</v>
      </c>
      <c r="CW434" s="313">
        <v>0</v>
      </c>
      <c r="CX434" s="313">
        <v>0</v>
      </c>
      <c r="CY434" s="313">
        <v>0</v>
      </c>
      <c r="CZ434" s="380">
        <v>0</v>
      </c>
      <c r="DA434" s="380">
        <v>0</v>
      </c>
      <c r="DB434" s="380">
        <v>0</v>
      </c>
      <c r="DC434" s="380">
        <v>0</v>
      </c>
      <c r="DD434" s="380">
        <v>0</v>
      </c>
      <c r="DE434" s="380">
        <v>0</v>
      </c>
      <c r="DF434" s="380">
        <v>0</v>
      </c>
      <c r="DG434" s="380">
        <v>0</v>
      </c>
      <c r="DH434" s="380">
        <v>0</v>
      </c>
      <c r="DI434" s="380">
        <v>0</v>
      </c>
      <c r="DJ434" s="380">
        <v>0</v>
      </c>
      <c r="DK434" s="702">
        <f t="shared" si="377"/>
        <v>15</v>
      </c>
      <c r="DL434" s="311">
        <f t="shared" si="342"/>
        <v>0.16500000000000001</v>
      </c>
      <c r="DM434" s="310">
        <f t="shared" si="343"/>
        <v>100</v>
      </c>
      <c r="DN434" s="356">
        <f t="shared" si="344"/>
        <v>100</v>
      </c>
      <c r="DO434" s="308">
        <f t="shared" si="345"/>
        <v>0.16500000000000001</v>
      </c>
      <c r="DP434" s="359">
        <f>+IF(M434="M",DO434,0)</f>
        <v>0.16500000000000001</v>
      </c>
      <c r="DQ434" s="306">
        <f t="shared" si="346"/>
        <v>0.16500000000000001</v>
      </c>
      <c r="DR434" s="379">
        <f t="shared" si="347"/>
        <v>1</v>
      </c>
      <c r="DS434" s="378">
        <f t="shared" si="348"/>
        <v>0</v>
      </c>
      <c r="DT434" s="173">
        <v>611</v>
      </c>
      <c r="DU434" s="174" t="s">
        <v>98</v>
      </c>
      <c r="DV434" s="173"/>
      <c r="DW434" s="174" t="s">
        <v>84</v>
      </c>
      <c r="DX434" s="173"/>
      <c r="DY434" s="173"/>
      <c r="DZ434" s="173"/>
      <c r="EA434" s="665"/>
      <c r="EB434" s="1254" t="s">
        <v>2129</v>
      </c>
      <c r="EC434" s="537">
        <v>150000000</v>
      </c>
      <c r="EE434" s="733">
        <v>0</v>
      </c>
      <c r="EF434" s="706"/>
    </row>
    <row r="435" spans="4:136" s="302" customFormat="1" ht="60" hidden="1">
      <c r="D435" s="520">
        <v>432</v>
      </c>
      <c r="E435" s="534">
        <v>503</v>
      </c>
      <c r="F435" s="479" t="s">
        <v>46</v>
      </c>
      <c r="G435" s="479" t="s">
        <v>9</v>
      </c>
      <c r="H435" s="479" t="s">
        <v>2676</v>
      </c>
      <c r="I435" s="435" t="s">
        <v>1044</v>
      </c>
      <c r="J435" s="335" t="s">
        <v>1048</v>
      </c>
      <c r="K435" s="335" t="s">
        <v>1049</v>
      </c>
      <c r="L435" s="407" t="s">
        <v>1838</v>
      </c>
      <c r="M435" s="334" t="s">
        <v>1771</v>
      </c>
      <c r="N435" s="337">
        <v>0</v>
      </c>
      <c r="O435" s="333">
        <f t="shared" ref="O435:O459" si="378">+N435+P435</f>
        <v>5</v>
      </c>
      <c r="P435" s="422">
        <v>5</v>
      </c>
      <c r="Q435" s="390">
        <v>0.16500000000000001</v>
      </c>
      <c r="R435" s="342">
        <f t="shared" si="326"/>
        <v>0</v>
      </c>
      <c r="S435" s="417">
        <v>0</v>
      </c>
      <c r="T435" s="337">
        <f t="shared" si="365"/>
        <v>0</v>
      </c>
      <c r="U435" s="673">
        <v>0</v>
      </c>
      <c r="V435" s="388">
        <f t="shared" si="366"/>
        <v>0</v>
      </c>
      <c r="W435" s="356">
        <f t="shared" si="367"/>
        <v>0</v>
      </c>
      <c r="X435" s="356">
        <f t="shared" si="327"/>
        <v>0</v>
      </c>
      <c r="Y435" s="356">
        <f t="shared" si="364"/>
        <v>0</v>
      </c>
      <c r="Z435" s="356">
        <f t="shared" si="328"/>
        <v>0</v>
      </c>
      <c r="AA435" s="413">
        <v>1290000000</v>
      </c>
      <c r="AB435" s="413">
        <v>1290000000</v>
      </c>
      <c r="AC435" s="413">
        <v>0</v>
      </c>
      <c r="AD435" s="413">
        <v>0</v>
      </c>
      <c r="AE435" s="413">
        <v>0</v>
      </c>
      <c r="AF435" s="413">
        <v>0</v>
      </c>
      <c r="AG435" s="413">
        <v>0</v>
      </c>
      <c r="AH435" s="413">
        <v>0</v>
      </c>
      <c r="AI435" s="413">
        <v>0</v>
      </c>
      <c r="AJ435" s="413">
        <v>0</v>
      </c>
      <c r="AK435" s="413">
        <v>0</v>
      </c>
      <c r="AL435" s="413">
        <v>0</v>
      </c>
      <c r="AM435" s="413">
        <v>0</v>
      </c>
      <c r="AN435" s="413">
        <v>0</v>
      </c>
      <c r="AO435" s="413">
        <v>0</v>
      </c>
      <c r="AP435" s="413">
        <v>0</v>
      </c>
      <c r="AQ435" s="413">
        <v>0</v>
      </c>
      <c r="AR435" s="413">
        <v>0</v>
      </c>
      <c r="AS435" s="413">
        <v>0</v>
      </c>
      <c r="AT435" s="333">
        <f t="shared" si="329"/>
        <v>6.6000000000000003E-2</v>
      </c>
      <c r="AU435" s="334">
        <v>2</v>
      </c>
      <c r="AV435" s="387">
        <f t="shared" si="368"/>
        <v>0.4</v>
      </c>
      <c r="AW435" s="677">
        <v>6</v>
      </c>
      <c r="AX435" s="366">
        <f t="shared" si="369"/>
        <v>6</v>
      </c>
      <c r="AY435" s="366">
        <f t="shared" si="370"/>
        <v>300</v>
      </c>
      <c r="AZ435" s="366">
        <f t="shared" si="330"/>
        <v>100</v>
      </c>
      <c r="BA435" s="354">
        <f t="shared" si="331"/>
        <v>6.6000000000000003E-2</v>
      </c>
      <c r="BB435" s="354">
        <f t="shared" si="332"/>
        <v>100</v>
      </c>
      <c r="BC435" s="353">
        <v>527000000</v>
      </c>
      <c r="BD435" s="353">
        <v>0</v>
      </c>
      <c r="BE435" s="353">
        <v>527000000</v>
      </c>
      <c r="BF435" s="353">
        <v>0</v>
      </c>
      <c r="BG435" s="353">
        <v>0</v>
      </c>
      <c r="BH435" s="353">
        <v>0</v>
      </c>
      <c r="BI435" s="353">
        <v>0</v>
      </c>
      <c r="BJ435" s="353">
        <v>0</v>
      </c>
      <c r="BK435" s="386">
        <v>1212569000</v>
      </c>
      <c r="BL435" s="351">
        <v>1212569000</v>
      </c>
      <c r="BM435" s="351">
        <v>0</v>
      </c>
      <c r="BN435" s="351">
        <v>0</v>
      </c>
      <c r="BO435" s="351">
        <v>0</v>
      </c>
      <c r="BP435" s="351">
        <v>0</v>
      </c>
      <c r="BQ435" s="351">
        <v>0</v>
      </c>
      <c r="BR435" s="351">
        <v>0</v>
      </c>
      <c r="BS435" s="351">
        <v>0</v>
      </c>
      <c r="BT435" s="351">
        <v>0</v>
      </c>
      <c r="BU435" s="351">
        <v>0</v>
      </c>
      <c r="BV435" s="350">
        <f t="shared" si="333"/>
        <v>3.3000000000000002E-2</v>
      </c>
      <c r="BW435" s="350">
        <v>1</v>
      </c>
      <c r="BX435" s="385">
        <f t="shared" si="371"/>
        <v>0.2</v>
      </c>
      <c r="BY435" s="369">
        <v>2</v>
      </c>
      <c r="BZ435" s="391">
        <v>2</v>
      </c>
      <c r="CA435" s="689">
        <v>3</v>
      </c>
      <c r="CB435" s="324">
        <f t="shared" si="372"/>
        <v>3</v>
      </c>
      <c r="CC435" s="324">
        <f t="shared" si="373"/>
        <v>300</v>
      </c>
      <c r="CD435" s="384">
        <f t="shared" si="334"/>
        <v>100</v>
      </c>
      <c r="CE435" s="383">
        <f t="shared" si="335"/>
        <v>3.3000000000000002E-2</v>
      </c>
      <c r="CF435" s="367">
        <f t="shared" si="336"/>
        <v>100</v>
      </c>
      <c r="CG435" s="383">
        <f t="shared" si="337"/>
        <v>9.9000000000000005E-2</v>
      </c>
      <c r="CH435" s="320">
        <f t="shared" si="338"/>
        <v>6.6000000000000003E-2</v>
      </c>
      <c r="CI435" s="319">
        <v>2</v>
      </c>
      <c r="CJ435" s="318">
        <f t="shared" si="374"/>
        <v>0.4</v>
      </c>
      <c r="CK435" s="1259">
        <v>5</v>
      </c>
      <c r="CL435" s="301">
        <f t="shared" si="320"/>
        <v>-3</v>
      </c>
      <c r="CM435" s="381">
        <f t="shared" si="375"/>
        <v>5</v>
      </c>
      <c r="CN435" s="381">
        <f t="shared" si="376"/>
        <v>250</v>
      </c>
      <c r="CO435" s="316">
        <f t="shared" si="339"/>
        <v>100</v>
      </c>
      <c r="CP435" s="381">
        <f t="shared" si="340"/>
        <v>6.6000000000000003E-2</v>
      </c>
      <c r="CQ435" s="381">
        <f t="shared" si="341"/>
        <v>0.16500000000000001</v>
      </c>
      <c r="CR435" s="313">
        <v>559000000</v>
      </c>
      <c r="CS435" s="313">
        <v>559000000</v>
      </c>
      <c r="CT435" s="313">
        <v>0</v>
      </c>
      <c r="CU435" s="313">
        <v>0</v>
      </c>
      <c r="CV435" s="313">
        <v>0</v>
      </c>
      <c r="CW435" s="313">
        <v>0</v>
      </c>
      <c r="CX435" s="313">
        <v>0</v>
      </c>
      <c r="CY435" s="313">
        <v>0</v>
      </c>
      <c r="CZ435" s="380">
        <v>0</v>
      </c>
      <c r="DA435" s="380">
        <v>0</v>
      </c>
      <c r="DB435" s="380">
        <v>0</v>
      </c>
      <c r="DC435" s="380">
        <v>0</v>
      </c>
      <c r="DD435" s="380">
        <v>0</v>
      </c>
      <c r="DE435" s="380">
        <v>0</v>
      </c>
      <c r="DF435" s="380">
        <v>0</v>
      </c>
      <c r="DG435" s="380">
        <v>0</v>
      </c>
      <c r="DH435" s="380">
        <v>0</v>
      </c>
      <c r="DI435" s="380">
        <v>0</v>
      </c>
      <c r="DJ435" s="380">
        <v>0</v>
      </c>
      <c r="DK435" s="702">
        <f t="shared" si="377"/>
        <v>14</v>
      </c>
      <c r="DL435" s="311">
        <f t="shared" si="342"/>
        <v>0.16500000000000001</v>
      </c>
      <c r="DM435" s="310">
        <f t="shared" si="343"/>
        <v>280</v>
      </c>
      <c r="DN435" s="356">
        <f t="shared" si="344"/>
        <v>100</v>
      </c>
      <c r="DO435" s="308">
        <f t="shared" si="345"/>
        <v>0.16500000000000001</v>
      </c>
      <c r="DP435" s="359">
        <f t="shared" ref="DP435:DP462" si="379">+IF(((DN435*Q435)/100)&lt;Q435, ((DN435*Q435)/100),Q435)</f>
        <v>0.16500000000000001</v>
      </c>
      <c r="DQ435" s="306">
        <f t="shared" si="346"/>
        <v>0.16500000000000001</v>
      </c>
      <c r="DR435" s="379">
        <f t="shared" si="347"/>
        <v>1</v>
      </c>
      <c r="DS435" s="378">
        <f t="shared" si="348"/>
        <v>0</v>
      </c>
      <c r="DT435" s="173">
        <v>611</v>
      </c>
      <c r="DU435" s="174" t="s">
        <v>98</v>
      </c>
      <c r="DV435" s="173"/>
      <c r="DW435" s="174" t="s">
        <v>84</v>
      </c>
      <c r="DX435" s="173"/>
      <c r="DY435" s="173"/>
      <c r="DZ435" s="173"/>
      <c r="EA435" s="665"/>
      <c r="EB435" s="1254" t="s">
        <v>2130</v>
      </c>
      <c r="EC435" s="537">
        <v>2775000000</v>
      </c>
      <c r="EE435" s="734">
        <v>1</v>
      </c>
      <c r="EF435" s="706"/>
    </row>
    <row r="436" spans="4:136" s="302" customFormat="1" ht="60" hidden="1">
      <c r="D436" s="520">
        <v>433</v>
      </c>
      <c r="E436" s="534">
        <v>504</v>
      </c>
      <c r="F436" s="479" t="s">
        <v>46</v>
      </c>
      <c r="G436" s="479" t="s">
        <v>9</v>
      </c>
      <c r="H436" s="479" t="s">
        <v>2676</v>
      </c>
      <c r="I436" s="435" t="s">
        <v>1044</v>
      </c>
      <c r="J436" s="335" t="s">
        <v>1050</v>
      </c>
      <c r="K436" s="335" t="s">
        <v>2334</v>
      </c>
      <c r="L436" s="407" t="s">
        <v>1838</v>
      </c>
      <c r="M436" s="334" t="s">
        <v>1771</v>
      </c>
      <c r="N436" s="337">
        <v>0</v>
      </c>
      <c r="O436" s="333">
        <f t="shared" si="378"/>
        <v>5</v>
      </c>
      <c r="P436" s="422">
        <v>5</v>
      </c>
      <c r="Q436" s="390">
        <v>0.16500000000000001</v>
      </c>
      <c r="R436" s="342">
        <f t="shared" si="326"/>
        <v>6.6000000000000003E-2</v>
      </c>
      <c r="S436" s="417">
        <v>2</v>
      </c>
      <c r="T436" s="337">
        <f t="shared" si="365"/>
        <v>0.4</v>
      </c>
      <c r="U436" s="673">
        <v>2</v>
      </c>
      <c r="V436" s="388">
        <f t="shared" si="366"/>
        <v>2</v>
      </c>
      <c r="W436" s="356">
        <f t="shared" si="367"/>
        <v>100</v>
      </c>
      <c r="X436" s="356">
        <f t="shared" si="327"/>
        <v>100</v>
      </c>
      <c r="Y436" s="356">
        <f t="shared" si="364"/>
        <v>6.6000000000000003E-2</v>
      </c>
      <c r="Z436" s="356">
        <f t="shared" si="328"/>
        <v>100</v>
      </c>
      <c r="AA436" s="413">
        <v>281000000</v>
      </c>
      <c r="AB436" s="413">
        <v>281000000</v>
      </c>
      <c r="AC436" s="413">
        <v>0</v>
      </c>
      <c r="AD436" s="413">
        <v>0</v>
      </c>
      <c r="AE436" s="413">
        <v>0</v>
      </c>
      <c r="AF436" s="413">
        <v>0</v>
      </c>
      <c r="AG436" s="413">
        <v>0</v>
      </c>
      <c r="AH436" s="413">
        <v>0</v>
      </c>
      <c r="AI436" s="413">
        <v>280583000</v>
      </c>
      <c r="AJ436" s="413">
        <v>280583000</v>
      </c>
      <c r="AK436" s="413">
        <v>0</v>
      </c>
      <c r="AL436" s="413">
        <v>0</v>
      </c>
      <c r="AM436" s="413">
        <v>0</v>
      </c>
      <c r="AN436" s="413">
        <v>0</v>
      </c>
      <c r="AO436" s="413">
        <v>0</v>
      </c>
      <c r="AP436" s="413">
        <v>0</v>
      </c>
      <c r="AQ436" s="413">
        <v>0</v>
      </c>
      <c r="AR436" s="413">
        <v>0</v>
      </c>
      <c r="AS436" s="413">
        <v>0</v>
      </c>
      <c r="AT436" s="333">
        <f t="shared" si="329"/>
        <v>3.3000000000000002E-2</v>
      </c>
      <c r="AU436" s="334">
        <v>1</v>
      </c>
      <c r="AV436" s="387">
        <f t="shared" si="368"/>
        <v>0.2</v>
      </c>
      <c r="AW436" s="677">
        <v>1</v>
      </c>
      <c r="AX436" s="366">
        <f t="shared" si="369"/>
        <v>1</v>
      </c>
      <c r="AY436" s="366">
        <f t="shared" si="370"/>
        <v>100</v>
      </c>
      <c r="AZ436" s="366">
        <f t="shared" si="330"/>
        <v>100</v>
      </c>
      <c r="BA436" s="354">
        <f t="shared" si="331"/>
        <v>3.3000000000000002E-2</v>
      </c>
      <c r="BB436" s="354">
        <f t="shared" si="332"/>
        <v>100</v>
      </c>
      <c r="BC436" s="353">
        <v>2499000000</v>
      </c>
      <c r="BD436" s="353">
        <v>0</v>
      </c>
      <c r="BE436" s="353">
        <v>2499000000</v>
      </c>
      <c r="BF436" s="353">
        <v>0</v>
      </c>
      <c r="BG436" s="353">
        <v>0</v>
      </c>
      <c r="BH436" s="353">
        <v>0</v>
      </c>
      <c r="BI436" s="353">
        <v>0</v>
      </c>
      <c r="BJ436" s="353">
        <v>0</v>
      </c>
      <c r="BK436" s="386">
        <v>150000000</v>
      </c>
      <c r="BL436" s="351">
        <v>150000000</v>
      </c>
      <c r="BM436" s="351">
        <v>0</v>
      </c>
      <c r="BN436" s="351">
        <v>0</v>
      </c>
      <c r="BO436" s="351">
        <v>0</v>
      </c>
      <c r="BP436" s="351">
        <v>0</v>
      </c>
      <c r="BQ436" s="351">
        <v>0</v>
      </c>
      <c r="BR436" s="351">
        <v>0</v>
      </c>
      <c r="BS436" s="351">
        <v>0</v>
      </c>
      <c r="BT436" s="351">
        <v>0</v>
      </c>
      <c r="BU436" s="351">
        <v>0</v>
      </c>
      <c r="BV436" s="350">
        <f t="shared" si="333"/>
        <v>3.3000000000000002E-2</v>
      </c>
      <c r="BW436" s="350">
        <v>1</v>
      </c>
      <c r="BX436" s="385">
        <f t="shared" si="371"/>
        <v>0.2</v>
      </c>
      <c r="BY436" s="369">
        <v>3</v>
      </c>
      <c r="BZ436" s="391">
        <v>0</v>
      </c>
      <c r="CA436" s="689">
        <v>3</v>
      </c>
      <c r="CB436" s="324">
        <f t="shared" si="372"/>
        <v>3</v>
      </c>
      <c r="CC436" s="324">
        <f t="shared" si="373"/>
        <v>300</v>
      </c>
      <c r="CD436" s="384">
        <f t="shared" si="334"/>
        <v>100</v>
      </c>
      <c r="CE436" s="383">
        <f t="shared" si="335"/>
        <v>3.3000000000000002E-2</v>
      </c>
      <c r="CF436" s="367">
        <f t="shared" si="336"/>
        <v>100</v>
      </c>
      <c r="CG436" s="383">
        <f t="shared" si="337"/>
        <v>9.9000000000000005E-2</v>
      </c>
      <c r="CH436" s="320">
        <f t="shared" si="338"/>
        <v>3.3000000000000002E-2</v>
      </c>
      <c r="CI436" s="319">
        <v>1</v>
      </c>
      <c r="CJ436" s="318">
        <f t="shared" si="374"/>
        <v>0.2</v>
      </c>
      <c r="CK436" s="1259">
        <v>2</v>
      </c>
      <c r="CL436" s="301">
        <f t="shared" ref="CL436:CL499" si="380">+CI436-CK436</f>
        <v>-1</v>
      </c>
      <c r="CM436" s="381">
        <f t="shared" si="375"/>
        <v>2</v>
      </c>
      <c r="CN436" s="381">
        <f t="shared" si="376"/>
        <v>200</v>
      </c>
      <c r="CO436" s="316">
        <f t="shared" si="339"/>
        <v>100</v>
      </c>
      <c r="CP436" s="381">
        <f t="shared" si="340"/>
        <v>3.3000000000000002E-2</v>
      </c>
      <c r="CQ436" s="381">
        <f t="shared" si="341"/>
        <v>6.6000000000000003E-2</v>
      </c>
      <c r="CR436" s="313">
        <v>2651000000</v>
      </c>
      <c r="CS436" s="313">
        <v>2651000000</v>
      </c>
      <c r="CT436" s="313">
        <v>0</v>
      </c>
      <c r="CU436" s="313">
        <v>0</v>
      </c>
      <c r="CV436" s="313">
        <v>0</v>
      </c>
      <c r="CW436" s="313">
        <v>0</v>
      </c>
      <c r="CX436" s="313">
        <v>0</v>
      </c>
      <c r="CY436" s="313">
        <v>0</v>
      </c>
      <c r="CZ436" s="380">
        <v>0</v>
      </c>
      <c r="DA436" s="380">
        <v>0</v>
      </c>
      <c r="DB436" s="380">
        <v>0</v>
      </c>
      <c r="DC436" s="380">
        <v>0</v>
      </c>
      <c r="DD436" s="380">
        <v>0</v>
      </c>
      <c r="DE436" s="380">
        <v>0</v>
      </c>
      <c r="DF436" s="380">
        <v>0</v>
      </c>
      <c r="DG436" s="380">
        <v>0</v>
      </c>
      <c r="DH436" s="380">
        <v>0</v>
      </c>
      <c r="DI436" s="380">
        <v>0</v>
      </c>
      <c r="DJ436" s="380">
        <v>0</v>
      </c>
      <c r="DK436" s="702">
        <f t="shared" si="377"/>
        <v>8</v>
      </c>
      <c r="DL436" s="311">
        <f t="shared" si="342"/>
        <v>0.16500000000000001</v>
      </c>
      <c r="DM436" s="310">
        <f t="shared" si="343"/>
        <v>160</v>
      </c>
      <c r="DN436" s="356">
        <f t="shared" si="344"/>
        <v>100</v>
      </c>
      <c r="DO436" s="308">
        <f t="shared" si="345"/>
        <v>0.16500000000000001</v>
      </c>
      <c r="DP436" s="359">
        <f t="shared" si="379"/>
        <v>0.16500000000000001</v>
      </c>
      <c r="DQ436" s="306">
        <f t="shared" si="346"/>
        <v>0.16500000000000001</v>
      </c>
      <c r="DR436" s="379">
        <f t="shared" si="347"/>
        <v>1</v>
      </c>
      <c r="DS436" s="378">
        <f t="shared" si="348"/>
        <v>0</v>
      </c>
      <c r="DT436" s="173">
        <v>611</v>
      </c>
      <c r="DU436" s="174" t="s">
        <v>98</v>
      </c>
      <c r="DV436" s="173"/>
      <c r="DW436" s="174" t="s">
        <v>84</v>
      </c>
      <c r="DX436" s="173"/>
      <c r="DY436" s="173"/>
      <c r="DZ436" s="173"/>
      <c r="EA436" s="665"/>
      <c r="EB436" s="1254" t="s">
        <v>2131</v>
      </c>
      <c r="EC436" s="537">
        <v>400000000</v>
      </c>
      <c r="EE436" s="734">
        <v>0</v>
      </c>
      <c r="EF436" s="706"/>
    </row>
    <row r="437" spans="4:136" s="302" customFormat="1" ht="76.5" hidden="1">
      <c r="D437" s="520">
        <v>434</v>
      </c>
      <c r="E437" s="534">
        <v>505</v>
      </c>
      <c r="F437" s="336" t="s">
        <v>46</v>
      </c>
      <c r="G437" s="336" t="s">
        <v>9</v>
      </c>
      <c r="H437" s="336" t="s">
        <v>2676</v>
      </c>
      <c r="I437" s="336" t="s">
        <v>1044</v>
      </c>
      <c r="J437" s="335" t="s">
        <v>1303</v>
      </c>
      <c r="K437" s="335" t="s">
        <v>2335</v>
      </c>
      <c r="L437" s="407" t="s">
        <v>1837</v>
      </c>
      <c r="M437" s="334" t="s">
        <v>1771</v>
      </c>
      <c r="N437" s="337">
        <v>0</v>
      </c>
      <c r="O437" s="333">
        <f t="shared" si="378"/>
        <v>1</v>
      </c>
      <c r="P437" s="422">
        <v>1</v>
      </c>
      <c r="Q437" s="393">
        <v>0.16500000000000001</v>
      </c>
      <c r="R437" s="342">
        <f t="shared" si="326"/>
        <v>0</v>
      </c>
      <c r="S437" s="417">
        <v>0</v>
      </c>
      <c r="T437" s="337">
        <f t="shared" si="365"/>
        <v>0</v>
      </c>
      <c r="U437" s="673">
        <v>0</v>
      </c>
      <c r="V437" s="388">
        <f t="shared" si="366"/>
        <v>0</v>
      </c>
      <c r="W437" s="356">
        <f t="shared" si="367"/>
        <v>0</v>
      </c>
      <c r="X437" s="356">
        <f t="shared" si="327"/>
        <v>0</v>
      </c>
      <c r="Y437" s="356">
        <f t="shared" si="364"/>
        <v>0</v>
      </c>
      <c r="Z437" s="356">
        <f t="shared" si="328"/>
        <v>0</v>
      </c>
      <c r="AA437" s="413">
        <v>50000000</v>
      </c>
      <c r="AB437" s="413">
        <v>50000000</v>
      </c>
      <c r="AC437" s="413">
        <v>0</v>
      </c>
      <c r="AD437" s="413">
        <v>0</v>
      </c>
      <c r="AE437" s="413">
        <v>0</v>
      </c>
      <c r="AF437" s="413">
        <v>0</v>
      </c>
      <c r="AG437" s="413">
        <v>0</v>
      </c>
      <c r="AH437" s="413">
        <v>0</v>
      </c>
      <c r="AI437" s="413">
        <v>0</v>
      </c>
      <c r="AJ437" s="413">
        <v>0</v>
      </c>
      <c r="AK437" s="413">
        <v>0</v>
      </c>
      <c r="AL437" s="413">
        <v>0</v>
      </c>
      <c r="AM437" s="413">
        <v>0</v>
      </c>
      <c r="AN437" s="413">
        <v>0</v>
      </c>
      <c r="AO437" s="413">
        <v>0</v>
      </c>
      <c r="AP437" s="413">
        <v>0</v>
      </c>
      <c r="AQ437" s="413">
        <v>0</v>
      </c>
      <c r="AR437" s="413">
        <v>0</v>
      </c>
      <c r="AS437" s="413">
        <v>0</v>
      </c>
      <c r="AT437" s="392">
        <f t="shared" si="329"/>
        <v>8.2500000000000004E-2</v>
      </c>
      <c r="AU437" s="334">
        <v>0.5</v>
      </c>
      <c r="AV437" s="387">
        <f t="shared" si="368"/>
        <v>0.5</v>
      </c>
      <c r="AW437" s="677">
        <v>1</v>
      </c>
      <c r="AX437" s="366">
        <f t="shared" si="369"/>
        <v>1</v>
      </c>
      <c r="AY437" s="366">
        <f t="shared" si="370"/>
        <v>200</v>
      </c>
      <c r="AZ437" s="366">
        <f t="shared" si="330"/>
        <v>100</v>
      </c>
      <c r="BA437" s="354">
        <f t="shared" si="331"/>
        <v>8.2500000000000004E-2</v>
      </c>
      <c r="BB437" s="354">
        <f t="shared" si="332"/>
        <v>100</v>
      </c>
      <c r="BC437" s="353">
        <v>38000000</v>
      </c>
      <c r="BD437" s="353">
        <v>0</v>
      </c>
      <c r="BE437" s="353">
        <v>38000000</v>
      </c>
      <c r="BF437" s="353">
        <v>0</v>
      </c>
      <c r="BG437" s="353">
        <v>0</v>
      </c>
      <c r="BH437" s="353">
        <v>0</v>
      </c>
      <c r="BI437" s="353">
        <v>0</v>
      </c>
      <c r="BJ437" s="353">
        <v>0</v>
      </c>
      <c r="BK437" s="386">
        <v>208850000</v>
      </c>
      <c r="BL437" s="351">
        <v>208850000</v>
      </c>
      <c r="BM437" s="351">
        <v>0</v>
      </c>
      <c r="BN437" s="351">
        <v>0</v>
      </c>
      <c r="BO437" s="351">
        <v>0</v>
      </c>
      <c r="BP437" s="351">
        <v>0</v>
      </c>
      <c r="BQ437" s="351">
        <v>0</v>
      </c>
      <c r="BR437" s="351">
        <v>0</v>
      </c>
      <c r="BS437" s="351">
        <v>0</v>
      </c>
      <c r="BT437" s="351">
        <v>0</v>
      </c>
      <c r="BU437" s="351">
        <v>0</v>
      </c>
      <c r="BV437" s="350">
        <f t="shared" si="333"/>
        <v>0</v>
      </c>
      <c r="BW437" s="350">
        <v>0</v>
      </c>
      <c r="BX437" s="385">
        <f t="shared" si="371"/>
        <v>0</v>
      </c>
      <c r="BY437" s="369">
        <v>0</v>
      </c>
      <c r="BZ437" s="391">
        <v>0</v>
      </c>
      <c r="CA437" s="689">
        <v>0</v>
      </c>
      <c r="CB437" s="324">
        <f t="shared" si="372"/>
        <v>0</v>
      </c>
      <c r="CC437" s="324">
        <f t="shared" si="373"/>
        <v>0</v>
      </c>
      <c r="CD437" s="384">
        <f t="shared" si="334"/>
        <v>0</v>
      </c>
      <c r="CE437" s="383">
        <f t="shared" si="335"/>
        <v>0</v>
      </c>
      <c r="CF437" s="367">
        <f t="shared" si="336"/>
        <v>0</v>
      </c>
      <c r="CG437" s="383">
        <f t="shared" si="337"/>
        <v>0</v>
      </c>
      <c r="CH437" s="320">
        <f t="shared" si="338"/>
        <v>8.2500000000000004E-2</v>
      </c>
      <c r="CI437" s="418">
        <v>0.5</v>
      </c>
      <c r="CJ437" s="318">
        <f t="shared" si="374"/>
        <v>0.5</v>
      </c>
      <c r="CK437" s="1259">
        <v>1</v>
      </c>
      <c r="CL437" s="301">
        <f t="shared" si="380"/>
        <v>-0.5</v>
      </c>
      <c r="CM437" s="381">
        <f t="shared" si="375"/>
        <v>1</v>
      </c>
      <c r="CN437" s="381">
        <f t="shared" si="376"/>
        <v>200</v>
      </c>
      <c r="CO437" s="316">
        <f t="shared" si="339"/>
        <v>100</v>
      </c>
      <c r="CP437" s="381">
        <f t="shared" si="340"/>
        <v>8.2500000000000004E-2</v>
      </c>
      <c r="CQ437" s="381">
        <f t="shared" si="341"/>
        <v>0.16500000000000001</v>
      </c>
      <c r="CR437" s="313">
        <v>41000000</v>
      </c>
      <c r="CS437" s="313">
        <v>41000000</v>
      </c>
      <c r="CT437" s="313">
        <v>0</v>
      </c>
      <c r="CU437" s="313">
        <v>0</v>
      </c>
      <c r="CV437" s="313">
        <v>0</v>
      </c>
      <c r="CW437" s="313">
        <v>0</v>
      </c>
      <c r="CX437" s="313">
        <v>0</v>
      </c>
      <c r="CY437" s="313">
        <v>0</v>
      </c>
      <c r="CZ437" s="380">
        <v>0</v>
      </c>
      <c r="DA437" s="380">
        <v>0</v>
      </c>
      <c r="DB437" s="380">
        <v>0</v>
      </c>
      <c r="DC437" s="380">
        <v>0</v>
      </c>
      <c r="DD437" s="380">
        <v>0</v>
      </c>
      <c r="DE437" s="380">
        <v>0</v>
      </c>
      <c r="DF437" s="380">
        <v>0</v>
      </c>
      <c r="DG437" s="380">
        <v>0</v>
      </c>
      <c r="DH437" s="380">
        <v>0</v>
      </c>
      <c r="DI437" s="380">
        <v>0</v>
      </c>
      <c r="DJ437" s="380">
        <v>0</v>
      </c>
      <c r="DK437" s="702">
        <f t="shared" si="377"/>
        <v>2</v>
      </c>
      <c r="DL437" s="311">
        <f t="shared" si="342"/>
        <v>0.16500000000000001</v>
      </c>
      <c r="DM437" s="310">
        <f t="shared" si="343"/>
        <v>200</v>
      </c>
      <c r="DN437" s="356">
        <f t="shared" si="344"/>
        <v>100</v>
      </c>
      <c r="DO437" s="308">
        <f t="shared" si="345"/>
        <v>0.16500000000000001</v>
      </c>
      <c r="DP437" s="359">
        <f t="shared" si="379"/>
        <v>0.16500000000000001</v>
      </c>
      <c r="DQ437" s="306">
        <f t="shared" si="346"/>
        <v>0.16500000000000001</v>
      </c>
      <c r="DR437" s="379">
        <f t="shared" si="347"/>
        <v>1</v>
      </c>
      <c r="DS437" s="378">
        <f t="shared" si="348"/>
        <v>0</v>
      </c>
      <c r="DT437" s="173">
        <v>611</v>
      </c>
      <c r="DU437" s="174" t="s">
        <v>98</v>
      </c>
      <c r="DV437" s="173"/>
      <c r="DW437" s="174" t="s">
        <v>84</v>
      </c>
      <c r="DX437" s="173"/>
      <c r="DY437" s="173"/>
      <c r="DZ437" s="173"/>
      <c r="EA437" s="665"/>
      <c r="EB437" s="1254" t="s">
        <v>2132</v>
      </c>
      <c r="EC437" s="537">
        <v>900000000</v>
      </c>
      <c r="EE437" s="733">
        <v>0</v>
      </c>
      <c r="EF437" s="706"/>
    </row>
    <row r="438" spans="4:136" s="302" customFormat="1" ht="63.75" hidden="1">
      <c r="D438" s="520">
        <v>435</v>
      </c>
      <c r="E438" s="534">
        <v>506</v>
      </c>
      <c r="F438" s="479" t="s">
        <v>46</v>
      </c>
      <c r="G438" s="479" t="s">
        <v>9</v>
      </c>
      <c r="H438" s="479" t="s">
        <v>2676</v>
      </c>
      <c r="I438" s="435" t="s">
        <v>1044</v>
      </c>
      <c r="J438" s="335" t="s">
        <v>1051</v>
      </c>
      <c r="K438" s="335" t="s">
        <v>2336</v>
      </c>
      <c r="L438" s="407" t="s">
        <v>1836</v>
      </c>
      <c r="M438" s="334" t="s">
        <v>1771</v>
      </c>
      <c r="N438" s="337">
        <v>0</v>
      </c>
      <c r="O438" s="333">
        <f t="shared" si="378"/>
        <v>20</v>
      </c>
      <c r="P438" s="422">
        <v>20</v>
      </c>
      <c r="Q438" s="390">
        <v>8.8999999999999996E-2</v>
      </c>
      <c r="R438" s="342">
        <f t="shared" si="326"/>
        <v>4.45E-3</v>
      </c>
      <c r="S438" s="417">
        <v>1</v>
      </c>
      <c r="T438" s="337">
        <f t="shared" si="365"/>
        <v>0.05</v>
      </c>
      <c r="U438" s="673">
        <v>1</v>
      </c>
      <c r="V438" s="388">
        <f t="shared" si="366"/>
        <v>1</v>
      </c>
      <c r="W438" s="356">
        <f t="shared" si="367"/>
        <v>100</v>
      </c>
      <c r="X438" s="356">
        <f t="shared" si="327"/>
        <v>100</v>
      </c>
      <c r="Y438" s="356">
        <f t="shared" si="364"/>
        <v>4.45E-3</v>
      </c>
      <c r="Z438" s="356">
        <f t="shared" si="328"/>
        <v>100</v>
      </c>
      <c r="AA438" s="413">
        <v>56000000</v>
      </c>
      <c r="AB438" s="413">
        <v>56000000</v>
      </c>
      <c r="AC438" s="413">
        <v>0</v>
      </c>
      <c r="AD438" s="413">
        <v>0</v>
      </c>
      <c r="AE438" s="413">
        <v>0</v>
      </c>
      <c r="AF438" s="413">
        <v>0</v>
      </c>
      <c r="AG438" s="413">
        <v>0</v>
      </c>
      <c r="AH438" s="413">
        <v>0</v>
      </c>
      <c r="AI438" s="413">
        <v>64000000</v>
      </c>
      <c r="AJ438" s="413">
        <v>64000000</v>
      </c>
      <c r="AK438" s="413">
        <v>0</v>
      </c>
      <c r="AL438" s="413">
        <v>0</v>
      </c>
      <c r="AM438" s="413">
        <v>0</v>
      </c>
      <c r="AN438" s="413">
        <v>0</v>
      </c>
      <c r="AO438" s="413">
        <v>0</v>
      </c>
      <c r="AP438" s="413">
        <v>0</v>
      </c>
      <c r="AQ438" s="413">
        <v>0</v>
      </c>
      <c r="AR438" s="413">
        <v>0</v>
      </c>
      <c r="AS438" s="413">
        <v>0</v>
      </c>
      <c r="AT438" s="333">
        <f t="shared" si="329"/>
        <v>3.1149999999999997E-2</v>
      </c>
      <c r="AU438" s="334">
        <v>7</v>
      </c>
      <c r="AV438" s="387">
        <f t="shared" si="368"/>
        <v>0.35</v>
      </c>
      <c r="AW438" s="677">
        <v>16</v>
      </c>
      <c r="AX438" s="366">
        <f t="shared" si="369"/>
        <v>16</v>
      </c>
      <c r="AY438" s="366">
        <f t="shared" si="370"/>
        <v>228.57142857142858</v>
      </c>
      <c r="AZ438" s="366">
        <f t="shared" si="330"/>
        <v>100</v>
      </c>
      <c r="BA438" s="354">
        <f t="shared" si="331"/>
        <v>3.1149999999999997E-2</v>
      </c>
      <c r="BB438" s="354">
        <f t="shared" si="332"/>
        <v>100</v>
      </c>
      <c r="BC438" s="353">
        <v>58000000</v>
      </c>
      <c r="BD438" s="353">
        <v>0</v>
      </c>
      <c r="BE438" s="353">
        <v>58000000</v>
      </c>
      <c r="BF438" s="353">
        <v>0</v>
      </c>
      <c r="BG438" s="353">
        <v>0</v>
      </c>
      <c r="BH438" s="353">
        <v>0</v>
      </c>
      <c r="BI438" s="353">
        <v>0</v>
      </c>
      <c r="BJ438" s="353">
        <v>0</v>
      </c>
      <c r="BK438" s="386">
        <v>89500000</v>
      </c>
      <c r="BL438" s="351">
        <v>89500000</v>
      </c>
      <c r="BM438" s="351">
        <v>0</v>
      </c>
      <c r="BN438" s="351">
        <v>0</v>
      </c>
      <c r="BO438" s="351">
        <v>0</v>
      </c>
      <c r="BP438" s="351">
        <v>0</v>
      </c>
      <c r="BQ438" s="351">
        <v>0</v>
      </c>
      <c r="BR438" s="351">
        <v>0</v>
      </c>
      <c r="BS438" s="351">
        <v>0</v>
      </c>
      <c r="BT438" s="351">
        <v>0</v>
      </c>
      <c r="BU438" s="351">
        <v>0</v>
      </c>
      <c r="BV438" s="350">
        <f t="shared" si="333"/>
        <v>2.6699999999999998E-2</v>
      </c>
      <c r="BW438" s="350">
        <v>6</v>
      </c>
      <c r="BX438" s="385">
        <f t="shared" si="371"/>
        <v>0.3</v>
      </c>
      <c r="BY438" s="369">
        <v>5</v>
      </c>
      <c r="BZ438" s="391">
        <v>11</v>
      </c>
      <c r="CA438" s="689">
        <v>17</v>
      </c>
      <c r="CB438" s="324">
        <f t="shared" si="372"/>
        <v>17</v>
      </c>
      <c r="CC438" s="324">
        <f t="shared" si="373"/>
        <v>283.33333333333331</v>
      </c>
      <c r="CD438" s="384">
        <f t="shared" si="334"/>
        <v>100</v>
      </c>
      <c r="CE438" s="383">
        <f t="shared" si="335"/>
        <v>2.6699999999999998E-2</v>
      </c>
      <c r="CF438" s="367">
        <f t="shared" si="336"/>
        <v>100</v>
      </c>
      <c r="CG438" s="383">
        <f t="shared" si="337"/>
        <v>7.5649999999999981E-2</v>
      </c>
      <c r="CH438" s="320">
        <f t="shared" si="338"/>
        <v>2.6699999999999998E-2</v>
      </c>
      <c r="CI438" s="319">
        <v>6</v>
      </c>
      <c r="CJ438" s="318">
        <f t="shared" si="374"/>
        <v>0.3</v>
      </c>
      <c r="CK438" s="1259">
        <v>8</v>
      </c>
      <c r="CL438" s="301">
        <f t="shared" si="380"/>
        <v>-2</v>
      </c>
      <c r="CM438" s="381">
        <f t="shared" si="375"/>
        <v>8</v>
      </c>
      <c r="CN438" s="381">
        <f t="shared" si="376"/>
        <v>133.33333333333334</v>
      </c>
      <c r="CO438" s="316">
        <f t="shared" si="339"/>
        <v>100</v>
      </c>
      <c r="CP438" s="381">
        <f t="shared" si="340"/>
        <v>2.6699999999999998E-2</v>
      </c>
      <c r="CQ438" s="381">
        <f t="shared" si="341"/>
        <v>3.56E-2</v>
      </c>
      <c r="CR438" s="313">
        <v>61000000</v>
      </c>
      <c r="CS438" s="313">
        <v>61000000</v>
      </c>
      <c r="CT438" s="313">
        <v>0</v>
      </c>
      <c r="CU438" s="313">
        <v>0</v>
      </c>
      <c r="CV438" s="313">
        <v>0</v>
      </c>
      <c r="CW438" s="313">
        <v>0</v>
      </c>
      <c r="CX438" s="313">
        <v>0</v>
      </c>
      <c r="CY438" s="313">
        <v>0</v>
      </c>
      <c r="CZ438" s="380">
        <v>0</v>
      </c>
      <c r="DA438" s="380">
        <v>0</v>
      </c>
      <c r="DB438" s="380">
        <v>0</v>
      </c>
      <c r="DC438" s="380">
        <v>0</v>
      </c>
      <c r="DD438" s="380">
        <v>0</v>
      </c>
      <c r="DE438" s="380">
        <v>0</v>
      </c>
      <c r="DF438" s="380">
        <v>0</v>
      </c>
      <c r="DG438" s="380">
        <v>0</v>
      </c>
      <c r="DH438" s="380">
        <v>0</v>
      </c>
      <c r="DI438" s="380">
        <v>0</v>
      </c>
      <c r="DJ438" s="380">
        <v>0</v>
      </c>
      <c r="DK438" s="702">
        <f t="shared" si="377"/>
        <v>42</v>
      </c>
      <c r="DL438" s="311">
        <f t="shared" si="342"/>
        <v>8.8999999999999996E-2</v>
      </c>
      <c r="DM438" s="310">
        <f t="shared" si="343"/>
        <v>210</v>
      </c>
      <c r="DN438" s="356">
        <f t="shared" si="344"/>
        <v>100</v>
      </c>
      <c r="DO438" s="308">
        <f t="shared" si="345"/>
        <v>8.900000000000001E-2</v>
      </c>
      <c r="DP438" s="359">
        <f t="shared" si="379"/>
        <v>8.8999999999999996E-2</v>
      </c>
      <c r="DQ438" s="306">
        <f t="shared" si="346"/>
        <v>8.8999999999999996E-2</v>
      </c>
      <c r="DR438" s="379">
        <f t="shared" si="347"/>
        <v>1</v>
      </c>
      <c r="DS438" s="378">
        <f t="shared" si="348"/>
        <v>0</v>
      </c>
      <c r="DT438" s="173">
        <v>611</v>
      </c>
      <c r="DU438" s="174" t="s">
        <v>98</v>
      </c>
      <c r="DV438" s="173"/>
      <c r="DW438" s="174" t="s">
        <v>84</v>
      </c>
      <c r="DX438" s="173"/>
      <c r="DY438" s="173"/>
      <c r="DZ438" s="173"/>
      <c r="EA438" s="665"/>
      <c r="EB438" s="1254" t="s">
        <v>2133</v>
      </c>
      <c r="EC438" s="537">
        <v>165000000</v>
      </c>
      <c r="EE438" s="733">
        <v>1</v>
      </c>
      <c r="EF438" s="706"/>
    </row>
    <row r="439" spans="4:136" s="302" customFormat="1" ht="89.25" hidden="1">
      <c r="D439" s="520">
        <v>436</v>
      </c>
      <c r="E439" s="534">
        <v>507</v>
      </c>
      <c r="F439" s="479" t="s">
        <v>46</v>
      </c>
      <c r="G439" s="479" t="s">
        <v>9</v>
      </c>
      <c r="H439" s="479" t="s">
        <v>2676</v>
      </c>
      <c r="I439" s="435" t="s">
        <v>1044</v>
      </c>
      <c r="J439" s="335" t="s">
        <v>1052</v>
      </c>
      <c r="K439" s="335" t="s">
        <v>1053</v>
      </c>
      <c r="L439" s="407" t="s">
        <v>1835</v>
      </c>
      <c r="M439" s="334" t="s">
        <v>1771</v>
      </c>
      <c r="N439" s="337">
        <v>0</v>
      </c>
      <c r="O439" s="333">
        <f t="shared" si="378"/>
        <v>117</v>
      </c>
      <c r="P439" s="422">
        <v>117</v>
      </c>
      <c r="Q439" s="390">
        <v>0.16500000000000001</v>
      </c>
      <c r="R439" s="342">
        <f t="shared" si="326"/>
        <v>0</v>
      </c>
      <c r="S439" s="417">
        <v>0</v>
      </c>
      <c r="T439" s="337">
        <f t="shared" si="365"/>
        <v>0</v>
      </c>
      <c r="U439" s="673">
        <v>0</v>
      </c>
      <c r="V439" s="388">
        <f t="shared" si="366"/>
        <v>0</v>
      </c>
      <c r="W439" s="356">
        <f t="shared" si="367"/>
        <v>0</v>
      </c>
      <c r="X439" s="356">
        <f t="shared" si="327"/>
        <v>0</v>
      </c>
      <c r="Y439" s="356">
        <f t="shared" si="364"/>
        <v>0</v>
      </c>
      <c r="Z439" s="356">
        <f t="shared" si="328"/>
        <v>0</v>
      </c>
      <c r="AA439" s="413">
        <v>22000000</v>
      </c>
      <c r="AB439" s="413">
        <v>22000000</v>
      </c>
      <c r="AC439" s="413">
        <v>0</v>
      </c>
      <c r="AD439" s="413">
        <v>0</v>
      </c>
      <c r="AE439" s="413">
        <v>0</v>
      </c>
      <c r="AF439" s="413">
        <v>0</v>
      </c>
      <c r="AG439" s="413">
        <v>0</v>
      </c>
      <c r="AH439" s="413">
        <v>0</v>
      </c>
      <c r="AI439" s="413">
        <v>0</v>
      </c>
      <c r="AJ439" s="413">
        <v>0</v>
      </c>
      <c r="AK439" s="413">
        <v>0</v>
      </c>
      <c r="AL439" s="413">
        <v>0</v>
      </c>
      <c r="AM439" s="413">
        <v>0</v>
      </c>
      <c r="AN439" s="413">
        <v>0</v>
      </c>
      <c r="AO439" s="413">
        <v>0</v>
      </c>
      <c r="AP439" s="413">
        <v>0</v>
      </c>
      <c r="AQ439" s="413">
        <v>0</v>
      </c>
      <c r="AR439" s="413">
        <v>0</v>
      </c>
      <c r="AS439" s="413">
        <v>0</v>
      </c>
      <c r="AT439" s="333">
        <f t="shared" si="329"/>
        <v>5.5E-2</v>
      </c>
      <c r="AU439" s="334">
        <v>39</v>
      </c>
      <c r="AV439" s="387">
        <f t="shared" si="368"/>
        <v>0.33333333333333331</v>
      </c>
      <c r="AW439" s="677">
        <v>15</v>
      </c>
      <c r="AX439" s="366">
        <f t="shared" si="369"/>
        <v>15</v>
      </c>
      <c r="AY439" s="366">
        <f t="shared" si="370"/>
        <v>38.46153846153846</v>
      </c>
      <c r="AZ439" s="366">
        <f t="shared" si="330"/>
        <v>38.46153846153846</v>
      </c>
      <c r="BA439" s="354">
        <f t="shared" si="331"/>
        <v>2.1153846153846155E-2</v>
      </c>
      <c r="BB439" s="354">
        <f t="shared" si="332"/>
        <v>38.46153846153846</v>
      </c>
      <c r="BC439" s="353">
        <v>23000000</v>
      </c>
      <c r="BD439" s="353">
        <v>0</v>
      </c>
      <c r="BE439" s="353">
        <v>23000000</v>
      </c>
      <c r="BF439" s="353">
        <v>0</v>
      </c>
      <c r="BG439" s="353">
        <v>0</v>
      </c>
      <c r="BH439" s="353">
        <v>0</v>
      </c>
      <c r="BI439" s="353">
        <v>0</v>
      </c>
      <c r="BJ439" s="353">
        <v>0</v>
      </c>
      <c r="BK439" s="386">
        <v>187877931</v>
      </c>
      <c r="BL439" s="351">
        <v>187877931</v>
      </c>
      <c r="BM439" s="351">
        <v>0</v>
      </c>
      <c r="BN439" s="351">
        <v>0</v>
      </c>
      <c r="BO439" s="351">
        <v>0</v>
      </c>
      <c r="BP439" s="351">
        <v>0</v>
      </c>
      <c r="BQ439" s="351">
        <v>0</v>
      </c>
      <c r="BR439" s="351">
        <v>0</v>
      </c>
      <c r="BS439" s="351">
        <v>0</v>
      </c>
      <c r="BT439" s="351">
        <v>0</v>
      </c>
      <c r="BU439" s="351">
        <v>0</v>
      </c>
      <c r="BV439" s="350">
        <f t="shared" si="333"/>
        <v>5.5E-2</v>
      </c>
      <c r="BW439" s="350">
        <v>39</v>
      </c>
      <c r="BX439" s="385">
        <f t="shared" si="371"/>
        <v>0.33333333333333331</v>
      </c>
      <c r="BY439" s="369">
        <v>75</v>
      </c>
      <c r="BZ439" s="391">
        <v>75</v>
      </c>
      <c r="CA439" s="689">
        <v>90</v>
      </c>
      <c r="CB439" s="324">
        <f t="shared" si="372"/>
        <v>90</v>
      </c>
      <c r="CC439" s="324">
        <f t="shared" si="373"/>
        <v>230.76923076923077</v>
      </c>
      <c r="CD439" s="384">
        <f t="shared" si="334"/>
        <v>100</v>
      </c>
      <c r="CE439" s="383">
        <f t="shared" si="335"/>
        <v>5.5E-2</v>
      </c>
      <c r="CF439" s="367">
        <f t="shared" si="336"/>
        <v>100</v>
      </c>
      <c r="CG439" s="383">
        <f t="shared" si="337"/>
        <v>0.12692307692307694</v>
      </c>
      <c r="CH439" s="320">
        <f t="shared" si="338"/>
        <v>5.5E-2</v>
      </c>
      <c r="CI439" s="319">
        <v>39</v>
      </c>
      <c r="CJ439" s="318">
        <f t="shared" si="374"/>
        <v>0.33333333333333331</v>
      </c>
      <c r="CK439" s="1259">
        <v>39</v>
      </c>
      <c r="CL439" s="301">
        <f t="shared" si="380"/>
        <v>0</v>
      </c>
      <c r="CM439" s="381">
        <f t="shared" si="375"/>
        <v>39</v>
      </c>
      <c r="CN439" s="381">
        <f t="shared" si="376"/>
        <v>100</v>
      </c>
      <c r="CO439" s="316">
        <f t="shared" si="339"/>
        <v>100</v>
      </c>
      <c r="CP439" s="381">
        <f t="shared" si="340"/>
        <v>5.5E-2</v>
      </c>
      <c r="CQ439" s="381">
        <f t="shared" si="341"/>
        <v>5.5E-2</v>
      </c>
      <c r="CR439" s="313">
        <v>24000000</v>
      </c>
      <c r="CS439" s="313">
        <v>24000000</v>
      </c>
      <c r="CT439" s="313">
        <v>0</v>
      </c>
      <c r="CU439" s="313">
        <v>0</v>
      </c>
      <c r="CV439" s="313">
        <v>0</v>
      </c>
      <c r="CW439" s="313">
        <v>0</v>
      </c>
      <c r="CX439" s="313">
        <v>0</v>
      </c>
      <c r="CY439" s="313">
        <v>0</v>
      </c>
      <c r="CZ439" s="380">
        <v>0</v>
      </c>
      <c r="DA439" s="380">
        <v>0</v>
      </c>
      <c r="DB439" s="380">
        <v>0</v>
      </c>
      <c r="DC439" s="380">
        <v>0</v>
      </c>
      <c r="DD439" s="380">
        <v>0</v>
      </c>
      <c r="DE439" s="380">
        <v>0</v>
      </c>
      <c r="DF439" s="380">
        <v>0</v>
      </c>
      <c r="DG439" s="380">
        <v>0</v>
      </c>
      <c r="DH439" s="380">
        <v>0</v>
      </c>
      <c r="DI439" s="380">
        <v>0</v>
      </c>
      <c r="DJ439" s="380">
        <v>0</v>
      </c>
      <c r="DK439" s="702">
        <f t="shared" si="377"/>
        <v>144</v>
      </c>
      <c r="DL439" s="311">
        <f t="shared" si="342"/>
        <v>0.16500000000000001</v>
      </c>
      <c r="DM439" s="310">
        <f t="shared" si="343"/>
        <v>123.07692307692308</v>
      </c>
      <c r="DN439" s="356">
        <f t="shared" si="344"/>
        <v>100</v>
      </c>
      <c r="DO439" s="308">
        <f t="shared" si="345"/>
        <v>0.16500000000000001</v>
      </c>
      <c r="DP439" s="359">
        <f t="shared" si="379"/>
        <v>0.16500000000000001</v>
      </c>
      <c r="DQ439" s="306">
        <f t="shared" si="346"/>
        <v>0.16500000000000001</v>
      </c>
      <c r="DR439" s="379">
        <f t="shared" si="347"/>
        <v>1</v>
      </c>
      <c r="DS439" s="378">
        <f t="shared" si="348"/>
        <v>0</v>
      </c>
      <c r="DT439" s="173">
        <v>611</v>
      </c>
      <c r="DU439" s="174" t="s">
        <v>98</v>
      </c>
      <c r="DV439" s="173"/>
      <c r="DW439" s="174" t="s">
        <v>84</v>
      </c>
      <c r="DX439" s="173"/>
      <c r="DY439" s="173"/>
      <c r="DZ439" s="173"/>
      <c r="EA439" s="665"/>
      <c r="EB439" s="1254" t="s">
        <v>2134</v>
      </c>
      <c r="EC439" s="537">
        <v>55000000</v>
      </c>
      <c r="EE439" s="734">
        <v>1</v>
      </c>
      <c r="EF439" s="706"/>
    </row>
    <row r="440" spans="4:136" s="302" customFormat="1" ht="60" hidden="1">
      <c r="D440" s="520">
        <v>437</v>
      </c>
      <c r="E440" s="534">
        <v>508</v>
      </c>
      <c r="F440" s="479" t="s">
        <v>46</v>
      </c>
      <c r="G440" s="479" t="s">
        <v>9</v>
      </c>
      <c r="H440" s="479" t="s">
        <v>2676</v>
      </c>
      <c r="I440" s="435" t="s">
        <v>1054</v>
      </c>
      <c r="J440" s="335" t="s">
        <v>1055</v>
      </c>
      <c r="K440" s="335" t="s">
        <v>1056</v>
      </c>
      <c r="L440" s="358" t="s">
        <v>1791</v>
      </c>
      <c r="M440" s="334" t="s">
        <v>1771</v>
      </c>
      <c r="N440" s="337">
        <v>0</v>
      </c>
      <c r="O440" s="333">
        <f t="shared" si="378"/>
        <v>4</v>
      </c>
      <c r="P440" s="422">
        <v>4</v>
      </c>
      <c r="Q440" s="390">
        <v>8.8999999999999996E-2</v>
      </c>
      <c r="R440" s="342">
        <f t="shared" si="326"/>
        <v>0</v>
      </c>
      <c r="S440" s="417">
        <v>0</v>
      </c>
      <c r="T440" s="337">
        <f t="shared" si="365"/>
        <v>0</v>
      </c>
      <c r="U440" s="673">
        <v>0</v>
      </c>
      <c r="V440" s="388">
        <f t="shared" si="366"/>
        <v>0</v>
      </c>
      <c r="W440" s="356">
        <f t="shared" si="367"/>
        <v>0</v>
      </c>
      <c r="X440" s="356">
        <f t="shared" si="327"/>
        <v>0</v>
      </c>
      <c r="Y440" s="356">
        <f t="shared" si="364"/>
        <v>0</v>
      </c>
      <c r="Z440" s="356">
        <f t="shared" si="328"/>
        <v>0</v>
      </c>
      <c r="AA440" s="413">
        <v>50000000</v>
      </c>
      <c r="AB440" s="413">
        <v>50000000</v>
      </c>
      <c r="AC440" s="413">
        <v>0</v>
      </c>
      <c r="AD440" s="413">
        <v>0</v>
      </c>
      <c r="AE440" s="413">
        <v>0</v>
      </c>
      <c r="AF440" s="413">
        <v>0</v>
      </c>
      <c r="AG440" s="413">
        <v>0</v>
      </c>
      <c r="AH440" s="413">
        <v>0</v>
      </c>
      <c r="AI440" s="413">
        <v>0</v>
      </c>
      <c r="AJ440" s="413">
        <v>0</v>
      </c>
      <c r="AK440" s="413">
        <v>0</v>
      </c>
      <c r="AL440" s="413">
        <v>0</v>
      </c>
      <c r="AM440" s="413">
        <v>0</v>
      </c>
      <c r="AN440" s="413">
        <v>0</v>
      </c>
      <c r="AO440" s="413">
        <v>0</v>
      </c>
      <c r="AP440" s="413">
        <v>0</v>
      </c>
      <c r="AQ440" s="413">
        <v>0</v>
      </c>
      <c r="AR440" s="413">
        <v>0</v>
      </c>
      <c r="AS440" s="413">
        <v>0</v>
      </c>
      <c r="AT440" s="333">
        <f t="shared" si="329"/>
        <v>4.4499999999999998E-2</v>
      </c>
      <c r="AU440" s="334">
        <v>2</v>
      </c>
      <c r="AV440" s="387">
        <f t="shared" si="368"/>
        <v>0.5</v>
      </c>
      <c r="AW440" s="677">
        <v>2</v>
      </c>
      <c r="AX440" s="366">
        <f t="shared" si="369"/>
        <v>2</v>
      </c>
      <c r="AY440" s="366">
        <f t="shared" si="370"/>
        <v>100</v>
      </c>
      <c r="AZ440" s="366">
        <f t="shared" si="330"/>
        <v>100</v>
      </c>
      <c r="BA440" s="354">
        <f t="shared" si="331"/>
        <v>4.4500000000000005E-2</v>
      </c>
      <c r="BB440" s="354">
        <f t="shared" si="332"/>
        <v>100</v>
      </c>
      <c r="BC440" s="353">
        <v>30000000</v>
      </c>
      <c r="BD440" s="353">
        <v>0</v>
      </c>
      <c r="BE440" s="353">
        <v>30000000</v>
      </c>
      <c r="BF440" s="353">
        <v>0</v>
      </c>
      <c r="BG440" s="353">
        <v>0</v>
      </c>
      <c r="BH440" s="353">
        <v>0</v>
      </c>
      <c r="BI440" s="353">
        <v>0</v>
      </c>
      <c r="BJ440" s="353">
        <v>0</v>
      </c>
      <c r="BK440" s="386">
        <v>300000000</v>
      </c>
      <c r="BL440" s="351">
        <v>300000000</v>
      </c>
      <c r="BM440" s="351">
        <v>0</v>
      </c>
      <c r="BN440" s="351">
        <v>0</v>
      </c>
      <c r="BO440" s="351">
        <v>0</v>
      </c>
      <c r="BP440" s="351">
        <v>0</v>
      </c>
      <c r="BQ440" s="351">
        <v>0</v>
      </c>
      <c r="BR440" s="351">
        <v>0</v>
      </c>
      <c r="BS440" s="351">
        <v>0</v>
      </c>
      <c r="BT440" s="351">
        <v>0</v>
      </c>
      <c r="BU440" s="351">
        <v>0</v>
      </c>
      <c r="BV440" s="350">
        <f t="shared" si="333"/>
        <v>2.2249999999999999E-2</v>
      </c>
      <c r="BW440" s="350">
        <v>1</v>
      </c>
      <c r="BX440" s="385">
        <f t="shared" si="371"/>
        <v>0.25</v>
      </c>
      <c r="BY440" s="369">
        <v>1</v>
      </c>
      <c r="BZ440" s="391">
        <v>1</v>
      </c>
      <c r="CA440" s="689">
        <v>2</v>
      </c>
      <c r="CB440" s="324">
        <f t="shared" si="372"/>
        <v>2</v>
      </c>
      <c r="CC440" s="324">
        <f t="shared" si="373"/>
        <v>200</v>
      </c>
      <c r="CD440" s="384">
        <f t="shared" si="334"/>
        <v>100</v>
      </c>
      <c r="CE440" s="383">
        <f t="shared" si="335"/>
        <v>2.2250000000000002E-2</v>
      </c>
      <c r="CF440" s="367">
        <f t="shared" si="336"/>
        <v>100</v>
      </c>
      <c r="CG440" s="383">
        <f t="shared" si="337"/>
        <v>4.4500000000000005E-2</v>
      </c>
      <c r="CH440" s="320">
        <f t="shared" si="338"/>
        <v>2.2249999999999999E-2</v>
      </c>
      <c r="CI440" s="319">
        <v>1</v>
      </c>
      <c r="CJ440" s="318">
        <f t="shared" si="374"/>
        <v>0.25</v>
      </c>
      <c r="CK440" s="1259">
        <v>1</v>
      </c>
      <c r="CL440" s="301">
        <f t="shared" si="380"/>
        <v>0</v>
      </c>
      <c r="CM440" s="381">
        <f t="shared" si="375"/>
        <v>1</v>
      </c>
      <c r="CN440" s="381">
        <f t="shared" si="376"/>
        <v>100</v>
      </c>
      <c r="CO440" s="316">
        <f t="shared" si="339"/>
        <v>100</v>
      </c>
      <c r="CP440" s="381">
        <f t="shared" si="340"/>
        <v>2.2250000000000002E-2</v>
      </c>
      <c r="CQ440" s="381">
        <f t="shared" si="341"/>
        <v>2.2250000000000002E-2</v>
      </c>
      <c r="CR440" s="313">
        <v>150000000</v>
      </c>
      <c r="CS440" s="313">
        <v>150000000</v>
      </c>
      <c r="CT440" s="313">
        <v>0</v>
      </c>
      <c r="CU440" s="313">
        <v>0</v>
      </c>
      <c r="CV440" s="313">
        <v>0</v>
      </c>
      <c r="CW440" s="313">
        <v>0</v>
      </c>
      <c r="CX440" s="313">
        <v>0</v>
      </c>
      <c r="CY440" s="313">
        <v>0</v>
      </c>
      <c r="CZ440" s="380">
        <v>0</v>
      </c>
      <c r="DA440" s="380">
        <v>0</v>
      </c>
      <c r="DB440" s="380">
        <v>0</v>
      </c>
      <c r="DC440" s="380">
        <v>0</v>
      </c>
      <c r="DD440" s="380">
        <v>0</v>
      </c>
      <c r="DE440" s="380">
        <v>0</v>
      </c>
      <c r="DF440" s="380">
        <v>0</v>
      </c>
      <c r="DG440" s="380">
        <v>0</v>
      </c>
      <c r="DH440" s="380">
        <v>0</v>
      </c>
      <c r="DI440" s="380">
        <v>0</v>
      </c>
      <c r="DJ440" s="380">
        <v>0</v>
      </c>
      <c r="DK440" s="702">
        <f t="shared" si="377"/>
        <v>5</v>
      </c>
      <c r="DL440" s="311">
        <f t="shared" si="342"/>
        <v>8.8999999999999996E-2</v>
      </c>
      <c r="DM440" s="310">
        <f t="shared" si="343"/>
        <v>125</v>
      </c>
      <c r="DN440" s="356">
        <f t="shared" si="344"/>
        <v>100</v>
      </c>
      <c r="DO440" s="308">
        <f t="shared" si="345"/>
        <v>8.900000000000001E-2</v>
      </c>
      <c r="DP440" s="359">
        <f t="shared" si="379"/>
        <v>8.8999999999999996E-2</v>
      </c>
      <c r="DQ440" s="306">
        <f t="shared" si="346"/>
        <v>8.8999999999999996E-2</v>
      </c>
      <c r="DR440" s="379">
        <f t="shared" si="347"/>
        <v>1</v>
      </c>
      <c r="DS440" s="378">
        <f t="shared" si="348"/>
        <v>0</v>
      </c>
      <c r="DT440" s="173">
        <v>611</v>
      </c>
      <c r="DU440" s="174" t="s">
        <v>98</v>
      </c>
      <c r="DV440" s="173"/>
      <c r="DW440" s="174" t="s">
        <v>84</v>
      </c>
      <c r="DX440" s="173"/>
      <c r="DY440" s="173"/>
      <c r="DZ440" s="173"/>
      <c r="EA440" s="665"/>
      <c r="EB440" s="1254" t="s">
        <v>2135</v>
      </c>
      <c r="EC440" s="537">
        <v>140000000</v>
      </c>
      <c r="EE440" s="734">
        <v>1</v>
      </c>
      <c r="EF440" s="706"/>
    </row>
    <row r="441" spans="4:136" s="302" customFormat="1" ht="60" hidden="1">
      <c r="D441" s="520">
        <v>438</v>
      </c>
      <c r="E441" s="534">
        <v>509</v>
      </c>
      <c r="F441" s="479" t="s">
        <v>46</v>
      </c>
      <c r="G441" s="479" t="s">
        <v>9</v>
      </c>
      <c r="H441" s="479" t="s">
        <v>2676</v>
      </c>
      <c r="I441" s="435" t="s">
        <v>1054</v>
      </c>
      <c r="J441" s="335" t="s">
        <v>1057</v>
      </c>
      <c r="K441" s="335" t="s">
        <v>1058</v>
      </c>
      <c r="L441" s="358" t="s">
        <v>1415</v>
      </c>
      <c r="M441" s="334" t="s">
        <v>1771</v>
      </c>
      <c r="N441" s="337">
        <v>0</v>
      </c>
      <c r="O441" s="333">
        <f t="shared" si="378"/>
        <v>116</v>
      </c>
      <c r="P441" s="422">
        <v>116</v>
      </c>
      <c r="Q441" s="390">
        <v>0.16500000000000001</v>
      </c>
      <c r="R441" s="342">
        <f t="shared" si="326"/>
        <v>0</v>
      </c>
      <c r="S441" s="417">
        <v>0</v>
      </c>
      <c r="T441" s="337">
        <f t="shared" si="365"/>
        <v>0</v>
      </c>
      <c r="U441" s="673">
        <v>0</v>
      </c>
      <c r="V441" s="388">
        <f t="shared" si="366"/>
        <v>0</v>
      </c>
      <c r="W441" s="356">
        <f t="shared" si="367"/>
        <v>0</v>
      </c>
      <c r="X441" s="356">
        <f t="shared" si="327"/>
        <v>0</v>
      </c>
      <c r="Y441" s="356">
        <f t="shared" si="364"/>
        <v>0</v>
      </c>
      <c r="Z441" s="356">
        <f t="shared" si="328"/>
        <v>0</v>
      </c>
      <c r="AA441" s="413">
        <v>0</v>
      </c>
      <c r="AB441" s="413">
        <v>0</v>
      </c>
      <c r="AC441" s="413">
        <v>0</v>
      </c>
      <c r="AD441" s="413">
        <v>0</v>
      </c>
      <c r="AE441" s="413">
        <v>0</v>
      </c>
      <c r="AF441" s="413">
        <v>0</v>
      </c>
      <c r="AG441" s="413">
        <v>0</v>
      </c>
      <c r="AH441" s="413">
        <v>0</v>
      </c>
      <c r="AI441" s="413">
        <v>0</v>
      </c>
      <c r="AJ441" s="413">
        <v>0</v>
      </c>
      <c r="AK441" s="413">
        <v>0</v>
      </c>
      <c r="AL441" s="413">
        <v>0</v>
      </c>
      <c r="AM441" s="413">
        <v>0</v>
      </c>
      <c r="AN441" s="413">
        <v>0</v>
      </c>
      <c r="AO441" s="413">
        <v>0</v>
      </c>
      <c r="AP441" s="413">
        <v>0</v>
      </c>
      <c r="AQ441" s="413">
        <v>0</v>
      </c>
      <c r="AR441" s="413">
        <v>0</v>
      </c>
      <c r="AS441" s="413">
        <v>0</v>
      </c>
      <c r="AT441" s="333">
        <f t="shared" si="329"/>
        <v>5.5474137931034485E-2</v>
      </c>
      <c r="AU441" s="334">
        <v>39</v>
      </c>
      <c r="AV441" s="387">
        <f t="shared" si="368"/>
        <v>0.33620689655172414</v>
      </c>
      <c r="AW441" s="677">
        <v>20</v>
      </c>
      <c r="AX441" s="366">
        <f t="shared" si="369"/>
        <v>20</v>
      </c>
      <c r="AY441" s="366">
        <f t="shared" si="370"/>
        <v>51.282051282051285</v>
      </c>
      <c r="AZ441" s="366">
        <f t="shared" si="330"/>
        <v>51.282051282051285</v>
      </c>
      <c r="BA441" s="354">
        <f t="shared" si="331"/>
        <v>2.8448275862068967E-2</v>
      </c>
      <c r="BB441" s="354">
        <f t="shared" si="332"/>
        <v>51.282051282051285</v>
      </c>
      <c r="BC441" s="353">
        <v>20000000</v>
      </c>
      <c r="BD441" s="353">
        <v>0</v>
      </c>
      <c r="BE441" s="353">
        <v>20000000</v>
      </c>
      <c r="BF441" s="353">
        <v>0</v>
      </c>
      <c r="BG441" s="353">
        <v>0</v>
      </c>
      <c r="BH441" s="353">
        <v>0</v>
      </c>
      <c r="BI441" s="353">
        <v>0</v>
      </c>
      <c r="BJ441" s="353">
        <v>0</v>
      </c>
      <c r="BK441" s="386">
        <v>50000000</v>
      </c>
      <c r="BL441" s="351">
        <v>50000000</v>
      </c>
      <c r="BM441" s="351">
        <v>0</v>
      </c>
      <c r="BN441" s="351">
        <v>0</v>
      </c>
      <c r="BO441" s="351">
        <v>0</v>
      </c>
      <c r="BP441" s="351">
        <v>0</v>
      </c>
      <c r="BQ441" s="351">
        <v>0</v>
      </c>
      <c r="BR441" s="351">
        <v>0</v>
      </c>
      <c r="BS441" s="351">
        <v>0</v>
      </c>
      <c r="BT441" s="351">
        <v>0</v>
      </c>
      <c r="BU441" s="351">
        <v>0</v>
      </c>
      <c r="BV441" s="350">
        <f t="shared" si="333"/>
        <v>5.5474137931034485E-2</v>
      </c>
      <c r="BW441" s="350">
        <v>39</v>
      </c>
      <c r="BX441" s="385">
        <f t="shared" si="371"/>
        <v>0.33620689655172414</v>
      </c>
      <c r="BY441" s="369">
        <v>91</v>
      </c>
      <c r="BZ441" s="391">
        <v>91</v>
      </c>
      <c r="CA441" s="689">
        <v>91</v>
      </c>
      <c r="CB441" s="324">
        <f t="shared" si="372"/>
        <v>91</v>
      </c>
      <c r="CC441" s="324">
        <f t="shared" si="373"/>
        <v>233.33333333333334</v>
      </c>
      <c r="CD441" s="384">
        <f t="shared" si="334"/>
        <v>100</v>
      </c>
      <c r="CE441" s="383">
        <f t="shared" si="335"/>
        <v>5.5474137931034485E-2</v>
      </c>
      <c r="CF441" s="367">
        <f t="shared" si="336"/>
        <v>100</v>
      </c>
      <c r="CG441" s="383">
        <f t="shared" si="337"/>
        <v>0.12943965517241382</v>
      </c>
      <c r="CH441" s="320">
        <f t="shared" si="338"/>
        <v>5.4051724137931037E-2</v>
      </c>
      <c r="CI441" s="319">
        <v>38</v>
      </c>
      <c r="CJ441" s="318">
        <f t="shared" si="374"/>
        <v>0.32758620689655171</v>
      </c>
      <c r="CK441" s="1260">
        <v>0</v>
      </c>
      <c r="CL441" s="301">
        <f t="shared" si="380"/>
        <v>38</v>
      </c>
      <c r="CM441" s="381">
        <f t="shared" si="375"/>
        <v>0</v>
      </c>
      <c r="CN441" s="381">
        <f t="shared" si="376"/>
        <v>0</v>
      </c>
      <c r="CO441" s="316">
        <f t="shared" si="339"/>
        <v>0</v>
      </c>
      <c r="CP441" s="381">
        <f t="shared" si="340"/>
        <v>0</v>
      </c>
      <c r="CQ441" s="381">
        <f t="shared" si="341"/>
        <v>0</v>
      </c>
      <c r="CR441" s="313">
        <v>30000000</v>
      </c>
      <c r="CS441" s="313">
        <v>30000000</v>
      </c>
      <c r="CT441" s="313">
        <v>0</v>
      </c>
      <c r="CU441" s="313">
        <v>0</v>
      </c>
      <c r="CV441" s="313">
        <v>0</v>
      </c>
      <c r="CW441" s="313">
        <v>0</v>
      </c>
      <c r="CX441" s="313">
        <v>0</v>
      </c>
      <c r="CY441" s="313">
        <v>0</v>
      </c>
      <c r="CZ441" s="380">
        <v>0</v>
      </c>
      <c r="DA441" s="380">
        <v>0</v>
      </c>
      <c r="DB441" s="380">
        <v>0</v>
      </c>
      <c r="DC441" s="380">
        <v>0</v>
      </c>
      <c r="DD441" s="380">
        <v>0</v>
      </c>
      <c r="DE441" s="380">
        <v>0</v>
      </c>
      <c r="DF441" s="380">
        <v>0</v>
      </c>
      <c r="DG441" s="380">
        <v>0</v>
      </c>
      <c r="DH441" s="380">
        <v>0</v>
      </c>
      <c r="DI441" s="380">
        <v>0</v>
      </c>
      <c r="DJ441" s="380">
        <v>0</v>
      </c>
      <c r="DK441" s="702">
        <f t="shared" si="377"/>
        <v>111</v>
      </c>
      <c r="DL441" s="311">
        <f t="shared" si="342"/>
        <v>0.16500000000000001</v>
      </c>
      <c r="DM441" s="310">
        <f t="shared" si="343"/>
        <v>95.689655172413794</v>
      </c>
      <c r="DN441" s="356">
        <f t="shared" si="344"/>
        <v>95.689655172413794</v>
      </c>
      <c r="DO441" s="308">
        <f t="shared" si="345"/>
        <v>0.15788793103448276</v>
      </c>
      <c r="DP441" s="359">
        <f t="shared" si="379"/>
        <v>0.15788793103448276</v>
      </c>
      <c r="DQ441" s="306">
        <f t="shared" si="346"/>
        <v>0.15788793103448276</v>
      </c>
      <c r="DR441" s="379">
        <f t="shared" si="347"/>
        <v>1</v>
      </c>
      <c r="DS441" s="378">
        <f t="shared" si="348"/>
        <v>0</v>
      </c>
      <c r="DT441" s="173">
        <v>611</v>
      </c>
      <c r="DU441" s="174" t="s">
        <v>98</v>
      </c>
      <c r="DV441" s="173"/>
      <c r="DW441" s="174" t="s">
        <v>84</v>
      </c>
      <c r="DX441" s="173"/>
      <c r="DY441" s="173"/>
      <c r="DZ441" s="173"/>
      <c r="EA441" s="665"/>
      <c r="EB441" s="1254" t="s">
        <v>2136</v>
      </c>
      <c r="EC441" s="537">
        <v>3409000000</v>
      </c>
      <c r="EE441" s="740">
        <v>0</v>
      </c>
      <c r="EF441" s="706"/>
    </row>
    <row r="442" spans="4:136" s="302" customFormat="1" ht="60" hidden="1">
      <c r="D442" s="520">
        <v>439</v>
      </c>
      <c r="E442" s="534">
        <v>510</v>
      </c>
      <c r="F442" s="479" t="s">
        <v>46</v>
      </c>
      <c r="G442" s="479" t="s">
        <v>9</v>
      </c>
      <c r="H442" s="479" t="s">
        <v>2676</v>
      </c>
      <c r="I442" s="435" t="s">
        <v>1054</v>
      </c>
      <c r="J442" s="335" t="s">
        <v>1059</v>
      </c>
      <c r="K442" s="335" t="s">
        <v>2337</v>
      </c>
      <c r="L442" s="358" t="s">
        <v>1791</v>
      </c>
      <c r="M442" s="334" t="s">
        <v>1771</v>
      </c>
      <c r="N442" s="337">
        <v>0</v>
      </c>
      <c r="O442" s="333">
        <f t="shared" si="378"/>
        <v>2</v>
      </c>
      <c r="P442" s="422">
        <f>2-N442</f>
        <v>2</v>
      </c>
      <c r="Q442" s="390">
        <v>0.16500000000000001</v>
      </c>
      <c r="R442" s="342">
        <f t="shared" si="326"/>
        <v>0</v>
      </c>
      <c r="S442" s="417">
        <v>0</v>
      </c>
      <c r="T442" s="337">
        <f t="shared" si="365"/>
        <v>0</v>
      </c>
      <c r="U442" s="673">
        <v>1</v>
      </c>
      <c r="V442" s="388">
        <f t="shared" si="366"/>
        <v>1</v>
      </c>
      <c r="W442" s="356">
        <f t="shared" si="367"/>
        <v>0</v>
      </c>
      <c r="X442" s="356">
        <f t="shared" si="327"/>
        <v>0</v>
      </c>
      <c r="Y442" s="356">
        <f t="shared" si="364"/>
        <v>0</v>
      </c>
      <c r="Z442" s="356">
        <f t="shared" si="328"/>
        <v>100</v>
      </c>
      <c r="AA442" s="413">
        <v>0</v>
      </c>
      <c r="AB442" s="413">
        <v>0</v>
      </c>
      <c r="AC442" s="413">
        <v>0</v>
      </c>
      <c r="AD442" s="413">
        <v>0</v>
      </c>
      <c r="AE442" s="413">
        <v>0</v>
      </c>
      <c r="AF442" s="413">
        <v>0</v>
      </c>
      <c r="AG442" s="413">
        <v>0</v>
      </c>
      <c r="AH442" s="413">
        <v>0</v>
      </c>
      <c r="AI442" s="413">
        <v>120000000</v>
      </c>
      <c r="AJ442" s="413">
        <v>120000000</v>
      </c>
      <c r="AK442" s="413">
        <v>0</v>
      </c>
      <c r="AL442" s="413">
        <v>0</v>
      </c>
      <c r="AM442" s="413">
        <v>0</v>
      </c>
      <c r="AN442" s="413">
        <v>0</v>
      </c>
      <c r="AO442" s="413">
        <v>0</v>
      </c>
      <c r="AP442" s="413">
        <v>0</v>
      </c>
      <c r="AQ442" s="413">
        <v>0</v>
      </c>
      <c r="AR442" s="413">
        <v>0</v>
      </c>
      <c r="AS442" s="413">
        <v>0</v>
      </c>
      <c r="AT442" s="333">
        <f t="shared" si="329"/>
        <v>4.1250000000000002E-2</v>
      </c>
      <c r="AU442" s="334">
        <v>0.5</v>
      </c>
      <c r="AV442" s="387">
        <f t="shared" si="368"/>
        <v>0.25</v>
      </c>
      <c r="AW442" s="677">
        <v>2</v>
      </c>
      <c r="AX442" s="366">
        <f t="shared" si="369"/>
        <v>2</v>
      </c>
      <c r="AY442" s="366">
        <f t="shared" si="370"/>
        <v>400</v>
      </c>
      <c r="AZ442" s="366">
        <f t="shared" si="330"/>
        <v>100</v>
      </c>
      <c r="BA442" s="354">
        <f t="shared" si="331"/>
        <v>4.1250000000000002E-2</v>
      </c>
      <c r="BB442" s="354">
        <f t="shared" si="332"/>
        <v>100</v>
      </c>
      <c r="BC442" s="353">
        <v>360000000</v>
      </c>
      <c r="BD442" s="353">
        <v>0</v>
      </c>
      <c r="BE442" s="353">
        <v>360000000</v>
      </c>
      <c r="BF442" s="353">
        <v>0</v>
      </c>
      <c r="BG442" s="353">
        <v>0</v>
      </c>
      <c r="BH442" s="353">
        <v>0</v>
      </c>
      <c r="BI442" s="353">
        <v>0</v>
      </c>
      <c r="BJ442" s="353">
        <v>0</v>
      </c>
      <c r="BK442" s="386">
        <v>329000000</v>
      </c>
      <c r="BL442" s="351">
        <v>129000000</v>
      </c>
      <c r="BM442" s="351">
        <v>0</v>
      </c>
      <c r="BN442" s="351">
        <v>0</v>
      </c>
      <c r="BO442" s="351">
        <v>0</v>
      </c>
      <c r="BP442" s="351">
        <v>200000000</v>
      </c>
      <c r="BQ442" s="351">
        <v>0</v>
      </c>
      <c r="BR442" s="351">
        <v>0</v>
      </c>
      <c r="BS442" s="351">
        <v>0</v>
      </c>
      <c r="BT442" s="351">
        <v>0</v>
      </c>
      <c r="BU442" s="351">
        <v>0</v>
      </c>
      <c r="BV442" s="350">
        <f t="shared" si="333"/>
        <v>4.1250000000000002E-2</v>
      </c>
      <c r="BW442" s="350">
        <v>0.5</v>
      </c>
      <c r="BX442" s="385">
        <f t="shared" si="371"/>
        <v>0.25</v>
      </c>
      <c r="BY442" s="399">
        <v>1</v>
      </c>
      <c r="BZ442" s="398">
        <v>1</v>
      </c>
      <c r="CA442" s="690">
        <v>1</v>
      </c>
      <c r="CB442" s="324">
        <f t="shared" si="372"/>
        <v>1</v>
      </c>
      <c r="CC442" s="324">
        <f t="shared" si="373"/>
        <v>200</v>
      </c>
      <c r="CD442" s="384">
        <f t="shared" si="334"/>
        <v>100</v>
      </c>
      <c r="CE442" s="383">
        <f t="shared" si="335"/>
        <v>4.1250000000000002E-2</v>
      </c>
      <c r="CF442" s="367">
        <f t="shared" si="336"/>
        <v>100</v>
      </c>
      <c r="CG442" s="383">
        <f t="shared" si="337"/>
        <v>8.2500000000000004E-2</v>
      </c>
      <c r="CH442" s="320">
        <f t="shared" si="338"/>
        <v>8.2500000000000004E-2</v>
      </c>
      <c r="CI442" s="319">
        <v>1</v>
      </c>
      <c r="CJ442" s="318">
        <f t="shared" si="374"/>
        <v>0.5</v>
      </c>
      <c r="CK442" s="1259">
        <v>1</v>
      </c>
      <c r="CL442" s="301">
        <f t="shared" si="380"/>
        <v>0</v>
      </c>
      <c r="CM442" s="381">
        <f t="shared" si="375"/>
        <v>1</v>
      </c>
      <c r="CN442" s="381">
        <f t="shared" si="376"/>
        <v>100</v>
      </c>
      <c r="CO442" s="316">
        <f t="shared" si="339"/>
        <v>100</v>
      </c>
      <c r="CP442" s="381">
        <f t="shared" si="340"/>
        <v>8.2500000000000004E-2</v>
      </c>
      <c r="CQ442" s="381">
        <f t="shared" si="341"/>
        <v>8.2500000000000004E-2</v>
      </c>
      <c r="CR442" s="313">
        <v>0</v>
      </c>
      <c r="CS442" s="313">
        <v>0</v>
      </c>
      <c r="CT442" s="313">
        <v>0</v>
      </c>
      <c r="CU442" s="313">
        <v>0</v>
      </c>
      <c r="CV442" s="313">
        <v>0</v>
      </c>
      <c r="CW442" s="313">
        <v>0</v>
      </c>
      <c r="CX442" s="313">
        <v>0</v>
      </c>
      <c r="CY442" s="313">
        <v>0</v>
      </c>
      <c r="CZ442" s="380">
        <v>0</v>
      </c>
      <c r="DA442" s="380">
        <v>0</v>
      </c>
      <c r="DB442" s="380">
        <v>0</v>
      </c>
      <c r="DC442" s="380">
        <v>0</v>
      </c>
      <c r="DD442" s="380">
        <v>0</v>
      </c>
      <c r="DE442" s="380">
        <v>0</v>
      </c>
      <c r="DF442" s="380">
        <v>0</v>
      </c>
      <c r="DG442" s="380">
        <v>0</v>
      </c>
      <c r="DH442" s="380">
        <v>0</v>
      </c>
      <c r="DI442" s="380">
        <v>0</v>
      </c>
      <c r="DJ442" s="380">
        <v>0</v>
      </c>
      <c r="DK442" s="702">
        <f t="shared" si="377"/>
        <v>5</v>
      </c>
      <c r="DL442" s="311">
        <f t="shared" si="342"/>
        <v>0.16500000000000001</v>
      </c>
      <c r="DM442" s="310">
        <f t="shared" si="343"/>
        <v>250</v>
      </c>
      <c r="DN442" s="356">
        <f t="shared" si="344"/>
        <v>100</v>
      </c>
      <c r="DO442" s="308">
        <f t="shared" si="345"/>
        <v>0.16500000000000001</v>
      </c>
      <c r="DP442" s="359">
        <f t="shared" si="379"/>
        <v>0.16500000000000001</v>
      </c>
      <c r="DQ442" s="306">
        <f t="shared" si="346"/>
        <v>0.16500000000000001</v>
      </c>
      <c r="DR442" s="379">
        <f t="shared" si="347"/>
        <v>1</v>
      </c>
      <c r="DS442" s="378">
        <f t="shared" si="348"/>
        <v>0</v>
      </c>
      <c r="DT442" s="173">
        <v>611</v>
      </c>
      <c r="DU442" s="174" t="s">
        <v>98</v>
      </c>
      <c r="DV442" s="173"/>
      <c r="DW442" s="174" t="s">
        <v>84</v>
      </c>
      <c r="DX442" s="173"/>
      <c r="DY442" s="173"/>
      <c r="DZ442" s="173"/>
      <c r="EA442" s="665"/>
      <c r="EB442" s="1254" t="s">
        <v>2137</v>
      </c>
      <c r="EC442" s="537">
        <v>110000000</v>
      </c>
      <c r="EE442" s="734">
        <v>1</v>
      </c>
      <c r="EF442" s="706"/>
    </row>
    <row r="443" spans="4:136" s="302" customFormat="1" ht="76.5" hidden="1">
      <c r="D443" s="520">
        <v>440</v>
      </c>
      <c r="E443" s="534">
        <v>511</v>
      </c>
      <c r="F443" s="479" t="s">
        <v>46</v>
      </c>
      <c r="G443" s="479" t="s">
        <v>9</v>
      </c>
      <c r="H443" s="479" t="s">
        <v>2676</v>
      </c>
      <c r="I443" s="435" t="s">
        <v>1054</v>
      </c>
      <c r="J443" s="335" t="s">
        <v>1060</v>
      </c>
      <c r="K443" s="335" t="s">
        <v>1061</v>
      </c>
      <c r="L443" s="407" t="s">
        <v>1834</v>
      </c>
      <c r="M443" s="334" t="s">
        <v>1771</v>
      </c>
      <c r="N443" s="337">
        <v>0</v>
      </c>
      <c r="O443" s="333">
        <f t="shared" si="378"/>
        <v>5</v>
      </c>
      <c r="P443" s="422">
        <v>5</v>
      </c>
      <c r="Q443" s="390">
        <v>0.16500000000000001</v>
      </c>
      <c r="R443" s="342">
        <f t="shared" si="326"/>
        <v>0</v>
      </c>
      <c r="S443" s="417">
        <v>0</v>
      </c>
      <c r="T443" s="337">
        <f t="shared" si="365"/>
        <v>0</v>
      </c>
      <c r="U443" s="673">
        <v>0</v>
      </c>
      <c r="V443" s="388">
        <f t="shared" si="366"/>
        <v>0</v>
      </c>
      <c r="W443" s="356">
        <f t="shared" si="367"/>
        <v>0</v>
      </c>
      <c r="X443" s="356">
        <f t="shared" si="327"/>
        <v>0</v>
      </c>
      <c r="Y443" s="356">
        <f t="shared" si="364"/>
        <v>0</v>
      </c>
      <c r="Z443" s="356">
        <f t="shared" si="328"/>
        <v>0</v>
      </c>
      <c r="AA443" s="413">
        <v>0</v>
      </c>
      <c r="AB443" s="413">
        <v>0</v>
      </c>
      <c r="AC443" s="413">
        <v>0</v>
      </c>
      <c r="AD443" s="413">
        <v>0</v>
      </c>
      <c r="AE443" s="413">
        <v>0</v>
      </c>
      <c r="AF443" s="413">
        <v>0</v>
      </c>
      <c r="AG443" s="413">
        <v>0</v>
      </c>
      <c r="AH443" s="413">
        <v>0</v>
      </c>
      <c r="AI443" s="413">
        <v>0</v>
      </c>
      <c r="AJ443" s="413">
        <v>0</v>
      </c>
      <c r="AK443" s="413">
        <v>0</v>
      </c>
      <c r="AL443" s="413">
        <v>0</v>
      </c>
      <c r="AM443" s="413">
        <v>0</v>
      </c>
      <c r="AN443" s="413">
        <v>0</v>
      </c>
      <c r="AO443" s="413">
        <v>0</v>
      </c>
      <c r="AP443" s="413">
        <v>0</v>
      </c>
      <c r="AQ443" s="413">
        <v>0</v>
      </c>
      <c r="AR443" s="413">
        <v>0</v>
      </c>
      <c r="AS443" s="413">
        <v>0</v>
      </c>
      <c r="AT443" s="333">
        <f t="shared" si="329"/>
        <v>6.6000000000000003E-2</v>
      </c>
      <c r="AU443" s="334">
        <v>2</v>
      </c>
      <c r="AV443" s="387">
        <f t="shared" si="368"/>
        <v>0.4</v>
      </c>
      <c r="AW443" s="677">
        <v>5</v>
      </c>
      <c r="AX443" s="366">
        <f t="shared" si="369"/>
        <v>5</v>
      </c>
      <c r="AY443" s="366">
        <f t="shared" si="370"/>
        <v>250</v>
      </c>
      <c r="AZ443" s="366">
        <f t="shared" si="330"/>
        <v>100</v>
      </c>
      <c r="BA443" s="354">
        <f t="shared" si="331"/>
        <v>6.6000000000000003E-2</v>
      </c>
      <c r="BB443" s="354">
        <f t="shared" si="332"/>
        <v>100</v>
      </c>
      <c r="BC443" s="353">
        <v>100000000</v>
      </c>
      <c r="BD443" s="353">
        <v>0</v>
      </c>
      <c r="BE443" s="353">
        <v>100000000</v>
      </c>
      <c r="BF443" s="353">
        <v>0</v>
      </c>
      <c r="BG443" s="353">
        <v>0</v>
      </c>
      <c r="BH443" s="353">
        <v>0</v>
      </c>
      <c r="BI443" s="353">
        <v>0</v>
      </c>
      <c r="BJ443" s="353">
        <v>0</v>
      </c>
      <c r="BK443" s="386">
        <v>117445080</v>
      </c>
      <c r="BL443" s="351">
        <v>117445080</v>
      </c>
      <c r="BM443" s="351">
        <v>0</v>
      </c>
      <c r="BN443" s="351">
        <v>0</v>
      </c>
      <c r="BO443" s="351">
        <v>0</v>
      </c>
      <c r="BP443" s="351">
        <v>0</v>
      </c>
      <c r="BQ443" s="351">
        <v>0</v>
      </c>
      <c r="BR443" s="351">
        <v>0</v>
      </c>
      <c r="BS443" s="351">
        <v>0</v>
      </c>
      <c r="BT443" s="351">
        <v>0</v>
      </c>
      <c r="BU443" s="351">
        <v>0</v>
      </c>
      <c r="BV443" s="350">
        <f t="shared" si="333"/>
        <v>3.3000000000000002E-2</v>
      </c>
      <c r="BW443" s="350">
        <v>1</v>
      </c>
      <c r="BX443" s="385">
        <f t="shared" si="371"/>
        <v>0.2</v>
      </c>
      <c r="BY443" s="369">
        <v>1</v>
      </c>
      <c r="BZ443" s="391">
        <v>1</v>
      </c>
      <c r="CA443" s="689">
        <v>1</v>
      </c>
      <c r="CB443" s="324">
        <f t="shared" si="372"/>
        <v>1</v>
      </c>
      <c r="CC443" s="324">
        <f t="shared" si="373"/>
        <v>100</v>
      </c>
      <c r="CD443" s="384">
        <f t="shared" si="334"/>
        <v>100</v>
      </c>
      <c r="CE443" s="383">
        <f t="shared" si="335"/>
        <v>3.3000000000000002E-2</v>
      </c>
      <c r="CF443" s="367">
        <f t="shared" si="336"/>
        <v>100</v>
      </c>
      <c r="CG443" s="383">
        <f t="shared" si="337"/>
        <v>3.3000000000000002E-2</v>
      </c>
      <c r="CH443" s="320">
        <f t="shared" si="338"/>
        <v>6.6000000000000003E-2</v>
      </c>
      <c r="CI443" s="319">
        <v>2</v>
      </c>
      <c r="CJ443" s="318">
        <f t="shared" si="374"/>
        <v>0.4</v>
      </c>
      <c r="CK443" s="1259">
        <v>2</v>
      </c>
      <c r="CL443" s="301">
        <f t="shared" si="380"/>
        <v>0</v>
      </c>
      <c r="CM443" s="381">
        <f t="shared" si="375"/>
        <v>2</v>
      </c>
      <c r="CN443" s="381">
        <f t="shared" si="376"/>
        <v>100</v>
      </c>
      <c r="CO443" s="316">
        <f t="shared" si="339"/>
        <v>100</v>
      </c>
      <c r="CP443" s="381">
        <f t="shared" si="340"/>
        <v>6.6000000000000003E-2</v>
      </c>
      <c r="CQ443" s="381">
        <f t="shared" si="341"/>
        <v>6.6000000000000003E-2</v>
      </c>
      <c r="CR443" s="313">
        <v>0</v>
      </c>
      <c r="CS443" s="313">
        <v>0</v>
      </c>
      <c r="CT443" s="313">
        <v>0</v>
      </c>
      <c r="CU443" s="313">
        <v>0</v>
      </c>
      <c r="CV443" s="313">
        <v>0</v>
      </c>
      <c r="CW443" s="313">
        <v>0</v>
      </c>
      <c r="CX443" s="313">
        <v>0</v>
      </c>
      <c r="CY443" s="313">
        <v>0</v>
      </c>
      <c r="CZ443" s="380">
        <v>0</v>
      </c>
      <c r="DA443" s="380">
        <v>0</v>
      </c>
      <c r="DB443" s="380">
        <v>0</v>
      </c>
      <c r="DC443" s="380">
        <v>0</v>
      </c>
      <c r="DD443" s="380">
        <v>0</v>
      </c>
      <c r="DE443" s="380">
        <v>0</v>
      </c>
      <c r="DF443" s="380">
        <v>0</v>
      </c>
      <c r="DG443" s="380">
        <v>0</v>
      </c>
      <c r="DH443" s="380">
        <v>0</v>
      </c>
      <c r="DI443" s="380">
        <v>0</v>
      </c>
      <c r="DJ443" s="380">
        <v>0</v>
      </c>
      <c r="DK443" s="702">
        <f t="shared" si="377"/>
        <v>8</v>
      </c>
      <c r="DL443" s="311">
        <f t="shared" si="342"/>
        <v>0.16500000000000001</v>
      </c>
      <c r="DM443" s="310">
        <f t="shared" si="343"/>
        <v>160</v>
      </c>
      <c r="DN443" s="356">
        <f t="shared" si="344"/>
        <v>100</v>
      </c>
      <c r="DO443" s="308">
        <f t="shared" si="345"/>
        <v>0.16500000000000001</v>
      </c>
      <c r="DP443" s="359">
        <f t="shared" si="379"/>
        <v>0.16500000000000001</v>
      </c>
      <c r="DQ443" s="306">
        <f t="shared" si="346"/>
        <v>0.16500000000000001</v>
      </c>
      <c r="DR443" s="379">
        <f t="shared" si="347"/>
        <v>1</v>
      </c>
      <c r="DS443" s="378">
        <f t="shared" si="348"/>
        <v>0</v>
      </c>
      <c r="DT443" s="173">
        <v>611</v>
      </c>
      <c r="DU443" s="174" t="s">
        <v>98</v>
      </c>
      <c r="DV443" s="173"/>
      <c r="DW443" s="174" t="s">
        <v>84</v>
      </c>
      <c r="DX443" s="173"/>
      <c r="DY443" s="173"/>
      <c r="DZ443" s="173"/>
      <c r="EA443" s="665"/>
      <c r="EB443" s="1254" t="s">
        <v>2138</v>
      </c>
      <c r="EC443" s="537">
        <v>500000000</v>
      </c>
      <c r="EE443" s="735">
        <v>0</v>
      </c>
      <c r="EF443" s="706"/>
    </row>
    <row r="444" spans="4:136" s="302" customFormat="1" ht="60" hidden="1">
      <c r="D444" s="520">
        <v>441</v>
      </c>
      <c r="E444" s="534">
        <v>512</v>
      </c>
      <c r="F444" s="336" t="s">
        <v>46</v>
      </c>
      <c r="G444" s="336" t="s">
        <v>9</v>
      </c>
      <c r="H444" s="336" t="s">
        <v>2676</v>
      </c>
      <c r="I444" s="336" t="s">
        <v>1054</v>
      </c>
      <c r="J444" s="335" t="s">
        <v>1304</v>
      </c>
      <c r="K444" s="335" t="s">
        <v>1062</v>
      </c>
      <c r="L444" s="358" t="s">
        <v>1833</v>
      </c>
      <c r="M444" s="334" t="s">
        <v>1771</v>
      </c>
      <c r="N444" s="337">
        <v>0</v>
      </c>
      <c r="O444" s="333">
        <f t="shared" si="378"/>
        <v>1</v>
      </c>
      <c r="P444" s="422">
        <v>1</v>
      </c>
      <c r="Q444" s="393">
        <v>8.8999999999999996E-2</v>
      </c>
      <c r="R444" s="342">
        <f t="shared" si="326"/>
        <v>0</v>
      </c>
      <c r="S444" s="417">
        <v>0</v>
      </c>
      <c r="T444" s="337">
        <f t="shared" si="365"/>
        <v>0</v>
      </c>
      <c r="U444" s="673">
        <v>0</v>
      </c>
      <c r="V444" s="388">
        <f t="shared" si="366"/>
        <v>0</v>
      </c>
      <c r="W444" s="356">
        <f t="shared" si="367"/>
        <v>0</v>
      </c>
      <c r="X444" s="356">
        <f t="shared" si="327"/>
        <v>0</v>
      </c>
      <c r="Y444" s="356">
        <f t="shared" si="364"/>
        <v>0</v>
      </c>
      <c r="Z444" s="356">
        <f t="shared" si="328"/>
        <v>0</v>
      </c>
      <c r="AA444" s="413">
        <v>0</v>
      </c>
      <c r="AB444" s="413">
        <v>0</v>
      </c>
      <c r="AC444" s="413">
        <v>0</v>
      </c>
      <c r="AD444" s="413">
        <v>0</v>
      </c>
      <c r="AE444" s="413">
        <v>0</v>
      </c>
      <c r="AF444" s="413">
        <v>0</v>
      </c>
      <c r="AG444" s="413">
        <v>0</v>
      </c>
      <c r="AH444" s="413">
        <v>0</v>
      </c>
      <c r="AI444" s="413">
        <v>0</v>
      </c>
      <c r="AJ444" s="413">
        <v>0</v>
      </c>
      <c r="AK444" s="413">
        <v>0</v>
      </c>
      <c r="AL444" s="413">
        <v>0</v>
      </c>
      <c r="AM444" s="413">
        <v>0</v>
      </c>
      <c r="AN444" s="413">
        <v>0</v>
      </c>
      <c r="AO444" s="413">
        <v>0</v>
      </c>
      <c r="AP444" s="413">
        <v>0</v>
      </c>
      <c r="AQ444" s="413">
        <v>0</v>
      </c>
      <c r="AR444" s="413">
        <v>0</v>
      </c>
      <c r="AS444" s="413">
        <v>0</v>
      </c>
      <c r="AT444" s="392">
        <f t="shared" si="329"/>
        <v>0</v>
      </c>
      <c r="AU444" s="334">
        <v>0</v>
      </c>
      <c r="AV444" s="387">
        <f t="shared" si="368"/>
        <v>0</v>
      </c>
      <c r="AW444" s="677">
        <v>0</v>
      </c>
      <c r="AX444" s="366">
        <f t="shared" si="369"/>
        <v>0</v>
      </c>
      <c r="AY444" s="366">
        <f t="shared" si="370"/>
        <v>0</v>
      </c>
      <c r="AZ444" s="366">
        <f t="shared" si="330"/>
        <v>0</v>
      </c>
      <c r="BA444" s="354">
        <f t="shared" si="331"/>
        <v>0</v>
      </c>
      <c r="BB444" s="354">
        <f t="shared" si="332"/>
        <v>0</v>
      </c>
      <c r="BC444" s="353">
        <v>170000000</v>
      </c>
      <c r="BD444" s="353">
        <v>0</v>
      </c>
      <c r="BE444" s="353">
        <v>170000000</v>
      </c>
      <c r="BF444" s="353">
        <v>0</v>
      </c>
      <c r="BG444" s="353">
        <v>0</v>
      </c>
      <c r="BH444" s="353">
        <v>0</v>
      </c>
      <c r="BI444" s="353">
        <v>0</v>
      </c>
      <c r="BJ444" s="353">
        <v>0</v>
      </c>
      <c r="BK444" s="386">
        <v>0</v>
      </c>
      <c r="BL444" s="351">
        <v>0</v>
      </c>
      <c r="BM444" s="351">
        <v>0</v>
      </c>
      <c r="BN444" s="351">
        <v>0</v>
      </c>
      <c r="BO444" s="351">
        <v>0</v>
      </c>
      <c r="BP444" s="351">
        <v>0</v>
      </c>
      <c r="BQ444" s="351">
        <v>0</v>
      </c>
      <c r="BR444" s="351">
        <v>0</v>
      </c>
      <c r="BS444" s="351">
        <v>0</v>
      </c>
      <c r="BT444" s="351">
        <v>0</v>
      </c>
      <c r="BU444" s="351">
        <v>0</v>
      </c>
      <c r="BV444" s="350">
        <f t="shared" si="333"/>
        <v>0</v>
      </c>
      <c r="BW444" s="350">
        <v>0</v>
      </c>
      <c r="BX444" s="385">
        <f t="shared" si="371"/>
        <v>0</v>
      </c>
      <c r="BY444" s="369">
        <v>0</v>
      </c>
      <c r="BZ444" s="391">
        <v>0</v>
      </c>
      <c r="CA444" s="689">
        <v>0</v>
      </c>
      <c r="CB444" s="324">
        <f t="shared" si="372"/>
        <v>0</v>
      </c>
      <c r="CC444" s="324">
        <f t="shared" si="373"/>
        <v>0</v>
      </c>
      <c r="CD444" s="384">
        <f t="shared" si="334"/>
        <v>0</v>
      </c>
      <c r="CE444" s="383">
        <f t="shared" si="335"/>
        <v>0</v>
      </c>
      <c r="CF444" s="367">
        <f t="shared" si="336"/>
        <v>0</v>
      </c>
      <c r="CG444" s="383">
        <f t="shared" si="337"/>
        <v>0</v>
      </c>
      <c r="CH444" s="320">
        <f t="shared" si="338"/>
        <v>8.8999999999999996E-2</v>
      </c>
      <c r="CI444" s="319">
        <v>1</v>
      </c>
      <c r="CJ444" s="318">
        <f t="shared" si="374"/>
        <v>1</v>
      </c>
      <c r="CK444" s="1259">
        <v>3</v>
      </c>
      <c r="CL444" s="301">
        <f t="shared" si="380"/>
        <v>-2</v>
      </c>
      <c r="CM444" s="381">
        <f t="shared" si="375"/>
        <v>3</v>
      </c>
      <c r="CN444" s="381">
        <f t="shared" si="376"/>
        <v>300</v>
      </c>
      <c r="CO444" s="316">
        <f t="shared" si="339"/>
        <v>100</v>
      </c>
      <c r="CP444" s="381">
        <f t="shared" si="340"/>
        <v>8.900000000000001E-2</v>
      </c>
      <c r="CQ444" s="381">
        <f t="shared" si="341"/>
        <v>0.26700000000000002</v>
      </c>
      <c r="CR444" s="313">
        <v>0</v>
      </c>
      <c r="CS444" s="313">
        <v>0</v>
      </c>
      <c r="CT444" s="313">
        <v>0</v>
      </c>
      <c r="CU444" s="313">
        <v>0</v>
      </c>
      <c r="CV444" s="313">
        <v>0</v>
      </c>
      <c r="CW444" s="313">
        <v>0</v>
      </c>
      <c r="CX444" s="313">
        <v>0</v>
      </c>
      <c r="CY444" s="313">
        <v>0</v>
      </c>
      <c r="CZ444" s="380">
        <v>0</v>
      </c>
      <c r="DA444" s="380">
        <v>0</v>
      </c>
      <c r="DB444" s="380">
        <v>0</v>
      </c>
      <c r="DC444" s="380">
        <v>0</v>
      </c>
      <c r="DD444" s="380">
        <v>0</v>
      </c>
      <c r="DE444" s="380">
        <v>0</v>
      </c>
      <c r="DF444" s="380">
        <v>0</v>
      </c>
      <c r="DG444" s="380">
        <v>0</v>
      </c>
      <c r="DH444" s="380">
        <v>0</v>
      </c>
      <c r="DI444" s="380">
        <v>0</v>
      </c>
      <c r="DJ444" s="380">
        <v>0</v>
      </c>
      <c r="DK444" s="702">
        <f t="shared" si="377"/>
        <v>3</v>
      </c>
      <c r="DL444" s="311">
        <f t="shared" si="342"/>
        <v>8.8999999999999996E-2</v>
      </c>
      <c r="DM444" s="310">
        <f t="shared" si="343"/>
        <v>300</v>
      </c>
      <c r="DN444" s="356">
        <f t="shared" si="344"/>
        <v>100</v>
      </c>
      <c r="DO444" s="308">
        <f t="shared" si="345"/>
        <v>8.900000000000001E-2</v>
      </c>
      <c r="DP444" s="359">
        <f t="shared" si="379"/>
        <v>8.8999999999999996E-2</v>
      </c>
      <c r="DQ444" s="306">
        <f t="shared" si="346"/>
        <v>8.8999999999999996E-2</v>
      </c>
      <c r="DR444" s="379">
        <f t="shared" si="347"/>
        <v>1</v>
      </c>
      <c r="DS444" s="378">
        <f t="shared" si="348"/>
        <v>0</v>
      </c>
      <c r="DT444" s="173">
        <v>611</v>
      </c>
      <c r="DU444" s="174" t="s">
        <v>98</v>
      </c>
      <c r="DV444" s="173"/>
      <c r="DW444" s="174" t="s">
        <v>84</v>
      </c>
      <c r="DX444" s="173"/>
      <c r="DY444" s="173"/>
      <c r="DZ444" s="173"/>
      <c r="EA444" s="665"/>
      <c r="EB444" s="1254" t="s">
        <v>2139</v>
      </c>
      <c r="EC444" s="537">
        <v>130000000</v>
      </c>
      <c r="EE444" s="734">
        <v>1</v>
      </c>
      <c r="EF444" s="706"/>
    </row>
    <row r="445" spans="4:136" s="302" customFormat="1" ht="76.5" hidden="1">
      <c r="D445" s="520">
        <v>442</v>
      </c>
      <c r="E445" s="534">
        <v>513</v>
      </c>
      <c r="F445" s="479" t="s">
        <v>46</v>
      </c>
      <c r="G445" s="479" t="s">
        <v>9</v>
      </c>
      <c r="H445" s="479" t="s">
        <v>2676</v>
      </c>
      <c r="I445" s="435" t="s">
        <v>1063</v>
      </c>
      <c r="J445" s="335" t="s">
        <v>1064</v>
      </c>
      <c r="K445" s="335" t="s">
        <v>1065</v>
      </c>
      <c r="L445" s="358" t="s">
        <v>1832</v>
      </c>
      <c r="M445" s="334" t="s">
        <v>1771</v>
      </c>
      <c r="N445" s="337">
        <v>0</v>
      </c>
      <c r="O445" s="333">
        <f t="shared" si="378"/>
        <v>100</v>
      </c>
      <c r="P445" s="422">
        <v>100</v>
      </c>
      <c r="Q445" s="390">
        <v>0.16500000000000001</v>
      </c>
      <c r="R445" s="342">
        <f t="shared" si="326"/>
        <v>0</v>
      </c>
      <c r="S445" s="417">
        <v>0</v>
      </c>
      <c r="T445" s="337">
        <f t="shared" si="365"/>
        <v>0</v>
      </c>
      <c r="U445" s="673">
        <v>0</v>
      </c>
      <c r="V445" s="388">
        <f t="shared" si="366"/>
        <v>0</v>
      </c>
      <c r="W445" s="356">
        <f t="shared" si="367"/>
        <v>0</v>
      </c>
      <c r="X445" s="356">
        <f t="shared" si="327"/>
        <v>0</v>
      </c>
      <c r="Y445" s="356">
        <f t="shared" si="364"/>
        <v>0</v>
      </c>
      <c r="Z445" s="356">
        <f t="shared" si="328"/>
        <v>0</v>
      </c>
      <c r="AA445" s="413">
        <v>0</v>
      </c>
      <c r="AB445" s="413">
        <v>0</v>
      </c>
      <c r="AC445" s="413">
        <v>0</v>
      </c>
      <c r="AD445" s="413">
        <v>0</v>
      </c>
      <c r="AE445" s="413">
        <v>0</v>
      </c>
      <c r="AF445" s="413">
        <v>0</v>
      </c>
      <c r="AG445" s="413">
        <v>0</v>
      </c>
      <c r="AH445" s="413">
        <v>0</v>
      </c>
      <c r="AI445" s="413">
        <v>0</v>
      </c>
      <c r="AJ445" s="413">
        <v>0</v>
      </c>
      <c r="AK445" s="413">
        <v>0</v>
      </c>
      <c r="AL445" s="413">
        <v>0</v>
      </c>
      <c r="AM445" s="413">
        <v>0</v>
      </c>
      <c r="AN445" s="413">
        <v>0</v>
      </c>
      <c r="AO445" s="413">
        <v>0</v>
      </c>
      <c r="AP445" s="413">
        <v>0</v>
      </c>
      <c r="AQ445" s="413">
        <v>0</v>
      </c>
      <c r="AR445" s="413">
        <v>0</v>
      </c>
      <c r="AS445" s="413">
        <v>0</v>
      </c>
      <c r="AT445" s="333">
        <f t="shared" si="329"/>
        <v>4.9500000000000002E-2</v>
      </c>
      <c r="AU445" s="334">
        <v>30</v>
      </c>
      <c r="AV445" s="387">
        <f t="shared" si="368"/>
        <v>0.3</v>
      </c>
      <c r="AW445" s="677">
        <v>0</v>
      </c>
      <c r="AX445" s="366">
        <f t="shared" si="369"/>
        <v>0</v>
      </c>
      <c r="AY445" s="366">
        <f t="shared" si="370"/>
        <v>0</v>
      </c>
      <c r="AZ445" s="366">
        <f t="shared" si="330"/>
        <v>0</v>
      </c>
      <c r="BA445" s="354">
        <f t="shared" si="331"/>
        <v>0</v>
      </c>
      <c r="BB445" s="354">
        <f t="shared" si="332"/>
        <v>0</v>
      </c>
      <c r="BC445" s="353">
        <v>50000000</v>
      </c>
      <c r="BD445" s="353">
        <v>0</v>
      </c>
      <c r="BE445" s="353">
        <v>50000000</v>
      </c>
      <c r="BF445" s="353">
        <v>0</v>
      </c>
      <c r="BG445" s="353">
        <v>0</v>
      </c>
      <c r="BH445" s="353">
        <v>0</v>
      </c>
      <c r="BI445" s="353">
        <v>0</v>
      </c>
      <c r="BJ445" s="353">
        <v>0</v>
      </c>
      <c r="BK445" s="386">
        <v>0</v>
      </c>
      <c r="BL445" s="351">
        <v>0</v>
      </c>
      <c r="BM445" s="351">
        <v>0</v>
      </c>
      <c r="BN445" s="351">
        <v>0</v>
      </c>
      <c r="BO445" s="351">
        <v>0</v>
      </c>
      <c r="BP445" s="351">
        <v>0</v>
      </c>
      <c r="BQ445" s="351">
        <v>0</v>
      </c>
      <c r="BR445" s="351">
        <v>0</v>
      </c>
      <c r="BS445" s="351">
        <v>0</v>
      </c>
      <c r="BT445" s="351">
        <v>0</v>
      </c>
      <c r="BU445" s="351">
        <v>0</v>
      </c>
      <c r="BV445" s="350">
        <f t="shared" si="333"/>
        <v>6.6000000000000003E-2</v>
      </c>
      <c r="BW445" s="350">
        <v>40</v>
      </c>
      <c r="BX445" s="385">
        <f t="shared" si="371"/>
        <v>0.4</v>
      </c>
      <c r="BY445" s="369">
        <v>63</v>
      </c>
      <c r="BZ445" s="391">
        <v>63</v>
      </c>
      <c r="CA445" s="689">
        <v>116</v>
      </c>
      <c r="CB445" s="324">
        <f t="shared" si="372"/>
        <v>116</v>
      </c>
      <c r="CC445" s="324">
        <f t="shared" si="373"/>
        <v>290</v>
      </c>
      <c r="CD445" s="384">
        <f t="shared" si="334"/>
        <v>100</v>
      </c>
      <c r="CE445" s="383">
        <f t="shared" si="335"/>
        <v>6.6000000000000003E-2</v>
      </c>
      <c r="CF445" s="367">
        <f t="shared" si="336"/>
        <v>100</v>
      </c>
      <c r="CG445" s="383">
        <f t="shared" si="337"/>
        <v>0.19140000000000001</v>
      </c>
      <c r="CH445" s="320">
        <f t="shared" si="338"/>
        <v>4.9500000000000002E-2</v>
      </c>
      <c r="CI445" s="319">
        <v>30</v>
      </c>
      <c r="CJ445" s="318">
        <f t="shared" si="374"/>
        <v>0.3</v>
      </c>
      <c r="CK445" s="1259">
        <v>30</v>
      </c>
      <c r="CL445" s="301">
        <f t="shared" si="380"/>
        <v>0</v>
      </c>
      <c r="CM445" s="381">
        <f t="shared" si="375"/>
        <v>30</v>
      </c>
      <c r="CN445" s="381">
        <f t="shared" si="376"/>
        <v>100</v>
      </c>
      <c r="CO445" s="316">
        <f t="shared" si="339"/>
        <v>100</v>
      </c>
      <c r="CP445" s="381">
        <f t="shared" si="340"/>
        <v>4.9500000000000002E-2</v>
      </c>
      <c r="CQ445" s="381">
        <f t="shared" si="341"/>
        <v>4.9500000000000002E-2</v>
      </c>
      <c r="CR445" s="313">
        <v>80000000</v>
      </c>
      <c r="CS445" s="313">
        <v>80000000</v>
      </c>
      <c r="CT445" s="313">
        <v>0</v>
      </c>
      <c r="CU445" s="313">
        <v>0</v>
      </c>
      <c r="CV445" s="313">
        <v>0</v>
      </c>
      <c r="CW445" s="313">
        <v>0</v>
      </c>
      <c r="CX445" s="313">
        <v>0</v>
      </c>
      <c r="CY445" s="313">
        <v>0</v>
      </c>
      <c r="CZ445" s="380">
        <v>0</v>
      </c>
      <c r="DA445" s="380">
        <v>0</v>
      </c>
      <c r="DB445" s="380">
        <v>0</v>
      </c>
      <c r="DC445" s="380">
        <v>0</v>
      </c>
      <c r="DD445" s="380">
        <v>0</v>
      </c>
      <c r="DE445" s="380">
        <v>0</v>
      </c>
      <c r="DF445" s="380">
        <v>0</v>
      </c>
      <c r="DG445" s="380">
        <v>0</v>
      </c>
      <c r="DH445" s="380">
        <v>0</v>
      </c>
      <c r="DI445" s="380">
        <v>0</v>
      </c>
      <c r="DJ445" s="380">
        <v>0</v>
      </c>
      <c r="DK445" s="702">
        <f t="shared" si="377"/>
        <v>146</v>
      </c>
      <c r="DL445" s="311">
        <f t="shared" si="342"/>
        <v>0.16500000000000001</v>
      </c>
      <c r="DM445" s="310">
        <f t="shared" si="343"/>
        <v>146</v>
      </c>
      <c r="DN445" s="356">
        <f t="shared" si="344"/>
        <v>100</v>
      </c>
      <c r="DO445" s="308">
        <f t="shared" si="345"/>
        <v>0.16500000000000001</v>
      </c>
      <c r="DP445" s="359">
        <f t="shared" si="379"/>
        <v>0.16500000000000001</v>
      </c>
      <c r="DQ445" s="306">
        <f t="shared" si="346"/>
        <v>0.16500000000000001</v>
      </c>
      <c r="DR445" s="379">
        <f t="shared" si="347"/>
        <v>1</v>
      </c>
      <c r="DS445" s="378">
        <f t="shared" si="348"/>
        <v>0</v>
      </c>
      <c r="DT445" s="173">
        <v>611</v>
      </c>
      <c r="DU445" s="174" t="s">
        <v>98</v>
      </c>
      <c r="DV445" s="173"/>
      <c r="DW445" s="174" t="s">
        <v>84</v>
      </c>
      <c r="DX445" s="173"/>
      <c r="DY445" s="173"/>
      <c r="DZ445" s="173"/>
      <c r="EA445" s="665"/>
      <c r="EB445" s="1254" t="s">
        <v>2140</v>
      </c>
      <c r="EC445" s="537">
        <v>80000000</v>
      </c>
      <c r="EE445" s="734">
        <v>1</v>
      </c>
      <c r="EF445" s="706"/>
    </row>
    <row r="446" spans="4:136" s="302" customFormat="1" ht="63.75" hidden="1">
      <c r="D446" s="520">
        <v>443</v>
      </c>
      <c r="E446" s="534">
        <v>514</v>
      </c>
      <c r="F446" s="479" t="s">
        <v>46</v>
      </c>
      <c r="G446" s="479" t="s">
        <v>9</v>
      </c>
      <c r="H446" s="479" t="s">
        <v>2676</v>
      </c>
      <c r="I446" s="435" t="s">
        <v>1063</v>
      </c>
      <c r="J446" s="335" t="s">
        <v>1066</v>
      </c>
      <c r="K446" s="335" t="s">
        <v>1067</v>
      </c>
      <c r="L446" s="358" t="s">
        <v>1831</v>
      </c>
      <c r="M446" s="334" t="s">
        <v>1771</v>
      </c>
      <c r="N446" s="337">
        <v>0</v>
      </c>
      <c r="O446" s="333">
        <f t="shared" si="378"/>
        <v>116</v>
      </c>
      <c r="P446" s="422">
        <v>116</v>
      </c>
      <c r="Q446" s="390">
        <v>8.8999999999999996E-2</v>
      </c>
      <c r="R446" s="342">
        <f t="shared" si="326"/>
        <v>0</v>
      </c>
      <c r="S446" s="417">
        <v>0</v>
      </c>
      <c r="T446" s="337">
        <f t="shared" si="365"/>
        <v>0</v>
      </c>
      <c r="U446" s="673">
        <v>59</v>
      </c>
      <c r="V446" s="388">
        <f t="shared" si="366"/>
        <v>59</v>
      </c>
      <c r="W446" s="356">
        <f t="shared" si="367"/>
        <v>0</v>
      </c>
      <c r="X446" s="356">
        <f t="shared" si="327"/>
        <v>0</v>
      </c>
      <c r="Y446" s="356">
        <f t="shared" si="364"/>
        <v>0</v>
      </c>
      <c r="Z446" s="356">
        <f t="shared" si="328"/>
        <v>100</v>
      </c>
      <c r="AA446" s="413">
        <v>0</v>
      </c>
      <c r="AB446" s="413">
        <v>0</v>
      </c>
      <c r="AC446" s="413">
        <v>0</v>
      </c>
      <c r="AD446" s="413">
        <v>0</v>
      </c>
      <c r="AE446" s="413">
        <v>0</v>
      </c>
      <c r="AF446" s="413">
        <v>0</v>
      </c>
      <c r="AG446" s="413">
        <v>0</v>
      </c>
      <c r="AH446" s="413">
        <v>0</v>
      </c>
      <c r="AI446" s="413">
        <v>0</v>
      </c>
      <c r="AJ446" s="413">
        <v>0</v>
      </c>
      <c r="AK446" s="413">
        <v>0</v>
      </c>
      <c r="AL446" s="413">
        <v>0</v>
      </c>
      <c r="AM446" s="413">
        <v>0</v>
      </c>
      <c r="AN446" s="413">
        <v>0</v>
      </c>
      <c r="AO446" s="413">
        <v>0</v>
      </c>
      <c r="AP446" s="413">
        <v>0</v>
      </c>
      <c r="AQ446" s="413">
        <v>0</v>
      </c>
      <c r="AR446" s="413">
        <v>0</v>
      </c>
      <c r="AS446" s="413">
        <v>0</v>
      </c>
      <c r="AT446" s="333">
        <f t="shared" si="329"/>
        <v>0</v>
      </c>
      <c r="AU446" s="334">
        <v>0</v>
      </c>
      <c r="AV446" s="387">
        <f t="shared" si="368"/>
        <v>0</v>
      </c>
      <c r="AW446" s="677">
        <v>116</v>
      </c>
      <c r="AX446" s="366">
        <f t="shared" si="369"/>
        <v>116</v>
      </c>
      <c r="AY446" s="366">
        <f t="shared" si="370"/>
        <v>0</v>
      </c>
      <c r="AZ446" s="366">
        <f t="shared" si="330"/>
        <v>0</v>
      </c>
      <c r="BA446" s="354">
        <f t="shared" si="331"/>
        <v>0</v>
      </c>
      <c r="BB446" s="354">
        <f t="shared" si="332"/>
        <v>100</v>
      </c>
      <c r="BC446" s="353">
        <v>0</v>
      </c>
      <c r="BD446" s="353">
        <v>0</v>
      </c>
      <c r="BE446" s="353">
        <v>0</v>
      </c>
      <c r="BF446" s="353">
        <v>0</v>
      </c>
      <c r="BG446" s="353">
        <v>0</v>
      </c>
      <c r="BH446" s="353">
        <v>0</v>
      </c>
      <c r="BI446" s="353">
        <v>0</v>
      </c>
      <c r="BJ446" s="353">
        <v>0</v>
      </c>
      <c r="BK446" s="386">
        <v>0</v>
      </c>
      <c r="BL446" s="351">
        <v>0</v>
      </c>
      <c r="BM446" s="351">
        <v>0</v>
      </c>
      <c r="BN446" s="351">
        <v>0</v>
      </c>
      <c r="BO446" s="351">
        <v>0</v>
      </c>
      <c r="BP446" s="351">
        <v>0</v>
      </c>
      <c r="BQ446" s="351">
        <v>0</v>
      </c>
      <c r="BR446" s="351">
        <v>0</v>
      </c>
      <c r="BS446" s="351">
        <v>0</v>
      </c>
      <c r="BT446" s="351">
        <v>0</v>
      </c>
      <c r="BU446" s="351">
        <v>0</v>
      </c>
      <c r="BV446" s="350">
        <f t="shared" si="333"/>
        <v>4.4499999999999998E-2</v>
      </c>
      <c r="BW446" s="350">
        <v>58</v>
      </c>
      <c r="BX446" s="385">
        <f t="shared" si="371"/>
        <v>0.5</v>
      </c>
      <c r="BY446" s="369">
        <v>116</v>
      </c>
      <c r="BZ446" s="391">
        <v>116</v>
      </c>
      <c r="CA446" s="689">
        <v>116</v>
      </c>
      <c r="CB446" s="324">
        <f t="shared" si="372"/>
        <v>116</v>
      </c>
      <c r="CC446" s="324">
        <f t="shared" si="373"/>
        <v>200</v>
      </c>
      <c r="CD446" s="384">
        <f t="shared" si="334"/>
        <v>100</v>
      </c>
      <c r="CE446" s="383">
        <f t="shared" si="335"/>
        <v>4.4500000000000005E-2</v>
      </c>
      <c r="CF446" s="367">
        <f t="shared" si="336"/>
        <v>100</v>
      </c>
      <c r="CG446" s="383">
        <f t="shared" si="337"/>
        <v>8.900000000000001E-2</v>
      </c>
      <c r="CH446" s="320">
        <f t="shared" si="338"/>
        <v>4.4499999999999998E-2</v>
      </c>
      <c r="CI446" s="319">
        <v>58</v>
      </c>
      <c r="CJ446" s="318">
        <f t="shared" si="374"/>
        <v>0.5</v>
      </c>
      <c r="CK446" s="1259">
        <v>116</v>
      </c>
      <c r="CL446" s="301">
        <f t="shared" si="380"/>
        <v>-58</v>
      </c>
      <c r="CM446" s="381">
        <f t="shared" si="375"/>
        <v>116</v>
      </c>
      <c r="CN446" s="381">
        <f t="shared" si="376"/>
        <v>200</v>
      </c>
      <c r="CO446" s="316">
        <f t="shared" si="339"/>
        <v>100</v>
      </c>
      <c r="CP446" s="381">
        <f t="shared" si="340"/>
        <v>4.4500000000000005E-2</v>
      </c>
      <c r="CQ446" s="381">
        <f t="shared" si="341"/>
        <v>8.900000000000001E-2</v>
      </c>
      <c r="CR446" s="313">
        <v>0</v>
      </c>
      <c r="CS446" s="313">
        <v>0</v>
      </c>
      <c r="CT446" s="313">
        <v>0</v>
      </c>
      <c r="CU446" s="313">
        <v>0</v>
      </c>
      <c r="CV446" s="313">
        <v>0</v>
      </c>
      <c r="CW446" s="313">
        <v>0</v>
      </c>
      <c r="CX446" s="313">
        <v>0</v>
      </c>
      <c r="CY446" s="313">
        <v>0</v>
      </c>
      <c r="CZ446" s="380">
        <v>0</v>
      </c>
      <c r="DA446" s="380">
        <v>0</v>
      </c>
      <c r="DB446" s="380">
        <v>0</v>
      </c>
      <c r="DC446" s="380">
        <v>0</v>
      </c>
      <c r="DD446" s="380">
        <v>0</v>
      </c>
      <c r="DE446" s="380">
        <v>0</v>
      </c>
      <c r="DF446" s="380">
        <v>0</v>
      </c>
      <c r="DG446" s="380">
        <v>0</v>
      </c>
      <c r="DH446" s="380">
        <v>0</v>
      </c>
      <c r="DI446" s="380">
        <v>0</v>
      </c>
      <c r="DJ446" s="380">
        <v>0</v>
      </c>
      <c r="DK446" s="702">
        <f t="shared" si="377"/>
        <v>407</v>
      </c>
      <c r="DL446" s="311">
        <f t="shared" si="342"/>
        <v>8.8999999999999996E-2</v>
      </c>
      <c r="DM446" s="310">
        <f t="shared" si="343"/>
        <v>350.86206896551727</v>
      </c>
      <c r="DN446" s="356">
        <f t="shared" si="344"/>
        <v>100</v>
      </c>
      <c r="DO446" s="308">
        <f t="shared" si="345"/>
        <v>8.900000000000001E-2</v>
      </c>
      <c r="DP446" s="359">
        <f t="shared" si="379"/>
        <v>8.8999999999999996E-2</v>
      </c>
      <c r="DQ446" s="306">
        <f t="shared" si="346"/>
        <v>8.8999999999999996E-2</v>
      </c>
      <c r="DR446" s="379">
        <f t="shared" si="347"/>
        <v>1</v>
      </c>
      <c r="DS446" s="378">
        <f t="shared" si="348"/>
        <v>0</v>
      </c>
      <c r="DT446" s="173">
        <v>611</v>
      </c>
      <c r="DU446" s="174" t="s">
        <v>98</v>
      </c>
      <c r="DV446" s="173"/>
      <c r="DW446" s="174" t="s">
        <v>84</v>
      </c>
      <c r="DX446" s="173"/>
      <c r="DY446" s="173"/>
      <c r="DZ446" s="173"/>
      <c r="EA446" s="665"/>
      <c r="EB446" s="1254" t="s">
        <v>2141</v>
      </c>
      <c r="EC446" s="537">
        <v>4410000000</v>
      </c>
      <c r="EE446" s="734">
        <v>0</v>
      </c>
      <c r="EF446" s="706"/>
    </row>
    <row r="447" spans="4:136" s="302" customFormat="1" ht="89.25" hidden="1">
      <c r="D447" s="520">
        <v>444</v>
      </c>
      <c r="E447" s="534">
        <v>515</v>
      </c>
      <c r="F447" s="479" t="s">
        <v>46</v>
      </c>
      <c r="G447" s="479" t="s">
        <v>9</v>
      </c>
      <c r="H447" s="479" t="s">
        <v>2676</v>
      </c>
      <c r="I447" s="435" t="s">
        <v>1063</v>
      </c>
      <c r="J447" s="335" t="s">
        <v>1068</v>
      </c>
      <c r="K447" s="335" t="s">
        <v>1069</v>
      </c>
      <c r="L447" s="407" t="s">
        <v>1830</v>
      </c>
      <c r="M447" s="334" t="s">
        <v>1771</v>
      </c>
      <c r="N447" s="337">
        <v>0</v>
      </c>
      <c r="O447" s="333">
        <f t="shared" si="378"/>
        <v>1</v>
      </c>
      <c r="P447" s="422">
        <v>1</v>
      </c>
      <c r="Q447" s="390">
        <v>0.16500000000000001</v>
      </c>
      <c r="R447" s="342">
        <f t="shared" si="326"/>
        <v>0.16500000000000001</v>
      </c>
      <c r="S447" s="417">
        <v>1</v>
      </c>
      <c r="T447" s="337">
        <f t="shared" si="365"/>
        <v>1</v>
      </c>
      <c r="U447" s="673">
        <v>0</v>
      </c>
      <c r="V447" s="388">
        <f t="shared" si="366"/>
        <v>0</v>
      </c>
      <c r="W447" s="356">
        <f t="shared" si="367"/>
        <v>0</v>
      </c>
      <c r="X447" s="356">
        <f t="shared" si="327"/>
        <v>0</v>
      </c>
      <c r="Y447" s="356">
        <f t="shared" si="364"/>
        <v>0</v>
      </c>
      <c r="Z447" s="356">
        <f t="shared" si="328"/>
        <v>0</v>
      </c>
      <c r="AA447" s="413">
        <v>0</v>
      </c>
      <c r="AB447" s="413">
        <v>0</v>
      </c>
      <c r="AC447" s="413">
        <v>0</v>
      </c>
      <c r="AD447" s="413">
        <v>0</v>
      </c>
      <c r="AE447" s="413">
        <v>0</v>
      </c>
      <c r="AF447" s="413">
        <v>0</v>
      </c>
      <c r="AG447" s="413">
        <v>0</v>
      </c>
      <c r="AH447" s="413">
        <v>0</v>
      </c>
      <c r="AI447" s="413">
        <v>0</v>
      </c>
      <c r="AJ447" s="413">
        <v>0</v>
      </c>
      <c r="AK447" s="413">
        <v>0</v>
      </c>
      <c r="AL447" s="413">
        <v>0</v>
      </c>
      <c r="AM447" s="413">
        <v>0</v>
      </c>
      <c r="AN447" s="413">
        <v>0</v>
      </c>
      <c r="AO447" s="413">
        <v>0</v>
      </c>
      <c r="AP447" s="413">
        <v>0</v>
      </c>
      <c r="AQ447" s="413">
        <v>0</v>
      </c>
      <c r="AR447" s="413">
        <v>0</v>
      </c>
      <c r="AS447" s="413">
        <v>0</v>
      </c>
      <c r="AT447" s="333">
        <f t="shared" si="329"/>
        <v>0</v>
      </c>
      <c r="AU447" s="334">
        <v>0</v>
      </c>
      <c r="AV447" s="387">
        <f t="shared" si="368"/>
        <v>0</v>
      </c>
      <c r="AW447" s="677">
        <v>1</v>
      </c>
      <c r="AX447" s="366">
        <f t="shared" si="369"/>
        <v>1</v>
      </c>
      <c r="AY447" s="366">
        <f t="shared" si="370"/>
        <v>0</v>
      </c>
      <c r="AZ447" s="366">
        <f t="shared" si="330"/>
        <v>0</v>
      </c>
      <c r="BA447" s="354">
        <f t="shared" si="331"/>
        <v>0</v>
      </c>
      <c r="BB447" s="354">
        <f t="shared" si="332"/>
        <v>100</v>
      </c>
      <c r="BC447" s="353">
        <v>0</v>
      </c>
      <c r="BD447" s="353">
        <v>0</v>
      </c>
      <c r="BE447" s="353">
        <v>0</v>
      </c>
      <c r="BF447" s="353">
        <v>0</v>
      </c>
      <c r="BG447" s="353">
        <v>0</v>
      </c>
      <c r="BH447" s="353">
        <v>0</v>
      </c>
      <c r="BI447" s="353">
        <v>0</v>
      </c>
      <c r="BJ447" s="353">
        <v>0</v>
      </c>
      <c r="BK447" s="386">
        <v>0</v>
      </c>
      <c r="BL447" s="351">
        <v>0</v>
      </c>
      <c r="BM447" s="351">
        <v>0</v>
      </c>
      <c r="BN447" s="351">
        <v>0</v>
      </c>
      <c r="BO447" s="351">
        <v>0</v>
      </c>
      <c r="BP447" s="351">
        <v>0</v>
      </c>
      <c r="BQ447" s="351">
        <v>0</v>
      </c>
      <c r="BR447" s="351">
        <v>0</v>
      </c>
      <c r="BS447" s="351">
        <v>0</v>
      </c>
      <c r="BT447" s="351">
        <v>0</v>
      </c>
      <c r="BU447" s="351">
        <v>0</v>
      </c>
      <c r="BV447" s="350">
        <f t="shared" si="333"/>
        <v>0</v>
      </c>
      <c r="BW447" s="350">
        <v>0</v>
      </c>
      <c r="BX447" s="385">
        <f t="shared" si="371"/>
        <v>0</v>
      </c>
      <c r="BY447" s="399">
        <v>0</v>
      </c>
      <c r="BZ447" s="398">
        <v>0</v>
      </c>
      <c r="CA447" s="690">
        <v>0</v>
      </c>
      <c r="CB447" s="324">
        <f t="shared" si="372"/>
        <v>0</v>
      </c>
      <c r="CC447" s="324">
        <f t="shared" si="373"/>
        <v>0</v>
      </c>
      <c r="CD447" s="384">
        <f t="shared" si="334"/>
        <v>0</v>
      </c>
      <c r="CE447" s="383">
        <f t="shared" si="335"/>
        <v>0</v>
      </c>
      <c r="CF447" s="367">
        <f t="shared" si="336"/>
        <v>0</v>
      </c>
      <c r="CG447" s="383">
        <f t="shared" si="337"/>
        <v>0</v>
      </c>
      <c r="CH447" s="320">
        <f t="shared" si="338"/>
        <v>0</v>
      </c>
      <c r="CI447" s="319">
        <v>0</v>
      </c>
      <c r="CJ447" s="318">
        <f t="shared" si="374"/>
        <v>0</v>
      </c>
      <c r="CK447" s="1258">
        <v>0</v>
      </c>
      <c r="CL447" s="301">
        <f t="shared" si="380"/>
        <v>0</v>
      </c>
      <c r="CM447" s="381">
        <f t="shared" si="375"/>
        <v>0</v>
      </c>
      <c r="CN447" s="381">
        <f t="shared" si="376"/>
        <v>0</v>
      </c>
      <c r="CO447" s="316">
        <f t="shared" si="339"/>
        <v>0</v>
      </c>
      <c r="CP447" s="381">
        <f t="shared" si="340"/>
        <v>0</v>
      </c>
      <c r="CQ447" s="381">
        <f t="shared" si="341"/>
        <v>0</v>
      </c>
      <c r="CR447" s="313">
        <v>0</v>
      </c>
      <c r="CS447" s="313">
        <v>0</v>
      </c>
      <c r="CT447" s="313">
        <v>0</v>
      </c>
      <c r="CU447" s="313">
        <v>0</v>
      </c>
      <c r="CV447" s="313">
        <v>0</v>
      </c>
      <c r="CW447" s="313">
        <v>0</v>
      </c>
      <c r="CX447" s="313">
        <v>0</v>
      </c>
      <c r="CY447" s="313">
        <v>0</v>
      </c>
      <c r="CZ447" s="380">
        <v>0</v>
      </c>
      <c r="DA447" s="380">
        <v>0</v>
      </c>
      <c r="DB447" s="380">
        <v>0</v>
      </c>
      <c r="DC447" s="380">
        <v>0</v>
      </c>
      <c r="DD447" s="380">
        <v>0</v>
      </c>
      <c r="DE447" s="380">
        <v>0</v>
      </c>
      <c r="DF447" s="380">
        <v>0</v>
      </c>
      <c r="DG447" s="380">
        <v>0</v>
      </c>
      <c r="DH447" s="380">
        <v>0</v>
      </c>
      <c r="DI447" s="380">
        <v>0</v>
      </c>
      <c r="DJ447" s="380">
        <v>0</v>
      </c>
      <c r="DK447" s="702">
        <f t="shared" si="377"/>
        <v>1</v>
      </c>
      <c r="DL447" s="311">
        <f t="shared" si="342"/>
        <v>0.16500000000000001</v>
      </c>
      <c r="DM447" s="310">
        <f t="shared" si="343"/>
        <v>100</v>
      </c>
      <c r="DN447" s="356">
        <f t="shared" si="344"/>
        <v>100</v>
      </c>
      <c r="DO447" s="308">
        <f t="shared" si="345"/>
        <v>0.16500000000000001</v>
      </c>
      <c r="DP447" s="359">
        <f t="shared" si="379"/>
        <v>0.16500000000000001</v>
      </c>
      <c r="DQ447" s="306">
        <f t="shared" si="346"/>
        <v>0.16500000000000001</v>
      </c>
      <c r="DR447" s="379">
        <f t="shared" si="347"/>
        <v>1</v>
      </c>
      <c r="DS447" s="378">
        <f t="shared" si="348"/>
        <v>0</v>
      </c>
      <c r="DT447" s="173">
        <v>611</v>
      </c>
      <c r="DU447" s="174" t="s">
        <v>98</v>
      </c>
      <c r="DV447" s="173"/>
      <c r="DW447" s="174" t="s">
        <v>84</v>
      </c>
      <c r="DX447" s="173"/>
      <c r="DY447" s="173"/>
      <c r="DZ447" s="173"/>
      <c r="EA447" s="665"/>
      <c r="EB447" s="1254" t="s">
        <v>2142</v>
      </c>
      <c r="EC447" s="537">
        <v>500000000</v>
      </c>
      <c r="EE447" s="733">
        <v>0</v>
      </c>
      <c r="EF447" s="706"/>
    </row>
    <row r="448" spans="4:136" s="302" customFormat="1" ht="89.25" hidden="1">
      <c r="D448" s="520">
        <v>445</v>
      </c>
      <c r="E448" s="534">
        <v>516</v>
      </c>
      <c r="F448" s="479" t="s">
        <v>46</v>
      </c>
      <c r="G448" s="479" t="s">
        <v>9</v>
      </c>
      <c r="H448" s="479" t="s">
        <v>2676</v>
      </c>
      <c r="I448" s="435" t="s">
        <v>1063</v>
      </c>
      <c r="J448" s="335" t="s">
        <v>1070</v>
      </c>
      <c r="K448" s="335" t="s">
        <v>1071</v>
      </c>
      <c r="L448" s="407" t="s">
        <v>1415</v>
      </c>
      <c r="M448" s="334" t="s">
        <v>1771</v>
      </c>
      <c r="N448" s="337">
        <v>0</v>
      </c>
      <c r="O448" s="333">
        <f t="shared" si="378"/>
        <v>116</v>
      </c>
      <c r="P448" s="422">
        <v>116</v>
      </c>
      <c r="Q448" s="390">
        <v>0.16500000000000001</v>
      </c>
      <c r="R448" s="342">
        <f t="shared" si="326"/>
        <v>0</v>
      </c>
      <c r="S448" s="417">
        <v>0</v>
      </c>
      <c r="T448" s="337">
        <f t="shared" si="365"/>
        <v>0</v>
      </c>
      <c r="U448" s="673">
        <v>0</v>
      </c>
      <c r="V448" s="388">
        <f t="shared" si="366"/>
        <v>0</v>
      </c>
      <c r="W448" s="356">
        <f t="shared" si="367"/>
        <v>0</v>
      </c>
      <c r="X448" s="356">
        <f t="shared" si="327"/>
        <v>0</v>
      </c>
      <c r="Y448" s="356">
        <f t="shared" si="364"/>
        <v>0</v>
      </c>
      <c r="Z448" s="356">
        <f t="shared" si="328"/>
        <v>0</v>
      </c>
      <c r="AA448" s="413">
        <v>50000000</v>
      </c>
      <c r="AB448" s="413">
        <v>50000000</v>
      </c>
      <c r="AC448" s="413">
        <v>0</v>
      </c>
      <c r="AD448" s="413">
        <v>0</v>
      </c>
      <c r="AE448" s="413">
        <v>0</v>
      </c>
      <c r="AF448" s="413">
        <v>0</v>
      </c>
      <c r="AG448" s="413">
        <v>0</v>
      </c>
      <c r="AH448" s="413">
        <v>0</v>
      </c>
      <c r="AI448" s="413">
        <v>0</v>
      </c>
      <c r="AJ448" s="413">
        <v>0</v>
      </c>
      <c r="AK448" s="413">
        <v>0</v>
      </c>
      <c r="AL448" s="413">
        <v>0</v>
      </c>
      <c r="AM448" s="413">
        <v>0</v>
      </c>
      <c r="AN448" s="413">
        <v>0</v>
      </c>
      <c r="AO448" s="413">
        <v>0</v>
      </c>
      <c r="AP448" s="413">
        <v>0</v>
      </c>
      <c r="AQ448" s="413">
        <v>0</v>
      </c>
      <c r="AR448" s="413">
        <v>0</v>
      </c>
      <c r="AS448" s="413">
        <v>0</v>
      </c>
      <c r="AT448" s="333">
        <f t="shared" si="329"/>
        <v>3.5560344827586209E-2</v>
      </c>
      <c r="AU448" s="334">
        <v>25</v>
      </c>
      <c r="AV448" s="387">
        <f t="shared" si="368"/>
        <v>0.21551724137931033</v>
      </c>
      <c r="AW448" s="677">
        <v>0</v>
      </c>
      <c r="AX448" s="366">
        <f t="shared" si="369"/>
        <v>0</v>
      </c>
      <c r="AY448" s="366">
        <f t="shared" si="370"/>
        <v>0</v>
      </c>
      <c r="AZ448" s="366">
        <f t="shared" si="330"/>
        <v>0</v>
      </c>
      <c r="BA448" s="354">
        <f t="shared" si="331"/>
        <v>0</v>
      </c>
      <c r="BB448" s="354">
        <f t="shared" si="332"/>
        <v>0</v>
      </c>
      <c r="BC448" s="353">
        <v>20000000</v>
      </c>
      <c r="BD448" s="353">
        <v>0</v>
      </c>
      <c r="BE448" s="353">
        <v>20000000</v>
      </c>
      <c r="BF448" s="353">
        <v>0</v>
      </c>
      <c r="BG448" s="353">
        <v>0</v>
      </c>
      <c r="BH448" s="353">
        <v>0</v>
      </c>
      <c r="BI448" s="353">
        <v>0</v>
      </c>
      <c r="BJ448" s="353">
        <v>0</v>
      </c>
      <c r="BK448" s="386">
        <v>0</v>
      </c>
      <c r="BL448" s="351">
        <v>0</v>
      </c>
      <c r="BM448" s="351">
        <v>0</v>
      </c>
      <c r="BN448" s="351">
        <v>0</v>
      </c>
      <c r="BO448" s="351">
        <v>0</v>
      </c>
      <c r="BP448" s="351">
        <v>0</v>
      </c>
      <c r="BQ448" s="351">
        <v>0</v>
      </c>
      <c r="BR448" s="351">
        <v>0</v>
      </c>
      <c r="BS448" s="351">
        <v>0</v>
      </c>
      <c r="BT448" s="351">
        <v>0</v>
      </c>
      <c r="BU448" s="351">
        <v>0</v>
      </c>
      <c r="BV448" s="350">
        <f t="shared" si="333"/>
        <v>5.6896551724137941E-2</v>
      </c>
      <c r="BW448" s="350">
        <v>40</v>
      </c>
      <c r="BX448" s="385">
        <f t="shared" si="371"/>
        <v>0.34482758620689657</v>
      </c>
      <c r="BY448" s="369">
        <v>50</v>
      </c>
      <c r="BZ448" s="391">
        <v>50</v>
      </c>
      <c r="CA448" s="689">
        <v>58</v>
      </c>
      <c r="CB448" s="324">
        <f t="shared" si="372"/>
        <v>58</v>
      </c>
      <c r="CC448" s="324">
        <f t="shared" si="373"/>
        <v>145</v>
      </c>
      <c r="CD448" s="384">
        <f t="shared" si="334"/>
        <v>100</v>
      </c>
      <c r="CE448" s="383">
        <f t="shared" si="335"/>
        <v>5.6896551724137948E-2</v>
      </c>
      <c r="CF448" s="367">
        <f t="shared" si="336"/>
        <v>100</v>
      </c>
      <c r="CG448" s="383">
        <f t="shared" si="337"/>
        <v>8.2500000000000018E-2</v>
      </c>
      <c r="CH448" s="320">
        <f t="shared" si="338"/>
        <v>7.2543103448275859E-2</v>
      </c>
      <c r="CI448" s="319">
        <v>51</v>
      </c>
      <c r="CJ448" s="318">
        <f t="shared" si="374"/>
        <v>0.43965517241379309</v>
      </c>
      <c r="CK448" s="1259">
        <v>24</v>
      </c>
      <c r="CL448" s="301">
        <f t="shared" si="380"/>
        <v>27</v>
      </c>
      <c r="CM448" s="381">
        <f t="shared" si="375"/>
        <v>24</v>
      </c>
      <c r="CN448" s="381">
        <f t="shared" si="376"/>
        <v>47.058823529411768</v>
      </c>
      <c r="CO448" s="316">
        <f t="shared" si="339"/>
        <v>47.058823529411768</v>
      </c>
      <c r="CP448" s="381">
        <f t="shared" si="340"/>
        <v>3.413793103448276E-2</v>
      </c>
      <c r="CQ448" s="381">
        <f t="shared" si="341"/>
        <v>3.413793103448276E-2</v>
      </c>
      <c r="CR448" s="313">
        <v>40000000</v>
      </c>
      <c r="CS448" s="313">
        <v>40000000</v>
      </c>
      <c r="CT448" s="313">
        <v>0</v>
      </c>
      <c r="CU448" s="313">
        <v>0</v>
      </c>
      <c r="CV448" s="313">
        <v>0</v>
      </c>
      <c r="CW448" s="313">
        <v>0</v>
      </c>
      <c r="CX448" s="313">
        <v>0</v>
      </c>
      <c r="CY448" s="313">
        <v>0</v>
      </c>
      <c r="CZ448" s="380">
        <v>0</v>
      </c>
      <c r="DA448" s="380">
        <v>0</v>
      </c>
      <c r="DB448" s="380">
        <v>0</v>
      </c>
      <c r="DC448" s="380">
        <v>0</v>
      </c>
      <c r="DD448" s="380">
        <v>0</v>
      </c>
      <c r="DE448" s="380">
        <v>0</v>
      </c>
      <c r="DF448" s="380">
        <v>0</v>
      </c>
      <c r="DG448" s="380">
        <v>0</v>
      </c>
      <c r="DH448" s="380">
        <v>0</v>
      </c>
      <c r="DI448" s="380">
        <v>0</v>
      </c>
      <c r="DJ448" s="380">
        <v>0</v>
      </c>
      <c r="DK448" s="702">
        <f t="shared" si="377"/>
        <v>82</v>
      </c>
      <c r="DL448" s="311">
        <f t="shared" si="342"/>
        <v>0.16500000000000001</v>
      </c>
      <c r="DM448" s="310">
        <f t="shared" si="343"/>
        <v>70.689655172413794</v>
      </c>
      <c r="DN448" s="356">
        <f t="shared" si="344"/>
        <v>70.689655172413794</v>
      </c>
      <c r="DO448" s="308">
        <f t="shared" si="345"/>
        <v>0.11663793103448276</v>
      </c>
      <c r="DP448" s="359">
        <f t="shared" si="379"/>
        <v>0.11663793103448276</v>
      </c>
      <c r="DQ448" s="306">
        <f t="shared" si="346"/>
        <v>0.11663793103448276</v>
      </c>
      <c r="DR448" s="379">
        <f t="shared" si="347"/>
        <v>1</v>
      </c>
      <c r="DS448" s="378">
        <f t="shared" si="348"/>
        <v>0</v>
      </c>
      <c r="DT448" s="173">
        <v>269</v>
      </c>
      <c r="DU448" s="174" t="s">
        <v>117</v>
      </c>
      <c r="DV448" s="173"/>
      <c r="DW448" s="174" t="s">
        <v>84</v>
      </c>
      <c r="DX448" s="173"/>
      <c r="DY448" s="173"/>
      <c r="DZ448" s="173"/>
      <c r="EA448" s="665"/>
      <c r="EB448" s="1254" t="s">
        <v>2143</v>
      </c>
      <c r="EC448" s="537">
        <v>250000000</v>
      </c>
      <c r="EE448" s="734">
        <v>1</v>
      </c>
      <c r="EF448" s="706"/>
    </row>
    <row r="449" spans="4:136" s="302" customFormat="1" ht="63.75" hidden="1">
      <c r="D449" s="520">
        <v>446</v>
      </c>
      <c r="E449" s="534">
        <v>517</v>
      </c>
      <c r="F449" s="479" t="s">
        <v>46</v>
      </c>
      <c r="G449" s="479" t="s">
        <v>9</v>
      </c>
      <c r="H449" s="479" t="s">
        <v>2676</v>
      </c>
      <c r="I449" s="435" t="s">
        <v>1063</v>
      </c>
      <c r="J449" s="335" t="s">
        <v>1072</v>
      </c>
      <c r="K449" s="335" t="s">
        <v>1073</v>
      </c>
      <c r="L449" s="407" t="s">
        <v>1825</v>
      </c>
      <c r="M449" s="334" t="s">
        <v>1771</v>
      </c>
      <c r="N449" s="337">
        <v>0</v>
      </c>
      <c r="O449" s="333">
        <f t="shared" si="378"/>
        <v>1</v>
      </c>
      <c r="P449" s="422">
        <v>1</v>
      </c>
      <c r="Q449" s="390">
        <v>0.16500000000000001</v>
      </c>
      <c r="R449" s="342">
        <f t="shared" si="326"/>
        <v>0</v>
      </c>
      <c r="S449" s="417">
        <v>0</v>
      </c>
      <c r="T449" s="337">
        <f t="shared" si="365"/>
        <v>0</v>
      </c>
      <c r="U449" s="673">
        <v>0</v>
      </c>
      <c r="V449" s="388">
        <f t="shared" si="366"/>
        <v>0</v>
      </c>
      <c r="W449" s="356">
        <f t="shared" si="367"/>
        <v>0</v>
      </c>
      <c r="X449" s="356">
        <f t="shared" si="327"/>
        <v>0</v>
      </c>
      <c r="Y449" s="356">
        <f t="shared" si="364"/>
        <v>0</v>
      </c>
      <c r="Z449" s="356">
        <f t="shared" si="328"/>
        <v>0</v>
      </c>
      <c r="AA449" s="413">
        <v>50000000</v>
      </c>
      <c r="AB449" s="413">
        <v>50000000</v>
      </c>
      <c r="AC449" s="413">
        <v>0</v>
      </c>
      <c r="AD449" s="413">
        <v>0</v>
      </c>
      <c r="AE449" s="413">
        <v>0</v>
      </c>
      <c r="AF449" s="413">
        <v>0</v>
      </c>
      <c r="AG449" s="413">
        <v>0</v>
      </c>
      <c r="AH449" s="413">
        <v>0</v>
      </c>
      <c r="AI449" s="413">
        <v>0</v>
      </c>
      <c r="AJ449" s="413">
        <v>0</v>
      </c>
      <c r="AK449" s="413">
        <v>0</v>
      </c>
      <c r="AL449" s="413">
        <v>0</v>
      </c>
      <c r="AM449" s="413">
        <v>0</v>
      </c>
      <c r="AN449" s="413">
        <v>0</v>
      </c>
      <c r="AO449" s="413">
        <v>0</v>
      </c>
      <c r="AP449" s="413">
        <v>0</v>
      </c>
      <c r="AQ449" s="413">
        <v>0</v>
      </c>
      <c r="AR449" s="413">
        <v>0</v>
      </c>
      <c r="AS449" s="413">
        <v>0</v>
      </c>
      <c r="AT449" s="333">
        <f t="shared" si="329"/>
        <v>4.1250000000000002E-2</v>
      </c>
      <c r="AU449" s="334">
        <v>0.25</v>
      </c>
      <c r="AV449" s="387">
        <f t="shared" si="368"/>
        <v>0.25</v>
      </c>
      <c r="AW449" s="677">
        <v>0</v>
      </c>
      <c r="AX449" s="366">
        <f t="shared" si="369"/>
        <v>0</v>
      </c>
      <c r="AY449" s="366">
        <f t="shared" si="370"/>
        <v>0</v>
      </c>
      <c r="AZ449" s="366">
        <f t="shared" si="330"/>
        <v>0</v>
      </c>
      <c r="BA449" s="354">
        <f t="shared" si="331"/>
        <v>0</v>
      </c>
      <c r="BB449" s="354">
        <f t="shared" si="332"/>
        <v>0</v>
      </c>
      <c r="BC449" s="353">
        <v>20000000</v>
      </c>
      <c r="BD449" s="353">
        <v>0</v>
      </c>
      <c r="BE449" s="353">
        <v>20000000</v>
      </c>
      <c r="BF449" s="353">
        <v>0</v>
      </c>
      <c r="BG449" s="353">
        <v>0</v>
      </c>
      <c r="BH449" s="353">
        <v>0</v>
      </c>
      <c r="BI449" s="353">
        <v>0</v>
      </c>
      <c r="BJ449" s="353">
        <v>0</v>
      </c>
      <c r="BK449" s="386">
        <v>0</v>
      </c>
      <c r="BL449" s="351">
        <v>0</v>
      </c>
      <c r="BM449" s="351">
        <v>0</v>
      </c>
      <c r="BN449" s="351">
        <v>0</v>
      </c>
      <c r="BO449" s="351">
        <v>0</v>
      </c>
      <c r="BP449" s="351">
        <v>0</v>
      </c>
      <c r="BQ449" s="351">
        <v>0</v>
      </c>
      <c r="BR449" s="351">
        <v>0</v>
      </c>
      <c r="BS449" s="351">
        <v>0</v>
      </c>
      <c r="BT449" s="351">
        <v>0</v>
      </c>
      <c r="BU449" s="351">
        <v>0</v>
      </c>
      <c r="BV449" s="350">
        <f t="shared" si="333"/>
        <v>6.6000000000000003E-2</v>
      </c>
      <c r="BW449" s="350">
        <v>0.4</v>
      </c>
      <c r="BX449" s="385">
        <f t="shared" si="371"/>
        <v>0.4</v>
      </c>
      <c r="BY449" s="369">
        <v>0</v>
      </c>
      <c r="BZ449" s="391">
        <v>1</v>
      </c>
      <c r="CA449" s="689">
        <v>1</v>
      </c>
      <c r="CB449" s="324">
        <f t="shared" si="372"/>
        <v>1</v>
      </c>
      <c r="CC449" s="324">
        <f t="shared" si="373"/>
        <v>250</v>
      </c>
      <c r="CD449" s="384">
        <f t="shared" si="334"/>
        <v>100</v>
      </c>
      <c r="CE449" s="383">
        <f t="shared" si="335"/>
        <v>6.6000000000000003E-2</v>
      </c>
      <c r="CF449" s="367">
        <f t="shared" si="336"/>
        <v>100</v>
      </c>
      <c r="CG449" s="383">
        <f t="shared" si="337"/>
        <v>0.16500000000000001</v>
      </c>
      <c r="CH449" s="320">
        <f t="shared" si="338"/>
        <v>5.7749999999999996E-2</v>
      </c>
      <c r="CI449" s="319">
        <v>0.35</v>
      </c>
      <c r="CJ449" s="318">
        <f t="shared" si="374"/>
        <v>0.35</v>
      </c>
      <c r="CK449" s="1259">
        <v>1</v>
      </c>
      <c r="CL449" s="301">
        <f t="shared" si="380"/>
        <v>-0.65</v>
      </c>
      <c r="CM449" s="381">
        <f t="shared" si="375"/>
        <v>1</v>
      </c>
      <c r="CN449" s="381">
        <f t="shared" si="376"/>
        <v>285.71428571428572</v>
      </c>
      <c r="CO449" s="316">
        <f t="shared" si="339"/>
        <v>100</v>
      </c>
      <c r="CP449" s="381">
        <f t="shared" si="340"/>
        <v>5.7749999999999996E-2</v>
      </c>
      <c r="CQ449" s="381">
        <f t="shared" si="341"/>
        <v>0.16500000000000001</v>
      </c>
      <c r="CR449" s="313">
        <v>35000000</v>
      </c>
      <c r="CS449" s="313">
        <v>35000000</v>
      </c>
      <c r="CT449" s="313">
        <v>0</v>
      </c>
      <c r="CU449" s="313">
        <v>0</v>
      </c>
      <c r="CV449" s="313">
        <v>0</v>
      </c>
      <c r="CW449" s="313">
        <v>0</v>
      </c>
      <c r="CX449" s="313">
        <v>0</v>
      </c>
      <c r="CY449" s="313">
        <v>0</v>
      </c>
      <c r="CZ449" s="380">
        <v>0</v>
      </c>
      <c r="DA449" s="380">
        <v>0</v>
      </c>
      <c r="DB449" s="380">
        <v>0</v>
      </c>
      <c r="DC449" s="380">
        <v>0</v>
      </c>
      <c r="DD449" s="380">
        <v>0</v>
      </c>
      <c r="DE449" s="380">
        <v>0</v>
      </c>
      <c r="DF449" s="380">
        <v>0</v>
      </c>
      <c r="DG449" s="380">
        <v>0</v>
      </c>
      <c r="DH449" s="380">
        <v>0</v>
      </c>
      <c r="DI449" s="380">
        <v>0</v>
      </c>
      <c r="DJ449" s="380">
        <v>0</v>
      </c>
      <c r="DK449" s="702">
        <f t="shared" si="377"/>
        <v>2</v>
      </c>
      <c r="DL449" s="311">
        <f t="shared" si="342"/>
        <v>0.16500000000000001</v>
      </c>
      <c r="DM449" s="310">
        <f t="shared" si="343"/>
        <v>200</v>
      </c>
      <c r="DN449" s="356">
        <f t="shared" si="344"/>
        <v>100</v>
      </c>
      <c r="DO449" s="308">
        <f t="shared" si="345"/>
        <v>0.16500000000000001</v>
      </c>
      <c r="DP449" s="359">
        <f t="shared" si="379"/>
        <v>0.16500000000000001</v>
      </c>
      <c r="DQ449" s="306">
        <f t="shared" si="346"/>
        <v>0.16500000000000001</v>
      </c>
      <c r="DR449" s="379">
        <f t="shared" si="347"/>
        <v>1</v>
      </c>
      <c r="DS449" s="378">
        <f t="shared" si="348"/>
        <v>0</v>
      </c>
      <c r="DT449" s="173">
        <v>269</v>
      </c>
      <c r="DU449" s="174" t="s">
        <v>117</v>
      </c>
      <c r="DV449" s="173"/>
      <c r="DW449" s="174" t="s">
        <v>84</v>
      </c>
      <c r="DX449" s="173"/>
      <c r="DY449" s="173"/>
      <c r="DZ449" s="173"/>
      <c r="EA449" s="665"/>
      <c r="EB449" s="1254" t="s">
        <v>2144</v>
      </c>
      <c r="EC449" s="537">
        <v>185000000</v>
      </c>
      <c r="EE449" s="735">
        <v>1</v>
      </c>
      <c r="EF449" s="706"/>
    </row>
    <row r="450" spans="4:136" s="302" customFormat="1" ht="280.5" hidden="1">
      <c r="D450" s="520">
        <v>447</v>
      </c>
      <c r="E450" s="534">
        <v>518</v>
      </c>
      <c r="F450" s="479" t="s">
        <v>46</v>
      </c>
      <c r="G450" s="479" t="s">
        <v>26</v>
      </c>
      <c r="H450" s="479" t="s">
        <v>2677</v>
      </c>
      <c r="I450" s="435" t="s">
        <v>1074</v>
      </c>
      <c r="J450" s="335" t="s">
        <v>1075</v>
      </c>
      <c r="K450" s="335" t="s">
        <v>1076</v>
      </c>
      <c r="L450" s="358" t="s">
        <v>1802</v>
      </c>
      <c r="M450" s="334" t="s">
        <v>1771</v>
      </c>
      <c r="N450" s="334">
        <v>0</v>
      </c>
      <c r="O450" s="333">
        <f t="shared" si="378"/>
        <v>1</v>
      </c>
      <c r="P450" s="332">
        <v>1</v>
      </c>
      <c r="Q450" s="390">
        <v>0.16500000000000001</v>
      </c>
      <c r="R450" s="342">
        <f t="shared" si="326"/>
        <v>9.9000000000000005E-2</v>
      </c>
      <c r="S450" s="389">
        <v>0.6</v>
      </c>
      <c r="T450" s="337">
        <f t="shared" si="365"/>
        <v>0.6</v>
      </c>
      <c r="U450" s="670">
        <v>0.6</v>
      </c>
      <c r="V450" s="388">
        <f t="shared" si="366"/>
        <v>0.6</v>
      </c>
      <c r="W450" s="356">
        <f t="shared" si="367"/>
        <v>100</v>
      </c>
      <c r="X450" s="356">
        <f t="shared" si="327"/>
        <v>100</v>
      </c>
      <c r="Y450" s="356">
        <f t="shared" si="364"/>
        <v>9.9000000000000005E-2</v>
      </c>
      <c r="Z450" s="356">
        <f t="shared" si="328"/>
        <v>100</v>
      </c>
      <c r="AA450" s="355">
        <v>0</v>
      </c>
      <c r="AB450" s="355">
        <v>0</v>
      </c>
      <c r="AC450" s="355">
        <v>0</v>
      </c>
      <c r="AD450" s="355">
        <v>0</v>
      </c>
      <c r="AE450" s="355">
        <v>0</v>
      </c>
      <c r="AF450" s="355">
        <v>0</v>
      </c>
      <c r="AG450" s="355">
        <v>0</v>
      </c>
      <c r="AH450" s="355">
        <v>0</v>
      </c>
      <c r="AI450" s="355">
        <v>0</v>
      </c>
      <c r="AJ450" s="355">
        <v>0</v>
      </c>
      <c r="AK450" s="355">
        <v>0</v>
      </c>
      <c r="AL450" s="355">
        <v>0</v>
      </c>
      <c r="AM450" s="355">
        <v>0</v>
      </c>
      <c r="AN450" s="355">
        <v>0</v>
      </c>
      <c r="AO450" s="355">
        <v>0</v>
      </c>
      <c r="AP450" s="355">
        <v>0</v>
      </c>
      <c r="AQ450" s="355">
        <v>0</v>
      </c>
      <c r="AR450" s="355">
        <v>0</v>
      </c>
      <c r="AS450" s="355">
        <v>0</v>
      </c>
      <c r="AT450" s="333">
        <f t="shared" si="329"/>
        <v>6.6000000000000003E-2</v>
      </c>
      <c r="AU450" s="334">
        <v>0.4</v>
      </c>
      <c r="AV450" s="387">
        <f t="shared" si="368"/>
        <v>0.4</v>
      </c>
      <c r="AW450" s="677">
        <v>0.4</v>
      </c>
      <c r="AX450" s="366">
        <f t="shared" si="369"/>
        <v>0.4</v>
      </c>
      <c r="AY450" s="366">
        <f t="shared" si="370"/>
        <v>100</v>
      </c>
      <c r="AZ450" s="366">
        <f t="shared" si="330"/>
        <v>100</v>
      </c>
      <c r="BA450" s="354">
        <f t="shared" si="331"/>
        <v>6.6000000000000003E-2</v>
      </c>
      <c r="BB450" s="354">
        <f t="shared" si="332"/>
        <v>100</v>
      </c>
      <c r="BC450" s="353">
        <v>0</v>
      </c>
      <c r="BD450" s="353">
        <v>0</v>
      </c>
      <c r="BE450" s="353">
        <v>0</v>
      </c>
      <c r="BF450" s="353">
        <v>0</v>
      </c>
      <c r="BG450" s="353">
        <v>0</v>
      </c>
      <c r="BH450" s="353">
        <v>0</v>
      </c>
      <c r="BI450" s="353">
        <v>0</v>
      </c>
      <c r="BJ450" s="353">
        <v>0</v>
      </c>
      <c r="BK450" s="386">
        <v>0</v>
      </c>
      <c r="BL450" s="351">
        <v>0</v>
      </c>
      <c r="BM450" s="351">
        <v>0</v>
      </c>
      <c r="BN450" s="351">
        <v>0</v>
      </c>
      <c r="BO450" s="351">
        <v>0</v>
      </c>
      <c r="BP450" s="351">
        <v>0</v>
      </c>
      <c r="BQ450" s="351">
        <v>0</v>
      </c>
      <c r="BR450" s="351">
        <v>0</v>
      </c>
      <c r="BS450" s="351">
        <v>0</v>
      </c>
      <c r="BT450" s="351">
        <v>0</v>
      </c>
      <c r="BU450" s="351">
        <v>0</v>
      </c>
      <c r="BV450" s="350">
        <f t="shared" si="333"/>
        <v>0</v>
      </c>
      <c r="BW450" s="350">
        <v>0</v>
      </c>
      <c r="BX450" s="385">
        <f t="shared" si="371"/>
        <v>0</v>
      </c>
      <c r="BY450" s="369">
        <v>0</v>
      </c>
      <c r="BZ450" s="391">
        <v>0</v>
      </c>
      <c r="CA450" s="689">
        <v>0</v>
      </c>
      <c r="CB450" s="324">
        <f t="shared" si="372"/>
        <v>0</v>
      </c>
      <c r="CC450" s="324">
        <f t="shared" si="373"/>
        <v>0</v>
      </c>
      <c r="CD450" s="384">
        <f t="shared" si="334"/>
        <v>0</v>
      </c>
      <c r="CE450" s="383">
        <f t="shared" si="335"/>
        <v>0</v>
      </c>
      <c r="CF450" s="367">
        <f t="shared" si="336"/>
        <v>0</v>
      </c>
      <c r="CG450" s="383">
        <f t="shared" si="337"/>
        <v>0</v>
      </c>
      <c r="CH450" s="320">
        <f t="shared" si="338"/>
        <v>0</v>
      </c>
      <c r="CI450" s="319">
        <v>0</v>
      </c>
      <c r="CJ450" s="318">
        <f t="shared" si="374"/>
        <v>0</v>
      </c>
      <c r="CK450" s="1259">
        <v>1</v>
      </c>
      <c r="CL450" s="301">
        <f t="shared" si="380"/>
        <v>-1</v>
      </c>
      <c r="CM450" s="381">
        <f t="shared" si="375"/>
        <v>1</v>
      </c>
      <c r="CN450" s="381">
        <f t="shared" si="376"/>
        <v>0</v>
      </c>
      <c r="CO450" s="316">
        <f t="shared" si="339"/>
        <v>0</v>
      </c>
      <c r="CP450" s="381">
        <f t="shared" si="340"/>
        <v>0</v>
      </c>
      <c r="CQ450" s="381">
        <f t="shared" si="341"/>
        <v>0</v>
      </c>
      <c r="CR450" s="313">
        <v>0</v>
      </c>
      <c r="CS450" s="313">
        <v>0</v>
      </c>
      <c r="CT450" s="313">
        <v>0</v>
      </c>
      <c r="CU450" s="313">
        <v>0</v>
      </c>
      <c r="CV450" s="313">
        <v>0</v>
      </c>
      <c r="CW450" s="313">
        <v>0</v>
      </c>
      <c r="CX450" s="313">
        <v>0</v>
      </c>
      <c r="CY450" s="313">
        <v>0</v>
      </c>
      <c r="CZ450" s="380">
        <v>0</v>
      </c>
      <c r="DA450" s="380">
        <v>0</v>
      </c>
      <c r="DB450" s="380">
        <v>0</v>
      </c>
      <c r="DC450" s="380">
        <v>0</v>
      </c>
      <c r="DD450" s="380">
        <v>0</v>
      </c>
      <c r="DE450" s="380">
        <v>0</v>
      </c>
      <c r="DF450" s="380">
        <v>0</v>
      </c>
      <c r="DG450" s="380">
        <v>0</v>
      </c>
      <c r="DH450" s="380">
        <v>0</v>
      </c>
      <c r="DI450" s="380">
        <v>0</v>
      </c>
      <c r="DJ450" s="380">
        <v>0</v>
      </c>
      <c r="DK450" s="702">
        <f t="shared" si="377"/>
        <v>2</v>
      </c>
      <c r="DL450" s="311">
        <f t="shared" si="342"/>
        <v>0.16500000000000001</v>
      </c>
      <c r="DM450" s="310">
        <f t="shared" si="343"/>
        <v>200</v>
      </c>
      <c r="DN450" s="356">
        <f t="shared" si="344"/>
        <v>100</v>
      </c>
      <c r="DO450" s="308">
        <f t="shared" si="345"/>
        <v>0.16500000000000001</v>
      </c>
      <c r="DP450" s="359">
        <f t="shared" si="379"/>
        <v>0.16500000000000001</v>
      </c>
      <c r="DQ450" s="306">
        <f t="shared" si="346"/>
        <v>0.16500000000000001</v>
      </c>
      <c r="DR450" s="379">
        <f t="shared" si="347"/>
        <v>1</v>
      </c>
      <c r="DS450" s="378">
        <f t="shared" si="348"/>
        <v>0</v>
      </c>
      <c r="DT450" s="173">
        <v>615</v>
      </c>
      <c r="DU450" s="174" t="s">
        <v>94</v>
      </c>
      <c r="DV450" s="173"/>
      <c r="DW450" s="174" t="s">
        <v>84</v>
      </c>
      <c r="DX450" s="173"/>
      <c r="DY450" s="173"/>
      <c r="DZ450" s="173"/>
      <c r="EA450" s="665"/>
      <c r="EB450" s="1254" t="s">
        <v>3130</v>
      </c>
      <c r="EC450" s="537">
        <v>0</v>
      </c>
      <c r="EE450" s="733">
        <v>0</v>
      </c>
      <c r="EF450" s="706"/>
    </row>
    <row r="451" spans="4:136" s="302" customFormat="1" ht="89.25" hidden="1">
      <c r="D451" s="520">
        <v>448</v>
      </c>
      <c r="E451" s="534">
        <v>519</v>
      </c>
      <c r="F451" s="479" t="s">
        <v>46</v>
      </c>
      <c r="G451" s="479" t="s">
        <v>26</v>
      </c>
      <c r="H451" s="479" t="s">
        <v>2677</v>
      </c>
      <c r="I451" s="435" t="s">
        <v>1074</v>
      </c>
      <c r="J451" s="335" t="s">
        <v>1077</v>
      </c>
      <c r="K451" s="335" t="s">
        <v>1078</v>
      </c>
      <c r="L451" s="358" t="s">
        <v>1802</v>
      </c>
      <c r="M451" s="334" t="s">
        <v>1771</v>
      </c>
      <c r="N451" s="337">
        <v>0</v>
      </c>
      <c r="O451" s="333">
        <f t="shared" si="378"/>
        <v>1</v>
      </c>
      <c r="P451" s="422">
        <v>1</v>
      </c>
      <c r="Q451" s="390">
        <v>0.16500000000000001</v>
      </c>
      <c r="R451" s="342">
        <f t="shared" si="326"/>
        <v>4.1250000000000002E-2</v>
      </c>
      <c r="S451" s="417">
        <v>0.25</v>
      </c>
      <c r="T451" s="337">
        <f t="shared" si="365"/>
        <v>0.25</v>
      </c>
      <c r="U451" s="673">
        <v>0.25</v>
      </c>
      <c r="V451" s="388">
        <f t="shared" si="366"/>
        <v>0.25</v>
      </c>
      <c r="W451" s="356">
        <f t="shared" si="367"/>
        <v>100</v>
      </c>
      <c r="X451" s="356">
        <f t="shared" si="327"/>
        <v>100</v>
      </c>
      <c r="Y451" s="356">
        <f t="shared" si="364"/>
        <v>4.1250000000000002E-2</v>
      </c>
      <c r="Z451" s="356">
        <f t="shared" si="328"/>
        <v>100</v>
      </c>
      <c r="AA451" s="413">
        <v>101000000</v>
      </c>
      <c r="AB451" s="413">
        <v>101000000</v>
      </c>
      <c r="AC451" s="413">
        <v>0</v>
      </c>
      <c r="AD451" s="413">
        <v>0</v>
      </c>
      <c r="AE451" s="413">
        <v>0</v>
      </c>
      <c r="AF451" s="413">
        <v>0</v>
      </c>
      <c r="AG451" s="413">
        <v>0</v>
      </c>
      <c r="AH451" s="413">
        <v>0</v>
      </c>
      <c r="AI451" s="413">
        <v>90305000</v>
      </c>
      <c r="AJ451" s="413">
        <v>90305000</v>
      </c>
      <c r="AK451" s="413">
        <v>0</v>
      </c>
      <c r="AL451" s="413">
        <v>0</v>
      </c>
      <c r="AM451" s="413">
        <v>0</v>
      </c>
      <c r="AN451" s="413">
        <v>0</v>
      </c>
      <c r="AO451" s="413">
        <v>0</v>
      </c>
      <c r="AP451" s="413">
        <v>0</v>
      </c>
      <c r="AQ451" s="413">
        <v>0</v>
      </c>
      <c r="AR451" s="413">
        <v>0</v>
      </c>
      <c r="AS451" s="413">
        <v>0</v>
      </c>
      <c r="AT451" s="333">
        <f t="shared" si="329"/>
        <v>8.2500000000000004E-2</v>
      </c>
      <c r="AU451" s="334">
        <v>0.5</v>
      </c>
      <c r="AV451" s="387">
        <f t="shared" si="368"/>
        <v>0.5</v>
      </c>
      <c r="AW451" s="677">
        <v>0.5</v>
      </c>
      <c r="AX451" s="366">
        <f t="shared" si="369"/>
        <v>0.5</v>
      </c>
      <c r="AY451" s="366">
        <f t="shared" si="370"/>
        <v>100</v>
      </c>
      <c r="AZ451" s="366">
        <f t="shared" si="330"/>
        <v>100</v>
      </c>
      <c r="BA451" s="354">
        <f t="shared" si="331"/>
        <v>8.2500000000000004E-2</v>
      </c>
      <c r="BB451" s="354">
        <f t="shared" si="332"/>
        <v>100</v>
      </c>
      <c r="BC451" s="353">
        <v>26000000</v>
      </c>
      <c r="BD451" s="353">
        <v>0</v>
      </c>
      <c r="BE451" s="353">
        <v>26000000</v>
      </c>
      <c r="BF451" s="353">
        <v>0</v>
      </c>
      <c r="BG451" s="353">
        <v>0</v>
      </c>
      <c r="BH451" s="353">
        <v>0</v>
      </c>
      <c r="BI451" s="353">
        <v>0</v>
      </c>
      <c r="BJ451" s="353">
        <v>0</v>
      </c>
      <c r="BK451" s="386">
        <v>105850000</v>
      </c>
      <c r="BL451" s="351">
        <v>105850000</v>
      </c>
      <c r="BM451" s="351">
        <v>0</v>
      </c>
      <c r="BN451" s="351">
        <v>0</v>
      </c>
      <c r="BO451" s="351">
        <v>0</v>
      </c>
      <c r="BP451" s="351">
        <v>0</v>
      </c>
      <c r="BQ451" s="351">
        <v>0</v>
      </c>
      <c r="BR451" s="351">
        <v>0</v>
      </c>
      <c r="BS451" s="351">
        <v>0</v>
      </c>
      <c r="BT451" s="351">
        <v>0</v>
      </c>
      <c r="BU451" s="351">
        <v>0</v>
      </c>
      <c r="BV451" s="350">
        <f t="shared" si="333"/>
        <v>2.4750000000000001E-2</v>
      </c>
      <c r="BW451" s="350">
        <v>0.15</v>
      </c>
      <c r="BX451" s="385">
        <f t="shared" si="371"/>
        <v>0.15</v>
      </c>
      <c r="BY451" s="369">
        <v>0.25</v>
      </c>
      <c r="BZ451" s="391">
        <v>0.25</v>
      </c>
      <c r="CA451" s="689">
        <v>0.15</v>
      </c>
      <c r="CB451" s="324">
        <f t="shared" si="372"/>
        <v>0.15</v>
      </c>
      <c r="CC451" s="324">
        <f t="shared" si="373"/>
        <v>100</v>
      </c>
      <c r="CD451" s="384">
        <f t="shared" si="334"/>
        <v>100</v>
      </c>
      <c r="CE451" s="383">
        <f t="shared" si="335"/>
        <v>2.4750000000000001E-2</v>
      </c>
      <c r="CF451" s="367">
        <f t="shared" si="336"/>
        <v>100</v>
      </c>
      <c r="CG451" s="383">
        <f t="shared" si="337"/>
        <v>2.4750000000000001E-2</v>
      </c>
      <c r="CH451" s="320">
        <f t="shared" si="338"/>
        <v>1.6500000000000001E-2</v>
      </c>
      <c r="CI451" s="418">
        <v>0.1</v>
      </c>
      <c r="CJ451" s="318">
        <f t="shared" si="374"/>
        <v>0.1</v>
      </c>
      <c r="CK451" s="1259">
        <v>0.1</v>
      </c>
      <c r="CL451" s="301">
        <f t="shared" si="380"/>
        <v>0</v>
      </c>
      <c r="CM451" s="381">
        <f t="shared" si="375"/>
        <v>0.1</v>
      </c>
      <c r="CN451" s="381">
        <f t="shared" si="376"/>
        <v>100</v>
      </c>
      <c r="CO451" s="316">
        <f t="shared" si="339"/>
        <v>100</v>
      </c>
      <c r="CP451" s="381">
        <f t="shared" si="340"/>
        <v>1.6500000000000001E-2</v>
      </c>
      <c r="CQ451" s="381">
        <f t="shared" si="341"/>
        <v>1.6500000000000001E-2</v>
      </c>
      <c r="CR451" s="313">
        <v>60000000</v>
      </c>
      <c r="CS451" s="313">
        <v>60000000</v>
      </c>
      <c r="CT451" s="313">
        <v>0</v>
      </c>
      <c r="CU451" s="313">
        <v>0</v>
      </c>
      <c r="CV451" s="313">
        <v>0</v>
      </c>
      <c r="CW451" s="313">
        <v>0</v>
      </c>
      <c r="CX451" s="313">
        <v>0</v>
      </c>
      <c r="CY451" s="313">
        <v>0</v>
      </c>
      <c r="CZ451" s="380">
        <v>0</v>
      </c>
      <c r="DA451" s="380">
        <v>0</v>
      </c>
      <c r="DB451" s="380">
        <v>0</v>
      </c>
      <c r="DC451" s="380">
        <v>0</v>
      </c>
      <c r="DD451" s="380">
        <v>0</v>
      </c>
      <c r="DE451" s="380">
        <v>0</v>
      </c>
      <c r="DF451" s="380">
        <v>0</v>
      </c>
      <c r="DG451" s="380">
        <v>0</v>
      </c>
      <c r="DH451" s="380">
        <v>0</v>
      </c>
      <c r="DI451" s="380">
        <v>0</v>
      </c>
      <c r="DJ451" s="380">
        <v>0</v>
      </c>
      <c r="DK451" s="702">
        <f t="shared" si="377"/>
        <v>1</v>
      </c>
      <c r="DL451" s="311">
        <f t="shared" si="342"/>
        <v>0.16499999999999998</v>
      </c>
      <c r="DM451" s="310">
        <f t="shared" si="343"/>
        <v>100</v>
      </c>
      <c r="DN451" s="356">
        <f t="shared" si="344"/>
        <v>100</v>
      </c>
      <c r="DO451" s="308">
        <f t="shared" si="345"/>
        <v>0.16500000000000001</v>
      </c>
      <c r="DP451" s="359">
        <f t="shared" si="379"/>
        <v>0.16500000000000001</v>
      </c>
      <c r="DQ451" s="306">
        <f t="shared" si="346"/>
        <v>0.16500000000000001</v>
      </c>
      <c r="DR451" s="379">
        <f t="shared" si="347"/>
        <v>1</v>
      </c>
      <c r="DS451" s="378">
        <f t="shared" si="348"/>
        <v>0</v>
      </c>
      <c r="DT451" s="173">
        <v>613</v>
      </c>
      <c r="DU451" s="174" t="s">
        <v>96</v>
      </c>
      <c r="DV451" s="173"/>
      <c r="DW451" s="174" t="s">
        <v>84</v>
      </c>
      <c r="DX451" s="173"/>
      <c r="DY451" s="173"/>
      <c r="DZ451" s="173"/>
      <c r="EA451" s="665"/>
      <c r="EB451" s="1254" t="s">
        <v>3131</v>
      </c>
      <c r="EC451" s="537">
        <v>0</v>
      </c>
      <c r="EE451" s="734">
        <v>10</v>
      </c>
      <c r="EF451" s="706"/>
    </row>
    <row r="452" spans="4:136" s="302" customFormat="1" ht="51" hidden="1">
      <c r="D452" s="520">
        <v>449</v>
      </c>
      <c r="E452" s="534">
        <v>520</v>
      </c>
      <c r="F452" s="479" t="s">
        <v>46</v>
      </c>
      <c r="G452" s="479" t="s">
        <v>10</v>
      </c>
      <c r="H452" s="479" t="s">
        <v>2677</v>
      </c>
      <c r="I452" s="435" t="s">
        <v>1074</v>
      </c>
      <c r="J452" s="335" t="s">
        <v>1079</v>
      </c>
      <c r="K452" s="335" t="s">
        <v>1080</v>
      </c>
      <c r="L452" s="358" t="s">
        <v>1802</v>
      </c>
      <c r="M452" s="334" t="s">
        <v>1771</v>
      </c>
      <c r="N452" s="337">
        <v>0</v>
      </c>
      <c r="O452" s="333">
        <f t="shared" si="378"/>
        <v>1</v>
      </c>
      <c r="P452" s="422">
        <v>1</v>
      </c>
      <c r="Q452" s="390">
        <v>0.16500000000000001</v>
      </c>
      <c r="R452" s="342">
        <f t="shared" si="326"/>
        <v>1.6500000000000001E-2</v>
      </c>
      <c r="S452" s="417">
        <v>0.1</v>
      </c>
      <c r="T452" s="337">
        <f t="shared" si="365"/>
        <v>0.1</v>
      </c>
      <c r="U452" s="673">
        <v>0.1</v>
      </c>
      <c r="V452" s="388">
        <f t="shared" si="366"/>
        <v>0.1</v>
      </c>
      <c r="W452" s="356">
        <f t="shared" si="367"/>
        <v>100</v>
      </c>
      <c r="X452" s="356">
        <f t="shared" si="327"/>
        <v>100</v>
      </c>
      <c r="Y452" s="356">
        <f t="shared" si="364"/>
        <v>1.6500000000000001E-2</v>
      </c>
      <c r="Z452" s="356">
        <f t="shared" si="328"/>
        <v>100</v>
      </c>
      <c r="AA452" s="413">
        <v>4586000000</v>
      </c>
      <c r="AB452" s="413">
        <v>3196000000</v>
      </c>
      <c r="AC452" s="413">
        <v>1390000000</v>
      </c>
      <c r="AD452" s="413">
        <v>0</v>
      </c>
      <c r="AE452" s="413">
        <v>0</v>
      </c>
      <c r="AF452" s="413">
        <v>0</v>
      </c>
      <c r="AG452" s="413">
        <v>0</v>
      </c>
      <c r="AH452" s="413">
        <v>0</v>
      </c>
      <c r="AI452" s="413">
        <v>35662747000</v>
      </c>
      <c r="AJ452" s="413">
        <v>10012404000</v>
      </c>
      <c r="AK452" s="413">
        <v>0</v>
      </c>
      <c r="AL452" s="413">
        <v>0</v>
      </c>
      <c r="AM452" s="413">
        <v>0</v>
      </c>
      <c r="AN452" s="413">
        <v>0</v>
      </c>
      <c r="AO452" s="413">
        <v>0</v>
      </c>
      <c r="AP452" s="413">
        <v>25650343000</v>
      </c>
      <c r="AQ452" s="413">
        <v>0</v>
      </c>
      <c r="AR452" s="413">
        <v>0</v>
      </c>
      <c r="AS452" s="413">
        <v>0</v>
      </c>
      <c r="AT452" s="333">
        <f t="shared" si="329"/>
        <v>4.9500000000000002E-2</v>
      </c>
      <c r="AU452" s="334">
        <v>0.3</v>
      </c>
      <c r="AV452" s="387">
        <f t="shared" si="368"/>
        <v>0.3</v>
      </c>
      <c r="AW452" s="683">
        <v>0.13</v>
      </c>
      <c r="AX452" s="366">
        <f t="shared" si="369"/>
        <v>0.13</v>
      </c>
      <c r="AY452" s="366">
        <f t="shared" si="370"/>
        <v>43.333333333333336</v>
      </c>
      <c r="AZ452" s="366">
        <f t="shared" si="330"/>
        <v>43.333333333333336</v>
      </c>
      <c r="BA452" s="354">
        <f t="shared" si="331"/>
        <v>2.145E-2</v>
      </c>
      <c r="BB452" s="354">
        <f t="shared" si="332"/>
        <v>43.333333333333336</v>
      </c>
      <c r="BC452" s="353">
        <v>3271000000</v>
      </c>
      <c r="BD452" s="353">
        <v>897000000</v>
      </c>
      <c r="BE452" s="353">
        <v>2374000000</v>
      </c>
      <c r="BF452" s="353">
        <v>0</v>
      </c>
      <c r="BG452" s="353">
        <v>0</v>
      </c>
      <c r="BH452" s="353">
        <v>0</v>
      </c>
      <c r="BI452" s="353">
        <v>0</v>
      </c>
      <c r="BJ452" s="353">
        <v>0</v>
      </c>
      <c r="BK452" s="386">
        <v>5393360644</v>
      </c>
      <c r="BL452" s="351">
        <v>4242546731</v>
      </c>
      <c r="BM452" s="351">
        <v>1080813913</v>
      </c>
      <c r="BN452" s="351">
        <v>70000000</v>
      </c>
      <c r="BO452" s="351">
        <v>0</v>
      </c>
      <c r="BP452" s="351">
        <v>0</v>
      </c>
      <c r="BQ452" s="351">
        <v>0</v>
      </c>
      <c r="BR452" s="351">
        <v>0</v>
      </c>
      <c r="BS452" s="351">
        <v>0</v>
      </c>
      <c r="BT452" s="351">
        <v>0</v>
      </c>
      <c r="BU452" s="351">
        <v>0</v>
      </c>
      <c r="BV452" s="350">
        <f t="shared" si="333"/>
        <v>4.9500000000000002E-2</v>
      </c>
      <c r="BW452" s="350">
        <v>0.3</v>
      </c>
      <c r="BX452" s="385">
        <f t="shared" si="371"/>
        <v>0.3</v>
      </c>
      <c r="BY452" s="369">
        <v>0.30000001192092896</v>
      </c>
      <c r="BZ452" s="391">
        <v>0.30000001192092896</v>
      </c>
      <c r="CA452" s="689">
        <v>0.30000001192092896</v>
      </c>
      <c r="CB452" s="324">
        <f t="shared" si="372"/>
        <v>0.30000001192092896</v>
      </c>
      <c r="CC452" s="324">
        <f t="shared" si="373"/>
        <v>100.00000397364299</v>
      </c>
      <c r="CD452" s="384">
        <f t="shared" si="334"/>
        <v>100</v>
      </c>
      <c r="CE452" s="383">
        <f t="shared" si="335"/>
        <v>4.9500000000000002E-2</v>
      </c>
      <c r="CF452" s="367">
        <f t="shared" si="336"/>
        <v>100</v>
      </c>
      <c r="CG452" s="383">
        <f t="shared" si="337"/>
        <v>4.9500001966953283E-2</v>
      </c>
      <c r="CH452" s="320">
        <f t="shared" si="338"/>
        <v>4.9500000000000002E-2</v>
      </c>
      <c r="CI452" s="319">
        <v>0.3</v>
      </c>
      <c r="CJ452" s="318">
        <f t="shared" si="374"/>
        <v>0.3</v>
      </c>
      <c r="CK452" s="1259">
        <v>0.25</v>
      </c>
      <c r="CL452" s="301">
        <f t="shared" si="380"/>
        <v>4.9999999999999989E-2</v>
      </c>
      <c r="CM452" s="381">
        <f t="shared" si="375"/>
        <v>0.25</v>
      </c>
      <c r="CN452" s="381">
        <f t="shared" si="376"/>
        <v>83.333333333333343</v>
      </c>
      <c r="CO452" s="316">
        <f t="shared" si="339"/>
        <v>83.333333333333343</v>
      </c>
      <c r="CP452" s="381">
        <f t="shared" si="340"/>
        <v>4.1250000000000009E-2</v>
      </c>
      <c r="CQ452" s="381">
        <f t="shared" si="341"/>
        <v>4.1250000000000009E-2</v>
      </c>
      <c r="CR452" s="313">
        <v>6375000000</v>
      </c>
      <c r="CS452" s="313">
        <v>5478000000</v>
      </c>
      <c r="CT452" s="313">
        <v>897000000</v>
      </c>
      <c r="CU452" s="313">
        <v>0</v>
      </c>
      <c r="CV452" s="313">
        <v>0</v>
      </c>
      <c r="CW452" s="313">
        <v>0</v>
      </c>
      <c r="CX452" s="313">
        <v>0</v>
      </c>
      <c r="CY452" s="313">
        <v>0</v>
      </c>
      <c r="CZ452" s="380">
        <v>0</v>
      </c>
      <c r="DA452" s="380">
        <v>0</v>
      </c>
      <c r="DB452" s="380">
        <v>0</v>
      </c>
      <c r="DC452" s="380">
        <v>0</v>
      </c>
      <c r="DD452" s="380">
        <v>0</v>
      </c>
      <c r="DE452" s="380">
        <v>0</v>
      </c>
      <c r="DF452" s="380">
        <v>0</v>
      </c>
      <c r="DG452" s="380">
        <v>0</v>
      </c>
      <c r="DH452" s="380">
        <v>0</v>
      </c>
      <c r="DI452" s="380">
        <v>0</v>
      </c>
      <c r="DJ452" s="380">
        <v>0</v>
      </c>
      <c r="DK452" s="702">
        <f t="shared" si="377"/>
        <v>0.78000001192092894</v>
      </c>
      <c r="DL452" s="311">
        <f t="shared" si="342"/>
        <v>0.16500000000000001</v>
      </c>
      <c r="DM452" s="310">
        <f t="shared" si="343"/>
        <v>78.000001192092896</v>
      </c>
      <c r="DN452" s="356">
        <f t="shared" si="344"/>
        <v>78.000001192092896</v>
      </c>
      <c r="DO452" s="308">
        <f t="shared" si="345"/>
        <v>0.12870000196695328</v>
      </c>
      <c r="DP452" s="359">
        <f t="shared" si="379"/>
        <v>0.12870000196695328</v>
      </c>
      <c r="DQ452" s="306">
        <f t="shared" si="346"/>
        <v>0.12870000196695328</v>
      </c>
      <c r="DR452" s="379">
        <f t="shared" si="347"/>
        <v>1</v>
      </c>
      <c r="DS452" s="378">
        <f t="shared" si="348"/>
        <v>0</v>
      </c>
      <c r="DT452" s="173">
        <v>612</v>
      </c>
      <c r="DU452" s="174" t="s">
        <v>97</v>
      </c>
      <c r="DV452" s="173"/>
      <c r="DW452" s="174" t="s">
        <v>84</v>
      </c>
      <c r="DX452" s="173"/>
      <c r="DY452" s="173"/>
      <c r="DZ452" s="173"/>
      <c r="EA452" s="665"/>
      <c r="EB452" s="1254" t="s">
        <v>2269</v>
      </c>
      <c r="EC452" s="537">
        <v>90000000</v>
      </c>
      <c r="EE452" s="746">
        <v>0.3</v>
      </c>
      <c r="EF452" s="706"/>
    </row>
    <row r="453" spans="4:136" s="302" customFormat="1" ht="103.5" hidden="1">
      <c r="D453" s="520">
        <v>450</v>
      </c>
      <c r="E453" s="534">
        <v>521</v>
      </c>
      <c r="F453" s="336" t="s">
        <v>46</v>
      </c>
      <c r="G453" s="336" t="s">
        <v>8</v>
      </c>
      <c r="H453" s="336" t="s">
        <v>2677</v>
      </c>
      <c r="I453" s="336" t="s">
        <v>1253</v>
      </c>
      <c r="J453" s="335" t="s">
        <v>99</v>
      </c>
      <c r="K453" s="335" t="s">
        <v>1322</v>
      </c>
      <c r="L453" s="358" t="s">
        <v>1829</v>
      </c>
      <c r="M453" s="334" t="s">
        <v>1771</v>
      </c>
      <c r="N453" s="334">
        <v>0</v>
      </c>
      <c r="O453" s="333">
        <f t="shared" si="378"/>
        <v>5</v>
      </c>
      <c r="P453" s="332">
        <v>5</v>
      </c>
      <c r="Q453" s="427">
        <v>0.22264</v>
      </c>
      <c r="R453" s="342">
        <f t="shared" ref="R453:R516" si="381">+Q453*T453</f>
        <v>4.4528000000000005E-2</v>
      </c>
      <c r="S453" s="389">
        <v>1</v>
      </c>
      <c r="T453" s="402">
        <f t="shared" si="365"/>
        <v>0.2</v>
      </c>
      <c r="U453" s="675">
        <v>3</v>
      </c>
      <c r="V453" s="424">
        <f t="shared" si="366"/>
        <v>3</v>
      </c>
      <c r="W453" s="315">
        <f t="shared" si="367"/>
        <v>300</v>
      </c>
      <c r="X453" s="315">
        <f t="shared" ref="X453:X516" si="382">+IF(W453&lt;100,W453,100)</f>
        <v>100</v>
      </c>
      <c r="Y453" s="315">
        <f t="shared" si="364"/>
        <v>4.4528000000000005E-2</v>
      </c>
      <c r="Z453" s="315">
        <f t="shared" ref="Z453:Z516" si="383">+IF(U453&gt;S453,100,X453)</f>
        <v>100</v>
      </c>
      <c r="AA453" s="315">
        <v>0</v>
      </c>
      <c r="AB453" s="315">
        <v>0</v>
      </c>
      <c r="AC453" s="315">
        <v>0</v>
      </c>
      <c r="AD453" s="315">
        <v>0</v>
      </c>
      <c r="AE453" s="315">
        <v>0</v>
      </c>
      <c r="AF453" s="315">
        <v>0</v>
      </c>
      <c r="AG453" s="315">
        <v>0</v>
      </c>
      <c r="AH453" s="315">
        <v>0</v>
      </c>
      <c r="AI453" s="315">
        <v>0</v>
      </c>
      <c r="AJ453" s="315">
        <v>0</v>
      </c>
      <c r="AK453" s="315">
        <v>0</v>
      </c>
      <c r="AL453" s="315">
        <v>0</v>
      </c>
      <c r="AM453" s="315">
        <v>0</v>
      </c>
      <c r="AN453" s="315">
        <v>0</v>
      </c>
      <c r="AO453" s="315">
        <v>0</v>
      </c>
      <c r="AP453" s="315">
        <v>0</v>
      </c>
      <c r="AQ453" s="315">
        <v>0</v>
      </c>
      <c r="AR453" s="315">
        <v>0</v>
      </c>
      <c r="AS453" s="315">
        <v>0</v>
      </c>
      <c r="AT453" s="392">
        <f t="shared" ref="AT453:AT516" si="384">+Q453*AV453</f>
        <v>4.4528000000000005E-2</v>
      </c>
      <c r="AU453" s="340">
        <v>1</v>
      </c>
      <c r="AV453" s="387">
        <f t="shared" si="368"/>
        <v>0.2</v>
      </c>
      <c r="AW453" s="679">
        <v>1</v>
      </c>
      <c r="AX453" s="426">
        <f t="shared" si="369"/>
        <v>1</v>
      </c>
      <c r="AY453" s="426">
        <f t="shared" si="370"/>
        <v>100</v>
      </c>
      <c r="AZ453" s="426">
        <f t="shared" ref="AZ453:AZ516" si="385">+IF(AY453&lt;100,AY453,100)</f>
        <v>100</v>
      </c>
      <c r="BA453" s="327">
        <f t="shared" ref="BA453:BA516" si="386">+(AZ453*AT453)/100</f>
        <v>4.4528000000000005E-2</v>
      </c>
      <c r="BB453" s="327">
        <f t="shared" ref="BB453:BB516" si="387">+IF(AW453&gt;AU453,100,AZ453)</f>
        <v>100</v>
      </c>
      <c r="BC453" s="327">
        <f>SUBTOTAL(9,BD453:BJ453)</f>
        <v>0</v>
      </c>
      <c r="BD453" s="327">
        <v>11000000</v>
      </c>
      <c r="BE453" s="327">
        <v>0</v>
      </c>
      <c r="BF453" s="327">
        <v>0</v>
      </c>
      <c r="BG453" s="327">
        <v>0</v>
      </c>
      <c r="BH453" s="327">
        <v>0</v>
      </c>
      <c r="BI453" s="327">
        <v>0</v>
      </c>
      <c r="BJ453" s="327">
        <v>0</v>
      </c>
      <c r="BK453" s="425">
        <v>0</v>
      </c>
      <c r="BL453" s="327">
        <v>0</v>
      </c>
      <c r="BM453" s="327">
        <v>0</v>
      </c>
      <c r="BN453" s="327">
        <v>0</v>
      </c>
      <c r="BO453" s="327">
        <v>0</v>
      </c>
      <c r="BP453" s="327">
        <v>0</v>
      </c>
      <c r="BQ453" s="327">
        <v>0</v>
      </c>
      <c r="BR453" s="327">
        <v>0</v>
      </c>
      <c r="BS453" s="327">
        <v>0</v>
      </c>
      <c r="BT453" s="327">
        <v>0</v>
      </c>
      <c r="BU453" s="327">
        <v>0</v>
      </c>
      <c r="BV453" s="350">
        <f t="shared" ref="BV453:BV516" si="388">+Q453*BX453</f>
        <v>4.4528000000000005E-2</v>
      </c>
      <c r="BW453" s="327">
        <v>1</v>
      </c>
      <c r="BX453" s="385">
        <f t="shared" si="371"/>
        <v>0.2</v>
      </c>
      <c r="BY453" s="327">
        <v>0</v>
      </c>
      <c r="BZ453" s="425">
        <v>1</v>
      </c>
      <c r="CA453" s="698">
        <v>1</v>
      </c>
      <c r="CB453" s="324">
        <f t="shared" si="372"/>
        <v>1</v>
      </c>
      <c r="CC453" s="324">
        <f t="shared" si="373"/>
        <v>100</v>
      </c>
      <c r="CD453" s="384">
        <f t="shared" ref="CD453:CD516" si="389">+IF(CC453&lt;100,CC453,100)</f>
        <v>100</v>
      </c>
      <c r="CE453" s="383">
        <f t="shared" ref="CE453:CE516" si="390">+(CD453*BV453)/100</f>
        <v>4.4528000000000005E-2</v>
      </c>
      <c r="CF453" s="367">
        <f t="shared" ref="CF453:CF516" si="391">+IF(BZ453&gt;BW453,100,CD453)</f>
        <v>100</v>
      </c>
      <c r="CG453" s="383">
        <f t="shared" ref="CG453:CG516" si="392">(CC453*BV453)/100</f>
        <v>4.4528000000000005E-2</v>
      </c>
      <c r="CH453" s="320">
        <f t="shared" ref="CH453:CH516" si="393">+Q453*CJ453</f>
        <v>8.905600000000001E-2</v>
      </c>
      <c r="CI453" s="319">
        <v>2</v>
      </c>
      <c r="CJ453" s="318">
        <f t="shared" si="374"/>
        <v>0.4</v>
      </c>
      <c r="CK453" s="1259">
        <v>5</v>
      </c>
      <c r="CL453" s="301">
        <f t="shared" si="380"/>
        <v>-3</v>
      </c>
      <c r="CM453" s="381">
        <f t="shared" si="375"/>
        <v>5</v>
      </c>
      <c r="CN453" s="381">
        <f t="shared" si="376"/>
        <v>250</v>
      </c>
      <c r="CO453" s="316">
        <f t="shared" ref="CO453:CO516" si="394">+IF(CN453&lt;100,CN453,100)</f>
        <v>100</v>
      </c>
      <c r="CP453" s="381">
        <f t="shared" ref="CP453:CP516" si="395">+(CO453*CH453)/100</f>
        <v>8.905600000000001E-2</v>
      </c>
      <c r="CQ453" s="381">
        <f t="shared" ref="CQ453:CQ516" si="396">+(CN453*CH453)/100</f>
        <v>0.22264000000000003</v>
      </c>
      <c r="CR453" s="315">
        <v>4750000000</v>
      </c>
      <c r="CS453" s="315">
        <v>1350000000</v>
      </c>
      <c r="CT453" s="315">
        <v>0</v>
      </c>
      <c r="CU453" s="315">
        <v>0</v>
      </c>
      <c r="CV453" s="315">
        <v>0</v>
      </c>
      <c r="CW453" s="315">
        <v>0</v>
      </c>
      <c r="CX453" s="315">
        <v>0</v>
      </c>
      <c r="CY453" s="315">
        <v>3400000000</v>
      </c>
      <c r="CZ453" s="424">
        <v>2046</v>
      </c>
      <c r="DA453" s="424">
        <v>0.22803000000000001</v>
      </c>
      <c r="DB453" s="424">
        <v>68.2</v>
      </c>
      <c r="DC453" s="424">
        <v>68.2</v>
      </c>
      <c r="DD453" s="424">
        <v>0.22505999999999998</v>
      </c>
      <c r="DE453" s="424">
        <v>0</v>
      </c>
      <c r="DF453" s="424">
        <v>0</v>
      </c>
      <c r="DG453" s="424">
        <v>0</v>
      </c>
      <c r="DH453" s="424">
        <v>0</v>
      </c>
      <c r="DI453" s="424">
        <v>0</v>
      </c>
      <c r="DJ453" s="424">
        <v>0</v>
      </c>
      <c r="DK453" s="702">
        <f t="shared" si="377"/>
        <v>10</v>
      </c>
      <c r="DL453" s="311">
        <f t="shared" ref="DL453:DL516" si="397">+R453+AT453+BV453+CH453</f>
        <v>0.22264</v>
      </c>
      <c r="DM453" s="310">
        <f t="shared" ref="DM453:DM516" si="398">+DK453*100/P453</f>
        <v>200</v>
      </c>
      <c r="DN453" s="356">
        <f t="shared" ref="DN453:DN516" si="399">+IF(DM453&lt;100,DM453,100)</f>
        <v>100</v>
      </c>
      <c r="DO453" s="308">
        <f t="shared" ref="DO453:DO516" si="400">+(DN453*Q453)/100</f>
        <v>0.22264</v>
      </c>
      <c r="DP453" s="359">
        <f t="shared" si="379"/>
        <v>0.22264</v>
      </c>
      <c r="DQ453" s="306">
        <f t="shared" ref="DQ453:DQ516" si="401">+IF(DL453&lt;DP453,DL453,DP453)</f>
        <v>0.22264</v>
      </c>
      <c r="DR453" s="379">
        <f t="shared" ref="DR453:DR516" si="402">+T453+AV453+BX453+CJ453</f>
        <v>1</v>
      </c>
      <c r="DS453" s="378">
        <f t="shared" ref="DS453:DS516" si="403">+Q453-R453-AT453-BV453-CH453</f>
        <v>0</v>
      </c>
      <c r="DT453" s="1403"/>
      <c r="DU453" s="1403"/>
      <c r="DV453" s="1403"/>
      <c r="DW453" s="1403"/>
      <c r="DX453" s="1403"/>
      <c r="DY453" s="1403"/>
      <c r="DZ453" s="1403"/>
      <c r="EA453" s="1403"/>
      <c r="EB453" s="1404" t="s">
        <v>2598</v>
      </c>
      <c r="EC453" s="555">
        <v>0</v>
      </c>
      <c r="EE453" s="733">
        <v>0</v>
      </c>
      <c r="EF453" s="706"/>
    </row>
    <row r="454" spans="4:136" s="302" customFormat="1" ht="216.75" hidden="1">
      <c r="D454" s="520">
        <v>451</v>
      </c>
      <c r="E454" s="534">
        <v>522</v>
      </c>
      <c r="F454" s="336" t="s">
        <v>46</v>
      </c>
      <c r="G454" s="336" t="s">
        <v>26</v>
      </c>
      <c r="H454" s="336" t="s">
        <v>2677</v>
      </c>
      <c r="I454" s="336" t="s">
        <v>1074</v>
      </c>
      <c r="J454" s="335" t="s">
        <v>1305</v>
      </c>
      <c r="K454" s="335" t="s">
        <v>1081</v>
      </c>
      <c r="L454" s="358" t="s">
        <v>1793</v>
      </c>
      <c r="M454" s="334" t="s">
        <v>1771</v>
      </c>
      <c r="N454" s="337">
        <v>0</v>
      </c>
      <c r="O454" s="333">
        <f t="shared" si="378"/>
        <v>35</v>
      </c>
      <c r="P454" s="422">
        <v>35</v>
      </c>
      <c r="Q454" s="393">
        <v>0.16500000000000001</v>
      </c>
      <c r="R454" s="342">
        <f t="shared" si="381"/>
        <v>4.7142857142857139E-2</v>
      </c>
      <c r="S454" s="417">
        <v>10</v>
      </c>
      <c r="T454" s="423">
        <f t="shared" si="365"/>
        <v>0.2857142857142857</v>
      </c>
      <c r="U454" s="673">
        <v>37</v>
      </c>
      <c r="V454" s="388">
        <f t="shared" si="366"/>
        <v>37</v>
      </c>
      <c r="W454" s="356">
        <f t="shared" si="367"/>
        <v>370</v>
      </c>
      <c r="X454" s="356">
        <f t="shared" si="382"/>
        <v>100</v>
      </c>
      <c r="Y454" s="356">
        <f t="shared" si="364"/>
        <v>4.7142857142857132E-2</v>
      </c>
      <c r="Z454" s="356">
        <f t="shared" si="383"/>
        <v>100</v>
      </c>
      <c r="AA454" s="413">
        <v>0</v>
      </c>
      <c r="AB454" s="413">
        <v>0</v>
      </c>
      <c r="AC454" s="413">
        <v>0</v>
      </c>
      <c r="AD454" s="413">
        <v>0</v>
      </c>
      <c r="AE454" s="413">
        <v>0</v>
      </c>
      <c r="AF454" s="413">
        <v>0</v>
      </c>
      <c r="AG454" s="413">
        <v>0</v>
      </c>
      <c r="AH454" s="413">
        <v>0</v>
      </c>
      <c r="AI454" s="413">
        <v>0</v>
      </c>
      <c r="AJ454" s="413">
        <v>0</v>
      </c>
      <c r="AK454" s="413">
        <v>0</v>
      </c>
      <c r="AL454" s="413">
        <v>0</v>
      </c>
      <c r="AM454" s="413">
        <v>0</v>
      </c>
      <c r="AN454" s="413">
        <v>0</v>
      </c>
      <c r="AO454" s="413">
        <v>0</v>
      </c>
      <c r="AP454" s="413">
        <v>0</v>
      </c>
      <c r="AQ454" s="413">
        <v>0</v>
      </c>
      <c r="AR454" s="413">
        <v>0</v>
      </c>
      <c r="AS454" s="413">
        <v>0</v>
      </c>
      <c r="AT454" s="392">
        <f t="shared" si="384"/>
        <v>4.7142857142857139E-2</v>
      </c>
      <c r="AU454" s="334">
        <v>10</v>
      </c>
      <c r="AV454" s="387">
        <f t="shared" si="368"/>
        <v>0.2857142857142857</v>
      </c>
      <c r="AW454" s="686">
        <v>47</v>
      </c>
      <c r="AX454" s="366">
        <f t="shared" si="369"/>
        <v>47</v>
      </c>
      <c r="AY454" s="366">
        <f t="shared" si="370"/>
        <v>470</v>
      </c>
      <c r="AZ454" s="366">
        <f t="shared" si="385"/>
        <v>100</v>
      </c>
      <c r="BA454" s="354">
        <f t="shared" si="386"/>
        <v>4.7142857142857132E-2</v>
      </c>
      <c r="BB454" s="354">
        <f t="shared" si="387"/>
        <v>100</v>
      </c>
      <c r="BC454" s="353">
        <v>0</v>
      </c>
      <c r="BD454" s="353">
        <v>0</v>
      </c>
      <c r="BE454" s="353">
        <v>0</v>
      </c>
      <c r="BF454" s="353">
        <v>0</v>
      </c>
      <c r="BG454" s="353">
        <v>0</v>
      </c>
      <c r="BH454" s="353">
        <v>0</v>
      </c>
      <c r="BI454" s="353">
        <v>0</v>
      </c>
      <c r="BJ454" s="353">
        <v>0</v>
      </c>
      <c r="BK454" s="386">
        <v>91800000</v>
      </c>
      <c r="BL454" s="351">
        <v>0</v>
      </c>
      <c r="BM454" s="351">
        <v>0</v>
      </c>
      <c r="BN454" s="351">
        <v>0</v>
      </c>
      <c r="BO454" s="351">
        <v>0</v>
      </c>
      <c r="BP454" s="351">
        <v>91800000</v>
      </c>
      <c r="BQ454" s="351">
        <v>0</v>
      </c>
      <c r="BR454" s="351">
        <v>0</v>
      </c>
      <c r="BS454" s="351">
        <v>0</v>
      </c>
      <c r="BT454" s="351">
        <v>0</v>
      </c>
      <c r="BU454" s="351">
        <v>0</v>
      </c>
      <c r="BV454" s="350">
        <f t="shared" si="388"/>
        <v>4.7142857142857139E-2</v>
      </c>
      <c r="BW454" s="350">
        <v>10</v>
      </c>
      <c r="BX454" s="385">
        <f t="shared" si="371"/>
        <v>0.2857142857142857</v>
      </c>
      <c r="BY454" s="400">
        <v>24</v>
      </c>
      <c r="BZ454" s="416">
        <v>40</v>
      </c>
      <c r="CA454" s="691">
        <v>50</v>
      </c>
      <c r="CB454" s="324">
        <f t="shared" si="372"/>
        <v>50</v>
      </c>
      <c r="CC454" s="324">
        <f t="shared" si="373"/>
        <v>500</v>
      </c>
      <c r="CD454" s="384">
        <f t="shared" si="389"/>
        <v>100</v>
      </c>
      <c r="CE454" s="383">
        <f t="shared" si="390"/>
        <v>4.7142857142857132E-2</v>
      </c>
      <c r="CF454" s="367">
        <f t="shared" si="391"/>
        <v>100</v>
      </c>
      <c r="CG454" s="383">
        <f t="shared" si="392"/>
        <v>0.23571428571428568</v>
      </c>
      <c r="CH454" s="320">
        <f t="shared" si="393"/>
        <v>2.357142857142857E-2</v>
      </c>
      <c r="CI454" s="319">
        <v>5</v>
      </c>
      <c r="CJ454" s="318">
        <f t="shared" si="374"/>
        <v>0.14285714285714285</v>
      </c>
      <c r="CK454" s="1259">
        <v>5</v>
      </c>
      <c r="CL454" s="301">
        <f t="shared" si="380"/>
        <v>0</v>
      </c>
      <c r="CM454" s="381">
        <f t="shared" si="375"/>
        <v>5</v>
      </c>
      <c r="CN454" s="381">
        <f t="shared" si="376"/>
        <v>100</v>
      </c>
      <c r="CO454" s="316">
        <f t="shared" si="394"/>
        <v>100</v>
      </c>
      <c r="CP454" s="381">
        <f t="shared" si="395"/>
        <v>2.3571428571428566E-2</v>
      </c>
      <c r="CQ454" s="381">
        <f t="shared" si="396"/>
        <v>2.3571428571428566E-2</v>
      </c>
      <c r="CR454" s="313">
        <v>0</v>
      </c>
      <c r="CS454" s="313">
        <v>0</v>
      </c>
      <c r="CT454" s="313">
        <v>0</v>
      </c>
      <c r="CU454" s="313">
        <v>0</v>
      </c>
      <c r="CV454" s="313">
        <v>0</v>
      </c>
      <c r="CW454" s="313">
        <v>0</v>
      </c>
      <c r="CX454" s="313">
        <v>0</v>
      </c>
      <c r="CY454" s="313">
        <v>0</v>
      </c>
      <c r="CZ454" s="380">
        <v>0</v>
      </c>
      <c r="DA454" s="380">
        <v>0</v>
      </c>
      <c r="DB454" s="380">
        <v>0</v>
      </c>
      <c r="DC454" s="380">
        <v>0</v>
      </c>
      <c r="DD454" s="380">
        <v>0</v>
      </c>
      <c r="DE454" s="380">
        <v>0</v>
      </c>
      <c r="DF454" s="380">
        <v>0</v>
      </c>
      <c r="DG454" s="380">
        <v>0</v>
      </c>
      <c r="DH454" s="380">
        <v>0</v>
      </c>
      <c r="DI454" s="380">
        <v>0</v>
      </c>
      <c r="DJ454" s="380">
        <v>0</v>
      </c>
      <c r="DK454" s="702">
        <f t="shared" si="377"/>
        <v>139</v>
      </c>
      <c r="DL454" s="311">
        <f t="shared" si="397"/>
        <v>0.16499999999999998</v>
      </c>
      <c r="DM454" s="310">
        <f t="shared" si="398"/>
        <v>397.14285714285717</v>
      </c>
      <c r="DN454" s="356">
        <f t="shared" si="399"/>
        <v>100</v>
      </c>
      <c r="DO454" s="308">
        <f t="shared" si="400"/>
        <v>0.16500000000000001</v>
      </c>
      <c r="DP454" s="359">
        <f t="shared" si="379"/>
        <v>0.16500000000000001</v>
      </c>
      <c r="DQ454" s="306">
        <f t="shared" si="401"/>
        <v>0.16500000000000001</v>
      </c>
      <c r="DR454" s="379">
        <f t="shared" si="402"/>
        <v>1</v>
      </c>
      <c r="DS454" s="378">
        <f t="shared" si="403"/>
        <v>0</v>
      </c>
      <c r="DT454" s="173">
        <v>613</v>
      </c>
      <c r="DU454" s="174" t="s">
        <v>96</v>
      </c>
      <c r="DV454" s="173"/>
      <c r="DW454" s="174" t="s">
        <v>84</v>
      </c>
      <c r="DX454" s="173"/>
      <c r="DY454" s="173"/>
      <c r="DZ454" s="173"/>
      <c r="EA454" s="665"/>
      <c r="EB454" s="1254" t="s">
        <v>3132</v>
      </c>
      <c r="EC454" s="537">
        <v>0</v>
      </c>
      <c r="EE454" s="735">
        <v>1</v>
      </c>
      <c r="EF454" s="706"/>
    </row>
    <row r="455" spans="4:136" s="302" customFormat="1" ht="51" hidden="1">
      <c r="D455" s="520">
        <v>452</v>
      </c>
      <c r="E455" s="534">
        <v>523</v>
      </c>
      <c r="F455" s="479" t="s">
        <v>46</v>
      </c>
      <c r="G455" s="479" t="s">
        <v>10</v>
      </c>
      <c r="H455" s="479" t="s">
        <v>2677</v>
      </c>
      <c r="I455" s="435" t="s">
        <v>1074</v>
      </c>
      <c r="J455" s="335" t="s">
        <v>1082</v>
      </c>
      <c r="K455" s="335" t="s">
        <v>1083</v>
      </c>
      <c r="L455" s="407" t="s">
        <v>1828</v>
      </c>
      <c r="M455" s="334" t="s">
        <v>1771</v>
      </c>
      <c r="N455" s="337">
        <v>0</v>
      </c>
      <c r="O455" s="333">
        <f t="shared" si="378"/>
        <v>3</v>
      </c>
      <c r="P455" s="422">
        <v>3</v>
      </c>
      <c r="Q455" s="390">
        <v>0.16500000000000001</v>
      </c>
      <c r="R455" s="342">
        <f t="shared" si="381"/>
        <v>0</v>
      </c>
      <c r="S455" s="417">
        <v>0</v>
      </c>
      <c r="T455" s="337">
        <f t="shared" si="365"/>
        <v>0</v>
      </c>
      <c r="U455" s="673">
        <v>4</v>
      </c>
      <c r="V455" s="388">
        <f t="shared" si="366"/>
        <v>4</v>
      </c>
      <c r="W455" s="356">
        <f t="shared" si="367"/>
        <v>0</v>
      </c>
      <c r="X455" s="356">
        <f t="shared" si="382"/>
        <v>0</v>
      </c>
      <c r="Y455" s="356">
        <f t="shared" si="364"/>
        <v>0</v>
      </c>
      <c r="Z455" s="356">
        <f t="shared" si="383"/>
        <v>100</v>
      </c>
      <c r="AA455" s="413">
        <v>5000000000</v>
      </c>
      <c r="AB455" s="413">
        <v>5000000000</v>
      </c>
      <c r="AC455" s="413">
        <v>0</v>
      </c>
      <c r="AD455" s="413">
        <v>0</v>
      </c>
      <c r="AE455" s="413">
        <v>0</v>
      </c>
      <c r="AF455" s="413">
        <v>0</v>
      </c>
      <c r="AG455" s="413">
        <v>0</v>
      </c>
      <c r="AH455" s="413">
        <v>0</v>
      </c>
      <c r="AI455" s="413">
        <v>27890260000</v>
      </c>
      <c r="AJ455" s="413">
        <v>27890260000</v>
      </c>
      <c r="AK455" s="413">
        <v>0</v>
      </c>
      <c r="AL455" s="413">
        <v>0</v>
      </c>
      <c r="AM455" s="413">
        <v>0</v>
      </c>
      <c r="AN455" s="413">
        <v>0</v>
      </c>
      <c r="AO455" s="413">
        <v>0</v>
      </c>
      <c r="AP455" s="413">
        <v>0</v>
      </c>
      <c r="AQ455" s="413">
        <v>0</v>
      </c>
      <c r="AR455" s="413">
        <v>0</v>
      </c>
      <c r="AS455" s="413">
        <v>0</v>
      </c>
      <c r="AT455" s="333">
        <f t="shared" si="384"/>
        <v>5.5E-2</v>
      </c>
      <c r="AU455" s="334">
        <v>1</v>
      </c>
      <c r="AV455" s="387">
        <f t="shared" si="368"/>
        <v>0.33333333333333331</v>
      </c>
      <c r="AW455" s="677">
        <v>3</v>
      </c>
      <c r="AX455" s="366">
        <f t="shared" si="369"/>
        <v>3</v>
      </c>
      <c r="AY455" s="366">
        <f t="shared" si="370"/>
        <v>300</v>
      </c>
      <c r="AZ455" s="366">
        <f t="shared" si="385"/>
        <v>100</v>
      </c>
      <c r="BA455" s="354">
        <f t="shared" si="386"/>
        <v>5.5E-2</v>
      </c>
      <c r="BB455" s="354">
        <f t="shared" si="387"/>
        <v>100</v>
      </c>
      <c r="BC455" s="353">
        <v>4036000000</v>
      </c>
      <c r="BD455" s="353">
        <v>0</v>
      </c>
      <c r="BE455" s="353">
        <v>4036000000</v>
      </c>
      <c r="BF455" s="353">
        <v>0</v>
      </c>
      <c r="BG455" s="353">
        <v>0</v>
      </c>
      <c r="BH455" s="353">
        <v>0</v>
      </c>
      <c r="BI455" s="353">
        <v>0</v>
      </c>
      <c r="BJ455" s="353">
        <v>0</v>
      </c>
      <c r="BK455" s="386">
        <v>5000000000</v>
      </c>
      <c r="BL455" s="351">
        <v>5000000000</v>
      </c>
      <c r="BM455" s="351">
        <v>0</v>
      </c>
      <c r="BN455" s="351">
        <v>0</v>
      </c>
      <c r="BO455" s="351">
        <v>0</v>
      </c>
      <c r="BP455" s="351">
        <v>0</v>
      </c>
      <c r="BQ455" s="351">
        <v>0</v>
      </c>
      <c r="BR455" s="351">
        <v>0</v>
      </c>
      <c r="BS455" s="351">
        <v>0</v>
      </c>
      <c r="BT455" s="351">
        <v>0</v>
      </c>
      <c r="BU455" s="351">
        <v>0</v>
      </c>
      <c r="BV455" s="350">
        <f t="shared" si="388"/>
        <v>5.5E-2</v>
      </c>
      <c r="BW455" s="350">
        <v>1</v>
      </c>
      <c r="BX455" s="385">
        <f t="shared" si="371"/>
        <v>0.33333333333333331</v>
      </c>
      <c r="BY455" s="395">
        <v>1</v>
      </c>
      <c r="BZ455" s="401">
        <v>0</v>
      </c>
      <c r="CA455" s="691">
        <v>1</v>
      </c>
      <c r="CB455" s="324">
        <f t="shared" si="372"/>
        <v>1</v>
      </c>
      <c r="CC455" s="324">
        <f t="shared" si="373"/>
        <v>100</v>
      </c>
      <c r="CD455" s="384">
        <f t="shared" si="389"/>
        <v>100</v>
      </c>
      <c r="CE455" s="383">
        <f t="shared" si="390"/>
        <v>5.5E-2</v>
      </c>
      <c r="CF455" s="367">
        <f t="shared" si="391"/>
        <v>100</v>
      </c>
      <c r="CG455" s="383">
        <f t="shared" si="392"/>
        <v>5.5E-2</v>
      </c>
      <c r="CH455" s="320">
        <f t="shared" si="393"/>
        <v>5.5E-2</v>
      </c>
      <c r="CI455" s="319">
        <v>1</v>
      </c>
      <c r="CJ455" s="318">
        <f t="shared" si="374"/>
        <v>0.33333333333333331</v>
      </c>
      <c r="CK455" s="1260">
        <v>1</v>
      </c>
      <c r="CL455" s="301">
        <f t="shared" si="380"/>
        <v>0</v>
      </c>
      <c r="CM455" s="381">
        <f t="shared" si="375"/>
        <v>1</v>
      </c>
      <c r="CN455" s="381">
        <f t="shared" si="376"/>
        <v>100</v>
      </c>
      <c r="CO455" s="316">
        <f t="shared" si="394"/>
        <v>100</v>
      </c>
      <c r="CP455" s="381">
        <f t="shared" si="395"/>
        <v>5.5E-2</v>
      </c>
      <c r="CQ455" s="381">
        <f t="shared" si="396"/>
        <v>5.5E-2</v>
      </c>
      <c r="CR455" s="313">
        <v>45000000000</v>
      </c>
      <c r="CS455" s="313">
        <v>45000000</v>
      </c>
      <c r="CT455" s="313">
        <v>0</v>
      </c>
      <c r="CU455" s="313">
        <v>0</v>
      </c>
      <c r="CV455" s="313">
        <v>0</v>
      </c>
      <c r="CW455" s="313">
        <v>0</v>
      </c>
      <c r="CX455" s="313">
        <v>0</v>
      </c>
      <c r="CY455" s="313">
        <v>0</v>
      </c>
      <c r="CZ455" s="380">
        <v>0</v>
      </c>
      <c r="DA455" s="380">
        <v>0</v>
      </c>
      <c r="DB455" s="380">
        <v>0</v>
      </c>
      <c r="DC455" s="380">
        <v>0</v>
      </c>
      <c r="DD455" s="380">
        <v>0</v>
      </c>
      <c r="DE455" s="380">
        <v>0</v>
      </c>
      <c r="DF455" s="380">
        <v>0</v>
      </c>
      <c r="DG455" s="380">
        <v>0</v>
      </c>
      <c r="DH455" s="380">
        <v>0</v>
      </c>
      <c r="DI455" s="380">
        <v>0</v>
      </c>
      <c r="DJ455" s="380">
        <v>0</v>
      </c>
      <c r="DK455" s="702">
        <f t="shared" si="377"/>
        <v>9</v>
      </c>
      <c r="DL455" s="311">
        <f t="shared" si="397"/>
        <v>0.16500000000000001</v>
      </c>
      <c r="DM455" s="310">
        <f t="shared" si="398"/>
        <v>300</v>
      </c>
      <c r="DN455" s="356">
        <f t="shared" si="399"/>
        <v>100</v>
      </c>
      <c r="DO455" s="308">
        <f t="shared" si="400"/>
        <v>0.16500000000000001</v>
      </c>
      <c r="DP455" s="359">
        <f t="shared" si="379"/>
        <v>0.16500000000000001</v>
      </c>
      <c r="DQ455" s="306">
        <f t="shared" si="401"/>
        <v>0.16500000000000001</v>
      </c>
      <c r="DR455" s="379">
        <f t="shared" si="402"/>
        <v>1</v>
      </c>
      <c r="DS455" s="378">
        <f t="shared" si="403"/>
        <v>0</v>
      </c>
      <c r="DT455" s="173">
        <v>612</v>
      </c>
      <c r="DU455" s="174" t="s">
        <v>97</v>
      </c>
      <c r="DV455" s="173"/>
      <c r="DW455" s="174" t="s">
        <v>84</v>
      </c>
      <c r="DX455" s="173"/>
      <c r="DY455" s="173"/>
      <c r="DZ455" s="173"/>
      <c r="EA455" s="665"/>
      <c r="EB455" s="1254" t="s">
        <v>2363</v>
      </c>
      <c r="EC455" s="537">
        <v>0</v>
      </c>
      <c r="EE455" s="740">
        <v>0.2</v>
      </c>
      <c r="EF455" s="706"/>
    </row>
    <row r="456" spans="4:136" s="302" customFormat="1" ht="51" hidden="1">
      <c r="D456" s="520">
        <v>453</v>
      </c>
      <c r="E456" s="534">
        <v>524</v>
      </c>
      <c r="F456" s="479" t="s">
        <v>46</v>
      </c>
      <c r="G456" s="479" t="s">
        <v>27</v>
      </c>
      <c r="H456" s="479" t="s">
        <v>2677</v>
      </c>
      <c r="I456" s="435" t="s">
        <v>1074</v>
      </c>
      <c r="J456" s="335" t="s">
        <v>1084</v>
      </c>
      <c r="K456" s="335" t="s">
        <v>1085</v>
      </c>
      <c r="L456" s="407" t="s">
        <v>1783</v>
      </c>
      <c r="M456" s="334" t="s">
        <v>1771</v>
      </c>
      <c r="N456" s="334">
        <v>0</v>
      </c>
      <c r="O456" s="333">
        <f t="shared" si="378"/>
        <v>1</v>
      </c>
      <c r="P456" s="332">
        <v>1</v>
      </c>
      <c r="Q456" s="390">
        <v>8.8999999999999996E-2</v>
      </c>
      <c r="R456" s="342">
        <f t="shared" si="381"/>
        <v>0</v>
      </c>
      <c r="S456" s="389">
        <v>0</v>
      </c>
      <c r="T456" s="337">
        <f t="shared" si="365"/>
        <v>0</v>
      </c>
      <c r="U456" s="670">
        <v>0</v>
      </c>
      <c r="V456" s="388">
        <f t="shared" si="366"/>
        <v>0</v>
      </c>
      <c r="W456" s="356">
        <f t="shared" si="367"/>
        <v>0</v>
      </c>
      <c r="X456" s="356">
        <f t="shared" si="382"/>
        <v>0</v>
      </c>
      <c r="Y456" s="356">
        <f t="shared" si="364"/>
        <v>0</v>
      </c>
      <c r="Z456" s="356">
        <f t="shared" si="383"/>
        <v>0</v>
      </c>
      <c r="AA456" s="355">
        <v>0</v>
      </c>
      <c r="AB456" s="355">
        <v>0</v>
      </c>
      <c r="AC456" s="355">
        <v>0</v>
      </c>
      <c r="AD456" s="355">
        <v>0</v>
      </c>
      <c r="AE456" s="355">
        <v>0</v>
      </c>
      <c r="AF456" s="355">
        <v>0</v>
      </c>
      <c r="AG456" s="355">
        <v>0</v>
      </c>
      <c r="AH456" s="355">
        <v>0</v>
      </c>
      <c r="AI456" s="355">
        <v>0</v>
      </c>
      <c r="AJ456" s="355">
        <v>0</v>
      </c>
      <c r="AK456" s="355">
        <v>0</v>
      </c>
      <c r="AL456" s="355">
        <v>0</v>
      </c>
      <c r="AM456" s="355">
        <v>0</v>
      </c>
      <c r="AN456" s="355">
        <v>0</v>
      </c>
      <c r="AO456" s="355">
        <v>0</v>
      </c>
      <c r="AP456" s="355">
        <v>0</v>
      </c>
      <c r="AQ456" s="355">
        <v>0</v>
      </c>
      <c r="AR456" s="355">
        <v>0</v>
      </c>
      <c r="AS456" s="355">
        <v>0</v>
      </c>
      <c r="AT456" s="333">
        <f t="shared" si="384"/>
        <v>4.4499999999999998E-2</v>
      </c>
      <c r="AU456" s="334">
        <v>0.5</v>
      </c>
      <c r="AV456" s="387">
        <f t="shared" si="368"/>
        <v>0.5</v>
      </c>
      <c r="AW456" s="677">
        <v>0.67</v>
      </c>
      <c r="AX456" s="366">
        <f t="shared" si="369"/>
        <v>0.67</v>
      </c>
      <c r="AY456" s="366">
        <f t="shared" si="370"/>
        <v>134</v>
      </c>
      <c r="AZ456" s="366">
        <f t="shared" si="385"/>
        <v>100</v>
      </c>
      <c r="BA456" s="354">
        <f t="shared" si="386"/>
        <v>4.4500000000000005E-2</v>
      </c>
      <c r="BB456" s="354">
        <f t="shared" si="387"/>
        <v>100</v>
      </c>
      <c r="BC456" s="353">
        <v>109000000</v>
      </c>
      <c r="BD456" s="353">
        <v>0</v>
      </c>
      <c r="BE456" s="353">
        <v>109000000</v>
      </c>
      <c r="BF456" s="353">
        <v>0</v>
      </c>
      <c r="BG456" s="353">
        <v>0</v>
      </c>
      <c r="BH456" s="353">
        <v>0</v>
      </c>
      <c r="BI456" s="353">
        <v>0</v>
      </c>
      <c r="BJ456" s="353">
        <v>0</v>
      </c>
      <c r="BK456" s="386">
        <v>0</v>
      </c>
      <c r="BL456" s="351">
        <v>0</v>
      </c>
      <c r="BM456" s="351">
        <v>0</v>
      </c>
      <c r="BN456" s="351">
        <v>0</v>
      </c>
      <c r="BO456" s="351">
        <v>0</v>
      </c>
      <c r="BP456" s="351">
        <v>0</v>
      </c>
      <c r="BQ456" s="351">
        <v>0</v>
      </c>
      <c r="BR456" s="351">
        <v>0</v>
      </c>
      <c r="BS456" s="351">
        <v>0</v>
      </c>
      <c r="BT456" s="351">
        <v>0</v>
      </c>
      <c r="BU456" s="351">
        <v>0</v>
      </c>
      <c r="BV456" s="350">
        <f t="shared" si="388"/>
        <v>1.78E-2</v>
      </c>
      <c r="BW456" s="350">
        <v>0.2</v>
      </c>
      <c r="BX456" s="385">
        <f t="shared" si="371"/>
        <v>0.2</v>
      </c>
      <c r="BY456" s="369">
        <v>0.33</v>
      </c>
      <c r="BZ456" s="391">
        <v>0.1128</v>
      </c>
      <c r="CA456" s="689">
        <v>0.17000000178813934</v>
      </c>
      <c r="CB456" s="324">
        <f t="shared" si="372"/>
        <v>0.17000000178813934</v>
      </c>
      <c r="CC456" s="324">
        <f t="shared" si="373"/>
        <v>85.000000894069672</v>
      </c>
      <c r="CD456" s="384">
        <f t="shared" si="389"/>
        <v>85.000000894069672</v>
      </c>
      <c r="CE456" s="383">
        <f t="shared" si="390"/>
        <v>1.5130000159144402E-2</v>
      </c>
      <c r="CF456" s="367">
        <f t="shared" si="391"/>
        <v>85.000000894069672</v>
      </c>
      <c r="CG456" s="383">
        <f t="shared" si="392"/>
        <v>1.5130000159144402E-2</v>
      </c>
      <c r="CH456" s="320">
        <f t="shared" si="393"/>
        <v>2.6699999999999998E-2</v>
      </c>
      <c r="CI456" s="396">
        <v>0.3</v>
      </c>
      <c r="CJ456" s="318">
        <f t="shared" si="374"/>
        <v>0.3</v>
      </c>
      <c r="CK456" s="1259">
        <v>0.1</v>
      </c>
      <c r="CL456" s="301">
        <f t="shared" si="380"/>
        <v>0.19999999999999998</v>
      </c>
      <c r="CM456" s="381">
        <f t="shared" si="375"/>
        <v>0.1</v>
      </c>
      <c r="CN456" s="381">
        <f t="shared" si="376"/>
        <v>33.333333333333336</v>
      </c>
      <c r="CO456" s="316">
        <f t="shared" si="394"/>
        <v>33.333333333333336</v>
      </c>
      <c r="CP456" s="381">
        <f t="shared" si="395"/>
        <v>8.8999999999999999E-3</v>
      </c>
      <c r="CQ456" s="381">
        <f t="shared" si="396"/>
        <v>8.8999999999999999E-3</v>
      </c>
      <c r="CR456" s="313">
        <v>0</v>
      </c>
      <c r="CS456" s="313">
        <v>0</v>
      </c>
      <c r="CT456" s="313">
        <v>0</v>
      </c>
      <c r="CU456" s="313">
        <v>0</v>
      </c>
      <c r="CV456" s="313">
        <v>0</v>
      </c>
      <c r="CW456" s="313">
        <v>0</v>
      </c>
      <c r="CX456" s="313">
        <v>0</v>
      </c>
      <c r="CY456" s="313">
        <v>0</v>
      </c>
      <c r="CZ456" s="380">
        <v>0</v>
      </c>
      <c r="DA456" s="380">
        <v>0</v>
      </c>
      <c r="DB456" s="380">
        <v>0</v>
      </c>
      <c r="DC456" s="380">
        <v>0</v>
      </c>
      <c r="DD456" s="380">
        <v>0</v>
      </c>
      <c r="DE456" s="380">
        <v>0</v>
      </c>
      <c r="DF456" s="380">
        <v>0</v>
      </c>
      <c r="DG456" s="380">
        <v>0</v>
      </c>
      <c r="DH456" s="380">
        <v>0</v>
      </c>
      <c r="DI456" s="380">
        <v>0</v>
      </c>
      <c r="DJ456" s="380">
        <v>0</v>
      </c>
      <c r="DK456" s="702">
        <f t="shared" si="377"/>
        <v>0.94000000178813936</v>
      </c>
      <c r="DL456" s="311">
        <f t="shared" si="397"/>
        <v>8.8999999999999996E-2</v>
      </c>
      <c r="DM456" s="310">
        <f t="shared" si="398"/>
        <v>94.000000178813934</v>
      </c>
      <c r="DN456" s="356">
        <f t="shared" si="399"/>
        <v>94.000000178813934</v>
      </c>
      <c r="DO456" s="308">
        <f t="shared" si="400"/>
        <v>8.366000015914439E-2</v>
      </c>
      <c r="DP456" s="359">
        <f t="shared" si="379"/>
        <v>8.366000015914439E-2</v>
      </c>
      <c r="DQ456" s="306">
        <f t="shared" si="401"/>
        <v>8.366000015914439E-2</v>
      </c>
      <c r="DR456" s="379">
        <f t="shared" si="402"/>
        <v>1</v>
      </c>
      <c r="DS456" s="378">
        <f t="shared" si="403"/>
        <v>0</v>
      </c>
      <c r="DT456" s="173">
        <v>614</v>
      </c>
      <c r="DU456" s="174" t="s">
        <v>95</v>
      </c>
      <c r="DV456" s="173"/>
      <c r="DW456" s="174" t="s">
        <v>84</v>
      </c>
      <c r="DX456" s="173"/>
      <c r="DY456" s="173"/>
      <c r="DZ456" s="173"/>
      <c r="EA456" s="665"/>
      <c r="EB456" s="1254" t="s">
        <v>84</v>
      </c>
      <c r="EC456" s="537">
        <v>0</v>
      </c>
      <c r="EE456" s="735">
        <v>1</v>
      </c>
      <c r="EF456" s="706"/>
    </row>
    <row r="457" spans="4:136" s="302" customFormat="1" ht="51" hidden="1">
      <c r="D457" s="520">
        <v>454</v>
      </c>
      <c r="E457" s="534">
        <v>525</v>
      </c>
      <c r="F457" s="479" t="s">
        <v>46</v>
      </c>
      <c r="G457" s="479" t="s">
        <v>27</v>
      </c>
      <c r="H457" s="479" t="s">
        <v>2677</v>
      </c>
      <c r="I457" s="435" t="s">
        <v>1074</v>
      </c>
      <c r="J457" s="335" t="s">
        <v>1086</v>
      </c>
      <c r="K457" s="335" t="s">
        <v>1087</v>
      </c>
      <c r="L457" s="407" t="s">
        <v>1</v>
      </c>
      <c r="M457" s="334" t="s">
        <v>1771</v>
      </c>
      <c r="N457" s="334">
        <v>0</v>
      </c>
      <c r="O457" s="333">
        <f t="shared" si="378"/>
        <v>1</v>
      </c>
      <c r="P457" s="332">
        <v>1</v>
      </c>
      <c r="Q457" s="390">
        <v>8.8999999999999996E-2</v>
      </c>
      <c r="R457" s="342">
        <f t="shared" si="381"/>
        <v>0</v>
      </c>
      <c r="S457" s="389">
        <v>0</v>
      </c>
      <c r="T457" s="337">
        <f t="shared" si="365"/>
        <v>0</v>
      </c>
      <c r="U457" s="670">
        <v>0</v>
      </c>
      <c r="V457" s="388">
        <f t="shared" si="366"/>
        <v>0</v>
      </c>
      <c r="W457" s="356">
        <f t="shared" si="367"/>
        <v>0</v>
      </c>
      <c r="X457" s="356">
        <f t="shared" si="382"/>
        <v>0</v>
      </c>
      <c r="Y457" s="356">
        <f t="shared" si="364"/>
        <v>0</v>
      </c>
      <c r="Z457" s="356">
        <f t="shared" si="383"/>
        <v>0</v>
      </c>
      <c r="AA457" s="355">
        <v>0</v>
      </c>
      <c r="AB457" s="355">
        <v>0</v>
      </c>
      <c r="AC457" s="355">
        <v>0</v>
      </c>
      <c r="AD457" s="355">
        <v>0</v>
      </c>
      <c r="AE457" s="355">
        <v>0</v>
      </c>
      <c r="AF457" s="355">
        <v>0</v>
      </c>
      <c r="AG457" s="355">
        <v>0</v>
      </c>
      <c r="AH457" s="355">
        <v>0</v>
      </c>
      <c r="AI457" s="355">
        <v>0</v>
      </c>
      <c r="AJ457" s="355">
        <v>0</v>
      </c>
      <c r="AK457" s="355">
        <v>0</v>
      </c>
      <c r="AL457" s="355">
        <v>0</v>
      </c>
      <c r="AM457" s="355">
        <v>0</v>
      </c>
      <c r="AN457" s="355">
        <v>0</v>
      </c>
      <c r="AO457" s="355">
        <v>0</v>
      </c>
      <c r="AP457" s="355">
        <v>0</v>
      </c>
      <c r="AQ457" s="355">
        <v>0</v>
      </c>
      <c r="AR457" s="355">
        <v>0</v>
      </c>
      <c r="AS457" s="355">
        <v>0</v>
      </c>
      <c r="AT457" s="333">
        <f t="shared" si="384"/>
        <v>1.78E-2</v>
      </c>
      <c r="AU457" s="334">
        <v>0.2</v>
      </c>
      <c r="AV457" s="387">
        <f t="shared" si="368"/>
        <v>0.2</v>
      </c>
      <c r="AW457" s="677">
        <v>0.93500000000000005</v>
      </c>
      <c r="AX457" s="366">
        <f t="shared" si="369"/>
        <v>0.93500000000000005</v>
      </c>
      <c r="AY457" s="366">
        <f t="shared" si="370"/>
        <v>467.5</v>
      </c>
      <c r="AZ457" s="366">
        <f t="shared" si="385"/>
        <v>100</v>
      </c>
      <c r="BA457" s="354">
        <f t="shared" si="386"/>
        <v>1.78E-2</v>
      </c>
      <c r="BB457" s="354">
        <f t="shared" si="387"/>
        <v>100</v>
      </c>
      <c r="BC457" s="353">
        <v>27000000</v>
      </c>
      <c r="BD457" s="353">
        <v>0</v>
      </c>
      <c r="BE457" s="353">
        <v>27000000</v>
      </c>
      <c r="BF457" s="353">
        <v>0</v>
      </c>
      <c r="BG457" s="353">
        <v>0</v>
      </c>
      <c r="BH457" s="353">
        <v>0</v>
      </c>
      <c r="BI457" s="353">
        <v>0</v>
      </c>
      <c r="BJ457" s="353">
        <v>0</v>
      </c>
      <c r="BK457" s="386">
        <v>92230000</v>
      </c>
      <c r="BL457" s="351">
        <v>92230000</v>
      </c>
      <c r="BM457" s="351">
        <v>0</v>
      </c>
      <c r="BN457" s="351">
        <v>0</v>
      </c>
      <c r="BO457" s="351">
        <v>0</v>
      </c>
      <c r="BP457" s="351">
        <v>0</v>
      </c>
      <c r="BQ457" s="351">
        <v>0</v>
      </c>
      <c r="BR457" s="351">
        <v>0</v>
      </c>
      <c r="BS457" s="351">
        <v>0</v>
      </c>
      <c r="BT457" s="351">
        <v>0</v>
      </c>
      <c r="BU457" s="351">
        <v>0</v>
      </c>
      <c r="BV457" s="350">
        <f t="shared" si="388"/>
        <v>3.56E-2</v>
      </c>
      <c r="BW457" s="350">
        <v>0.4</v>
      </c>
      <c r="BX457" s="385">
        <f t="shared" si="371"/>
        <v>0.4</v>
      </c>
      <c r="BY457" s="369">
        <v>0.09</v>
      </c>
      <c r="BZ457" s="391">
        <v>9.1999999999999998E-2</v>
      </c>
      <c r="CA457" s="699">
        <v>2.3E-2</v>
      </c>
      <c r="CB457" s="324">
        <f t="shared" si="372"/>
        <v>2.3E-2</v>
      </c>
      <c r="CC457" s="324">
        <f t="shared" si="373"/>
        <v>5.7499999999999991</v>
      </c>
      <c r="CD457" s="384">
        <f t="shared" si="389"/>
        <v>5.7499999999999991</v>
      </c>
      <c r="CE457" s="383">
        <f t="shared" si="390"/>
        <v>2.0469999999999998E-3</v>
      </c>
      <c r="CF457" s="367">
        <f t="shared" si="391"/>
        <v>5.7499999999999991</v>
      </c>
      <c r="CG457" s="383">
        <f t="shared" si="392"/>
        <v>2.0469999999999998E-3</v>
      </c>
      <c r="CH457" s="320">
        <f t="shared" si="393"/>
        <v>3.56E-2</v>
      </c>
      <c r="CI457" s="396">
        <v>0.4</v>
      </c>
      <c r="CJ457" s="318">
        <f t="shared" si="374"/>
        <v>0.4</v>
      </c>
      <c r="CK457" s="1261">
        <v>3.3</v>
      </c>
      <c r="CL457" s="301">
        <f t="shared" si="380"/>
        <v>-2.9</v>
      </c>
      <c r="CM457" s="381">
        <f t="shared" si="375"/>
        <v>3.3</v>
      </c>
      <c r="CN457" s="381">
        <f t="shared" si="376"/>
        <v>825</v>
      </c>
      <c r="CO457" s="316">
        <f t="shared" si="394"/>
        <v>100</v>
      </c>
      <c r="CP457" s="381">
        <f t="shared" si="395"/>
        <v>3.56E-2</v>
      </c>
      <c r="CQ457" s="381">
        <f t="shared" si="396"/>
        <v>0.29370000000000002</v>
      </c>
      <c r="CR457" s="313">
        <v>100000000</v>
      </c>
      <c r="CS457" s="313">
        <v>100000000</v>
      </c>
      <c r="CT457" s="313">
        <v>0</v>
      </c>
      <c r="CU457" s="313">
        <v>0</v>
      </c>
      <c r="CV457" s="313">
        <v>0</v>
      </c>
      <c r="CW457" s="313">
        <v>0</v>
      </c>
      <c r="CX457" s="313">
        <v>0</v>
      </c>
      <c r="CY457" s="313">
        <v>0</v>
      </c>
      <c r="CZ457" s="380">
        <v>0</v>
      </c>
      <c r="DA457" s="380">
        <v>0</v>
      </c>
      <c r="DB457" s="380">
        <v>0</v>
      </c>
      <c r="DC457" s="380">
        <v>0</v>
      </c>
      <c r="DD457" s="380">
        <v>0</v>
      </c>
      <c r="DE457" s="380">
        <v>0</v>
      </c>
      <c r="DF457" s="380">
        <v>0</v>
      </c>
      <c r="DG457" s="380">
        <v>0</v>
      </c>
      <c r="DH457" s="380">
        <v>0</v>
      </c>
      <c r="DI457" s="380">
        <v>0</v>
      </c>
      <c r="DJ457" s="380">
        <v>0</v>
      </c>
      <c r="DK457" s="704">
        <f t="shared" si="377"/>
        <v>4.258</v>
      </c>
      <c r="DL457" s="311">
        <f t="shared" si="397"/>
        <v>8.8999999999999996E-2</v>
      </c>
      <c r="DM457" s="310">
        <f t="shared" si="398"/>
        <v>425.8</v>
      </c>
      <c r="DN457" s="356">
        <f t="shared" si="399"/>
        <v>100</v>
      </c>
      <c r="DO457" s="308">
        <f t="shared" si="400"/>
        <v>8.900000000000001E-2</v>
      </c>
      <c r="DP457" s="359">
        <f t="shared" si="379"/>
        <v>8.8999999999999996E-2</v>
      </c>
      <c r="DQ457" s="306">
        <f t="shared" si="401"/>
        <v>8.8999999999999996E-2</v>
      </c>
      <c r="DR457" s="379">
        <f t="shared" si="402"/>
        <v>1</v>
      </c>
      <c r="DS457" s="378">
        <f t="shared" si="403"/>
        <v>0</v>
      </c>
      <c r="DT457" s="173">
        <v>614</v>
      </c>
      <c r="DU457" s="174" t="s">
        <v>95</v>
      </c>
      <c r="DV457" s="173"/>
      <c r="DW457" s="174" t="s">
        <v>84</v>
      </c>
      <c r="DX457" s="173"/>
      <c r="DY457" s="173"/>
      <c r="DZ457" s="173"/>
      <c r="EA457" s="665"/>
      <c r="EB457" s="1254" t="s">
        <v>84</v>
      </c>
      <c r="EC457" s="537">
        <v>0</v>
      </c>
      <c r="EE457" s="734">
        <v>10</v>
      </c>
      <c r="EF457" s="706"/>
    </row>
    <row r="458" spans="4:136" s="302" customFormat="1" ht="63.75" hidden="1">
      <c r="D458" s="520">
        <v>455</v>
      </c>
      <c r="E458" s="534">
        <v>526</v>
      </c>
      <c r="F458" s="336" t="s">
        <v>46</v>
      </c>
      <c r="G458" s="336" t="s">
        <v>27</v>
      </c>
      <c r="H458" s="336" t="s">
        <v>2677</v>
      </c>
      <c r="I458" s="336" t="s">
        <v>1074</v>
      </c>
      <c r="J458" s="335" t="s">
        <v>1306</v>
      </c>
      <c r="K458" s="335" t="s">
        <v>1088</v>
      </c>
      <c r="L458" s="407" t="s">
        <v>1827</v>
      </c>
      <c r="M458" s="334" t="s">
        <v>1771</v>
      </c>
      <c r="N458" s="337">
        <v>0</v>
      </c>
      <c r="O458" s="333">
        <f t="shared" si="378"/>
        <v>35</v>
      </c>
      <c r="P458" s="332">
        <v>35</v>
      </c>
      <c r="Q458" s="393">
        <v>8.8999999999999996E-2</v>
      </c>
      <c r="R458" s="419">
        <f t="shared" si="381"/>
        <v>5.0857142857142854E-3</v>
      </c>
      <c r="S458" s="389">
        <v>2</v>
      </c>
      <c r="T458" s="423">
        <f t="shared" si="365"/>
        <v>5.7142857142857141E-2</v>
      </c>
      <c r="U458" s="673">
        <v>2</v>
      </c>
      <c r="V458" s="388">
        <f t="shared" si="366"/>
        <v>2</v>
      </c>
      <c r="W458" s="356">
        <f t="shared" si="367"/>
        <v>100</v>
      </c>
      <c r="X458" s="356">
        <f t="shared" si="382"/>
        <v>100</v>
      </c>
      <c r="Y458" s="356">
        <f t="shared" si="364"/>
        <v>5.0857142857142854E-3</v>
      </c>
      <c r="Z458" s="356">
        <f t="shared" si="383"/>
        <v>100</v>
      </c>
      <c r="AA458" s="413">
        <v>11510000000</v>
      </c>
      <c r="AB458" s="413">
        <v>11510000000</v>
      </c>
      <c r="AC458" s="413">
        <v>0</v>
      </c>
      <c r="AD458" s="413">
        <v>0</v>
      </c>
      <c r="AE458" s="413">
        <v>0</v>
      </c>
      <c r="AF458" s="413">
        <v>0</v>
      </c>
      <c r="AG458" s="413">
        <v>0</v>
      </c>
      <c r="AH458" s="413">
        <v>0</v>
      </c>
      <c r="AI458" s="413">
        <v>4081266000</v>
      </c>
      <c r="AJ458" s="413">
        <v>4081266000</v>
      </c>
      <c r="AK458" s="413">
        <v>0</v>
      </c>
      <c r="AL458" s="413">
        <v>0</v>
      </c>
      <c r="AM458" s="413">
        <v>0</v>
      </c>
      <c r="AN458" s="413">
        <v>0</v>
      </c>
      <c r="AO458" s="413">
        <v>0</v>
      </c>
      <c r="AP458" s="413">
        <v>0</v>
      </c>
      <c r="AQ458" s="413">
        <v>0</v>
      </c>
      <c r="AR458" s="413">
        <v>0</v>
      </c>
      <c r="AS458" s="413">
        <v>0</v>
      </c>
      <c r="AT458" s="392">
        <f t="shared" si="384"/>
        <v>3.0514285714285713E-2</v>
      </c>
      <c r="AU458" s="334">
        <v>12</v>
      </c>
      <c r="AV458" s="387">
        <f t="shared" si="368"/>
        <v>0.34285714285714286</v>
      </c>
      <c r="AW458" s="677">
        <v>14</v>
      </c>
      <c r="AX458" s="366">
        <f t="shared" si="369"/>
        <v>14</v>
      </c>
      <c r="AY458" s="366">
        <f t="shared" si="370"/>
        <v>116.66666666666667</v>
      </c>
      <c r="AZ458" s="366">
        <f t="shared" si="385"/>
        <v>100</v>
      </c>
      <c r="BA458" s="354">
        <f t="shared" si="386"/>
        <v>3.0514285714285713E-2</v>
      </c>
      <c r="BB458" s="354">
        <f t="shared" si="387"/>
        <v>100</v>
      </c>
      <c r="BC458" s="353">
        <v>830000000</v>
      </c>
      <c r="BD458" s="353">
        <v>0</v>
      </c>
      <c r="BE458" s="353">
        <v>830000000</v>
      </c>
      <c r="BF458" s="353">
        <v>0</v>
      </c>
      <c r="BG458" s="353">
        <v>0</v>
      </c>
      <c r="BH458" s="353">
        <v>0</v>
      </c>
      <c r="BI458" s="353">
        <v>0</v>
      </c>
      <c r="BJ458" s="353">
        <v>0</v>
      </c>
      <c r="BK458" s="386">
        <v>9526071408</v>
      </c>
      <c r="BL458" s="351">
        <v>9526071408</v>
      </c>
      <c r="BM458" s="351">
        <v>0</v>
      </c>
      <c r="BN458" s="351">
        <v>0</v>
      </c>
      <c r="BO458" s="351">
        <v>0</v>
      </c>
      <c r="BP458" s="351">
        <v>0</v>
      </c>
      <c r="BQ458" s="351">
        <v>0</v>
      </c>
      <c r="BR458" s="351">
        <v>0</v>
      </c>
      <c r="BS458" s="351">
        <v>0</v>
      </c>
      <c r="BT458" s="351">
        <v>0</v>
      </c>
      <c r="BU458" s="351">
        <v>0</v>
      </c>
      <c r="BV458" s="350">
        <f t="shared" si="388"/>
        <v>3.0514285714285713E-2</v>
      </c>
      <c r="BW458" s="350">
        <v>12</v>
      </c>
      <c r="BX458" s="385">
        <f t="shared" si="371"/>
        <v>0.34285714285714286</v>
      </c>
      <c r="BY458" s="369">
        <v>3</v>
      </c>
      <c r="BZ458" s="391">
        <v>11</v>
      </c>
      <c r="CA458" s="689">
        <v>13</v>
      </c>
      <c r="CB458" s="324">
        <f t="shared" si="372"/>
        <v>13</v>
      </c>
      <c r="CC458" s="324">
        <f t="shared" si="373"/>
        <v>108.33333333333333</v>
      </c>
      <c r="CD458" s="384">
        <f t="shared" si="389"/>
        <v>100</v>
      </c>
      <c r="CE458" s="383">
        <f t="shared" si="390"/>
        <v>3.0514285714285713E-2</v>
      </c>
      <c r="CF458" s="367">
        <f t="shared" si="391"/>
        <v>100</v>
      </c>
      <c r="CG458" s="383">
        <f t="shared" si="392"/>
        <v>3.3057142857142854E-2</v>
      </c>
      <c r="CH458" s="320">
        <f t="shared" si="393"/>
        <v>2.2885714285714284E-2</v>
      </c>
      <c r="CI458" s="319">
        <v>9</v>
      </c>
      <c r="CJ458" s="318">
        <f t="shared" si="374"/>
        <v>0.25714285714285712</v>
      </c>
      <c r="CK458" s="1259">
        <v>5</v>
      </c>
      <c r="CL458" s="301">
        <f t="shared" si="380"/>
        <v>4</v>
      </c>
      <c r="CM458" s="381">
        <f t="shared" si="375"/>
        <v>5</v>
      </c>
      <c r="CN458" s="381">
        <f t="shared" si="376"/>
        <v>55.555555555555557</v>
      </c>
      <c r="CO458" s="316">
        <f t="shared" si="394"/>
        <v>55.555555555555557</v>
      </c>
      <c r="CP458" s="381">
        <f t="shared" si="395"/>
        <v>1.2714285714285713E-2</v>
      </c>
      <c r="CQ458" s="381">
        <f t="shared" si="396"/>
        <v>1.2714285714285713E-2</v>
      </c>
      <c r="CR458" s="313">
        <v>5500000000</v>
      </c>
      <c r="CS458" s="313">
        <v>5500000000</v>
      </c>
      <c r="CT458" s="313">
        <v>0</v>
      </c>
      <c r="CU458" s="313">
        <v>0</v>
      </c>
      <c r="CV458" s="313">
        <v>0</v>
      </c>
      <c r="CW458" s="313">
        <v>0</v>
      </c>
      <c r="CX458" s="313">
        <v>0</v>
      </c>
      <c r="CY458" s="313">
        <v>0</v>
      </c>
      <c r="CZ458" s="380">
        <v>0</v>
      </c>
      <c r="DA458" s="380">
        <v>0</v>
      </c>
      <c r="DB458" s="380">
        <v>0</v>
      </c>
      <c r="DC458" s="380">
        <v>0</v>
      </c>
      <c r="DD458" s="380">
        <v>0</v>
      </c>
      <c r="DE458" s="380">
        <v>0</v>
      </c>
      <c r="DF458" s="380">
        <v>0</v>
      </c>
      <c r="DG458" s="380">
        <v>0</v>
      </c>
      <c r="DH458" s="380">
        <v>0</v>
      </c>
      <c r="DI458" s="380">
        <v>0</v>
      </c>
      <c r="DJ458" s="380">
        <v>0</v>
      </c>
      <c r="DK458" s="702">
        <f t="shared" si="377"/>
        <v>34</v>
      </c>
      <c r="DL458" s="311">
        <f t="shared" si="397"/>
        <v>8.8999999999999996E-2</v>
      </c>
      <c r="DM458" s="310">
        <f t="shared" si="398"/>
        <v>97.142857142857139</v>
      </c>
      <c r="DN458" s="356">
        <f t="shared" si="399"/>
        <v>97.142857142857139</v>
      </c>
      <c r="DO458" s="308">
        <f t="shared" si="400"/>
        <v>8.6457142857142844E-2</v>
      </c>
      <c r="DP458" s="359">
        <f t="shared" si="379"/>
        <v>8.6457142857142844E-2</v>
      </c>
      <c r="DQ458" s="306">
        <f t="shared" si="401"/>
        <v>8.6457142857142844E-2</v>
      </c>
      <c r="DR458" s="379">
        <f t="shared" si="402"/>
        <v>1</v>
      </c>
      <c r="DS458" s="378">
        <f t="shared" si="403"/>
        <v>0</v>
      </c>
      <c r="DT458" s="173">
        <v>613</v>
      </c>
      <c r="DU458" s="174" t="s">
        <v>96</v>
      </c>
      <c r="DV458" s="173"/>
      <c r="DW458" s="174" t="s">
        <v>84</v>
      </c>
      <c r="DX458" s="173"/>
      <c r="DY458" s="173"/>
      <c r="DZ458" s="173"/>
      <c r="EA458" s="665"/>
      <c r="EB458" s="1254" t="s">
        <v>84</v>
      </c>
      <c r="EC458" s="537">
        <v>0</v>
      </c>
      <c r="EE458" s="734">
        <v>2</v>
      </c>
      <c r="EF458" s="706"/>
    </row>
    <row r="459" spans="4:136" s="302" customFormat="1" ht="204" hidden="1">
      <c r="D459" s="520">
        <v>456</v>
      </c>
      <c r="E459" s="534">
        <v>527</v>
      </c>
      <c r="F459" s="479" t="s">
        <v>46</v>
      </c>
      <c r="G459" s="479" t="s">
        <v>10</v>
      </c>
      <c r="H459" s="479" t="s">
        <v>2677</v>
      </c>
      <c r="I459" s="435" t="s">
        <v>1074</v>
      </c>
      <c r="J459" s="335" t="s">
        <v>1089</v>
      </c>
      <c r="K459" s="335" t="s">
        <v>1090</v>
      </c>
      <c r="L459" s="358" t="s">
        <v>1767</v>
      </c>
      <c r="M459" s="334" t="s">
        <v>1771</v>
      </c>
      <c r="N459" s="337">
        <v>0</v>
      </c>
      <c r="O459" s="333">
        <f t="shared" si="378"/>
        <v>8</v>
      </c>
      <c r="P459" s="422">
        <v>8</v>
      </c>
      <c r="Q459" s="390">
        <v>0.25</v>
      </c>
      <c r="R459" s="342">
        <f t="shared" si="381"/>
        <v>3.125E-2</v>
      </c>
      <c r="S459" s="417">
        <v>1</v>
      </c>
      <c r="T459" s="337">
        <f t="shared" si="365"/>
        <v>0.125</v>
      </c>
      <c r="U459" s="673">
        <v>0</v>
      </c>
      <c r="V459" s="388">
        <f t="shared" si="366"/>
        <v>0</v>
      </c>
      <c r="W459" s="356">
        <f t="shared" si="367"/>
        <v>0</v>
      </c>
      <c r="X459" s="356">
        <f t="shared" si="382"/>
        <v>0</v>
      </c>
      <c r="Y459" s="356">
        <f t="shared" si="364"/>
        <v>0</v>
      </c>
      <c r="Z459" s="356">
        <f t="shared" si="383"/>
        <v>0</v>
      </c>
      <c r="AA459" s="413">
        <v>0</v>
      </c>
      <c r="AB459" s="413">
        <v>0</v>
      </c>
      <c r="AC459" s="413">
        <v>0</v>
      </c>
      <c r="AD459" s="413">
        <v>0</v>
      </c>
      <c r="AE459" s="413">
        <v>0</v>
      </c>
      <c r="AF459" s="413">
        <v>0</v>
      </c>
      <c r="AG459" s="413">
        <v>0</v>
      </c>
      <c r="AH459" s="413">
        <v>0</v>
      </c>
      <c r="AI459" s="413">
        <v>26220170000</v>
      </c>
      <c r="AJ459" s="413">
        <v>22028449000</v>
      </c>
      <c r="AK459" s="413">
        <v>0</v>
      </c>
      <c r="AL459" s="413">
        <v>0</v>
      </c>
      <c r="AM459" s="413">
        <v>0</v>
      </c>
      <c r="AN459" s="413">
        <v>0</v>
      </c>
      <c r="AO459" s="413">
        <v>0</v>
      </c>
      <c r="AP459" s="413">
        <v>4191721000</v>
      </c>
      <c r="AQ459" s="413">
        <v>0</v>
      </c>
      <c r="AR459" s="413">
        <v>0</v>
      </c>
      <c r="AS459" s="413">
        <v>0</v>
      </c>
      <c r="AT459" s="333">
        <f t="shared" si="384"/>
        <v>9.375E-2</v>
      </c>
      <c r="AU459" s="334">
        <v>3</v>
      </c>
      <c r="AV459" s="387">
        <f t="shared" si="368"/>
        <v>0.375</v>
      </c>
      <c r="AW459" s="677">
        <v>6</v>
      </c>
      <c r="AX459" s="366">
        <f t="shared" si="369"/>
        <v>6</v>
      </c>
      <c r="AY459" s="366">
        <f t="shared" si="370"/>
        <v>200</v>
      </c>
      <c r="AZ459" s="366">
        <f t="shared" si="385"/>
        <v>100</v>
      </c>
      <c r="BA459" s="354">
        <f t="shared" si="386"/>
        <v>9.375E-2</v>
      </c>
      <c r="BB459" s="354">
        <f t="shared" si="387"/>
        <v>100</v>
      </c>
      <c r="BC459" s="353">
        <v>34083000000</v>
      </c>
      <c r="BD459" s="353">
        <v>5200000000</v>
      </c>
      <c r="BE459" s="353">
        <v>28883000</v>
      </c>
      <c r="BF459" s="353">
        <v>0</v>
      </c>
      <c r="BG459" s="353">
        <v>0</v>
      </c>
      <c r="BH459" s="353">
        <v>0</v>
      </c>
      <c r="BI459" s="353">
        <v>0</v>
      </c>
      <c r="BJ459" s="353">
        <v>0</v>
      </c>
      <c r="BK459" s="386">
        <v>107388947018</v>
      </c>
      <c r="BL459" s="351">
        <v>107388947018</v>
      </c>
      <c r="BM459" s="351">
        <v>0</v>
      </c>
      <c r="BN459" s="351">
        <v>0</v>
      </c>
      <c r="BO459" s="351">
        <v>0</v>
      </c>
      <c r="BP459" s="351">
        <v>0</v>
      </c>
      <c r="BQ459" s="351">
        <v>0</v>
      </c>
      <c r="BR459" s="351">
        <v>0</v>
      </c>
      <c r="BS459" s="351">
        <v>0</v>
      </c>
      <c r="BT459" s="351">
        <v>0</v>
      </c>
      <c r="BU459" s="351">
        <v>0</v>
      </c>
      <c r="BV459" s="350">
        <f t="shared" si="388"/>
        <v>9.375E-2</v>
      </c>
      <c r="BW459" s="350">
        <v>3</v>
      </c>
      <c r="BX459" s="385">
        <f t="shared" si="371"/>
        <v>0.375</v>
      </c>
      <c r="BY459" s="369">
        <v>0</v>
      </c>
      <c r="BZ459" s="391">
        <v>3</v>
      </c>
      <c r="CA459" s="689">
        <v>10</v>
      </c>
      <c r="CB459" s="324">
        <f t="shared" si="372"/>
        <v>10</v>
      </c>
      <c r="CC459" s="324">
        <f t="shared" si="373"/>
        <v>333.33333333333331</v>
      </c>
      <c r="CD459" s="384">
        <f t="shared" si="389"/>
        <v>100</v>
      </c>
      <c r="CE459" s="383">
        <f t="shared" si="390"/>
        <v>9.375E-2</v>
      </c>
      <c r="CF459" s="367">
        <f t="shared" si="391"/>
        <v>100</v>
      </c>
      <c r="CG459" s="383">
        <f t="shared" si="392"/>
        <v>0.3125</v>
      </c>
      <c r="CH459" s="320">
        <f t="shared" si="393"/>
        <v>3.125E-2</v>
      </c>
      <c r="CI459" s="319">
        <v>1</v>
      </c>
      <c r="CJ459" s="318">
        <f t="shared" si="374"/>
        <v>0.125</v>
      </c>
      <c r="CK459" s="1259">
        <v>4</v>
      </c>
      <c r="CL459" s="301">
        <f t="shared" si="380"/>
        <v>-3</v>
      </c>
      <c r="CM459" s="381">
        <f t="shared" si="375"/>
        <v>4</v>
      </c>
      <c r="CN459" s="381">
        <f t="shared" si="376"/>
        <v>400</v>
      </c>
      <c r="CO459" s="316">
        <f t="shared" si="394"/>
        <v>100</v>
      </c>
      <c r="CP459" s="381">
        <f t="shared" si="395"/>
        <v>3.125E-2</v>
      </c>
      <c r="CQ459" s="381">
        <f t="shared" si="396"/>
        <v>0.125</v>
      </c>
      <c r="CR459" s="313">
        <v>64677000000</v>
      </c>
      <c r="CS459" s="313">
        <v>59477000</v>
      </c>
      <c r="CT459" s="313">
        <v>5200000000</v>
      </c>
      <c r="CU459" s="313">
        <v>0</v>
      </c>
      <c r="CV459" s="313">
        <v>0</v>
      </c>
      <c r="CW459" s="313">
        <v>0</v>
      </c>
      <c r="CX459" s="313">
        <v>0</v>
      </c>
      <c r="CY459" s="313">
        <v>0</v>
      </c>
      <c r="CZ459" s="380">
        <v>0</v>
      </c>
      <c r="DA459" s="380">
        <v>0</v>
      </c>
      <c r="DB459" s="380">
        <v>0</v>
      </c>
      <c r="DC459" s="380">
        <v>0</v>
      </c>
      <c r="DD459" s="380">
        <v>0</v>
      </c>
      <c r="DE459" s="380">
        <v>0</v>
      </c>
      <c r="DF459" s="380">
        <v>0</v>
      </c>
      <c r="DG459" s="380">
        <v>0</v>
      </c>
      <c r="DH459" s="380">
        <v>0</v>
      </c>
      <c r="DI459" s="380">
        <v>0</v>
      </c>
      <c r="DJ459" s="380">
        <v>0</v>
      </c>
      <c r="DK459" s="702">
        <f t="shared" si="377"/>
        <v>20</v>
      </c>
      <c r="DL459" s="311">
        <f t="shared" si="397"/>
        <v>0.25</v>
      </c>
      <c r="DM459" s="310">
        <f t="shared" si="398"/>
        <v>250</v>
      </c>
      <c r="DN459" s="356">
        <f t="shared" si="399"/>
        <v>100</v>
      </c>
      <c r="DO459" s="308">
        <f t="shared" si="400"/>
        <v>0.25</v>
      </c>
      <c r="DP459" s="359">
        <f t="shared" si="379"/>
        <v>0.25</v>
      </c>
      <c r="DQ459" s="306">
        <f t="shared" si="401"/>
        <v>0.25</v>
      </c>
      <c r="DR459" s="379">
        <f t="shared" si="402"/>
        <v>1</v>
      </c>
      <c r="DS459" s="378">
        <f t="shared" si="403"/>
        <v>0</v>
      </c>
      <c r="DT459" s="173">
        <v>612</v>
      </c>
      <c r="DU459" s="174" t="s">
        <v>97</v>
      </c>
      <c r="DV459" s="173"/>
      <c r="DW459" s="174" t="s">
        <v>84</v>
      </c>
      <c r="DX459" s="173"/>
      <c r="DY459" s="173"/>
      <c r="DZ459" s="173"/>
      <c r="EA459" s="665"/>
      <c r="EB459" s="1254" t="s">
        <v>2353</v>
      </c>
      <c r="EC459" s="537">
        <v>0</v>
      </c>
      <c r="EE459" s="734">
        <v>2</v>
      </c>
      <c r="EF459" s="706"/>
    </row>
    <row r="460" spans="4:136" s="302" customFormat="1" ht="293.25" hidden="1">
      <c r="D460" s="520">
        <v>457</v>
      </c>
      <c r="E460" s="534">
        <v>528</v>
      </c>
      <c r="F460" s="479" t="s">
        <v>46</v>
      </c>
      <c r="G460" s="479" t="s">
        <v>10</v>
      </c>
      <c r="H460" s="479" t="s">
        <v>2677</v>
      </c>
      <c r="I460" s="435" t="s">
        <v>1074</v>
      </c>
      <c r="J460" s="335" t="s">
        <v>1091</v>
      </c>
      <c r="K460" s="335" t="s">
        <v>1092</v>
      </c>
      <c r="L460" s="358" t="s">
        <v>1404</v>
      </c>
      <c r="M460" s="334" t="s">
        <v>1771</v>
      </c>
      <c r="N460" s="337">
        <v>62</v>
      </c>
      <c r="O460" s="332">
        <v>100</v>
      </c>
      <c r="P460" s="422">
        <v>38</v>
      </c>
      <c r="Q460" s="390">
        <v>0.16500000000000001</v>
      </c>
      <c r="R460" s="342">
        <f t="shared" si="381"/>
        <v>2.1710526315789472E-2</v>
      </c>
      <c r="S460" s="417">
        <v>5</v>
      </c>
      <c r="T460" s="402">
        <f t="shared" si="365"/>
        <v>0.13157894736842105</v>
      </c>
      <c r="U460" s="673">
        <v>10</v>
      </c>
      <c r="V460" s="388">
        <f t="shared" si="366"/>
        <v>10</v>
      </c>
      <c r="W460" s="356">
        <f t="shared" si="367"/>
        <v>200</v>
      </c>
      <c r="X460" s="356">
        <f t="shared" si="382"/>
        <v>100</v>
      </c>
      <c r="Y460" s="356">
        <f t="shared" si="364"/>
        <v>2.1710526315789472E-2</v>
      </c>
      <c r="Z460" s="356">
        <f t="shared" si="383"/>
        <v>100</v>
      </c>
      <c r="AA460" s="413">
        <v>7401000000</v>
      </c>
      <c r="AB460" s="413">
        <v>7401000000</v>
      </c>
      <c r="AC460" s="413">
        <v>0</v>
      </c>
      <c r="AD460" s="413">
        <v>0</v>
      </c>
      <c r="AE460" s="413">
        <v>0</v>
      </c>
      <c r="AF460" s="413">
        <v>0</v>
      </c>
      <c r="AG460" s="413">
        <v>0</v>
      </c>
      <c r="AH460" s="413">
        <v>0</v>
      </c>
      <c r="AI460" s="413">
        <v>8787449000</v>
      </c>
      <c r="AJ460" s="413">
        <v>8787449000</v>
      </c>
      <c r="AK460" s="413">
        <v>0</v>
      </c>
      <c r="AL460" s="413">
        <v>0</v>
      </c>
      <c r="AM460" s="413">
        <v>0</v>
      </c>
      <c r="AN460" s="413">
        <v>0</v>
      </c>
      <c r="AO460" s="413">
        <v>0</v>
      </c>
      <c r="AP460" s="413">
        <v>0</v>
      </c>
      <c r="AQ460" s="413">
        <v>0</v>
      </c>
      <c r="AR460" s="413">
        <v>0</v>
      </c>
      <c r="AS460" s="413">
        <v>0</v>
      </c>
      <c r="AT460" s="333">
        <f t="shared" si="384"/>
        <v>4.3421052631578944E-2</v>
      </c>
      <c r="AU460" s="334">
        <v>10</v>
      </c>
      <c r="AV460" s="387">
        <f t="shared" si="368"/>
        <v>0.26315789473684209</v>
      </c>
      <c r="AW460" s="677">
        <v>8.1999999999999993</v>
      </c>
      <c r="AX460" s="366">
        <f t="shared" si="369"/>
        <v>8.1999999999999993</v>
      </c>
      <c r="AY460" s="366">
        <f t="shared" si="370"/>
        <v>81.999999999999986</v>
      </c>
      <c r="AZ460" s="366">
        <f t="shared" si="385"/>
        <v>81.999999999999986</v>
      </c>
      <c r="BA460" s="354">
        <f t="shared" si="386"/>
        <v>3.5605263157894723E-2</v>
      </c>
      <c r="BB460" s="354">
        <f t="shared" si="387"/>
        <v>81.999999999999986</v>
      </c>
      <c r="BC460" s="353">
        <v>15196000000</v>
      </c>
      <c r="BD460" s="353">
        <v>14026000</v>
      </c>
      <c r="BE460" s="353">
        <v>1170000000</v>
      </c>
      <c r="BF460" s="353">
        <v>0</v>
      </c>
      <c r="BG460" s="353">
        <v>0</v>
      </c>
      <c r="BH460" s="353">
        <v>0</v>
      </c>
      <c r="BI460" s="353">
        <v>0</v>
      </c>
      <c r="BJ460" s="353">
        <v>0</v>
      </c>
      <c r="BK460" s="386">
        <v>22735703320</v>
      </c>
      <c r="BL460" s="351">
        <v>22735703320</v>
      </c>
      <c r="BM460" s="351">
        <v>0</v>
      </c>
      <c r="BN460" s="351">
        <v>0</v>
      </c>
      <c r="BO460" s="351">
        <v>0</v>
      </c>
      <c r="BP460" s="351">
        <v>0</v>
      </c>
      <c r="BQ460" s="351">
        <v>0</v>
      </c>
      <c r="BR460" s="351">
        <v>0</v>
      </c>
      <c r="BS460" s="351">
        <v>0</v>
      </c>
      <c r="BT460" s="351">
        <v>0</v>
      </c>
      <c r="BU460" s="351">
        <v>0</v>
      </c>
      <c r="BV460" s="350">
        <f t="shared" si="388"/>
        <v>6.5131578947368429E-2</v>
      </c>
      <c r="BW460" s="350">
        <v>15</v>
      </c>
      <c r="BX460" s="385">
        <f t="shared" si="371"/>
        <v>0.39473684210526316</v>
      </c>
      <c r="BY460" s="369">
        <v>5</v>
      </c>
      <c r="BZ460" s="391">
        <v>10</v>
      </c>
      <c r="CA460" s="689">
        <v>12.449999809265137</v>
      </c>
      <c r="CB460" s="324">
        <f t="shared" si="372"/>
        <v>12.449999809265137</v>
      </c>
      <c r="CC460" s="324">
        <f t="shared" si="373"/>
        <v>82.99999872843425</v>
      </c>
      <c r="CD460" s="384">
        <f t="shared" si="389"/>
        <v>82.99999872843425</v>
      </c>
      <c r="CE460" s="383">
        <f t="shared" si="390"/>
        <v>5.4059209698124944E-2</v>
      </c>
      <c r="CF460" s="367">
        <f t="shared" si="391"/>
        <v>82.99999872843425</v>
      </c>
      <c r="CG460" s="383">
        <f t="shared" si="392"/>
        <v>5.4059209698124944E-2</v>
      </c>
      <c r="CH460" s="320">
        <f t="shared" si="393"/>
        <v>3.4736842105263156E-2</v>
      </c>
      <c r="CI460" s="319">
        <v>8</v>
      </c>
      <c r="CJ460" s="318">
        <f t="shared" si="374"/>
        <v>0.21052631578947367</v>
      </c>
      <c r="CK460" s="1259">
        <v>6</v>
      </c>
      <c r="CL460" s="301">
        <f t="shared" si="380"/>
        <v>2</v>
      </c>
      <c r="CM460" s="381">
        <f t="shared" si="375"/>
        <v>6</v>
      </c>
      <c r="CN460" s="381">
        <f t="shared" si="376"/>
        <v>75</v>
      </c>
      <c r="CO460" s="316">
        <f t="shared" si="394"/>
        <v>75</v>
      </c>
      <c r="CP460" s="381">
        <f t="shared" si="395"/>
        <v>2.6052631578947369E-2</v>
      </c>
      <c r="CQ460" s="381">
        <f t="shared" si="396"/>
        <v>2.6052631578947369E-2</v>
      </c>
      <c r="CR460" s="313">
        <v>17464000000</v>
      </c>
      <c r="CS460" s="313">
        <v>2700000000</v>
      </c>
      <c r="CT460" s="313">
        <v>14764000</v>
      </c>
      <c r="CU460" s="313">
        <v>0</v>
      </c>
      <c r="CV460" s="313">
        <v>0</v>
      </c>
      <c r="CW460" s="313">
        <v>0</v>
      </c>
      <c r="CX460" s="313">
        <v>0</v>
      </c>
      <c r="CY460" s="313">
        <v>0</v>
      </c>
      <c r="CZ460" s="380">
        <v>0</v>
      </c>
      <c r="DA460" s="380">
        <v>0</v>
      </c>
      <c r="DB460" s="380">
        <v>0</v>
      </c>
      <c r="DC460" s="380">
        <v>0</v>
      </c>
      <c r="DD460" s="380">
        <v>0</v>
      </c>
      <c r="DE460" s="380">
        <v>0</v>
      </c>
      <c r="DF460" s="380">
        <v>0</v>
      </c>
      <c r="DG460" s="380">
        <v>0</v>
      </c>
      <c r="DH460" s="380">
        <v>0</v>
      </c>
      <c r="DI460" s="380">
        <v>0</v>
      </c>
      <c r="DJ460" s="380">
        <v>0</v>
      </c>
      <c r="DK460" s="702">
        <f t="shared" si="377"/>
        <v>36.64999980926514</v>
      </c>
      <c r="DL460" s="311">
        <f t="shared" si="397"/>
        <v>0.16500000000000001</v>
      </c>
      <c r="DM460" s="310">
        <f t="shared" si="398"/>
        <v>96.44736791911879</v>
      </c>
      <c r="DN460" s="356">
        <f t="shared" si="399"/>
        <v>96.44736791911879</v>
      </c>
      <c r="DO460" s="308">
        <f t="shared" si="400"/>
        <v>0.15913815706654602</v>
      </c>
      <c r="DP460" s="359">
        <f t="shared" si="379"/>
        <v>0.15913815706654602</v>
      </c>
      <c r="DQ460" s="306">
        <f t="shared" si="401"/>
        <v>0.15913815706654602</v>
      </c>
      <c r="DR460" s="379">
        <f t="shared" si="402"/>
        <v>1</v>
      </c>
      <c r="DS460" s="378">
        <f t="shared" si="403"/>
        <v>0</v>
      </c>
      <c r="DT460" s="173">
        <v>612</v>
      </c>
      <c r="DU460" s="174" t="s">
        <v>97</v>
      </c>
      <c r="DV460" s="173"/>
      <c r="DW460" s="174" t="s">
        <v>84</v>
      </c>
      <c r="DX460" s="173"/>
      <c r="DY460" s="173"/>
      <c r="DZ460" s="173"/>
      <c r="EA460" s="665"/>
      <c r="EB460" s="1254" t="s">
        <v>2367</v>
      </c>
      <c r="EC460" s="537">
        <v>0</v>
      </c>
      <c r="EE460" s="745">
        <v>20</v>
      </c>
      <c r="EF460" s="706"/>
    </row>
    <row r="461" spans="4:136" s="302" customFormat="1" ht="76.5" hidden="1">
      <c r="D461" s="520">
        <v>458</v>
      </c>
      <c r="E461" s="534">
        <v>529</v>
      </c>
      <c r="F461" s="479" t="s">
        <v>46</v>
      </c>
      <c r="G461" s="479" t="s">
        <v>10</v>
      </c>
      <c r="H461" s="479" t="s">
        <v>2677</v>
      </c>
      <c r="I461" s="435" t="s">
        <v>1074</v>
      </c>
      <c r="J461" s="335" t="s">
        <v>1093</v>
      </c>
      <c r="K461" s="335" t="s">
        <v>1094</v>
      </c>
      <c r="L461" s="407" t="s">
        <v>1540</v>
      </c>
      <c r="M461" s="334" t="s">
        <v>1771</v>
      </c>
      <c r="N461" s="337">
        <v>0</v>
      </c>
      <c r="O461" s="333">
        <f>+N461+P461</f>
        <v>100</v>
      </c>
      <c r="P461" s="422">
        <v>100</v>
      </c>
      <c r="Q461" s="390">
        <v>0.16500000000000001</v>
      </c>
      <c r="R461" s="342">
        <f t="shared" si="381"/>
        <v>2.4750000000000001E-2</v>
      </c>
      <c r="S461" s="417">
        <v>15</v>
      </c>
      <c r="T461" s="337">
        <f t="shared" si="365"/>
        <v>0.15</v>
      </c>
      <c r="U461" s="673">
        <v>14.8</v>
      </c>
      <c r="V461" s="388">
        <f t="shared" si="366"/>
        <v>14.8</v>
      </c>
      <c r="W461" s="356">
        <f t="shared" si="367"/>
        <v>98.666666666666671</v>
      </c>
      <c r="X461" s="356">
        <f t="shared" si="382"/>
        <v>98.666666666666671</v>
      </c>
      <c r="Y461" s="356">
        <f t="shared" si="364"/>
        <v>2.4420000000000001E-2</v>
      </c>
      <c r="Z461" s="356">
        <f t="shared" si="383"/>
        <v>98.666666666666671</v>
      </c>
      <c r="AA461" s="413">
        <v>4056000000</v>
      </c>
      <c r="AB461" s="413">
        <v>1085000000</v>
      </c>
      <c r="AC461" s="413">
        <v>2971000000</v>
      </c>
      <c r="AD461" s="413">
        <v>0</v>
      </c>
      <c r="AE461" s="413">
        <v>0</v>
      </c>
      <c r="AF461" s="413">
        <v>0</v>
      </c>
      <c r="AG461" s="413">
        <v>0</v>
      </c>
      <c r="AH461" s="413">
        <v>0</v>
      </c>
      <c r="AI461" s="413">
        <v>1233556000</v>
      </c>
      <c r="AJ461" s="413">
        <v>1233556000</v>
      </c>
      <c r="AK461" s="413">
        <v>0</v>
      </c>
      <c r="AL461" s="413">
        <v>0</v>
      </c>
      <c r="AM461" s="413">
        <v>0</v>
      </c>
      <c r="AN461" s="413">
        <v>0</v>
      </c>
      <c r="AO461" s="413">
        <v>0</v>
      </c>
      <c r="AP461" s="413">
        <v>0</v>
      </c>
      <c r="AQ461" s="413">
        <v>0</v>
      </c>
      <c r="AR461" s="413">
        <v>0</v>
      </c>
      <c r="AS461" s="413">
        <v>0</v>
      </c>
      <c r="AT461" s="333">
        <f t="shared" si="384"/>
        <v>4.9500000000000002E-2</v>
      </c>
      <c r="AU461" s="334">
        <v>30</v>
      </c>
      <c r="AV461" s="387">
        <f t="shared" si="368"/>
        <v>0.3</v>
      </c>
      <c r="AW461" s="677">
        <v>27.6</v>
      </c>
      <c r="AX461" s="366">
        <f t="shared" si="369"/>
        <v>27.6</v>
      </c>
      <c r="AY461" s="366">
        <f t="shared" si="370"/>
        <v>92</v>
      </c>
      <c r="AZ461" s="366">
        <f t="shared" si="385"/>
        <v>92</v>
      </c>
      <c r="BA461" s="354">
        <f t="shared" si="386"/>
        <v>4.5540000000000004E-2</v>
      </c>
      <c r="BB461" s="354">
        <f t="shared" si="387"/>
        <v>92</v>
      </c>
      <c r="BC461" s="353">
        <v>4683000000</v>
      </c>
      <c r="BD461" s="353">
        <v>2806000000</v>
      </c>
      <c r="BE461" s="353">
        <v>1877000000</v>
      </c>
      <c r="BF461" s="353">
        <v>0</v>
      </c>
      <c r="BG461" s="353">
        <v>0</v>
      </c>
      <c r="BH461" s="353">
        <v>0</v>
      </c>
      <c r="BI461" s="353">
        <v>0</v>
      </c>
      <c r="BJ461" s="353">
        <v>0</v>
      </c>
      <c r="BK461" s="386">
        <v>4310998020</v>
      </c>
      <c r="BL461" s="351">
        <v>1976675110</v>
      </c>
      <c r="BM461" s="351">
        <v>2036027250</v>
      </c>
      <c r="BN461" s="351">
        <v>298295660</v>
      </c>
      <c r="BO461" s="351">
        <v>0</v>
      </c>
      <c r="BP461" s="351">
        <v>0</v>
      </c>
      <c r="BQ461" s="351">
        <v>0</v>
      </c>
      <c r="BR461" s="351">
        <v>0</v>
      </c>
      <c r="BS461" s="351">
        <v>0</v>
      </c>
      <c r="BT461" s="351">
        <v>0</v>
      </c>
      <c r="BU461" s="351">
        <v>0</v>
      </c>
      <c r="BV461" s="350">
        <f t="shared" si="388"/>
        <v>5.7749999999999996E-2</v>
      </c>
      <c r="BW461" s="350">
        <v>35</v>
      </c>
      <c r="BX461" s="385">
        <f t="shared" si="371"/>
        <v>0.35</v>
      </c>
      <c r="BY461" s="369">
        <v>28</v>
      </c>
      <c r="BZ461" s="391">
        <v>29</v>
      </c>
      <c r="CA461" s="689">
        <v>35</v>
      </c>
      <c r="CB461" s="324">
        <f t="shared" si="372"/>
        <v>35</v>
      </c>
      <c r="CC461" s="324">
        <f t="shared" si="373"/>
        <v>100</v>
      </c>
      <c r="CD461" s="384">
        <f t="shared" si="389"/>
        <v>100</v>
      </c>
      <c r="CE461" s="383">
        <f t="shared" si="390"/>
        <v>5.7749999999999996E-2</v>
      </c>
      <c r="CF461" s="367">
        <f t="shared" si="391"/>
        <v>100</v>
      </c>
      <c r="CG461" s="383">
        <f t="shared" si="392"/>
        <v>5.7749999999999996E-2</v>
      </c>
      <c r="CH461" s="320">
        <f t="shared" si="393"/>
        <v>3.3000000000000002E-2</v>
      </c>
      <c r="CI461" s="319">
        <v>20</v>
      </c>
      <c r="CJ461" s="318">
        <f t="shared" si="374"/>
        <v>0.2</v>
      </c>
      <c r="CK461" s="1259">
        <v>20</v>
      </c>
      <c r="CL461" s="301">
        <f t="shared" si="380"/>
        <v>0</v>
      </c>
      <c r="CM461" s="381">
        <f t="shared" si="375"/>
        <v>20</v>
      </c>
      <c r="CN461" s="381">
        <f t="shared" si="376"/>
        <v>100</v>
      </c>
      <c r="CO461" s="316">
        <f t="shared" si="394"/>
        <v>100</v>
      </c>
      <c r="CP461" s="381">
        <f t="shared" si="395"/>
        <v>3.3000000000000002E-2</v>
      </c>
      <c r="CQ461" s="381">
        <f t="shared" si="396"/>
        <v>3.3000000000000002E-2</v>
      </c>
      <c r="CR461" s="313">
        <v>7138000000</v>
      </c>
      <c r="CS461" s="313">
        <v>4332000000</v>
      </c>
      <c r="CT461" s="313">
        <v>2806000000</v>
      </c>
      <c r="CU461" s="313">
        <v>0</v>
      </c>
      <c r="CV461" s="313">
        <v>0</v>
      </c>
      <c r="CW461" s="313">
        <v>0</v>
      </c>
      <c r="CX461" s="313">
        <v>0</v>
      </c>
      <c r="CY461" s="313">
        <v>0</v>
      </c>
      <c r="CZ461" s="380">
        <v>0</v>
      </c>
      <c r="DA461" s="380">
        <v>0</v>
      </c>
      <c r="DB461" s="380">
        <v>0</v>
      </c>
      <c r="DC461" s="380">
        <v>0</v>
      </c>
      <c r="DD461" s="380">
        <v>0</v>
      </c>
      <c r="DE461" s="380">
        <v>0</v>
      </c>
      <c r="DF461" s="380">
        <v>0</v>
      </c>
      <c r="DG461" s="380">
        <v>0</v>
      </c>
      <c r="DH461" s="380">
        <v>0</v>
      </c>
      <c r="DI461" s="380">
        <v>0</v>
      </c>
      <c r="DJ461" s="380">
        <v>0</v>
      </c>
      <c r="DK461" s="702">
        <f t="shared" si="377"/>
        <v>97.4</v>
      </c>
      <c r="DL461" s="311">
        <f t="shared" si="397"/>
        <v>0.16500000000000001</v>
      </c>
      <c r="DM461" s="310">
        <f t="shared" si="398"/>
        <v>97.4</v>
      </c>
      <c r="DN461" s="356">
        <f t="shared" si="399"/>
        <v>97.4</v>
      </c>
      <c r="DO461" s="308">
        <f t="shared" si="400"/>
        <v>0.16071000000000002</v>
      </c>
      <c r="DP461" s="359">
        <f t="shared" si="379"/>
        <v>0.16071000000000002</v>
      </c>
      <c r="DQ461" s="306">
        <f t="shared" si="401"/>
        <v>0.16071000000000002</v>
      </c>
      <c r="DR461" s="379">
        <f t="shared" si="402"/>
        <v>1</v>
      </c>
      <c r="DS461" s="378">
        <f t="shared" si="403"/>
        <v>0</v>
      </c>
      <c r="DT461" s="173">
        <v>612</v>
      </c>
      <c r="DU461" s="174" t="s">
        <v>97</v>
      </c>
      <c r="DV461" s="173"/>
      <c r="DW461" s="174" t="s">
        <v>84</v>
      </c>
      <c r="DX461" s="173"/>
      <c r="DY461" s="173"/>
      <c r="DZ461" s="173"/>
      <c r="EA461" s="665"/>
      <c r="EB461" s="1254" t="s">
        <v>84</v>
      </c>
      <c r="EC461" s="537">
        <v>0</v>
      </c>
      <c r="EE461" s="733">
        <v>25</v>
      </c>
      <c r="EF461" s="706"/>
    </row>
    <row r="462" spans="4:136" s="302" customFormat="1" ht="306" hidden="1">
      <c r="D462" s="520">
        <v>459</v>
      </c>
      <c r="E462" s="534">
        <v>530</v>
      </c>
      <c r="F462" s="479" t="s">
        <v>46</v>
      </c>
      <c r="G462" s="479" t="s">
        <v>26</v>
      </c>
      <c r="H462" s="479" t="s">
        <v>2677</v>
      </c>
      <c r="I462" s="435" t="s">
        <v>1095</v>
      </c>
      <c r="J462" s="335" t="s">
        <v>1096</v>
      </c>
      <c r="K462" s="335" t="s">
        <v>1097</v>
      </c>
      <c r="L462" s="407" t="s">
        <v>1540</v>
      </c>
      <c r="M462" s="334" t="s">
        <v>1771</v>
      </c>
      <c r="N462" s="337">
        <v>0</v>
      </c>
      <c r="O462" s="333">
        <f>+N462+P462</f>
        <v>40</v>
      </c>
      <c r="P462" s="422">
        <v>40</v>
      </c>
      <c r="Q462" s="390">
        <v>0.16500000000000001</v>
      </c>
      <c r="R462" s="342">
        <f t="shared" si="381"/>
        <v>2.0625000000000001E-2</v>
      </c>
      <c r="S462" s="417">
        <v>5</v>
      </c>
      <c r="T462" s="337">
        <f t="shared" si="365"/>
        <v>0.125</v>
      </c>
      <c r="U462" s="673">
        <v>40</v>
      </c>
      <c r="V462" s="388" t="s">
        <v>1770</v>
      </c>
      <c r="W462" s="356">
        <f t="shared" si="367"/>
        <v>800</v>
      </c>
      <c r="X462" s="356">
        <f t="shared" si="382"/>
        <v>100</v>
      </c>
      <c r="Y462" s="356">
        <f t="shared" si="364"/>
        <v>2.0625000000000001E-2</v>
      </c>
      <c r="Z462" s="356">
        <f t="shared" si="383"/>
        <v>100</v>
      </c>
      <c r="AA462" s="413">
        <v>110000000</v>
      </c>
      <c r="AB462" s="413">
        <v>110000000</v>
      </c>
      <c r="AC462" s="413">
        <v>0</v>
      </c>
      <c r="AD462" s="413">
        <v>0</v>
      </c>
      <c r="AE462" s="413">
        <v>0</v>
      </c>
      <c r="AF462" s="413">
        <v>0</v>
      </c>
      <c r="AG462" s="413">
        <v>0</v>
      </c>
      <c r="AH462" s="413">
        <v>0</v>
      </c>
      <c r="AI462" s="413">
        <v>104174000</v>
      </c>
      <c r="AJ462" s="413">
        <v>104174000</v>
      </c>
      <c r="AK462" s="413">
        <v>0</v>
      </c>
      <c r="AL462" s="413">
        <v>0</v>
      </c>
      <c r="AM462" s="413">
        <v>0</v>
      </c>
      <c r="AN462" s="413">
        <v>0</v>
      </c>
      <c r="AO462" s="413">
        <v>0</v>
      </c>
      <c r="AP462" s="413">
        <v>0</v>
      </c>
      <c r="AQ462" s="413">
        <v>0</v>
      </c>
      <c r="AR462" s="413">
        <v>0</v>
      </c>
      <c r="AS462" s="413">
        <v>0</v>
      </c>
      <c r="AT462" s="333">
        <f t="shared" si="384"/>
        <v>2.0625000000000001E-2</v>
      </c>
      <c r="AU462" s="334">
        <v>5</v>
      </c>
      <c r="AV462" s="387">
        <f t="shared" si="368"/>
        <v>0.125</v>
      </c>
      <c r="AW462" s="677">
        <v>5</v>
      </c>
      <c r="AX462" s="366">
        <f t="shared" si="369"/>
        <v>5</v>
      </c>
      <c r="AY462" s="366">
        <f t="shared" si="370"/>
        <v>100</v>
      </c>
      <c r="AZ462" s="366">
        <f t="shared" si="385"/>
        <v>100</v>
      </c>
      <c r="BA462" s="354">
        <f t="shared" si="386"/>
        <v>2.0625000000000001E-2</v>
      </c>
      <c r="BB462" s="354">
        <f t="shared" si="387"/>
        <v>100</v>
      </c>
      <c r="BC462" s="353">
        <v>57000000</v>
      </c>
      <c r="BD462" s="353">
        <v>0</v>
      </c>
      <c r="BE462" s="353">
        <v>27000000</v>
      </c>
      <c r="BF462" s="353">
        <v>0</v>
      </c>
      <c r="BG462" s="353">
        <v>0</v>
      </c>
      <c r="BH462" s="353">
        <v>0</v>
      </c>
      <c r="BI462" s="353">
        <v>0</v>
      </c>
      <c r="BJ462" s="353">
        <v>30000000</v>
      </c>
      <c r="BK462" s="386">
        <v>27000000</v>
      </c>
      <c r="BL462" s="351">
        <v>27000000</v>
      </c>
      <c r="BM462" s="351">
        <v>0</v>
      </c>
      <c r="BN462" s="351">
        <v>0</v>
      </c>
      <c r="BO462" s="351">
        <v>0</v>
      </c>
      <c r="BP462" s="351">
        <v>0</v>
      </c>
      <c r="BQ462" s="351">
        <v>0</v>
      </c>
      <c r="BR462" s="351">
        <v>0</v>
      </c>
      <c r="BS462" s="351">
        <v>0</v>
      </c>
      <c r="BT462" s="351">
        <v>0</v>
      </c>
      <c r="BU462" s="351">
        <v>0</v>
      </c>
      <c r="BV462" s="350">
        <f t="shared" si="388"/>
        <v>6.1874999999999999E-2</v>
      </c>
      <c r="BW462" s="350">
        <v>15</v>
      </c>
      <c r="BX462" s="385">
        <f t="shared" si="371"/>
        <v>0.375</v>
      </c>
      <c r="BY462" s="369">
        <v>0</v>
      </c>
      <c r="BZ462" s="391">
        <v>0</v>
      </c>
      <c r="CA462" s="689">
        <v>30</v>
      </c>
      <c r="CB462" s="324">
        <f t="shared" si="372"/>
        <v>30</v>
      </c>
      <c r="CC462" s="324">
        <f t="shared" si="373"/>
        <v>200</v>
      </c>
      <c r="CD462" s="384">
        <f t="shared" si="389"/>
        <v>100</v>
      </c>
      <c r="CE462" s="383">
        <f t="shared" si="390"/>
        <v>6.1874999999999999E-2</v>
      </c>
      <c r="CF462" s="367">
        <f t="shared" si="391"/>
        <v>100</v>
      </c>
      <c r="CG462" s="383">
        <f t="shared" si="392"/>
        <v>0.12375</v>
      </c>
      <c r="CH462" s="320">
        <f t="shared" si="393"/>
        <v>6.1874999999999999E-2</v>
      </c>
      <c r="CI462" s="319">
        <v>15</v>
      </c>
      <c r="CJ462" s="318">
        <f t="shared" si="374"/>
        <v>0.375</v>
      </c>
      <c r="CK462" s="1259">
        <v>15</v>
      </c>
      <c r="CL462" s="301">
        <f t="shared" si="380"/>
        <v>0</v>
      </c>
      <c r="CM462" s="381">
        <f t="shared" si="375"/>
        <v>15</v>
      </c>
      <c r="CN462" s="381">
        <f t="shared" si="376"/>
        <v>100</v>
      </c>
      <c r="CO462" s="316">
        <f t="shared" si="394"/>
        <v>100</v>
      </c>
      <c r="CP462" s="381">
        <f t="shared" si="395"/>
        <v>6.1874999999999999E-2</v>
      </c>
      <c r="CQ462" s="381">
        <f t="shared" si="396"/>
        <v>6.1874999999999999E-2</v>
      </c>
      <c r="CR462" s="313">
        <v>90000000</v>
      </c>
      <c r="CS462" s="313">
        <v>60000000</v>
      </c>
      <c r="CT462" s="313">
        <v>0</v>
      </c>
      <c r="CU462" s="313">
        <v>0</v>
      </c>
      <c r="CV462" s="313">
        <v>0</v>
      </c>
      <c r="CW462" s="313">
        <v>0</v>
      </c>
      <c r="CX462" s="313">
        <v>0</v>
      </c>
      <c r="CY462" s="313">
        <v>30000000</v>
      </c>
      <c r="CZ462" s="380">
        <v>0</v>
      </c>
      <c r="DA462" s="380">
        <v>0</v>
      </c>
      <c r="DB462" s="380">
        <v>0</v>
      </c>
      <c r="DC462" s="380">
        <v>0</v>
      </c>
      <c r="DD462" s="380">
        <v>0</v>
      </c>
      <c r="DE462" s="380">
        <v>0</v>
      </c>
      <c r="DF462" s="380">
        <v>0</v>
      </c>
      <c r="DG462" s="380">
        <v>0</v>
      </c>
      <c r="DH462" s="380">
        <v>0</v>
      </c>
      <c r="DI462" s="380">
        <v>0</v>
      </c>
      <c r="DJ462" s="380">
        <v>0</v>
      </c>
      <c r="DK462" s="702">
        <f t="shared" si="377"/>
        <v>90</v>
      </c>
      <c r="DL462" s="311">
        <f t="shared" si="397"/>
        <v>0.16499999999999998</v>
      </c>
      <c r="DM462" s="310">
        <f t="shared" si="398"/>
        <v>225</v>
      </c>
      <c r="DN462" s="356">
        <f t="shared" si="399"/>
        <v>100</v>
      </c>
      <c r="DO462" s="308">
        <f t="shared" si="400"/>
        <v>0.16500000000000001</v>
      </c>
      <c r="DP462" s="359">
        <f t="shared" si="379"/>
        <v>0.16500000000000001</v>
      </c>
      <c r="DQ462" s="306">
        <f t="shared" si="401"/>
        <v>0.16500000000000001</v>
      </c>
      <c r="DR462" s="379">
        <f t="shared" si="402"/>
        <v>1</v>
      </c>
      <c r="DS462" s="378">
        <f t="shared" si="403"/>
        <v>0</v>
      </c>
      <c r="DT462" s="173">
        <v>612</v>
      </c>
      <c r="DU462" s="174" t="s">
        <v>97</v>
      </c>
      <c r="DV462" s="173"/>
      <c r="DW462" s="174" t="s">
        <v>84</v>
      </c>
      <c r="DX462" s="173"/>
      <c r="DY462" s="173"/>
      <c r="DZ462" s="173"/>
      <c r="EA462" s="665"/>
      <c r="EB462" s="1254" t="s">
        <v>3133</v>
      </c>
      <c r="EC462" s="537">
        <v>0</v>
      </c>
      <c r="EE462" s="734">
        <v>200</v>
      </c>
      <c r="EF462" s="706"/>
    </row>
    <row r="463" spans="4:136" s="302" customFormat="1" ht="242.25" hidden="1">
      <c r="D463" s="520">
        <v>460</v>
      </c>
      <c r="E463" s="534">
        <v>531</v>
      </c>
      <c r="F463" s="479" t="s">
        <v>46</v>
      </c>
      <c r="G463" s="479" t="s">
        <v>26</v>
      </c>
      <c r="H463" s="479" t="s">
        <v>2677</v>
      </c>
      <c r="I463" s="435" t="s">
        <v>1098</v>
      </c>
      <c r="J463" s="335" t="s">
        <v>1099</v>
      </c>
      <c r="K463" s="335" t="s">
        <v>1100</v>
      </c>
      <c r="L463" s="407" t="s">
        <v>1540</v>
      </c>
      <c r="M463" s="334" t="s">
        <v>1785</v>
      </c>
      <c r="N463" s="337">
        <v>0</v>
      </c>
      <c r="O463" s="333">
        <f>+P463</f>
        <v>80</v>
      </c>
      <c r="P463" s="332">
        <v>80</v>
      </c>
      <c r="Q463" s="390">
        <v>0.16500000000000001</v>
      </c>
      <c r="R463" s="342">
        <f t="shared" si="381"/>
        <v>4.1250000000000002E-2</v>
      </c>
      <c r="S463" s="417">
        <v>80</v>
      </c>
      <c r="T463" s="337">
        <f t="shared" ref="T463:T471" si="404">IF($M463="M",0.25,(IF($P463&gt;0,S463/$P463," ")))</f>
        <v>0.25</v>
      </c>
      <c r="U463" s="673">
        <v>100</v>
      </c>
      <c r="V463" s="388">
        <f t="shared" ref="V463:V471" si="405">+IF(M463="I",(+U463),IF(M463="M",(+U463)/4,))</f>
        <v>25</v>
      </c>
      <c r="W463" s="356">
        <f t="shared" ref="W463:W471" si="406">IF(S463=0,0,+U463*100/S463)</f>
        <v>125</v>
      </c>
      <c r="X463" s="356">
        <f t="shared" si="382"/>
        <v>100</v>
      </c>
      <c r="Y463" s="356">
        <f t="shared" si="364"/>
        <v>4.1250000000000002E-2</v>
      </c>
      <c r="Z463" s="356">
        <f t="shared" si="383"/>
        <v>100</v>
      </c>
      <c r="AA463" s="413">
        <v>130000000</v>
      </c>
      <c r="AB463" s="413">
        <v>130000000</v>
      </c>
      <c r="AC463" s="413">
        <v>0</v>
      </c>
      <c r="AD463" s="413">
        <v>0</v>
      </c>
      <c r="AE463" s="413">
        <v>0</v>
      </c>
      <c r="AF463" s="413">
        <v>0</v>
      </c>
      <c r="AG463" s="413">
        <v>0</v>
      </c>
      <c r="AH463" s="413">
        <v>0</v>
      </c>
      <c r="AI463" s="413">
        <v>129870000</v>
      </c>
      <c r="AJ463" s="413">
        <v>129870000</v>
      </c>
      <c r="AK463" s="413">
        <v>0</v>
      </c>
      <c r="AL463" s="413">
        <v>0</v>
      </c>
      <c r="AM463" s="413">
        <v>0</v>
      </c>
      <c r="AN463" s="413">
        <v>0</v>
      </c>
      <c r="AO463" s="413">
        <v>0</v>
      </c>
      <c r="AP463" s="413">
        <v>0</v>
      </c>
      <c r="AQ463" s="413">
        <v>0</v>
      </c>
      <c r="AR463" s="413">
        <v>0</v>
      </c>
      <c r="AS463" s="413">
        <v>0</v>
      </c>
      <c r="AT463" s="333">
        <f t="shared" si="384"/>
        <v>4.1250000000000002E-2</v>
      </c>
      <c r="AU463" s="334">
        <v>80</v>
      </c>
      <c r="AV463" s="387">
        <f t="shared" ref="AV463:AV471" si="407">IF($M463="M",0.25,(IF($P463&gt;0,AU463/$P463," ")))</f>
        <v>0.25</v>
      </c>
      <c r="AW463" s="677">
        <v>100</v>
      </c>
      <c r="AX463" s="366">
        <f t="shared" ref="AX463:AX471" si="408">+IF(M463="I",(+AW463),IF(M463="M",(+AW463)/4,))</f>
        <v>25</v>
      </c>
      <c r="AY463" s="366">
        <f t="shared" ref="AY463:AY471" si="409">IF(AU463=0,0,+AW463*100/AU463)</f>
        <v>125</v>
      </c>
      <c r="AZ463" s="366">
        <f t="shared" si="385"/>
        <v>100</v>
      </c>
      <c r="BA463" s="354">
        <f t="shared" si="386"/>
        <v>4.1250000000000002E-2</v>
      </c>
      <c r="BB463" s="354">
        <f t="shared" si="387"/>
        <v>100</v>
      </c>
      <c r="BC463" s="353">
        <v>250000000</v>
      </c>
      <c r="BD463" s="353">
        <v>0</v>
      </c>
      <c r="BE463" s="353">
        <v>85000000</v>
      </c>
      <c r="BF463" s="353">
        <v>0</v>
      </c>
      <c r="BG463" s="353">
        <v>0</v>
      </c>
      <c r="BH463" s="353">
        <v>0</v>
      </c>
      <c r="BI463" s="353">
        <v>0</v>
      </c>
      <c r="BJ463" s="353">
        <v>165000000</v>
      </c>
      <c r="BK463" s="386">
        <v>0</v>
      </c>
      <c r="BL463" s="351">
        <v>0</v>
      </c>
      <c r="BM463" s="351">
        <v>0</v>
      </c>
      <c r="BN463" s="351">
        <v>0</v>
      </c>
      <c r="BO463" s="351">
        <v>0</v>
      </c>
      <c r="BP463" s="351">
        <v>0</v>
      </c>
      <c r="BQ463" s="351">
        <v>0</v>
      </c>
      <c r="BR463" s="351">
        <v>0</v>
      </c>
      <c r="BS463" s="351">
        <v>0</v>
      </c>
      <c r="BT463" s="351">
        <v>0</v>
      </c>
      <c r="BU463" s="351">
        <v>0</v>
      </c>
      <c r="BV463" s="350">
        <f t="shared" si="388"/>
        <v>4.1250000000000002E-2</v>
      </c>
      <c r="BW463" s="350">
        <v>80</v>
      </c>
      <c r="BX463" s="385">
        <f t="shared" ref="BX463:BX471" si="410">IF($M463="M",0.25,(IF($P463&gt;0,BW463/$P463," ")))</f>
        <v>0.25</v>
      </c>
      <c r="BY463" s="369">
        <v>80</v>
      </c>
      <c r="BZ463" s="391">
        <v>80</v>
      </c>
      <c r="CA463" s="689">
        <v>100</v>
      </c>
      <c r="CB463" s="324">
        <f t="shared" ref="CB463:CB471" si="411">+IF(M463="I",(+CA463),IF(M463="M",(+CA463)/4,))</f>
        <v>25</v>
      </c>
      <c r="CC463" s="324">
        <f t="shared" ref="CC463:CC471" si="412">IF(BW463=0,0,+CA463*100/BW463)</f>
        <v>125</v>
      </c>
      <c r="CD463" s="384">
        <f t="shared" si="389"/>
        <v>100</v>
      </c>
      <c r="CE463" s="383">
        <f t="shared" si="390"/>
        <v>4.1250000000000002E-2</v>
      </c>
      <c r="CF463" s="367">
        <f t="shared" si="391"/>
        <v>100</v>
      </c>
      <c r="CG463" s="383">
        <f t="shared" si="392"/>
        <v>5.1562499999999997E-2</v>
      </c>
      <c r="CH463" s="320">
        <f t="shared" si="393"/>
        <v>4.1250000000000002E-2</v>
      </c>
      <c r="CI463" s="319">
        <v>20</v>
      </c>
      <c r="CJ463" s="318">
        <f t="shared" ref="CJ463:CJ471" si="413">IF($M463="M",0.25,(IF($P463&gt;0,CI463/$P463," ")))</f>
        <v>0.25</v>
      </c>
      <c r="CK463" s="1259">
        <v>20</v>
      </c>
      <c r="CL463" s="301">
        <f t="shared" si="380"/>
        <v>0</v>
      </c>
      <c r="CM463" s="381">
        <f t="shared" ref="CM463:CM471" si="414">+IF(M463="I",(+CK463),IF(M463="M",(+CK463)/4,))</f>
        <v>5</v>
      </c>
      <c r="CN463" s="381">
        <f t="shared" ref="CN463:CN471" si="415">IF(CI463=0,0,+CK463*100/CI463)</f>
        <v>100</v>
      </c>
      <c r="CO463" s="381">
        <f t="shared" si="394"/>
        <v>100</v>
      </c>
      <c r="CP463" s="381">
        <f t="shared" si="395"/>
        <v>4.1250000000000002E-2</v>
      </c>
      <c r="CQ463" s="381">
        <f t="shared" si="396"/>
        <v>4.1250000000000002E-2</v>
      </c>
      <c r="CR463" s="313">
        <v>363000000</v>
      </c>
      <c r="CS463" s="313">
        <v>197000000</v>
      </c>
      <c r="CT463" s="313">
        <v>0</v>
      </c>
      <c r="CU463" s="313">
        <v>0</v>
      </c>
      <c r="CV463" s="313">
        <v>0</v>
      </c>
      <c r="CW463" s="313">
        <v>0</v>
      </c>
      <c r="CX463" s="313">
        <v>0</v>
      </c>
      <c r="CY463" s="313">
        <v>166000000</v>
      </c>
      <c r="CZ463" s="380">
        <v>0</v>
      </c>
      <c r="DA463" s="380">
        <v>0</v>
      </c>
      <c r="DB463" s="380">
        <v>0</v>
      </c>
      <c r="DC463" s="380">
        <v>0</v>
      </c>
      <c r="DD463" s="380">
        <v>0</v>
      </c>
      <c r="DE463" s="380">
        <v>0</v>
      </c>
      <c r="DF463" s="380">
        <v>0</v>
      </c>
      <c r="DG463" s="380">
        <v>0</v>
      </c>
      <c r="DH463" s="380">
        <v>0</v>
      </c>
      <c r="DI463" s="380">
        <v>0</v>
      </c>
      <c r="DJ463" s="380">
        <v>0</v>
      </c>
      <c r="DK463" s="702">
        <f t="shared" ref="DK463:DK471" si="416">+IF(M463="I",(+U463+AW463+CA463+CK463),IF(M463="M",(+U463+AW463+CA463+CK463)/4,))</f>
        <v>80</v>
      </c>
      <c r="DL463" s="311">
        <f t="shared" si="397"/>
        <v>0.16500000000000001</v>
      </c>
      <c r="DM463" s="310">
        <f t="shared" si="398"/>
        <v>100</v>
      </c>
      <c r="DN463" s="356">
        <f t="shared" si="399"/>
        <v>100</v>
      </c>
      <c r="DO463" s="308">
        <f t="shared" si="400"/>
        <v>0.16500000000000001</v>
      </c>
      <c r="DP463" s="359">
        <f>+IF(M463="M",DO463,0)</f>
        <v>0.16500000000000001</v>
      </c>
      <c r="DQ463" s="306">
        <f t="shared" si="401"/>
        <v>0.16500000000000001</v>
      </c>
      <c r="DR463" s="379">
        <f t="shared" si="402"/>
        <v>1</v>
      </c>
      <c r="DS463" s="378">
        <f t="shared" si="403"/>
        <v>0</v>
      </c>
      <c r="DT463" s="173">
        <v>613</v>
      </c>
      <c r="DU463" s="174" t="s">
        <v>96</v>
      </c>
      <c r="DV463" s="173"/>
      <c r="DW463" s="174" t="s">
        <v>84</v>
      </c>
      <c r="DX463" s="173"/>
      <c r="DY463" s="173"/>
      <c r="DZ463" s="173"/>
      <c r="EA463" s="665"/>
      <c r="EB463" s="1254" t="s">
        <v>3134</v>
      </c>
      <c r="EC463" s="537">
        <v>0</v>
      </c>
      <c r="EE463" s="734">
        <v>50</v>
      </c>
      <c r="EF463" s="706"/>
    </row>
    <row r="464" spans="4:136" s="302" customFormat="1" ht="102" hidden="1">
      <c r="D464" s="520">
        <v>461</v>
      </c>
      <c r="E464" s="534">
        <v>532</v>
      </c>
      <c r="F464" s="336" t="s">
        <v>46</v>
      </c>
      <c r="G464" s="336" t="s">
        <v>24</v>
      </c>
      <c r="H464" s="336" t="s">
        <v>2677</v>
      </c>
      <c r="I464" s="336" t="s">
        <v>1098</v>
      </c>
      <c r="J464" s="335" t="s">
        <v>1307</v>
      </c>
      <c r="K464" s="335" t="s">
        <v>1101</v>
      </c>
      <c r="L464" s="358" t="s">
        <v>1826</v>
      </c>
      <c r="M464" s="334" t="s">
        <v>1771</v>
      </c>
      <c r="N464" s="337">
        <v>317048</v>
      </c>
      <c r="O464" s="333">
        <f>+N464+P464</f>
        <v>692120</v>
      </c>
      <c r="P464" s="422">
        <v>375072</v>
      </c>
      <c r="Q464" s="393">
        <v>0.16500000000000001</v>
      </c>
      <c r="R464" s="342">
        <f t="shared" si="381"/>
        <v>4.1791975940619404E-2</v>
      </c>
      <c r="S464" s="417">
        <v>95000</v>
      </c>
      <c r="T464" s="337">
        <f t="shared" si="404"/>
        <v>0.25328470267042064</v>
      </c>
      <c r="U464" s="673">
        <v>85504</v>
      </c>
      <c r="V464" s="388">
        <f t="shared" si="405"/>
        <v>85504</v>
      </c>
      <c r="W464" s="356">
        <f t="shared" si="406"/>
        <v>90.004210526315788</v>
      </c>
      <c r="X464" s="356">
        <f t="shared" si="382"/>
        <v>90.004210526315788</v>
      </c>
      <c r="Y464" s="356">
        <f t="shared" si="364"/>
        <v>3.7614538008702333E-2</v>
      </c>
      <c r="Z464" s="356">
        <f t="shared" si="383"/>
        <v>90.004210526315788</v>
      </c>
      <c r="AA464" s="413">
        <v>52966000000</v>
      </c>
      <c r="AB464" s="413">
        <v>52966000000</v>
      </c>
      <c r="AC464" s="413">
        <v>0</v>
      </c>
      <c r="AD464" s="413">
        <v>0</v>
      </c>
      <c r="AE464" s="413">
        <v>0</v>
      </c>
      <c r="AF464" s="413">
        <v>0</v>
      </c>
      <c r="AG464" s="413">
        <v>0</v>
      </c>
      <c r="AH464" s="413">
        <v>0</v>
      </c>
      <c r="AI464" s="413">
        <v>96016278000</v>
      </c>
      <c r="AJ464" s="413">
        <v>96016278000</v>
      </c>
      <c r="AK464" s="413">
        <v>0</v>
      </c>
      <c r="AL464" s="413">
        <v>0</v>
      </c>
      <c r="AM464" s="413">
        <v>0</v>
      </c>
      <c r="AN464" s="413">
        <v>0</v>
      </c>
      <c r="AO464" s="413">
        <v>0</v>
      </c>
      <c r="AP464" s="413">
        <v>0</v>
      </c>
      <c r="AQ464" s="413">
        <v>0</v>
      </c>
      <c r="AR464" s="413">
        <v>0</v>
      </c>
      <c r="AS464" s="413">
        <v>0</v>
      </c>
      <c r="AT464" s="392">
        <f t="shared" si="384"/>
        <v>3.5224916815971334E-2</v>
      </c>
      <c r="AU464" s="334">
        <v>80072</v>
      </c>
      <c r="AV464" s="387">
        <f t="shared" si="407"/>
        <v>0.2134843443392202</v>
      </c>
      <c r="AW464" s="677">
        <v>68686</v>
      </c>
      <c r="AX464" s="366">
        <f t="shared" si="408"/>
        <v>68686</v>
      </c>
      <c r="AY464" s="366">
        <f t="shared" si="409"/>
        <v>85.780297732041163</v>
      </c>
      <c r="AZ464" s="366">
        <f t="shared" si="385"/>
        <v>85.780297732041163</v>
      </c>
      <c r="BA464" s="354">
        <f t="shared" si="386"/>
        <v>3.0216038520604043E-2</v>
      </c>
      <c r="BB464" s="354">
        <f t="shared" si="387"/>
        <v>85.780297732041163</v>
      </c>
      <c r="BC464" s="353">
        <v>111956000000</v>
      </c>
      <c r="BD464" s="353">
        <v>0</v>
      </c>
      <c r="BE464" s="353">
        <v>111956000</v>
      </c>
      <c r="BF464" s="353">
        <v>0</v>
      </c>
      <c r="BG464" s="353">
        <v>0</v>
      </c>
      <c r="BH464" s="353">
        <v>0</v>
      </c>
      <c r="BI464" s="353">
        <v>0</v>
      </c>
      <c r="BJ464" s="353">
        <v>0</v>
      </c>
      <c r="BK464" s="386">
        <v>84119024438</v>
      </c>
      <c r="BL464" s="351">
        <v>84119024438</v>
      </c>
      <c r="BM464" s="351">
        <v>0</v>
      </c>
      <c r="BN464" s="351">
        <v>0</v>
      </c>
      <c r="BO464" s="351">
        <v>0</v>
      </c>
      <c r="BP464" s="351">
        <v>0</v>
      </c>
      <c r="BQ464" s="351">
        <v>0</v>
      </c>
      <c r="BR464" s="351">
        <v>0</v>
      </c>
      <c r="BS464" s="351">
        <v>0</v>
      </c>
      <c r="BT464" s="351">
        <v>0</v>
      </c>
      <c r="BU464" s="351">
        <v>0</v>
      </c>
      <c r="BV464" s="350">
        <f t="shared" si="388"/>
        <v>4.3991553621704635E-2</v>
      </c>
      <c r="BW464" s="421">
        <v>100000</v>
      </c>
      <c r="BX464" s="385">
        <f t="shared" si="410"/>
        <v>0.26661547649517958</v>
      </c>
      <c r="BY464" s="369">
        <v>25422</v>
      </c>
      <c r="BZ464" s="391">
        <v>25422</v>
      </c>
      <c r="CA464" s="689">
        <v>64137</v>
      </c>
      <c r="CB464" s="324">
        <f t="shared" si="411"/>
        <v>64137</v>
      </c>
      <c r="CC464" s="324">
        <f t="shared" si="412"/>
        <v>64.137</v>
      </c>
      <c r="CD464" s="384">
        <f t="shared" si="389"/>
        <v>64.137</v>
      </c>
      <c r="CE464" s="383">
        <f t="shared" si="390"/>
        <v>2.8214862746352702E-2</v>
      </c>
      <c r="CF464" s="367">
        <f t="shared" si="391"/>
        <v>64.137</v>
      </c>
      <c r="CG464" s="383">
        <f t="shared" si="392"/>
        <v>2.8214862746352702E-2</v>
      </c>
      <c r="CH464" s="320">
        <f t="shared" si="393"/>
        <v>4.3991553621704635E-2</v>
      </c>
      <c r="CI464" s="319">
        <v>100000</v>
      </c>
      <c r="CJ464" s="318">
        <f t="shared" si="413"/>
        <v>0.26661547649517958</v>
      </c>
      <c r="CK464" s="1262">
        <v>73618</v>
      </c>
      <c r="CL464" s="301">
        <f t="shared" si="380"/>
        <v>26382</v>
      </c>
      <c r="CM464" s="381">
        <f t="shared" si="414"/>
        <v>73618</v>
      </c>
      <c r="CN464" s="381">
        <f t="shared" si="415"/>
        <v>73.617999999999995</v>
      </c>
      <c r="CO464" s="316">
        <f t="shared" si="394"/>
        <v>73.617999999999995</v>
      </c>
      <c r="CP464" s="381">
        <f t="shared" si="395"/>
        <v>3.2385701945226518E-2</v>
      </c>
      <c r="CQ464" s="381">
        <f t="shared" si="396"/>
        <v>3.2385701945226518E-2</v>
      </c>
      <c r="CR464" s="313">
        <v>146738000000</v>
      </c>
      <c r="CS464" s="313">
        <v>146738000</v>
      </c>
      <c r="CT464" s="313">
        <v>0</v>
      </c>
      <c r="CU464" s="313">
        <v>0</v>
      </c>
      <c r="CV464" s="313">
        <v>0</v>
      </c>
      <c r="CW464" s="313">
        <v>0</v>
      </c>
      <c r="CX464" s="313">
        <v>0</v>
      </c>
      <c r="CY464" s="313">
        <v>0</v>
      </c>
      <c r="CZ464" s="380">
        <v>0</v>
      </c>
      <c r="DA464" s="380">
        <v>0</v>
      </c>
      <c r="DB464" s="380">
        <v>0</v>
      </c>
      <c r="DC464" s="380">
        <v>0</v>
      </c>
      <c r="DD464" s="380">
        <v>0</v>
      </c>
      <c r="DE464" s="380">
        <v>0</v>
      </c>
      <c r="DF464" s="380">
        <v>0</v>
      </c>
      <c r="DG464" s="380">
        <v>0</v>
      </c>
      <c r="DH464" s="380">
        <v>0</v>
      </c>
      <c r="DI464" s="380">
        <v>0</v>
      </c>
      <c r="DJ464" s="380">
        <v>0</v>
      </c>
      <c r="DK464" s="702">
        <f t="shared" si="416"/>
        <v>291945</v>
      </c>
      <c r="DL464" s="311">
        <f t="shared" si="397"/>
        <v>0.16500000000000001</v>
      </c>
      <c r="DM464" s="310">
        <f t="shared" si="398"/>
        <v>77.837055285385205</v>
      </c>
      <c r="DN464" s="356">
        <f t="shared" si="399"/>
        <v>77.837055285385205</v>
      </c>
      <c r="DO464" s="308">
        <f t="shared" si="400"/>
        <v>0.12843114122088559</v>
      </c>
      <c r="DP464" s="359">
        <f>+IF(((DN464*Q464)/100)&lt;Q464, ((DN464*Q464)/100),Q464)</f>
        <v>0.12843114122088559</v>
      </c>
      <c r="DQ464" s="306">
        <f t="shared" si="401"/>
        <v>0.12843114122088559</v>
      </c>
      <c r="DR464" s="379">
        <f t="shared" si="402"/>
        <v>1</v>
      </c>
      <c r="DS464" s="378">
        <f t="shared" si="403"/>
        <v>0</v>
      </c>
      <c r="DT464" s="173">
        <v>613</v>
      </c>
      <c r="DU464" s="174" t="s">
        <v>96</v>
      </c>
      <c r="DV464" s="173"/>
      <c r="DW464" s="174" t="s">
        <v>84</v>
      </c>
      <c r="DX464" s="173"/>
      <c r="DY464" s="173"/>
      <c r="DZ464" s="173"/>
      <c r="EA464" s="665"/>
      <c r="EB464" s="1254" t="s">
        <v>3103</v>
      </c>
      <c r="EC464" s="537">
        <v>1110000000</v>
      </c>
      <c r="EE464" s="733">
        <v>2000</v>
      </c>
      <c r="EF464" s="706"/>
    </row>
    <row r="465" spans="4:136" s="302" customFormat="1" ht="89.25" hidden="1">
      <c r="D465" s="520">
        <v>462</v>
      </c>
      <c r="E465" s="534">
        <v>533</v>
      </c>
      <c r="F465" s="479" t="s">
        <v>46</v>
      </c>
      <c r="G465" s="479" t="s">
        <v>24</v>
      </c>
      <c r="H465" s="479" t="s">
        <v>2677</v>
      </c>
      <c r="I465" s="435" t="s">
        <v>1098</v>
      </c>
      <c r="J465" s="335" t="s">
        <v>1102</v>
      </c>
      <c r="K465" s="335" t="s">
        <v>1103</v>
      </c>
      <c r="L465" s="420" t="s">
        <v>1540</v>
      </c>
      <c r="M465" s="334" t="s">
        <v>1785</v>
      </c>
      <c r="N465" s="337">
        <v>0</v>
      </c>
      <c r="O465" s="333">
        <f>+P465</f>
        <v>50</v>
      </c>
      <c r="P465" s="332">
        <v>50</v>
      </c>
      <c r="Q465" s="390">
        <v>0.16500000000000001</v>
      </c>
      <c r="R465" s="342">
        <f t="shared" si="381"/>
        <v>4.1250000000000002E-2</v>
      </c>
      <c r="S465" s="417">
        <v>50</v>
      </c>
      <c r="T465" s="337">
        <f t="shared" si="404"/>
        <v>0.25</v>
      </c>
      <c r="U465" s="673">
        <v>100</v>
      </c>
      <c r="V465" s="388">
        <f t="shared" si="405"/>
        <v>25</v>
      </c>
      <c r="W465" s="356">
        <f t="shared" si="406"/>
        <v>200</v>
      </c>
      <c r="X465" s="356">
        <f t="shared" si="382"/>
        <v>100</v>
      </c>
      <c r="Y465" s="356">
        <f t="shared" si="364"/>
        <v>4.1250000000000002E-2</v>
      </c>
      <c r="Z465" s="356">
        <f t="shared" si="383"/>
        <v>100</v>
      </c>
      <c r="AA465" s="413">
        <v>3062000000</v>
      </c>
      <c r="AB465" s="413">
        <v>3062000000</v>
      </c>
      <c r="AC465" s="413">
        <v>0</v>
      </c>
      <c r="AD465" s="413">
        <v>0</v>
      </c>
      <c r="AE465" s="413">
        <v>0</v>
      </c>
      <c r="AF465" s="413">
        <v>0</v>
      </c>
      <c r="AG465" s="413">
        <v>0</v>
      </c>
      <c r="AH465" s="413">
        <v>0</v>
      </c>
      <c r="AI465" s="413">
        <v>5146218000</v>
      </c>
      <c r="AJ465" s="413">
        <v>5146218000</v>
      </c>
      <c r="AK465" s="413">
        <v>0</v>
      </c>
      <c r="AL465" s="413">
        <v>0</v>
      </c>
      <c r="AM465" s="413">
        <v>0</v>
      </c>
      <c r="AN465" s="413">
        <v>0</v>
      </c>
      <c r="AO465" s="413">
        <v>0</v>
      </c>
      <c r="AP465" s="413">
        <v>0</v>
      </c>
      <c r="AQ465" s="413">
        <v>0</v>
      </c>
      <c r="AR465" s="413">
        <v>0</v>
      </c>
      <c r="AS465" s="413">
        <v>0</v>
      </c>
      <c r="AT465" s="333">
        <f t="shared" si="384"/>
        <v>4.1250000000000002E-2</v>
      </c>
      <c r="AU465" s="334">
        <v>50</v>
      </c>
      <c r="AV465" s="387">
        <f t="shared" si="407"/>
        <v>0.25</v>
      </c>
      <c r="AW465" s="681">
        <v>100</v>
      </c>
      <c r="AX465" s="366">
        <f t="shared" si="408"/>
        <v>25</v>
      </c>
      <c r="AY465" s="366">
        <f t="shared" si="409"/>
        <v>200</v>
      </c>
      <c r="AZ465" s="366">
        <f t="shared" si="385"/>
        <v>100</v>
      </c>
      <c r="BA465" s="354">
        <f t="shared" si="386"/>
        <v>4.1250000000000002E-2</v>
      </c>
      <c r="BB465" s="354">
        <f t="shared" si="387"/>
        <v>100</v>
      </c>
      <c r="BC465" s="353">
        <v>3253000000</v>
      </c>
      <c r="BD465" s="353">
        <v>0</v>
      </c>
      <c r="BE465" s="353">
        <v>3253000000</v>
      </c>
      <c r="BF465" s="353">
        <v>0</v>
      </c>
      <c r="BG465" s="353">
        <v>0</v>
      </c>
      <c r="BH465" s="353">
        <v>0</v>
      </c>
      <c r="BI465" s="353">
        <v>0</v>
      </c>
      <c r="BJ465" s="353">
        <v>0</v>
      </c>
      <c r="BK465" s="386">
        <v>5029278219.9200001</v>
      </c>
      <c r="BL465" s="351">
        <v>5029278219.9200001</v>
      </c>
      <c r="BM465" s="351">
        <v>0</v>
      </c>
      <c r="BN465" s="351">
        <v>0</v>
      </c>
      <c r="BO465" s="351">
        <v>0</v>
      </c>
      <c r="BP465" s="351">
        <v>0</v>
      </c>
      <c r="BQ465" s="351">
        <v>0</v>
      </c>
      <c r="BR465" s="351">
        <v>0</v>
      </c>
      <c r="BS465" s="351">
        <v>0</v>
      </c>
      <c r="BT465" s="351">
        <v>0</v>
      </c>
      <c r="BU465" s="351">
        <v>0</v>
      </c>
      <c r="BV465" s="350">
        <f t="shared" si="388"/>
        <v>4.1250000000000002E-2</v>
      </c>
      <c r="BW465" s="350">
        <v>50</v>
      </c>
      <c r="BX465" s="385">
        <f t="shared" si="410"/>
        <v>0.25</v>
      </c>
      <c r="BY465" s="369">
        <v>15</v>
      </c>
      <c r="BZ465" s="391">
        <v>15</v>
      </c>
      <c r="CA465" s="689">
        <v>100</v>
      </c>
      <c r="CB465" s="324">
        <f t="shared" si="411"/>
        <v>25</v>
      </c>
      <c r="CC465" s="324">
        <f t="shared" si="412"/>
        <v>200</v>
      </c>
      <c r="CD465" s="384">
        <f t="shared" si="389"/>
        <v>100</v>
      </c>
      <c r="CE465" s="383">
        <f t="shared" si="390"/>
        <v>4.1250000000000002E-2</v>
      </c>
      <c r="CF465" s="367">
        <f t="shared" si="391"/>
        <v>100</v>
      </c>
      <c r="CG465" s="383">
        <f t="shared" si="392"/>
        <v>8.2500000000000004E-2</v>
      </c>
      <c r="CH465" s="320">
        <f t="shared" si="393"/>
        <v>4.1250000000000002E-2</v>
      </c>
      <c r="CI465" s="319">
        <v>12.5</v>
      </c>
      <c r="CJ465" s="318">
        <f t="shared" si="413"/>
        <v>0.25</v>
      </c>
      <c r="CK465" s="1259">
        <v>100</v>
      </c>
      <c r="CL465" s="301">
        <f t="shared" si="380"/>
        <v>-87.5</v>
      </c>
      <c r="CM465" s="381">
        <f t="shared" si="414"/>
        <v>25</v>
      </c>
      <c r="CN465" s="381">
        <f t="shared" si="415"/>
        <v>800</v>
      </c>
      <c r="CO465" s="381">
        <f t="shared" si="394"/>
        <v>100</v>
      </c>
      <c r="CP465" s="381">
        <f t="shared" si="395"/>
        <v>4.1250000000000002E-2</v>
      </c>
      <c r="CQ465" s="381">
        <f t="shared" si="396"/>
        <v>0.33</v>
      </c>
      <c r="CR465" s="313">
        <v>4414000000</v>
      </c>
      <c r="CS465" s="313">
        <v>4414000000</v>
      </c>
      <c r="CT465" s="313">
        <v>0</v>
      </c>
      <c r="CU465" s="313">
        <v>0</v>
      </c>
      <c r="CV465" s="313">
        <v>0</v>
      </c>
      <c r="CW465" s="313">
        <v>0</v>
      </c>
      <c r="CX465" s="313">
        <v>0</v>
      </c>
      <c r="CY465" s="313">
        <v>0</v>
      </c>
      <c r="CZ465" s="380">
        <v>0</v>
      </c>
      <c r="DA465" s="380">
        <v>0</v>
      </c>
      <c r="DB465" s="380">
        <v>0</v>
      </c>
      <c r="DC465" s="380">
        <v>0</v>
      </c>
      <c r="DD465" s="380">
        <v>0</v>
      </c>
      <c r="DE465" s="380">
        <v>0</v>
      </c>
      <c r="DF465" s="380">
        <v>0</v>
      </c>
      <c r="DG465" s="380">
        <v>0</v>
      </c>
      <c r="DH465" s="380">
        <v>0</v>
      </c>
      <c r="DI465" s="380">
        <v>0</v>
      </c>
      <c r="DJ465" s="380">
        <v>0</v>
      </c>
      <c r="DK465" s="702">
        <f t="shared" si="416"/>
        <v>100</v>
      </c>
      <c r="DL465" s="311">
        <f t="shared" si="397"/>
        <v>0.16500000000000001</v>
      </c>
      <c r="DM465" s="310">
        <f t="shared" si="398"/>
        <v>200</v>
      </c>
      <c r="DN465" s="356">
        <f t="shared" si="399"/>
        <v>100</v>
      </c>
      <c r="DO465" s="308">
        <f t="shared" si="400"/>
        <v>0.16500000000000001</v>
      </c>
      <c r="DP465" s="359">
        <f>+IF(M465="M",DO465,0)</f>
        <v>0.16500000000000001</v>
      </c>
      <c r="DQ465" s="306">
        <f t="shared" si="401"/>
        <v>0.16500000000000001</v>
      </c>
      <c r="DR465" s="379">
        <f t="shared" si="402"/>
        <v>1</v>
      </c>
      <c r="DS465" s="378">
        <f t="shared" si="403"/>
        <v>0</v>
      </c>
      <c r="DT465" s="173">
        <v>613</v>
      </c>
      <c r="DU465" s="174" t="s">
        <v>96</v>
      </c>
      <c r="DV465" s="173"/>
      <c r="DW465" s="174" t="s">
        <v>84</v>
      </c>
      <c r="DX465" s="173"/>
      <c r="DY465" s="173"/>
      <c r="DZ465" s="173"/>
      <c r="EA465" s="665"/>
      <c r="EB465" s="1254" t="s">
        <v>3104</v>
      </c>
      <c r="EC465" s="537">
        <v>0</v>
      </c>
      <c r="EE465" s="733">
        <v>116</v>
      </c>
      <c r="EF465" s="706"/>
    </row>
    <row r="466" spans="4:136" s="302" customFormat="1" ht="191.25" hidden="1">
      <c r="D466" s="520">
        <v>463</v>
      </c>
      <c r="E466" s="534">
        <v>534</v>
      </c>
      <c r="F466" s="479" t="s">
        <v>46</v>
      </c>
      <c r="G466" s="479" t="s">
        <v>26</v>
      </c>
      <c r="H466" s="479" t="s">
        <v>2677</v>
      </c>
      <c r="I466" s="435" t="s">
        <v>1098</v>
      </c>
      <c r="J466" s="335" t="s">
        <v>1104</v>
      </c>
      <c r="K466" s="335" t="s">
        <v>1105</v>
      </c>
      <c r="L466" s="358" t="s">
        <v>1540</v>
      </c>
      <c r="M466" s="334" t="s">
        <v>1785</v>
      </c>
      <c r="N466" s="337">
        <v>0</v>
      </c>
      <c r="O466" s="333">
        <f>+P466</f>
        <v>100</v>
      </c>
      <c r="P466" s="332">
        <v>100</v>
      </c>
      <c r="Q466" s="390">
        <v>0.16500000000000001</v>
      </c>
      <c r="R466" s="342">
        <f t="shared" si="381"/>
        <v>4.1250000000000002E-2</v>
      </c>
      <c r="S466" s="417">
        <v>100</v>
      </c>
      <c r="T466" s="337">
        <f t="shared" si="404"/>
        <v>0.25</v>
      </c>
      <c r="U466" s="673">
        <v>100</v>
      </c>
      <c r="V466" s="388">
        <f t="shared" si="405"/>
        <v>25</v>
      </c>
      <c r="W466" s="356">
        <f t="shared" si="406"/>
        <v>100</v>
      </c>
      <c r="X466" s="356">
        <f t="shared" si="382"/>
        <v>100</v>
      </c>
      <c r="Y466" s="356">
        <f t="shared" ref="Y466:Y529" si="417">+(X466*R466)/100</f>
        <v>4.1250000000000002E-2</v>
      </c>
      <c r="Z466" s="356">
        <f t="shared" si="383"/>
        <v>100</v>
      </c>
      <c r="AA466" s="413">
        <v>80000000</v>
      </c>
      <c r="AB466" s="413">
        <v>80000000</v>
      </c>
      <c r="AC466" s="413">
        <v>0</v>
      </c>
      <c r="AD466" s="413">
        <v>0</v>
      </c>
      <c r="AE466" s="413">
        <v>0</v>
      </c>
      <c r="AF466" s="413">
        <v>0</v>
      </c>
      <c r="AG466" s="413">
        <v>0</v>
      </c>
      <c r="AH466" s="413">
        <v>0</v>
      </c>
      <c r="AI466" s="413">
        <v>10498000</v>
      </c>
      <c r="AJ466" s="413">
        <v>10498000</v>
      </c>
      <c r="AK466" s="413">
        <v>0</v>
      </c>
      <c r="AL466" s="413">
        <v>0</v>
      </c>
      <c r="AM466" s="413">
        <v>0</v>
      </c>
      <c r="AN466" s="413">
        <v>0</v>
      </c>
      <c r="AO466" s="413">
        <v>0</v>
      </c>
      <c r="AP466" s="413">
        <v>0</v>
      </c>
      <c r="AQ466" s="413">
        <v>0</v>
      </c>
      <c r="AR466" s="413">
        <v>0</v>
      </c>
      <c r="AS466" s="413">
        <v>0</v>
      </c>
      <c r="AT466" s="333">
        <f t="shared" si="384"/>
        <v>4.1250000000000002E-2</v>
      </c>
      <c r="AU466" s="334">
        <v>100</v>
      </c>
      <c r="AV466" s="387">
        <f t="shared" si="407"/>
        <v>0.25</v>
      </c>
      <c r="AW466" s="677">
        <v>100</v>
      </c>
      <c r="AX466" s="366">
        <f t="shared" si="408"/>
        <v>25</v>
      </c>
      <c r="AY466" s="366">
        <f t="shared" si="409"/>
        <v>100</v>
      </c>
      <c r="AZ466" s="366">
        <f t="shared" si="385"/>
        <v>100</v>
      </c>
      <c r="BA466" s="354">
        <f t="shared" si="386"/>
        <v>4.1250000000000002E-2</v>
      </c>
      <c r="BB466" s="354">
        <f t="shared" si="387"/>
        <v>100</v>
      </c>
      <c r="BC466" s="353">
        <v>65000000</v>
      </c>
      <c r="BD466" s="353">
        <v>0</v>
      </c>
      <c r="BE466" s="353">
        <v>62000000</v>
      </c>
      <c r="BF466" s="353">
        <v>0</v>
      </c>
      <c r="BG466" s="353">
        <v>0</v>
      </c>
      <c r="BH466" s="353">
        <v>0</v>
      </c>
      <c r="BI466" s="353">
        <v>0</v>
      </c>
      <c r="BJ466" s="353">
        <v>3000000</v>
      </c>
      <c r="BK466" s="386">
        <v>0</v>
      </c>
      <c r="BL466" s="351">
        <v>0</v>
      </c>
      <c r="BM466" s="351">
        <v>0</v>
      </c>
      <c r="BN466" s="351">
        <v>0</v>
      </c>
      <c r="BO466" s="351">
        <v>0</v>
      </c>
      <c r="BP466" s="351">
        <v>0</v>
      </c>
      <c r="BQ466" s="351">
        <v>0</v>
      </c>
      <c r="BR466" s="351">
        <v>0</v>
      </c>
      <c r="BS466" s="351">
        <v>0</v>
      </c>
      <c r="BT466" s="351">
        <v>0</v>
      </c>
      <c r="BU466" s="351">
        <v>0</v>
      </c>
      <c r="BV466" s="350">
        <f t="shared" si="388"/>
        <v>4.1250000000000002E-2</v>
      </c>
      <c r="BW466" s="350">
        <v>100</v>
      </c>
      <c r="BX466" s="385">
        <f t="shared" si="410"/>
        <v>0.25</v>
      </c>
      <c r="BY466" s="349">
        <v>11.380000114440918</v>
      </c>
      <c r="BZ466" s="405">
        <v>11.380000114440918</v>
      </c>
      <c r="CA466" s="689">
        <v>100</v>
      </c>
      <c r="CB466" s="324">
        <f t="shared" si="411"/>
        <v>25</v>
      </c>
      <c r="CC466" s="324">
        <f t="shared" si="412"/>
        <v>100</v>
      </c>
      <c r="CD466" s="384">
        <f t="shared" si="389"/>
        <v>100</v>
      </c>
      <c r="CE466" s="383">
        <f t="shared" si="390"/>
        <v>4.1250000000000002E-2</v>
      </c>
      <c r="CF466" s="367">
        <f t="shared" si="391"/>
        <v>100</v>
      </c>
      <c r="CG466" s="383">
        <f t="shared" si="392"/>
        <v>4.1250000000000002E-2</v>
      </c>
      <c r="CH466" s="320">
        <f t="shared" si="393"/>
        <v>4.1250000000000002E-2</v>
      </c>
      <c r="CI466" s="319">
        <v>20</v>
      </c>
      <c r="CJ466" s="318">
        <f t="shared" si="413"/>
        <v>0.25</v>
      </c>
      <c r="CK466" s="1259">
        <v>100</v>
      </c>
      <c r="CL466" s="301">
        <f t="shared" si="380"/>
        <v>-80</v>
      </c>
      <c r="CM466" s="381">
        <f t="shared" si="414"/>
        <v>25</v>
      </c>
      <c r="CN466" s="381">
        <f t="shared" si="415"/>
        <v>500</v>
      </c>
      <c r="CO466" s="381">
        <f t="shared" si="394"/>
        <v>100</v>
      </c>
      <c r="CP466" s="381">
        <f t="shared" si="395"/>
        <v>4.1250000000000002E-2</v>
      </c>
      <c r="CQ466" s="381">
        <f t="shared" si="396"/>
        <v>0.20624999999999999</v>
      </c>
      <c r="CR466" s="313">
        <v>148000000</v>
      </c>
      <c r="CS466" s="313">
        <v>143000000</v>
      </c>
      <c r="CT466" s="313">
        <v>0</v>
      </c>
      <c r="CU466" s="313">
        <v>0</v>
      </c>
      <c r="CV466" s="313">
        <v>0</v>
      </c>
      <c r="CW466" s="313">
        <v>0</v>
      </c>
      <c r="CX466" s="313">
        <v>0</v>
      </c>
      <c r="CY466" s="313">
        <v>5000000</v>
      </c>
      <c r="CZ466" s="380">
        <v>0</v>
      </c>
      <c r="DA466" s="380">
        <v>0</v>
      </c>
      <c r="DB466" s="380">
        <v>0</v>
      </c>
      <c r="DC466" s="380">
        <v>0</v>
      </c>
      <c r="DD466" s="380">
        <v>0</v>
      </c>
      <c r="DE466" s="380">
        <v>0</v>
      </c>
      <c r="DF466" s="380">
        <v>0</v>
      </c>
      <c r="DG466" s="380">
        <v>0</v>
      </c>
      <c r="DH466" s="380">
        <v>0</v>
      </c>
      <c r="DI466" s="380">
        <v>0</v>
      </c>
      <c r="DJ466" s="380">
        <v>0</v>
      </c>
      <c r="DK466" s="702">
        <f t="shared" si="416"/>
        <v>100</v>
      </c>
      <c r="DL466" s="311">
        <f t="shared" si="397"/>
        <v>0.16500000000000001</v>
      </c>
      <c r="DM466" s="310">
        <f t="shared" si="398"/>
        <v>100</v>
      </c>
      <c r="DN466" s="356">
        <f t="shared" si="399"/>
        <v>100</v>
      </c>
      <c r="DO466" s="308">
        <f t="shared" si="400"/>
        <v>0.16500000000000001</v>
      </c>
      <c r="DP466" s="359">
        <f>+IF(M466="M",DO466,0)</f>
        <v>0.16500000000000001</v>
      </c>
      <c r="DQ466" s="306">
        <f t="shared" si="401"/>
        <v>0.16500000000000001</v>
      </c>
      <c r="DR466" s="379">
        <f t="shared" si="402"/>
        <v>1</v>
      </c>
      <c r="DS466" s="378">
        <f t="shared" si="403"/>
        <v>0</v>
      </c>
      <c r="DT466" s="173">
        <v>613</v>
      </c>
      <c r="DU466" s="174" t="s">
        <v>96</v>
      </c>
      <c r="DV466" s="173"/>
      <c r="DW466" s="174" t="s">
        <v>84</v>
      </c>
      <c r="DX466" s="173"/>
      <c r="DY466" s="173"/>
      <c r="DZ466" s="173"/>
      <c r="EA466" s="665"/>
      <c r="EB466" s="1254" t="s">
        <v>3135</v>
      </c>
      <c r="EC466" s="537">
        <v>0</v>
      </c>
      <c r="EE466" s="734">
        <v>5</v>
      </c>
      <c r="EF466" s="706"/>
    </row>
    <row r="467" spans="4:136" s="302" customFormat="1" ht="178.5" hidden="1">
      <c r="D467" s="520">
        <v>464</v>
      </c>
      <c r="E467" s="534">
        <v>535</v>
      </c>
      <c r="F467" s="336" t="s">
        <v>46</v>
      </c>
      <c r="G467" s="336" t="s">
        <v>26</v>
      </c>
      <c r="H467" s="336" t="s">
        <v>2677</v>
      </c>
      <c r="I467" s="336" t="s">
        <v>1098</v>
      </c>
      <c r="J467" s="335" t="s">
        <v>1106</v>
      </c>
      <c r="K467" s="335" t="s">
        <v>1107</v>
      </c>
      <c r="L467" s="358" t="s">
        <v>1404</v>
      </c>
      <c r="M467" s="334" t="s">
        <v>1771</v>
      </c>
      <c r="N467" s="337">
        <v>0</v>
      </c>
      <c r="O467" s="333">
        <f>+N467+P467</f>
        <v>50</v>
      </c>
      <c r="P467" s="332">
        <v>50</v>
      </c>
      <c r="Q467" s="393">
        <v>0.16500000000000001</v>
      </c>
      <c r="R467" s="419">
        <f t="shared" si="381"/>
        <v>4.9500000000000002E-2</v>
      </c>
      <c r="S467" s="389">
        <v>15</v>
      </c>
      <c r="T467" s="387">
        <f t="shared" si="404"/>
        <v>0.3</v>
      </c>
      <c r="U467" s="673">
        <v>15</v>
      </c>
      <c r="V467" s="388">
        <f t="shared" si="405"/>
        <v>15</v>
      </c>
      <c r="W467" s="356">
        <f t="shared" si="406"/>
        <v>100</v>
      </c>
      <c r="X467" s="356">
        <f t="shared" si="382"/>
        <v>100</v>
      </c>
      <c r="Y467" s="356">
        <f t="shared" si="417"/>
        <v>4.9500000000000002E-2</v>
      </c>
      <c r="Z467" s="356">
        <f t="shared" si="383"/>
        <v>100</v>
      </c>
      <c r="AA467" s="413">
        <v>0</v>
      </c>
      <c r="AB467" s="413">
        <v>0</v>
      </c>
      <c r="AC467" s="413">
        <v>0</v>
      </c>
      <c r="AD467" s="413">
        <v>0</v>
      </c>
      <c r="AE467" s="413">
        <v>0</v>
      </c>
      <c r="AF467" s="413">
        <v>0</v>
      </c>
      <c r="AG467" s="413">
        <v>0</v>
      </c>
      <c r="AH467" s="413">
        <v>0</v>
      </c>
      <c r="AI467" s="413">
        <v>53036000</v>
      </c>
      <c r="AJ467" s="413">
        <v>53036000</v>
      </c>
      <c r="AK467" s="413">
        <v>0</v>
      </c>
      <c r="AL467" s="413">
        <v>0</v>
      </c>
      <c r="AM467" s="413">
        <v>0</v>
      </c>
      <c r="AN467" s="413">
        <v>0</v>
      </c>
      <c r="AO467" s="413">
        <v>0</v>
      </c>
      <c r="AP467" s="413">
        <v>0</v>
      </c>
      <c r="AQ467" s="413">
        <v>0</v>
      </c>
      <c r="AR467" s="413">
        <v>0</v>
      </c>
      <c r="AS467" s="413">
        <v>0</v>
      </c>
      <c r="AT467" s="392">
        <f t="shared" si="384"/>
        <v>3.3000000000000002E-2</v>
      </c>
      <c r="AU467" s="334">
        <v>10</v>
      </c>
      <c r="AV467" s="387">
        <f t="shared" si="407"/>
        <v>0.2</v>
      </c>
      <c r="AW467" s="677">
        <v>35</v>
      </c>
      <c r="AX467" s="366">
        <f t="shared" si="408"/>
        <v>35</v>
      </c>
      <c r="AY467" s="366">
        <f t="shared" si="409"/>
        <v>350</v>
      </c>
      <c r="AZ467" s="366">
        <f t="shared" si="385"/>
        <v>100</v>
      </c>
      <c r="BA467" s="354">
        <f t="shared" si="386"/>
        <v>3.3000000000000002E-2</v>
      </c>
      <c r="BB467" s="354">
        <f t="shared" si="387"/>
        <v>100</v>
      </c>
      <c r="BC467" s="353">
        <v>50000000</v>
      </c>
      <c r="BD467" s="353">
        <v>0</v>
      </c>
      <c r="BE467" s="353">
        <v>50000000</v>
      </c>
      <c r="BF467" s="353">
        <v>0</v>
      </c>
      <c r="BG467" s="353">
        <v>0</v>
      </c>
      <c r="BH467" s="353">
        <v>0</v>
      </c>
      <c r="BI467" s="353">
        <v>0</v>
      </c>
      <c r="BJ467" s="353">
        <v>0</v>
      </c>
      <c r="BK467" s="386">
        <v>0</v>
      </c>
      <c r="BL467" s="351">
        <v>0</v>
      </c>
      <c r="BM467" s="351">
        <v>0</v>
      </c>
      <c r="BN467" s="351">
        <v>0</v>
      </c>
      <c r="BO467" s="351">
        <v>0</v>
      </c>
      <c r="BP467" s="351">
        <v>0</v>
      </c>
      <c r="BQ467" s="351">
        <v>0</v>
      </c>
      <c r="BR467" s="351">
        <v>0</v>
      </c>
      <c r="BS467" s="351">
        <v>0</v>
      </c>
      <c r="BT467" s="351">
        <v>0</v>
      </c>
      <c r="BU467" s="351">
        <v>0</v>
      </c>
      <c r="BV467" s="350">
        <f t="shared" si="388"/>
        <v>3.3000000000000002E-2</v>
      </c>
      <c r="BW467" s="350">
        <v>10</v>
      </c>
      <c r="BX467" s="385">
        <f t="shared" si="410"/>
        <v>0.2</v>
      </c>
      <c r="BY467" s="395">
        <v>0</v>
      </c>
      <c r="BZ467" s="401">
        <v>0</v>
      </c>
      <c r="CA467" s="691">
        <v>35</v>
      </c>
      <c r="CB467" s="324">
        <f t="shared" si="411"/>
        <v>35</v>
      </c>
      <c r="CC467" s="324">
        <f t="shared" si="412"/>
        <v>350</v>
      </c>
      <c r="CD467" s="384">
        <f t="shared" si="389"/>
        <v>100</v>
      </c>
      <c r="CE467" s="383">
        <f t="shared" si="390"/>
        <v>3.3000000000000002E-2</v>
      </c>
      <c r="CF467" s="367">
        <f t="shared" si="391"/>
        <v>100</v>
      </c>
      <c r="CG467" s="383">
        <f t="shared" si="392"/>
        <v>0.11550000000000001</v>
      </c>
      <c r="CH467" s="320">
        <f t="shared" si="393"/>
        <v>4.9500000000000002E-2</v>
      </c>
      <c r="CI467" s="319">
        <v>15</v>
      </c>
      <c r="CJ467" s="318">
        <f t="shared" si="413"/>
        <v>0.3</v>
      </c>
      <c r="CK467" s="1259">
        <v>15</v>
      </c>
      <c r="CL467" s="301">
        <f t="shared" si="380"/>
        <v>0</v>
      </c>
      <c r="CM467" s="381">
        <f t="shared" si="414"/>
        <v>15</v>
      </c>
      <c r="CN467" s="381">
        <f t="shared" si="415"/>
        <v>100</v>
      </c>
      <c r="CO467" s="316">
        <f t="shared" si="394"/>
        <v>100</v>
      </c>
      <c r="CP467" s="381">
        <f t="shared" si="395"/>
        <v>4.9500000000000002E-2</v>
      </c>
      <c r="CQ467" s="381">
        <f t="shared" si="396"/>
        <v>4.9500000000000002E-2</v>
      </c>
      <c r="CR467" s="313">
        <v>0</v>
      </c>
      <c r="CS467" s="313">
        <v>0</v>
      </c>
      <c r="CT467" s="313">
        <v>0</v>
      </c>
      <c r="CU467" s="313">
        <v>0</v>
      </c>
      <c r="CV467" s="313">
        <v>0</v>
      </c>
      <c r="CW467" s="313">
        <v>0</v>
      </c>
      <c r="CX467" s="313">
        <v>0</v>
      </c>
      <c r="CY467" s="313">
        <v>0</v>
      </c>
      <c r="CZ467" s="380">
        <v>0</v>
      </c>
      <c r="DA467" s="380">
        <v>0</v>
      </c>
      <c r="DB467" s="380">
        <v>0</v>
      </c>
      <c r="DC467" s="380">
        <v>0</v>
      </c>
      <c r="DD467" s="380">
        <v>0</v>
      </c>
      <c r="DE467" s="380">
        <v>0</v>
      </c>
      <c r="DF467" s="380">
        <v>0</v>
      </c>
      <c r="DG467" s="380">
        <v>0</v>
      </c>
      <c r="DH467" s="380">
        <v>0</v>
      </c>
      <c r="DI467" s="380">
        <v>0</v>
      </c>
      <c r="DJ467" s="380">
        <v>0</v>
      </c>
      <c r="DK467" s="702">
        <f t="shared" si="416"/>
        <v>100</v>
      </c>
      <c r="DL467" s="311">
        <f t="shared" si="397"/>
        <v>0.16500000000000001</v>
      </c>
      <c r="DM467" s="310">
        <f t="shared" si="398"/>
        <v>200</v>
      </c>
      <c r="DN467" s="356">
        <f t="shared" si="399"/>
        <v>100</v>
      </c>
      <c r="DO467" s="308">
        <f t="shared" si="400"/>
        <v>0.16500000000000001</v>
      </c>
      <c r="DP467" s="359">
        <f t="shared" ref="DP467:DP511" si="418">+IF(((DN467*Q467)/100)&lt;Q467, ((DN467*Q467)/100),Q467)</f>
        <v>0.16500000000000001</v>
      </c>
      <c r="DQ467" s="306">
        <f t="shared" si="401"/>
        <v>0.16500000000000001</v>
      </c>
      <c r="DR467" s="379">
        <f t="shared" si="402"/>
        <v>1</v>
      </c>
      <c r="DS467" s="378">
        <f t="shared" si="403"/>
        <v>0</v>
      </c>
      <c r="DT467" s="173">
        <v>613</v>
      </c>
      <c r="DU467" s="174" t="s">
        <v>96</v>
      </c>
      <c r="DV467" s="173"/>
      <c r="DW467" s="174" t="s">
        <v>84</v>
      </c>
      <c r="DX467" s="173"/>
      <c r="DY467" s="173"/>
      <c r="DZ467" s="173"/>
      <c r="EA467" s="665"/>
      <c r="EB467" s="1254" t="s">
        <v>3136</v>
      </c>
      <c r="EC467" s="537">
        <v>0</v>
      </c>
      <c r="EE467" s="734">
        <v>10</v>
      </c>
      <c r="EF467" s="706"/>
    </row>
    <row r="468" spans="4:136" s="302" customFormat="1" ht="293.25" hidden="1">
      <c r="D468" s="520">
        <v>465</v>
      </c>
      <c r="E468" s="534">
        <v>536</v>
      </c>
      <c r="F468" s="479" t="s">
        <v>46</v>
      </c>
      <c r="G468" s="479" t="s">
        <v>26</v>
      </c>
      <c r="H468" s="479" t="s">
        <v>2677</v>
      </c>
      <c r="I468" s="435" t="s">
        <v>1098</v>
      </c>
      <c r="J468" s="335" t="s">
        <v>1108</v>
      </c>
      <c r="K468" s="335" t="s">
        <v>1109</v>
      </c>
      <c r="L468" s="358" t="s">
        <v>1802</v>
      </c>
      <c r="M468" s="334" t="s">
        <v>1771</v>
      </c>
      <c r="N468" s="334">
        <v>0</v>
      </c>
      <c r="O468" s="333">
        <f>+N468+P468</f>
        <v>1</v>
      </c>
      <c r="P468" s="332">
        <v>1</v>
      </c>
      <c r="Q468" s="390">
        <v>8.8999999999999996E-2</v>
      </c>
      <c r="R468" s="342">
        <f t="shared" si="381"/>
        <v>0</v>
      </c>
      <c r="S468" s="389">
        <v>0</v>
      </c>
      <c r="T468" s="337">
        <f t="shared" si="404"/>
        <v>0</v>
      </c>
      <c r="U468" s="670">
        <v>0</v>
      </c>
      <c r="V468" s="388">
        <f t="shared" si="405"/>
        <v>0</v>
      </c>
      <c r="W468" s="356">
        <f t="shared" si="406"/>
        <v>0</v>
      </c>
      <c r="X468" s="356">
        <f t="shared" si="382"/>
        <v>0</v>
      </c>
      <c r="Y468" s="356">
        <f t="shared" si="417"/>
        <v>0</v>
      </c>
      <c r="Z468" s="356">
        <f t="shared" si="383"/>
        <v>0</v>
      </c>
      <c r="AA468" s="355">
        <v>0</v>
      </c>
      <c r="AB468" s="355">
        <v>0</v>
      </c>
      <c r="AC468" s="355">
        <v>0</v>
      </c>
      <c r="AD468" s="355">
        <v>0</v>
      </c>
      <c r="AE468" s="355">
        <v>0</v>
      </c>
      <c r="AF468" s="355">
        <v>0</v>
      </c>
      <c r="AG468" s="355">
        <v>0</v>
      </c>
      <c r="AH468" s="355">
        <v>0</v>
      </c>
      <c r="AI468" s="355">
        <v>0</v>
      </c>
      <c r="AJ468" s="355">
        <v>0</v>
      </c>
      <c r="AK468" s="355">
        <v>0</v>
      </c>
      <c r="AL468" s="355">
        <v>0</v>
      </c>
      <c r="AM468" s="355">
        <v>0</v>
      </c>
      <c r="AN468" s="355">
        <v>0</v>
      </c>
      <c r="AO468" s="355">
        <v>0</v>
      </c>
      <c r="AP468" s="355">
        <v>0</v>
      </c>
      <c r="AQ468" s="355">
        <v>0</v>
      </c>
      <c r="AR468" s="355">
        <v>0</v>
      </c>
      <c r="AS468" s="355">
        <v>0</v>
      </c>
      <c r="AT468" s="333">
        <f t="shared" si="384"/>
        <v>0</v>
      </c>
      <c r="AU468" s="334">
        <v>0</v>
      </c>
      <c r="AV468" s="387">
        <f t="shared" si="407"/>
        <v>0</v>
      </c>
      <c r="AW468" s="677">
        <v>0</v>
      </c>
      <c r="AX468" s="366">
        <f t="shared" si="408"/>
        <v>0</v>
      </c>
      <c r="AY468" s="366">
        <f t="shared" si="409"/>
        <v>0</v>
      </c>
      <c r="AZ468" s="366">
        <f t="shared" si="385"/>
        <v>0</v>
      </c>
      <c r="BA468" s="354">
        <f t="shared" si="386"/>
        <v>0</v>
      </c>
      <c r="BB468" s="354">
        <f t="shared" si="387"/>
        <v>0</v>
      </c>
      <c r="BC468" s="353">
        <v>0</v>
      </c>
      <c r="BD468" s="353">
        <v>0</v>
      </c>
      <c r="BE468" s="353">
        <v>0</v>
      </c>
      <c r="BF468" s="353">
        <v>0</v>
      </c>
      <c r="BG468" s="353">
        <v>0</v>
      </c>
      <c r="BH468" s="353">
        <v>0</v>
      </c>
      <c r="BI468" s="353">
        <v>0</v>
      </c>
      <c r="BJ468" s="353">
        <v>0</v>
      </c>
      <c r="BK468" s="386">
        <v>0</v>
      </c>
      <c r="BL468" s="351">
        <v>0</v>
      </c>
      <c r="BM468" s="351">
        <v>0</v>
      </c>
      <c r="BN468" s="351">
        <v>0</v>
      </c>
      <c r="BO468" s="351">
        <v>0</v>
      </c>
      <c r="BP468" s="351">
        <v>0</v>
      </c>
      <c r="BQ468" s="351">
        <v>0</v>
      </c>
      <c r="BR468" s="351">
        <v>0</v>
      </c>
      <c r="BS468" s="351">
        <v>0</v>
      </c>
      <c r="BT468" s="351">
        <v>0</v>
      </c>
      <c r="BU468" s="351">
        <v>0</v>
      </c>
      <c r="BV468" s="350">
        <f t="shared" si="388"/>
        <v>7.1199999999999999E-2</v>
      </c>
      <c r="BW468" s="350">
        <v>0.8</v>
      </c>
      <c r="BX468" s="385">
        <f t="shared" si="410"/>
        <v>0.8</v>
      </c>
      <c r="BY468" s="369">
        <v>0</v>
      </c>
      <c r="BZ468" s="391">
        <v>0.5</v>
      </c>
      <c r="CA468" s="689">
        <v>0.8</v>
      </c>
      <c r="CB468" s="324">
        <f t="shared" si="411"/>
        <v>0.8</v>
      </c>
      <c r="CC468" s="324">
        <f t="shared" si="412"/>
        <v>100</v>
      </c>
      <c r="CD468" s="384">
        <f t="shared" si="389"/>
        <v>100</v>
      </c>
      <c r="CE468" s="383">
        <f t="shared" si="390"/>
        <v>7.1199999999999999E-2</v>
      </c>
      <c r="CF468" s="367">
        <f t="shared" si="391"/>
        <v>100</v>
      </c>
      <c r="CG468" s="383">
        <f t="shared" si="392"/>
        <v>7.1199999999999999E-2</v>
      </c>
      <c r="CH468" s="320">
        <f t="shared" si="393"/>
        <v>1.78E-2</v>
      </c>
      <c r="CI468" s="418">
        <v>0.2</v>
      </c>
      <c r="CJ468" s="318">
        <f t="shared" si="413"/>
        <v>0.2</v>
      </c>
      <c r="CK468" s="1259">
        <v>0.1</v>
      </c>
      <c r="CL468" s="301">
        <f t="shared" si="380"/>
        <v>0.1</v>
      </c>
      <c r="CM468" s="381">
        <f t="shared" si="414"/>
        <v>0.1</v>
      </c>
      <c r="CN468" s="381">
        <f t="shared" si="415"/>
        <v>50</v>
      </c>
      <c r="CO468" s="316">
        <f t="shared" si="394"/>
        <v>50</v>
      </c>
      <c r="CP468" s="381">
        <f t="shared" si="395"/>
        <v>8.8999999999999999E-3</v>
      </c>
      <c r="CQ468" s="381">
        <f t="shared" si="396"/>
        <v>8.8999999999999999E-3</v>
      </c>
      <c r="CR468" s="313">
        <v>0</v>
      </c>
      <c r="CS468" s="313">
        <v>0</v>
      </c>
      <c r="CT468" s="313">
        <v>0</v>
      </c>
      <c r="CU468" s="313">
        <v>0</v>
      </c>
      <c r="CV468" s="313">
        <v>0</v>
      </c>
      <c r="CW468" s="313">
        <v>0</v>
      </c>
      <c r="CX468" s="313">
        <v>0</v>
      </c>
      <c r="CY468" s="313">
        <v>0</v>
      </c>
      <c r="CZ468" s="380">
        <v>0</v>
      </c>
      <c r="DA468" s="380">
        <v>0</v>
      </c>
      <c r="DB468" s="380">
        <v>0</v>
      </c>
      <c r="DC468" s="380">
        <v>0</v>
      </c>
      <c r="DD468" s="380">
        <v>0</v>
      </c>
      <c r="DE468" s="380">
        <v>0</v>
      </c>
      <c r="DF468" s="380">
        <v>0</v>
      </c>
      <c r="DG468" s="380">
        <v>0</v>
      </c>
      <c r="DH468" s="380">
        <v>0</v>
      </c>
      <c r="DI468" s="380">
        <v>0</v>
      </c>
      <c r="DJ468" s="380">
        <v>0</v>
      </c>
      <c r="DK468" s="702">
        <f t="shared" si="416"/>
        <v>0.9</v>
      </c>
      <c r="DL468" s="311">
        <f t="shared" si="397"/>
        <v>8.8999999999999996E-2</v>
      </c>
      <c r="DM468" s="310">
        <f t="shared" si="398"/>
        <v>90</v>
      </c>
      <c r="DN468" s="356">
        <f t="shared" si="399"/>
        <v>90</v>
      </c>
      <c r="DO468" s="308">
        <f t="shared" si="400"/>
        <v>8.0100000000000005E-2</v>
      </c>
      <c r="DP468" s="359">
        <f t="shared" si="418"/>
        <v>8.0100000000000005E-2</v>
      </c>
      <c r="DQ468" s="306">
        <f t="shared" si="401"/>
        <v>8.0100000000000005E-2</v>
      </c>
      <c r="DR468" s="379">
        <f t="shared" si="402"/>
        <v>1</v>
      </c>
      <c r="DS468" s="378">
        <f t="shared" si="403"/>
        <v>0</v>
      </c>
      <c r="DT468" s="173">
        <v>614</v>
      </c>
      <c r="DU468" s="174" t="s">
        <v>95</v>
      </c>
      <c r="DV468" s="173"/>
      <c r="DW468" s="174" t="s">
        <v>84</v>
      </c>
      <c r="DX468" s="173"/>
      <c r="DY468" s="173"/>
      <c r="DZ468" s="173"/>
      <c r="EA468" s="665"/>
      <c r="EB468" s="1254" t="s">
        <v>3137</v>
      </c>
      <c r="EC468" s="537">
        <v>0</v>
      </c>
      <c r="EE468" s="735">
        <v>500</v>
      </c>
      <c r="EF468" s="706"/>
    </row>
    <row r="469" spans="4:136" s="302" customFormat="1" ht="51" hidden="1">
      <c r="D469" s="520">
        <v>466</v>
      </c>
      <c r="E469" s="534">
        <v>537</v>
      </c>
      <c r="F469" s="479" t="s">
        <v>46</v>
      </c>
      <c r="G469" s="479" t="s">
        <v>29</v>
      </c>
      <c r="H469" s="479" t="s">
        <v>2677</v>
      </c>
      <c r="I469" s="435" t="s">
        <v>1110</v>
      </c>
      <c r="J469" s="335" t="s">
        <v>1111</v>
      </c>
      <c r="K469" s="335" t="s">
        <v>1112</v>
      </c>
      <c r="L469" s="358" t="s">
        <v>1825</v>
      </c>
      <c r="M469" s="334" t="s">
        <v>1771</v>
      </c>
      <c r="N469" s="337">
        <v>0</v>
      </c>
      <c r="O469" s="333">
        <f>+N469+P469</f>
        <v>4</v>
      </c>
      <c r="P469" s="332">
        <v>4</v>
      </c>
      <c r="Q469" s="390">
        <v>8.8999999999999996E-2</v>
      </c>
      <c r="R469" s="342">
        <f t="shared" si="381"/>
        <v>2.2249999999999999E-2</v>
      </c>
      <c r="S469" s="417">
        <v>1</v>
      </c>
      <c r="T469" s="337">
        <f t="shared" si="404"/>
        <v>0.25</v>
      </c>
      <c r="U469" s="673">
        <v>1</v>
      </c>
      <c r="V469" s="388">
        <f t="shared" si="405"/>
        <v>1</v>
      </c>
      <c r="W469" s="356">
        <f t="shared" si="406"/>
        <v>100</v>
      </c>
      <c r="X469" s="356">
        <f t="shared" si="382"/>
        <v>100</v>
      </c>
      <c r="Y469" s="356">
        <f t="shared" si="417"/>
        <v>2.2250000000000002E-2</v>
      </c>
      <c r="Z469" s="356">
        <f t="shared" si="383"/>
        <v>100</v>
      </c>
      <c r="AA469" s="413">
        <v>0</v>
      </c>
      <c r="AB469" s="413">
        <v>0</v>
      </c>
      <c r="AC469" s="413">
        <v>0</v>
      </c>
      <c r="AD469" s="413">
        <v>0</v>
      </c>
      <c r="AE469" s="413">
        <v>0</v>
      </c>
      <c r="AF469" s="413">
        <v>0</v>
      </c>
      <c r="AG469" s="413">
        <v>0</v>
      </c>
      <c r="AH469" s="413">
        <v>0</v>
      </c>
      <c r="AI469" s="413">
        <v>0</v>
      </c>
      <c r="AJ469" s="413">
        <v>0</v>
      </c>
      <c r="AK469" s="413">
        <v>0</v>
      </c>
      <c r="AL469" s="413">
        <v>0</v>
      </c>
      <c r="AM469" s="413">
        <v>0</v>
      </c>
      <c r="AN469" s="413">
        <v>0</v>
      </c>
      <c r="AO469" s="413">
        <v>0</v>
      </c>
      <c r="AP469" s="413">
        <v>0</v>
      </c>
      <c r="AQ469" s="413">
        <v>0</v>
      </c>
      <c r="AR469" s="413">
        <v>0</v>
      </c>
      <c r="AS469" s="413">
        <v>0</v>
      </c>
      <c r="AT469" s="333">
        <f t="shared" si="384"/>
        <v>2.2249999999999999E-2</v>
      </c>
      <c r="AU469" s="334">
        <v>1</v>
      </c>
      <c r="AV469" s="387">
        <f t="shared" si="407"/>
        <v>0.25</v>
      </c>
      <c r="AW469" s="677">
        <v>1</v>
      </c>
      <c r="AX469" s="366">
        <f t="shared" si="408"/>
        <v>1</v>
      </c>
      <c r="AY469" s="366">
        <f t="shared" si="409"/>
        <v>100</v>
      </c>
      <c r="AZ469" s="366">
        <f t="shared" si="385"/>
        <v>100</v>
      </c>
      <c r="BA469" s="354">
        <f t="shared" si="386"/>
        <v>2.2250000000000002E-2</v>
      </c>
      <c r="BB469" s="354">
        <f t="shared" si="387"/>
        <v>100</v>
      </c>
      <c r="BC469" s="353">
        <v>0</v>
      </c>
      <c r="BD469" s="353">
        <v>0</v>
      </c>
      <c r="BE469" s="353">
        <v>0</v>
      </c>
      <c r="BF469" s="353">
        <v>0</v>
      </c>
      <c r="BG469" s="353">
        <v>0</v>
      </c>
      <c r="BH469" s="353">
        <v>0</v>
      </c>
      <c r="BI469" s="353">
        <v>0</v>
      </c>
      <c r="BJ469" s="353">
        <v>0</v>
      </c>
      <c r="BK469" s="386">
        <v>0</v>
      </c>
      <c r="BL469" s="351">
        <v>0</v>
      </c>
      <c r="BM469" s="351">
        <v>0</v>
      </c>
      <c r="BN469" s="351">
        <v>0</v>
      </c>
      <c r="BO469" s="351">
        <v>0</v>
      </c>
      <c r="BP469" s="351">
        <v>0</v>
      </c>
      <c r="BQ469" s="351">
        <v>0</v>
      </c>
      <c r="BR469" s="351">
        <v>0</v>
      </c>
      <c r="BS469" s="351">
        <v>0</v>
      </c>
      <c r="BT469" s="351">
        <v>0</v>
      </c>
      <c r="BU469" s="351">
        <v>0</v>
      </c>
      <c r="BV469" s="350">
        <f t="shared" si="388"/>
        <v>2.2249999999999999E-2</v>
      </c>
      <c r="BW469" s="350">
        <v>1</v>
      </c>
      <c r="BX469" s="385">
        <f t="shared" si="410"/>
        <v>0.25</v>
      </c>
      <c r="BY469" s="369">
        <v>0.5</v>
      </c>
      <c r="BZ469" s="391">
        <v>0.75</v>
      </c>
      <c r="CA469" s="689">
        <v>1</v>
      </c>
      <c r="CB469" s="324">
        <f t="shared" si="411"/>
        <v>1</v>
      </c>
      <c r="CC469" s="324">
        <f t="shared" si="412"/>
        <v>100</v>
      </c>
      <c r="CD469" s="384">
        <f t="shared" si="389"/>
        <v>100</v>
      </c>
      <c r="CE469" s="383">
        <f t="shared" si="390"/>
        <v>2.2250000000000002E-2</v>
      </c>
      <c r="CF469" s="367">
        <f t="shared" si="391"/>
        <v>100</v>
      </c>
      <c r="CG469" s="383">
        <f t="shared" si="392"/>
        <v>2.2250000000000002E-2</v>
      </c>
      <c r="CH469" s="320">
        <f t="shared" si="393"/>
        <v>2.2249999999999999E-2</v>
      </c>
      <c r="CI469" s="319">
        <v>1</v>
      </c>
      <c r="CJ469" s="318">
        <f t="shared" si="413"/>
        <v>0.25</v>
      </c>
      <c r="CK469" s="1260">
        <v>1</v>
      </c>
      <c r="CL469" s="301">
        <f t="shared" si="380"/>
        <v>0</v>
      </c>
      <c r="CM469" s="381">
        <f t="shared" si="414"/>
        <v>1</v>
      </c>
      <c r="CN469" s="381">
        <f t="shared" si="415"/>
        <v>100</v>
      </c>
      <c r="CO469" s="316">
        <f t="shared" si="394"/>
        <v>100</v>
      </c>
      <c r="CP469" s="381">
        <f t="shared" si="395"/>
        <v>2.2250000000000002E-2</v>
      </c>
      <c r="CQ469" s="381">
        <f t="shared" si="396"/>
        <v>2.2250000000000002E-2</v>
      </c>
      <c r="CR469" s="313">
        <v>0</v>
      </c>
      <c r="CS469" s="313">
        <v>0</v>
      </c>
      <c r="CT469" s="313">
        <v>0</v>
      </c>
      <c r="CU469" s="313">
        <v>0</v>
      </c>
      <c r="CV469" s="313">
        <v>0</v>
      </c>
      <c r="CW469" s="313">
        <v>0</v>
      </c>
      <c r="CX469" s="313">
        <v>0</v>
      </c>
      <c r="CY469" s="313">
        <v>0</v>
      </c>
      <c r="CZ469" s="380">
        <v>0</v>
      </c>
      <c r="DA469" s="380">
        <v>0</v>
      </c>
      <c r="DB469" s="380">
        <v>0</v>
      </c>
      <c r="DC469" s="380">
        <v>0</v>
      </c>
      <c r="DD469" s="380">
        <v>0</v>
      </c>
      <c r="DE469" s="380">
        <v>0</v>
      </c>
      <c r="DF469" s="380">
        <v>0</v>
      </c>
      <c r="DG469" s="380">
        <v>0</v>
      </c>
      <c r="DH469" s="380">
        <v>0</v>
      </c>
      <c r="DI469" s="380">
        <v>0</v>
      </c>
      <c r="DJ469" s="380">
        <v>0</v>
      </c>
      <c r="DK469" s="702">
        <f t="shared" si="416"/>
        <v>4</v>
      </c>
      <c r="DL469" s="311">
        <f t="shared" si="397"/>
        <v>8.8999999999999996E-2</v>
      </c>
      <c r="DM469" s="310">
        <f t="shared" si="398"/>
        <v>100</v>
      </c>
      <c r="DN469" s="356">
        <f t="shared" si="399"/>
        <v>100</v>
      </c>
      <c r="DO469" s="308">
        <f t="shared" si="400"/>
        <v>8.900000000000001E-2</v>
      </c>
      <c r="DP469" s="359">
        <f t="shared" si="418"/>
        <v>8.8999999999999996E-2</v>
      </c>
      <c r="DQ469" s="306">
        <f t="shared" si="401"/>
        <v>8.8999999999999996E-2</v>
      </c>
      <c r="DR469" s="379">
        <f t="shared" si="402"/>
        <v>1</v>
      </c>
      <c r="DS469" s="378">
        <f t="shared" si="403"/>
        <v>0</v>
      </c>
      <c r="DT469" s="173">
        <v>613</v>
      </c>
      <c r="DU469" s="174" t="s">
        <v>96</v>
      </c>
      <c r="DV469" s="173"/>
      <c r="DW469" s="174" t="s">
        <v>84</v>
      </c>
      <c r="DX469" s="173"/>
      <c r="DY469" s="173"/>
      <c r="DZ469" s="173"/>
      <c r="EA469" s="665"/>
      <c r="EB469" s="1254" t="s">
        <v>2145</v>
      </c>
      <c r="EC469" s="537">
        <v>0</v>
      </c>
      <c r="EE469" s="739">
        <v>0</v>
      </c>
      <c r="EF469" s="706"/>
    </row>
    <row r="470" spans="4:136" s="302" customFormat="1" ht="76.5">
      <c r="D470" s="520">
        <v>467</v>
      </c>
      <c r="E470" s="534">
        <v>538</v>
      </c>
      <c r="F470" s="479" t="s">
        <v>46</v>
      </c>
      <c r="G470" s="479" t="s">
        <v>19</v>
      </c>
      <c r="H470" s="479" t="s">
        <v>2677</v>
      </c>
      <c r="I470" s="435" t="s">
        <v>1110</v>
      </c>
      <c r="J470" s="335" t="s">
        <v>1113</v>
      </c>
      <c r="K470" s="335" t="s">
        <v>1114</v>
      </c>
      <c r="L470" s="358" t="s">
        <v>1825</v>
      </c>
      <c r="M470" s="334" t="s">
        <v>1771</v>
      </c>
      <c r="N470" s="334">
        <v>0</v>
      </c>
      <c r="O470" s="333">
        <f>+N470+P470</f>
        <v>4</v>
      </c>
      <c r="P470" s="332">
        <v>4</v>
      </c>
      <c r="Q470" s="390">
        <v>8.8999999999999996E-2</v>
      </c>
      <c r="R470" s="342">
        <f t="shared" si="381"/>
        <v>2.2249999999999999E-2</v>
      </c>
      <c r="S470" s="389">
        <v>1</v>
      </c>
      <c r="T470" s="337">
        <f t="shared" si="404"/>
        <v>0.25</v>
      </c>
      <c r="U470" s="670">
        <v>1</v>
      </c>
      <c r="V470" s="388">
        <f t="shared" si="405"/>
        <v>1</v>
      </c>
      <c r="W470" s="356">
        <f t="shared" si="406"/>
        <v>100</v>
      </c>
      <c r="X470" s="356">
        <f t="shared" si="382"/>
        <v>100</v>
      </c>
      <c r="Y470" s="356">
        <f t="shared" si="417"/>
        <v>2.2250000000000002E-2</v>
      </c>
      <c r="Z470" s="356">
        <f t="shared" si="383"/>
        <v>100</v>
      </c>
      <c r="AA470" s="355">
        <v>0</v>
      </c>
      <c r="AB470" s="355">
        <v>0</v>
      </c>
      <c r="AC470" s="355">
        <v>0</v>
      </c>
      <c r="AD470" s="355">
        <v>0</v>
      </c>
      <c r="AE470" s="355">
        <v>0</v>
      </c>
      <c r="AF470" s="355">
        <v>0</v>
      </c>
      <c r="AG470" s="355">
        <v>0</v>
      </c>
      <c r="AH470" s="355">
        <v>0</v>
      </c>
      <c r="AI470" s="355">
        <v>0</v>
      </c>
      <c r="AJ470" s="355">
        <v>0</v>
      </c>
      <c r="AK470" s="355">
        <v>0</v>
      </c>
      <c r="AL470" s="355">
        <v>0</v>
      </c>
      <c r="AM470" s="355">
        <v>0</v>
      </c>
      <c r="AN470" s="355">
        <v>0</v>
      </c>
      <c r="AO470" s="355">
        <v>0</v>
      </c>
      <c r="AP470" s="355">
        <v>0</v>
      </c>
      <c r="AQ470" s="355">
        <v>0</v>
      </c>
      <c r="AR470" s="355">
        <v>0</v>
      </c>
      <c r="AS470" s="355">
        <v>0</v>
      </c>
      <c r="AT470" s="333">
        <f t="shared" si="384"/>
        <v>2.2249999999999999E-2</v>
      </c>
      <c r="AU470" s="334">
        <v>1</v>
      </c>
      <c r="AV470" s="387">
        <f t="shared" si="407"/>
        <v>0.25</v>
      </c>
      <c r="AW470" s="677">
        <v>0.4</v>
      </c>
      <c r="AX470" s="366">
        <f t="shared" si="408"/>
        <v>0.4</v>
      </c>
      <c r="AY470" s="366">
        <f t="shared" si="409"/>
        <v>40</v>
      </c>
      <c r="AZ470" s="366">
        <f t="shared" si="385"/>
        <v>40</v>
      </c>
      <c r="BA470" s="354">
        <f t="shared" si="386"/>
        <v>8.8999999999999982E-3</v>
      </c>
      <c r="BB470" s="354">
        <f t="shared" si="387"/>
        <v>40</v>
      </c>
      <c r="BC470" s="353">
        <v>0</v>
      </c>
      <c r="BD470" s="353">
        <v>0</v>
      </c>
      <c r="BE470" s="353">
        <v>0</v>
      </c>
      <c r="BF470" s="353">
        <v>0</v>
      </c>
      <c r="BG470" s="353">
        <v>0</v>
      </c>
      <c r="BH470" s="353">
        <v>0</v>
      </c>
      <c r="BI470" s="353">
        <v>0</v>
      </c>
      <c r="BJ470" s="353">
        <v>0</v>
      </c>
      <c r="BK470" s="386">
        <v>0</v>
      </c>
      <c r="BL470" s="351">
        <v>0</v>
      </c>
      <c r="BM470" s="351">
        <v>0</v>
      </c>
      <c r="BN470" s="351">
        <v>0</v>
      </c>
      <c r="BO470" s="351">
        <v>0</v>
      </c>
      <c r="BP470" s="351">
        <v>0</v>
      </c>
      <c r="BQ470" s="351">
        <v>0</v>
      </c>
      <c r="BR470" s="351">
        <v>0</v>
      </c>
      <c r="BS470" s="351">
        <v>0</v>
      </c>
      <c r="BT470" s="351">
        <v>0</v>
      </c>
      <c r="BU470" s="351">
        <v>0</v>
      </c>
      <c r="BV470" s="350">
        <f t="shared" si="388"/>
        <v>2.2249999999999999E-2</v>
      </c>
      <c r="BW470" s="350">
        <v>1</v>
      </c>
      <c r="BX470" s="385">
        <f t="shared" si="410"/>
        <v>0.25</v>
      </c>
      <c r="BY470" s="349">
        <v>1</v>
      </c>
      <c r="BZ470" s="348">
        <v>1</v>
      </c>
      <c r="CA470" s="742">
        <v>1</v>
      </c>
      <c r="CB470" s="324">
        <f t="shared" si="411"/>
        <v>1</v>
      </c>
      <c r="CC470" s="324">
        <f t="shared" si="412"/>
        <v>100</v>
      </c>
      <c r="CD470" s="384">
        <f t="shared" si="389"/>
        <v>100</v>
      </c>
      <c r="CE470" s="383">
        <f t="shared" si="390"/>
        <v>2.2250000000000002E-2</v>
      </c>
      <c r="CF470" s="367">
        <f t="shared" si="391"/>
        <v>100</v>
      </c>
      <c r="CG470" s="383">
        <f t="shared" si="392"/>
        <v>2.2250000000000002E-2</v>
      </c>
      <c r="CH470" s="320">
        <f t="shared" si="393"/>
        <v>2.2249999999999999E-2</v>
      </c>
      <c r="CI470" s="319">
        <v>1</v>
      </c>
      <c r="CJ470" s="318">
        <f t="shared" si="413"/>
        <v>0.25</v>
      </c>
      <c r="CK470" s="1259">
        <v>1</v>
      </c>
      <c r="CL470" s="301">
        <f t="shared" si="380"/>
        <v>0</v>
      </c>
      <c r="CM470" s="381">
        <f t="shared" si="414"/>
        <v>1</v>
      </c>
      <c r="CN470" s="381">
        <f t="shared" si="415"/>
        <v>100</v>
      </c>
      <c r="CO470" s="316">
        <f t="shared" si="394"/>
        <v>100</v>
      </c>
      <c r="CP470" s="381">
        <f t="shared" si="395"/>
        <v>2.2250000000000002E-2</v>
      </c>
      <c r="CQ470" s="381">
        <f t="shared" si="396"/>
        <v>2.2250000000000002E-2</v>
      </c>
      <c r="CR470" s="313">
        <v>0</v>
      </c>
      <c r="CS470" s="313">
        <v>0</v>
      </c>
      <c r="CT470" s="313">
        <v>0</v>
      </c>
      <c r="CU470" s="313">
        <v>0</v>
      </c>
      <c r="CV470" s="313">
        <v>0</v>
      </c>
      <c r="CW470" s="313">
        <v>0</v>
      </c>
      <c r="CX470" s="313">
        <v>0</v>
      </c>
      <c r="CY470" s="313">
        <v>0</v>
      </c>
      <c r="CZ470" s="380">
        <v>0</v>
      </c>
      <c r="DA470" s="380">
        <v>0</v>
      </c>
      <c r="DB470" s="380">
        <v>0</v>
      </c>
      <c r="DC470" s="380">
        <v>0</v>
      </c>
      <c r="DD470" s="380">
        <v>0</v>
      </c>
      <c r="DE470" s="380">
        <v>0</v>
      </c>
      <c r="DF470" s="380">
        <v>0</v>
      </c>
      <c r="DG470" s="380">
        <v>0</v>
      </c>
      <c r="DH470" s="380">
        <v>0</v>
      </c>
      <c r="DI470" s="380">
        <v>0</v>
      </c>
      <c r="DJ470" s="380">
        <v>0</v>
      </c>
      <c r="DK470" s="702">
        <f t="shared" si="416"/>
        <v>3.4</v>
      </c>
      <c r="DL470" s="311">
        <f t="shared" si="397"/>
        <v>8.8999999999999996E-2</v>
      </c>
      <c r="DM470" s="310">
        <f t="shared" si="398"/>
        <v>85</v>
      </c>
      <c r="DN470" s="356">
        <f t="shared" si="399"/>
        <v>85</v>
      </c>
      <c r="DO470" s="308">
        <f t="shared" si="400"/>
        <v>7.5649999999999995E-2</v>
      </c>
      <c r="DP470" s="359">
        <f t="shared" si="418"/>
        <v>7.5649999999999995E-2</v>
      </c>
      <c r="DQ470" s="306">
        <f t="shared" si="401"/>
        <v>7.5649999999999995E-2</v>
      </c>
      <c r="DR470" s="379">
        <f t="shared" si="402"/>
        <v>1</v>
      </c>
      <c r="DS470" s="378">
        <f t="shared" si="403"/>
        <v>0</v>
      </c>
      <c r="DT470" s="173">
        <v>614</v>
      </c>
      <c r="DU470" s="174" t="s">
        <v>95</v>
      </c>
      <c r="DV470" s="173">
        <v>615</v>
      </c>
      <c r="DW470" s="174" t="s">
        <v>94</v>
      </c>
      <c r="DX470" s="173">
        <v>619</v>
      </c>
      <c r="DY470" s="173"/>
      <c r="DZ470" s="173"/>
      <c r="EA470" s="665"/>
      <c r="EB470" s="1254" t="s">
        <v>2146</v>
      </c>
      <c r="EC470" s="537">
        <v>146000000</v>
      </c>
      <c r="EE470" s="734">
        <v>100</v>
      </c>
      <c r="EF470" s="706"/>
    </row>
    <row r="471" spans="4:136" s="302" customFormat="1" ht="51" hidden="1">
      <c r="D471" s="520">
        <v>468</v>
      </c>
      <c r="E471" s="534">
        <v>539</v>
      </c>
      <c r="F471" s="479" t="s">
        <v>46</v>
      </c>
      <c r="G471" s="479" t="s">
        <v>27</v>
      </c>
      <c r="H471" s="479" t="s">
        <v>2677</v>
      </c>
      <c r="I471" s="435" t="s">
        <v>1110</v>
      </c>
      <c r="J471" s="335" t="s">
        <v>1115</v>
      </c>
      <c r="K471" s="335" t="s">
        <v>1116</v>
      </c>
      <c r="L471" s="358" t="s">
        <v>1824</v>
      </c>
      <c r="M471" s="334" t="s">
        <v>1771</v>
      </c>
      <c r="N471" s="334">
        <v>0</v>
      </c>
      <c r="O471" s="333">
        <f>+N471+P471</f>
        <v>1</v>
      </c>
      <c r="P471" s="332">
        <v>1</v>
      </c>
      <c r="Q471" s="390">
        <v>8.8999999999999996E-2</v>
      </c>
      <c r="R471" s="342">
        <f t="shared" si="381"/>
        <v>0</v>
      </c>
      <c r="S471" s="389">
        <v>0</v>
      </c>
      <c r="T471" s="337">
        <f t="shared" si="404"/>
        <v>0</v>
      </c>
      <c r="U471" s="670">
        <v>0</v>
      </c>
      <c r="V471" s="388">
        <f t="shared" si="405"/>
        <v>0</v>
      </c>
      <c r="W471" s="356">
        <f t="shared" si="406"/>
        <v>0</v>
      </c>
      <c r="X471" s="356">
        <f t="shared" si="382"/>
        <v>0</v>
      </c>
      <c r="Y471" s="356">
        <f t="shared" si="417"/>
        <v>0</v>
      </c>
      <c r="Z471" s="356">
        <f t="shared" si="383"/>
        <v>0</v>
      </c>
      <c r="AA471" s="355">
        <v>0</v>
      </c>
      <c r="AB471" s="355">
        <v>0</v>
      </c>
      <c r="AC471" s="355">
        <v>0</v>
      </c>
      <c r="AD471" s="355">
        <v>0</v>
      </c>
      <c r="AE471" s="355">
        <v>0</v>
      </c>
      <c r="AF471" s="355">
        <v>0</v>
      </c>
      <c r="AG471" s="355">
        <v>0</v>
      </c>
      <c r="AH471" s="355">
        <v>0</v>
      </c>
      <c r="AI471" s="355">
        <v>0</v>
      </c>
      <c r="AJ471" s="355">
        <v>0</v>
      </c>
      <c r="AK471" s="355">
        <v>0</v>
      </c>
      <c r="AL471" s="355">
        <v>0</v>
      </c>
      <c r="AM471" s="355">
        <v>0</v>
      </c>
      <c r="AN471" s="355">
        <v>0</v>
      </c>
      <c r="AO471" s="355">
        <v>0</v>
      </c>
      <c r="AP471" s="355">
        <v>0</v>
      </c>
      <c r="AQ471" s="355">
        <v>0</v>
      </c>
      <c r="AR471" s="355">
        <v>0</v>
      </c>
      <c r="AS471" s="355">
        <v>0</v>
      </c>
      <c r="AT471" s="333">
        <f t="shared" si="384"/>
        <v>0</v>
      </c>
      <c r="AU471" s="334">
        <v>0</v>
      </c>
      <c r="AV471" s="387">
        <f t="shared" si="407"/>
        <v>0</v>
      </c>
      <c r="AW471" s="677">
        <v>0</v>
      </c>
      <c r="AX471" s="366">
        <f t="shared" si="408"/>
        <v>0</v>
      </c>
      <c r="AY471" s="366">
        <f t="shared" si="409"/>
        <v>0</v>
      </c>
      <c r="AZ471" s="366">
        <f t="shared" si="385"/>
        <v>0</v>
      </c>
      <c r="BA471" s="354">
        <f t="shared" si="386"/>
        <v>0</v>
      </c>
      <c r="BB471" s="354">
        <f t="shared" si="387"/>
        <v>0</v>
      </c>
      <c r="BC471" s="353">
        <v>0</v>
      </c>
      <c r="BD471" s="353">
        <v>0</v>
      </c>
      <c r="BE471" s="353">
        <v>0</v>
      </c>
      <c r="BF471" s="353">
        <v>0</v>
      </c>
      <c r="BG471" s="353">
        <v>0</v>
      </c>
      <c r="BH471" s="353">
        <v>0</v>
      </c>
      <c r="BI471" s="353">
        <v>0</v>
      </c>
      <c r="BJ471" s="353">
        <v>0</v>
      </c>
      <c r="BK471" s="386">
        <v>0</v>
      </c>
      <c r="BL471" s="351">
        <v>0</v>
      </c>
      <c r="BM471" s="351">
        <v>0</v>
      </c>
      <c r="BN471" s="351">
        <v>0</v>
      </c>
      <c r="BO471" s="351">
        <v>0</v>
      </c>
      <c r="BP471" s="351">
        <v>0</v>
      </c>
      <c r="BQ471" s="351">
        <v>0</v>
      </c>
      <c r="BR471" s="351">
        <v>0</v>
      </c>
      <c r="BS471" s="351">
        <v>0</v>
      </c>
      <c r="BT471" s="351">
        <v>0</v>
      </c>
      <c r="BU471" s="351">
        <v>0</v>
      </c>
      <c r="BV471" s="350">
        <f t="shared" si="388"/>
        <v>0</v>
      </c>
      <c r="BW471" s="350">
        <v>0</v>
      </c>
      <c r="BX471" s="385">
        <f t="shared" si="410"/>
        <v>0</v>
      </c>
      <c r="BY471" s="400">
        <v>0</v>
      </c>
      <c r="BZ471" s="416">
        <v>0</v>
      </c>
      <c r="CA471" s="691">
        <v>0</v>
      </c>
      <c r="CB471" s="324">
        <f t="shared" si="411"/>
        <v>0</v>
      </c>
      <c r="CC471" s="324">
        <f t="shared" si="412"/>
        <v>0</v>
      </c>
      <c r="CD471" s="384">
        <f t="shared" si="389"/>
        <v>0</v>
      </c>
      <c r="CE471" s="383">
        <f t="shared" si="390"/>
        <v>0</v>
      </c>
      <c r="CF471" s="367">
        <f t="shared" si="391"/>
        <v>0</v>
      </c>
      <c r="CG471" s="383">
        <f t="shared" si="392"/>
        <v>0</v>
      </c>
      <c r="CH471" s="320">
        <f t="shared" si="393"/>
        <v>8.8999999999999996E-2</v>
      </c>
      <c r="CI471" s="319">
        <v>1</v>
      </c>
      <c r="CJ471" s="318">
        <f t="shared" si="413"/>
        <v>1</v>
      </c>
      <c r="CK471" s="1260">
        <v>1</v>
      </c>
      <c r="CL471" s="301">
        <f t="shared" si="380"/>
        <v>0</v>
      </c>
      <c r="CM471" s="381">
        <f t="shared" si="414"/>
        <v>1</v>
      </c>
      <c r="CN471" s="381">
        <f t="shared" si="415"/>
        <v>100</v>
      </c>
      <c r="CO471" s="316">
        <f t="shared" si="394"/>
        <v>100</v>
      </c>
      <c r="CP471" s="381">
        <f t="shared" si="395"/>
        <v>8.900000000000001E-2</v>
      </c>
      <c r="CQ471" s="381">
        <f t="shared" si="396"/>
        <v>8.900000000000001E-2</v>
      </c>
      <c r="CR471" s="313">
        <v>0</v>
      </c>
      <c r="CS471" s="313">
        <v>0</v>
      </c>
      <c r="CT471" s="313">
        <v>0</v>
      </c>
      <c r="CU471" s="313">
        <v>0</v>
      </c>
      <c r="CV471" s="313">
        <v>0</v>
      </c>
      <c r="CW471" s="313">
        <v>0</v>
      </c>
      <c r="CX471" s="313">
        <v>0</v>
      </c>
      <c r="CY471" s="313">
        <v>0</v>
      </c>
      <c r="CZ471" s="380">
        <v>0</v>
      </c>
      <c r="DA471" s="380">
        <v>0</v>
      </c>
      <c r="DB471" s="380">
        <v>0</v>
      </c>
      <c r="DC471" s="380">
        <v>0</v>
      </c>
      <c r="DD471" s="380">
        <v>0</v>
      </c>
      <c r="DE471" s="380">
        <v>0</v>
      </c>
      <c r="DF471" s="380">
        <v>0</v>
      </c>
      <c r="DG471" s="380">
        <v>0</v>
      </c>
      <c r="DH471" s="380">
        <v>0</v>
      </c>
      <c r="DI471" s="380">
        <v>0</v>
      </c>
      <c r="DJ471" s="380">
        <v>0</v>
      </c>
      <c r="DK471" s="702">
        <f t="shared" si="416"/>
        <v>1</v>
      </c>
      <c r="DL471" s="311">
        <f t="shared" si="397"/>
        <v>8.8999999999999996E-2</v>
      </c>
      <c r="DM471" s="310">
        <f t="shared" si="398"/>
        <v>100</v>
      </c>
      <c r="DN471" s="356">
        <f t="shared" si="399"/>
        <v>100</v>
      </c>
      <c r="DO471" s="308">
        <f t="shared" si="400"/>
        <v>8.900000000000001E-2</v>
      </c>
      <c r="DP471" s="359">
        <f t="shared" si="418"/>
        <v>8.8999999999999996E-2</v>
      </c>
      <c r="DQ471" s="306">
        <f t="shared" si="401"/>
        <v>8.8999999999999996E-2</v>
      </c>
      <c r="DR471" s="379">
        <f t="shared" si="402"/>
        <v>1</v>
      </c>
      <c r="DS471" s="378">
        <f t="shared" si="403"/>
        <v>0</v>
      </c>
      <c r="DT471" s="173">
        <v>614</v>
      </c>
      <c r="DU471" s="174" t="s">
        <v>95</v>
      </c>
      <c r="DV471" s="173"/>
      <c r="DW471" s="174" t="s">
        <v>84</v>
      </c>
      <c r="DX471" s="173"/>
      <c r="DY471" s="173"/>
      <c r="DZ471" s="173"/>
      <c r="EA471" s="665"/>
      <c r="EB471" s="1254" t="s">
        <v>84</v>
      </c>
      <c r="EC471" s="537">
        <v>0</v>
      </c>
      <c r="EE471" s="734">
        <v>5</v>
      </c>
      <c r="EF471" s="706"/>
    </row>
    <row r="472" spans="4:136" s="302" customFormat="1" ht="127.5" hidden="1">
      <c r="D472" s="520">
        <v>469</v>
      </c>
      <c r="E472" s="534">
        <v>540</v>
      </c>
      <c r="F472" s="479" t="s">
        <v>46</v>
      </c>
      <c r="G472" s="479" t="s">
        <v>28</v>
      </c>
      <c r="H472" s="479" t="s">
        <v>2677</v>
      </c>
      <c r="I472" s="435" t="s">
        <v>1117</v>
      </c>
      <c r="J472" s="335" t="s">
        <v>1118</v>
      </c>
      <c r="K472" s="335" t="s">
        <v>1119</v>
      </c>
      <c r="L472" s="358" t="s">
        <v>1404</v>
      </c>
      <c r="M472" s="334" t="s">
        <v>1823</v>
      </c>
      <c r="N472" s="334">
        <v>25</v>
      </c>
      <c r="O472" s="764">
        <v>15</v>
      </c>
      <c r="P472" s="765">
        <v>10</v>
      </c>
      <c r="Q472" s="390">
        <v>0.16500000000000001</v>
      </c>
      <c r="R472" s="342">
        <f t="shared" si="381"/>
        <v>3.3000000000000002E-2</v>
      </c>
      <c r="S472" s="414">
        <v>23</v>
      </c>
      <c r="T472" s="387">
        <f>IF(M472="M",0.25,IF(M472="R",(N472-S472)/P472,(IF($P472&gt;0,S472/$P472," "))))</f>
        <v>0.2</v>
      </c>
      <c r="U472" s="670">
        <f>+N472-2</f>
        <v>23</v>
      </c>
      <c r="V472" s="388">
        <f>+IF($M472="I",(U472),IF($M472="M",U472/4, U472))</f>
        <v>23</v>
      </c>
      <c r="W472" s="356">
        <f>IF(S472=0,0, IF(M472="R",(N472-U472)/(N472-S472)*100,U472*100/S472))</f>
        <v>100</v>
      </c>
      <c r="X472" s="356">
        <f t="shared" si="382"/>
        <v>100</v>
      </c>
      <c r="Y472" s="356">
        <f t="shared" si="417"/>
        <v>3.3000000000000002E-2</v>
      </c>
      <c r="Z472" s="356">
        <f t="shared" si="383"/>
        <v>100</v>
      </c>
      <c r="AA472" s="413">
        <v>404000000</v>
      </c>
      <c r="AB472" s="413">
        <v>404000000</v>
      </c>
      <c r="AC472" s="413">
        <v>0</v>
      </c>
      <c r="AD472" s="413">
        <v>0</v>
      </c>
      <c r="AE472" s="413">
        <v>0</v>
      </c>
      <c r="AF472" s="413">
        <v>0</v>
      </c>
      <c r="AG472" s="413">
        <v>0</v>
      </c>
      <c r="AH472" s="413">
        <v>0</v>
      </c>
      <c r="AI472" s="413">
        <v>7347665000</v>
      </c>
      <c r="AJ472" s="413">
        <v>5947665000</v>
      </c>
      <c r="AK472" s="413">
        <v>0</v>
      </c>
      <c r="AL472" s="413">
        <v>1400000000</v>
      </c>
      <c r="AM472" s="413">
        <v>0</v>
      </c>
      <c r="AN472" s="413">
        <v>0</v>
      </c>
      <c r="AO472" s="413">
        <v>0</v>
      </c>
      <c r="AP472" s="413">
        <v>0</v>
      </c>
      <c r="AQ472" s="413">
        <v>0</v>
      </c>
      <c r="AR472" s="413">
        <v>0</v>
      </c>
      <c r="AS472" s="413">
        <v>0</v>
      </c>
      <c r="AT472" s="333">
        <f t="shared" si="384"/>
        <v>4.9500000000000002E-2</v>
      </c>
      <c r="AU472" s="412">
        <f>23-3</f>
        <v>20</v>
      </c>
      <c r="AV472" s="387">
        <f>IF($M472="M",0.25,IF($M472="R",(+S472-AU472)/$P472,(IF($P472&gt;0,AU472/$P472," "))))</f>
        <v>0.3</v>
      </c>
      <c r="AW472" s="677">
        <v>20</v>
      </c>
      <c r="AX472" s="409">
        <f>+IF($M472="I",(AW472),IF($M472="M",AW472/4, AW472))</f>
        <v>20</v>
      </c>
      <c r="AY472" s="354">
        <f>IF(AU472=0,0, IF($M472="R",(S472-AW472)/(S472-AU472)*100,AW472*100/AU472))</f>
        <v>100</v>
      </c>
      <c r="AZ472" s="366">
        <f t="shared" si="385"/>
        <v>100</v>
      </c>
      <c r="BA472" s="354">
        <f t="shared" si="386"/>
        <v>4.9500000000000002E-2</v>
      </c>
      <c r="BB472" s="354">
        <f t="shared" si="387"/>
        <v>100</v>
      </c>
      <c r="BC472" s="353">
        <v>0</v>
      </c>
      <c r="BD472" s="353">
        <v>0</v>
      </c>
      <c r="BE472" s="353">
        <v>0</v>
      </c>
      <c r="BF472" s="353">
        <v>0</v>
      </c>
      <c r="BG472" s="353">
        <v>0</v>
      </c>
      <c r="BH472" s="353">
        <v>0</v>
      </c>
      <c r="BI472" s="353">
        <v>0</v>
      </c>
      <c r="BJ472" s="353">
        <v>0</v>
      </c>
      <c r="BK472" s="386">
        <v>7071944328</v>
      </c>
      <c r="BL472" s="351">
        <v>7071944328</v>
      </c>
      <c r="BM472" s="351">
        <v>0</v>
      </c>
      <c r="BN472" s="351">
        <v>0</v>
      </c>
      <c r="BO472" s="351">
        <v>0</v>
      </c>
      <c r="BP472" s="351">
        <v>0</v>
      </c>
      <c r="BQ472" s="351">
        <v>0</v>
      </c>
      <c r="BR472" s="351">
        <v>0</v>
      </c>
      <c r="BS472" s="351">
        <v>0</v>
      </c>
      <c r="BT472" s="351">
        <v>0</v>
      </c>
      <c r="BU472" s="351">
        <v>0</v>
      </c>
      <c r="BV472" s="350">
        <f t="shared" si="388"/>
        <v>4.9500000000000002E-2</v>
      </c>
      <c r="BW472" s="411">
        <f>+AU472-3</f>
        <v>17</v>
      </c>
      <c r="BX472" s="410">
        <f>IF($M472="M",0.25,IF($M472="R",(AU472-BW472)/$P472,(IF($P472&gt;0,BW472/$P472," "))))</f>
        <v>0.3</v>
      </c>
      <c r="BY472" s="395">
        <v>1.5</v>
      </c>
      <c r="BZ472" s="401">
        <v>0</v>
      </c>
      <c r="CA472" s="700">
        <v>17</v>
      </c>
      <c r="CB472" s="409">
        <f>+IF($M472="I",(CA472),IF($M472="M",CA472/4, CA472))</f>
        <v>17</v>
      </c>
      <c r="CC472" s="354">
        <f>IF(CA472=0,0,IF($M472="R",((AU472-CA472)/(AU472-BW472))*100,CA472*100/BW472))</f>
        <v>100</v>
      </c>
      <c r="CD472" s="384">
        <f t="shared" si="389"/>
        <v>100</v>
      </c>
      <c r="CE472" s="383">
        <f t="shared" si="390"/>
        <v>4.9500000000000002E-2</v>
      </c>
      <c r="CF472" s="367">
        <f t="shared" si="391"/>
        <v>100</v>
      </c>
      <c r="CG472" s="383">
        <f t="shared" si="392"/>
        <v>4.9500000000000002E-2</v>
      </c>
      <c r="CH472" s="320">
        <f t="shared" si="393"/>
        <v>3.3000000000000002E-2</v>
      </c>
      <c r="CI472" s="319">
        <f>+BW472-2</f>
        <v>15</v>
      </c>
      <c r="CJ472" s="408">
        <f>IF($M472="M",0.25,IF($M472="R",(BW472-CI472)/$P472,(IF($P472&gt;0,CI472/$P472," "))))</f>
        <v>0.2</v>
      </c>
      <c r="CK472" s="1259">
        <v>15</v>
      </c>
      <c r="CL472" s="301">
        <f t="shared" si="380"/>
        <v>0</v>
      </c>
      <c r="CM472" s="388">
        <f>+IF($M472="I",(CK472),IF($M472="M",CK472/4, CK472))</f>
        <v>15</v>
      </c>
      <c r="CN472" s="356">
        <f>IF(CK472=0,0,IF($M472="R",((BW472-CK472)/(BW472-CI472))*100,CK472*100/#REF!))</f>
        <v>100</v>
      </c>
      <c r="CO472" s="381">
        <f t="shared" si="394"/>
        <v>100</v>
      </c>
      <c r="CP472" s="381">
        <f t="shared" si="395"/>
        <v>3.3000000000000002E-2</v>
      </c>
      <c r="CQ472" s="381">
        <f t="shared" si="396"/>
        <v>3.3000000000000002E-2</v>
      </c>
      <c r="CR472" s="313">
        <v>0</v>
      </c>
      <c r="CS472" s="313">
        <v>0</v>
      </c>
      <c r="CT472" s="313">
        <v>0</v>
      </c>
      <c r="CU472" s="313">
        <v>0</v>
      </c>
      <c r="CV472" s="313">
        <v>0</v>
      </c>
      <c r="CW472" s="313">
        <v>0</v>
      </c>
      <c r="CX472" s="313">
        <v>0</v>
      </c>
      <c r="CY472" s="313">
        <v>0</v>
      </c>
      <c r="CZ472" s="380">
        <v>0</v>
      </c>
      <c r="DA472" s="380">
        <v>0</v>
      </c>
      <c r="DB472" s="380">
        <v>0</v>
      </c>
      <c r="DC472" s="380">
        <v>0</v>
      </c>
      <c r="DD472" s="380">
        <v>0</v>
      </c>
      <c r="DE472" s="380">
        <v>0</v>
      </c>
      <c r="DF472" s="380">
        <v>0</v>
      </c>
      <c r="DG472" s="380">
        <v>0</v>
      </c>
      <c r="DH472" s="380">
        <v>0</v>
      </c>
      <c r="DI472" s="380">
        <v>0</v>
      </c>
      <c r="DJ472" s="380">
        <v>0</v>
      </c>
      <c r="DK472" s="703">
        <f>+IF(M472="I",(H472+AF472+BJ472),IF(M472="M",(H472+AF472+BJ472)/3,N472-CK472 ))</f>
        <v>10</v>
      </c>
      <c r="DL472" s="311">
        <f t="shared" si="397"/>
        <v>0.16500000000000001</v>
      </c>
      <c r="DM472" s="310">
        <f t="shared" si="398"/>
        <v>100</v>
      </c>
      <c r="DN472" s="356">
        <f t="shared" si="399"/>
        <v>100</v>
      </c>
      <c r="DO472" s="308">
        <f t="shared" si="400"/>
        <v>0.16500000000000001</v>
      </c>
      <c r="DP472" s="359">
        <f t="shared" si="418"/>
        <v>0.16500000000000001</v>
      </c>
      <c r="DQ472" s="306">
        <f t="shared" si="401"/>
        <v>0.16500000000000001</v>
      </c>
      <c r="DR472" s="379">
        <f t="shared" si="402"/>
        <v>1</v>
      </c>
      <c r="DS472" s="378">
        <f t="shared" si="403"/>
        <v>0</v>
      </c>
      <c r="DT472" s="173">
        <v>422</v>
      </c>
      <c r="DU472" s="174" t="s">
        <v>104</v>
      </c>
      <c r="DV472" s="173">
        <v>612</v>
      </c>
      <c r="DW472" s="174" t="s">
        <v>97</v>
      </c>
      <c r="DX472" s="173"/>
      <c r="DY472" s="173"/>
      <c r="DZ472" s="173"/>
      <c r="EA472" s="665"/>
      <c r="EB472" s="1254" t="s">
        <v>2599</v>
      </c>
      <c r="EC472" s="537">
        <v>450000000</v>
      </c>
      <c r="EE472" s="734">
        <v>4</v>
      </c>
      <c r="EF472" s="706"/>
    </row>
    <row r="473" spans="4:136" s="302" customFormat="1" ht="306" hidden="1">
      <c r="D473" s="520">
        <v>470</v>
      </c>
      <c r="E473" s="534">
        <v>541</v>
      </c>
      <c r="F473" s="336" t="s">
        <v>46</v>
      </c>
      <c r="G473" s="336" t="s">
        <v>25</v>
      </c>
      <c r="H473" s="336" t="s">
        <v>2677</v>
      </c>
      <c r="I473" s="336" t="s">
        <v>1120</v>
      </c>
      <c r="J473" s="335" t="s">
        <v>1308</v>
      </c>
      <c r="K473" s="335" t="s">
        <v>1121</v>
      </c>
      <c r="L473" s="358" t="s">
        <v>1822</v>
      </c>
      <c r="M473" s="334" t="s">
        <v>1771</v>
      </c>
      <c r="N473" s="334">
        <v>8</v>
      </c>
      <c r="O473" s="333">
        <f t="shared" ref="O473:O511" si="419">+N473+P473</f>
        <v>24</v>
      </c>
      <c r="P473" s="332">
        <v>16</v>
      </c>
      <c r="Q473" s="393">
        <v>0.16500000000000001</v>
      </c>
      <c r="R473" s="342">
        <f t="shared" si="381"/>
        <v>1.03125E-2</v>
      </c>
      <c r="S473" s="389">
        <v>1</v>
      </c>
      <c r="T473" s="337">
        <f t="shared" ref="T473:T504" si="420">IF($M473="M",0.25,(IF($P473&gt;0,S473/$P473," ")))</f>
        <v>6.25E-2</v>
      </c>
      <c r="U473" s="670">
        <v>1</v>
      </c>
      <c r="V473" s="388">
        <f t="shared" ref="V473:V504" si="421">+IF(M473="I",(+U473),IF(M473="M",(+U473)/4,))</f>
        <v>1</v>
      </c>
      <c r="W473" s="356">
        <f t="shared" ref="W473:W504" si="422">IF(S473=0,0,+U473*100/S473)</f>
        <v>100</v>
      </c>
      <c r="X473" s="356">
        <f t="shared" si="382"/>
        <v>100</v>
      </c>
      <c r="Y473" s="356">
        <f t="shared" si="417"/>
        <v>1.03125E-2</v>
      </c>
      <c r="Z473" s="356">
        <f t="shared" si="383"/>
        <v>100</v>
      </c>
      <c r="AA473" s="355">
        <v>0</v>
      </c>
      <c r="AB473" s="355">
        <v>0</v>
      </c>
      <c r="AC473" s="355">
        <v>0</v>
      </c>
      <c r="AD473" s="355">
        <v>0</v>
      </c>
      <c r="AE473" s="355">
        <v>0</v>
      </c>
      <c r="AF473" s="355">
        <v>0</v>
      </c>
      <c r="AG473" s="355">
        <v>0</v>
      </c>
      <c r="AH473" s="355">
        <v>0</v>
      </c>
      <c r="AI473" s="355">
        <v>0</v>
      </c>
      <c r="AJ473" s="355">
        <v>0</v>
      </c>
      <c r="AK473" s="355">
        <v>0</v>
      </c>
      <c r="AL473" s="355">
        <v>0</v>
      </c>
      <c r="AM473" s="355">
        <v>0</v>
      </c>
      <c r="AN473" s="355">
        <v>0</v>
      </c>
      <c r="AO473" s="355">
        <v>0</v>
      </c>
      <c r="AP473" s="355">
        <v>0</v>
      </c>
      <c r="AQ473" s="355">
        <v>0</v>
      </c>
      <c r="AR473" s="355">
        <v>0</v>
      </c>
      <c r="AS473" s="355">
        <v>0</v>
      </c>
      <c r="AT473" s="392">
        <f t="shared" si="384"/>
        <v>9.2812500000000006E-2</v>
      </c>
      <c r="AU473" s="334">
        <v>9</v>
      </c>
      <c r="AV473" s="387">
        <f t="shared" ref="AV473:AV504" si="423">IF($M473="M",0.25,(IF($P473&gt;0,AU473/$P473," ")))</f>
        <v>0.5625</v>
      </c>
      <c r="AW473" s="677">
        <v>9</v>
      </c>
      <c r="AX473" s="366">
        <f t="shared" ref="AX473:AX504" si="424">+IF(M473="I",(+AW473),IF(M473="M",(+AW473)/4,))</f>
        <v>9</v>
      </c>
      <c r="AY473" s="366">
        <f t="shared" ref="AY473:AY504" si="425">IF(AU473=0,0,+AW473*100/AU473)</f>
        <v>100</v>
      </c>
      <c r="AZ473" s="366">
        <f t="shared" si="385"/>
        <v>100</v>
      </c>
      <c r="BA473" s="354">
        <f t="shared" si="386"/>
        <v>9.2812500000000006E-2</v>
      </c>
      <c r="BB473" s="354">
        <f t="shared" si="387"/>
        <v>100</v>
      </c>
      <c r="BC473" s="353">
        <v>31000000</v>
      </c>
      <c r="BD473" s="353">
        <v>0</v>
      </c>
      <c r="BE473" s="353">
        <v>31000000</v>
      </c>
      <c r="BF473" s="353">
        <v>0</v>
      </c>
      <c r="BG473" s="353">
        <v>0</v>
      </c>
      <c r="BH473" s="353">
        <v>0</v>
      </c>
      <c r="BI473" s="353">
        <v>0</v>
      </c>
      <c r="BJ473" s="353">
        <v>0</v>
      </c>
      <c r="BK473" s="386">
        <v>558000000</v>
      </c>
      <c r="BL473" s="351">
        <v>558000000</v>
      </c>
      <c r="BM473" s="351">
        <v>0</v>
      </c>
      <c r="BN473" s="351">
        <v>0</v>
      </c>
      <c r="BO473" s="351">
        <v>0</v>
      </c>
      <c r="BP473" s="351">
        <v>0</v>
      </c>
      <c r="BQ473" s="351">
        <v>0</v>
      </c>
      <c r="BR473" s="351">
        <v>0</v>
      </c>
      <c r="BS473" s="351">
        <v>0</v>
      </c>
      <c r="BT473" s="351">
        <v>0</v>
      </c>
      <c r="BU473" s="351">
        <v>0</v>
      </c>
      <c r="BV473" s="350">
        <f t="shared" si="388"/>
        <v>4.1250000000000002E-2</v>
      </c>
      <c r="BW473" s="350">
        <v>4</v>
      </c>
      <c r="BX473" s="385">
        <f t="shared" ref="BX473:BX504" si="426">IF($M473="M",0.25,(IF($P473&gt;0,BW473/$P473," ")))</f>
        <v>0.25</v>
      </c>
      <c r="BY473" s="369">
        <v>2</v>
      </c>
      <c r="BZ473" s="391">
        <v>3</v>
      </c>
      <c r="CA473" s="689">
        <v>6</v>
      </c>
      <c r="CB473" s="324">
        <f t="shared" ref="CB473:CB504" si="427">+IF(M473="I",(+CA473),IF(M473="M",(+CA473)/4,))</f>
        <v>6</v>
      </c>
      <c r="CC473" s="324">
        <f t="shared" ref="CC473:CC504" si="428">IF(BW473=0,0,+CA473*100/BW473)</f>
        <v>150</v>
      </c>
      <c r="CD473" s="384">
        <f t="shared" si="389"/>
        <v>100</v>
      </c>
      <c r="CE473" s="383">
        <f t="shared" si="390"/>
        <v>4.1250000000000002E-2</v>
      </c>
      <c r="CF473" s="367">
        <f t="shared" si="391"/>
        <v>100</v>
      </c>
      <c r="CG473" s="383">
        <f t="shared" si="392"/>
        <v>6.1874999999999999E-2</v>
      </c>
      <c r="CH473" s="320">
        <f t="shared" si="393"/>
        <v>2.0625000000000001E-2</v>
      </c>
      <c r="CI473" s="319">
        <v>2</v>
      </c>
      <c r="CJ473" s="318">
        <f t="shared" ref="CJ473:CJ504" si="429">IF($M473="M",0.25,(IF($P473&gt;0,CI473/$P473," ")))</f>
        <v>0.125</v>
      </c>
      <c r="CK473" s="1259">
        <v>5</v>
      </c>
      <c r="CL473" s="301">
        <f t="shared" si="380"/>
        <v>-3</v>
      </c>
      <c r="CM473" s="381">
        <f t="shared" ref="CM473:CM504" si="430">+IF(M473="I",(+CK473),IF(M473="M",(+CK473)/4,))</f>
        <v>5</v>
      </c>
      <c r="CN473" s="381">
        <f t="shared" ref="CN473:CN504" si="431">IF(CI473=0,0,+CK473*100/CI473)</f>
        <v>250</v>
      </c>
      <c r="CO473" s="316">
        <f t="shared" si="394"/>
        <v>100</v>
      </c>
      <c r="CP473" s="381">
        <f t="shared" si="395"/>
        <v>2.0625000000000001E-2</v>
      </c>
      <c r="CQ473" s="381">
        <f t="shared" si="396"/>
        <v>5.1562499999999997E-2</v>
      </c>
      <c r="CR473" s="313">
        <v>72000000</v>
      </c>
      <c r="CS473" s="313">
        <v>72000000</v>
      </c>
      <c r="CT473" s="313">
        <v>0</v>
      </c>
      <c r="CU473" s="313">
        <v>0</v>
      </c>
      <c r="CV473" s="313">
        <v>0</v>
      </c>
      <c r="CW473" s="313">
        <v>0</v>
      </c>
      <c r="CX473" s="313">
        <v>0</v>
      </c>
      <c r="CY473" s="313">
        <v>0</v>
      </c>
      <c r="CZ473" s="380">
        <v>0</v>
      </c>
      <c r="DA473" s="380">
        <v>0</v>
      </c>
      <c r="DB473" s="380">
        <v>0</v>
      </c>
      <c r="DC473" s="380">
        <v>0</v>
      </c>
      <c r="DD473" s="380">
        <v>0</v>
      </c>
      <c r="DE473" s="380">
        <v>0</v>
      </c>
      <c r="DF473" s="380">
        <v>0</v>
      </c>
      <c r="DG473" s="380">
        <v>0</v>
      </c>
      <c r="DH473" s="380">
        <v>0</v>
      </c>
      <c r="DI473" s="380">
        <v>0</v>
      </c>
      <c r="DJ473" s="380">
        <v>0</v>
      </c>
      <c r="DK473" s="702">
        <f t="shared" ref="DK473:DK504" si="432">+IF(M473="I",(+U473+AW473+CA473+CK473),IF(M473="M",(+U473+AW473+CA473+CK473)/4,))</f>
        <v>21</v>
      </c>
      <c r="DL473" s="311">
        <f t="shared" si="397"/>
        <v>0.16500000000000001</v>
      </c>
      <c r="DM473" s="310">
        <f t="shared" si="398"/>
        <v>131.25</v>
      </c>
      <c r="DN473" s="356">
        <f t="shared" si="399"/>
        <v>100</v>
      </c>
      <c r="DO473" s="308">
        <f t="shared" si="400"/>
        <v>0.16500000000000001</v>
      </c>
      <c r="DP473" s="359">
        <f t="shared" si="418"/>
        <v>0.16500000000000001</v>
      </c>
      <c r="DQ473" s="306">
        <f t="shared" si="401"/>
        <v>0.16500000000000001</v>
      </c>
      <c r="DR473" s="379">
        <f t="shared" si="402"/>
        <v>1</v>
      </c>
      <c r="DS473" s="378">
        <f t="shared" si="403"/>
        <v>0</v>
      </c>
      <c r="DT473" s="173">
        <v>615</v>
      </c>
      <c r="DU473" s="174" t="s">
        <v>94</v>
      </c>
      <c r="DV473" s="173"/>
      <c r="DW473" s="174" t="s">
        <v>84</v>
      </c>
      <c r="DX473" s="173"/>
      <c r="DY473" s="173"/>
      <c r="DZ473" s="173"/>
      <c r="EA473" s="665"/>
      <c r="EB473" s="1254" t="s">
        <v>3129</v>
      </c>
      <c r="EC473" s="537">
        <v>150000000</v>
      </c>
      <c r="EE473" s="740">
        <v>80</v>
      </c>
      <c r="EF473" s="706"/>
    </row>
    <row r="474" spans="4:136" s="302" customFormat="1" ht="63.75">
      <c r="D474" s="520">
        <v>471</v>
      </c>
      <c r="E474" s="534">
        <v>542</v>
      </c>
      <c r="F474" s="479" t="s">
        <v>46</v>
      </c>
      <c r="G474" s="479" t="s">
        <v>19</v>
      </c>
      <c r="H474" s="479" t="s">
        <v>2677</v>
      </c>
      <c r="I474" s="435" t="s">
        <v>1120</v>
      </c>
      <c r="J474" s="335" t="s">
        <v>1122</v>
      </c>
      <c r="K474" s="335" t="s">
        <v>1123</v>
      </c>
      <c r="L474" s="358" t="s">
        <v>1821</v>
      </c>
      <c r="M474" s="334" t="s">
        <v>1771</v>
      </c>
      <c r="N474" s="334">
        <v>0</v>
      </c>
      <c r="O474" s="333">
        <f t="shared" si="419"/>
        <v>4</v>
      </c>
      <c r="P474" s="332">
        <v>4</v>
      </c>
      <c r="Q474" s="390">
        <v>0.16500000000000001</v>
      </c>
      <c r="R474" s="342">
        <f t="shared" si="381"/>
        <v>4.1250000000000002E-2</v>
      </c>
      <c r="S474" s="389">
        <v>1</v>
      </c>
      <c r="T474" s="337">
        <f t="shared" si="420"/>
        <v>0.25</v>
      </c>
      <c r="U474" s="670">
        <v>1</v>
      </c>
      <c r="V474" s="388">
        <f t="shared" si="421"/>
        <v>1</v>
      </c>
      <c r="W474" s="356">
        <f t="shared" si="422"/>
        <v>100</v>
      </c>
      <c r="X474" s="356">
        <f t="shared" si="382"/>
        <v>100</v>
      </c>
      <c r="Y474" s="356">
        <f t="shared" si="417"/>
        <v>4.1250000000000002E-2</v>
      </c>
      <c r="Z474" s="356">
        <f t="shared" si="383"/>
        <v>100</v>
      </c>
      <c r="AA474" s="355">
        <v>0</v>
      </c>
      <c r="AB474" s="355">
        <v>0</v>
      </c>
      <c r="AC474" s="355">
        <v>0</v>
      </c>
      <c r="AD474" s="355">
        <v>0</v>
      </c>
      <c r="AE474" s="355">
        <v>0</v>
      </c>
      <c r="AF474" s="355">
        <v>0</v>
      </c>
      <c r="AG474" s="355">
        <v>0</v>
      </c>
      <c r="AH474" s="355">
        <v>0</v>
      </c>
      <c r="AI474" s="355">
        <v>0</v>
      </c>
      <c r="AJ474" s="355">
        <v>0</v>
      </c>
      <c r="AK474" s="355">
        <v>0</v>
      </c>
      <c r="AL474" s="355">
        <v>0</v>
      </c>
      <c r="AM474" s="355">
        <v>0</v>
      </c>
      <c r="AN474" s="355">
        <v>0</v>
      </c>
      <c r="AO474" s="355">
        <v>0</v>
      </c>
      <c r="AP474" s="355">
        <v>0</v>
      </c>
      <c r="AQ474" s="355">
        <v>0</v>
      </c>
      <c r="AR474" s="355">
        <v>0</v>
      </c>
      <c r="AS474" s="355">
        <v>0</v>
      </c>
      <c r="AT474" s="333">
        <f t="shared" si="384"/>
        <v>4.1250000000000002E-2</v>
      </c>
      <c r="AU474" s="334">
        <v>1</v>
      </c>
      <c r="AV474" s="387">
        <f t="shared" si="423"/>
        <v>0.25</v>
      </c>
      <c r="AW474" s="677">
        <v>1</v>
      </c>
      <c r="AX474" s="366">
        <f t="shared" si="424"/>
        <v>1</v>
      </c>
      <c r="AY474" s="366">
        <f t="shared" si="425"/>
        <v>100</v>
      </c>
      <c r="AZ474" s="366">
        <f t="shared" si="385"/>
        <v>100</v>
      </c>
      <c r="BA474" s="354">
        <f t="shared" si="386"/>
        <v>4.1250000000000002E-2</v>
      </c>
      <c r="BB474" s="354">
        <f t="shared" si="387"/>
        <v>100</v>
      </c>
      <c r="BC474" s="353">
        <v>42000000</v>
      </c>
      <c r="BD474" s="353">
        <v>0</v>
      </c>
      <c r="BE474" s="353">
        <v>42000000</v>
      </c>
      <c r="BF474" s="353">
        <v>0</v>
      </c>
      <c r="BG474" s="353">
        <v>0</v>
      </c>
      <c r="BH474" s="353">
        <v>0</v>
      </c>
      <c r="BI474" s="353">
        <v>0</v>
      </c>
      <c r="BJ474" s="353">
        <v>0</v>
      </c>
      <c r="BK474" s="386">
        <v>0</v>
      </c>
      <c r="BL474" s="351">
        <v>0</v>
      </c>
      <c r="BM474" s="351">
        <v>0</v>
      </c>
      <c r="BN474" s="351">
        <v>0</v>
      </c>
      <c r="BO474" s="351">
        <v>0</v>
      </c>
      <c r="BP474" s="351">
        <v>0</v>
      </c>
      <c r="BQ474" s="351">
        <v>0</v>
      </c>
      <c r="BR474" s="351">
        <v>0</v>
      </c>
      <c r="BS474" s="351">
        <v>0</v>
      </c>
      <c r="BT474" s="351">
        <v>0</v>
      </c>
      <c r="BU474" s="351">
        <v>0</v>
      </c>
      <c r="BV474" s="350">
        <f t="shared" si="388"/>
        <v>4.1250000000000002E-2</v>
      </c>
      <c r="BW474" s="350">
        <v>1</v>
      </c>
      <c r="BX474" s="385">
        <f t="shared" si="426"/>
        <v>0.25</v>
      </c>
      <c r="BY474" s="349">
        <v>1</v>
      </c>
      <c r="BZ474" s="348">
        <v>1</v>
      </c>
      <c r="CA474" s="742">
        <v>1</v>
      </c>
      <c r="CB474" s="324">
        <f t="shared" si="427"/>
        <v>1</v>
      </c>
      <c r="CC474" s="324">
        <f t="shared" si="428"/>
        <v>100</v>
      </c>
      <c r="CD474" s="384">
        <f t="shared" si="389"/>
        <v>100</v>
      </c>
      <c r="CE474" s="383">
        <f t="shared" si="390"/>
        <v>4.1250000000000002E-2</v>
      </c>
      <c r="CF474" s="367">
        <f t="shared" si="391"/>
        <v>100</v>
      </c>
      <c r="CG474" s="383">
        <f t="shared" si="392"/>
        <v>4.1250000000000002E-2</v>
      </c>
      <c r="CH474" s="320">
        <f t="shared" si="393"/>
        <v>4.1250000000000002E-2</v>
      </c>
      <c r="CI474" s="319">
        <v>1</v>
      </c>
      <c r="CJ474" s="318">
        <f t="shared" si="429"/>
        <v>0.25</v>
      </c>
      <c r="CK474" s="1260">
        <v>0</v>
      </c>
      <c r="CL474" s="301">
        <f t="shared" si="380"/>
        <v>1</v>
      </c>
      <c r="CM474" s="381">
        <f t="shared" si="430"/>
        <v>0</v>
      </c>
      <c r="CN474" s="381">
        <f t="shared" si="431"/>
        <v>0</v>
      </c>
      <c r="CO474" s="316">
        <f t="shared" si="394"/>
        <v>0</v>
      </c>
      <c r="CP474" s="381">
        <f t="shared" si="395"/>
        <v>0</v>
      </c>
      <c r="CQ474" s="381">
        <f t="shared" si="396"/>
        <v>0</v>
      </c>
      <c r="CR474" s="313">
        <v>96000000</v>
      </c>
      <c r="CS474" s="313">
        <v>96000000</v>
      </c>
      <c r="CT474" s="313">
        <v>0</v>
      </c>
      <c r="CU474" s="313">
        <v>0</v>
      </c>
      <c r="CV474" s="313">
        <v>0</v>
      </c>
      <c r="CW474" s="313">
        <v>0</v>
      </c>
      <c r="CX474" s="313">
        <v>0</v>
      </c>
      <c r="CY474" s="313">
        <v>0</v>
      </c>
      <c r="CZ474" s="380">
        <v>0</v>
      </c>
      <c r="DA474" s="380">
        <v>0</v>
      </c>
      <c r="DB474" s="380">
        <v>0</v>
      </c>
      <c r="DC474" s="380">
        <v>0</v>
      </c>
      <c r="DD474" s="380">
        <v>0</v>
      </c>
      <c r="DE474" s="380">
        <v>0</v>
      </c>
      <c r="DF474" s="380">
        <v>0</v>
      </c>
      <c r="DG474" s="380">
        <v>0</v>
      </c>
      <c r="DH474" s="380">
        <v>0</v>
      </c>
      <c r="DI474" s="380">
        <v>0</v>
      </c>
      <c r="DJ474" s="380">
        <v>0</v>
      </c>
      <c r="DK474" s="702">
        <f t="shared" si="432"/>
        <v>3</v>
      </c>
      <c r="DL474" s="311">
        <f t="shared" si="397"/>
        <v>0.16500000000000001</v>
      </c>
      <c r="DM474" s="310">
        <f t="shared" si="398"/>
        <v>75</v>
      </c>
      <c r="DN474" s="356">
        <f t="shared" si="399"/>
        <v>75</v>
      </c>
      <c r="DO474" s="308">
        <f t="shared" si="400"/>
        <v>0.12375</v>
      </c>
      <c r="DP474" s="359">
        <f t="shared" si="418"/>
        <v>0.12375</v>
      </c>
      <c r="DQ474" s="306">
        <f t="shared" si="401"/>
        <v>0.12375</v>
      </c>
      <c r="DR474" s="379">
        <f t="shared" si="402"/>
        <v>1</v>
      </c>
      <c r="DS474" s="378">
        <f t="shared" si="403"/>
        <v>0</v>
      </c>
      <c r="DT474" s="173">
        <v>614</v>
      </c>
      <c r="DU474" s="174" t="s">
        <v>95</v>
      </c>
      <c r="DV474" s="173"/>
      <c r="DW474" s="174" t="s">
        <v>84</v>
      </c>
      <c r="DX474" s="173"/>
      <c r="DY474" s="173"/>
      <c r="DZ474" s="173"/>
      <c r="EA474" s="665"/>
      <c r="EB474" s="1254" t="s">
        <v>2147</v>
      </c>
      <c r="EC474" s="537">
        <v>150000000</v>
      </c>
      <c r="EE474" s="734">
        <v>10</v>
      </c>
      <c r="EF474" s="706"/>
    </row>
    <row r="475" spans="4:136" s="302" customFormat="1" ht="84">
      <c r="D475" s="520">
        <v>472</v>
      </c>
      <c r="E475" s="534">
        <v>543</v>
      </c>
      <c r="F475" s="479" t="s">
        <v>46</v>
      </c>
      <c r="G475" s="479" t="s">
        <v>19</v>
      </c>
      <c r="H475" s="479" t="s">
        <v>2678</v>
      </c>
      <c r="I475" s="435" t="s">
        <v>2341</v>
      </c>
      <c r="J475" s="335" t="s">
        <v>1124</v>
      </c>
      <c r="K475" s="335" t="s">
        <v>1125</v>
      </c>
      <c r="L475" s="358" t="s">
        <v>1820</v>
      </c>
      <c r="M475" s="334" t="s">
        <v>1771</v>
      </c>
      <c r="N475" s="334">
        <v>1792</v>
      </c>
      <c r="O475" s="333">
        <f t="shared" si="419"/>
        <v>7792</v>
      </c>
      <c r="P475" s="332">
        <v>6000</v>
      </c>
      <c r="Q475" s="390">
        <v>0.25</v>
      </c>
      <c r="R475" s="342">
        <f t="shared" si="381"/>
        <v>4.1666666666666664E-2</v>
      </c>
      <c r="S475" s="389">
        <v>1000</v>
      </c>
      <c r="T475" s="337">
        <f t="shared" si="420"/>
        <v>0.16666666666666666</v>
      </c>
      <c r="U475" s="670">
        <v>3310</v>
      </c>
      <c r="V475" s="388">
        <f t="shared" si="421"/>
        <v>3310</v>
      </c>
      <c r="W475" s="356">
        <f t="shared" si="422"/>
        <v>331</v>
      </c>
      <c r="X475" s="356">
        <f t="shared" si="382"/>
        <v>100</v>
      </c>
      <c r="Y475" s="356">
        <f t="shared" si="417"/>
        <v>4.1666666666666657E-2</v>
      </c>
      <c r="Z475" s="356">
        <f t="shared" si="383"/>
        <v>100</v>
      </c>
      <c r="AA475" s="355">
        <v>50000000</v>
      </c>
      <c r="AB475" s="355">
        <v>50000000</v>
      </c>
      <c r="AC475" s="355">
        <v>0</v>
      </c>
      <c r="AD475" s="355">
        <v>0</v>
      </c>
      <c r="AE475" s="355">
        <v>0</v>
      </c>
      <c r="AF475" s="355">
        <v>0</v>
      </c>
      <c r="AG475" s="355">
        <v>0</v>
      </c>
      <c r="AH475" s="355">
        <v>0</v>
      </c>
      <c r="AI475" s="355">
        <v>49764000</v>
      </c>
      <c r="AJ475" s="355">
        <v>49764000</v>
      </c>
      <c r="AK475" s="355">
        <v>0</v>
      </c>
      <c r="AL475" s="355">
        <v>0</v>
      </c>
      <c r="AM475" s="355">
        <v>0</v>
      </c>
      <c r="AN475" s="355">
        <v>0</v>
      </c>
      <c r="AO475" s="355">
        <v>0</v>
      </c>
      <c r="AP475" s="355">
        <v>0</v>
      </c>
      <c r="AQ475" s="355">
        <v>0</v>
      </c>
      <c r="AR475" s="355">
        <v>0</v>
      </c>
      <c r="AS475" s="355">
        <v>0</v>
      </c>
      <c r="AT475" s="333">
        <f t="shared" si="384"/>
        <v>8.3333333333333329E-2</v>
      </c>
      <c r="AU475" s="334">
        <v>2000</v>
      </c>
      <c r="AV475" s="387">
        <f t="shared" si="423"/>
        <v>0.33333333333333331</v>
      </c>
      <c r="AW475" s="677">
        <v>2985</v>
      </c>
      <c r="AX475" s="366">
        <f t="shared" si="424"/>
        <v>2985</v>
      </c>
      <c r="AY475" s="366">
        <f t="shared" si="425"/>
        <v>149.25</v>
      </c>
      <c r="AZ475" s="366">
        <f t="shared" si="385"/>
        <v>100</v>
      </c>
      <c r="BA475" s="354">
        <f t="shared" si="386"/>
        <v>8.3333333333333315E-2</v>
      </c>
      <c r="BB475" s="354">
        <f t="shared" si="387"/>
        <v>100</v>
      </c>
      <c r="BC475" s="353">
        <v>50000000</v>
      </c>
      <c r="BD475" s="353">
        <v>0</v>
      </c>
      <c r="BE475" s="353">
        <v>50000000</v>
      </c>
      <c r="BF475" s="353">
        <v>0</v>
      </c>
      <c r="BG475" s="353">
        <v>0</v>
      </c>
      <c r="BH475" s="353">
        <v>0</v>
      </c>
      <c r="BI475" s="353">
        <v>0</v>
      </c>
      <c r="BJ475" s="353">
        <v>0</v>
      </c>
      <c r="BK475" s="386">
        <v>42000000</v>
      </c>
      <c r="BL475" s="351">
        <v>42000000</v>
      </c>
      <c r="BM475" s="351">
        <v>0</v>
      </c>
      <c r="BN475" s="351">
        <v>0</v>
      </c>
      <c r="BO475" s="351">
        <v>0</v>
      </c>
      <c r="BP475" s="351">
        <v>0</v>
      </c>
      <c r="BQ475" s="351">
        <v>0</v>
      </c>
      <c r="BR475" s="351">
        <v>0</v>
      </c>
      <c r="BS475" s="351">
        <v>0</v>
      </c>
      <c r="BT475" s="351">
        <v>0</v>
      </c>
      <c r="BU475" s="351">
        <v>0</v>
      </c>
      <c r="BV475" s="350">
        <f t="shared" si="388"/>
        <v>4.1666666666666664E-2</v>
      </c>
      <c r="BW475" s="350">
        <v>1000</v>
      </c>
      <c r="BX475" s="385">
        <f t="shared" si="426"/>
        <v>0.16666666666666666</v>
      </c>
      <c r="BY475" s="400">
        <v>500</v>
      </c>
      <c r="BZ475" s="406">
        <v>570</v>
      </c>
      <c r="CA475" s="691">
        <v>914</v>
      </c>
      <c r="CB475" s="324">
        <f t="shared" si="427"/>
        <v>914</v>
      </c>
      <c r="CC475" s="324">
        <f t="shared" si="428"/>
        <v>91.4</v>
      </c>
      <c r="CD475" s="384">
        <f t="shared" si="389"/>
        <v>91.4</v>
      </c>
      <c r="CE475" s="383">
        <f t="shared" si="390"/>
        <v>3.8083333333333337E-2</v>
      </c>
      <c r="CF475" s="367">
        <f t="shared" si="391"/>
        <v>91.4</v>
      </c>
      <c r="CG475" s="383">
        <f t="shared" si="392"/>
        <v>3.8083333333333337E-2</v>
      </c>
      <c r="CH475" s="320">
        <f t="shared" si="393"/>
        <v>8.3333333333333329E-2</v>
      </c>
      <c r="CI475" s="319">
        <v>2000</v>
      </c>
      <c r="CJ475" s="318">
        <f t="shared" si="429"/>
        <v>0.33333333333333331</v>
      </c>
      <c r="CK475" s="1259">
        <v>600</v>
      </c>
      <c r="CL475" s="301">
        <f t="shared" si="380"/>
        <v>1400</v>
      </c>
      <c r="CM475" s="381">
        <f t="shared" si="430"/>
        <v>600</v>
      </c>
      <c r="CN475" s="381">
        <f t="shared" si="431"/>
        <v>30</v>
      </c>
      <c r="CO475" s="316">
        <f t="shared" si="394"/>
        <v>30</v>
      </c>
      <c r="CP475" s="381">
        <f t="shared" si="395"/>
        <v>2.5000000000000001E-2</v>
      </c>
      <c r="CQ475" s="381">
        <f t="shared" si="396"/>
        <v>2.5000000000000001E-2</v>
      </c>
      <c r="CR475" s="313">
        <v>0</v>
      </c>
      <c r="CS475" s="313">
        <v>0</v>
      </c>
      <c r="CT475" s="313">
        <v>0</v>
      </c>
      <c r="CU475" s="313">
        <v>0</v>
      </c>
      <c r="CV475" s="313">
        <v>0</v>
      </c>
      <c r="CW475" s="313">
        <v>0</v>
      </c>
      <c r="CX475" s="313">
        <v>0</v>
      </c>
      <c r="CY475" s="313">
        <v>0</v>
      </c>
      <c r="CZ475" s="380">
        <v>0</v>
      </c>
      <c r="DA475" s="380">
        <v>0</v>
      </c>
      <c r="DB475" s="380">
        <v>0</v>
      </c>
      <c r="DC475" s="380">
        <v>0</v>
      </c>
      <c r="DD475" s="380">
        <v>0</v>
      </c>
      <c r="DE475" s="380">
        <v>0</v>
      </c>
      <c r="DF475" s="380">
        <v>0</v>
      </c>
      <c r="DG475" s="380">
        <v>0</v>
      </c>
      <c r="DH475" s="380">
        <v>0</v>
      </c>
      <c r="DI475" s="380">
        <v>0</v>
      </c>
      <c r="DJ475" s="380">
        <v>0</v>
      </c>
      <c r="DK475" s="702">
        <f t="shared" si="432"/>
        <v>7809</v>
      </c>
      <c r="DL475" s="311">
        <f t="shared" si="397"/>
        <v>0.25</v>
      </c>
      <c r="DM475" s="310">
        <f t="shared" si="398"/>
        <v>130.15</v>
      </c>
      <c r="DN475" s="356">
        <f t="shared" si="399"/>
        <v>100</v>
      </c>
      <c r="DO475" s="308">
        <f t="shared" si="400"/>
        <v>0.25</v>
      </c>
      <c r="DP475" s="359">
        <f t="shared" si="418"/>
        <v>0.25</v>
      </c>
      <c r="DQ475" s="306">
        <f t="shared" si="401"/>
        <v>0.25</v>
      </c>
      <c r="DR475" s="379">
        <f t="shared" si="402"/>
        <v>1</v>
      </c>
      <c r="DS475" s="378">
        <f t="shared" si="403"/>
        <v>0</v>
      </c>
      <c r="DT475" s="173">
        <v>616</v>
      </c>
      <c r="DU475" s="174" t="s">
        <v>93</v>
      </c>
      <c r="DV475" s="173">
        <v>617</v>
      </c>
      <c r="DW475" s="174" t="s">
        <v>92</v>
      </c>
      <c r="DX475" s="173">
        <v>618</v>
      </c>
      <c r="DY475" s="173"/>
      <c r="DZ475" s="173"/>
      <c r="EA475" s="665"/>
      <c r="EB475" s="1254" t="s">
        <v>2372</v>
      </c>
      <c r="EC475" s="537">
        <v>0</v>
      </c>
      <c r="EE475" s="734">
        <v>1</v>
      </c>
      <c r="EF475" s="706"/>
    </row>
    <row r="476" spans="4:136" s="302" customFormat="1" ht="108">
      <c r="D476" s="520">
        <v>473</v>
      </c>
      <c r="E476" s="534">
        <v>544</v>
      </c>
      <c r="F476" s="479" t="s">
        <v>46</v>
      </c>
      <c r="G476" s="479" t="s">
        <v>19</v>
      </c>
      <c r="H476" s="479" t="s">
        <v>2678</v>
      </c>
      <c r="I476" s="435" t="s">
        <v>2341</v>
      </c>
      <c r="J476" s="335" t="s">
        <v>1126</v>
      </c>
      <c r="K476" s="335" t="s">
        <v>1127</v>
      </c>
      <c r="L476" s="358" t="s">
        <v>1415</v>
      </c>
      <c r="M476" s="334" t="s">
        <v>1771</v>
      </c>
      <c r="N476" s="334">
        <v>14</v>
      </c>
      <c r="O476" s="333">
        <f t="shared" si="419"/>
        <v>54</v>
      </c>
      <c r="P476" s="332">
        <v>40</v>
      </c>
      <c r="Q476" s="390">
        <v>0.25</v>
      </c>
      <c r="R476" s="342">
        <f t="shared" si="381"/>
        <v>0</v>
      </c>
      <c r="S476" s="389">
        <v>0</v>
      </c>
      <c r="T476" s="337">
        <f t="shared" si="420"/>
        <v>0</v>
      </c>
      <c r="U476" s="670">
        <v>0</v>
      </c>
      <c r="V476" s="388">
        <f t="shared" si="421"/>
        <v>0</v>
      </c>
      <c r="W476" s="356">
        <f t="shared" si="422"/>
        <v>0</v>
      </c>
      <c r="X476" s="356">
        <f t="shared" si="382"/>
        <v>0</v>
      </c>
      <c r="Y476" s="356">
        <f t="shared" si="417"/>
        <v>0</v>
      </c>
      <c r="Z476" s="356">
        <f t="shared" si="383"/>
        <v>0</v>
      </c>
      <c r="AA476" s="355">
        <v>0</v>
      </c>
      <c r="AB476" s="355">
        <v>0</v>
      </c>
      <c r="AC476" s="355">
        <v>0</v>
      </c>
      <c r="AD476" s="355">
        <v>0</v>
      </c>
      <c r="AE476" s="355">
        <v>0</v>
      </c>
      <c r="AF476" s="355">
        <v>0</v>
      </c>
      <c r="AG476" s="355">
        <v>0</v>
      </c>
      <c r="AH476" s="355">
        <v>0</v>
      </c>
      <c r="AI476" s="355">
        <v>0</v>
      </c>
      <c r="AJ476" s="355">
        <v>0</v>
      </c>
      <c r="AK476" s="355">
        <v>0</v>
      </c>
      <c r="AL476" s="355">
        <v>0</v>
      </c>
      <c r="AM476" s="355">
        <v>0</v>
      </c>
      <c r="AN476" s="355">
        <v>0</v>
      </c>
      <c r="AO476" s="355">
        <v>0</v>
      </c>
      <c r="AP476" s="355">
        <v>0</v>
      </c>
      <c r="AQ476" s="355">
        <v>0</v>
      </c>
      <c r="AR476" s="355">
        <v>0</v>
      </c>
      <c r="AS476" s="355">
        <v>0</v>
      </c>
      <c r="AT476" s="333">
        <f t="shared" si="384"/>
        <v>6.25E-2</v>
      </c>
      <c r="AU476" s="334">
        <v>10</v>
      </c>
      <c r="AV476" s="387">
        <f t="shared" si="423"/>
        <v>0.25</v>
      </c>
      <c r="AW476" s="677">
        <v>0</v>
      </c>
      <c r="AX476" s="366">
        <f t="shared" si="424"/>
        <v>0</v>
      </c>
      <c r="AY476" s="366">
        <f t="shared" si="425"/>
        <v>0</v>
      </c>
      <c r="AZ476" s="366">
        <f t="shared" si="385"/>
        <v>0</v>
      </c>
      <c r="BA476" s="354">
        <f t="shared" si="386"/>
        <v>0</v>
      </c>
      <c r="BB476" s="354">
        <f t="shared" si="387"/>
        <v>0</v>
      </c>
      <c r="BC476" s="353">
        <v>200000000</v>
      </c>
      <c r="BD476" s="353">
        <v>0</v>
      </c>
      <c r="BE476" s="353">
        <v>200000000</v>
      </c>
      <c r="BF476" s="353">
        <v>0</v>
      </c>
      <c r="BG476" s="353">
        <v>0</v>
      </c>
      <c r="BH476" s="353">
        <v>0</v>
      </c>
      <c r="BI476" s="353">
        <v>0</v>
      </c>
      <c r="BJ476" s="353">
        <v>0</v>
      </c>
      <c r="BK476" s="386">
        <v>0</v>
      </c>
      <c r="BL476" s="351">
        <v>0</v>
      </c>
      <c r="BM476" s="351">
        <v>0</v>
      </c>
      <c r="BN476" s="351">
        <v>0</v>
      </c>
      <c r="BO476" s="351">
        <v>0</v>
      </c>
      <c r="BP476" s="351">
        <v>0</v>
      </c>
      <c r="BQ476" s="351">
        <v>0</v>
      </c>
      <c r="BR476" s="351">
        <v>0</v>
      </c>
      <c r="BS476" s="351">
        <v>0</v>
      </c>
      <c r="BT476" s="351">
        <v>0</v>
      </c>
      <c r="BU476" s="351">
        <v>0</v>
      </c>
      <c r="BV476" s="350">
        <f t="shared" si="388"/>
        <v>0.125</v>
      </c>
      <c r="BW476" s="350">
        <v>20</v>
      </c>
      <c r="BX476" s="385">
        <f t="shared" si="426"/>
        <v>0.5</v>
      </c>
      <c r="BY476" s="400">
        <v>0</v>
      </c>
      <c r="BZ476" s="406">
        <v>0</v>
      </c>
      <c r="CA476" s="691">
        <v>54</v>
      </c>
      <c r="CB476" s="324">
        <f t="shared" si="427"/>
        <v>54</v>
      </c>
      <c r="CC476" s="324">
        <f t="shared" si="428"/>
        <v>270</v>
      </c>
      <c r="CD476" s="384">
        <f t="shared" si="389"/>
        <v>100</v>
      </c>
      <c r="CE476" s="383">
        <f t="shared" si="390"/>
        <v>0.125</v>
      </c>
      <c r="CF476" s="367">
        <f t="shared" si="391"/>
        <v>100</v>
      </c>
      <c r="CG476" s="383">
        <f t="shared" si="392"/>
        <v>0.33750000000000002</v>
      </c>
      <c r="CH476" s="320">
        <f t="shared" si="393"/>
        <v>6.25E-2</v>
      </c>
      <c r="CI476" s="319">
        <v>10</v>
      </c>
      <c r="CJ476" s="318">
        <f t="shared" si="429"/>
        <v>0.25</v>
      </c>
      <c r="CK476" s="1259">
        <v>0</v>
      </c>
      <c r="CL476" s="301">
        <f t="shared" si="380"/>
        <v>10</v>
      </c>
      <c r="CM476" s="381">
        <f t="shared" si="430"/>
        <v>0</v>
      </c>
      <c r="CN476" s="381">
        <f t="shared" si="431"/>
        <v>0</v>
      </c>
      <c r="CO476" s="316">
        <f t="shared" si="394"/>
        <v>0</v>
      </c>
      <c r="CP476" s="381">
        <f t="shared" si="395"/>
        <v>0</v>
      </c>
      <c r="CQ476" s="381">
        <f t="shared" si="396"/>
        <v>0</v>
      </c>
      <c r="CR476" s="313">
        <v>200000000</v>
      </c>
      <c r="CS476" s="313">
        <v>200000000</v>
      </c>
      <c r="CT476" s="313">
        <v>0</v>
      </c>
      <c r="CU476" s="313">
        <v>0</v>
      </c>
      <c r="CV476" s="313">
        <v>0</v>
      </c>
      <c r="CW476" s="313">
        <v>0</v>
      </c>
      <c r="CX476" s="313">
        <v>0</v>
      </c>
      <c r="CY476" s="313">
        <v>0</v>
      </c>
      <c r="CZ476" s="380">
        <v>0</v>
      </c>
      <c r="DA476" s="380">
        <v>0</v>
      </c>
      <c r="DB476" s="380">
        <v>0</v>
      </c>
      <c r="DC476" s="380">
        <v>0</v>
      </c>
      <c r="DD476" s="380">
        <v>0</v>
      </c>
      <c r="DE476" s="380">
        <v>0</v>
      </c>
      <c r="DF476" s="380">
        <v>0</v>
      </c>
      <c r="DG476" s="380">
        <v>0</v>
      </c>
      <c r="DH476" s="380">
        <v>0</v>
      </c>
      <c r="DI476" s="380">
        <v>0</v>
      </c>
      <c r="DJ476" s="380">
        <v>0</v>
      </c>
      <c r="DK476" s="702">
        <f t="shared" si="432"/>
        <v>54</v>
      </c>
      <c r="DL476" s="311">
        <f t="shared" si="397"/>
        <v>0.25</v>
      </c>
      <c r="DM476" s="310">
        <f t="shared" si="398"/>
        <v>135</v>
      </c>
      <c r="DN476" s="356">
        <f t="shared" si="399"/>
        <v>100</v>
      </c>
      <c r="DO476" s="308">
        <f t="shared" si="400"/>
        <v>0.25</v>
      </c>
      <c r="DP476" s="359">
        <f t="shared" si="418"/>
        <v>0.25</v>
      </c>
      <c r="DQ476" s="306">
        <f t="shared" si="401"/>
        <v>0.25</v>
      </c>
      <c r="DR476" s="379">
        <f t="shared" si="402"/>
        <v>1</v>
      </c>
      <c r="DS476" s="378">
        <f t="shared" si="403"/>
        <v>0</v>
      </c>
      <c r="DT476" s="173">
        <v>617</v>
      </c>
      <c r="DU476" s="174" t="s">
        <v>92</v>
      </c>
      <c r="DV476" s="173">
        <v>618</v>
      </c>
      <c r="DW476" s="174" t="s">
        <v>91</v>
      </c>
      <c r="DX476" s="173"/>
      <c r="DY476" s="173"/>
      <c r="DZ476" s="173"/>
      <c r="EA476" s="665"/>
      <c r="EB476" s="1254" t="s">
        <v>2148</v>
      </c>
      <c r="EC476" s="537">
        <v>0</v>
      </c>
      <c r="EE476" s="735">
        <v>0</v>
      </c>
      <c r="EF476" s="706"/>
    </row>
    <row r="477" spans="4:136" s="302" customFormat="1" ht="108">
      <c r="D477" s="520">
        <v>474</v>
      </c>
      <c r="E477" s="534">
        <v>545</v>
      </c>
      <c r="F477" s="479" t="s">
        <v>46</v>
      </c>
      <c r="G477" s="479" t="s">
        <v>19</v>
      </c>
      <c r="H477" s="479" t="s">
        <v>2678</v>
      </c>
      <c r="I477" s="435" t="s">
        <v>1128</v>
      </c>
      <c r="J477" s="335" t="s">
        <v>1129</v>
      </c>
      <c r="K477" s="335" t="s">
        <v>1130</v>
      </c>
      <c r="L477" s="358" t="s">
        <v>1819</v>
      </c>
      <c r="M477" s="334" t="s">
        <v>1771</v>
      </c>
      <c r="N477" s="334">
        <v>5000</v>
      </c>
      <c r="O477" s="333">
        <f t="shared" si="419"/>
        <v>7500</v>
      </c>
      <c r="P477" s="332">
        <v>2500</v>
      </c>
      <c r="Q477" s="390">
        <v>0.25</v>
      </c>
      <c r="R477" s="342">
        <f t="shared" si="381"/>
        <v>6.25E-2</v>
      </c>
      <c r="S477" s="389">
        <v>625</v>
      </c>
      <c r="T477" s="337">
        <f t="shared" si="420"/>
        <v>0.25</v>
      </c>
      <c r="U477" s="670">
        <v>1060</v>
      </c>
      <c r="V477" s="388">
        <f t="shared" si="421"/>
        <v>1060</v>
      </c>
      <c r="W477" s="356">
        <f t="shared" si="422"/>
        <v>169.6</v>
      </c>
      <c r="X477" s="356">
        <f t="shared" si="382"/>
        <v>100</v>
      </c>
      <c r="Y477" s="356">
        <f t="shared" si="417"/>
        <v>6.25E-2</v>
      </c>
      <c r="Z477" s="356">
        <f t="shared" si="383"/>
        <v>100</v>
      </c>
      <c r="AA477" s="355">
        <v>0</v>
      </c>
      <c r="AB477" s="355">
        <v>0</v>
      </c>
      <c r="AC477" s="355">
        <v>0</v>
      </c>
      <c r="AD477" s="355">
        <v>0</v>
      </c>
      <c r="AE477" s="355">
        <v>0</v>
      </c>
      <c r="AF477" s="355">
        <v>0</v>
      </c>
      <c r="AG477" s="355">
        <v>0</v>
      </c>
      <c r="AH477" s="355">
        <v>0</v>
      </c>
      <c r="AI477" s="355">
        <v>23200000</v>
      </c>
      <c r="AJ477" s="355">
        <v>23200000</v>
      </c>
      <c r="AK477" s="355">
        <v>0</v>
      </c>
      <c r="AL477" s="355">
        <v>0</v>
      </c>
      <c r="AM477" s="355">
        <v>0</v>
      </c>
      <c r="AN477" s="355">
        <v>0</v>
      </c>
      <c r="AO477" s="355">
        <v>0</v>
      </c>
      <c r="AP477" s="355">
        <v>0</v>
      </c>
      <c r="AQ477" s="355">
        <v>0</v>
      </c>
      <c r="AR477" s="355">
        <v>0</v>
      </c>
      <c r="AS477" s="355">
        <v>0</v>
      </c>
      <c r="AT477" s="333">
        <f t="shared" si="384"/>
        <v>6.25E-2</v>
      </c>
      <c r="AU477" s="334">
        <v>625</v>
      </c>
      <c r="AV477" s="387">
        <f t="shared" si="423"/>
        <v>0.25</v>
      </c>
      <c r="AW477" s="677">
        <v>1025</v>
      </c>
      <c r="AX477" s="366">
        <f t="shared" si="424"/>
        <v>1025</v>
      </c>
      <c r="AY477" s="366">
        <f t="shared" si="425"/>
        <v>164</v>
      </c>
      <c r="AZ477" s="366">
        <f t="shared" si="385"/>
        <v>100</v>
      </c>
      <c r="BA477" s="354">
        <f t="shared" si="386"/>
        <v>6.25E-2</v>
      </c>
      <c r="BB477" s="354">
        <f t="shared" si="387"/>
        <v>100</v>
      </c>
      <c r="BC477" s="353">
        <v>4000000</v>
      </c>
      <c r="BD477" s="353">
        <v>0</v>
      </c>
      <c r="BE477" s="353">
        <v>4000000</v>
      </c>
      <c r="BF477" s="353">
        <v>0</v>
      </c>
      <c r="BG477" s="353">
        <v>0</v>
      </c>
      <c r="BH477" s="353">
        <v>0</v>
      </c>
      <c r="BI477" s="353">
        <v>0</v>
      </c>
      <c r="BJ477" s="353">
        <v>0</v>
      </c>
      <c r="BK477" s="386">
        <v>0</v>
      </c>
      <c r="BL477" s="351">
        <v>0</v>
      </c>
      <c r="BM477" s="351">
        <v>0</v>
      </c>
      <c r="BN477" s="351">
        <v>0</v>
      </c>
      <c r="BO477" s="351">
        <v>0</v>
      </c>
      <c r="BP477" s="351">
        <v>0</v>
      </c>
      <c r="BQ477" s="351">
        <v>0</v>
      </c>
      <c r="BR477" s="351">
        <v>0</v>
      </c>
      <c r="BS477" s="351">
        <v>0</v>
      </c>
      <c r="BT477" s="351">
        <v>0</v>
      </c>
      <c r="BU477" s="351">
        <v>0</v>
      </c>
      <c r="BV477" s="350">
        <f t="shared" si="388"/>
        <v>6.25E-2</v>
      </c>
      <c r="BW477" s="350">
        <v>625</v>
      </c>
      <c r="BX477" s="385">
        <f t="shared" si="426"/>
        <v>0.25</v>
      </c>
      <c r="BY477" s="395">
        <v>0</v>
      </c>
      <c r="BZ477" s="394">
        <v>3</v>
      </c>
      <c r="CA477" s="691">
        <v>3</v>
      </c>
      <c r="CB477" s="324">
        <f t="shared" si="427"/>
        <v>3</v>
      </c>
      <c r="CC477" s="324">
        <f t="shared" si="428"/>
        <v>0.48</v>
      </c>
      <c r="CD477" s="384">
        <f t="shared" si="389"/>
        <v>0.48</v>
      </c>
      <c r="CE477" s="383">
        <f t="shared" si="390"/>
        <v>2.9999999999999997E-4</v>
      </c>
      <c r="CF477" s="367">
        <f t="shared" si="391"/>
        <v>0.48</v>
      </c>
      <c r="CG477" s="383">
        <f t="shared" si="392"/>
        <v>2.9999999999999997E-4</v>
      </c>
      <c r="CH477" s="320">
        <f t="shared" si="393"/>
        <v>6.25E-2</v>
      </c>
      <c r="CI477" s="319">
        <v>625</v>
      </c>
      <c r="CJ477" s="318">
        <f t="shared" si="429"/>
        <v>0.25</v>
      </c>
      <c r="CK477" s="1258">
        <v>0</v>
      </c>
      <c r="CL477" s="301">
        <f t="shared" si="380"/>
        <v>625</v>
      </c>
      <c r="CM477" s="381">
        <f t="shared" si="430"/>
        <v>0</v>
      </c>
      <c r="CN477" s="381">
        <f t="shared" si="431"/>
        <v>0</v>
      </c>
      <c r="CO477" s="316">
        <f t="shared" si="394"/>
        <v>0</v>
      </c>
      <c r="CP477" s="381">
        <f t="shared" si="395"/>
        <v>0</v>
      </c>
      <c r="CQ477" s="381">
        <f t="shared" si="396"/>
        <v>0</v>
      </c>
      <c r="CR477" s="313">
        <v>9000000</v>
      </c>
      <c r="CS477" s="313">
        <v>9000000</v>
      </c>
      <c r="CT477" s="313">
        <v>0</v>
      </c>
      <c r="CU477" s="313">
        <v>0</v>
      </c>
      <c r="CV477" s="313">
        <v>0</v>
      </c>
      <c r="CW477" s="313">
        <v>0</v>
      </c>
      <c r="CX477" s="313">
        <v>0</v>
      </c>
      <c r="CY477" s="313">
        <v>0</v>
      </c>
      <c r="CZ477" s="380">
        <v>0</v>
      </c>
      <c r="DA477" s="380">
        <v>0</v>
      </c>
      <c r="DB477" s="380">
        <v>0</v>
      </c>
      <c r="DC477" s="380">
        <v>0</v>
      </c>
      <c r="DD477" s="380">
        <v>0</v>
      </c>
      <c r="DE477" s="380">
        <v>0</v>
      </c>
      <c r="DF477" s="380">
        <v>0</v>
      </c>
      <c r="DG477" s="380">
        <v>0</v>
      </c>
      <c r="DH477" s="380">
        <v>0</v>
      </c>
      <c r="DI477" s="380">
        <v>0</v>
      </c>
      <c r="DJ477" s="380">
        <v>0</v>
      </c>
      <c r="DK477" s="702">
        <f t="shared" si="432"/>
        <v>2088</v>
      </c>
      <c r="DL477" s="311">
        <f t="shared" si="397"/>
        <v>0.25</v>
      </c>
      <c r="DM477" s="310">
        <f t="shared" si="398"/>
        <v>83.52</v>
      </c>
      <c r="DN477" s="356">
        <f t="shared" si="399"/>
        <v>83.52</v>
      </c>
      <c r="DO477" s="308">
        <f t="shared" si="400"/>
        <v>0.20879999999999999</v>
      </c>
      <c r="DP477" s="359">
        <f t="shared" si="418"/>
        <v>0.20879999999999999</v>
      </c>
      <c r="DQ477" s="306">
        <f t="shared" si="401"/>
        <v>0.20879999999999999</v>
      </c>
      <c r="DR477" s="379">
        <f t="shared" si="402"/>
        <v>1</v>
      </c>
      <c r="DS477" s="378">
        <f t="shared" si="403"/>
        <v>0</v>
      </c>
      <c r="DT477" s="173">
        <v>617</v>
      </c>
      <c r="DU477" s="174" t="s">
        <v>92</v>
      </c>
      <c r="DV477" s="173">
        <v>618</v>
      </c>
      <c r="DW477" s="174" t="s">
        <v>91</v>
      </c>
      <c r="DX477" s="173"/>
      <c r="DY477" s="173"/>
      <c r="DZ477" s="173"/>
      <c r="EA477" s="665"/>
      <c r="EB477" s="1254" t="s">
        <v>2149</v>
      </c>
      <c r="EC477" s="537">
        <v>0</v>
      </c>
      <c r="EE477" s="734">
        <v>0</v>
      </c>
      <c r="EF477" s="706"/>
    </row>
    <row r="478" spans="4:136" s="302" customFormat="1" ht="51" hidden="1">
      <c r="D478" s="520">
        <v>475</v>
      </c>
      <c r="E478" s="534">
        <v>546</v>
      </c>
      <c r="F478" s="479" t="s">
        <v>46</v>
      </c>
      <c r="G478" s="479" t="s">
        <v>9</v>
      </c>
      <c r="H478" s="479" t="s">
        <v>2678</v>
      </c>
      <c r="I478" s="435" t="s">
        <v>1131</v>
      </c>
      <c r="J478" s="335" t="s">
        <v>1132</v>
      </c>
      <c r="K478" s="335" t="s">
        <v>1133</v>
      </c>
      <c r="L478" s="358" t="s">
        <v>1818</v>
      </c>
      <c r="M478" s="334" t="s">
        <v>1771</v>
      </c>
      <c r="N478" s="334">
        <v>0</v>
      </c>
      <c r="O478" s="333">
        <f t="shared" si="419"/>
        <v>4</v>
      </c>
      <c r="P478" s="332">
        <v>4</v>
      </c>
      <c r="Q478" s="390">
        <v>8.8999999999999996E-2</v>
      </c>
      <c r="R478" s="342">
        <f t="shared" si="381"/>
        <v>0</v>
      </c>
      <c r="S478" s="389">
        <v>0</v>
      </c>
      <c r="T478" s="337">
        <f t="shared" si="420"/>
        <v>0</v>
      </c>
      <c r="U478" s="670">
        <v>2</v>
      </c>
      <c r="V478" s="388">
        <f t="shared" si="421"/>
        <v>2</v>
      </c>
      <c r="W478" s="356">
        <f t="shared" si="422"/>
        <v>0</v>
      </c>
      <c r="X478" s="356">
        <f t="shared" si="382"/>
        <v>0</v>
      </c>
      <c r="Y478" s="356">
        <f t="shared" si="417"/>
        <v>0</v>
      </c>
      <c r="Z478" s="356">
        <f t="shared" si="383"/>
        <v>100</v>
      </c>
      <c r="AA478" s="355">
        <v>0</v>
      </c>
      <c r="AB478" s="355">
        <v>0</v>
      </c>
      <c r="AC478" s="355">
        <v>0</v>
      </c>
      <c r="AD478" s="355">
        <v>0</v>
      </c>
      <c r="AE478" s="355">
        <v>0</v>
      </c>
      <c r="AF478" s="355">
        <v>0</v>
      </c>
      <c r="AG478" s="355">
        <v>0</v>
      </c>
      <c r="AH478" s="355">
        <v>0</v>
      </c>
      <c r="AI478" s="355">
        <v>20700000</v>
      </c>
      <c r="AJ478" s="355">
        <v>20700000</v>
      </c>
      <c r="AK478" s="355">
        <v>0</v>
      </c>
      <c r="AL478" s="355">
        <v>0</v>
      </c>
      <c r="AM478" s="355">
        <v>0</v>
      </c>
      <c r="AN478" s="355">
        <v>0</v>
      </c>
      <c r="AO478" s="355">
        <v>0</v>
      </c>
      <c r="AP478" s="355">
        <v>0</v>
      </c>
      <c r="AQ478" s="355">
        <v>0</v>
      </c>
      <c r="AR478" s="355">
        <v>0</v>
      </c>
      <c r="AS478" s="355">
        <v>0</v>
      </c>
      <c r="AT478" s="333">
        <f t="shared" si="384"/>
        <v>0</v>
      </c>
      <c r="AU478" s="334">
        <v>0</v>
      </c>
      <c r="AV478" s="387">
        <f t="shared" si="423"/>
        <v>0</v>
      </c>
      <c r="AW478" s="677">
        <v>1</v>
      </c>
      <c r="AX478" s="366">
        <f t="shared" si="424"/>
        <v>1</v>
      </c>
      <c r="AY478" s="366">
        <f t="shared" si="425"/>
        <v>0</v>
      </c>
      <c r="AZ478" s="366">
        <f t="shared" si="385"/>
        <v>0</v>
      </c>
      <c r="BA478" s="354">
        <f t="shared" si="386"/>
        <v>0</v>
      </c>
      <c r="BB478" s="354">
        <f t="shared" si="387"/>
        <v>100</v>
      </c>
      <c r="BC478" s="353">
        <v>0</v>
      </c>
      <c r="BD478" s="353">
        <v>0</v>
      </c>
      <c r="BE478" s="353">
        <v>0</v>
      </c>
      <c r="BF478" s="353">
        <v>0</v>
      </c>
      <c r="BG478" s="353">
        <v>0</v>
      </c>
      <c r="BH478" s="353">
        <v>0</v>
      </c>
      <c r="BI478" s="353">
        <v>0</v>
      </c>
      <c r="BJ478" s="353">
        <v>0</v>
      </c>
      <c r="BK478" s="386">
        <v>0</v>
      </c>
      <c r="BL478" s="351">
        <v>0</v>
      </c>
      <c r="BM478" s="351">
        <v>0</v>
      </c>
      <c r="BN478" s="351">
        <v>0</v>
      </c>
      <c r="BO478" s="351">
        <v>0</v>
      </c>
      <c r="BP478" s="351">
        <v>0</v>
      </c>
      <c r="BQ478" s="351">
        <v>0</v>
      </c>
      <c r="BR478" s="351">
        <v>0</v>
      </c>
      <c r="BS478" s="351">
        <v>0</v>
      </c>
      <c r="BT478" s="351">
        <v>0</v>
      </c>
      <c r="BU478" s="351">
        <v>0</v>
      </c>
      <c r="BV478" s="350">
        <f t="shared" si="388"/>
        <v>6.6750000000000004E-2</v>
      </c>
      <c r="BW478" s="350">
        <v>3</v>
      </c>
      <c r="BX478" s="385">
        <f t="shared" si="426"/>
        <v>0.75</v>
      </c>
      <c r="BY478" s="349">
        <v>3</v>
      </c>
      <c r="BZ478" s="405">
        <v>3</v>
      </c>
      <c r="CA478" s="689">
        <v>3</v>
      </c>
      <c r="CB478" s="324">
        <f t="shared" si="427"/>
        <v>3</v>
      </c>
      <c r="CC478" s="324">
        <f t="shared" si="428"/>
        <v>100</v>
      </c>
      <c r="CD478" s="384">
        <f t="shared" si="389"/>
        <v>100</v>
      </c>
      <c r="CE478" s="383">
        <f t="shared" si="390"/>
        <v>6.6750000000000004E-2</v>
      </c>
      <c r="CF478" s="367">
        <f t="shared" si="391"/>
        <v>100</v>
      </c>
      <c r="CG478" s="383">
        <f t="shared" si="392"/>
        <v>6.6750000000000004E-2</v>
      </c>
      <c r="CH478" s="320">
        <f t="shared" si="393"/>
        <v>2.2249999999999999E-2</v>
      </c>
      <c r="CI478" s="319">
        <v>1</v>
      </c>
      <c r="CJ478" s="318">
        <f t="shared" si="429"/>
        <v>0.25</v>
      </c>
      <c r="CK478" s="1258">
        <v>1</v>
      </c>
      <c r="CL478" s="301">
        <f t="shared" si="380"/>
        <v>0</v>
      </c>
      <c r="CM478" s="381">
        <f t="shared" si="430"/>
        <v>1</v>
      </c>
      <c r="CN478" s="381">
        <f t="shared" si="431"/>
        <v>100</v>
      </c>
      <c r="CO478" s="316">
        <f t="shared" si="394"/>
        <v>100</v>
      </c>
      <c r="CP478" s="381">
        <f t="shared" si="395"/>
        <v>2.2250000000000002E-2</v>
      </c>
      <c r="CQ478" s="381">
        <f t="shared" si="396"/>
        <v>2.2250000000000002E-2</v>
      </c>
      <c r="CR478" s="313">
        <v>300000000</v>
      </c>
      <c r="CS478" s="313">
        <v>300000000</v>
      </c>
      <c r="CT478" s="313">
        <v>0</v>
      </c>
      <c r="CU478" s="313">
        <v>0</v>
      </c>
      <c r="CV478" s="313">
        <v>0</v>
      </c>
      <c r="CW478" s="313">
        <v>0</v>
      </c>
      <c r="CX478" s="313">
        <v>0</v>
      </c>
      <c r="CY478" s="313">
        <v>0</v>
      </c>
      <c r="CZ478" s="380">
        <v>0</v>
      </c>
      <c r="DA478" s="380">
        <v>0</v>
      </c>
      <c r="DB478" s="380">
        <v>0</v>
      </c>
      <c r="DC478" s="380">
        <v>0</v>
      </c>
      <c r="DD478" s="380">
        <v>0</v>
      </c>
      <c r="DE478" s="380">
        <v>0</v>
      </c>
      <c r="DF478" s="380">
        <v>0</v>
      </c>
      <c r="DG478" s="380">
        <v>0</v>
      </c>
      <c r="DH478" s="380">
        <v>0</v>
      </c>
      <c r="DI478" s="380">
        <v>0</v>
      </c>
      <c r="DJ478" s="380">
        <v>0</v>
      </c>
      <c r="DK478" s="702">
        <f t="shared" si="432"/>
        <v>7</v>
      </c>
      <c r="DL478" s="311">
        <f t="shared" si="397"/>
        <v>8.8999999999999996E-2</v>
      </c>
      <c r="DM478" s="310">
        <f t="shared" si="398"/>
        <v>175</v>
      </c>
      <c r="DN478" s="356">
        <f t="shared" si="399"/>
        <v>100</v>
      </c>
      <c r="DO478" s="308">
        <f t="shared" si="400"/>
        <v>8.900000000000001E-2</v>
      </c>
      <c r="DP478" s="359">
        <f t="shared" si="418"/>
        <v>8.8999999999999996E-2</v>
      </c>
      <c r="DQ478" s="306">
        <f t="shared" si="401"/>
        <v>8.8999999999999996E-2</v>
      </c>
      <c r="DR478" s="379">
        <f t="shared" si="402"/>
        <v>1</v>
      </c>
      <c r="DS478" s="378">
        <f t="shared" si="403"/>
        <v>0</v>
      </c>
      <c r="DT478" s="173">
        <v>616</v>
      </c>
      <c r="DU478" s="174" t="s">
        <v>93</v>
      </c>
      <c r="DV478" s="173"/>
      <c r="DW478" s="174" t="s">
        <v>84</v>
      </c>
      <c r="DX478" s="173"/>
      <c r="DY478" s="173"/>
      <c r="DZ478" s="173"/>
      <c r="EA478" s="665"/>
      <c r="EB478" s="1254" t="s">
        <v>2150</v>
      </c>
      <c r="EC478" s="537">
        <v>685000000</v>
      </c>
      <c r="EE478" s="733">
        <v>0</v>
      </c>
      <c r="EF478" s="706"/>
    </row>
    <row r="479" spans="4:136" s="302" customFormat="1" ht="102" customHeight="1">
      <c r="D479" s="520">
        <v>476</v>
      </c>
      <c r="E479" s="534">
        <v>547</v>
      </c>
      <c r="F479" s="336" t="s">
        <v>46</v>
      </c>
      <c r="G479" s="336" t="s">
        <v>19</v>
      </c>
      <c r="H479" s="336" t="s">
        <v>2678</v>
      </c>
      <c r="I479" s="336" t="s">
        <v>1131</v>
      </c>
      <c r="J479" s="335" t="s">
        <v>1309</v>
      </c>
      <c r="K479" s="335" t="s">
        <v>1134</v>
      </c>
      <c r="L479" s="358" t="s">
        <v>1415</v>
      </c>
      <c r="M479" s="334" t="s">
        <v>1771</v>
      </c>
      <c r="N479" s="334">
        <v>0</v>
      </c>
      <c r="O479" s="333">
        <f t="shared" si="419"/>
        <v>5</v>
      </c>
      <c r="P479" s="332">
        <v>5</v>
      </c>
      <c r="Q479" s="393">
        <v>0.16500000000000001</v>
      </c>
      <c r="R479" s="342">
        <f t="shared" si="381"/>
        <v>0.13200000000000001</v>
      </c>
      <c r="S479" s="389">
        <v>4</v>
      </c>
      <c r="T479" s="337">
        <f t="shared" si="420"/>
        <v>0.8</v>
      </c>
      <c r="U479" s="670">
        <v>4</v>
      </c>
      <c r="V479" s="388">
        <f t="shared" si="421"/>
        <v>4</v>
      </c>
      <c r="W479" s="356">
        <f t="shared" si="422"/>
        <v>100</v>
      </c>
      <c r="X479" s="356">
        <f t="shared" si="382"/>
        <v>100</v>
      </c>
      <c r="Y479" s="356">
        <f t="shared" si="417"/>
        <v>0.13200000000000001</v>
      </c>
      <c r="Z479" s="356">
        <f t="shared" si="383"/>
        <v>100</v>
      </c>
      <c r="AA479" s="355">
        <v>3860000000</v>
      </c>
      <c r="AB479" s="355">
        <v>1000000000</v>
      </c>
      <c r="AC479" s="355">
        <v>0</v>
      </c>
      <c r="AD479" s="355">
        <v>0</v>
      </c>
      <c r="AE479" s="355">
        <v>0</v>
      </c>
      <c r="AF479" s="355">
        <v>0</v>
      </c>
      <c r="AG479" s="355">
        <v>0</v>
      </c>
      <c r="AH479" s="355">
        <v>2860000000</v>
      </c>
      <c r="AI479" s="355">
        <v>1000000000</v>
      </c>
      <c r="AJ479" s="355">
        <v>1000000000</v>
      </c>
      <c r="AK479" s="355">
        <v>0</v>
      </c>
      <c r="AL479" s="355">
        <v>0</v>
      </c>
      <c r="AM479" s="355">
        <v>0</v>
      </c>
      <c r="AN479" s="355">
        <v>0</v>
      </c>
      <c r="AO479" s="355">
        <v>0</v>
      </c>
      <c r="AP479" s="355">
        <v>0</v>
      </c>
      <c r="AQ479" s="355">
        <v>0</v>
      </c>
      <c r="AR479" s="355">
        <v>2860622000</v>
      </c>
      <c r="AS479" s="355" t="s">
        <v>1817</v>
      </c>
      <c r="AT479" s="392">
        <f t="shared" si="384"/>
        <v>3.3000000000000002E-2</v>
      </c>
      <c r="AU479" s="334">
        <v>1</v>
      </c>
      <c r="AV479" s="387">
        <f t="shared" si="423"/>
        <v>0.2</v>
      </c>
      <c r="AW479" s="677">
        <v>1</v>
      </c>
      <c r="AX479" s="366">
        <f t="shared" si="424"/>
        <v>1</v>
      </c>
      <c r="AY479" s="366">
        <f t="shared" si="425"/>
        <v>100</v>
      </c>
      <c r="AZ479" s="366">
        <f t="shared" si="385"/>
        <v>100</v>
      </c>
      <c r="BA479" s="354">
        <f t="shared" si="386"/>
        <v>3.3000000000000002E-2</v>
      </c>
      <c r="BB479" s="354">
        <f t="shared" si="387"/>
        <v>100</v>
      </c>
      <c r="BC479" s="353">
        <v>8100000000</v>
      </c>
      <c r="BD479" s="353">
        <v>0</v>
      </c>
      <c r="BE479" s="353">
        <v>2100000000</v>
      </c>
      <c r="BF479" s="353">
        <v>0</v>
      </c>
      <c r="BG479" s="353">
        <v>0</v>
      </c>
      <c r="BH479" s="353">
        <v>0</v>
      </c>
      <c r="BI479" s="353">
        <v>0</v>
      </c>
      <c r="BJ479" s="353">
        <v>6000000000</v>
      </c>
      <c r="BK479" s="386">
        <v>16640000</v>
      </c>
      <c r="BL479" s="351">
        <v>16640000</v>
      </c>
      <c r="BM479" s="351">
        <v>0</v>
      </c>
      <c r="BN479" s="351">
        <v>0</v>
      </c>
      <c r="BO479" s="351">
        <v>0</v>
      </c>
      <c r="BP479" s="351">
        <v>0</v>
      </c>
      <c r="BQ479" s="351">
        <v>0</v>
      </c>
      <c r="BR479" s="351">
        <v>0</v>
      </c>
      <c r="BS479" s="351">
        <v>0</v>
      </c>
      <c r="BT479" s="351">
        <v>0</v>
      </c>
      <c r="BU479" s="351">
        <v>0</v>
      </c>
      <c r="BV479" s="350">
        <f t="shared" si="388"/>
        <v>0</v>
      </c>
      <c r="BW479" s="350">
        <v>0</v>
      </c>
      <c r="BX479" s="385">
        <f t="shared" si="426"/>
        <v>0</v>
      </c>
      <c r="BY479" s="395">
        <v>0</v>
      </c>
      <c r="BZ479" s="394">
        <v>0</v>
      </c>
      <c r="CA479" s="691">
        <v>0</v>
      </c>
      <c r="CB479" s="324">
        <f t="shared" si="427"/>
        <v>0</v>
      </c>
      <c r="CC479" s="324">
        <f t="shared" si="428"/>
        <v>0</v>
      </c>
      <c r="CD479" s="384">
        <f t="shared" si="389"/>
        <v>0</v>
      </c>
      <c r="CE479" s="383">
        <f t="shared" si="390"/>
        <v>0</v>
      </c>
      <c r="CF479" s="367">
        <f t="shared" si="391"/>
        <v>0</v>
      </c>
      <c r="CG479" s="383">
        <f t="shared" si="392"/>
        <v>0</v>
      </c>
      <c r="CH479" s="320">
        <f t="shared" si="393"/>
        <v>0</v>
      </c>
      <c r="CI479" s="319">
        <v>0</v>
      </c>
      <c r="CJ479" s="318">
        <f t="shared" si="429"/>
        <v>0</v>
      </c>
      <c r="CK479" s="1258">
        <v>0</v>
      </c>
      <c r="CL479" s="301">
        <f t="shared" si="380"/>
        <v>0</v>
      </c>
      <c r="CM479" s="381">
        <f t="shared" si="430"/>
        <v>0</v>
      </c>
      <c r="CN479" s="381">
        <f t="shared" si="431"/>
        <v>0</v>
      </c>
      <c r="CO479" s="316">
        <f t="shared" si="394"/>
        <v>0</v>
      </c>
      <c r="CP479" s="381">
        <f t="shared" si="395"/>
        <v>0</v>
      </c>
      <c r="CQ479" s="381">
        <f t="shared" si="396"/>
        <v>0</v>
      </c>
      <c r="CR479" s="313">
        <v>1000000000</v>
      </c>
      <c r="CS479" s="313">
        <v>500000000</v>
      </c>
      <c r="CT479" s="313">
        <v>0</v>
      </c>
      <c r="CU479" s="313">
        <v>0</v>
      </c>
      <c r="CV479" s="313">
        <v>0</v>
      </c>
      <c r="CW479" s="313">
        <v>0</v>
      </c>
      <c r="CX479" s="313">
        <v>0</v>
      </c>
      <c r="CY479" s="313">
        <v>500000000</v>
      </c>
      <c r="CZ479" s="380">
        <v>0</v>
      </c>
      <c r="DA479" s="380">
        <v>0</v>
      </c>
      <c r="DB479" s="380">
        <v>0</v>
      </c>
      <c r="DC479" s="380">
        <v>0</v>
      </c>
      <c r="DD479" s="380">
        <v>0</v>
      </c>
      <c r="DE479" s="380">
        <v>0</v>
      </c>
      <c r="DF479" s="380">
        <v>0</v>
      </c>
      <c r="DG479" s="380">
        <v>0</v>
      </c>
      <c r="DH479" s="380">
        <v>0</v>
      </c>
      <c r="DI479" s="380">
        <v>0</v>
      </c>
      <c r="DJ479" s="380">
        <v>0</v>
      </c>
      <c r="DK479" s="702">
        <f t="shared" si="432"/>
        <v>5</v>
      </c>
      <c r="DL479" s="311">
        <f t="shared" si="397"/>
        <v>0.16500000000000001</v>
      </c>
      <c r="DM479" s="310">
        <f t="shared" si="398"/>
        <v>100</v>
      </c>
      <c r="DN479" s="356">
        <f t="shared" si="399"/>
        <v>100</v>
      </c>
      <c r="DO479" s="308">
        <f t="shared" si="400"/>
        <v>0.16500000000000001</v>
      </c>
      <c r="DP479" s="359">
        <f t="shared" si="418"/>
        <v>0.16500000000000001</v>
      </c>
      <c r="DQ479" s="306">
        <f t="shared" si="401"/>
        <v>0.16500000000000001</v>
      </c>
      <c r="DR479" s="379">
        <f t="shared" si="402"/>
        <v>1</v>
      </c>
      <c r="DS479" s="378">
        <f t="shared" si="403"/>
        <v>0</v>
      </c>
      <c r="DT479" s="173">
        <v>616</v>
      </c>
      <c r="DU479" s="174" t="s">
        <v>93</v>
      </c>
      <c r="DV479" s="173"/>
      <c r="DW479" s="174" t="s">
        <v>84</v>
      </c>
      <c r="DX479" s="173"/>
      <c r="DY479" s="173"/>
      <c r="DZ479" s="173"/>
      <c r="EA479" s="665"/>
      <c r="EB479" s="1254" t="s">
        <v>3190</v>
      </c>
      <c r="EC479" s="537">
        <v>0</v>
      </c>
      <c r="EE479" s="735">
        <v>1</v>
      </c>
      <c r="EF479" s="706"/>
    </row>
    <row r="480" spans="4:136" s="302" customFormat="1" ht="84">
      <c r="D480" s="520">
        <v>477</v>
      </c>
      <c r="E480" s="534">
        <v>548</v>
      </c>
      <c r="F480" s="479" t="s">
        <v>46</v>
      </c>
      <c r="G480" s="479" t="s">
        <v>19</v>
      </c>
      <c r="H480" s="479" t="s">
        <v>2678</v>
      </c>
      <c r="I480" s="435" t="s">
        <v>1131</v>
      </c>
      <c r="J480" s="335" t="s">
        <v>1135</v>
      </c>
      <c r="K480" s="335" t="s">
        <v>1136</v>
      </c>
      <c r="L480" s="358" t="s">
        <v>1816</v>
      </c>
      <c r="M480" s="334" t="s">
        <v>1771</v>
      </c>
      <c r="N480" s="334">
        <v>0</v>
      </c>
      <c r="O480" s="333">
        <f t="shared" si="419"/>
        <v>4</v>
      </c>
      <c r="P480" s="332">
        <v>4</v>
      </c>
      <c r="Q480" s="390">
        <v>0.25</v>
      </c>
      <c r="R480" s="342">
        <f t="shared" si="381"/>
        <v>0</v>
      </c>
      <c r="S480" s="389">
        <v>0</v>
      </c>
      <c r="T480" s="337">
        <f t="shared" si="420"/>
        <v>0</v>
      </c>
      <c r="U480" s="670">
        <v>0</v>
      </c>
      <c r="V480" s="388">
        <f t="shared" si="421"/>
        <v>0</v>
      </c>
      <c r="W480" s="356">
        <f t="shared" si="422"/>
        <v>0</v>
      </c>
      <c r="X480" s="356">
        <f t="shared" si="382"/>
        <v>0</v>
      </c>
      <c r="Y480" s="356">
        <f t="shared" si="417"/>
        <v>0</v>
      </c>
      <c r="Z480" s="356">
        <f t="shared" si="383"/>
        <v>0</v>
      </c>
      <c r="AA480" s="355">
        <v>85000000</v>
      </c>
      <c r="AB480" s="355">
        <v>85000000</v>
      </c>
      <c r="AC480" s="355">
        <v>0</v>
      </c>
      <c r="AD480" s="355">
        <v>0</v>
      </c>
      <c r="AE480" s="355">
        <v>0</v>
      </c>
      <c r="AF480" s="355">
        <v>0</v>
      </c>
      <c r="AG480" s="355">
        <v>0</v>
      </c>
      <c r="AH480" s="355">
        <v>0</v>
      </c>
      <c r="AI480" s="355">
        <v>0</v>
      </c>
      <c r="AJ480" s="355">
        <v>0</v>
      </c>
      <c r="AK480" s="355">
        <v>0</v>
      </c>
      <c r="AL480" s="355">
        <v>0</v>
      </c>
      <c r="AM480" s="355">
        <v>0</v>
      </c>
      <c r="AN480" s="355">
        <v>0</v>
      </c>
      <c r="AO480" s="355">
        <v>0</v>
      </c>
      <c r="AP480" s="355">
        <v>0</v>
      </c>
      <c r="AQ480" s="355">
        <v>0</v>
      </c>
      <c r="AR480" s="355">
        <v>0</v>
      </c>
      <c r="AS480" s="355">
        <v>0</v>
      </c>
      <c r="AT480" s="333">
        <f t="shared" si="384"/>
        <v>6.25E-2</v>
      </c>
      <c r="AU480" s="334">
        <v>1</v>
      </c>
      <c r="AV480" s="387">
        <f t="shared" si="423"/>
        <v>0.25</v>
      </c>
      <c r="AW480" s="677">
        <v>1</v>
      </c>
      <c r="AX480" s="366">
        <f t="shared" si="424"/>
        <v>1</v>
      </c>
      <c r="AY480" s="366">
        <f t="shared" si="425"/>
        <v>100</v>
      </c>
      <c r="AZ480" s="366">
        <f t="shared" si="385"/>
        <v>100</v>
      </c>
      <c r="BA480" s="354">
        <f t="shared" si="386"/>
        <v>6.25E-2</v>
      </c>
      <c r="BB480" s="354">
        <f t="shared" si="387"/>
        <v>100</v>
      </c>
      <c r="BC480" s="353">
        <v>267000000</v>
      </c>
      <c r="BD480" s="353">
        <v>0</v>
      </c>
      <c r="BE480" s="353">
        <v>267000000</v>
      </c>
      <c r="BF480" s="353">
        <v>0</v>
      </c>
      <c r="BG480" s="353">
        <v>0</v>
      </c>
      <c r="BH480" s="353">
        <v>0</v>
      </c>
      <c r="BI480" s="353">
        <v>0</v>
      </c>
      <c r="BJ480" s="353">
        <v>0</v>
      </c>
      <c r="BK480" s="386">
        <v>536349880</v>
      </c>
      <c r="BL480" s="351">
        <v>536349880</v>
      </c>
      <c r="BM480" s="351">
        <v>0</v>
      </c>
      <c r="BN480" s="351">
        <v>0</v>
      </c>
      <c r="BO480" s="351">
        <v>0</v>
      </c>
      <c r="BP480" s="351">
        <v>0</v>
      </c>
      <c r="BQ480" s="351">
        <v>0</v>
      </c>
      <c r="BR480" s="351">
        <v>0</v>
      </c>
      <c r="BS480" s="351">
        <v>0</v>
      </c>
      <c r="BT480" s="351">
        <v>35600000</v>
      </c>
      <c r="BU480" s="351" t="s">
        <v>1815</v>
      </c>
      <c r="BV480" s="350">
        <f t="shared" si="388"/>
        <v>0.125</v>
      </c>
      <c r="BW480" s="350">
        <v>2</v>
      </c>
      <c r="BX480" s="385">
        <f t="shared" si="426"/>
        <v>0.5</v>
      </c>
      <c r="BY480" s="369">
        <v>3</v>
      </c>
      <c r="BZ480" s="368">
        <v>3</v>
      </c>
      <c r="CA480" s="742">
        <v>3</v>
      </c>
      <c r="CB480" s="324">
        <f t="shared" si="427"/>
        <v>3</v>
      </c>
      <c r="CC480" s="324">
        <f t="shared" si="428"/>
        <v>150</v>
      </c>
      <c r="CD480" s="384">
        <f t="shared" si="389"/>
        <v>100</v>
      </c>
      <c r="CE480" s="383">
        <f t="shared" si="390"/>
        <v>0.125</v>
      </c>
      <c r="CF480" s="367">
        <f t="shared" si="391"/>
        <v>100</v>
      </c>
      <c r="CG480" s="383">
        <f t="shared" si="392"/>
        <v>0.1875</v>
      </c>
      <c r="CH480" s="320">
        <f t="shared" si="393"/>
        <v>6.25E-2</v>
      </c>
      <c r="CI480" s="319">
        <v>1</v>
      </c>
      <c r="CJ480" s="318">
        <f t="shared" si="429"/>
        <v>0.25</v>
      </c>
      <c r="CK480" s="1259">
        <v>1</v>
      </c>
      <c r="CL480" s="301">
        <f t="shared" si="380"/>
        <v>0</v>
      </c>
      <c r="CM480" s="381">
        <f t="shared" si="430"/>
        <v>1</v>
      </c>
      <c r="CN480" s="381">
        <f t="shared" si="431"/>
        <v>100</v>
      </c>
      <c r="CO480" s="316">
        <f t="shared" si="394"/>
        <v>100</v>
      </c>
      <c r="CP480" s="381">
        <f t="shared" si="395"/>
        <v>6.25E-2</v>
      </c>
      <c r="CQ480" s="381">
        <f t="shared" si="396"/>
        <v>6.25E-2</v>
      </c>
      <c r="CR480" s="313">
        <v>266000000</v>
      </c>
      <c r="CS480" s="313">
        <v>266000000</v>
      </c>
      <c r="CT480" s="313">
        <v>0</v>
      </c>
      <c r="CU480" s="313">
        <v>0</v>
      </c>
      <c r="CV480" s="313">
        <v>0</v>
      </c>
      <c r="CW480" s="313">
        <v>0</v>
      </c>
      <c r="CX480" s="313">
        <v>0</v>
      </c>
      <c r="CY480" s="313">
        <v>0</v>
      </c>
      <c r="CZ480" s="380">
        <v>0</v>
      </c>
      <c r="DA480" s="380">
        <v>0</v>
      </c>
      <c r="DB480" s="380">
        <v>0</v>
      </c>
      <c r="DC480" s="380">
        <v>0</v>
      </c>
      <c r="DD480" s="380">
        <v>0</v>
      </c>
      <c r="DE480" s="380">
        <v>0</v>
      </c>
      <c r="DF480" s="380">
        <v>0</v>
      </c>
      <c r="DG480" s="380">
        <v>0</v>
      </c>
      <c r="DH480" s="380">
        <v>0</v>
      </c>
      <c r="DI480" s="380">
        <v>0</v>
      </c>
      <c r="DJ480" s="380">
        <v>0</v>
      </c>
      <c r="DK480" s="702">
        <f t="shared" si="432"/>
        <v>5</v>
      </c>
      <c r="DL480" s="311">
        <f t="shared" si="397"/>
        <v>0.25</v>
      </c>
      <c r="DM480" s="310">
        <f t="shared" si="398"/>
        <v>125</v>
      </c>
      <c r="DN480" s="356">
        <f t="shared" si="399"/>
        <v>100</v>
      </c>
      <c r="DO480" s="308">
        <f t="shared" si="400"/>
        <v>0.25</v>
      </c>
      <c r="DP480" s="359">
        <f t="shared" si="418"/>
        <v>0.25</v>
      </c>
      <c r="DQ480" s="306">
        <f t="shared" si="401"/>
        <v>0.25</v>
      </c>
      <c r="DR480" s="379">
        <f t="shared" si="402"/>
        <v>1</v>
      </c>
      <c r="DS480" s="378">
        <f t="shared" si="403"/>
        <v>0</v>
      </c>
      <c r="DT480" s="173">
        <v>616</v>
      </c>
      <c r="DU480" s="174" t="s">
        <v>93</v>
      </c>
      <c r="DV480" s="173">
        <v>617</v>
      </c>
      <c r="DW480" s="174" t="s">
        <v>92</v>
      </c>
      <c r="DX480" s="173">
        <v>618</v>
      </c>
      <c r="DY480" s="173"/>
      <c r="DZ480" s="173"/>
      <c r="EA480" s="665"/>
      <c r="EB480" s="1254" t="s">
        <v>2371</v>
      </c>
      <c r="EC480" s="537">
        <v>0</v>
      </c>
      <c r="EE480" s="734">
        <v>2</v>
      </c>
      <c r="EF480" s="706"/>
    </row>
    <row r="481" spans="4:136" s="302" customFormat="1" ht="51">
      <c r="D481" s="520">
        <v>478</v>
      </c>
      <c r="E481" s="534">
        <v>549</v>
      </c>
      <c r="F481" s="479" t="s">
        <v>46</v>
      </c>
      <c r="G481" s="479" t="s">
        <v>19</v>
      </c>
      <c r="H481" s="479" t="s">
        <v>2678</v>
      </c>
      <c r="I481" s="435" t="s">
        <v>1131</v>
      </c>
      <c r="J481" s="335" t="s">
        <v>1137</v>
      </c>
      <c r="K481" s="335" t="s">
        <v>1138</v>
      </c>
      <c r="L481" s="358" t="s">
        <v>1814</v>
      </c>
      <c r="M481" s="334" t="s">
        <v>1771</v>
      </c>
      <c r="N481" s="334">
        <v>0</v>
      </c>
      <c r="O481" s="333">
        <f t="shared" si="419"/>
        <v>4</v>
      </c>
      <c r="P481" s="332">
        <v>4</v>
      </c>
      <c r="Q481" s="390">
        <v>0.16500000000000001</v>
      </c>
      <c r="R481" s="342">
        <f t="shared" si="381"/>
        <v>4.1250000000000002E-2</v>
      </c>
      <c r="S481" s="389">
        <v>1</v>
      </c>
      <c r="T481" s="337">
        <f t="shared" si="420"/>
        <v>0.25</v>
      </c>
      <c r="U481" s="670">
        <v>0</v>
      </c>
      <c r="V481" s="388">
        <f t="shared" si="421"/>
        <v>0</v>
      </c>
      <c r="W481" s="356">
        <f t="shared" si="422"/>
        <v>0</v>
      </c>
      <c r="X481" s="356">
        <f t="shared" si="382"/>
        <v>0</v>
      </c>
      <c r="Y481" s="356">
        <f t="shared" si="417"/>
        <v>0</v>
      </c>
      <c r="Z481" s="356">
        <f t="shared" si="383"/>
        <v>0</v>
      </c>
      <c r="AA481" s="355">
        <v>0</v>
      </c>
      <c r="AB481" s="355">
        <v>0</v>
      </c>
      <c r="AC481" s="355">
        <v>0</v>
      </c>
      <c r="AD481" s="355">
        <v>0</v>
      </c>
      <c r="AE481" s="355">
        <v>0</v>
      </c>
      <c r="AF481" s="355">
        <v>0</v>
      </c>
      <c r="AG481" s="355">
        <v>0</v>
      </c>
      <c r="AH481" s="355">
        <v>0</v>
      </c>
      <c r="AI481" s="355">
        <v>0</v>
      </c>
      <c r="AJ481" s="355">
        <v>0</v>
      </c>
      <c r="AK481" s="355">
        <v>0</v>
      </c>
      <c r="AL481" s="355">
        <v>0</v>
      </c>
      <c r="AM481" s="355">
        <v>0</v>
      </c>
      <c r="AN481" s="355">
        <v>0</v>
      </c>
      <c r="AO481" s="355">
        <v>0</v>
      </c>
      <c r="AP481" s="355">
        <v>0</v>
      </c>
      <c r="AQ481" s="355">
        <v>0</v>
      </c>
      <c r="AR481" s="355">
        <v>0</v>
      </c>
      <c r="AS481" s="355">
        <v>0</v>
      </c>
      <c r="AT481" s="333">
        <f t="shared" si="384"/>
        <v>4.1250000000000002E-2</v>
      </c>
      <c r="AU481" s="334">
        <v>1</v>
      </c>
      <c r="AV481" s="387">
        <f t="shared" si="423"/>
        <v>0.25</v>
      </c>
      <c r="AW481" s="677">
        <v>3</v>
      </c>
      <c r="AX481" s="366">
        <f t="shared" si="424"/>
        <v>3</v>
      </c>
      <c r="AY481" s="366">
        <f t="shared" si="425"/>
        <v>300</v>
      </c>
      <c r="AZ481" s="366">
        <f t="shared" si="385"/>
        <v>100</v>
      </c>
      <c r="BA481" s="354">
        <f t="shared" si="386"/>
        <v>4.1250000000000002E-2</v>
      </c>
      <c r="BB481" s="354">
        <f t="shared" si="387"/>
        <v>100</v>
      </c>
      <c r="BC481" s="353">
        <v>0</v>
      </c>
      <c r="BD481" s="353">
        <v>0</v>
      </c>
      <c r="BE481" s="353">
        <v>0</v>
      </c>
      <c r="BF481" s="353">
        <v>0</v>
      </c>
      <c r="BG481" s="353">
        <v>0</v>
      </c>
      <c r="BH481" s="353">
        <v>0</v>
      </c>
      <c r="BI481" s="353">
        <v>0</v>
      </c>
      <c r="BJ481" s="353">
        <v>0</v>
      </c>
      <c r="BK481" s="386">
        <v>53882574</v>
      </c>
      <c r="BL481" s="351">
        <v>53882574</v>
      </c>
      <c r="BM481" s="351">
        <v>0</v>
      </c>
      <c r="BN481" s="351">
        <v>0</v>
      </c>
      <c r="BO481" s="351">
        <v>0</v>
      </c>
      <c r="BP481" s="351">
        <v>0</v>
      </c>
      <c r="BQ481" s="351">
        <v>0</v>
      </c>
      <c r="BR481" s="351">
        <v>0</v>
      </c>
      <c r="BS481" s="351">
        <v>0</v>
      </c>
      <c r="BT481" s="351">
        <v>0</v>
      </c>
      <c r="BU481" s="351">
        <v>0</v>
      </c>
      <c r="BV481" s="350">
        <f t="shared" si="388"/>
        <v>4.1250000000000002E-2</v>
      </c>
      <c r="BW481" s="350">
        <v>1</v>
      </c>
      <c r="BX481" s="385">
        <f t="shared" si="426"/>
        <v>0.25</v>
      </c>
      <c r="BY481" s="349">
        <v>2</v>
      </c>
      <c r="BZ481" s="348">
        <v>0</v>
      </c>
      <c r="CA481" s="742">
        <v>2</v>
      </c>
      <c r="CB481" s="324">
        <f t="shared" si="427"/>
        <v>2</v>
      </c>
      <c r="CC481" s="324">
        <f t="shared" si="428"/>
        <v>200</v>
      </c>
      <c r="CD481" s="384">
        <f t="shared" si="389"/>
        <v>100</v>
      </c>
      <c r="CE481" s="383">
        <f t="shared" si="390"/>
        <v>4.1250000000000002E-2</v>
      </c>
      <c r="CF481" s="367">
        <f t="shared" si="391"/>
        <v>100</v>
      </c>
      <c r="CG481" s="383">
        <f t="shared" si="392"/>
        <v>8.2500000000000004E-2</v>
      </c>
      <c r="CH481" s="320">
        <f t="shared" si="393"/>
        <v>4.1250000000000002E-2</v>
      </c>
      <c r="CI481" s="319">
        <v>1</v>
      </c>
      <c r="CJ481" s="318">
        <f t="shared" si="429"/>
        <v>0.25</v>
      </c>
      <c r="CK481" s="1260">
        <v>1</v>
      </c>
      <c r="CL481" s="301">
        <f t="shared" si="380"/>
        <v>0</v>
      </c>
      <c r="CM481" s="381">
        <f t="shared" si="430"/>
        <v>1</v>
      </c>
      <c r="CN481" s="381">
        <f t="shared" si="431"/>
        <v>100</v>
      </c>
      <c r="CO481" s="316">
        <f t="shared" si="394"/>
        <v>100</v>
      </c>
      <c r="CP481" s="381">
        <f t="shared" si="395"/>
        <v>4.1250000000000002E-2</v>
      </c>
      <c r="CQ481" s="381">
        <f t="shared" si="396"/>
        <v>4.1250000000000002E-2</v>
      </c>
      <c r="CR481" s="313">
        <v>0</v>
      </c>
      <c r="CS481" s="313">
        <v>0</v>
      </c>
      <c r="CT481" s="313">
        <v>0</v>
      </c>
      <c r="CU481" s="313">
        <v>0</v>
      </c>
      <c r="CV481" s="313">
        <v>0</v>
      </c>
      <c r="CW481" s="313">
        <v>0</v>
      </c>
      <c r="CX481" s="313">
        <v>0</v>
      </c>
      <c r="CY481" s="313">
        <v>0</v>
      </c>
      <c r="CZ481" s="380">
        <v>0</v>
      </c>
      <c r="DA481" s="380">
        <v>0</v>
      </c>
      <c r="DB481" s="380">
        <v>0</v>
      </c>
      <c r="DC481" s="380">
        <v>0</v>
      </c>
      <c r="DD481" s="380">
        <v>0</v>
      </c>
      <c r="DE481" s="380">
        <v>0</v>
      </c>
      <c r="DF481" s="380">
        <v>0</v>
      </c>
      <c r="DG481" s="380">
        <v>0</v>
      </c>
      <c r="DH481" s="380">
        <v>0</v>
      </c>
      <c r="DI481" s="380">
        <v>0</v>
      </c>
      <c r="DJ481" s="380">
        <v>0</v>
      </c>
      <c r="DK481" s="702">
        <f t="shared" si="432"/>
        <v>6</v>
      </c>
      <c r="DL481" s="311">
        <f t="shared" si="397"/>
        <v>0.16500000000000001</v>
      </c>
      <c r="DM481" s="310">
        <f t="shared" si="398"/>
        <v>150</v>
      </c>
      <c r="DN481" s="356">
        <f t="shared" si="399"/>
        <v>100</v>
      </c>
      <c r="DO481" s="308">
        <f t="shared" si="400"/>
        <v>0.16500000000000001</v>
      </c>
      <c r="DP481" s="359">
        <f t="shared" si="418"/>
        <v>0.16500000000000001</v>
      </c>
      <c r="DQ481" s="306">
        <f t="shared" si="401"/>
        <v>0.16500000000000001</v>
      </c>
      <c r="DR481" s="379">
        <f t="shared" si="402"/>
        <v>1</v>
      </c>
      <c r="DS481" s="378">
        <f t="shared" si="403"/>
        <v>0</v>
      </c>
      <c r="DT481" s="173">
        <v>618</v>
      </c>
      <c r="DU481" s="174" t="s">
        <v>91</v>
      </c>
      <c r="DV481" s="173"/>
      <c r="DW481" s="174" t="s">
        <v>84</v>
      </c>
      <c r="DX481" s="173"/>
      <c r="DY481" s="173"/>
      <c r="DZ481" s="173"/>
      <c r="EA481" s="665"/>
      <c r="EB481" s="1254" t="s">
        <v>2151</v>
      </c>
      <c r="EC481" s="537">
        <v>72000000</v>
      </c>
      <c r="EE481" s="734">
        <v>3</v>
      </c>
      <c r="EF481" s="706"/>
    </row>
    <row r="482" spans="4:136" s="302" customFormat="1" ht="114.75">
      <c r="D482" s="520">
        <v>479</v>
      </c>
      <c r="E482" s="534">
        <v>550</v>
      </c>
      <c r="F482" s="479" t="s">
        <v>46</v>
      </c>
      <c r="G482" s="479" t="s">
        <v>19</v>
      </c>
      <c r="H482" s="479" t="s">
        <v>2678</v>
      </c>
      <c r="I482" s="435" t="s">
        <v>1139</v>
      </c>
      <c r="J482" s="335" t="s">
        <v>1140</v>
      </c>
      <c r="K482" s="335" t="s">
        <v>1141</v>
      </c>
      <c r="L482" s="358" t="s">
        <v>1415</v>
      </c>
      <c r="M482" s="334" t="s">
        <v>1771</v>
      </c>
      <c r="N482" s="334">
        <v>0</v>
      </c>
      <c r="O482" s="333">
        <f t="shared" si="419"/>
        <v>12</v>
      </c>
      <c r="P482" s="332">
        <v>12</v>
      </c>
      <c r="Q482" s="390">
        <v>0.16500000000000001</v>
      </c>
      <c r="R482" s="342">
        <f t="shared" si="381"/>
        <v>4.1250000000000002E-2</v>
      </c>
      <c r="S482" s="389">
        <v>3</v>
      </c>
      <c r="T482" s="337">
        <f t="shared" si="420"/>
        <v>0.25</v>
      </c>
      <c r="U482" s="670">
        <v>3</v>
      </c>
      <c r="V482" s="388">
        <f t="shared" si="421"/>
        <v>3</v>
      </c>
      <c r="W482" s="356">
        <f t="shared" si="422"/>
        <v>100</v>
      </c>
      <c r="X482" s="356">
        <f t="shared" si="382"/>
        <v>100</v>
      </c>
      <c r="Y482" s="356">
        <f t="shared" si="417"/>
        <v>4.1250000000000002E-2</v>
      </c>
      <c r="Z482" s="356">
        <f t="shared" si="383"/>
        <v>100</v>
      </c>
      <c r="AA482" s="355">
        <v>0</v>
      </c>
      <c r="AB482" s="355">
        <v>0</v>
      </c>
      <c r="AC482" s="355">
        <v>0</v>
      </c>
      <c r="AD482" s="355">
        <v>0</v>
      </c>
      <c r="AE482" s="355">
        <v>0</v>
      </c>
      <c r="AF482" s="355">
        <v>0</v>
      </c>
      <c r="AG482" s="355">
        <v>0</v>
      </c>
      <c r="AH482" s="355">
        <v>0</v>
      </c>
      <c r="AI482" s="355">
        <v>0</v>
      </c>
      <c r="AJ482" s="355">
        <v>0</v>
      </c>
      <c r="AK482" s="355">
        <v>0</v>
      </c>
      <c r="AL482" s="355">
        <v>0</v>
      </c>
      <c r="AM482" s="355">
        <v>0</v>
      </c>
      <c r="AN482" s="355">
        <v>0</v>
      </c>
      <c r="AO482" s="355">
        <v>0</v>
      </c>
      <c r="AP482" s="355">
        <v>0</v>
      </c>
      <c r="AQ482" s="355">
        <v>0</v>
      </c>
      <c r="AR482" s="355">
        <v>0</v>
      </c>
      <c r="AS482" s="355">
        <v>0</v>
      </c>
      <c r="AT482" s="333">
        <f t="shared" si="384"/>
        <v>4.1250000000000002E-2</v>
      </c>
      <c r="AU482" s="334">
        <v>3</v>
      </c>
      <c r="AV482" s="387">
        <f t="shared" si="423"/>
        <v>0.25</v>
      </c>
      <c r="AW482" s="677">
        <v>0</v>
      </c>
      <c r="AX482" s="366">
        <f t="shared" si="424"/>
        <v>0</v>
      </c>
      <c r="AY482" s="366">
        <f t="shared" si="425"/>
        <v>0</v>
      </c>
      <c r="AZ482" s="366">
        <f t="shared" si="385"/>
        <v>0</v>
      </c>
      <c r="BA482" s="354">
        <f t="shared" si="386"/>
        <v>0</v>
      </c>
      <c r="BB482" s="354">
        <f t="shared" si="387"/>
        <v>0</v>
      </c>
      <c r="BC482" s="353">
        <v>0</v>
      </c>
      <c r="BD482" s="353">
        <v>0</v>
      </c>
      <c r="BE482" s="353">
        <v>0</v>
      </c>
      <c r="BF482" s="353">
        <v>0</v>
      </c>
      <c r="BG482" s="353">
        <v>0</v>
      </c>
      <c r="BH482" s="353">
        <v>0</v>
      </c>
      <c r="BI482" s="353">
        <v>0</v>
      </c>
      <c r="BJ482" s="353">
        <v>0</v>
      </c>
      <c r="BK482" s="386">
        <v>0</v>
      </c>
      <c r="BL482" s="351">
        <v>0</v>
      </c>
      <c r="BM482" s="351">
        <v>0</v>
      </c>
      <c r="BN482" s="351">
        <v>0</v>
      </c>
      <c r="BO482" s="351">
        <v>0</v>
      </c>
      <c r="BP482" s="351">
        <v>0</v>
      </c>
      <c r="BQ482" s="351">
        <v>0</v>
      </c>
      <c r="BR482" s="351">
        <v>0</v>
      </c>
      <c r="BS482" s="351">
        <v>0</v>
      </c>
      <c r="BT482" s="351">
        <v>0</v>
      </c>
      <c r="BU482" s="351">
        <v>0</v>
      </c>
      <c r="BV482" s="350">
        <f t="shared" si="388"/>
        <v>4.1250000000000002E-2</v>
      </c>
      <c r="BW482" s="350">
        <v>3</v>
      </c>
      <c r="BX482" s="385">
        <f t="shared" si="426"/>
        <v>0.25</v>
      </c>
      <c r="BY482" s="395">
        <v>0</v>
      </c>
      <c r="BZ482" s="394">
        <v>0</v>
      </c>
      <c r="CA482" s="691">
        <v>0</v>
      </c>
      <c r="CB482" s="324">
        <f t="shared" si="427"/>
        <v>0</v>
      </c>
      <c r="CC482" s="324">
        <f t="shared" si="428"/>
        <v>0</v>
      </c>
      <c r="CD482" s="384">
        <f t="shared" si="389"/>
        <v>0</v>
      </c>
      <c r="CE482" s="383">
        <f t="shared" si="390"/>
        <v>0</v>
      </c>
      <c r="CF482" s="367">
        <f t="shared" si="391"/>
        <v>0</v>
      </c>
      <c r="CG482" s="383">
        <f t="shared" si="392"/>
        <v>0</v>
      </c>
      <c r="CH482" s="320">
        <f t="shared" si="393"/>
        <v>4.1250000000000002E-2</v>
      </c>
      <c r="CI482" s="319">
        <v>3</v>
      </c>
      <c r="CJ482" s="318">
        <f t="shared" si="429"/>
        <v>0.25</v>
      </c>
      <c r="CK482" s="1258">
        <v>0</v>
      </c>
      <c r="CL482" s="301">
        <f t="shared" si="380"/>
        <v>3</v>
      </c>
      <c r="CM482" s="381">
        <f t="shared" si="430"/>
        <v>0</v>
      </c>
      <c r="CN482" s="381">
        <f t="shared" si="431"/>
        <v>0</v>
      </c>
      <c r="CO482" s="316">
        <f t="shared" si="394"/>
        <v>0</v>
      </c>
      <c r="CP482" s="381">
        <f t="shared" si="395"/>
        <v>0</v>
      </c>
      <c r="CQ482" s="381">
        <f t="shared" si="396"/>
        <v>0</v>
      </c>
      <c r="CR482" s="313">
        <v>0</v>
      </c>
      <c r="CS482" s="313">
        <v>0</v>
      </c>
      <c r="CT482" s="313">
        <v>0</v>
      </c>
      <c r="CU482" s="313">
        <v>0</v>
      </c>
      <c r="CV482" s="313">
        <v>0</v>
      </c>
      <c r="CW482" s="313">
        <v>0</v>
      </c>
      <c r="CX482" s="313">
        <v>0</v>
      </c>
      <c r="CY482" s="313">
        <v>0</v>
      </c>
      <c r="CZ482" s="380">
        <v>0</v>
      </c>
      <c r="DA482" s="380">
        <v>0</v>
      </c>
      <c r="DB482" s="380">
        <v>0</v>
      </c>
      <c r="DC482" s="380">
        <v>0</v>
      </c>
      <c r="DD482" s="380">
        <v>0</v>
      </c>
      <c r="DE482" s="380">
        <v>0</v>
      </c>
      <c r="DF482" s="380">
        <v>0</v>
      </c>
      <c r="DG482" s="380">
        <v>0</v>
      </c>
      <c r="DH482" s="380">
        <v>0</v>
      </c>
      <c r="DI482" s="380">
        <v>0</v>
      </c>
      <c r="DJ482" s="380">
        <v>0</v>
      </c>
      <c r="DK482" s="702">
        <f t="shared" si="432"/>
        <v>3</v>
      </c>
      <c r="DL482" s="311">
        <f t="shared" si="397"/>
        <v>0.16500000000000001</v>
      </c>
      <c r="DM482" s="310">
        <f t="shared" si="398"/>
        <v>25</v>
      </c>
      <c r="DN482" s="356">
        <f t="shared" si="399"/>
        <v>25</v>
      </c>
      <c r="DO482" s="308">
        <f t="shared" si="400"/>
        <v>4.1250000000000002E-2</v>
      </c>
      <c r="DP482" s="359">
        <f t="shared" si="418"/>
        <v>4.1250000000000002E-2</v>
      </c>
      <c r="DQ482" s="306">
        <f t="shared" si="401"/>
        <v>4.1250000000000002E-2</v>
      </c>
      <c r="DR482" s="379">
        <f t="shared" si="402"/>
        <v>1</v>
      </c>
      <c r="DS482" s="378">
        <f t="shared" si="403"/>
        <v>0</v>
      </c>
      <c r="DT482" s="173">
        <v>618</v>
      </c>
      <c r="DU482" s="174" t="s">
        <v>91</v>
      </c>
      <c r="DV482" s="173"/>
      <c r="DW482" s="174" t="s">
        <v>84</v>
      </c>
      <c r="DX482" s="173"/>
      <c r="DY482" s="173"/>
      <c r="DZ482" s="173"/>
      <c r="EA482" s="665"/>
      <c r="EB482" s="1254" t="s">
        <v>2600</v>
      </c>
      <c r="EC482" s="537">
        <v>154000000</v>
      </c>
      <c r="EE482" s="735">
        <v>0</v>
      </c>
      <c r="EF482" s="706"/>
    </row>
    <row r="483" spans="4:136" s="302" customFormat="1" ht="51" hidden="1">
      <c r="D483" s="520">
        <v>480</v>
      </c>
      <c r="E483" s="534">
        <v>551</v>
      </c>
      <c r="F483" s="479" t="s">
        <v>46</v>
      </c>
      <c r="G483" s="479" t="s">
        <v>9</v>
      </c>
      <c r="H483" s="479" t="s">
        <v>2678</v>
      </c>
      <c r="I483" s="435" t="s">
        <v>1142</v>
      </c>
      <c r="J483" s="335" t="s">
        <v>1143</v>
      </c>
      <c r="K483" s="335" t="s">
        <v>1144</v>
      </c>
      <c r="L483" s="358" t="s">
        <v>1813</v>
      </c>
      <c r="M483" s="334" t="s">
        <v>1771</v>
      </c>
      <c r="N483" s="334">
        <v>0</v>
      </c>
      <c r="O483" s="333">
        <f t="shared" si="419"/>
        <v>15</v>
      </c>
      <c r="P483" s="332">
        <v>15</v>
      </c>
      <c r="Q483" s="390">
        <v>8.8999999999999996E-2</v>
      </c>
      <c r="R483" s="342">
        <f t="shared" si="381"/>
        <v>0</v>
      </c>
      <c r="S483" s="389">
        <v>0</v>
      </c>
      <c r="T483" s="337">
        <f t="shared" si="420"/>
        <v>0</v>
      </c>
      <c r="U483" s="670">
        <v>0</v>
      </c>
      <c r="V483" s="388">
        <f t="shared" si="421"/>
        <v>0</v>
      </c>
      <c r="W483" s="356">
        <f t="shared" si="422"/>
        <v>0</v>
      </c>
      <c r="X483" s="356">
        <f t="shared" si="382"/>
        <v>0</v>
      </c>
      <c r="Y483" s="356">
        <f t="shared" si="417"/>
        <v>0</v>
      </c>
      <c r="Z483" s="356">
        <f t="shared" si="383"/>
        <v>0</v>
      </c>
      <c r="AA483" s="355">
        <v>0</v>
      </c>
      <c r="AB483" s="355">
        <v>0</v>
      </c>
      <c r="AC483" s="355">
        <v>0</v>
      </c>
      <c r="AD483" s="355">
        <v>0</v>
      </c>
      <c r="AE483" s="355">
        <v>0</v>
      </c>
      <c r="AF483" s="355">
        <v>0</v>
      </c>
      <c r="AG483" s="355">
        <v>0</v>
      </c>
      <c r="AH483" s="355">
        <v>0</v>
      </c>
      <c r="AI483" s="355">
        <v>0</v>
      </c>
      <c r="AJ483" s="355">
        <v>0</v>
      </c>
      <c r="AK483" s="355">
        <v>0</v>
      </c>
      <c r="AL483" s="355">
        <v>0</v>
      </c>
      <c r="AM483" s="355">
        <v>0</v>
      </c>
      <c r="AN483" s="355">
        <v>0</v>
      </c>
      <c r="AO483" s="355">
        <v>0</v>
      </c>
      <c r="AP483" s="355">
        <v>0</v>
      </c>
      <c r="AQ483" s="355">
        <v>0</v>
      </c>
      <c r="AR483" s="355">
        <v>0</v>
      </c>
      <c r="AS483" s="355">
        <v>0</v>
      </c>
      <c r="AT483" s="333">
        <f t="shared" si="384"/>
        <v>1.78E-2</v>
      </c>
      <c r="AU483" s="334">
        <v>3</v>
      </c>
      <c r="AV483" s="387">
        <f t="shared" si="423"/>
        <v>0.2</v>
      </c>
      <c r="AW483" s="677">
        <v>8</v>
      </c>
      <c r="AX483" s="366">
        <f t="shared" si="424"/>
        <v>8</v>
      </c>
      <c r="AY483" s="366">
        <f t="shared" si="425"/>
        <v>266.66666666666669</v>
      </c>
      <c r="AZ483" s="366">
        <f t="shared" si="385"/>
        <v>100</v>
      </c>
      <c r="BA483" s="354">
        <f t="shared" si="386"/>
        <v>1.78E-2</v>
      </c>
      <c r="BB483" s="354">
        <f t="shared" si="387"/>
        <v>100</v>
      </c>
      <c r="BC483" s="353">
        <v>100000000</v>
      </c>
      <c r="BD483" s="353">
        <v>0</v>
      </c>
      <c r="BE483" s="353">
        <v>100000000</v>
      </c>
      <c r="BF483" s="353">
        <v>0</v>
      </c>
      <c r="BG483" s="353">
        <v>0</v>
      </c>
      <c r="BH483" s="353">
        <v>0</v>
      </c>
      <c r="BI483" s="353">
        <v>0</v>
      </c>
      <c r="BJ483" s="353">
        <v>0</v>
      </c>
      <c r="BK483" s="386">
        <v>1651403216</v>
      </c>
      <c r="BL483" s="351">
        <v>1651403216</v>
      </c>
      <c r="BM483" s="351">
        <v>0</v>
      </c>
      <c r="BN483" s="351">
        <v>0</v>
      </c>
      <c r="BO483" s="351">
        <v>0</v>
      </c>
      <c r="BP483" s="351">
        <v>0</v>
      </c>
      <c r="BQ483" s="351">
        <v>0</v>
      </c>
      <c r="BR483" s="351">
        <v>0</v>
      </c>
      <c r="BS483" s="351">
        <v>0</v>
      </c>
      <c r="BT483" s="351">
        <v>0</v>
      </c>
      <c r="BU483" s="351">
        <v>0</v>
      </c>
      <c r="BV483" s="350">
        <f t="shared" si="388"/>
        <v>3.56E-2</v>
      </c>
      <c r="BW483" s="350">
        <v>6</v>
      </c>
      <c r="BX483" s="385">
        <f t="shared" si="426"/>
        <v>0.4</v>
      </c>
      <c r="BY483" s="369">
        <v>9</v>
      </c>
      <c r="BZ483" s="391">
        <v>9</v>
      </c>
      <c r="CA483" s="689">
        <v>9</v>
      </c>
      <c r="CB483" s="324">
        <f t="shared" si="427"/>
        <v>9</v>
      </c>
      <c r="CC483" s="324">
        <f t="shared" si="428"/>
        <v>150</v>
      </c>
      <c r="CD483" s="384">
        <f t="shared" si="389"/>
        <v>100</v>
      </c>
      <c r="CE483" s="383">
        <f t="shared" si="390"/>
        <v>3.56E-2</v>
      </c>
      <c r="CF483" s="367">
        <f t="shared" si="391"/>
        <v>100</v>
      </c>
      <c r="CG483" s="383">
        <f t="shared" si="392"/>
        <v>5.3399999999999996E-2</v>
      </c>
      <c r="CH483" s="320">
        <f t="shared" si="393"/>
        <v>3.56E-2</v>
      </c>
      <c r="CI483" s="319">
        <v>6</v>
      </c>
      <c r="CJ483" s="318">
        <f t="shared" si="429"/>
        <v>0.4</v>
      </c>
      <c r="CK483" s="1259">
        <v>15</v>
      </c>
      <c r="CL483" s="301">
        <f t="shared" si="380"/>
        <v>-9</v>
      </c>
      <c r="CM483" s="381">
        <f t="shared" si="430"/>
        <v>15</v>
      </c>
      <c r="CN483" s="381">
        <f t="shared" si="431"/>
        <v>250</v>
      </c>
      <c r="CO483" s="316">
        <f t="shared" si="394"/>
        <v>100</v>
      </c>
      <c r="CP483" s="381">
        <f t="shared" si="395"/>
        <v>3.56E-2</v>
      </c>
      <c r="CQ483" s="381">
        <f t="shared" si="396"/>
        <v>8.900000000000001E-2</v>
      </c>
      <c r="CR483" s="313">
        <v>500000000</v>
      </c>
      <c r="CS483" s="313">
        <v>500000000</v>
      </c>
      <c r="CT483" s="313">
        <v>0</v>
      </c>
      <c r="CU483" s="313">
        <v>0</v>
      </c>
      <c r="CV483" s="313">
        <v>0</v>
      </c>
      <c r="CW483" s="313">
        <v>0</v>
      </c>
      <c r="CX483" s="313">
        <v>0</v>
      </c>
      <c r="CY483" s="313">
        <v>0</v>
      </c>
      <c r="CZ483" s="380">
        <v>0</v>
      </c>
      <c r="DA483" s="380">
        <v>0</v>
      </c>
      <c r="DB483" s="380">
        <v>0</v>
      </c>
      <c r="DC483" s="380">
        <v>0</v>
      </c>
      <c r="DD483" s="380">
        <v>0</v>
      </c>
      <c r="DE483" s="380">
        <v>0</v>
      </c>
      <c r="DF483" s="380">
        <v>0</v>
      </c>
      <c r="DG483" s="380">
        <v>0</v>
      </c>
      <c r="DH483" s="380">
        <v>0</v>
      </c>
      <c r="DI483" s="380">
        <v>0</v>
      </c>
      <c r="DJ483" s="380">
        <v>0</v>
      </c>
      <c r="DK483" s="702">
        <f t="shared" si="432"/>
        <v>32</v>
      </c>
      <c r="DL483" s="311">
        <f t="shared" si="397"/>
        <v>8.8999999999999996E-2</v>
      </c>
      <c r="DM483" s="310">
        <f t="shared" si="398"/>
        <v>213.33333333333334</v>
      </c>
      <c r="DN483" s="356">
        <f t="shared" si="399"/>
        <v>100</v>
      </c>
      <c r="DO483" s="308">
        <f t="shared" si="400"/>
        <v>8.900000000000001E-2</v>
      </c>
      <c r="DP483" s="359">
        <f t="shared" si="418"/>
        <v>8.8999999999999996E-2</v>
      </c>
      <c r="DQ483" s="306">
        <f t="shared" si="401"/>
        <v>8.8999999999999996E-2</v>
      </c>
      <c r="DR483" s="379">
        <f t="shared" si="402"/>
        <v>1</v>
      </c>
      <c r="DS483" s="378">
        <f t="shared" si="403"/>
        <v>0</v>
      </c>
      <c r="DT483" s="173">
        <v>616</v>
      </c>
      <c r="DU483" s="174" t="s">
        <v>93</v>
      </c>
      <c r="DV483" s="173"/>
      <c r="DW483" s="174" t="s">
        <v>84</v>
      </c>
      <c r="DX483" s="173"/>
      <c r="DY483" s="173"/>
      <c r="DZ483" s="173"/>
      <c r="EA483" s="665"/>
      <c r="EB483" s="1254" t="s">
        <v>2152</v>
      </c>
      <c r="EC483" s="537">
        <v>30000000</v>
      </c>
      <c r="EE483" s="734">
        <v>0</v>
      </c>
      <c r="EF483" s="706"/>
    </row>
    <row r="484" spans="4:136" s="302" customFormat="1" ht="89.25">
      <c r="D484" s="520">
        <v>481</v>
      </c>
      <c r="E484" s="534">
        <v>552</v>
      </c>
      <c r="F484" s="479" t="s">
        <v>46</v>
      </c>
      <c r="G484" s="479" t="s">
        <v>19</v>
      </c>
      <c r="H484" s="479" t="s">
        <v>2679</v>
      </c>
      <c r="I484" s="479" t="s">
        <v>1145</v>
      </c>
      <c r="J484" s="335" t="s">
        <v>1146</v>
      </c>
      <c r="K484" s="335" t="s">
        <v>1147</v>
      </c>
      <c r="L484" s="358" t="s">
        <v>1812</v>
      </c>
      <c r="M484" s="334" t="s">
        <v>1771</v>
      </c>
      <c r="N484" s="334">
        <v>4</v>
      </c>
      <c r="O484" s="333">
        <f t="shared" si="419"/>
        <v>8</v>
      </c>
      <c r="P484" s="332">
        <v>4</v>
      </c>
      <c r="Q484" s="390">
        <v>8.8999999999999996E-2</v>
      </c>
      <c r="R484" s="342">
        <f t="shared" si="381"/>
        <v>2.2249999999999999E-2</v>
      </c>
      <c r="S484" s="389">
        <v>1</v>
      </c>
      <c r="T484" s="337">
        <f t="shared" si="420"/>
        <v>0.25</v>
      </c>
      <c r="U484" s="670">
        <v>1</v>
      </c>
      <c r="V484" s="388">
        <f t="shared" si="421"/>
        <v>1</v>
      </c>
      <c r="W484" s="356">
        <f t="shared" si="422"/>
        <v>100</v>
      </c>
      <c r="X484" s="356">
        <f t="shared" si="382"/>
        <v>100</v>
      </c>
      <c r="Y484" s="356">
        <f t="shared" si="417"/>
        <v>2.2250000000000002E-2</v>
      </c>
      <c r="Z484" s="356">
        <f t="shared" si="383"/>
        <v>100</v>
      </c>
      <c r="AA484" s="355">
        <v>115000000</v>
      </c>
      <c r="AB484" s="355">
        <v>115000000</v>
      </c>
      <c r="AC484" s="355">
        <v>0</v>
      </c>
      <c r="AD484" s="355">
        <v>0</v>
      </c>
      <c r="AE484" s="355">
        <v>0</v>
      </c>
      <c r="AF484" s="355">
        <v>0</v>
      </c>
      <c r="AG484" s="355">
        <v>0</v>
      </c>
      <c r="AH484" s="355">
        <v>0</v>
      </c>
      <c r="AI484" s="355">
        <v>49993000</v>
      </c>
      <c r="AJ484" s="355">
        <v>49993000</v>
      </c>
      <c r="AK484" s="355">
        <v>0</v>
      </c>
      <c r="AL484" s="355">
        <v>0</v>
      </c>
      <c r="AM484" s="355">
        <v>0</v>
      </c>
      <c r="AN484" s="355">
        <v>0</v>
      </c>
      <c r="AO484" s="355">
        <v>0</v>
      </c>
      <c r="AP484" s="355">
        <v>0</v>
      </c>
      <c r="AQ484" s="355">
        <v>0</v>
      </c>
      <c r="AR484" s="355">
        <v>0</v>
      </c>
      <c r="AS484" s="355">
        <v>0</v>
      </c>
      <c r="AT484" s="333">
        <f t="shared" si="384"/>
        <v>2.2249999999999999E-2</v>
      </c>
      <c r="AU484" s="334">
        <v>1</v>
      </c>
      <c r="AV484" s="387">
        <f t="shared" si="423"/>
        <v>0.25</v>
      </c>
      <c r="AW484" s="677">
        <v>1</v>
      </c>
      <c r="AX484" s="366">
        <f t="shared" si="424"/>
        <v>1</v>
      </c>
      <c r="AY484" s="366">
        <f t="shared" si="425"/>
        <v>100</v>
      </c>
      <c r="AZ484" s="366">
        <f t="shared" si="385"/>
        <v>100</v>
      </c>
      <c r="BA484" s="354">
        <f t="shared" si="386"/>
        <v>2.2250000000000002E-2</v>
      </c>
      <c r="BB484" s="354">
        <f t="shared" si="387"/>
        <v>100</v>
      </c>
      <c r="BC484" s="353">
        <v>42000000</v>
      </c>
      <c r="BD484" s="353">
        <v>0</v>
      </c>
      <c r="BE484" s="353">
        <v>42000000</v>
      </c>
      <c r="BF484" s="353">
        <v>0</v>
      </c>
      <c r="BG484" s="353">
        <v>0</v>
      </c>
      <c r="BH484" s="353">
        <v>0</v>
      </c>
      <c r="BI484" s="353">
        <v>0</v>
      </c>
      <c r="BJ484" s="353">
        <v>0</v>
      </c>
      <c r="BK484" s="386">
        <v>53336155</v>
      </c>
      <c r="BL484" s="351">
        <v>53336155</v>
      </c>
      <c r="BM484" s="351">
        <v>0</v>
      </c>
      <c r="BN484" s="351">
        <v>0</v>
      </c>
      <c r="BO484" s="351">
        <v>0</v>
      </c>
      <c r="BP484" s="351">
        <v>0</v>
      </c>
      <c r="BQ484" s="351">
        <v>0</v>
      </c>
      <c r="BR484" s="351">
        <v>0</v>
      </c>
      <c r="BS484" s="351">
        <v>0</v>
      </c>
      <c r="BT484" s="351">
        <v>0</v>
      </c>
      <c r="BU484" s="351">
        <v>0</v>
      </c>
      <c r="BV484" s="350">
        <f t="shared" si="388"/>
        <v>2.2249999999999999E-2</v>
      </c>
      <c r="BW484" s="350">
        <v>1</v>
      </c>
      <c r="BX484" s="385">
        <f t="shared" si="426"/>
        <v>0.25</v>
      </c>
      <c r="BY484" s="369">
        <v>0.30000001192092896</v>
      </c>
      <c r="BZ484" s="368">
        <v>0.3</v>
      </c>
      <c r="CA484" s="742">
        <v>1</v>
      </c>
      <c r="CB484" s="324">
        <f t="shared" si="427"/>
        <v>1</v>
      </c>
      <c r="CC484" s="324">
        <f t="shared" si="428"/>
        <v>100</v>
      </c>
      <c r="CD484" s="384">
        <f t="shared" si="389"/>
        <v>100</v>
      </c>
      <c r="CE484" s="383">
        <f t="shared" si="390"/>
        <v>2.2250000000000002E-2</v>
      </c>
      <c r="CF484" s="367">
        <f t="shared" si="391"/>
        <v>100</v>
      </c>
      <c r="CG484" s="383">
        <f t="shared" si="392"/>
        <v>2.2250000000000002E-2</v>
      </c>
      <c r="CH484" s="320">
        <f t="shared" si="393"/>
        <v>2.2249999999999999E-2</v>
      </c>
      <c r="CI484" s="319">
        <v>1</v>
      </c>
      <c r="CJ484" s="318">
        <f t="shared" si="429"/>
        <v>0.25</v>
      </c>
      <c r="CK484" s="1260">
        <v>1</v>
      </c>
      <c r="CL484" s="301">
        <f t="shared" si="380"/>
        <v>0</v>
      </c>
      <c r="CM484" s="381">
        <f t="shared" si="430"/>
        <v>1</v>
      </c>
      <c r="CN484" s="381">
        <f t="shared" si="431"/>
        <v>100</v>
      </c>
      <c r="CO484" s="316">
        <f t="shared" si="394"/>
        <v>100</v>
      </c>
      <c r="CP484" s="381">
        <f t="shared" si="395"/>
        <v>2.2250000000000002E-2</v>
      </c>
      <c r="CQ484" s="381">
        <f t="shared" si="396"/>
        <v>2.2250000000000002E-2</v>
      </c>
      <c r="CR484" s="313">
        <v>96000000</v>
      </c>
      <c r="CS484" s="313">
        <v>96000000</v>
      </c>
      <c r="CT484" s="313">
        <v>0</v>
      </c>
      <c r="CU484" s="313">
        <v>0</v>
      </c>
      <c r="CV484" s="313">
        <v>0</v>
      </c>
      <c r="CW484" s="313">
        <v>0</v>
      </c>
      <c r="CX484" s="313">
        <v>0</v>
      </c>
      <c r="CY484" s="313">
        <v>0</v>
      </c>
      <c r="CZ484" s="380">
        <v>0</v>
      </c>
      <c r="DA484" s="380">
        <v>0</v>
      </c>
      <c r="DB484" s="380">
        <v>0</v>
      </c>
      <c r="DC484" s="380">
        <v>0</v>
      </c>
      <c r="DD484" s="380">
        <v>0</v>
      </c>
      <c r="DE484" s="380">
        <v>0</v>
      </c>
      <c r="DF484" s="380">
        <v>0</v>
      </c>
      <c r="DG484" s="380">
        <v>0</v>
      </c>
      <c r="DH484" s="380">
        <v>0</v>
      </c>
      <c r="DI484" s="380">
        <v>0</v>
      </c>
      <c r="DJ484" s="380">
        <v>0</v>
      </c>
      <c r="DK484" s="702">
        <f t="shared" si="432"/>
        <v>4</v>
      </c>
      <c r="DL484" s="311">
        <f t="shared" si="397"/>
        <v>8.8999999999999996E-2</v>
      </c>
      <c r="DM484" s="310">
        <f t="shared" si="398"/>
        <v>100</v>
      </c>
      <c r="DN484" s="356">
        <f t="shared" si="399"/>
        <v>100</v>
      </c>
      <c r="DO484" s="308">
        <f t="shared" si="400"/>
        <v>8.900000000000001E-2</v>
      </c>
      <c r="DP484" s="359">
        <f t="shared" si="418"/>
        <v>8.8999999999999996E-2</v>
      </c>
      <c r="DQ484" s="306">
        <f t="shared" si="401"/>
        <v>8.8999999999999996E-2</v>
      </c>
      <c r="DR484" s="379">
        <f t="shared" si="402"/>
        <v>1</v>
      </c>
      <c r="DS484" s="378">
        <f t="shared" si="403"/>
        <v>0</v>
      </c>
      <c r="DT484" s="173">
        <v>623</v>
      </c>
      <c r="DU484" s="174" t="s">
        <v>87</v>
      </c>
      <c r="DV484" s="173"/>
      <c r="DW484" s="174" t="s">
        <v>84</v>
      </c>
      <c r="DX484" s="173"/>
      <c r="DY484" s="173"/>
      <c r="DZ484" s="173"/>
      <c r="EA484" s="665"/>
      <c r="EB484" s="1254" t="s">
        <v>2153</v>
      </c>
      <c r="EC484" s="537">
        <v>100000000</v>
      </c>
      <c r="EE484" s="734">
        <v>500</v>
      </c>
      <c r="EF484" s="706"/>
    </row>
    <row r="485" spans="4:136" s="302" customFormat="1" ht="156" hidden="1">
      <c r="D485" s="520">
        <v>482</v>
      </c>
      <c r="E485" s="534">
        <v>553</v>
      </c>
      <c r="F485" s="479" t="s">
        <v>46</v>
      </c>
      <c r="G485" s="479" t="s">
        <v>7</v>
      </c>
      <c r="H485" s="479" t="s">
        <v>2679</v>
      </c>
      <c r="I485" s="435" t="s">
        <v>1145</v>
      </c>
      <c r="J485" s="335" t="s">
        <v>1148</v>
      </c>
      <c r="K485" s="335" t="s">
        <v>1149</v>
      </c>
      <c r="L485" s="358" t="s">
        <v>1810</v>
      </c>
      <c r="M485" s="334" t="s">
        <v>1771</v>
      </c>
      <c r="N485" s="334">
        <v>0</v>
      </c>
      <c r="O485" s="333">
        <f t="shared" si="419"/>
        <v>117</v>
      </c>
      <c r="P485" s="332">
        <v>117</v>
      </c>
      <c r="Q485" s="390">
        <v>0.16500000000000001</v>
      </c>
      <c r="R485" s="342">
        <f t="shared" si="381"/>
        <v>4.2307692307692303E-2</v>
      </c>
      <c r="S485" s="389">
        <v>30</v>
      </c>
      <c r="T485" s="337">
        <f t="shared" si="420"/>
        <v>0.25641025641025639</v>
      </c>
      <c r="U485" s="732">
        <v>56</v>
      </c>
      <c r="V485" s="388">
        <f t="shared" si="421"/>
        <v>56</v>
      </c>
      <c r="W485" s="356">
        <f t="shared" si="422"/>
        <v>186.66666666666666</v>
      </c>
      <c r="X485" s="356">
        <f t="shared" si="382"/>
        <v>100</v>
      </c>
      <c r="Y485" s="356">
        <f t="shared" si="417"/>
        <v>4.2307692307692296E-2</v>
      </c>
      <c r="Z485" s="356">
        <f t="shared" si="383"/>
        <v>100</v>
      </c>
      <c r="AA485" s="355">
        <v>0</v>
      </c>
      <c r="AB485" s="355">
        <v>0</v>
      </c>
      <c r="AC485" s="355">
        <v>0</v>
      </c>
      <c r="AD485" s="355">
        <v>0</v>
      </c>
      <c r="AE485" s="355">
        <v>0</v>
      </c>
      <c r="AF485" s="355">
        <v>0</v>
      </c>
      <c r="AG485" s="355">
        <v>0</v>
      </c>
      <c r="AH485" s="355">
        <v>0</v>
      </c>
      <c r="AI485" s="355">
        <v>50000000</v>
      </c>
      <c r="AJ485" s="355">
        <v>50000000</v>
      </c>
      <c r="AK485" s="355">
        <v>0</v>
      </c>
      <c r="AL485" s="355">
        <v>0</v>
      </c>
      <c r="AM485" s="355">
        <v>0</v>
      </c>
      <c r="AN485" s="355">
        <v>0</v>
      </c>
      <c r="AO485" s="355">
        <v>0</v>
      </c>
      <c r="AP485" s="355">
        <v>0</v>
      </c>
      <c r="AQ485" s="355">
        <v>0</v>
      </c>
      <c r="AR485" s="355">
        <v>5000000</v>
      </c>
      <c r="AS485" s="355" t="s">
        <v>1811</v>
      </c>
      <c r="AT485" s="334">
        <f t="shared" si="384"/>
        <v>2.8205128205128206E-2</v>
      </c>
      <c r="AU485" s="334">
        <v>20</v>
      </c>
      <c r="AV485" s="334">
        <f t="shared" si="423"/>
        <v>0.17094017094017094</v>
      </c>
      <c r="AW485" s="677">
        <v>35</v>
      </c>
      <c r="AX485" s="366">
        <f t="shared" si="424"/>
        <v>35</v>
      </c>
      <c r="AY485" s="366">
        <f t="shared" si="425"/>
        <v>175</v>
      </c>
      <c r="AZ485" s="366">
        <f t="shared" si="385"/>
        <v>100</v>
      </c>
      <c r="BA485" s="354">
        <f t="shared" si="386"/>
        <v>2.8205128205128206E-2</v>
      </c>
      <c r="BB485" s="354">
        <f t="shared" si="387"/>
        <v>100</v>
      </c>
      <c r="BC485" s="353">
        <v>13000000</v>
      </c>
      <c r="BD485" s="353">
        <v>0</v>
      </c>
      <c r="BE485" s="353">
        <v>13000000</v>
      </c>
      <c r="BF485" s="353">
        <v>0</v>
      </c>
      <c r="BG485" s="353">
        <v>0</v>
      </c>
      <c r="BH485" s="353">
        <v>0</v>
      </c>
      <c r="BI485" s="353">
        <v>0</v>
      </c>
      <c r="BJ485" s="353">
        <v>0</v>
      </c>
      <c r="BK485" s="386">
        <v>13000000</v>
      </c>
      <c r="BL485" s="351">
        <v>13000000</v>
      </c>
      <c r="BM485" s="351">
        <v>0</v>
      </c>
      <c r="BN485" s="351">
        <v>0</v>
      </c>
      <c r="BO485" s="351">
        <v>0</v>
      </c>
      <c r="BP485" s="351">
        <v>0</v>
      </c>
      <c r="BQ485" s="351">
        <v>0</v>
      </c>
      <c r="BR485" s="351">
        <v>0</v>
      </c>
      <c r="BS485" s="351">
        <v>0</v>
      </c>
      <c r="BT485" s="351">
        <v>0</v>
      </c>
      <c r="BU485" s="351">
        <v>0</v>
      </c>
      <c r="BV485" s="350">
        <f t="shared" si="388"/>
        <v>3.5256410256410256E-2</v>
      </c>
      <c r="BW485" s="350">
        <v>25</v>
      </c>
      <c r="BX485" s="385">
        <f t="shared" si="426"/>
        <v>0.21367521367521367</v>
      </c>
      <c r="BY485" s="399">
        <v>25</v>
      </c>
      <c r="BZ485" s="398">
        <v>25</v>
      </c>
      <c r="CA485" s="690">
        <v>35</v>
      </c>
      <c r="CB485" s="324">
        <f t="shared" si="427"/>
        <v>35</v>
      </c>
      <c r="CC485" s="324">
        <f t="shared" si="428"/>
        <v>140</v>
      </c>
      <c r="CD485" s="384">
        <f t="shared" si="389"/>
        <v>100</v>
      </c>
      <c r="CE485" s="383">
        <f t="shared" si="390"/>
        <v>3.5256410256410256E-2</v>
      </c>
      <c r="CF485" s="367">
        <f t="shared" si="391"/>
        <v>100</v>
      </c>
      <c r="CG485" s="383">
        <f t="shared" si="392"/>
        <v>4.9358974358974364E-2</v>
      </c>
      <c r="CH485" s="320">
        <f t="shared" si="393"/>
        <v>5.9230769230769233E-2</v>
      </c>
      <c r="CI485" s="319">
        <v>42</v>
      </c>
      <c r="CJ485" s="318">
        <f t="shared" si="429"/>
        <v>0.35897435897435898</v>
      </c>
      <c r="CK485" s="1260">
        <v>40</v>
      </c>
      <c r="CL485" s="301">
        <f t="shared" si="380"/>
        <v>2</v>
      </c>
      <c r="CM485" s="381">
        <f t="shared" si="430"/>
        <v>40</v>
      </c>
      <c r="CN485" s="381">
        <f t="shared" si="431"/>
        <v>95.238095238095241</v>
      </c>
      <c r="CO485" s="316">
        <f t="shared" si="394"/>
        <v>95.238095238095241</v>
      </c>
      <c r="CP485" s="381">
        <f t="shared" si="395"/>
        <v>5.6410256410256411E-2</v>
      </c>
      <c r="CQ485" s="381">
        <f t="shared" si="396"/>
        <v>5.6410256410256411E-2</v>
      </c>
      <c r="CR485" s="313">
        <v>30000000</v>
      </c>
      <c r="CS485" s="313">
        <v>30000000</v>
      </c>
      <c r="CT485" s="313">
        <v>0</v>
      </c>
      <c r="CU485" s="313">
        <v>0</v>
      </c>
      <c r="CV485" s="313">
        <v>0</v>
      </c>
      <c r="CW485" s="313">
        <v>0</v>
      </c>
      <c r="CX485" s="313">
        <v>0</v>
      </c>
      <c r="CY485" s="313">
        <v>0</v>
      </c>
      <c r="CZ485" s="380">
        <v>0</v>
      </c>
      <c r="DA485" s="380">
        <v>0</v>
      </c>
      <c r="DB485" s="380">
        <v>0</v>
      </c>
      <c r="DC485" s="380">
        <v>0</v>
      </c>
      <c r="DD485" s="380">
        <v>0</v>
      </c>
      <c r="DE485" s="380">
        <v>0</v>
      </c>
      <c r="DF485" s="380">
        <v>0</v>
      </c>
      <c r="DG485" s="380">
        <v>0</v>
      </c>
      <c r="DH485" s="380">
        <v>0</v>
      </c>
      <c r="DI485" s="380">
        <v>0</v>
      </c>
      <c r="DJ485" s="380">
        <v>0</v>
      </c>
      <c r="DK485" s="702">
        <f t="shared" si="432"/>
        <v>166</v>
      </c>
      <c r="DL485" s="311">
        <f t="shared" si="397"/>
        <v>0.16500000000000001</v>
      </c>
      <c r="DM485" s="310">
        <f t="shared" si="398"/>
        <v>141.88034188034189</v>
      </c>
      <c r="DN485" s="356">
        <f t="shared" si="399"/>
        <v>100</v>
      </c>
      <c r="DO485" s="308">
        <f t="shared" si="400"/>
        <v>0.16500000000000001</v>
      </c>
      <c r="DP485" s="359">
        <f t="shared" si="418"/>
        <v>0.16500000000000001</v>
      </c>
      <c r="DQ485" s="306">
        <f t="shared" si="401"/>
        <v>0.16500000000000001</v>
      </c>
      <c r="DR485" s="379">
        <f t="shared" si="402"/>
        <v>1</v>
      </c>
      <c r="DS485" s="378">
        <f t="shared" si="403"/>
        <v>0</v>
      </c>
      <c r="DT485" s="173">
        <v>9</v>
      </c>
      <c r="DU485" s="174" t="s">
        <v>193</v>
      </c>
      <c r="DV485" s="173">
        <v>10</v>
      </c>
      <c r="DW485" s="174" t="s">
        <v>140</v>
      </c>
      <c r="DX485" s="173">
        <v>39</v>
      </c>
      <c r="DY485" s="173">
        <v>40</v>
      </c>
      <c r="DZ485" s="173">
        <v>79</v>
      </c>
      <c r="EA485" s="665">
        <v>619</v>
      </c>
      <c r="EB485" s="1254" t="s">
        <v>2601</v>
      </c>
      <c r="EC485" s="537">
        <v>299000000</v>
      </c>
      <c r="EE485" s="734">
        <v>0</v>
      </c>
      <c r="EF485" s="706"/>
    </row>
    <row r="486" spans="4:136" s="302" customFormat="1" ht="96" hidden="1">
      <c r="D486" s="520">
        <v>483</v>
      </c>
      <c r="E486" s="534">
        <v>554</v>
      </c>
      <c r="F486" s="479" t="s">
        <v>46</v>
      </c>
      <c r="G486" s="479" t="s">
        <v>7</v>
      </c>
      <c r="H486" s="479" t="s">
        <v>2679</v>
      </c>
      <c r="I486" s="435" t="s">
        <v>1145</v>
      </c>
      <c r="J486" s="335" t="s">
        <v>1150</v>
      </c>
      <c r="K486" s="335" t="s">
        <v>1151</v>
      </c>
      <c r="L486" s="358" t="s">
        <v>1810</v>
      </c>
      <c r="M486" s="334" t="s">
        <v>1771</v>
      </c>
      <c r="N486" s="334">
        <v>21</v>
      </c>
      <c r="O486" s="333">
        <f t="shared" si="419"/>
        <v>82</v>
      </c>
      <c r="P486" s="332">
        <v>61</v>
      </c>
      <c r="Q486" s="390">
        <v>0.16500000000000001</v>
      </c>
      <c r="R486" s="342">
        <f t="shared" si="381"/>
        <v>0</v>
      </c>
      <c r="S486" s="389">
        <v>0</v>
      </c>
      <c r="T486" s="337">
        <f t="shared" si="420"/>
        <v>0</v>
      </c>
      <c r="U486" s="670">
        <v>11</v>
      </c>
      <c r="V486" s="388">
        <f t="shared" si="421"/>
        <v>11</v>
      </c>
      <c r="W486" s="356">
        <f t="shared" si="422"/>
        <v>0</v>
      </c>
      <c r="X486" s="356">
        <f t="shared" si="382"/>
        <v>0</v>
      </c>
      <c r="Y486" s="356">
        <f t="shared" si="417"/>
        <v>0</v>
      </c>
      <c r="Z486" s="356">
        <f t="shared" si="383"/>
        <v>100</v>
      </c>
      <c r="AA486" s="355">
        <v>10000000</v>
      </c>
      <c r="AB486" s="355">
        <v>10000000</v>
      </c>
      <c r="AC486" s="355">
        <v>0</v>
      </c>
      <c r="AD486" s="355">
        <v>0</v>
      </c>
      <c r="AE486" s="355">
        <v>0</v>
      </c>
      <c r="AF486" s="355">
        <v>0</v>
      </c>
      <c r="AG486" s="355">
        <v>0</v>
      </c>
      <c r="AH486" s="355">
        <v>0</v>
      </c>
      <c r="AI486" s="355">
        <v>0</v>
      </c>
      <c r="AJ486" s="355">
        <v>0</v>
      </c>
      <c r="AK486" s="355">
        <v>0</v>
      </c>
      <c r="AL486" s="355">
        <v>0</v>
      </c>
      <c r="AM486" s="355">
        <v>0</v>
      </c>
      <c r="AN486" s="355">
        <v>0</v>
      </c>
      <c r="AO486" s="355">
        <v>0</v>
      </c>
      <c r="AP486" s="355">
        <v>0</v>
      </c>
      <c r="AQ486" s="355">
        <v>0</v>
      </c>
      <c r="AR486" s="355">
        <v>0</v>
      </c>
      <c r="AS486" s="355">
        <v>0</v>
      </c>
      <c r="AT486" s="334">
        <f t="shared" si="384"/>
        <v>2.7049180327868853E-2</v>
      </c>
      <c r="AU486" s="334">
        <v>10</v>
      </c>
      <c r="AV486" s="334">
        <f t="shared" si="423"/>
        <v>0.16393442622950818</v>
      </c>
      <c r="AW486" s="677">
        <v>13</v>
      </c>
      <c r="AX486" s="366">
        <f t="shared" si="424"/>
        <v>13</v>
      </c>
      <c r="AY486" s="366">
        <f t="shared" si="425"/>
        <v>130</v>
      </c>
      <c r="AZ486" s="366">
        <f t="shared" si="385"/>
        <v>100</v>
      </c>
      <c r="BA486" s="354">
        <f t="shared" si="386"/>
        <v>2.7049180327868853E-2</v>
      </c>
      <c r="BB486" s="354">
        <f t="shared" si="387"/>
        <v>100</v>
      </c>
      <c r="BC486" s="353">
        <v>30000000</v>
      </c>
      <c r="BD486" s="353">
        <v>0</v>
      </c>
      <c r="BE486" s="353">
        <v>30000000</v>
      </c>
      <c r="BF486" s="353">
        <v>0</v>
      </c>
      <c r="BG486" s="353">
        <v>0</v>
      </c>
      <c r="BH486" s="353">
        <v>0</v>
      </c>
      <c r="BI486" s="353">
        <v>0</v>
      </c>
      <c r="BJ486" s="353">
        <v>0</v>
      </c>
      <c r="BK486" s="386">
        <v>0</v>
      </c>
      <c r="BL486" s="351">
        <v>0</v>
      </c>
      <c r="BM486" s="351">
        <v>0</v>
      </c>
      <c r="BN486" s="351">
        <v>0</v>
      </c>
      <c r="BO486" s="351">
        <v>0</v>
      </c>
      <c r="BP486" s="351">
        <v>0</v>
      </c>
      <c r="BQ486" s="351">
        <v>0</v>
      </c>
      <c r="BR486" s="351">
        <v>0</v>
      </c>
      <c r="BS486" s="351">
        <v>0</v>
      </c>
      <c r="BT486" s="351">
        <v>0</v>
      </c>
      <c r="BU486" s="351">
        <v>0</v>
      </c>
      <c r="BV486" s="350">
        <f t="shared" si="388"/>
        <v>6.7622950819672137E-2</v>
      </c>
      <c r="BW486" s="350">
        <v>25</v>
      </c>
      <c r="BX486" s="385">
        <f t="shared" si="426"/>
        <v>0.4098360655737705</v>
      </c>
      <c r="BY486" s="397">
        <v>12</v>
      </c>
      <c r="BZ486" s="404">
        <v>12</v>
      </c>
      <c r="CA486" s="690">
        <v>63</v>
      </c>
      <c r="CB486" s="324">
        <f t="shared" si="427"/>
        <v>63</v>
      </c>
      <c r="CC486" s="324">
        <f t="shared" si="428"/>
        <v>252</v>
      </c>
      <c r="CD486" s="384">
        <f t="shared" si="389"/>
        <v>100</v>
      </c>
      <c r="CE486" s="383">
        <f t="shared" si="390"/>
        <v>6.7622950819672137E-2</v>
      </c>
      <c r="CF486" s="367">
        <f t="shared" si="391"/>
        <v>100</v>
      </c>
      <c r="CG486" s="383">
        <f t="shared" si="392"/>
        <v>0.17040983606557381</v>
      </c>
      <c r="CH486" s="320">
        <f t="shared" si="393"/>
        <v>7.0327868852459022E-2</v>
      </c>
      <c r="CI486" s="319">
        <v>26</v>
      </c>
      <c r="CJ486" s="318">
        <f t="shared" si="429"/>
        <v>0.42622950819672129</v>
      </c>
      <c r="CK486" s="1260">
        <v>26</v>
      </c>
      <c r="CL486" s="301">
        <f t="shared" si="380"/>
        <v>0</v>
      </c>
      <c r="CM486" s="381">
        <f t="shared" si="430"/>
        <v>26</v>
      </c>
      <c r="CN486" s="381">
        <f t="shared" si="431"/>
        <v>100</v>
      </c>
      <c r="CO486" s="316">
        <f t="shared" si="394"/>
        <v>100</v>
      </c>
      <c r="CP486" s="381">
        <f t="shared" si="395"/>
        <v>7.0327868852459022E-2</v>
      </c>
      <c r="CQ486" s="381">
        <f t="shared" si="396"/>
        <v>7.0327868852459022E-2</v>
      </c>
      <c r="CR486" s="313">
        <v>0</v>
      </c>
      <c r="CS486" s="313">
        <v>0</v>
      </c>
      <c r="CT486" s="313">
        <v>0</v>
      </c>
      <c r="CU486" s="313">
        <v>0</v>
      </c>
      <c r="CV486" s="313">
        <v>0</v>
      </c>
      <c r="CW486" s="313">
        <v>0</v>
      </c>
      <c r="CX486" s="313">
        <v>0</v>
      </c>
      <c r="CY486" s="313">
        <v>0</v>
      </c>
      <c r="CZ486" s="380">
        <v>0</v>
      </c>
      <c r="DA486" s="380">
        <v>0</v>
      </c>
      <c r="DB486" s="380">
        <v>0</v>
      </c>
      <c r="DC486" s="380">
        <v>0</v>
      </c>
      <c r="DD486" s="380">
        <v>0</v>
      </c>
      <c r="DE486" s="380">
        <v>0</v>
      </c>
      <c r="DF486" s="380">
        <v>0</v>
      </c>
      <c r="DG486" s="380">
        <v>0</v>
      </c>
      <c r="DH486" s="380">
        <v>0</v>
      </c>
      <c r="DI486" s="380">
        <v>0</v>
      </c>
      <c r="DJ486" s="380">
        <v>0</v>
      </c>
      <c r="DK486" s="702">
        <f t="shared" si="432"/>
        <v>113</v>
      </c>
      <c r="DL486" s="311">
        <f t="shared" si="397"/>
        <v>0.16500000000000001</v>
      </c>
      <c r="DM486" s="310">
        <f t="shared" si="398"/>
        <v>185.24590163934425</v>
      </c>
      <c r="DN486" s="356">
        <f t="shared" si="399"/>
        <v>100</v>
      </c>
      <c r="DO486" s="308">
        <f t="shared" si="400"/>
        <v>0.16500000000000001</v>
      </c>
      <c r="DP486" s="359">
        <f t="shared" si="418"/>
        <v>0.16500000000000001</v>
      </c>
      <c r="DQ486" s="306">
        <f t="shared" si="401"/>
        <v>0.16500000000000001</v>
      </c>
      <c r="DR486" s="379">
        <f t="shared" si="402"/>
        <v>1</v>
      </c>
      <c r="DS486" s="378">
        <f t="shared" si="403"/>
        <v>0</v>
      </c>
      <c r="DT486" s="173">
        <v>619</v>
      </c>
      <c r="DU486" s="174" t="s">
        <v>272</v>
      </c>
      <c r="DV486" s="173"/>
      <c r="DW486" s="174" t="s">
        <v>84</v>
      </c>
      <c r="DX486" s="173"/>
      <c r="DY486" s="173"/>
      <c r="DZ486" s="173"/>
      <c r="EA486" s="665"/>
      <c r="EB486" s="1254" t="s">
        <v>3253</v>
      </c>
      <c r="EC486" s="537">
        <v>699000000</v>
      </c>
      <c r="EE486" s="733">
        <v>116</v>
      </c>
      <c r="EF486" s="706"/>
    </row>
    <row r="487" spans="4:136" s="302" customFormat="1" ht="96" hidden="1">
      <c r="D487" s="520">
        <v>484</v>
      </c>
      <c r="E487" s="534">
        <v>555</v>
      </c>
      <c r="F487" s="479" t="s">
        <v>46</v>
      </c>
      <c r="G487" s="479" t="s">
        <v>9</v>
      </c>
      <c r="H487" s="479" t="s">
        <v>2679</v>
      </c>
      <c r="I487" s="435" t="s">
        <v>1152</v>
      </c>
      <c r="J487" s="335" t="s">
        <v>1153</v>
      </c>
      <c r="K487" s="335" t="s">
        <v>1154</v>
      </c>
      <c r="L487" s="358" t="s">
        <v>1415</v>
      </c>
      <c r="M487" s="334" t="s">
        <v>1771</v>
      </c>
      <c r="N487" s="334">
        <v>0</v>
      </c>
      <c r="O487" s="333">
        <f t="shared" si="419"/>
        <v>101</v>
      </c>
      <c r="P487" s="332">
        <v>101</v>
      </c>
      <c r="Q487" s="390">
        <v>0.16500000000000001</v>
      </c>
      <c r="R487" s="342">
        <f t="shared" si="381"/>
        <v>0</v>
      </c>
      <c r="S487" s="389">
        <v>0</v>
      </c>
      <c r="T487" s="337">
        <f t="shared" si="420"/>
        <v>0</v>
      </c>
      <c r="U487" s="670">
        <v>31</v>
      </c>
      <c r="V487" s="388">
        <f t="shared" si="421"/>
        <v>31</v>
      </c>
      <c r="W487" s="356">
        <f t="shared" si="422"/>
        <v>0</v>
      </c>
      <c r="X487" s="356">
        <f t="shared" si="382"/>
        <v>0</v>
      </c>
      <c r="Y487" s="356">
        <f t="shared" si="417"/>
        <v>0</v>
      </c>
      <c r="Z487" s="356">
        <f t="shared" si="383"/>
        <v>100</v>
      </c>
      <c r="AA487" s="355">
        <v>0</v>
      </c>
      <c r="AB487" s="355">
        <v>0</v>
      </c>
      <c r="AC487" s="355">
        <v>0</v>
      </c>
      <c r="AD487" s="355">
        <v>0</v>
      </c>
      <c r="AE487" s="355">
        <v>0</v>
      </c>
      <c r="AF487" s="355">
        <v>0</v>
      </c>
      <c r="AG487" s="355">
        <v>0</v>
      </c>
      <c r="AH487" s="355">
        <v>0</v>
      </c>
      <c r="AI487" s="355">
        <v>0</v>
      </c>
      <c r="AJ487" s="355">
        <v>0</v>
      </c>
      <c r="AK487" s="355">
        <v>0</v>
      </c>
      <c r="AL487" s="355">
        <v>0</v>
      </c>
      <c r="AM487" s="355">
        <v>0</v>
      </c>
      <c r="AN487" s="355">
        <v>0</v>
      </c>
      <c r="AO487" s="355">
        <v>0</v>
      </c>
      <c r="AP487" s="355">
        <v>0</v>
      </c>
      <c r="AQ487" s="355">
        <v>0</v>
      </c>
      <c r="AR487" s="355">
        <v>0</v>
      </c>
      <c r="AS487" s="355">
        <v>0</v>
      </c>
      <c r="AT487" s="334">
        <f t="shared" si="384"/>
        <v>6.2079207920792086E-2</v>
      </c>
      <c r="AU487" s="334">
        <v>38</v>
      </c>
      <c r="AV487" s="334">
        <f t="shared" si="423"/>
        <v>0.37623762376237624</v>
      </c>
      <c r="AW487" s="677">
        <v>38</v>
      </c>
      <c r="AX487" s="366">
        <f t="shared" si="424"/>
        <v>38</v>
      </c>
      <c r="AY487" s="366">
        <f t="shared" si="425"/>
        <v>100</v>
      </c>
      <c r="AZ487" s="366">
        <f t="shared" si="385"/>
        <v>100</v>
      </c>
      <c r="BA487" s="354">
        <f t="shared" si="386"/>
        <v>6.2079207920792093E-2</v>
      </c>
      <c r="BB487" s="354">
        <f t="shared" si="387"/>
        <v>100</v>
      </c>
      <c r="BC487" s="353">
        <v>0</v>
      </c>
      <c r="BD487" s="353">
        <v>0</v>
      </c>
      <c r="BE487" s="353">
        <v>0</v>
      </c>
      <c r="BF487" s="353">
        <v>0</v>
      </c>
      <c r="BG487" s="353">
        <v>0</v>
      </c>
      <c r="BH487" s="353">
        <v>0</v>
      </c>
      <c r="BI487" s="353">
        <v>0</v>
      </c>
      <c r="BJ487" s="353">
        <v>0</v>
      </c>
      <c r="BK487" s="386">
        <v>0</v>
      </c>
      <c r="BL487" s="351">
        <v>0</v>
      </c>
      <c r="BM487" s="351">
        <v>0</v>
      </c>
      <c r="BN487" s="351">
        <v>0</v>
      </c>
      <c r="BO487" s="351">
        <v>0</v>
      </c>
      <c r="BP487" s="351">
        <v>0</v>
      </c>
      <c r="BQ487" s="351">
        <v>0</v>
      </c>
      <c r="BR487" s="351">
        <v>0</v>
      </c>
      <c r="BS487" s="351">
        <v>0</v>
      </c>
      <c r="BT487" s="351">
        <v>0</v>
      </c>
      <c r="BU487" s="351">
        <v>0</v>
      </c>
      <c r="BV487" s="350">
        <f t="shared" si="388"/>
        <v>6.2079207920792086E-2</v>
      </c>
      <c r="BW487" s="350">
        <v>38</v>
      </c>
      <c r="BX487" s="385">
        <f t="shared" si="426"/>
        <v>0.37623762376237624</v>
      </c>
      <c r="BY487" s="395">
        <v>0</v>
      </c>
      <c r="BZ487" s="401">
        <v>0</v>
      </c>
      <c r="CA487" s="691">
        <v>0</v>
      </c>
      <c r="CB487" s="324">
        <f t="shared" si="427"/>
        <v>0</v>
      </c>
      <c r="CC487" s="324">
        <f t="shared" si="428"/>
        <v>0</v>
      </c>
      <c r="CD487" s="384">
        <f t="shared" si="389"/>
        <v>0</v>
      </c>
      <c r="CE487" s="383">
        <f t="shared" si="390"/>
        <v>0</v>
      </c>
      <c r="CF487" s="367">
        <f t="shared" si="391"/>
        <v>0</v>
      </c>
      <c r="CG487" s="383">
        <f t="shared" si="392"/>
        <v>0</v>
      </c>
      <c r="CH487" s="320">
        <f t="shared" si="393"/>
        <v>4.0841584158415843E-2</v>
      </c>
      <c r="CI487" s="319">
        <v>25</v>
      </c>
      <c r="CJ487" s="318">
        <f t="shared" si="429"/>
        <v>0.24752475247524752</v>
      </c>
      <c r="CK487" s="1258">
        <v>0</v>
      </c>
      <c r="CL487" s="301">
        <f t="shared" si="380"/>
        <v>25</v>
      </c>
      <c r="CM487" s="381">
        <f t="shared" si="430"/>
        <v>0</v>
      </c>
      <c r="CN487" s="381">
        <f t="shared" si="431"/>
        <v>0</v>
      </c>
      <c r="CO487" s="316">
        <f t="shared" si="394"/>
        <v>0</v>
      </c>
      <c r="CP487" s="381">
        <f t="shared" si="395"/>
        <v>0</v>
      </c>
      <c r="CQ487" s="381">
        <f t="shared" si="396"/>
        <v>0</v>
      </c>
      <c r="CR487" s="313">
        <v>0</v>
      </c>
      <c r="CS487" s="313">
        <v>0</v>
      </c>
      <c r="CT487" s="313">
        <v>0</v>
      </c>
      <c r="CU487" s="313">
        <v>0</v>
      </c>
      <c r="CV487" s="313">
        <v>0</v>
      </c>
      <c r="CW487" s="313">
        <v>0</v>
      </c>
      <c r="CX487" s="313">
        <v>0</v>
      </c>
      <c r="CY487" s="313">
        <v>0</v>
      </c>
      <c r="CZ487" s="380">
        <v>0</v>
      </c>
      <c r="DA487" s="380">
        <v>0</v>
      </c>
      <c r="DB487" s="380">
        <v>0</v>
      </c>
      <c r="DC487" s="380">
        <v>0</v>
      </c>
      <c r="DD487" s="380">
        <v>0</v>
      </c>
      <c r="DE487" s="380">
        <v>0</v>
      </c>
      <c r="DF487" s="380">
        <v>0</v>
      </c>
      <c r="DG487" s="380">
        <v>0</v>
      </c>
      <c r="DH487" s="380">
        <v>0</v>
      </c>
      <c r="DI487" s="380">
        <v>0</v>
      </c>
      <c r="DJ487" s="380">
        <v>0</v>
      </c>
      <c r="DK487" s="702">
        <f t="shared" si="432"/>
        <v>69</v>
      </c>
      <c r="DL487" s="311">
        <f t="shared" si="397"/>
        <v>0.16500000000000001</v>
      </c>
      <c r="DM487" s="310">
        <f t="shared" si="398"/>
        <v>68.316831683168317</v>
      </c>
      <c r="DN487" s="356">
        <f t="shared" si="399"/>
        <v>68.316831683168317</v>
      </c>
      <c r="DO487" s="308">
        <f t="shared" si="400"/>
        <v>0.11272277227722773</v>
      </c>
      <c r="DP487" s="359">
        <f t="shared" si="418"/>
        <v>0.11272277227722773</v>
      </c>
      <c r="DQ487" s="306">
        <f t="shared" si="401"/>
        <v>0.11272277227722773</v>
      </c>
      <c r="DR487" s="379">
        <f t="shared" si="402"/>
        <v>1</v>
      </c>
      <c r="DS487" s="378">
        <f t="shared" si="403"/>
        <v>0</v>
      </c>
      <c r="DT487" s="173">
        <v>619</v>
      </c>
      <c r="DU487" s="174" t="s">
        <v>272</v>
      </c>
      <c r="DV487" s="173"/>
      <c r="DW487" s="174" t="s">
        <v>84</v>
      </c>
      <c r="DX487" s="173"/>
      <c r="DY487" s="173"/>
      <c r="DZ487" s="173"/>
      <c r="EA487" s="665"/>
      <c r="EB487" s="1254" t="s">
        <v>84</v>
      </c>
      <c r="EC487" s="537">
        <v>275000000</v>
      </c>
      <c r="EE487" s="734">
        <v>500</v>
      </c>
      <c r="EF487" s="706"/>
    </row>
    <row r="488" spans="4:136" s="302" customFormat="1" ht="96" hidden="1">
      <c r="D488" s="520">
        <v>485</v>
      </c>
      <c r="E488" s="534">
        <v>556</v>
      </c>
      <c r="F488" s="479" t="s">
        <v>46</v>
      </c>
      <c r="G488" s="479" t="s">
        <v>9</v>
      </c>
      <c r="H488" s="479" t="s">
        <v>2679</v>
      </c>
      <c r="I488" s="435" t="s">
        <v>1152</v>
      </c>
      <c r="J488" s="335" t="s">
        <v>1153</v>
      </c>
      <c r="K488" s="335" t="s">
        <v>1155</v>
      </c>
      <c r="L488" s="358" t="s">
        <v>1808</v>
      </c>
      <c r="M488" s="334" t="s">
        <v>1771</v>
      </c>
      <c r="N488" s="334">
        <v>0</v>
      </c>
      <c r="O488" s="333">
        <f t="shared" si="419"/>
        <v>78</v>
      </c>
      <c r="P488" s="334">
        <v>78</v>
      </c>
      <c r="Q488" s="390">
        <v>0.16500000000000001</v>
      </c>
      <c r="R488" s="342">
        <f t="shared" si="381"/>
        <v>0</v>
      </c>
      <c r="S488" s="389">
        <v>0</v>
      </c>
      <c r="T488" s="337">
        <f t="shared" si="420"/>
        <v>0</v>
      </c>
      <c r="U488" s="670">
        <v>0</v>
      </c>
      <c r="V488" s="388">
        <f t="shared" si="421"/>
        <v>0</v>
      </c>
      <c r="W488" s="356">
        <f t="shared" si="422"/>
        <v>0</v>
      </c>
      <c r="X488" s="356">
        <f t="shared" si="382"/>
        <v>0</v>
      </c>
      <c r="Y488" s="356">
        <f t="shared" si="417"/>
        <v>0</v>
      </c>
      <c r="Z488" s="356">
        <f t="shared" si="383"/>
        <v>0</v>
      </c>
      <c r="AA488" s="355">
        <v>50000000</v>
      </c>
      <c r="AB488" s="355">
        <v>50000000</v>
      </c>
      <c r="AC488" s="355">
        <v>0</v>
      </c>
      <c r="AD488" s="355">
        <v>0</v>
      </c>
      <c r="AE488" s="355">
        <v>0</v>
      </c>
      <c r="AF488" s="355">
        <v>0</v>
      </c>
      <c r="AG488" s="355">
        <v>0</v>
      </c>
      <c r="AH488" s="355">
        <v>0</v>
      </c>
      <c r="AI488" s="355">
        <v>0</v>
      </c>
      <c r="AJ488" s="355">
        <v>0</v>
      </c>
      <c r="AK488" s="355">
        <v>0</v>
      </c>
      <c r="AL488" s="355">
        <v>0</v>
      </c>
      <c r="AM488" s="355">
        <v>0</v>
      </c>
      <c r="AN488" s="355">
        <v>0</v>
      </c>
      <c r="AO488" s="355">
        <v>0</v>
      </c>
      <c r="AP488" s="355">
        <v>0</v>
      </c>
      <c r="AQ488" s="355">
        <v>0</v>
      </c>
      <c r="AR488" s="355">
        <v>0</v>
      </c>
      <c r="AS488" s="355">
        <v>0</v>
      </c>
      <c r="AT488" s="334">
        <f t="shared" si="384"/>
        <v>5.2884615384615391E-2</v>
      </c>
      <c r="AU488" s="334">
        <v>25</v>
      </c>
      <c r="AV488" s="334">
        <f t="shared" si="423"/>
        <v>0.32051282051282054</v>
      </c>
      <c r="AW488" s="677">
        <v>303</v>
      </c>
      <c r="AX488" s="366">
        <f t="shared" si="424"/>
        <v>303</v>
      </c>
      <c r="AY488" s="366">
        <f t="shared" si="425"/>
        <v>1212</v>
      </c>
      <c r="AZ488" s="366">
        <f t="shared" si="385"/>
        <v>100</v>
      </c>
      <c r="BA488" s="354">
        <f t="shared" si="386"/>
        <v>5.2884615384615391E-2</v>
      </c>
      <c r="BB488" s="354">
        <f t="shared" si="387"/>
        <v>100</v>
      </c>
      <c r="BC488" s="353">
        <v>0</v>
      </c>
      <c r="BD488" s="353">
        <v>0</v>
      </c>
      <c r="BE488" s="353">
        <v>0</v>
      </c>
      <c r="BF488" s="353">
        <v>0</v>
      </c>
      <c r="BG488" s="353">
        <v>0</v>
      </c>
      <c r="BH488" s="353">
        <v>0</v>
      </c>
      <c r="BI488" s="353">
        <v>0</v>
      </c>
      <c r="BJ488" s="353">
        <v>0</v>
      </c>
      <c r="BK488" s="386">
        <v>0</v>
      </c>
      <c r="BL488" s="351">
        <v>0</v>
      </c>
      <c r="BM488" s="351">
        <v>0</v>
      </c>
      <c r="BN488" s="351">
        <v>0</v>
      </c>
      <c r="BO488" s="351">
        <v>0</v>
      </c>
      <c r="BP488" s="351">
        <v>0</v>
      </c>
      <c r="BQ488" s="351">
        <v>0</v>
      </c>
      <c r="BR488" s="351">
        <v>0</v>
      </c>
      <c r="BS488" s="351">
        <v>0</v>
      </c>
      <c r="BT488" s="351">
        <v>0</v>
      </c>
      <c r="BU488" s="351">
        <v>0</v>
      </c>
      <c r="BV488" s="350">
        <f t="shared" si="388"/>
        <v>5.2884615384615391E-2</v>
      </c>
      <c r="BW488" s="350">
        <v>25</v>
      </c>
      <c r="BX488" s="385">
        <f t="shared" si="426"/>
        <v>0.32051282051282054</v>
      </c>
      <c r="BY488" s="369">
        <v>283</v>
      </c>
      <c r="BZ488" s="391">
        <v>283</v>
      </c>
      <c r="CA488" s="689">
        <v>453</v>
      </c>
      <c r="CB488" s="324">
        <f t="shared" si="427"/>
        <v>453</v>
      </c>
      <c r="CC488" s="324">
        <f t="shared" si="428"/>
        <v>1812</v>
      </c>
      <c r="CD488" s="384">
        <f t="shared" si="389"/>
        <v>100</v>
      </c>
      <c r="CE488" s="383">
        <f t="shared" si="390"/>
        <v>5.2884615384615391E-2</v>
      </c>
      <c r="CF488" s="367">
        <f t="shared" si="391"/>
        <v>100</v>
      </c>
      <c r="CG488" s="383">
        <f t="shared" si="392"/>
        <v>0.95826923076923098</v>
      </c>
      <c r="CH488" s="320">
        <f t="shared" si="393"/>
        <v>5.9230769230769233E-2</v>
      </c>
      <c r="CI488" s="319">
        <v>28</v>
      </c>
      <c r="CJ488" s="318">
        <f t="shared" si="429"/>
        <v>0.35897435897435898</v>
      </c>
      <c r="CK488" s="1260">
        <v>0</v>
      </c>
      <c r="CL488" s="301">
        <f t="shared" si="380"/>
        <v>28</v>
      </c>
      <c r="CM488" s="381">
        <f t="shared" si="430"/>
        <v>0</v>
      </c>
      <c r="CN488" s="381">
        <f t="shared" si="431"/>
        <v>0</v>
      </c>
      <c r="CO488" s="316">
        <f t="shared" si="394"/>
        <v>0</v>
      </c>
      <c r="CP488" s="381">
        <f t="shared" si="395"/>
        <v>0</v>
      </c>
      <c r="CQ488" s="381">
        <f t="shared" si="396"/>
        <v>0</v>
      </c>
      <c r="CR488" s="313">
        <v>0</v>
      </c>
      <c r="CS488" s="313">
        <v>0</v>
      </c>
      <c r="CT488" s="313">
        <v>0</v>
      </c>
      <c r="CU488" s="313">
        <v>0</v>
      </c>
      <c r="CV488" s="313">
        <v>0</v>
      </c>
      <c r="CW488" s="313">
        <v>0</v>
      </c>
      <c r="CX488" s="313">
        <v>0</v>
      </c>
      <c r="CY488" s="313">
        <v>0</v>
      </c>
      <c r="CZ488" s="380">
        <v>0</v>
      </c>
      <c r="DA488" s="380">
        <v>0</v>
      </c>
      <c r="DB488" s="380">
        <v>0</v>
      </c>
      <c r="DC488" s="380">
        <v>0</v>
      </c>
      <c r="DD488" s="380">
        <v>0</v>
      </c>
      <c r="DE488" s="380">
        <v>0</v>
      </c>
      <c r="DF488" s="380">
        <v>0</v>
      </c>
      <c r="DG488" s="380">
        <v>0</v>
      </c>
      <c r="DH488" s="380">
        <v>0</v>
      </c>
      <c r="DI488" s="380">
        <v>0</v>
      </c>
      <c r="DJ488" s="380">
        <v>0</v>
      </c>
      <c r="DK488" s="702">
        <f t="shared" si="432"/>
        <v>756</v>
      </c>
      <c r="DL488" s="311">
        <f t="shared" si="397"/>
        <v>0.16500000000000001</v>
      </c>
      <c r="DM488" s="310">
        <f t="shared" si="398"/>
        <v>969.23076923076928</v>
      </c>
      <c r="DN488" s="356">
        <f t="shared" si="399"/>
        <v>100</v>
      </c>
      <c r="DO488" s="308">
        <f t="shared" si="400"/>
        <v>0.16500000000000001</v>
      </c>
      <c r="DP488" s="359">
        <f t="shared" si="418"/>
        <v>0.16500000000000001</v>
      </c>
      <c r="DQ488" s="306">
        <f t="shared" si="401"/>
        <v>0.16500000000000001</v>
      </c>
      <c r="DR488" s="379">
        <f t="shared" si="402"/>
        <v>1</v>
      </c>
      <c r="DS488" s="378">
        <f t="shared" si="403"/>
        <v>0</v>
      </c>
      <c r="DT488" s="173">
        <v>619</v>
      </c>
      <c r="DU488" s="174" t="s">
        <v>272</v>
      </c>
      <c r="DV488" s="173"/>
      <c r="DW488" s="174" t="s">
        <v>84</v>
      </c>
      <c r="DX488" s="173"/>
      <c r="DY488" s="173"/>
      <c r="DZ488" s="173"/>
      <c r="EA488" s="665"/>
      <c r="EB488" s="1254" t="s">
        <v>2154</v>
      </c>
      <c r="EC488" s="537">
        <v>30000000</v>
      </c>
      <c r="EE488" s="734">
        <v>1</v>
      </c>
      <c r="EF488" s="706"/>
    </row>
    <row r="489" spans="4:136" s="302" customFormat="1" ht="96" hidden="1">
      <c r="D489" s="520">
        <v>486</v>
      </c>
      <c r="E489" s="534">
        <v>557</v>
      </c>
      <c r="F489" s="479" t="s">
        <v>46</v>
      </c>
      <c r="G489" s="479" t="s">
        <v>10</v>
      </c>
      <c r="H489" s="479" t="s">
        <v>2679</v>
      </c>
      <c r="I489" s="435" t="s">
        <v>1152</v>
      </c>
      <c r="J489" s="335" t="s">
        <v>2354</v>
      </c>
      <c r="K489" s="335" t="s">
        <v>2355</v>
      </c>
      <c r="L489" s="358" t="s">
        <v>1809</v>
      </c>
      <c r="M489" s="334" t="s">
        <v>1771</v>
      </c>
      <c r="N489" s="334">
        <v>0</v>
      </c>
      <c r="O489" s="333">
        <f t="shared" si="419"/>
        <v>276</v>
      </c>
      <c r="P489" s="332">
        <v>276</v>
      </c>
      <c r="Q489" s="390">
        <v>0.16500000000000001</v>
      </c>
      <c r="R489" s="342">
        <f t="shared" si="381"/>
        <v>3.2282608695652179E-2</v>
      </c>
      <c r="S489" s="389">
        <v>54</v>
      </c>
      <c r="T489" s="402">
        <f t="shared" si="420"/>
        <v>0.19565217391304349</v>
      </c>
      <c r="U489" s="670">
        <v>91</v>
      </c>
      <c r="V489" s="388">
        <f t="shared" si="421"/>
        <v>91</v>
      </c>
      <c r="W489" s="356">
        <f t="shared" si="422"/>
        <v>168.5185185185185</v>
      </c>
      <c r="X489" s="356">
        <f t="shared" si="382"/>
        <v>100</v>
      </c>
      <c r="Y489" s="356">
        <f t="shared" si="417"/>
        <v>3.2282608695652179E-2</v>
      </c>
      <c r="Z489" s="356">
        <f t="shared" si="383"/>
        <v>100</v>
      </c>
      <c r="AA489" s="355">
        <v>399000000</v>
      </c>
      <c r="AB489" s="355">
        <v>399000000</v>
      </c>
      <c r="AC489" s="355">
        <v>0</v>
      </c>
      <c r="AD489" s="355">
        <v>0</v>
      </c>
      <c r="AE489" s="355">
        <v>0</v>
      </c>
      <c r="AF489" s="355">
        <v>0</v>
      </c>
      <c r="AG489" s="355">
        <v>0</v>
      </c>
      <c r="AH489" s="355">
        <v>0</v>
      </c>
      <c r="AI489" s="355">
        <v>314200000</v>
      </c>
      <c r="AJ489" s="355">
        <v>314200000</v>
      </c>
      <c r="AK489" s="355">
        <v>0</v>
      </c>
      <c r="AL489" s="355">
        <v>0</v>
      </c>
      <c r="AM489" s="355">
        <v>0</v>
      </c>
      <c r="AN489" s="355">
        <v>0</v>
      </c>
      <c r="AO489" s="355">
        <v>0</v>
      </c>
      <c r="AP489" s="355">
        <v>0</v>
      </c>
      <c r="AQ489" s="355">
        <v>0</v>
      </c>
      <c r="AR489" s="355">
        <v>0</v>
      </c>
      <c r="AS489" s="355">
        <v>0</v>
      </c>
      <c r="AT489" s="334">
        <f t="shared" si="384"/>
        <v>4.1250000000000002E-2</v>
      </c>
      <c r="AU489" s="334">
        <v>69</v>
      </c>
      <c r="AV489" s="334">
        <f t="shared" si="423"/>
        <v>0.25</v>
      </c>
      <c r="AW489" s="677">
        <v>109</v>
      </c>
      <c r="AX489" s="366">
        <f t="shared" si="424"/>
        <v>109</v>
      </c>
      <c r="AY489" s="366">
        <f t="shared" si="425"/>
        <v>157.97101449275362</v>
      </c>
      <c r="AZ489" s="366">
        <f t="shared" si="385"/>
        <v>100</v>
      </c>
      <c r="BA489" s="354">
        <f t="shared" si="386"/>
        <v>4.1250000000000002E-2</v>
      </c>
      <c r="BB489" s="354">
        <f t="shared" si="387"/>
        <v>100</v>
      </c>
      <c r="BC489" s="353">
        <v>210000000</v>
      </c>
      <c r="BD489" s="353">
        <v>0</v>
      </c>
      <c r="BE489" s="353">
        <v>210000000</v>
      </c>
      <c r="BF489" s="353">
        <v>0</v>
      </c>
      <c r="BG489" s="353">
        <v>0</v>
      </c>
      <c r="BH489" s="353">
        <v>0</v>
      </c>
      <c r="BI489" s="353">
        <v>0</v>
      </c>
      <c r="BJ489" s="353">
        <v>0</v>
      </c>
      <c r="BK489" s="386">
        <v>123894979</v>
      </c>
      <c r="BL489" s="351">
        <v>123894979</v>
      </c>
      <c r="BM489" s="351">
        <v>0</v>
      </c>
      <c r="BN489" s="351">
        <v>0</v>
      </c>
      <c r="BO489" s="351">
        <v>0</v>
      </c>
      <c r="BP489" s="351">
        <v>0</v>
      </c>
      <c r="BQ489" s="351">
        <v>0</v>
      </c>
      <c r="BR489" s="351">
        <v>0</v>
      </c>
      <c r="BS489" s="351">
        <v>0</v>
      </c>
      <c r="BT489" s="351">
        <v>0</v>
      </c>
      <c r="BU489" s="351">
        <v>0</v>
      </c>
      <c r="BV489" s="350">
        <f t="shared" si="388"/>
        <v>1.1956521739130435E-2</v>
      </c>
      <c r="BW489" s="350">
        <v>20</v>
      </c>
      <c r="BX489" s="385">
        <f t="shared" si="426"/>
        <v>7.2463768115942032E-2</v>
      </c>
      <c r="BY489" s="369">
        <v>6</v>
      </c>
      <c r="BZ489" s="391">
        <v>6</v>
      </c>
      <c r="CA489" s="689">
        <v>20</v>
      </c>
      <c r="CB489" s="324">
        <f t="shared" si="427"/>
        <v>20</v>
      </c>
      <c r="CC489" s="324">
        <f t="shared" si="428"/>
        <v>100</v>
      </c>
      <c r="CD489" s="384">
        <f t="shared" si="389"/>
        <v>100</v>
      </c>
      <c r="CE489" s="383">
        <f t="shared" si="390"/>
        <v>1.1956521739130435E-2</v>
      </c>
      <c r="CF489" s="367">
        <f t="shared" si="391"/>
        <v>100</v>
      </c>
      <c r="CG489" s="383">
        <f t="shared" si="392"/>
        <v>1.1956521739130435E-2</v>
      </c>
      <c r="CH489" s="320">
        <f t="shared" si="393"/>
        <v>7.9510869565217385E-2</v>
      </c>
      <c r="CI489" s="319">
        <v>133</v>
      </c>
      <c r="CJ489" s="318">
        <f t="shared" si="429"/>
        <v>0.48188405797101447</v>
      </c>
      <c r="CK489" s="1259">
        <v>71</v>
      </c>
      <c r="CL489" s="301">
        <f t="shared" si="380"/>
        <v>62</v>
      </c>
      <c r="CM489" s="381">
        <f t="shared" si="430"/>
        <v>71</v>
      </c>
      <c r="CN489" s="381">
        <f t="shared" si="431"/>
        <v>53.383458646616539</v>
      </c>
      <c r="CO489" s="316">
        <f t="shared" si="394"/>
        <v>53.383458646616539</v>
      </c>
      <c r="CP489" s="381">
        <f t="shared" si="395"/>
        <v>4.2445652173913037E-2</v>
      </c>
      <c r="CQ489" s="381">
        <f t="shared" si="396"/>
        <v>4.2445652173913037E-2</v>
      </c>
      <c r="CR489" s="313">
        <v>485000000</v>
      </c>
      <c r="CS489" s="313">
        <v>485000000</v>
      </c>
      <c r="CT489" s="313">
        <v>0</v>
      </c>
      <c r="CU489" s="313">
        <v>0</v>
      </c>
      <c r="CV489" s="313">
        <v>0</v>
      </c>
      <c r="CW489" s="313">
        <v>0</v>
      </c>
      <c r="CX489" s="313">
        <v>0</v>
      </c>
      <c r="CY489" s="313">
        <v>0</v>
      </c>
      <c r="CZ489" s="380">
        <v>0</v>
      </c>
      <c r="DA489" s="380">
        <v>0</v>
      </c>
      <c r="DB489" s="380">
        <v>0</v>
      </c>
      <c r="DC489" s="380">
        <v>0</v>
      </c>
      <c r="DD489" s="380">
        <v>0</v>
      </c>
      <c r="DE489" s="380">
        <v>0</v>
      </c>
      <c r="DF489" s="380">
        <v>0</v>
      </c>
      <c r="DG489" s="380">
        <v>0</v>
      </c>
      <c r="DH489" s="380">
        <v>0</v>
      </c>
      <c r="DI489" s="380">
        <v>0</v>
      </c>
      <c r="DJ489" s="380">
        <v>0</v>
      </c>
      <c r="DK489" s="702">
        <f t="shared" si="432"/>
        <v>291</v>
      </c>
      <c r="DL489" s="311">
        <f t="shared" si="397"/>
        <v>0.16499999999999998</v>
      </c>
      <c r="DM489" s="310">
        <f t="shared" si="398"/>
        <v>105.43478260869566</v>
      </c>
      <c r="DN489" s="356">
        <f t="shared" si="399"/>
        <v>100</v>
      </c>
      <c r="DO489" s="308">
        <f t="shared" si="400"/>
        <v>0.16500000000000001</v>
      </c>
      <c r="DP489" s="359">
        <f t="shared" si="418"/>
        <v>0.16500000000000001</v>
      </c>
      <c r="DQ489" s="306">
        <f t="shared" si="401"/>
        <v>0.16500000000000001</v>
      </c>
      <c r="DR489" s="379">
        <f t="shared" si="402"/>
        <v>1</v>
      </c>
      <c r="DS489" s="378">
        <f t="shared" si="403"/>
        <v>0</v>
      </c>
      <c r="DT489" s="173">
        <v>619</v>
      </c>
      <c r="DU489" s="174" t="s">
        <v>272</v>
      </c>
      <c r="DV489" s="173"/>
      <c r="DW489" s="174" t="s">
        <v>84</v>
      </c>
      <c r="DX489" s="173"/>
      <c r="DY489" s="173"/>
      <c r="DZ489" s="173"/>
      <c r="EA489" s="665"/>
      <c r="EB489" s="1254" t="s">
        <v>2421</v>
      </c>
      <c r="EC489" s="537">
        <v>0</v>
      </c>
      <c r="EE489" s="733">
        <v>2</v>
      </c>
      <c r="EF489" s="706"/>
    </row>
    <row r="490" spans="4:136" s="302" customFormat="1" ht="127.5" hidden="1">
      <c r="D490" s="520">
        <v>487</v>
      </c>
      <c r="E490" s="534">
        <v>558</v>
      </c>
      <c r="F490" s="479" t="s">
        <v>46</v>
      </c>
      <c r="G490" s="479" t="s">
        <v>12</v>
      </c>
      <c r="H490" s="479" t="s">
        <v>2679</v>
      </c>
      <c r="I490" s="435" t="s">
        <v>1156</v>
      </c>
      <c r="J490" s="335" t="s">
        <v>1157</v>
      </c>
      <c r="K490" s="335" t="s">
        <v>1158</v>
      </c>
      <c r="L490" s="358" t="s">
        <v>1808</v>
      </c>
      <c r="M490" s="334" t="s">
        <v>1771</v>
      </c>
      <c r="N490" s="334">
        <v>0</v>
      </c>
      <c r="O490" s="333">
        <f t="shared" si="419"/>
        <v>116</v>
      </c>
      <c r="P490" s="332">
        <v>116</v>
      </c>
      <c r="Q490" s="390">
        <v>0.16500000000000001</v>
      </c>
      <c r="R490" s="342">
        <f t="shared" si="381"/>
        <v>1.4224137931034485E-2</v>
      </c>
      <c r="S490" s="389">
        <v>10</v>
      </c>
      <c r="T490" s="337">
        <f t="shared" si="420"/>
        <v>8.6206896551724144E-2</v>
      </c>
      <c r="U490" s="670">
        <v>53</v>
      </c>
      <c r="V490" s="388">
        <f t="shared" si="421"/>
        <v>53</v>
      </c>
      <c r="W490" s="356">
        <f t="shared" si="422"/>
        <v>530</v>
      </c>
      <c r="X490" s="356">
        <f t="shared" si="382"/>
        <v>100</v>
      </c>
      <c r="Y490" s="356">
        <f t="shared" si="417"/>
        <v>1.4224137931034487E-2</v>
      </c>
      <c r="Z490" s="356">
        <f t="shared" si="383"/>
        <v>100</v>
      </c>
      <c r="AA490" s="355">
        <v>1600000000</v>
      </c>
      <c r="AB490" s="355">
        <v>1600000000</v>
      </c>
      <c r="AC490" s="355">
        <v>0</v>
      </c>
      <c r="AD490" s="355">
        <v>0</v>
      </c>
      <c r="AE490" s="355">
        <v>0</v>
      </c>
      <c r="AF490" s="355">
        <v>0</v>
      </c>
      <c r="AG490" s="355">
        <v>0</v>
      </c>
      <c r="AH490" s="355">
        <v>0</v>
      </c>
      <c r="AI490" s="355">
        <v>2447142000</v>
      </c>
      <c r="AJ490" s="355">
        <v>2447142000</v>
      </c>
      <c r="AK490" s="355">
        <v>0</v>
      </c>
      <c r="AL490" s="355">
        <v>0</v>
      </c>
      <c r="AM490" s="355">
        <v>0</v>
      </c>
      <c r="AN490" s="355">
        <v>0</v>
      </c>
      <c r="AO490" s="355">
        <v>0</v>
      </c>
      <c r="AP490" s="355">
        <v>0</v>
      </c>
      <c r="AQ490" s="355">
        <v>0</v>
      </c>
      <c r="AR490" s="355">
        <v>0</v>
      </c>
      <c r="AS490" s="355">
        <v>0</v>
      </c>
      <c r="AT490" s="334">
        <f t="shared" si="384"/>
        <v>7.1120689655172417E-2</v>
      </c>
      <c r="AU490" s="334">
        <v>50</v>
      </c>
      <c r="AV490" s="334">
        <f t="shared" si="423"/>
        <v>0.43103448275862066</v>
      </c>
      <c r="AW490" s="677">
        <v>52</v>
      </c>
      <c r="AX490" s="366">
        <f t="shared" si="424"/>
        <v>52</v>
      </c>
      <c r="AY490" s="366">
        <f t="shared" si="425"/>
        <v>104</v>
      </c>
      <c r="AZ490" s="366">
        <f t="shared" si="385"/>
        <v>100</v>
      </c>
      <c r="BA490" s="354">
        <f t="shared" si="386"/>
        <v>7.1120689655172417E-2</v>
      </c>
      <c r="BB490" s="354">
        <f t="shared" si="387"/>
        <v>100</v>
      </c>
      <c r="BC490" s="353">
        <v>1350000000</v>
      </c>
      <c r="BD490" s="353">
        <v>0</v>
      </c>
      <c r="BE490" s="353">
        <v>1350000000</v>
      </c>
      <c r="BF490" s="353">
        <v>0</v>
      </c>
      <c r="BG490" s="353">
        <v>0</v>
      </c>
      <c r="BH490" s="353">
        <v>0</v>
      </c>
      <c r="BI490" s="353">
        <v>0</v>
      </c>
      <c r="BJ490" s="353">
        <v>0</v>
      </c>
      <c r="BK490" s="386">
        <v>5048799127</v>
      </c>
      <c r="BL490" s="351">
        <v>5048799127</v>
      </c>
      <c r="BM490" s="351">
        <v>0</v>
      </c>
      <c r="BN490" s="351">
        <v>0</v>
      </c>
      <c r="BO490" s="351">
        <v>0</v>
      </c>
      <c r="BP490" s="351">
        <v>0</v>
      </c>
      <c r="BQ490" s="351">
        <v>0</v>
      </c>
      <c r="BR490" s="351">
        <v>0</v>
      </c>
      <c r="BS490" s="351">
        <v>0</v>
      </c>
      <c r="BT490" s="351">
        <v>19732143</v>
      </c>
      <c r="BU490" s="351" t="s">
        <v>1807</v>
      </c>
      <c r="BV490" s="350">
        <f t="shared" si="388"/>
        <v>6.4008620689655168E-2</v>
      </c>
      <c r="BW490" s="350">
        <v>45</v>
      </c>
      <c r="BX490" s="385">
        <f t="shared" si="426"/>
        <v>0.38793103448275862</v>
      </c>
      <c r="BY490" s="369">
        <v>0</v>
      </c>
      <c r="BZ490" s="391">
        <v>0</v>
      </c>
      <c r="CA490" s="689">
        <v>87</v>
      </c>
      <c r="CB490" s="324">
        <f t="shared" si="427"/>
        <v>87</v>
      </c>
      <c r="CC490" s="324">
        <f t="shared" si="428"/>
        <v>193.33333333333334</v>
      </c>
      <c r="CD490" s="384">
        <f t="shared" si="389"/>
        <v>100</v>
      </c>
      <c r="CE490" s="383">
        <f t="shared" si="390"/>
        <v>6.4008620689655168E-2</v>
      </c>
      <c r="CF490" s="367">
        <f t="shared" si="391"/>
        <v>100</v>
      </c>
      <c r="CG490" s="383">
        <f t="shared" si="392"/>
        <v>0.12375</v>
      </c>
      <c r="CH490" s="320">
        <f t="shared" si="393"/>
        <v>1.5646551724137932E-2</v>
      </c>
      <c r="CI490" s="319">
        <v>11</v>
      </c>
      <c r="CJ490" s="318">
        <f t="shared" si="429"/>
        <v>9.4827586206896547E-2</v>
      </c>
      <c r="CK490" s="1259">
        <v>122</v>
      </c>
      <c r="CL490" s="301">
        <f t="shared" si="380"/>
        <v>-111</v>
      </c>
      <c r="CM490" s="381">
        <f t="shared" si="430"/>
        <v>122</v>
      </c>
      <c r="CN490" s="381">
        <f t="shared" si="431"/>
        <v>1109.090909090909</v>
      </c>
      <c r="CO490" s="316">
        <f t="shared" si="394"/>
        <v>100</v>
      </c>
      <c r="CP490" s="381">
        <f t="shared" si="395"/>
        <v>1.5646551724137932E-2</v>
      </c>
      <c r="CQ490" s="381">
        <f t="shared" si="396"/>
        <v>0.17353448275862068</v>
      </c>
      <c r="CR490" s="313">
        <v>3116000000</v>
      </c>
      <c r="CS490" s="313">
        <v>3116000000</v>
      </c>
      <c r="CT490" s="313">
        <v>0</v>
      </c>
      <c r="CU490" s="313">
        <v>0</v>
      </c>
      <c r="CV490" s="313">
        <v>0</v>
      </c>
      <c r="CW490" s="313">
        <v>0</v>
      </c>
      <c r="CX490" s="313">
        <v>0</v>
      </c>
      <c r="CY490" s="313">
        <v>0</v>
      </c>
      <c r="CZ490" s="380">
        <v>0</v>
      </c>
      <c r="DA490" s="380">
        <v>0</v>
      </c>
      <c r="DB490" s="380">
        <v>0</v>
      </c>
      <c r="DC490" s="380">
        <v>0</v>
      </c>
      <c r="DD490" s="380">
        <v>0</v>
      </c>
      <c r="DE490" s="380">
        <v>0</v>
      </c>
      <c r="DF490" s="380">
        <v>0</v>
      </c>
      <c r="DG490" s="380">
        <v>0</v>
      </c>
      <c r="DH490" s="380">
        <v>0</v>
      </c>
      <c r="DI490" s="380">
        <v>0</v>
      </c>
      <c r="DJ490" s="380">
        <v>0</v>
      </c>
      <c r="DK490" s="702">
        <f t="shared" si="432"/>
        <v>314</v>
      </c>
      <c r="DL490" s="311">
        <f t="shared" si="397"/>
        <v>0.16499999999999998</v>
      </c>
      <c r="DM490" s="310">
        <f t="shared" si="398"/>
        <v>270.68965517241378</v>
      </c>
      <c r="DN490" s="356">
        <f t="shared" si="399"/>
        <v>100</v>
      </c>
      <c r="DO490" s="308">
        <f t="shared" si="400"/>
        <v>0.16500000000000001</v>
      </c>
      <c r="DP490" s="359">
        <f t="shared" si="418"/>
        <v>0.16500000000000001</v>
      </c>
      <c r="DQ490" s="306">
        <f t="shared" si="401"/>
        <v>0.16500000000000001</v>
      </c>
      <c r="DR490" s="379">
        <f t="shared" si="402"/>
        <v>1</v>
      </c>
      <c r="DS490" s="378">
        <f t="shared" si="403"/>
        <v>0</v>
      </c>
      <c r="DT490" s="173">
        <v>619</v>
      </c>
      <c r="DU490" s="174" t="s">
        <v>272</v>
      </c>
      <c r="DV490" s="173"/>
      <c r="DW490" s="174" t="s">
        <v>84</v>
      </c>
      <c r="DX490" s="173"/>
      <c r="DY490" s="173"/>
      <c r="DZ490" s="173"/>
      <c r="EA490" s="665"/>
      <c r="EB490" s="1254" t="s">
        <v>3144</v>
      </c>
      <c r="EC490" s="537">
        <v>68000000</v>
      </c>
      <c r="EE490" s="734">
        <v>25000</v>
      </c>
      <c r="EF490" s="706"/>
    </row>
    <row r="491" spans="4:136" s="302" customFormat="1" ht="267.75" hidden="1">
      <c r="D491" s="520">
        <v>488</v>
      </c>
      <c r="E491" s="534">
        <v>559</v>
      </c>
      <c r="F491" s="479" t="s">
        <v>46</v>
      </c>
      <c r="G491" s="479" t="s">
        <v>12</v>
      </c>
      <c r="H491" s="479" t="s">
        <v>2679</v>
      </c>
      <c r="I491" s="435" t="s">
        <v>1156</v>
      </c>
      <c r="J491" s="335" t="s">
        <v>1159</v>
      </c>
      <c r="K491" s="335" t="s">
        <v>1160</v>
      </c>
      <c r="L491" s="358" t="s">
        <v>1415</v>
      </c>
      <c r="M491" s="334" t="s">
        <v>1771</v>
      </c>
      <c r="N491" s="334">
        <v>0</v>
      </c>
      <c r="O491" s="333">
        <f t="shared" si="419"/>
        <v>60</v>
      </c>
      <c r="P491" s="332">
        <v>60</v>
      </c>
      <c r="Q491" s="390">
        <v>0.25</v>
      </c>
      <c r="R491" s="342">
        <f t="shared" si="381"/>
        <v>6.25E-2</v>
      </c>
      <c r="S491" s="389">
        <v>15</v>
      </c>
      <c r="T491" s="402">
        <f t="shared" si="420"/>
        <v>0.25</v>
      </c>
      <c r="U491" s="670">
        <v>21</v>
      </c>
      <c r="V491" s="388">
        <f t="shared" si="421"/>
        <v>21</v>
      </c>
      <c r="W491" s="356">
        <f t="shared" si="422"/>
        <v>140</v>
      </c>
      <c r="X491" s="356">
        <f t="shared" si="382"/>
        <v>100</v>
      </c>
      <c r="Y491" s="356">
        <f t="shared" si="417"/>
        <v>6.25E-2</v>
      </c>
      <c r="Z491" s="356">
        <f t="shared" si="383"/>
        <v>100</v>
      </c>
      <c r="AA491" s="355">
        <v>934000000</v>
      </c>
      <c r="AB491" s="355">
        <v>934000000</v>
      </c>
      <c r="AC491" s="355">
        <v>0</v>
      </c>
      <c r="AD491" s="355">
        <v>0</v>
      </c>
      <c r="AE491" s="355">
        <v>0</v>
      </c>
      <c r="AF491" s="355">
        <v>0</v>
      </c>
      <c r="AG491" s="355">
        <v>0</v>
      </c>
      <c r="AH491" s="355">
        <v>0</v>
      </c>
      <c r="AI491" s="355">
        <v>932500000</v>
      </c>
      <c r="AJ491" s="355">
        <v>932500000</v>
      </c>
      <c r="AK491" s="355">
        <v>0</v>
      </c>
      <c r="AL491" s="355">
        <v>0</v>
      </c>
      <c r="AM491" s="355">
        <v>0</v>
      </c>
      <c r="AN491" s="355">
        <v>0</v>
      </c>
      <c r="AO491" s="355">
        <v>0</v>
      </c>
      <c r="AP491" s="355">
        <v>0</v>
      </c>
      <c r="AQ491" s="355">
        <v>0</v>
      </c>
      <c r="AR491" s="355">
        <v>0</v>
      </c>
      <c r="AS491" s="355">
        <v>0</v>
      </c>
      <c r="AT491" s="334">
        <f t="shared" si="384"/>
        <v>0.1875</v>
      </c>
      <c r="AU491" s="334">
        <v>45</v>
      </c>
      <c r="AV491" s="334">
        <f t="shared" si="423"/>
        <v>0.75</v>
      </c>
      <c r="AW491" s="677">
        <v>32</v>
      </c>
      <c r="AX491" s="366">
        <f t="shared" si="424"/>
        <v>32</v>
      </c>
      <c r="AY491" s="366">
        <f t="shared" si="425"/>
        <v>71.111111111111114</v>
      </c>
      <c r="AZ491" s="366">
        <f t="shared" si="385"/>
        <v>71.111111111111114</v>
      </c>
      <c r="BA491" s="354">
        <f t="shared" si="386"/>
        <v>0.13333333333333333</v>
      </c>
      <c r="BB491" s="354">
        <f t="shared" si="387"/>
        <v>71.111111111111114</v>
      </c>
      <c r="BC491" s="353">
        <v>2000000000</v>
      </c>
      <c r="BD491" s="353">
        <v>0</v>
      </c>
      <c r="BE491" s="353">
        <v>2000000000</v>
      </c>
      <c r="BF491" s="353">
        <v>0</v>
      </c>
      <c r="BG491" s="353">
        <v>0</v>
      </c>
      <c r="BH491" s="353">
        <v>0</v>
      </c>
      <c r="BI491" s="353">
        <v>0</v>
      </c>
      <c r="BJ491" s="353">
        <v>0</v>
      </c>
      <c r="BK491" s="386">
        <v>2266670201</v>
      </c>
      <c r="BL491" s="351">
        <v>2266670201</v>
      </c>
      <c r="BM491" s="351">
        <v>0</v>
      </c>
      <c r="BN491" s="351">
        <v>0</v>
      </c>
      <c r="BO491" s="351">
        <v>0</v>
      </c>
      <c r="BP491" s="351">
        <v>0</v>
      </c>
      <c r="BQ491" s="351">
        <v>0</v>
      </c>
      <c r="BR491" s="351">
        <v>0</v>
      </c>
      <c r="BS491" s="351">
        <v>0</v>
      </c>
      <c r="BT491" s="351">
        <v>294670000</v>
      </c>
      <c r="BU491" s="351" t="s">
        <v>1806</v>
      </c>
      <c r="BV491" s="350">
        <f t="shared" si="388"/>
        <v>0</v>
      </c>
      <c r="BW491" s="350">
        <v>0</v>
      </c>
      <c r="BX491" s="385">
        <f t="shared" si="426"/>
        <v>0</v>
      </c>
      <c r="BY491" s="369">
        <v>0</v>
      </c>
      <c r="BZ491" s="391">
        <v>0</v>
      </c>
      <c r="CA491" s="689">
        <v>21</v>
      </c>
      <c r="CB491" s="324">
        <f t="shared" si="427"/>
        <v>21</v>
      </c>
      <c r="CC491" s="324">
        <f t="shared" si="428"/>
        <v>0</v>
      </c>
      <c r="CD491" s="384">
        <f t="shared" si="389"/>
        <v>0</v>
      </c>
      <c r="CE491" s="383">
        <f t="shared" si="390"/>
        <v>0</v>
      </c>
      <c r="CF491" s="367">
        <f t="shared" si="391"/>
        <v>0</v>
      </c>
      <c r="CG491" s="383">
        <f t="shared" si="392"/>
        <v>0</v>
      </c>
      <c r="CH491" s="320">
        <f t="shared" si="393"/>
        <v>0</v>
      </c>
      <c r="CI491" s="319">
        <v>0</v>
      </c>
      <c r="CJ491" s="318">
        <f t="shared" si="429"/>
        <v>0</v>
      </c>
      <c r="CK491" s="1259">
        <v>0</v>
      </c>
      <c r="CL491" s="301">
        <f t="shared" si="380"/>
        <v>0</v>
      </c>
      <c r="CM491" s="381">
        <f t="shared" si="430"/>
        <v>0</v>
      </c>
      <c r="CN491" s="381">
        <f t="shared" si="431"/>
        <v>0</v>
      </c>
      <c r="CO491" s="316">
        <f t="shared" si="394"/>
        <v>0</v>
      </c>
      <c r="CP491" s="381">
        <f t="shared" si="395"/>
        <v>0</v>
      </c>
      <c r="CQ491" s="381">
        <f t="shared" si="396"/>
        <v>0</v>
      </c>
      <c r="CR491" s="313">
        <v>0</v>
      </c>
      <c r="CS491" s="313">
        <v>0</v>
      </c>
      <c r="CT491" s="313">
        <v>0</v>
      </c>
      <c r="CU491" s="313">
        <v>0</v>
      </c>
      <c r="CV491" s="313">
        <v>0</v>
      </c>
      <c r="CW491" s="313">
        <v>0</v>
      </c>
      <c r="CX491" s="313">
        <v>0</v>
      </c>
      <c r="CY491" s="313">
        <v>0</v>
      </c>
      <c r="CZ491" s="380">
        <v>0</v>
      </c>
      <c r="DA491" s="380">
        <v>0</v>
      </c>
      <c r="DB491" s="380">
        <v>0</v>
      </c>
      <c r="DC491" s="380">
        <v>0</v>
      </c>
      <c r="DD491" s="380">
        <v>0</v>
      </c>
      <c r="DE491" s="380">
        <v>0</v>
      </c>
      <c r="DF491" s="380">
        <v>0</v>
      </c>
      <c r="DG491" s="380">
        <v>0</v>
      </c>
      <c r="DH491" s="380">
        <v>0</v>
      </c>
      <c r="DI491" s="380">
        <v>0</v>
      </c>
      <c r="DJ491" s="380">
        <v>0</v>
      </c>
      <c r="DK491" s="702">
        <f t="shared" si="432"/>
        <v>74</v>
      </c>
      <c r="DL491" s="311">
        <f t="shared" si="397"/>
        <v>0.25</v>
      </c>
      <c r="DM491" s="310">
        <f t="shared" si="398"/>
        <v>123.33333333333333</v>
      </c>
      <c r="DN491" s="356">
        <f t="shared" si="399"/>
        <v>100</v>
      </c>
      <c r="DO491" s="308">
        <f t="shared" si="400"/>
        <v>0.25</v>
      </c>
      <c r="DP491" s="359">
        <f t="shared" si="418"/>
        <v>0.25</v>
      </c>
      <c r="DQ491" s="306">
        <f t="shared" si="401"/>
        <v>0.25</v>
      </c>
      <c r="DR491" s="379">
        <f t="shared" si="402"/>
        <v>1</v>
      </c>
      <c r="DS491" s="378">
        <f t="shared" si="403"/>
        <v>0</v>
      </c>
      <c r="DT491" s="173">
        <v>619</v>
      </c>
      <c r="DU491" s="174" t="s">
        <v>272</v>
      </c>
      <c r="DV491" s="173"/>
      <c r="DW491" s="174" t="s">
        <v>84</v>
      </c>
      <c r="DX491" s="173"/>
      <c r="DY491" s="173"/>
      <c r="DZ491" s="173"/>
      <c r="EA491" s="665"/>
      <c r="EB491" s="1254" t="s">
        <v>2602</v>
      </c>
      <c r="EC491" s="537">
        <v>36000000</v>
      </c>
      <c r="EE491" s="734">
        <v>10</v>
      </c>
      <c r="EF491" s="706"/>
    </row>
    <row r="492" spans="4:136" s="302" customFormat="1" ht="102" hidden="1">
      <c r="D492" s="520">
        <v>489</v>
      </c>
      <c r="E492" s="534">
        <v>560</v>
      </c>
      <c r="F492" s="479" t="s">
        <v>46</v>
      </c>
      <c r="G492" s="479" t="s">
        <v>12</v>
      </c>
      <c r="H492" s="479" t="s">
        <v>2679</v>
      </c>
      <c r="I492" s="435" t="s">
        <v>1156</v>
      </c>
      <c r="J492" s="335" t="s">
        <v>1161</v>
      </c>
      <c r="K492" s="335" t="s">
        <v>1162</v>
      </c>
      <c r="L492" s="358" t="s">
        <v>1804</v>
      </c>
      <c r="M492" s="334" t="s">
        <v>1771</v>
      </c>
      <c r="N492" s="334">
        <v>257</v>
      </c>
      <c r="O492" s="333">
        <f t="shared" si="419"/>
        <v>2257</v>
      </c>
      <c r="P492" s="332">
        <v>2000</v>
      </c>
      <c r="Q492" s="390">
        <v>0.25</v>
      </c>
      <c r="R492" s="342">
        <f t="shared" si="381"/>
        <v>2.5000000000000001E-2</v>
      </c>
      <c r="S492" s="389">
        <v>200</v>
      </c>
      <c r="T492" s="337">
        <f t="shared" si="420"/>
        <v>0.1</v>
      </c>
      <c r="U492" s="670">
        <v>1581</v>
      </c>
      <c r="V492" s="388">
        <f t="shared" si="421"/>
        <v>1581</v>
      </c>
      <c r="W492" s="356">
        <f t="shared" si="422"/>
        <v>790.5</v>
      </c>
      <c r="X492" s="356">
        <f t="shared" si="382"/>
        <v>100</v>
      </c>
      <c r="Y492" s="356">
        <f t="shared" si="417"/>
        <v>2.5000000000000001E-2</v>
      </c>
      <c r="Z492" s="356">
        <f t="shared" si="383"/>
        <v>100</v>
      </c>
      <c r="AA492" s="355">
        <v>1249000000</v>
      </c>
      <c r="AB492" s="355">
        <v>1249000000</v>
      </c>
      <c r="AC492" s="355">
        <v>0</v>
      </c>
      <c r="AD492" s="355">
        <v>0</v>
      </c>
      <c r="AE492" s="355">
        <v>0</v>
      </c>
      <c r="AF492" s="355">
        <v>0</v>
      </c>
      <c r="AG492" s="355">
        <v>0</v>
      </c>
      <c r="AH492" s="355">
        <v>0</v>
      </c>
      <c r="AI492" s="355">
        <v>166885000</v>
      </c>
      <c r="AJ492" s="355">
        <v>166885000</v>
      </c>
      <c r="AK492" s="355">
        <v>0</v>
      </c>
      <c r="AL492" s="355">
        <v>0</v>
      </c>
      <c r="AM492" s="355">
        <v>0</v>
      </c>
      <c r="AN492" s="355">
        <v>0</v>
      </c>
      <c r="AO492" s="355">
        <v>0</v>
      </c>
      <c r="AP492" s="355">
        <v>0</v>
      </c>
      <c r="AQ492" s="355">
        <v>0</v>
      </c>
      <c r="AR492" s="355">
        <v>0</v>
      </c>
      <c r="AS492" s="355">
        <v>0</v>
      </c>
      <c r="AT492" s="334">
        <f t="shared" si="384"/>
        <v>0.05</v>
      </c>
      <c r="AU492" s="334">
        <v>400</v>
      </c>
      <c r="AV492" s="334">
        <f t="shared" si="423"/>
        <v>0.2</v>
      </c>
      <c r="AW492" s="677">
        <v>1324</v>
      </c>
      <c r="AX492" s="366">
        <f t="shared" si="424"/>
        <v>1324</v>
      </c>
      <c r="AY492" s="366">
        <f t="shared" si="425"/>
        <v>331</v>
      </c>
      <c r="AZ492" s="366">
        <f t="shared" si="385"/>
        <v>100</v>
      </c>
      <c r="BA492" s="354">
        <f t="shared" si="386"/>
        <v>0.05</v>
      </c>
      <c r="BB492" s="354">
        <f t="shared" si="387"/>
        <v>100</v>
      </c>
      <c r="BC492" s="353">
        <v>191000000</v>
      </c>
      <c r="BD492" s="353">
        <v>0</v>
      </c>
      <c r="BE492" s="353">
        <v>191000000</v>
      </c>
      <c r="BF492" s="353">
        <v>0</v>
      </c>
      <c r="BG492" s="353">
        <v>0</v>
      </c>
      <c r="BH492" s="353">
        <v>0</v>
      </c>
      <c r="BI492" s="353">
        <v>0</v>
      </c>
      <c r="BJ492" s="353">
        <v>0</v>
      </c>
      <c r="BK492" s="386">
        <v>1648891558</v>
      </c>
      <c r="BL492" s="351">
        <v>1648891558</v>
      </c>
      <c r="BM492" s="351">
        <v>0</v>
      </c>
      <c r="BN492" s="351">
        <v>0</v>
      </c>
      <c r="BO492" s="351">
        <v>0</v>
      </c>
      <c r="BP492" s="351">
        <v>0</v>
      </c>
      <c r="BQ492" s="351">
        <v>0</v>
      </c>
      <c r="BR492" s="351">
        <v>0</v>
      </c>
      <c r="BS492" s="351">
        <v>0</v>
      </c>
      <c r="BT492" s="351">
        <v>131752000</v>
      </c>
      <c r="BU492" s="351" t="s">
        <v>1805</v>
      </c>
      <c r="BV492" s="350">
        <f t="shared" si="388"/>
        <v>9.375E-2</v>
      </c>
      <c r="BW492" s="350">
        <v>750</v>
      </c>
      <c r="BX492" s="385">
        <f t="shared" si="426"/>
        <v>0.375</v>
      </c>
      <c r="BY492" s="369">
        <v>413</v>
      </c>
      <c r="BZ492" s="391">
        <v>413</v>
      </c>
      <c r="CA492" s="689">
        <v>762</v>
      </c>
      <c r="CB492" s="324">
        <f t="shared" si="427"/>
        <v>762</v>
      </c>
      <c r="CC492" s="324">
        <f t="shared" si="428"/>
        <v>101.6</v>
      </c>
      <c r="CD492" s="384">
        <f t="shared" si="389"/>
        <v>100</v>
      </c>
      <c r="CE492" s="383">
        <f t="shared" si="390"/>
        <v>9.375E-2</v>
      </c>
      <c r="CF492" s="367">
        <f t="shared" si="391"/>
        <v>100</v>
      </c>
      <c r="CG492" s="383">
        <f t="shared" si="392"/>
        <v>9.5249999999999987E-2</v>
      </c>
      <c r="CH492" s="320">
        <f t="shared" si="393"/>
        <v>8.1250000000000003E-2</v>
      </c>
      <c r="CI492" s="319">
        <v>650</v>
      </c>
      <c r="CJ492" s="318">
        <f t="shared" si="429"/>
        <v>0.32500000000000001</v>
      </c>
      <c r="CK492" s="1259">
        <v>694</v>
      </c>
      <c r="CL492" s="301">
        <f t="shared" si="380"/>
        <v>-44</v>
      </c>
      <c r="CM492" s="381">
        <f t="shared" si="430"/>
        <v>694</v>
      </c>
      <c r="CN492" s="381">
        <f t="shared" si="431"/>
        <v>106.76923076923077</v>
      </c>
      <c r="CO492" s="316">
        <f t="shared" si="394"/>
        <v>100</v>
      </c>
      <c r="CP492" s="381">
        <f t="shared" si="395"/>
        <v>8.1250000000000003E-2</v>
      </c>
      <c r="CQ492" s="381">
        <f t="shared" si="396"/>
        <v>8.6750000000000008E-2</v>
      </c>
      <c r="CR492" s="313">
        <v>441000000</v>
      </c>
      <c r="CS492" s="313">
        <v>441000000</v>
      </c>
      <c r="CT492" s="313">
        <v>0</v>
      </c>
      <c r="CU492" s="313">
        <v>0</v>
      </c>
      <c r="CV492" s="313">
        <v>0</v>
      </c>
      <c r="CW492" s="313">
        <v>0</v>
      </c>
      <c r="CX492" s="313">
        <v>0</v>
      </c>
      <c r="CY492" s="313">
        <v>0</v>
      </c>
      <c r="CZ492" s="380">
        <v>0</v>
      </c>
      <c r="DA492" s="380">
        <v>0</v>
      </c>
      <c r="DB492" s="380">
        <v>0</v>
      </c>
      <c r="DC492" s="380">
        <v>0</v>
      </c>
      <c r="DD492" s="380">
        <v>0</v>
      </c>
      <c r="DE492" s="380">
        <v>0</v>
      </c>
      <c r="DF492" s="380">
        <v>0</v>
      </c>
      <c r="DG492" s="380">
        <v>0</v>
      </c>
      <c r="DH492" s="380">
        <v>0</v>
      </c>
      <c r="DI492" s="380">
        <v>0</v>
      </c>
      <c r="DJ492" s="380">
        <v>0</v>
      </c>
      <c r="DK492" s="702">
        <f t="shared" si="432"/>
        <v>4361</v>
      </c>
      <c r="DL492" s="311">
        <f t="shared" si="397"/>
        <v>0.25</v>
      </c>
      <c r="DM492" s="310">
        <f t="shared" si="398"/>
        <v>218.05</v>
      </c>
      <c r="DN492" s="356">
        <f t="shared" si="399"/>
        <v>100</v>
      </c>
      <c r="DO492" s="308">
        <f t="shared" si="400"/>
        <v>0.25</v>
      </c>
      <c r="DP492" s="359">
        <f t="shared" si="418"/>
        <v>0.25</v>
      </c>
      <c r="DQ492" s="306">
        <f t="shared" si="401"/>
        <v>0.25</v>
      </c>
      <c r="DR492" s="379">
        <f t="shared" si="402"/>
        <v>1</v>
      </c>
      <c r="DS492" s="378">
        <f t="shared" si="403"/>
        <v>0</v>
      </c>
      <c r="DT492" s="173">
        <v>619</v>
      </c>
      <c r="DU492" s="174" t="s">
        <v>272</v>
      </c>
      <c r="DV492" s="173"/>
      <c r="DW492" s="174" t="s">
        <v>84</v>
      </c>
      <c r="DX492" s="173"/>
      <c r="DY492" s="173"/>
      <c r="DZ492" s="173"/>
      <c r="EA492" s="665"/>
      <c r="EB492" s="1254" t="s">
        <v>3145</v>
      </c>
      <c r="EC492" s="537">
        <v>20000000</v>
      </c>
      <c r="EE492" s="734">
        <v>1</v>
      </c>
      <c r="EF492" s="706"/>
    </row>
    <row r="493" spans="4:136" s="302" customFormat="1" ht="102" hidden="1">
      <c r="D493" s="520">
        <v>490</v>
      </c>
      <c r="E493" s="534">
        <v>561</v>
      </c>
      <c r="F493" s="479" t="s">
        <v>46</v>
      </c>
      <c r="G493" s="479" t="s">
        <v>12</v>
      </c>
      <c r="H493" s="479" t="s">
        <v>2679</v>
      </c>
      <c r="I493" s="435" t="s">
        <v>1156</v>
      </c>
      <c r="J493" s="335" t="s">
        <v>1163</v>
      </c>
      <c r="K493" s="335" t="s">
        <v>1164</v>
      </c>
      <c r="L493" s="358" t="s">
        <v>1804</v>
      </c>
      <c r="M493" s="334" t="s">
        <v>1771</v>
      </c>
      <c r="N493" s="334">
        <v>0</v>
      </c>
      <c r="O493" s="333">
        <f t="shared" si="419"/>
        <v>2000</v>
      </c>
      <c r="P493" s="332">
        <v>2000</v>
      </c>
      <c r="Q493" s="390">
        <v>0.16500000000000001</v>
      </c>
      <c r="R493" s="342">
        <f t="shared" si="381"/>
        <v>8.2500000000000004E-3</v>
      </c>
      <c r="S493" s="389">
        <v>100</v>
      </c>
      <c r="T493" s="337">
        <f t="shared" si="420"/>
        <v>0.05</v>
      </c>
      <c r="U493" s="670">
        <v>1380</v>
      </c>
      <c r="V493" s="388">
        <f t="shared" si="421"/>
        <v>1380</v>
      </c>
      <c r="W493" s="356">
        <f t="shared" si="422"/>
        <v>1380</v>
      </c>
      <c r="X493" s="356">
        <f t="shared" si="382"/>
        <v>100</v>
      </c>
      <c r="Y493" s="356">
        <f t="shared" si="417"/>
        <v>8.2500000000000004E-3</v>
      </c>
      <c r="Z493" s="356">
        <f t="shared" si="383"/>
        <v>100</v>
      </c>
      <c r="AA493" s="355">
        <v>115000000</v>
      </c>
      <c r="AB493" s="355">
        <v>115000000</v>
      </c>
      <c r="AC493" s="355">
        <v>0</v>
      </c>
      <c r="AD493" s="355">
        <v>0</v>
      </c>
      <c r="AE493" s="355">
        <v>0</v>
      </c>
      <c r="AF493" s="355">
        <v>0</v>
      </c>
      <c r="AG493" s="355">
        <v>0</v>
      </c>
      <c r="AH493" s="355">
        <v>0</v>
      </c>
      <c r="AI493" s="355">
        <v>1046408000</v>
      </c>
      <c r="AJ493" s="355">
        <v>1046408000</v>
      </c>
      <c r="AK493" s="355">
        <v>0</v>
      </c>
      <c r="AL493" s="355">
        <v>0</v>
      </c>
      <c r="AM493" s="355">
        <v>0</v>
      </c>
      <c r="AN493" s="355">
        <v>0</v>
      </c>
      <c r="AO493" s="355">
        <v>0</v>
      </c>
      <c r="AP493" s="355">
        <v>0</v>
      </c>
      <c r="AQ493" s="355">
        <v>0</v>
      </c>
      <c r="AR493" s="355">
        <v>0</v>
      </c>
      <c r="AS493" s="355">
        <v>0</v>
      </c>
      <c r="AT493" s="334">
        <f t="shared" si="384"/>
        <v>7.425000000000001E-2</v>
      </c>
      <c r="AU493" s="334">
        <v>900</v>
      </c>
      <c r="AV493" s="334">
        <f t="shared" si="423"/>
        <v>0.45</v>
      </c>
      <c r="AW493" s="677">
        <v>1287</v>
      </c>
      <c r="AX493" s="366">
        <f t="shared" si="424"/>
        <v>1287</v>
      </c>
      <c r="AY493" s="366">
        <f t="shared" si="425"/>
        <v>143</v>
      </c>
      <c r="AZ493" s="366">
        <f t="shared" si="385"/>
        <v>100</v>
      </c>
      <c r="BA493" s="354">
        <f t="shared" si="386"/>
        <v>7.425000000000001E-2</v>
      </c>
      <c r="BB493" s="354">
        <f t="shared" si="387"/>
        <v>100</v>
      </c>
      <c r="BC493" s="353">
        <v>0</v>
      </c>
      <c r="BD493" s="353">
        <v>0</v>
      </c>
      <c r="BE493" s="353">
        <v>0</v>
      </c>
      <c r="BF493" s="353">
        <v>0</v>
      </c>
      <c r="BG493" s="353">
        <v>0</v>
      </c>
      <c r="BH493" s="353">
        <v>0</v>
      </c>
      <c r="BI493" s="353">
        <v>0</v>
      </c>
      <c r="BJ493" s="353">
        <v>0</v>
      </c>
      <c r="BK493" s="386">
        <v>106526040</v>
      </c>
      <c r="BL493" s="351">
        <v>106526040</v>
      </c>
      <c r="BM493" s="351">
        <v>0</v>
      </c>
      <c r="BN493" s="351">
        <v>0</v>
      </c>
      <c r="BO493" s="351">
        <v>0</v>
      </c>
      <c r="BP493" s="351">
        <v>0</v>
      </c>
      <c r="BQ493" s="351">
        <v>0</v>
      </c>
      <c r="BR493" s="351">
        <v>0</v>
      </c>
      <c r="BS493" s="351">
        <v>0</v>
      </c>
      <c r="BT493" s="351">
        <v>0</v>
      </c>
      <c r="BU493" s="351">
        <v>0</v>
      </c>
      <c r="BV493" s="350">
        <f t="shared" si="388"/>
        <v>6.6000000000000003E-2</v>
      </c>
      <c r="BW493" s="350">
        <v>800</v>
      </c>
      <c r="BX493" s="385">
        <f t="shared" si="426"/>
        <v>0.4</v>
      </c>
      <c r="BY493" s="369">
        <v>832</v>
      </c>
      <c r="BZ493" s="391">
        <v>832</v>
      </c>
      <c r="CA493" s="689">
        <v>1406</v>
      </c>
      <c r="CB493" s="324">
        <f t="shared" si="427"/>
        <v>1406</v>
      </c>
      <c r="CC493" s="324">
        <f t="shared" si="428"/>
        <v>175.75</v>
      </c>
      <c r="CD493" s="384">
        <f t="shared" si="389"/>
        <v>100</v>
      </c>
      <c r="CE493" s="383">
        <f t="shared" si="390"/>
        <v>6.6000000000000003E-2</v>
      </c>
      <c r="CF493" s="367">
        <f t="shared" si="391"/>
        <v>100</v>
      </c>
      <c r="CG493" s="383">
        <f t="shared" si="392"/>
        <v>0.11599500000000001</v>
      </c>
      <c r="CH493" s="320">
        <f t="shared" si="393"/>
        <v>1.6500000000000001E-2</v>
      </c>
      <c r="CI493" s="319">
        <v>200</v>
      </c>
      <c r="CJ493" s="318">
        <f t="shared" si="429"/>
        <v>0.1</v>
      </c>
      <c r="CK493" s="1259">
        <v>458</v>
      </c>
      <c r="CL493" s="301">
        <f t="shared" si="380"/>
        <v>-258</v>
      </c>
      <c r="CM493" s="381">
        <f t="shared" si="430"/>
        <v>458</v>
      </c>
      <c r="CN493" s="381">
        <f t="shared" si="431"/>
        <v>229</v>
      </c>
      <c r="CO493" s="316">
        <f t="shared" si="394"/>
        <v>100</v>
      </c>
      <c r="CP493" s="381">
        <f t="shared" si="395"/>
        <v>1.6500000000000001E-2</v>
      </c>
      <c r="CQ493" s="381">
        <f t="shared" si="396"/>
        <v>3.7784999999999999E-2</v>
      </c>
      <c r="CR493" s="313">
        <v>0</v>
      </c>
      <c r="CS493" s="313">
        <v>0</v>
      </c>
      <c r="CT493" s="313">
        <v>0</v>
      </c>
      <c r="CU493" s="313">
        <v>0</v>
      </c>
      <c r="CV493" s="313">
        <v>0</v>
      </c>
      <c r="CW493" s="313">
        <v>0</v>
      </c>
      <c r="CX493" s="313">
        <v>0</v>
      </c>
      <c r="CY493" s="313">
        <v>0</v>
      </c>
      <c r="CZ493" s="380">
        <v>0</v>
      </c>
      <c r="DA493" s="380">
        <v>0</v>
      </c>
      <c r="DB493" s="380">
        <v>0</v>
      </c>
      <c r="DC493" s="380">
        <v>0</v>
      </c>
      <c r="DD493" s="380">
        <v>0</v>
      </c>
      <c r="DE493" s="380">
        <v>0</v>
      </c>
      <c r="DF493" s="380">
        <v>0</v>
      </c>
      <c r="DG493" s="380">
        <v>0</v>
      </c>
      <c r="DH493" s="380">
        <v>0</v>
      </c>
      <c r="DI493" s="380">
        <v>0</v>
      </c>
      <c r="DJ493" s="380">
        <v>0</v>
      </c>
      <c r="DK493" s="702">
        <f t="shared" si="432"/>
        <v>4531</v>
      </c>
      <c r="DL493" s="311">
        <f t="shared" si="397"/>
        <v>0.16500000000000004</v>
      </c>
      <c r="DM493" s="310">
        <f t="shared" si="398"/>
        <v>226.55</v>
      </c>
      <c r="DN493" s="356">
        <f t="shared" si="399"/>
        <v>100</v>
      </c>
      <c r="DO493" s="308">
        <f t="shared" si="400"/>
        <v>0.16500000000000001</v>
      </c>
      <c r="DP493" s="359">
        <f t="shared" si="418"/>
        <v>0.16500000000000001</v>
      </c>
      <c r="DQ493" s="306">
        <f t="shared" si="401"/>
        <v>0.16500000000000001</v>
      </c>
      <c r="DR493" s="379">
        <f t="shared" si="402"/>
        <v>1</v>
      </c>
      <c r="DS493" s="378">
        <f t="shared" si="403"/>
        <v>0</v>
      </c>
      <c r="DT493" s="173">
        <v>619</v>
      </c>
      <c r="DU493" s="174" t="s">
        <v>272</v>
      </c>
      <c r="DV493" s="173"/>
      <c r="DW493" s="174" t="s">
        <v>84</v>
      </c>
      <c r="DX493" s="173"/>
      <c r="DY493" s="173"/>
      <c r="DZ493" s="173"/>
      <c r="EA493" s="665"/>
      <c r="EB493" s="1254" t="s">
        <v>3146</v>
      </c>
      <c r="EC493" s="537">
        <v>40000000</v>
      </c>
      <c r="EE493" s="734">
        <v>5</v>
      </c>
      <c r="EF493" s="706"/>
    </row>
    <row r="494" spans="4:136" s="302" customFormat="1" ht="96" hidden="1">
      <c r="D494" s="520">
        <v>491</v>
      </c>
      <c r="E494" s="534">
        <v>562</v>
      </c>
      <c r="F494" s="479" t="s">
        <v>46</v>
      </c>
      <c r="G494" s="479" t="s">
        <v>12</v>
      </c>
      <c r="H494" s="479" t="s">
        <v>2679</v>
      </c>
      <c r="I494" s="435" t="s">
        <v>1156</v>
      </c>
      <c r="J494" s="335" t="s">
        <v>1165</v>
      </c>
      <c r="K494" s="335" t="s">
        <v>1166</v>
      </c>
      <c r="L494" s="358" t="s">
        <v>1803</v>
      </c>
      <c r="M494" s="334" t="s">
        <v>1771</v>
      </c>
      <c r="N494" s="334">
        <v>0</v>
      </c>
      <c r="O494" s="333">
        <f t="shared" si="419"/>
        <v>3</v>
      </c>
      <c r="P494" s="332">
        <v>3</v>
      </c>
      <c r="Q494" s="390">
        <v>0.16500000000000001</v>
      </c>
      <c r="R494" s="342">
        <f t="shared" si="381"/>
        <v>0</v>
      </c>
      <c r="S494" s="389">
        <v>0</v>
      </c>
      <c r="T494" s="337">
        <f t="shared" si="420"/>
        <v>0</v>
      </c>
      <c r="U494" s="670">
        <v>0</v>
      </c>
      <c r="V494" s="388">
        <f t="shared" si="421"/>
        <v>0</v>
      </c>
      <c r="W494" s="356">
        <f t="shared" si="422"/>
        <v>0</v>
      </c>
      <c r="X494" s="356">
        <f t="shared" si="382"/>
        <v>0</v>
      </c>
      <c r="Y494" s="356">
        <f t="shared" si="417"/>
        <v>0</v>
      </c>
      <c r="Z494" s="356">
        <f t="shared" si="383"/>
        <v>0</v>
      </c>
      <c r="AA494" s="355">
        <v>0</v>
      </c>
      <c r="AB494" s="355">
        <v>0</v>
      </c>
      <c r="AC494" s="355">
        <v>0</v>
      </c>
      <c r="AD494" s="355">
        <v>0</v>
      </c>
      <c r="AE494" s="355">
        <v>0</v>
      </c>
      <c r="AF494" s="355">
        <v>0</v>
      </c>
      <c r="AG494" s="355">
        <v>0</v>
      </c>
      <c r="AH494" s="355">
        <v>0</v>
      </c>
      <c r="AI494" s="355">
        <v>0</v>
      </c>
      <c r="AJ494" s="355">
        <v>0</v>
      </c>
      <c r="AK494" s="355">
        <v>0</v>
      </c>
      <c r="AL494" s="355">
        <v>0</v>
      </c>
      <c r="AM494" s="355">
        <v>0</v>
      </c>
      <c r="AN494" s="355">
        <v>0</v>
      </c>
      <c r="AO494" s="355">
        <v>0</v>
      </c>
      <c r="AP494" s="355">
        <v>0</v>
      </c>
      <c r="AQ494" s="355">
        <v>0</v>
      </c>
      <c r="AR494" s="355">
        <v>0</v>
      </c>
      <c r="AS494" s="355">
        <v>0</v>
      </c>
      <c r="AT494" s="334">
        <f t="shared" si="384"/>
        <v>0.11</v>
      </c>
      <c r="AU494" s="334">
        <v>2</v>
      </c>
      <c r="AV494" s="334">
        <f t="shared" si="423"/>
        <v>0.66666666666666663</v>
      </c>
      <c r="AW494" s="677">
        <v>0</v>
      </c>
      <c r="AX494" s="366">
        <f t="shared" si="424"/>
        <v>0</v>
      </c>
      <c r="AY494" s="366">
        <f t="shared" si="425"/>
        <v>0</v>
      </c>
      <c r="AZ494" s="366">
        <f t="shared" si="385"/>
        <v>0</v>
      </c>
      <c r="BA494" s="354">
        <f t="shared" si="386"/>
        <v>0</v>
      </c>
      <c r="BB494" s="354">
        <f t="shared" si="387"/>
        <v>0</v>
      </c>
      <c r="BC494" s="353">
        <v>0</v>
      </c>
      <c r="BD494" s="353">
        <v>0</v>
      </c>
      <c r="BE494" s="353">
        <v>0</v>
      </c>
      <c r="BF494" s="353">
        <v>0</v>
      </c>
      <c r="BG494" s="353">
        <v>0</v>
      </c>
      <c r="BH494" s="353">
        <v>0</v>
      </c>
      <c r="BI494" s="353">
        <v>0</v>
      </c>
      <c r="BJ494" s="353">
        <v>0</v>
      </c>
      <c r="BK494" s="386">
        <v>0</v>
      </c>
      <c r="BL494" s="351">
        <v>0</v>
      </c>
      <c r="BM494" s="351">
        <v>0</v>
      </c>
      <c r="BN494" s="351">
        <v>0</v>
      </c>
      <c r="BO494" s="351">
        <v>0</v>
      </c>
      <c r="BP494" s="351">
        <v>0</v>
      </c>
      <c r="BQ494" s="351">
        <v>0</v>
      </c>
      <c r="BR494" s="351">
        <v>0</v>
      </c>
      <c r="BS494" s="351">
        <v>0</v>
      </c>
      <c r="BT494" s="351">
        <v>0</v>
      </c>
      <c r="BU494" s="351">
        <v>0</v>
      </c>
      <c r="BV494" s="350">
        <f t="shared" si="388"/>
        <v>5.5E-2</v>
      </c>
      <c r="BW494" s="350">
        <v>1</v>
      </c>
      <c r="BX494" s="385">
        <f t="shared" si="426"/>
        <v>0.33333333333333331</v>
      </c>
      <c r="BY494" s="369">
        <v>0</v>
      </c>
      <c r="BZ494" s="391">
        <v>0</v>
      </c>
      <c r="CA494" s="689">
        <v>0</v>
      </c>
      <c r="CB494" s="324">
        <f t="shared" si="427"/>
        <v>0</v>
      </c>
      <c r="CC494" s="324">
        <f t="shared" si="428"/>
        <v>0</v>
      </c>
      <c r="CD494" s="384">
        <f t="shared" si="389"/>
        <v>0</v>
      </c>
      <c r="CE494" s="383">
        <f t="shared" si="390"/>
        <v>0</v>
      </c>
      <c r="CF494" s="367">
        <f t="shared" si="391"/>
        <v>0</v>
      </c>
      <c r="CG494" s="383">
        <f t="shared" si="392"/>
        <v>0</v>
      </c>
      <c r="CH494" s="320">
        <f t="shared" si="393"/>
        <v>0</v>
      </c>
      <c r="CI494" s="319">
        <v>0</v>
      </c>
      <c r="CJ494" s="318">
        <f t="shared" si="429"/>
        <v>0</v>
      </c>
      <c r="CK494" s="1259">
        <v>0</v>
      </c>
      <c r="CL494" s="301">
        <f t="shared" si="380"/>
        <v>0</v>
      </c>
      <c r="CM494" s="381">
        <f t="shared" si="430"/>
        <v>0</v>
      </c>
      <c r="CN494" s="381">
        <f t="shared" si="431"/>
        <v>0</v>
      </c>
      <c r="CO494" s="316">
        <f t="shared" si="394"/>
        <v>0</v>
      </c>
      <c r="CP494" s="381">
        <f t="shared" si="395"/>
        <v>0</v>
      </c>
      <c r="CQ494" s="381">
        <f t="shared" si="396"/>
        <v>0</v>
      </c>
      <c r="CR494" s="313">
        <v>0</v>
      </c>
      <c r="CS494" s="313">
        <v>0</v>
      </c>
      <c r="CT494" s="313">
        <v>0</v>
      </c>
      <c r="CU494" s="313">
        <v>0</v>
      </c>
      <c r="CV494" s="313">
        <v>0</v>
      </c>
      <c r="CW494" s="313">
        <v>0</v>
      </c>
      <c r="CX494" s="313">
        <v>0</v>
      </c>
      <c r="CY494" s="313">
        <v>0</v>
      </c>
      <c r="CZ494" s="380">
        <v>0</v>
      </c>
      <c r="DA494" s="380">
        <v>0</v>
      </c>
      <c r="DB494" s="380">
        <v>0</v>
      </c>
      <c r="DC494" s="380">
        <v>0</v>
      </c>
      <c r="DD494" s="380">
        <v>0</v>
      </c>
      <c r="DE494" s="380">
        <v>0</v>
      </c>
      <c r="DF494" s="380">
        <v>0</v>
      </c>
      <c r="DG494" s="380">
        <v>0</v>
      </c>
      <c r="DH494" s="380">
        <v>0</v>
      </c>
      <c r="DI494" s="380">
        <v>0</v>
      </c>
      <c r="DJ494" s="380">
        <v>0</v>
      </c>
      <c r="DK494" s="702">
        <f t="shared" si="432"/>
        <v>0</v>
      </c>
      <c r="DL494" s="311">
        <f t="shared" si="397"/>
        <v>0.16500000000000001</v>
      </c>
      <c r="DM494" s="310">
        <f t="shared" si="398"/>
        <v>0</v>
      </c>
      <c r="DN494" s="356">
        <f t="shared" si="399"/>
        <v>0</v>
      </c>
      <c r="DO494" s="308">
        <f t="shared" si="400"/>
        <v>0</v>
      </c>
      <c r="DP494" s="359">
        <f t="shared" si="418"/>
        <v>0</v>
      </c>
      <c r="DQ494" s="306">
        <f t="shared" si="401"/>
        <v>0</v>
      </c>
      <c r="DR494" s="379">
        <f t="shared" si="402"/>
        <v>1</v>
      </c>
      <c r="DS494" s="378">
        <f t="shared" si="403"/>
        <v>6.9388939039072284E-18</v>
      </c>
      <c r="DT494" s="173">
        <v>619</v>
      </c>
      <c r="DU494" s="174" t="s">
        <v>272</v>
      </c>
      <c r="DV494" s="173"/>
      <c r="DW494" s="174" t="s">
        <v>84</v>
      </c>
      <c r="DX494" s="173"/>
      <c r="DY494" s="173"/>
      <c r="DZ494" s="173"/>
      <c r="EA494" s="665"/>
      <c r="EB494" s="1254" t="s">
        <v>3147</v>
      </c>
      <c r="EC494" s="537">
        <v>445000000</v>
      </c>
      <c r="EE494" s="734">
        <v>100</v>
      </c>
      <c r="EF494" s="706"/>
    </row>
    <row r="495" spans="4:136" s="302" customFormat="1" ht="96" hidden="1">
      <c r="D495" s="520">
        <v>492</v>
      </c>
      <c r="E495" s="534">
        <v>563</v>
      </c>
      <c r="F495" s="479" t="s">
        <v>46</v>
      </c>
      <c r="G495" s="479" t="s">
        <v>12</v>
      </c>
      <c r="H495" s="479" t="s">
        <v>2679</v>
      </c>
      <c r="I495" s="435" t="s">
        <v>1156</v>
      </c>
      <c r="J495" s="335" t="s">
        <v>1167</v>
      </c>
      <c r="K495" s="335" t="s">
        <v>1168</v>
      </c>
      <c r="L495" s="358" t="s">
        <v>1415</v>
      </c>
      <c r="M495" s="334" t="s">
        <v>1771</v>
      </c>
      <c r="N495" s="334">
        <v>0</v>
      </c>
      <c r="O495" s="333">
        <f t="shared" si="419"/>
        <v>40</v>
      </c>
      <c r="P495" s="332">
        <v>40</v>
      </c>
      <c r="Q495" s="390">
        <v>0.25</v>
      </c>
      <c r="R495" s="342">
        <f t="shared" si="381"/>
        <v>2.5000000000000001E-2</v>
      </c>
      <c r="S495" s="389">
        <v>4</v>
      </c>
      <c r="T495" s="337">
        <f t="shared" si="420"/>
        <v>0.1</v>
      </c>
      <c r="U495" s="670">
        <v>2</v>
      </c>
      <c r="V495" s="388">
        <f t="shared" si="421"/>
        <v>2</v>
      </c>
      <c r="W495" s="356">
        <f t="shared" si="422"/>
        <v>50</v>
      </c>
      <c r="X495" s="356">
        <f t="shared" si="382"/>
        <v>50</v>
      </c>
      <c r="Y495" s="356">
        <f t="shared" si="417"/>
        <v>1.2500000000000001E-2</v>
      </c>
      <c r="Z495" s="356">
        <f t="shared" si="383"/>
        <v>50</v>
      </c>
      <c r="AA495" s="355">
        <v>0</v>
      </c>
      <c r="AB495" s="355">
        <v>0</v>
      </c>
      <c r="AC495" s="355">
        <v>0</v>
      </c>
      <c r="AD495" s="355">
        <v>0</v>
      </c>
      <c r="AE495" s="355">
        <v>0</v>
      </c>
      <c r="AF495" s="355">
        <v>0</v>
      </c>
      <c r="AG495" s="355">
        <v>0</v>
      </c>
      <c r="AH495" s="355">
        <v>0</v>
      </c>
      <c r="AI495" s="355">
        <v>6000000</v>
      </c>
      <c r="AJ495" s="355">
        <v>6000000</v>
      </c>
      <c r="AK495" s="355">
        <v>0</v>
      </c>
      <c r="AL495" s="355">
        <v>0</v>
      </c>
      <c r="AM495" s="355">
        <v>0</v>
      </c>
      <c r="AN495" s="355">
        <v>0</v>
      </c>
      <c r="AO495" s="355">
        <v>0</v>
      </c>
      <c r="AP495" s="355">
        <v>0</v>
      </c>
      <c r="AQ495" s="355">
        <v>0</v>
      </c>
      <c r="AR495" s="355">
        <v>0</v>
      </c>
      <c r="AS495" s="355">
        <v>0</v>
      </c>
      <c r="AT495" s="334">
        <f t="shared" si="384"/>
        <v>0.13125000000000001</v>
      </c>
      <c r="AU495" s="334">
        <v>21</v>
      </c>
      <c r="AV495" s="334">
        <f t="shared" si="423"/>
        <v>0.52500000000000002</v>
      </c>
      <c r="AW495" s="677">
        <v>16</v>
      </c>
      <c r="AX495" s="366">
        <f t="shared" si="424"/>
        <v>16</v>
      </c>
      <c r="AY495" s="366">
        <f t="shared" si="425"/>
        <v>76.19047619047619</v>
      </c>
      <c r="AZ495" s="366">
        <f t="shared" si="385"/>
        <v>76.19047619047619</v>
      </c>
      <c r="BA495" s="354">
        <f t="shared" si="386"/>
        <v>0.1</v>
      </c>
      <c r="BB495" s="354">
        <f t="shared" si="387"/>
        <v>76.19047619047619</v>
      </c>
      <c r="BC495" s="353">
        <v>0</v>
      </c>
      <c r="BD495" s="353">
        <v>0</v>
      </c>
      <c r="BE495" s="353">
        <v>0</v>
      </c>
      <c r="BF495" s="353">
        <v>0</v>
      </c>
      <c r="BG495" s="353">
        <v>0</v>
      </c>
      <c r="BH495" s="353">
        <v>0</v>
      </c>
      <c r="BI495" s="353">
        <v>0</v>
      </c>
      <c r="BJ495" s="353">
        <v>0</v>
      </c>
      <c r="BK495" s="386">
        <v>35000000</v>
      </c>
      <c r="BL495" s="351">
        <v>35000000</v>
      </c>
      <c r="BM495" s="351">
        <v>0</v>
      </c>
      <c r="BN495" s="351">
        <v>0</v>
      </c>
      <c r="BO495" s="351">
        <v>0</v>
      </c>
      <c r="BP495" s="351">
        <v>0</v>
      </c>
      <c r="BQ495" s="351">
        <v>0</v>
      </c>
      <c r="BR495" s="351">
        <v>0</v>
      </c>
      <c r="BS495" s="351">
        <v>0</v>
      </c>
      <c r="BT495" s="351">
        <v>0</v>
      </c>
      <c r="BU495" s="351">
        <v>0</v>
      </c>
      <c r="BV495" s="350">
        <f t="shared" si="388"/>
        <v>9.375E-2</v>
      </c>
      <c r="BW495" s="350">
        <v>15</v>
      </c>
      <c r="BX495" s="385">
        <f t="shared" si="426"/>
        <v>0.375</v>
      </c>
      <c r="BY495" s="369">
        <v>0</v>
      </c>
      <c r="BZ495" s="391">
        <v>0</v>
      </c>
      <c r="CA495" s="689">
        <v>3</v>
      </c>
      <c r="CB495" s="324">
        <f t="shared" si="427"/>
        <v>3</v>
      </c>
      <c r="CC495" s="324">
        <f t="shared" si="428"/>
        <v>20</v>
      </c>
      <c r="CD495" s="384">
        <f t="shared" si="389"/>
        <v>20</v>
      </c>
      <c r="CE495" s="383">
        <f t="shared" si="390"/>
        <v>1.8749999999999999E-2</v>
      </c>
      <c r="CF495" s="367">
        <f t="shared" si="391"/>
        <v>20</v>
      </c>
      <c r="CG495" s="383">
        <f t="shared" si="392"/>
        <v>1.8749999999999999E-2</v>
      </c>
      <c r="CH495" s="320">
        <f t="shared" si="393"/>
        <v>0</v>
      </c>
      <c r="CI495" s="319">
        <v>0</v>
      </c>
      <c r="CJ495" s="318">
        <f t="shared" si="429"/>
        <v>0</v>
      </c>
      <c r="CK495" s="1259">
        <v>40</v>
      </c>
      <c r="CL495" s="301">
        <f t="shared" si="380"/>
        <v>-40</v>
      </c>
      <c r="CM495" s="381">
        <f t="shared" si="430"/>
        <v>40</v>
      </c>
      <c r="CN495" s="381">
        <f t="shared" si="431"/>
        <v>0</v>
      </c>
      <c r="CO495" s="316">
        <f t="shared" si="394"/>
        <v>0</v>
      </c>
      <c r="CP495" s="381">
        <f t="shared" si="395"/>
        <v>0</v>
      </c>
      <c r="CQ495" s="381">
        <f t="shared" si="396"/>
        <v>0</v>
      </c>
      <c r="CR495" s="313">
        <v>0</v>
      </c>
      <c r="CS495" s="313">
        <v>0</v>
      </c>
      <c r="CT495" s="313">
        <v>0</v>
      </c>
      <c r="CU495" s="313">
        <v>0</v>
      </c>
      <c r="CV495" s="313">
        <v>0</v>
      </c>
      <c r="CW495" s="313">
        <v>0</v>
      </c>
      <c r="CX495" s="313">
        <v>0</v>
      </c>
      <c r="CY495" s="313">
        <v>0</v>
      </c>
      <c r="CZ495" s="380">
        <v>0</v>
      </c>
      <c r="DA495" s="380">
        <v>0</v>
      </c>
      <c r="DB495" s="380">
        <v>0</v>
      </c>
      <c r="DC495" s="380">
        <v>0</v>
      </c>
      <c r="DD495" s="380">
        <v>0</v>
      </c>
      <c r="DE495" s="380">
        <v>0</v>
      </c>
      <c r="DF495" s="380">
        <v>0</v>
      </c>
      <c r="DG495" s="380">
        <v>0</v>
      </c>
      <c r="DH495" s="380">
        <v>0</v>
      </c>
      <c r="DI495" s="380">
        <v>0</v>
      </c>
      <c r="DJ495" s="380">
        <v>0</v>
      </c>
      <c r="DK495" s="702">
        <f t="shared" si="432"/>
        <v>61</v>
      </c>
      <c r="DL495" s="311">
        <f t="shared" si="397"/>
        <v>0.25</v>
      </c>
      <c r="DM495" s="310">
        <f t="shared" si="398"/>
        <v>152.5</v>
      </c>
      <c r="DN495" s="356">
        <f t="shared" si="399"/>
        <v>100</v>
      </c>
      <c r="DO495" s="308">
        <f t="shared" si="400"/>
        <v>0.25</v>
      </c>
      <c r="DP495" s="359">
        <f t="shared" si="418"/>
        <v>0.25</v>
      </c>
      <c r="DQ495" s="306">
        <f t="shared" si="401"/>
        <v>0.25</v>
      </c>
      <c r="DR495" s="379">
        <f t="shared" si="402"/>
        <v>1</v>
      </c>
      <c r="DS495" s="378">
        <f t="shared" si="403"/>
        <v>0</v>
      </c>
      <c r="DT495" s="173">
        <v>619</v>
      </c>
      <c r="DU495" s="174" t="s">
        <v>272</v>
      </c>
      <c r="DV495" s="173"/>
      <c r="DW495" s="174" t="s">
        <v>84</v>
      </c>
      <c r="DX495" s="173"/>
      <c r="DY495" s="173"/>
      <c r="DZ495" s="173"/>
      <c r="EA495" s="665"/>
      <c r="EB495" s="1254" t="s">
        <v>3148</v>
      </c>
      <c r="EC495" s="537">
        <v>6000000</v>
      </c>
      <c r="EE495" s="734">
        <v>0</v>
      </c>
      <c r="EF495" s="706"/>
    </row>
    <row r="496" spans="4:136" s="302" customFormat="1" ht="60" hidden="1">
      <c r="D496" s="520">
        <v>493</v>
      </c>
      <c r="E496" s="534">
        <v>564</v>
      </c>
      <c r="F496" s="479" t="s">
        <v>46</v>
      </c>
      <c r="G496" s="479" t="s">
        <v>81</v>
      </c>
      <c r="H496" s="479" t="s">
        <v>2680</v>
      </c>
      <c r="I496" s="479" t="s">
        <v>1169</v>
      </c>
      <c r="J496" s="335" t="s">
        <v>1170</v>
      </c>
      <c r="K496" s="335" t="s">
        <v>1171</v>
      </c>
      <c r="L496" s="358" t="s">
        <v>1802</v>
      </c>
      <c r="M496" s="334" t="s">
        <v>1771</v>
      </c>
      <c r="N496" s="334">
        <v>0</v>
      </c>
      <c r="O496" s="333">
        <f t="shared" si="419"/>
        <v>1</v>
      </c>
      <c r="P496" s="332">
        <v>1</v>
      </c>
      <c r="Q496" s="390">
        <v>0.16500000000000001</v>
      </c>
      <c r="R496" s="342">
        <f t="shared" si="381"/>
        <v>1.6500000000000001E-2</v>
      </c>
      <c r="S496" s="389">
        <v>0.1</v>
      </c>
      <c r="T496" s="337">
        <f t="shared" si="420"/>
        <v>0.1</v>
      </c>
      <c r="U496" s="670">
        <v>0.1</v>
      </c>
      <c r="V496" s="388">
        <f t="shared" si="421"/>
        <v>0.1</v>
      </c>
      <c r="W496" s="356">
        <f t="shared" si="422"/>
        <v>100</v>
      </c>
      <c r="X496" s="356">
        <f t="shared" si="382"/>
        <v>100</v>
      </c>
      <c r="Y496" s="356">
        <f t="shared" si="417"/>
        <v>1.6500000000000001E-2</v>
      </c>
      <c r="Z496" s="356">
        <f t="shared" si="383"/>
        <v>100</v>
      </c>
      <c r="AA496" s="355">
        <v>54000000</v>
      </c>
      <c r="AB496" s="355">
        <v>54000000</v>
      </c>
      <c r="AC496" s="355">
        <v>0</v>
      </c>
      <c r="AD496" s="355">
        <v>0</v>
      </c>
      <c r="AE496" s="355">
        <v>0</v>
      </c>
      <c r="AF496" s="355">
        <v>0</v>
      </c>
      <c r="AG496" s="355">
        <v>0</v>
      </c>
      <c r="AH496" s="355">
        <v>0</v>
      </c>
      <c r="AI496" s="355">
        <v>0</v>
      </c>
      <c r="AJ496" s="355">
        <v>0</v>
      </c>
      <c r="AK496" s="355">
        <v>0</v>
      </c>
      <c r="AL496" s="355">
        <v>0</v>
      </c>
      <c r="AM496" s="355">
        <v>0</v>
      </c>
      <c r="AN496" s="355">
        <v>0</v>
      </c>
      <c r="AO496" s="355">
        <v>0</v>
      </c>
      <c r="AP496" s="355">
        <v>0</v>
      </c>
      <c r="AQ496" s="355">
        <v>0</v>
      </c>
      <c r="AR496" s="355">
        <v>0</v>
      </c>
      <c r="AS496" s="355">
        <v>0</v>
      </c>
      <c r="AT496" s="333">
        <f t="shared" si="384"/>
        <v>4.9500000000000002E-2</v>
      </c>
      <c r="AU496" s="334">
        <v>0.3</v>
      </c>
      <c r="AV496" s="387">
        <f t="shared" si="423"/>
        <v>0.3</v>
      </c>
      <c r="AW496" s="677">
        <v>0.3</v>
      </c>
      <c r="AX496" s="366">
        <f t="shared" si="424"/>
        <v>0.3</v>
      </c>
      <c r="AY496" s="366">
        <f t="shared" si="425"/>
        <v>100</v>
      </c>
      <c r="AZ496" s="366">
        <f t="shared" si="385"/>
        <v>100</v>
      </c>
      <c r="BA496" s="354">
        <f t="shared" si="386"/>
        <v>4.9500000000000002E-2</v>
      </c>
      <c r="BB496" s="354">
        <f t="shared" si="387"/>
        <v>100</v>
      </c>
      <c r="BC496" s="353">
        <v>217000000</v>
      </c>
      <c r="BD496" s="353">
        <v>0</v>
      </c>
      <c r="BE496" s="353">
        <v>217000000</v>
      </c>
      <c r="BF496" s="353">
        <v>0</v>
      </c>
      <c r="BG496" s="353">
        <v>0</v>
      </c>
      <c r="BH496" s="353">
        <v>0</v>
      </c>
      <c r="BI496" s="353">
        <v>0</v>
      </c>
      <c r="BJ496" s="353">
        <v>0</v>
      </c>
      <c r="BK496" s="386">
        <v>539103911</v>
      </c>
      <c r="BL496" s="351">
        <v>539103911</v>
      </c>
      <c r="BM496" s="351">
        <v>0</v>
      </c>
      <c r="BN496" s="351">
        <v>0</v>
      </c>
      <c r="BO496" s="351">
        <v>0</v>
      </c>
      <c r="BP496" s="351">
        <v>0</v>
      </c>
      <c r="BQ496" s="351">
        <v>0</v>
      </c>
      <c r="BR496" s="351">
        <v>0</v>
      </c>
      <c r="BS496" s="351">
        <v>0</v>
      </c>
      <c r="BT496" s="351">
        <v>0</v>
      </c>
      <c r="BU496" s="351">
        <v>0</v>
      </c>
      <c r="BV496" s="350">
        <f t="shared" si="388"/>
        <v>4.9500000000000002E-2</v>
      </c>
      <c r="BW496" s="350">
        <v>0.3</v>
      </c>
      <c r="BX496" s="385">
        <f t="shared" si="426"/>
        <v>0.3</v>
      </c>
      <c r="BY496" s="369">
        <v>0.3</v>
      </c>
      <c r="BZ496" s="391">
        <v>0.69999998807907104</v>
      </c>
      <c r="CA496" s="689">
        <v>0.3</v>
      </c>
      <c r="CB496" s="324">
        <f t="shared" si="427"/>
        <v>0.3</v>
      </c>
      <c r="CC496" s="324">
        <f t="shared" si="428"/>
        <v>100</v>
      </c>
      <c r="CD496" s="384">
        <f t="shared" si="389"/>
        <v>100</v>
      </c>
      <c r="CE496" s="383">
        <f t="shared" si="390"/>
        <v>4.9500000000000002E-2</v>
      </c>
      <c r="CF496" s="367">
        <f t="shared" si="391"/>
        <v>100</v>
      </c>
      <c r="CG496" s="383">
        <f t="shared" si="392"/>
        <v>4.9500000000000002E-2</v>
      </c>
      <c r="CH496" s="320">
        <f t="shared" si="393"/>
        <v>4.9500000000000002E-2</v>
      </c>
      <c r="CI496" s="396">
        <v>0.3</v>
      </c>
      <c r="CJ496" s="318">
        <f t="shared" si="429"/>
        <v>0.3</v>
      </c>
      <c r="CK496" s="1259">
        <v>0.3</v>
      </c>
      <c r="CL496" s="301">
        <f t="shared" si="380"/>
        <v>0</v>
      </c>
      <c r="CM496" s="381">
        <f t="shared" si="430"/>
        <v>0.3</v>
      </c>
      <c r="CN496" s="381">
        <f t="shared" si="431"/>
        <v>100</v>
      </c>
      <c r="CO496" s="316">
        <f t="shared" si="394"/>
        <v>100</v>
      </c>
      <c r="CP496" s="381">
        <f t="shared" si="395"/>
        <v>4.9500000000000002E-2</v>
      </c>
      <c r="CQ496" s="381">
        <f t="shared" si="396"/>
        <v>4.9500000000000002E-2</v>
      </c>
      <c r="CR496" s="313">
        <v>226000000</v>
      </c>
      <c r="CS496" s="313">
        <v>226000000</v>
      </c>
      <c r="CT496" s="313">
        <v>0</v>
      </c>
      <c r="CU496" s="313">
        <v>0</v>
      </c>
      <c r="CV496" s="313">
        <v>0</v>
      </c>
      <c r="CW496" s="313">
        <v>0</v>
      </c>
      <c r="CX496" s="313">
        <v>0</v>
      </c>
      <c r="CY496" s="313">
        <v>0</v>
      </c>
      <c r="CZ496" s="380">
        <v>0</v>
      </c>
      <c r="DA496" s="380">
        <v>0</v>
      </c>
      <c r="DB496" s="380">
        <v>0</v>
      </c>
      <c r="DC496" s="380">
        <v>0</v>
      </c>
      <c r="DD496" s="380">
        <v>0</v>
      </c>
      <c r="DE496" s="380">
        <v>0</v>
      </c>
      <c r="DF496" s="380">
        <v>0</v>
      </c>
      <c r="DG496" s="380">
        <v>0</v>
      </c>
      <c r="DH496" s="380">
        <v>0</v>
      </c>
      <c r="DI496" s="380">
        <v>0</v>
      </c>
      <c r="DJ496" s="380">
        <v>0</v>
      </c>
      <c r="DK496" s="702">
        <f t="shared" si="432"/>
        <v>1</v>
      </c>
      <c r="DL496" s="311">
        <f t="shared" si="397"/>
        <v>0.16500000000000001</v>
      </c>
      <c r="DM496" s="310">
        <f t="shared" si="398"/>
        <v>100</v>
      </c>
      <c r="DN496" s="356">
        <f t="shared" si="399"/>
        <v>100</v>
      </c>
      <c r="DO496" s="308">
        <f t="shared" si="400"/>
        <v>0.16500000000000001</v>
      </c>
      <c r="DP496" s="359">
        <f t="shared" si="418"/>
        <v>0.16500000000000001</v>
      </c>
      <c r="DQ496" s="306">
        <f t="shared" si="401"/>
        <v>0.16500000000000001</v>
      </c>
      <c r="DR496" s="379">
        <f t="shared" si="402"/>
        <v>1</v>
      </c>
      <c r="DS496" s="378">
        <f t="shared" si="403"/>
        <v>0</v>
      </c>
      <c r="DT496" s="173">
        <v>620</v>
      </c>
      <c r="DU496" s="174" t="s">
        <v>90</v>
      </c>
      <c r="DV496" s="173"/>
      <c r="DW496" s="174" t="s">
        <v>84</v>
      </c>
      <c r="DX496" s="173"/>
      <c r="DY496" s="173"/>
      <c r="DZ496" s="173"/>
      <c r="EA496" s="665"/>
      <c r="EB496" s="1254" t="s">
        <v>2473</v>
      </c>
      <c r="EC496" s="537">
        <v>12000000</v>
      </c>
      <c r="EE496" s="734">
        <v>1</v>
      </c>
      <c r="EF496" s="706"/>
    </row>
    <row r="497" spans="4:136" s="302" customFormat="1" ht="63.75" hidden="1">
      <c r="D497" s="520">
        <v>494</v>
      </c>
      <c r="E497" s="534">
        <v>565</v>
      </c>
      <c r="F497" s="479" t="s">
        <v>46</v>
      </c>
      <c r="G497" s="479" t="s">
        <v>81</v>
      </c>
      <c r="H497" s="479" t="s">
        <v>2680</v>
      </c>
      <c r="I497" s="479" t="s">
        <v>1169</v>
      </c>
      <c r="J497" s="335" t="s">
        <v>1172</v>
      </c>
      <c r="K497" s="335" t="s">
        <v>1173</v>
      </c>
      <c r="L497" s="358" t="s">
        <v>1801</v>
      </c>
      <c r="M497" s="334" t="s">
        <v>1771</v>
      </c>
      <c r="N497" s="334">
        <v>0</v>
      </c>
      <c r="O497" s="333">
        <f t="shared" si="419"/>
        <v>12</v>
      </c>
      <c r="P497" s="332">
        <v>12</v>
      </c>
      <c r="Q497" s="390">
        <v>0.16500000000000001</v>
      </c>
      <c r="R497" s="342">
        <f t="shared" si="381"/>
        <v>0</v>
      </c>
      <c r="S497" s="389">
        <v>0</v>
      </c>
      <c r="T497" s="337">
        <f t="shared" si="420"/>
        <v>0</v>
      </c>
      <c r="U497" s="670">
        <v>0</v>
      </c>
      <c r="V497" s="388">
        <f t="shared" si="421"/>
        <v>0</v>
      </c>
      <c r="W497" s="356">
        <f t="shared" si="422"/>
        <v>0</v>
      </c>
      <c r="X497" s="356">
        <f t="shared" si="382"/>
        <v>0</v>
      </c>
      <c r="Y497" s="356">
        <f t="shared" si="417"/>
        <v>0</v>
      </c>
      <c r="Z497" s="356">
        <f t="shared" si="383"/>
        <v>0</v>
      </c>
      <c r="AA497" s="355">
        <v>0</v>
      </c>
      <c r="AB497" s="355">
        <v>0</v>
      </c>
      <c r="AC497" s="355">
        <v>0</v>
      </c>
      <c r="AD497" s="355">
        <v>0</v>
      </c>
      <c r="AE497" s="355">
        <v>0</v>
      </c>
      <c r="AF497" s="355">
        <v>0</v>
      </c>
      <c r="AG497" s="355">
        <v>0</v>
      </c>
      <c r="AH497" s="355">
        <v>0</v>
      </c>
      <c r="AI497" s="355">
        <v>0</v>
      </c>
      <c r="AJ497" s="355">
        <v>0</v>
      </c>
      <c r="AK497" s="355">
        <v>0</v>
      </c>
      <c r="AL497" s="355">
        <v>0</v>
      </c>
      <c r="AM497" s="355">
        <v>0</v>
      </c>
      <c r="AN497" s="355">
        <v>0</v>
      </c>
      <c r="AO497" s="355">
        <v>0</v>
      </c>
      <c r="AP497" s="355">
        <v>0</v>
      </c>
      <c r="AQ497" s="355">
        <v>0</v>
      </c>
      <c r="AR497" s="355">
        <v>0</v>
      </c>
      <c r="AS497" s="355">
        <v>0</v>
      </c>
      <c r="AT497" s="333">
        <f t="shared" si="384"/>
        <v>6.8750000000000006E-2</v>
      </c>
      <c r="AU497" s="334">
        <v>5</v>
      </c>
      <c r="AV497" s="387">
        <f t="shared" si="423"/>
        <v>0.41666666666666669</v>
      </c>
      <c r="AW497" s="677">
        <v>5</v>
      </c>
      <c r="AX497" s="366">
        <f t="shared" si="424"/>
        <v>5</v>
      </c>
      <c r="AY497" s="366">
        <f t="shared" si="425"/>
        <v>100</v>
      </c>
      <c r="AZ497" s="366">
        <f t="shared" si="385"/>
        <v>100</v>
      </c>
      <c r="BA497" s="354">
        <f t="shared" si="386"/>
        <v>6.8750000000000006E-2</v>
      </c>
      <c r="BB497" s="354">
        <f t="shared" si="387"/>
        <v>100</v>
      </c>
      <c r="BC497" s="353">
        <v>75000000</v>
      </c>
      <c r="BD497" s="353">
        <v>0</v>
      </c>
      <c r="BE497" s="353">
        <v>75000000</v>
      </c>
      <c r="BF497" s="353">
        <v>0</v>
      </c>
      <c r="BG497" s="353">
        <v>0</v>
      </c>
      <c r="BH497" s="353">
        <v>0</v>
      </c>
      <c r="BI497" s="353">
        <v>0</v>
      </c>
      <c r="BJ497" s="353">
        <v>0</v>
      </c>
      <c r="BK497" s="386">
        <v>79005000</v>
      </c>
      <c r="BL497" s="351">
        <v>79005000</v>
      </c>
      <c r="BM497" s="351">
        <v>0</v>
      </c>
      <c r="BN497" s="351">
        <v>0</v>
      </c>
      <c r="BO497" s="351">
        <v>0</v>
      </c>
      <c r="BP497" s="351">
        <v>0</v>
      </c>
      <c r="BQ497" s="351">
        <v>0</v>
      </c>
      <c r="BR497" s="351">
        <v>0</v>
      </c>
      <c r="BS497" s="351">
        <v>0</v>
      </c>
      <c r="BT497" s="351">
        <v>0</v>
      </c>
      <c r="BU497" s="351">
        <v>0</v>
      </c>
      <c r="BV497" s="350">
        <f t="shared" si="388"/>
        <v>6.8750000000000006E-2</v>
      </c>
      <c r="BW497" s="350">
        <v>5</v>
      </c>
      <c r="BX497" s="385">
        <f t="shared" si="426"/>
        <v>0.41666666666666669</v>
      </c>
      <c r="BY497" s="369">
        <v>5</v>
      </c>
      <c r="BZ497" s="391">
        <v>10</v>
      </c>
      <c r="CA497" s="689">
        <v>10</v>
      </c>
      <c r="CB497" s="324">
        <f t="shared" si="427"/>
        <v>10</v>
      </c>
      <c r="CC497" s="324">
        <f t="shared" si="428"/>
        <v>200</v>
      </c>
      <c r="CD497" s="384">
        <f t="shared" si="389"/>
        <v>100</v>
      </c>
      <c r="CE497" s="383">
        <f t="shared" si="390"/>
        <v>6.8750000000000006E-2</v>
      </c>
      <c r="CF497" s="367">
        <f t="shared" si="391"/>
        <v>100</v>
      </c>
      <c r="CG497" s="383">
        <f t="shared" si="392"/>
        <v>0.13750000000000001</v>
      </c>
      <c r="CH497" s="320">
        <f t="shared" si="393"/>
        <v>2.75E-2</v>
      </c>
      <c r="CI497" s="319">
        <v>2</v>
      </c>
      <c r="CJ497" s="318">
        <f t="shared" si="429"/>
        <v>0.16666666666666666</v>
      </c>
      <c r="CK497" s="1259">
        <v>5</v>
      </c>
      <c r="CL497" s="301">
        <f t="shared" si="380"/>
        <v>-3</v>
      </c>
      <c r="CM497" s="381">
        <f t="shared" si="430"/>
        <v>5</v>
      </c>
      <c r="CN497" s="381">
        <f t="shared" si="431"/>
        <v>250</v>
      </c>
      <c r="CO497" s="316">
        <f t="shared" si="394"/>
        <v>100</v>
      </c>
      <c r="CP497" s="381">
        <f t="shared" si="395"/>
        <v>2.75E-2</v>
      </c>
      <c r="CQ497" s="381">
        <f t="shared" si="396"/>
        <v>6.8750000000000006E-2</v>
      </c>
      <c r="CR497" s="313">
        <v>60000000</v>
      </c>
      <c r="CS497" s="313">
        <v>60000000</v>
      </c>
      <c r="CT497" s="313">
        <v>0</v>
      </c>
      <c r="CU497" s="313">
        <v>0</v>
      </c>
      <c r="CV497" s="313">
        <v>0</v>
      </c>
      <c r="CW497" s="313">
        <v>0</v>
      </c>
      <c r="CX497" s="313">
        <v>0</v>
      </c>
      <c r="CY497" s="313">
        <v>0</v>
      </c>
      <c r="CZ497" s="380">
        <v>0</v>
      </c>
      <c r="DA497" s="380">
        <v>0</v>
      </c>
      <c r="DB497" s="380">
        <v>0</v>
      </c>
      <c r="DC497" s="380">
        <v>0</v>
      </c>
      <c r="DD497" s="380">
        <v>0</v>
      </c>
      <c r="DE497" s="380">
        <v>0</v>
      </c>
      <c r="DF497" s="380">
        <v>0</v>
      </c>
      <c r="DG497" s="380">
        <v>0</v>
      </c>
      <c r="DH497" s="380">
        <v>0</v>
      </c>
      <c r="DI497" s="380">
        <v>0</v>
      </c>
      <c r="DJ497" s="380">
        <v>0</v>
      </c>
      <c r="DK497" s="702">
        <f t="shared" si="432"/>
        <v>20</v>
      </c>
      <c r="DL497" s="311">
        <f t="shared" si="397"/>
        <v>0.16500000000000001</v>
      </c>
      <c r="DM497" s="310">
        <f t="shared" si="398"/>
        <v>166.66666666666666</v>
      </c>
      <c r="DN497" s="356">
        <f t="shared" si="399"/>
        <v>100</v>
      </c>
      <c r="DO497" s="308">
        <f t="shared" si="400"/>
        <v>0.16500000000000001</v>
      </c>
      <c r="DP497" s="359">
        <f t="shared" si="418"/>
        <v>0.16500000000000001</v>
      </c>
      <c r="DQ497" s="306">
        <f t="shared" si="401"/>
        <v>0.16500000000000001</v>
      </c>
      <c r="DR497" s="379">
        <f t="shared" si="402"/>
        <v>1</v>
      </c>
      <c r="DS497" s="378">
        <f t="shared" si="403"/>
        <v>0</v>
      </c>
      <c r="DT497" s="173">
        <v>620</v>
      </c>
      <c r="DU497" s="174" t="s">
        <v>90</v>
      </c>
      <c r="DV497" s="173"/>
      <c r="DW497" s="174" t="s">
        <v>84</v>
      </c>
      <c r="DX497" s="173"/>
      <c r="DY497" s="173"/>
      <c r="DZ497" s="173"/>
      <c r="EA497" s="665"/>
      <c r="EB497" s="1254" t="s">
        <v>2474</v>
      </c>
      <c r="EC497" s="537">
        <v>12000000</v>
      </c>
      <c r="EE497" s="734">
        <v>1</v>
      </c>
      <c r="EF497" s="706"/>
    </row>
    <row r="498" spans="4:136" s="302" customFormat="1" ht="76.5" hidden="1">
      <c r="D498" s="520">
        <v>495</v>
      </c>
      <c r="E498" s="534">
        <v>566</v>
      </c>
      <c r="F498" s="479" t="s">
        <v>46</v>
      </c>
      <c r="G498" s="479" t="s">
        <v>81</v>
      </c>
      <c r="H498" s="479" t="s">
        <v>2680</v>
      </c>
      <c r="I498" s="479" t="s">
        <v>1169</v>
      </c>
      <c r="J498" s="335" t="s">
        <v>1174</v>
      </c>
      <c r="K498" s="335" t="s">
        <v>1175</v>
      </c>
      <c r="L498" s="358" t="s">
        <v>1800</v>
      </c>
      <c r="M498" s="334" t="s">
        <v>1771</v>
      </c>
      <c r="N498" s="334">
        <v>0</v>
      </c>
      <c r="O498" s="333">
        <f t="shared" si="419"/>
        <v>24</v>
      </c>
      <c r="P498" s="332">
        <v>24</v>
      </c>
      <c r="Q498" s="390">
        <v>8.8999999999999996E-2</v>
      </c>
      <c r="R498" s="342">
        <f t="shared" si="381"/>
        <v>2.2249999999999999E-2</v>
      </c>
      <c r="S498" s="389">
        <v>6</v>
      </c>
      <c r="T498" s="337">
        <f t="shared" si="420"/>
        <v>0.25</v>
      </c>
      <c r="U498" s="670">
        <v>6</v>
      </c>
      <c r="V498" s="388">
        <f t="shared" si="421"/>
        <v>6</v>
      </c>
      <c r="W498" s="356">
        <f t="shared" si="422"/>
        <v>100</v>
      </c>
      <c r="X498" s="356">
        <f t="shared" si="382"/>
        <v>100</v>
      </c>
      <c r="Y498" s="356">
        <f t="shared" si="417"/>
        <v>2.2250000000000002E-2</v>
      </c>
      <c r="Z498" s="356">
        <f t="shared" si="383"/>
        <v>100</v>
      </c>
      <c r="AA498" s="355">
        <v>49000000</v>
      </c>
      <c r="AB498" s="355">
        <v>49000000</v>
      </c>
      <c r="AC498" s="355">
        <v>0</v>
      </c>
      <c r="AD498" s="355">
        <v>0</v>
      </c>
      <c r="AE498" s="355">
        <v>0</v>
      </c>
      <c r="AF498" s="355">
        <v>0</v>
      </c>
      <c r="AG498" s="355">
        <v>0</v>
      </c>
      <c r="AH498" s="355">
        <v>0</v>
      </c>
      <c r="AI498" s="355">
        <v>53000000</v>
      </c>
      <c r="AJ498" s="355">
        <v>53000000</v>
      </c>
      <c r="AK498" s="355">
        <v>0</v>
      </c>
      <c r="AL498" s="355">
        <v>0</v>
      </c>
      <c r="AM498" s="355">
        <v>0</v>
      </c>
      <c r="AN498" s="355">
        <v>0</v>
      </c>
      <c r="AO498" s="355">
        <v>0</v>
      </c>
      <c r="AP498" s="355">
        <v>0</v>
      </c>
      <c r="AQ498" s="355">
        <v>0</v>
      </c>
      <c r="AR498" s="355">
        <v>0</v>
      </c>
      <c r="AS498" s="355">
        <v>0</v>
      </c>
      <c r="AT498" s="333">
        <f t="shared" si="384"/>
        <v>2.2249999999999999E-2</v>
      </c>
      <c r="AU498" s="334">
        <v>6</v>
      </c>
      <c r="AV498" s="387">
        <f t="shared" si="423"/>
        <v>0.25</v>
      </c>
      <c r="AW498" s="677">
        <v>14</v>
      </c>
      <c r="AX498" s="366">
        <f t="shared" si="424"/>
        <v>14</v>
      </c>
      <c r="AY498" s="366">
        <f t="shared" si="425"/>
        <v>233.33333333333334</v>
      </c>
      <c r="AZ498" s="366">
        <f t="shared" si="385"/>
        <v>100</v>
      </c>
      <c r="BA498" s="354">
        <f t="shared" si="386"/>
        <v>2.2250000000000002E-2</v>
      </c>
      <c r="BB498" s="354">
        <f t="shared" si="387"/>
        <v>100</v>
      </c>
      <c r="BC498" s="353">
        <v>60000000</v>
      </c>
      <c r="BD498" s="353">
        <v>0</v>
      </c>
      <c r="BE498" s="353">
        <v>60000000</v>
      </c>
      <c r="BF498" s="353">
        <v>0</v>
      </c>
      <c r="BG498" s="353">
        <v>0</v>
      </c>
      <c r="BH498" s="353">
        <v>0</v>
      </c>
      <c r="BI498" s="353">
        <v>0</v>
      </c>
      <c r="BJ498" s="353">
        <v>0</v>
      </c>
      <c r="BK498" s="386">
        <v>0</v>
      </c>
      <c r="BL498" s="351">
        <v>0</v>
      </c>
      <c r="BM498" s="351">
        <v>0</v>
      </c>
      <c r="BN498" s="351">
        <v>0</v>
      </c>
      <c r="BO498" s="351">
        <v>0</v>
      </c>
      <c r="BP498" s="351">
        <v>0</v>
      </c>
      <c r="BQ498" s="351">
        <v>0</v>
      </c>
      <c r="BR498" s="351">
        <v>0</v>
      </c>
      <c r="BS498" s="351">
        <v>0</v>
      </c>
      <c r="BT498" s="351">
        <v>0</v>
      </c>
      <c r="BU498" s="351">
        <v>0</v>
      </c>
      <c r="BV498" s="350">
        <f t="shared" si="388"/>
        <v>2.2249999999999999E-2</v>
      </c>
      <c r="BW498" s="350">
        <v>6</v>
      </c>
      <c r="BX498" s="385">
        <f t="shared" si="426"/>
        <v>0.25</v>
      </c>
      <c r="BY498" s="369">
        <v>2</v>
      </c>
      <c r="BZ498" s="391">
        <v>22</v>
      </c>
      <c r="CA498" s="689">
        <v>22</v>
      </c>
      <c r="CB498" s="324">
        <f t="shared" si="427"/>
        <v>22</v>
      </c>
      <c r="CC498" s="324">
        <f t="shared" si="428"/>
        <v>366.66666666666669</v>
      </c>
      <c r="CD498" s="384">
        <f t="shared" si="389"/>
        <v>100</v>
      </c>
      <c r="CE498" s="383">
        <f t="shared" si="390"/>
        <v>2.2250000000000002E-2</v>
      </c>
      <c r="CF498" s="367">
        <f t="shared" si="391"/>
        <v>100</v>
      </c>
      <c r="CG498" s="383">
        <f t="shared" si="392"/>
        <v>8.1583333333333327E-2</v>
      </c>
      <c r="CH498" s="320">
        <f t="shared" si="393"/>
        <v>2.2249999999999999E-2</v>
      </c>
      <c r="CI498" s="319">
        <v>6</v>
      </c>
      <c r="CJ498" s="318">
        <f t="shared" si="429"/>
        <v>0.25</v>
      </c>
      <c r="CK498" s="1259">
        <v>7</v>
      </c>
      <c r="CL498" s="301">
        <f t="shared" si="380"/>
        <v>-1</v>
      </c>
      <c r="CM498" s="381">
        <f t="shared" si="430"/>
        <v>7</v>
      </c>
      <c r="CN498" s="381">
        <f t="shared" si="431"/>
        <v>116.66666666666667</v>
      </c>
      <c r="CO498" s="316">
        <f t="shared" si="394"/>
        <v>100</v>
      </c>
      <c r="CP498" s="381">
        <f t="shared" si="395"/>
        <v>2.2250000000000002E-2</v>
      </c>
      <c r="CQ498" s="381">
        <f t="shared" si="396"/>
        <v>2.5958333333333333E-2</v>
      </c>
      <c r="CR498" s="313">
        <v>120000000</v>
      </c>
      <c r="CS498" s="313">
        <v>120000000</v>
      </c>
      <c r="CT498" s="313">
        <v>0</v>
      </c>
      <c r="CU498" s="313">
        <v>0</v>
      </c>
      <c r="CV498" s="313">
        <v>0</v>
      </c>
      <c r="CW498" s="313">
        <v>0</v>
      </c>
      <c r="CX498" s="313">
        <v>0</v>
      </c>
      <c r="CY498" s="313">
        <v>0</v>
      </c>
      <c r="CZ498" s="380">
        <v>0</v>
      </c>
      <c r="DA498" s="380">
        <v>0</v>
      </c>
      <c r="DB498" s="380">
        <v>0</v>
      </c>
      <c r="DC498" s="380">
        <v>0</v>
      </c>
      <c r="DD498" s="380">
        <v>0</v>
      </c>
      <c r="DE498" s="380">
        <v>0</v>
      </c>
      <c r="DF498" s="380">
        <v>0</v>
      </c>
      <c r="DG498" s="380">
        <v>0</v>
      </c>
      <c r="DH498" s="380">
        <v>0</v>
      </c>
      <c r="DI498" s="380">
        <v>0</v>
      </c>
      <c r="DJ498" s="380">
        <v>0</v>
      </c>
      <c r="DK498" s="702">
        <f t="shared" si="432"/>
        <v>49</v>
      </c>
      <c r="DL498" s="311">
        <f t="shared" si="397"/>
        <v>8.8999999999999996E-2</v>
      </c>
      <c r="DM498" s="310">
        <f t="shared" si="398"/>
        <v>204.16666666666666</v>
      </c>
      <c r="DN498" s="356">
        <f t="shared" si="399"/>
        <v>100</v>
      </c>
      <c r="DO498" s="308">
        <f t="shared" si="400"/>
        <v>8.900000000000001E-2</v>
      </c>
      <c r="DP498" s="359">
        <f t="shared" si="418"/>
        <v>8.8999999999999996E-2</v>
      </c>
      <c r="DQ498" s="306">
        <f t="shared" si="401"/>
        <v>8.8999999999999996E-2</v>
      </c>
      <c r="DR498" s="379">
        <f t="shared" si="402"/>
        <v>1</v>
      </c>
      <c r="DS498" s="378">
        <f t="shared" si="403"/>
        <v>0</v>
      </c>
      <c r="DT498" s="173">
        <v>620</v>
      </c>
      <c r="DU498" s="174" t="s">
        <v>90</v>
      </c>
      <c r="DV498" s="173"/>
      <c r="DW498" s="174" t="s">
        <v>84</v>
      </c>
      <c r="DX498" s="173"/>
      <c r="DY498" s="173"/>
      <c r="DZ498" s="173"/>
      <c r="EA498" s="665"/>
      <c r="EB498" s="1254" t="s">
        <v>2603</v>
      </c>
      <c r="EC498" s="537">
        <v>0</v>
      </c>
      <c r="EE498" s="734">
        <v>100</v>
      </c>
      <c r="EF498" s="706"/>
    </row>
    <row r="499" spans="4:136" s="302" customFormat="1" ht="76.5" hidden="1">
      <c r="D499" s="520">
        <v>496</v>
      </c>
      <c r="E499" s="534">
        <v>567</v>
      </c>
      <c r="F499" s="479" t="s">
        <v>46</v>
      </c>
      <c r="G499" s="479" t="s">
        <v>81</v>
      </c>
      <c r="H499" s="479" t="s">
        <v>2680</v>
      </c>
      <c r="I499" s="479" t="s">
        <v>1169</v>
      </c>
      <c r="J499" s="335" t="s">
        <v>1176</v>
      </c>
      <c r="K499" s="335" t="s">
        <v>1177</v>
      </c>
      <c r="L499" s="358" t="s">
        <v>1501</v>
      </c>
      <c r="M499" s="334" t="s">
        <v>1771</v>
      </c>
      <c r="N499" s="334">
        <v>200</v>
      </c>
      <c r="O499" s="333">
        <f t="shared" si="419"/>
        <v>400</v>
      </c>
      <c r="P499" s="332">
        <v>200</v>
      </c>
      <c r="Q499" s="390">
        <v>0.16500000000000001</v>
      </c>
      <c r="R499" s="342">
        <f t="shared" si="381"/>
        <v>0</v>
      </c>
      <c r="S499" s="389">
        <v>0</v>
      </c>
      <c r="T499" s="337">
        <f t="shared" si="420"/>
        <v>0</v>
      </c>
      <c r="U499" s="670">
        <v>0</v>
      </c>
      <c r="V499" s="388">
        <f t="shared" si="421"/>
        <v>0</v>
      </c>
      <c r="W499" s="356">
        <f t="shared" si="422"/>
        <v>0</v>
      </c>
      <c r="X499" s="356">
        <f t="shared" si="382"/>
        <v>0</v>
      </c>
      <c r="Y499" s="356">
        <f t="shared" si="417"/>
        <v>0</v>
      </c>
      <c r="Z499" s="356">
        <f t="shared" si="383"/>
        <v>0</v>
      </c>
      <c r="AA499" s="355">
        <v>0</v>
      </c>
      <c r="AB499" s="355">
        <v>0</v>
      </c>
      <c r="AC499" s="355">
        <v>0</v>
      </c>
      <c r="AD499" s="355">
        <v>0</v>
      </c>
      <c r="AE499" s="355">
        <v>0</v>
      </c>
      <c r="AF499" s="355">
        <v>0</v>
      </c>
      <c r="AG499" s="355">
        <v>0</v>
      </c>
      <c r="AH499" s="355">
        <v>0</v>
      </c>
      <c r="AI499" s="355">
        <v>0</v>
      </c>
      <c r="AJ499" s="355">
        <v>0</v>
      </c>
      <c r="AK499" s="355">
        <v>0</v>
      </c>
      <c r="AL499" s="355">
        <v>0</v>
      </c>
      <c r="AM499" s="355">
        <v>0</v>
      </c>
      <c r="AN499" s="355">
        <v>0</v>
      </c>
      <c r="AO499" s="355">
        <v>0</v>
      </c>
      <c r="AP499" s="355">
        <v>0</v>
      </c>
      <c r="AQ499" s="355">
        <v>0</v>
      </c>
      <c r="AR499" s="355">
        <v>0</v>
      </c>
      <c r="AS499" s="355">
        <v>0</v>
      </c>
      <c r="AT499" s="333">
        <f t="shared" si="384"/>
        <v>4.9500000000000002E-2</v>
      </c>
      <c r="AU499" s="334">
        <v>60</v>
      </c>
      <c r="AV499" s="387">
        <f t="shared" si="423"/>
        <v>0.3</v>
      </c>
      <c r="AW499" s="677">
        <v>150</v>
      </c>
      <c r="AX499" s="366">
        <f t="shared" si="424"/>
        <v>150</v>
      </c>
      <c r="AY499" s="366">
        <f t="shared" si="425"/>
        <v>250</v>
      </c>
      <c r="AZ499" s="366">
        <f t="shared" si="385"/>
        <v>100</v>
      </c>
      <c r="BA499" s="354">
        <f t="shared" si="386"/>
        <v>4.9500000000000002E-2</v>
      </c>
      <c r="BB499" s="354">
        <f t="shared" si="387"/>
        <v>100</v>
      </c>
      <c r="BC499" s="353">
        <v>25000000</v>
      </c>
      <c r="BD499" s="353">
        <v>0</v>
      </c>
      <c r="BE499" s="353">
        <v>25000000</v>
      </c>
      <c r="BF499" s="353">
        <v>0</v>
      </c>
      <c r="BG499" s="353">
        <v>0</v>
      </c>
      <c r="BH499" s="353">
        <v>0</v>
      </c>
      <c r="BI499" s="353">
        <v>0</v>
      </c>
      <c r="BJ499" s="353">
        <v>0</v>
      </c>
      <c r="BK499" s="386">
        <v>141700000</v>
      </c>
      <c r="BL499" s="351">
        <v>141700000</v>
      </c>
      <c r="BM499" s="351">
        <v>0</v>
      </c>
      <c r="BN499" s="351">
        <v>0</v>
      </c>
      <c r="BO499" s="351">
        <v>0</v>
      </c>
      <c r="BP499" s="351">
        <v>0</v>
      </c>
      <c r="BQ499" s="351">
        <v>0</v>
      </c>
      <c r="BR499" s="351">
        <v>0</v>
      </c>
      <c r="BS499" s="351">
        <v>0</v>
      </c>
      <c r="BT499" s="351">
        <v>0</v>
      </c>
      <c r="BU499" s="351">
        <v>0</v>
      </c>
      <c r="BV499" s="350">
        <f t="shared" si="388"/>
        <v>5.7749999999999996E-2</v>
      </c>
      <c r="BW499" s="350">
        <v>70</v>
      </c>
      <c r="BX499" s="385">
        <f t="shared" si="426"/>
        <v>0.35</v>
      </c>
      <c r="BY499" s="369">
        <v>0</v>
      </c>
      <c r="BZ499" s="391">
        <v>150</v>
      </c>
      <c r="CA499" s="689">
        <v>210</v>
      </c>
      <c r="CB499" s="324">
        <f t="shared" si="427"/>
        <v>210</v>
      </c>
      <c r="CC499" s="324">
        <f t="shared" si="428"/>
        <v>300</v>
      </c>
      <c r="CD499" s="384">
        <f t="shared" si="389"/>
        <v>100</v>
      </c>
      <c r="CE499" s="383">
        <f t="shared" si="390"/>
        <v>5.7749999999999996E-2</v>
      </c>
      <c r="CF499" s="367">
        <f t="shared" si="391"/>
        <v>100</v>
      </c>
      <c r="CG499" s="383">
        <f t="shared" si="392"/>
        <v>0.17324999999999999</v>
      </c>
      <c r="CH499" s="320">
        <f t="shared" si="393"/>
        <v>5.7749999999999996E-2</v>
      </c>
      <c r="CI499" s="319">
        <v>70</v>
      </c>
      <c r="CJ499" s="318">
        <f t="shared" si="429"/>
        <v>0.35</v>
      </c>
      <c r="CK499" s="1259">
        <v>20</v>
      </c>
      <c r="CL499" s="301">
        <f t="shared" si="380"/>
        <v>50</v>
      </c>
      <c r="CM499" s="381">
        <f t="shared" si="430"/>
        <v>20</v>
      </c>
      <c r="CN499" s="381">
        <f t="shared" si="431"/>
        <v>28.571428571428573</v>
      </c>
      <c r="CO499" s="316">
        <f t="shared" si="394"/>
        <v>28.571428571428573</v>
      </c>
      <c r="CP499" s="381">
        <f t="shared" si="395"/>
        <v>1.6500000000000001E-2</v>
      </c>
      <c r="CQ499" s="381">
        <f t="shared" si="396"/>
        <v>1.6500000000000001E-2</v>
      </c>
      <c r="CR499" s="313">
        <v>60000000</v>
      </c>
      <c r="CS499" s="313">
        <v>60000000</v>
      </c>
      <c r="CT499" s="313">
        <v>0</v>
      </c>
      <c r="CU499" s="313">
        <v>0</v>
      </c>
      <c r="CV499" s="313">
        <v>0</v>
      </c>
      <c r="CW499" s="313">
        <v>0</v>
      </c>
      <c r="CX499" s="313">
        <v>0</v>
      </c>
      <c r="CY499" s="313">
        <v>0</v>
      </c>
      <c r="CZ499" s="380">
        <v>0</v>
      </c>
      <c r="DA499" s="380">
        <v>0</v>
      </c>
      <c r="DB499" s="380">
        <v>0</v>
      </c>
      <c r="DC499" s="380">
        <v>0</v>
      </c>
      <c r="DD499" s="380">
        <v>0</v>
      </c>
      <c r="DE499" s="380">
        <v>0</v>
      </c>
      <c r="DF499" s="380">
        <v>0</v>
      </c>
      <c r="DG499" s="380">
        <v>0</v>
      </c>
      <c r="DH499" s="380">
        <v>0</v>
      </c>
      <c r="DI499" s="380">
        <v>0</v>
      </c>
      <c r="DJ499" s="380">
        <v>0</v>
      </c>
      <c r="DK499" s="702">
        <f t="shared" si="432"/>
        <v>380</v>
      </c>
      <c r="DL499" s="311">
        <f t="shared" si="397"/>
        <v>0.16499999999999998</v>
      </c>
      <c r="DM499" s="310">
        <f t="shared" si="398"/>
        <v>190</v>
      </c>
      <c r="DN499" s="356">
        <f t="shared" si="399"/>
        <v>100</v>
      </c>
      <c r="DO499" s="308">
        <f t="shared" si="400"/>
        <v>0.16500000000000001</v>
      </c>
      <c r="DP499" s="359">
        <f t="shared" si="418"/>
        <v>0.16500000000000001</v>
      </c>
      <c r="DQ499" s="306">
        <f t="shared" si="401"/>
        <v>0.16500000000000001</v>
      </c>
      <c r="DR499" s="379">
        <f t="shared" si="402"/>
        <v>0.99999999999999989</v>
      </c>
      <c r="DS499" s="378">
        <f t="shared" si="403"/>
        <v>0</v>
      </c>
      <c r="DT499" s="173">
        <v>620</v>
      </c>
      <c r="DU499" s="174" t="s">
        <v>90</v>
      </c>
      <c r="DV499" s="173"/>
      <c r="DW499" s="174" t="s">
        <v>84</v>
      </c>
      <c r="DX499" s="173"/>
      <c r="DY499" s="173"/>
      <c r="DZ499" s="173"/>
      <c r="EA499" s="665"/>
      <c r="EB499" s="1254" t="s">
        <v>2475</v>
      </c>
      <c r="EC499" s="537">
        <v>0</v>
      </c>
      <c r="EE499" s="733">
        <v>15</v>
      </c>
      <c r="EF499" s="706"/>
    </row>
    <row r="500" spans="4:136" s="302" customFormat="1" ht="89.25" hidden="1">
      <c r="D500" s="520">
        <v>497</v>
      </c>
      <c r="E500" s="534">
        <v>568</v>
      </c>
      <c r="F500" s="479" t="s">
        <v>46</v>
      </c>
      <c r="G500" s="479" t="s">
        <v>30</v>
      </c>
      <c r="H500" s="479" t="s">
        <v>2681</v>
      </c>
      <c r="I500" s="479" t="s">
        <v>1178</v>
      </c>
      <c r="J500" s="335" t="s">
        <v>1179</v>
      </c>
      <c r="K500" s="335" t="s">
        <v>1180</v>
      </c>
      <c r="L500" s="358" t="s">
        <v>1415</v>
      </c>
      <c r="M500" s="334" t="s">
        <v>1771</v>
      </c>
      <c r="N500" s="334">
        <v>0</v>
      </c>
      <c r="O500" s="333">
        <f t="shared" si="419"/>
        <v>35</v>
      </c>
      <c r="P500" s="332">
        <v>35</v>
      </c>
      <c r="Q500" s="390">
        <v>0.33</v>
      </c>
      <c r="R500" s="342">
        <f t="shared" si="381"/>
        <v>9.4285714285714285E-3</v>
      </c>
      <c r="S500" s="389">
        <v>1</v>
      </c>
      <c r="T500" s="337">
        <f t="shared" si="420"/>
        <v>2.8571428571428571E-2</v>
      </c>
      <c r="U500" s="670">
        <v>3</v>
      </c>
      <c r="V500" s="388">
        <f t="shared" si="421"/>
        <v>3</v>
      </c>
      <c r="W500" s="356">
        <f t="shared" si="422"/>
        <v>300</v>
      </c>
      <c r="X500" s="356">
        <f t="shared" si="382"/>
        <v>100</v>
      </c>
      <c r="Y500" s="356">
        <f t="shared" si="417"/>
        <v>9.4285714285714285E-3</v>
      </c>
      <c r="Z500" s="356">
        <f t="shared" si="383"/>
        <v>100</v>
      </c>
      <c r="AA500" s="355">
        <v>550000000</v>
      </c>
      <c r="AB500" s="355">
        <v>550000000</v>
      </c>
      <c r="AC500" s="355">
        <v>0</v>
      </c>
      <c r="AD500" s="355">
        <v>0</v>
      </c>
      <c r="AE500" s="355">
        <v>0</v>
      </c>
      <c r="AF500" s="355">
        <v>0</v>
      </c>
      <c r="AG500" s="355">
        <v>0</v>
      </c>
      <c r="AH500" s="355">
        <v>0</v>
      </c>
      <c r="AI500" s="355">
        <v>550000000</v>
      </c>
      <c r="AJ500" s="355">
        <v>550000000</v>
      </c>
      <c r="AK500" s="355">
        <v>0</v>
      </c>
      <c r="AL500" s="355">
        <v>0</v>
      </c>
      <c r="AM500" s="355">
        <v>0</v>
      </c>
      <c r="AN500" s="355">
        <v>0</v>
      </c>
      <c r="AO500" s="355">
        <v>0</v>
      </c>
      <c r="AP500" s="355">
        <v>0</v>
      </c>
      <c r="AQ500" s="355">
        <v>0</v>
      </c>
      <c r="AR500" s="355">
        <v>100358000</v>
      </c>
      <c r="AS500" s="355" t="s">
        <v>1788</v>
      </c>
      <c r="AT500" s="333">
        <f t="shared" si="384"/>
        <v>3.7714285714285714E-2</v>
      </c>
      <c r="AU500" s="334">
        <v>4</v>
      </c>
      <c r="AV500" s="387">
        <f t="shared" si="423"/>
        <v>0.11428571428571428</v>
      </c>
      <c r="AW500" s="677">
        <v>0</v>
      </c>
      <c r="AX500" s="366">
        <f t="shared" si="424"/>
        <v>0</v>
      </c>
      <c r="AY500" s="366">
        <f t="shared" si="425"/>
        <v>0</v>
      </c>
      <c r="AZ500" s="366">
        <f t="shared" si="385"/>
        <v>0</v>
      </c>
      <c r="BA500" s="354">
        <f t="shared" si="386"/>
        <v>0</v>
      </c>
      <c r="BB500" s="354">
        <f t="shared" si="387"/>
        <v>0</v>
      </c>
      <c r="BC500" s="353">
        <v>2150000000</v>
      </c>
      <c r="BD500" s="353">
        <v>0</v>
      </c>
      <c r="BE500" s="353">
        <v>650000000</v>
      </c>
      <c r="BF500" s="353">
        <v>0</v>
      </c>
      <c r="BG500" s="353">
        <v>0</v>
      </c>
      <c r="BH500" s="353">
        <v>0</v>
      </c>
      <c r="BI500" s="353">
        <v>0</v>
      </c>
      <c r="BJ500" s="353">
        <v>1500000000</v>
      </c>
      <c r="BK500" s="386">
        <v>0</v>
      </c>
      <c r="BL500" s="351">
        <v>0</v>
      </c>
      <c r="BM500" s="351">
        <v>0</v>
      </c>
      <c r="BN500" s="351">
        <v>0</v>
      </c>
      <c r="BO500" s="351">
        <v>0</v>
      </c>
      <c r="BP500" s="351">
        <v>0</v>
      </c>
      <c r="BQ500" s="351">
        <v>0</v>
      </c>
      <c r="BR500" s="351">
        <v>0</v>
      </c>
      <c r="BS500" s="351">
        <v>0</v>
      </c>
      <c r="BT500" s="351">
        <v>0</v>
      </c>
      <c r="BU500" s="351">
        <v>0</v>
      </c>
      <c r="BV500" s="350">
        <f t="shared" si="388"/>
        <v>0.14142857142857143</v>
      </c>
      <c r="BW500" s="350">
        <v>15</v>
      </c>
      <c r="BX500" s="385">
        <f t="shared" si="426"/>
        <v>0.42857142857142855</v>
      </c>
      <c r="BY500" s="369">
        <v>0</v>
      </c>
      <c r="BZ500" s="391">
        <v>0</v>
      </c>
      <c r="CA500" s="689">
        <v>1</v>
      </c>
      <c r="CB500" s="324">
        <f t="shared" si="427"/>
        <v>1</v>
      </c>
      <c r="CC500" s="324">
        <f t="shared" si="428"/>
        <v>6.666666666666667</v>
      </c>
      <c r="CD500" s="384">
        <f t="shared" si="389"/>
        <v>6.666666666666667</v>
      </c>
      <c r="CE500" s="383">
        <f t="shared" si="390"/>
        <v>9.4285714285714303E-3</v>
      </c>
      <c r="CF500" s="367">
        <f t="shared" si="391"/>
        <v>6.666666666666667</v>
      </c>
      <c r="CG500" s="383">
        <f t="shared" si="392"/>
        <v>9.4285714285714303E-3</v>
      </c>
      <c r="CH500" s="320">
        <f t="shared" si="393"/>
        <v>0.14142857142857143</v>
      </c>
      <c r="CI500" s="319">
        <v>15</v>
      </c>
      <c r="CJ500" s="318">
        <f t="shared" si="429"/>
        <v>0.42857142857142855</v>
      </c>
      <c r="CK500" s="1259">
        <v>89</v>
      </c>
      <c r="CL500" s="301">
        <f t="shared" ref="CL500:CL541" si="433">+CI500-CK500</f>
        <v>-74</v>
      </c>
      <c r="CM500" s="381">
        <f t="shared" si="430"/>
        <v>89</v>
      </c>
      <c r="CN500" s="381">
        <f t="shared" si="431"/>
        <v>593.33333333333337</v>
      </c>
      <c r="CO500" s="316">
        <f t="shared" si="394"/>
        <v>100</v>
      </c>
      <c r="CP500" s="381">
        <f t="shared" si="395"/>
        <v>0.14142857142857143</v>
      </c>
      <c r="CQ500" s="381">
        <f t="shared" si="396"/>
        <v>0.8391428571428573</v>
      </c>
      <c r="CR500" s="313">
        <v>5250000000</v>
      </c>
      <c r="CS500" s="313">
        <v>1500000000</v>
      </c>
      <c r="CT500" s="313">
        <v>0</v>
      </c>
      <c r="CU500" s="313">
        <v>0</v>
      </c>
      <c r="CV500" s="313">
        <v>0</v>
      </c>
      <c r="CW500" s="313">
        <v>0</v>
      </c>
      <c r="CX500" s="313">
        <v>0</v>
      </c>
      <c r="CY500" s="313">
        <v>3750000000</v>
      </c>
      <c r="CZ500" s="380">
        <v>0</v>
      </c>
      <c r="DA500" s="380">
        <v>0</v>
      </c>
      <c r="DB500" s="380">
        <v>0</v>
      </c>
      <c r="DC500" s="380">
        <v>0</v>
      </c>
      <c r="DD500" s="380">
        <v>0</v>
      </c>
      <c r="DE500" s="380">
        <v>0</v>
      </c>
      <c r="DF500" s="380">
        <v>0</v>
      </c>
      <c r="DG500" s="380">
        <v>0</v>
      </c>
      <c r="DH500" s="380">
        <v>0</v>
      </c>
      <c r="DI500" s="380">
        <v>0</v>
      </c>
      <c r="DJ500" s="380">
        <v>0</v>
      </c>
      <c r="DK500" s="702">
        <f t="shared" si="432"/>
        <v>93</v>
      </c>
      <c r="DL500" s="311">
        <f t="shared" si="397"/>
        <v>0.32999999999999996</v>
      </c>
      <c r="DM500" s="310">
        <f t="shared" si="398"/>
        <v>265.71428571428572</v>
      </c>
      <c r="DN500" s="356">
        <f t="shared" si="399"/>
        <v>100</v>
      </c>
      <c r="DO500" s="308">
        <f t="shared" si="400"/>
        <v>0.33</v>
      </c>
      <c r="DP500" s="359">
        <f t="shared" si="418"/>
        <v>0.33</v>
      </c>
      <c r="DQ500" s="306">
        <f t="shared" si="401"/>
        <v>0.33</v>
      </c>
      <c r="DR500" s="379">
        <f t="shared" si="402"/>
        <v>1</v>
      </c>
      <c r="DS500" s="378">
        <f t="shared" si="403"/>
        <v>0</v>
      </c>
      <c r="DT500" s="173">
        <v>621</v>
      </c>
      <c r="DU500" s="174" t="s">
        <v>89</v>
      </c>
      <c r="DV500" s="173"/>
      <c r="DW500" s="174" t="s">
        <v>84</v>
      </c>
      <c r="DX500" s="173"/>
      <c r="DY500" s="173"/>
      <c r="DZ500" s="173"/>
      <c r="EA500" s="665"/>
      <c r="EB500" s="1254" t="s">
        <v>3165</v>
      </c>
      <c r="EC500" s="537">
        <v>2787000000</v>
      </c>
      <c r="EE500" s="733">
        <v>5</v>
      </c>
      <c r="EF500" s="706"/>
    </row>
    <row r="501" spans="4:136" s="302" customFormat="1" ht="51" hidden="1">
      <c r="D501" s="520">
        <v>498</v>
      </c>
      <c r="E501" s="534">
        <v>569</v>
      </c>
      <c r="F501" s="479" t="s">
        <v>46</v>
      </c>
      <c r="G501" s="479" t="s">
        <v>30</v>
      </c>
      <c r="H501" s="479" t="s">
        <v>2681</v>
      </c>
      <c r="I501" s="479" t="s">
        <v>1178</v>
      </c>
      <c r="J501" s="335" t="s">
        <v>1181</v>
      </c>
      <c r="K501" s="335" t="s">
        <v>1182</v>
      </c>
      <c r="L501" s="358" t="s">
        <v>1415</v>
      </c>
      <c r="M501" s="334" t="s">
        <v>1771</v>
      </c>
      <c r="N501" s="334">
        <v>0</v>
      </c>
      <c r="O501" s="333">
        <f t="shared" si="419"/>
        <v>82</v>
      </c>
      <c r="P501" s="332">
        <v>82</v>
      </c>
      <c r="Q501" s="390">
        <v>0.33</v>
      </c>
      <c r="R501" s="342">
        <f t="shared" si="381"/>
        <v>0</v>
      </c>
      <c r="S501" s="389">
        <v>0</v>
      </c>
      <c r="T501" s="337">
        <f t="shared" si="420"/>
        <v>0</v>
      </c>
      <c r="U501" s="670">
        <v>32</v>
      </c>
      <c r="V501" s="388">
        <f t="shared" si="421"/>
        <v>32</v>
      </c>
      <c r="W501" s="356">
        <f t="shared" si="422"/>
        <v>0</v>
      </c>
      <c r="X501" s="356">
        <f t="shared" si="382"/>
        <v>0</v>
      </c>
      <c r="Y501" s="356">
        <f t="shared" si="417"/>
        <v>0</v>
      </c>
      <c r="Z501" s="356">
        <f t="shared" si="383"/>
        <v>100</v>
      </c>
      <c r="AA501" s="355">
        <v>0</v>
      </c>
      <c r="AB501" s="355">
        <v>0</v>
      </c>
      <c r="AC501" s="355">
        <v>0</v>
      </c>
      <c r="AD501" s="355">
        <v>0</v>
      </c>
      <c r="AE501" s="355">
        <v>0</v>
      </c>
      <c r="AF501" s="355">
        <v>0</v>
      </c>
      <c r="AG501" s="355">
        <v>0</v>
      </c>
      <c r="AH501" s="355">
        <v>0</v>
      </c>
      <c r="AI501" s="355">
        <v>0</v>
      </c>
      <c r="AJ501" s="355">
        <v>0</v>
      </c>
      <c r="AK501" s="355">
        <v>0</v>
      </c>
      <c r="AL501" s="355">
        <v>0</v>
      </c>
      <c r="AM501" s="355">
        <v>0</v>
      </c>
      <c r="AN501" s="355">
        <v>0</v>
      </c>
      <c r="AO501" s="355">
        <v>0</v>
      </c>
      <c r="AP501" s="355">
        <v>0</v>
      </c>
      <c r="AQ501" s="355">
        <v>0</v>
      </c>
      <c r="AR501" s="355">
        <v>17671719000</v>
      </c>
      <c r="AS501" s="355" t="s">
        <v>1788</v>
      </c>
      <c r="AT501" s="333">
        <f t="shared" si="384"/>
        <v>0.22939024390243901</v>
      </c>
      <c r="AU501" s="334">
        <v>57</v>
      </c>
      <c r="AV501" s="387">
        <f t="shared" si="423"/>
        <v>0.69512195121951215</v>
      </c>
      <c r="AW501" s="677">
        <v>42</v>
      </c>
      <c r="AX501" s="366">
        <f t="shared" si="424"/>
        <v>42</v>
      </c>
      <c r="AY501" s="366">
        <f t="shared" si="425"/>
        <v>73.684210526315795</v>
      </c>
      <c r="AZ501" s="366">
        <f t="shared" si="385"/>
        <v>73.684210526315795</v>
      </c>
      <c r="BA501" s="354">
        <f t="shared" si="386"/>
        <v>0.16902439024390245</v>
      </c>
      <c r="BB501" s="354">
        <f t="shared" si="387"/>
        <v>73.684210526315795</v>
      </c>
      <c r="BC501" s="353">
        <v>0</v>
      </c>
      <c r="BD501" s="353">
        <v>0</v>
      </c>
      <c r="BE501" s="353">
        <v>0</v>
      </c>
      <c r="BF501" s="353">
        <v>0</v>
      </c>
      <c r="BG501" s="353">
        <v>0</v>
      </c>
      <c r="BH501" s="353">
        <v>0</v>
      </c>
      <c r="BI501" s="353">
        <v>0</v>
      </c>
      <c r="BJ501" s="353">
        <v>0</v>
      </c>
      <c r="BK501" s="386">
        <v>0</v>
      </c>
      <c r="BL501" s="351">
        <v>0</v>
      </c>
      <c r="BM501" s="351">
        <v>0</v>
      </c>
      <c r="BN501" s="351">
        <v>0</v>
      </c>
      <c r="BO501" s="351">
        <v>0</v>
      </c>
      <c r="BP501" s="351">
        <v>0</v>
      </c>
      <c r="BQ501" s="351">
        <v>0</v>
      </c>
      <c r="BR501" s="351">
        <v>0</v>
      </c>
      <c r="BS501" s="351">
        <v>0</v>
      </c>
      <c r="BT501" s="351">
        <v>0</v>
      </c>
      <c r="BU501" s="351">
        <v>0</v>
      </c>
      <c r="BV501" s="350">
        <f t="shared" si="388"/>
        <v>0.10060975609756098</v>
      </c>
      <c r="BW501" s="350">
        <v>25</v>
      </c>
      <c r="BX501" s="385">
        <f t="shared" si="426"/>
        <v>0.3048780487804878</v>
      </c>
      <c r="BY501" s="399">
        <v>42</v>
      </c>
      <c r="BZ501" s="398">
        <v>42</v>
      </c>
      <c r="CA501" s="690">
        <v>42</v>
      </c>
      <c r="CB501" s="324">
        <f t="shared" si="427"/>
        <v>42</v>
      </c>
      <c r="CC501" s="324">
        <f t="shared" si="428"/>
        <v>168</v>
      </c>
      <c r="CD501" s="384">
        <f t="shared" si="389"/>
        <v>100</v>
      </c>
      <c r="CE501" s="383">
        <f t="shared" si="390"/>
        <v>0.100609756097561</v>
      </c>
      <c r="CF501" s="367">
        <f t="shared" si="391"/>
        <v>100</v>
      </c>
      <c r="CG501" s="383">
        <f t="shared" si="392"/>
        <v>0.16902439024390245</v>
      </c>
      <c r="CH501" s="320">
        <f t="shared" si="393"/>
        <v>0</v>
      </c>
      <c r="CI501" s="319">
        <v>0</v>
      </c>
      <c r="CJ501" s="318">
        <f t="shared" si="429"/>
        <v>0</v>
      </c>
      <c r="CK501" s="1258">
        <v>0</v>
      </c>
      <c r="CL501" s="301">
        <f t="shared" si="433"/>
        <v>0</v>
      </c>
      <c r="CM501" s="381">
        <f t="shared" si="430"/>
        <v>0</v>
      </c>
      <c r="CN501" s="381">
        <f t="shared" si="431"/>
        <v>0</v>
      </c>
      <c r="CO501" s="316">
        <f t="shared" si="394"/>
        <v>0</v>
      </c>
      <c r="CP501" s="381">
        <f t="shared" si="395"/>
        <v>0</v>
      </c>
      <c r="CQ501" s="381">
        <f t="shared" si="396"/>
        <v>0</v>
      </c>
      <c r="CR501" s="313">
        <v>0</v>
      </c>
      <c r="CS501" s="313">
        <v>0</v>
      </c>
      <c r="CT501" s="313">
        <v>0</v>
      </c>
      <c r="CU501" s="313">
        <v>0</v>
      </c>
      <c r="CV501" s="313">
        <v>0</v>
      </c>
      <c r="CW501" s="313">
        <v>0</v>
      </c>
      <c r="CX501" s="313">
        <v>0</v>
      </c>
      <c r="CY501" s="313">
        <v>0</v>
      </c>
      <c r="CZ501" s="380">
        <v>0</v>
      </c>
      <c r="DA501" s="380">
        <v>0</v>
      </c>
      <c r="DB501" s="380">
        <v>0</v>
      </c>
      <c r="DC501" s="380">
        <v>0</v>
      </c>
      <c r="DD501" s="380">
        <v>0</v>
      </c>
      <c r="DE501" s="380">
        <v>0</v>
      </c>
      <c r="DF501" s="380">
        <v>0</v>
      </c>
      <c r="DG501" s="380">
        <v>0</v>
      </c>
      <c r="DH501" s="380">
        <v>0</v>
      </c>
      <c r="DI501" s="380">
        <v>0</v>
      </c>
      <c r="DJ501" s="380">
        <v>0</v>
      </c>
      <c r="DK501" s="702">
        <f t="shared" si="432"/>
        <v>116</v>
      </c>
      <c r="DL501" s="311">
        <f t="shared" si="397"/>
        <v>0.32999999999999996</v>
      </c>
      <c r="DM501" s="310">
        <f t="shared" si="398"/>
        <v>141.46341463414635</v>
      </c>
      <c r="DN501" s="356">
        <f t="shared" si="399"/>
        <v>100</v>
      </c>
      <c r="DO501" s="308">
        <f t="shared" si="400"/>
        <v>0.33</v>
      </c>
      <c r="DP501" s="359">
        <f t="shared" si="418"/>
        <v>0.33</v>
      </c>
      <c r="DQ501" s="306">
        <f t="shared" si="401"/>
        <v>0.33</v>
      </c>
      <c r="DR501" s="379">
        <f t="shared" si="402"/>
        <v>1</v>
      </c>
      <c r="DS501" s="378">
        <f t="shared" si="403"/>
        <v>2.7755575615628914E-17</v>
      </c>
      <c r="DT501" s="173">
        <v>621</v>
      </c>
      <c r="DU501" s="174" t="s">
        <v>89</v>
      </c>
      <c r="DV501" s="173"/>
      <c r="DW501" s="174" t="s">
        <v>84</v>
      </c>
      <c r="DX501" s="173"/>
      <c r="DY501" s="173"/>
      <c r="DZ501" s="173"/>
      <c r="EA501" s="665"/>
      <c r="EB501" s="1254" t="s">
        <v>3166</v>
      </c>
      <c r="EC501" s="537">
        <v>3050000000</v>
      </c>
      <c r="EE501" s="734">
        <v>6</v>
      </c>
      <c r="EF501" s="706"/>
    </row>
    <row r="502" spans="4:136" s="302" customFormat="1" ht="178.5" hidden="1">
      <c r="D502" s="520">
        <v>499</v>
      </c>
      <c r="E502" s="534">
        <v>570</v>
      </c>
      <c r="F502" s="479" t="s">
        <v>46</v>
      </c>
      <c r="G502" s="479" t="s">
        <v>30</v>
      </c>
      <c r="H502" s="479" t="s">
        <v>2681</v>
      </c>
      <c r="I502" s="479" t="s">
        <v>1178</v>
      </c>
      <c r="J502" s="335" t="s">
        <v>1183</v>
      </c>
      <c r="K502" s="335" t="s">
        <v>1184</v>
      </c>
      <c r="L502" s="358" t="s">
        <v>1404</v>
      </c>
      <c r="M502" s="334" t="s">
        <v>1771</v>
      </c>
      <c r="N502" s="334">
        <v>0</v>
      </c>
      <c r="O502" s="333">
        <f t="shared" si="419"/>
        <v>25</v>
      </c>
      <c r="P502" s="332">
        <v>25</v>
      </c>
      <c r="Q502" s="390">
        <v>0.16500000000000001</v>
      </c>
      <c r="R502" s="342">
        <f t="shared" si="381"/>
        <v>0</v>
      </c>
      <c r="S502" s="389">
        <v>0</v>
      </c>
      <c r="T502" s="337">
        <f t="shared" si="420"/>
        <v>0</v>
      </c>
      <c r="U502" s="670">
        <v>0</v>
      </c>
      <c r="V502" s="388">
        <f t="shared" si="421"/>
        <v>0</v>
      </c>
      <c r="W502" s="356">
        <f t="shared" si="422"/>
        <v>0</v>
      </c>
      <c r="X502" s="356">
        <f t="shared" si="382"/>
        <v>0</v>
      </c>
      <c r="Y502" s="356">
        <f t="shared" si="417"/>
        <v>0</v>
      </c>
      <c r="Z502" s="356">
        <f t="shared" si="383"/>
        <v>0</v>
      </c>
      <c r="AA502" s="355">
        <v>0</v>
      </c>
      <c r="AB502" s="355">
        <v>0</v>
      </c>
      <c r="AC502" s="355">
        <v>0</v>
      </c>
      <c r="AD502" s="355">
        <v>0</v>
      </c>
      <c r="AE502" s="355">
        <v>0</v>
      </c>
      <c r="AF502" s="355">
        <v>0</v>
      </c>
      <c r="AG502" s="355">
        <v>0</v>
      </c>
      <c r="AH502" s="355">
        <v>0</v>
      </c>
      <c r="AI502" s="355">
        <v>0</v>
      </c>
      <c r="AJ502" s="355">
        <v>0</v>
      </c>
      <c r="AK502" s="355">
        <v>0</v>
      </c>
      <c r="AL502" s="355">
        <v>0</v>
      </c>
      <c r="AM502" s="355">
        <v>0</v>
      </c>
      <c r="AN502" s="355">
        <v>0</v>
      </c>
      <c r="AO502" s="355">
        <v>0</v>
      </c>
      <c r="AP502" s="355">
        <v>0</v>
      </c>
      <c r="AQ502" s="355">
        <v>0</v>
      </c>
      <c r="AR502" s="355">
        <v>0</v>
      </c>
      <c r="AS502" s="355">
        <v>0</v>
      </c>
      <c r="AT502" s="333">
        <f t="shared" si="384"/>
        <v>0</v>
      </c>
      <c r="AU502" s="334">
        <v>0</v>
      </c>
      <c r="AV502" s="387">
        <f t="shared" si="423"/>
        <v>0</v>
      </c>
      <c r="AW502" s="683">
        <v>35.950000000000003</v>
      </c>
      <c r="AX502" s="366">
        <f t="shared" si="424"/>
        <v>35.950000000000003</v>
      </c>
      <c r="AY502" s="366">
        <f t="shared" si="425"/>
        <v>0</v>
      </c>
      <c r="AZ502" s="366">
        <f t="shared" si="385"/>
        <v>0</v>
      </c>
      <c r="BA502" s="354">
        <f t="shared" si="386"/>
        <v>0</v>
      </c>
      <c r="BB502" s="354">
        <f t="shared" si="387"/>
        <v>100</v>
      </c>
      <c r="BC502" s="353">
        <v>0</v>
      </c>
      <c r="BD502" s="353">
        <v>0</v>
      </c>
      <c r="BE502" s="353">
        <v>0</v>
      </c>
      <c r="BF502" s="353">
        <v>0</v>
      </c>
      <c r="BG502" s="353">
        <v>0</v>
      </c>
      <c r="BH502" s="353">
        <v>0</v>
      </c>
      <c r="BI502" s="353">
        <v>0</v>
      </c>
      <c r="BJ502" s="353">
        <v>0</v>
      </c>
      <c r="BK502" s="386">
        <v>544999822</v>
      </c>
      <c r="BL502" s="351">
        <v>544999822</v>
      </c>
      <c r="BM502" s="351">
        <v>0</v>
      </c>
      <c r="BN502" s="351">
        <v>0</v>
      </c>
      <c r="BO502" s="351">
        <v>0</v>
      </c>
      <c r="BP502" s="351">
        <v>0</v>
      </c>
      <c r="BQ502" s="351">
        <v>0</v>
      </c>
      <c r="BR502" s="351">
        <v>0</v>
      </c>
      <c r="BS502" s="351">
        <v>0</v>
      </c>
      <c r="BT502" s="351">
        <v>0</v>
      </c>
      <c r="BU502" s="351">
        <v>0</v>
      </c>
      <c r="BV502" s="350">
        <f t="shared" si="388"/>
        <v>8.2500000000000004E-2</v>
      </c>
      <c r="BW502" s="350">
        <v>12.5</v>
      </c>
      <c r="BX502" s="385">
        <f t="shared" si="426"/>
        <v>0.5</v>
      </c>
      <c r="BY502" s="369">
        <v>0</v>
      </c>
      <c r="BZ502" s="391">
        <v>0</v>
      </c>
      <c r="CA502" s="689">
        <v>6.8000001907348633</v>
      </c>
      <c r="CB502" s="324">
        <f t="shared" si="427"/>
        <v>6.8000001907348633</v>
      </c>
      <c r="CC502" s="324">
        <f t="shared" si="428"/>
        <v>54.400001525878906</v>
      </c>
      <c r="CD502" s="384">
        <f t="shared" si="389"/>
        <v>54.400001525878906</v>
      </c>
      <c r="CE502" s="383">
        <f t="shared" si="390"/>
        <v>4.4880001258850104E-2</v>
      </c>
      <c r="CF502" s="367">
        <f t="shared" si="391"/>
        <v>54.400001525878906</v>
      </c>
      <c r="CG502" s="383">
        <f t="shared" si="392"/>
        <v>4.4880001258850104E-2</v>
      </c>
      <c r="CH502" s="320">
        <f t="shared" si="393"/>
        <v>8.2500000000000004E-2</v>
      </c>
      <c r="CI502" s="319">
        <v>12.5</v>
      </c>
      <c r="CJ502" s="318">
        <f t="shared" si="429"/>
        <v>0.5</v>
      </c>
      <c r="CK502" s="1258">
        <v>0</v>
      </c>
      <c r="CL502" s="301">
        <f t="shared" si="433"/>
        <v>12.5</v>
      </c>
      <c r="CM502" s="381">
        <f t="shared" si="430"/>
        <v>0</v>
      </c>
      <c r="CN502" s="381">
        <f t="shared" si="431"/>
        <v>0</v>
      </c>
      <c r="CO502" s="316">
        <f t="shared" si="394"/>
        <v>0</v>
      </c>
      <c r="CP502" s="381">
        <f t="shared" si="395"/>
        <v>0</v>
      </c>
      <c r="CQ502" s="381">
        <f t="shared" si="396"/>
        <v>0</v>
      </c>
      <c r="CR502" s="313">
        <v>325000000</v>
      </c>
      <c r="CS502" s="313">
        <v>325000000</v>
      </c>
      <c r="CT502" s="313">
        <v>0</v>
      </c>
      <c r="CU502" s="313">
        <v>0</v>
      </c>
      <c r="CV502" s="313">
        <v>0</v>
      </c>
      <c r="CW502" s="313">
        <v>0</v>
      </c>
      <c r="CX502" s="313">
        <v>0</v>
      </c>
      <c r="CY502" s="313">
        <v>0</v>
      </c>
      <c r="CZ502" s="380">
        <v>0</v>
      </c>
      <c r="DA502" s="380">
        <v>0</v>
      </c>
      <c r="DB502" s="380">
        <v>0</v>
      </c>
      <c r="DC502" s="380">
        <v>0</v>
      </c>
      <c r="DD502" s="380">
        <v>0</v>
      </c>
      <c r="DE502" s="380">
        <v>0</v>
      </c>
      <c r="DF502" s="380">
        <v>0</v>
      </c>
      <c r="DG502" s="380">
        <v>0</v>
      </c>
      <c r="DH502" s="380">
        <v>0</v>
      </c>
      <c r="DI502" s="380">
        <v>0</v>
      </c>
      <c r="DJ502" s="380">
        <v>0</v>
      </c>
      <c r="DK502" s="702">
        <f t="shared" si="432"/>
        <v>42.750000190734866</v>
      </c>
      <c r="DL502" s="311">
        <f t="shared" si="397"/>
        <v>0.16500000000000001</v>
      </c>
      <c r="DM502" s="310">
        <f t="shared" si="398"/>
        <v>171.00000076293946</v>
      </c>
      <c r="DN502" s="356">
        <f t="shared" si="399"/>
        <v>100</v>
      </c>
      <c r="DO502" s="308">
        <f t="shared" si="400"/>
        <v>0.16500000000000001</v>
      </c>
      <c r="DP502" s="359">
        <f t="shared" si="418"/>
        <v>0.16500000000000001</v>
      </c>
      <c r="DQ502" s="306">
        <f t="shared" si="401"/>
        <v>0.16500000000000001</v>
      </c>
      <c r="DR502" s="379">
        <f t="shared" si="402"/>
        <v>1</v>
      </c>
      <c r="DS502" s="378">
        <f t="shared" si="403"/>
        <v>0</v>
      </c>
      <c r="DT502" s="173">
        <v>623</v>
      </c>
      <c r="DU502" s="174" t="s">
        <v>87</v>
      </c>
      <c r="DV502" s="173"/>
      <c r="DW502" s="174" t="s">
        <v>84</v>
      </c>
      <c r="DX502" s="173"/>
      <c r="DY502" s="173"/>
      <c r="DZ502" s="173"/>
      <c r="EA502" s="665"/>
      <c r="EB502" s="1254" t="s">
        <v>3167</v>
      </c>
      <c r="EC502" s="537">
        <v>594000000</v>
      </c>
      <c r="EE502" s="734">
        <v>42</v>
      </c>
      <c r="EF502" s="706"/>
    </row>
    <row r="503" spans="4:136" s="302" customFormat="1" ht="76.5" hidden="1">
      <c r="D503" s="520">
        <v>500</v>
      </c>
      <c r="E503" s="534">
        <v>571</v>
      </c>
      <c r="F503" s="479" t="s">
        <v>46</v>
      </c>
      <c r="G503" s="479" t="s">
        <v>30</v>
      </c>
      <c r="H503" s="479" t="s">
        <v>2681</v>
      </c>
      <c r="I503" s="479" t="s">
        <v>1178</v>
      </c>
      <c r="J503" s="335" t="s">
        <v>1183</v>
      </c>
      <c r="K503" s="335" t="s">
        <v>1185</v>
      </c>
      <c r="L503" s="358" t="s">
        <v>1404</v>
      </c>
      <c r="M503" s="334" t="s">
        <v>1771</v>
      </c>
      <c r="N503" s="334">
        <v>30</v>
      </c>
      <c r="O503" s="333">
        <f t="shared" si="419"/>
        <v>65</v>
      </c>
      <c r="P503" s="332">
        <v>35</v>
      </c>
      <c r="Q503" s="390">
        <v>0.16500000000000001</v>
      </c>
      <c r="R503" s="342">
        <f t="shared" si="381"/>
        <v>0</v>
      </c>
      <c r="S503" s="389">
        <v>0</v>
      </c>
      <c r="T503" s="337">
        <f t="shared" si="420"/>
        <v>0</v>
      </c>
      <c r="U503" s="670">
        <v>0</v>
      </c>
      <c r="V503" s="388">
        <f t="shared" si="421"/>
        <v>0</v>
      </c>
      <c r="W503" s="356">
        <f t="shared" si="422"/>
        <v>0</v>
      </c>
      <c r="X503" s="356">
        <f t="shared" si="382"/>
        <v>0</v>
      </c>
      <c r="Y503" s="356">
        <f t="shared" si="417"/>
        <v>0</v>
      </c>
      <c r="Z503" s="356">
        <f t="shared" si="383"/>
        <v>0</v>
      </c>
      <c r="AA503" s="355">
        <v>0</v>
      </c>
      <c r="AB503" s="355">
        <v>0</v>
      </c>
      <c r="AC503" s="355">
        <v>0</v>
      </c>
      <c r="AD503" s="355">
        <v>0</v>
      </c>
      <c r="AE503" s="355">
        <v>0</v>
      </c>
      <c r="AF503" s="355">
        <v>0</v>
      </c>
      <c r="AG503" s="355">
        <v>0</v>
      </c>
      <c r="AH503" s="355">
        <v>0</v>
      </c>
      <c r="AI503" s="355">
        <v>0</v>
      </c>
      <c r="AJ503" s="355">
        <v>0</v>
      </c>
      <c r="AK503" s="355">
        <v>0</v>
      </c>
      <c r="AL503" s="355">
        <v>0</v>
      </c>
      <c r="AM503" s="355">
        <v>0</v>
      </c>
      <c r="AN503" s="355">
        <v>0</v>
      </c>
      <c r="AO503" s="355">
        <v>0</v>
      </c>
      <c r="AP503" s="355">
        <v>0</v>
      </c>
      <c r="AQ503" s="355">
        <v>0</v>
      </c>
      <c r="AR503" s="355">
        <v>0</v>
      </c>
      <c r="AS503" s="355">
        <v>0</v>
      </c>
      <c r="AT503" s="333">
        <f t="shared" si="384"/>
        <v>0</v>
      </c>
      <c r="AU503" s="334">
        <v>0</v>
      </c>
      <c r="AV503" s="387">
        <f t="shared" si="423"/>
        <v>0</v>
      </c>
      <c r="AW503" s="677">
        <v>16</v>
      </c>
      <c r="AX503" s="366">
        <f t="shared" si="424"/>
        <v>16</v>
      </c>
      <c r="AY503" s="366">
        <f t="shared" si="425"/>
        <v>0</v>
      </c>
      <c r="AZ503" s="366">
        <f t="shared" si="385"/>
        <v>0</v>
      </c>
      <c r="BA503" s="354">
        <f t="shared" si="386"/>
        <v>0</v>
      </c>
      <c r="BB503" s="354">
        <f t="shared" si="387"/>
        <v>100</v>
      </c>
      <c r="BC503" s="353">
        <v>0</v>
      </c>
      <c r="BD503" s="353">
        <v>0</v>
      </c>
      <c r="BE503" s="353">
        <v>0</v>
      </c>
      <c r="BF503" s="353">
        <v>0</v>
      </c>
      <c r="BG503" s="353">
        <v>0</v>
      </c>
      <c r="BH503" s="353">
        <v>0</v>
      </c>
      <c r="BI503" s="353">
        <v>0</v>
      </c>
      <c r="BJ503" s="353">
        <v>0</v>
      </c>
      <c r="BK503" s="386">
        <v>2600907115</v>
      </c>
      <c r="BL503" s="351">
        <v>2600907115</v>
      </c>
      <c r="BM503" s="351">
        <v>0</v>
      </c>
      <c r="BN503" s="351">
        <v>0</v>
      </c>
      <c r="BO503" s="351">
        <v>0</v>
      </c>
      <c r="BP503" s="351">
        <v>0</v>
      </c>
      <c r="BQ503" s="351">
        <v>0</v>
      </c>
      <c r="BR503" s="351">
        <v>0</v>
      </c>
      <c r="BS503" s="351">
        <v>0</v>
      </c>
      <c r="BT503" s="351">
        <v>0</v>
      </c>
      <c r="BU503" s="351">
        <v>0</v>
      </c>
      <c r="BV503" s="350">
        <f t="shared" si="388"/>
        <v>8.2500000000000004E-2</v>
      </c>
      <c r="BW503" s="350">
        <v>17.5</v>
      </c>
      <c r="BX503" s="385">
        <f t="shared" si="426"/>
        <v>0.5</v>
      </c>
      <c r="BY503" s="369">
        <v>0</v>
      </c>
      <c r="BZ503" s="391">
        <v>0</v>
      </c>
      <c r="CA503" s="689">
        <v>13.300000190734863</v>
      </c>
      <c r="CB503" s="324">
        <f t="shared" si="427"/>
        <v>13.300000190734863</v>
      </c>
      <c r="CC503" s="324">
        <f t="shared" si="428"/>
        <v>76.000001089913511</v>
      </c>
      <c r="CD503" s="384">
        <f t="shared" si="389"/>
        <v>76.000001089913511</v>
      </c>
      <c r="CE503" s="383">
        <f t="shared" si="390"/>
        <v>6.2700000899178654E-2</v>
      </c>
      <c r="CF503" s="367">
        <f t="shared" si="391"/>
        <v>76.000001089913511</v>
      </c>
      <c r="CG503" s="383">
        <f t="shared" si="392"/>
        <v>6.2700000899178654E-2</v>
      </c>
      <c r="CH503" s="320">
        <f t="shared" si="393"/>
        <v>8.2500000000000004E-2</v>
      </c>
      <c r="CI503" s="319">
        <v>17.5</v>
      </c>
      <c r="CJ503" s="318">
        <f t="shared" si="429"/>
        <v>0.5</v>
      </c>
      <c r="CK503" s="1259">
        <v>8</v>
      </c>
      <c r="CL503" s="301">
        <f t="shared" si="433"/>
        <v>9.5</v>
      </c>
      <c r="CM503" s="381">
        <f t="shared" si="430"/>
        <v>8</v>
      </c>
      <c r="CN503" s="381">
        <f t="shared" si="431"/>
        <v>45.714285714285715</v>
      </c>
      <c r="CO503" s="316">
        <f t="shared" si="394"/>
        <v>45.714285714285715</v>
      </c>
      <c r="CP503" s="381">
        <f t="shared" si="395"/>
        <v>3.7714285714285721E-2</v>
      </c>
      <c r="CQ503" s="381">
        <f t="shared" si="396"/>
        <v>3.7714285714285721E-2</v>
      </c>
      <c r="CR503" s="313">
        <v>400000000</v>
      </c>
      <c r="CS503" s="313">
        <v>400000000</v>
      </c>
      <c r="CT503" s="313">
        <v>0</v>
      </c>
      <c r="CU503" s="313">
        <v>0</v>
      </c>
      <c r="CV503" s="313">
        <v>0</v>
      </c>
      <c r="CW503" s="313">
        <v>0</v>
      </c>
      <c r="CX503" s="313">
        <v>0</v>
      </c>
      <c r="CY503" s="313">
        <v>0</v>
      </c>
      <c r="CZ503" s="380">
        <v>0</v>
      </c>
      <c r="DA503" s="380">
        <v>0</v>
      </c>
      <c r="DB503" s="380">
        <v>0</v>
      </c>
      <c r="DC503" s="380">
        <v>0</v>
      </c>
      <c r="DD503" s="380">
        <v>0</v>
      </c>
      <c r="DE503" s="380">
        <v>0</v>
      </c>
      <c r="DF503" s="380">
        <v>0</v>
      </c>
      <c r="DG503" s="380">
        <v>0</v>
      </c>
      <c r="DH503" s="380">
        <v>0</v>
      </c>
      <c r="DI503" s="380">
        <v>0</v>
      </c>
      <c r="DJ503" s="380">
        <v>0</v>
      </c>
      <c r="DK503" s="702">
        <f t="shared" si="432"/>
        <v>37.300000190734863</v>
      </c>
      <c r="DL503" s="311">
        <f t="shared" si="397"/>
        <v>0.16500000000000001</v>
      </c>
      <c r="DM503" s="310">
        <f t="shared" si="398"/>
        <v>106.57142911638532</v>
      </c>
      <c r="DN503" s="356">
        <f t="shared" si="399"/>
        <v>100</v>
      </c>
      <c r="DO503" s="308">
        <f t="shared" si="400"/>
        <v>0.16500000000000001</v>
      </c>
      <c r="DP503" s="359">
        <f t="shared" si="418"/>
        <v>0.16500000000000001</v>
      </c>
      <c r="DQ503" s="306">
        <f t="shared" si="401"/>
        <v>0.16500000000000001</v>
      </c>
      <c r="DR503" s="379">
        <f t="shared" si="402"/>
        <v>1</v>
      </c>
      <c r="DS503" s="378">
        <f t="shared" si="403"/>
        <v>0</v>
      </c>
      <c r="DT503" s="173">
        <v>623</v>
      </c>
      <c r="DU503" s="174" t="s">
        <v>87</v>
      </c>
      <c r="DV503" s="173"/>
      <c r="DW503" s="174" t="s">
        <v>84</v>
      </c>
      <c r="DX503" s="173"/>
      <c r="DY503" s="173"/>
      <c r="DZ503" s="173"/>
      <c r="EA503" s="665"/>
      <c r="EB503" s="1254" t="s">
        <v>3168</v>
      </c>
      <c r="EC503" s="537">
        <v>2000000000</v>
      </c>
      <c r="EE503" s="734">
        <v>15</v>
      </c>
      <c r="EF503" s="706"/>
    </row>
    <row r="504" spans="4:136" s="302" customFormat="1" ht="76.5" hidden="1">
      <c r="D504" s="520">
        <v>501</v>
      </c>
      <c r="E504" s="534">
        <v>572</v>
      </c>
      <c r="F504" s="479" t="s">
        <v>46</v>
      </c>
      <c r="G504" s="479" t="s">
        <v>10</v>
      </c>
      <c r="H504" s="479" t="s">
        <v>2681</v>
      </c>
      <c r="I504" s="479" t="s">
        <v>1178</v>
      </c>
      <c r="J504" s="335" t="s">
        <v>1186</v>
      </c>
      <c r="K504" s="335" t="s">
        <v>2356</v>
      </c>
      <c r="L504" s="358" t="s">
        <v>1404</v>
      </c>
      <c r="M504" s="334" t="s">
        <v>1771</v>
      </c>
      <c r="N504" s="334">
        <v>29</v>
      </c>
      <c r="O504" s="333">
        <f t="shared" si="419"/>
        <v>100</v>
      </c>
      <c r="P504" s="332">
        <f>71</f>
        <v>71</v>
      </c>
      <c r="Q504" s="390">
        <v>0.25</v>
      </c>
      <c r="R504" s="342">
        <f t="shared" si="381"/>
        <v>5.6338028169014086E-2</v>
      </c>
      <c r="S504" s="389">
        <v>16</v>
      </c>
      <c r="T504" s="402">
        <f t="shared" si="420"/>
        <v>0.22535211267605634</v>
      </c>
      <c r="U504" s="670">
        <v>25</v>
      </c>
      <c r="V504" s="388">
        <f t="shared" si="421"/>
        <v>25</v>
      </c>
      <c r="W504" s="356">
        <f t="shared" si="422"/>
        <v>156.25</v>
      </c>
      <c r="X504" s="356">
        <f t="shared" si="382"/>
        <v>100</v>
      </c>
      <c r="Y504" s="356">
        <f t="shared" si="417"/>
        <v>5.6338028169014093E-2</v>
      </c>
      <c r="Z504" s="356">
        <f t="shared" si="383"/>
        <v>100</v>
      </c>
      <c r="AA504" s="355">
        <v>0</v>
      </c>
      <c r="AB504" s="355">
        <v>0</v>
      </c>
      <c r="AC504" s="355">
        <v>0</v>
      </c>
      <c r="AD504" s="355">
        <v>0</v>
      </c>
      <c r="AE504" s="355">
        <v>0</v>
      </c>
      <c r="AF504" s="355">
        <v>0</v>
      </c>
      <c r="AG504" s="355">
        <v>0</v>
      </c>
      <c r="AH504" s="355">
        <v>0</v>
      </c>
      <c r="AI504" s="355">
        <v>0</v>
      </c>
      <c r="AJ504" s="355">
        <v>0</v>
      </c>
      <c r="AK504" s="355">
        <v>0</v>
      </c>
      <c r="AL504" s="355">
        <v>0</v>
      </c>
      <c r="AM504" s="355">
        <v>0</v>
      </c>
      <c r="AN504" s="355">
        <v>0</v>
      </c>
      <c r="AO504" s="355">
        <v>0</v>
      </c>
      <c r="AP504" s="355">
        <v>0</v>
      </c>
      <c r="AQ504" s="355">
        <v>0</v>
      </c>
      <c r="AR504" s="355">
        <v>0</v>
      </c>
      <c r="AS504" s="355">
        <v>0</v>
      </c>
      <c r="AT504" s="333">
        <f t="shared" si="384"/>
        <v>7.0422535211267609E-2</v>
      </c>
      <c r="AU504" s="334">
        <v>20</v>
      </c>
      <c r="AV504" s="387">
        <f t="shared" si="423"/>
        <v>0.28169014084507044</v>
      </c>
      <c r="AW504" s="677">
        <v>17</v>
      </c>
      <c r="AX504" s="366">
        <f t="shared" si="424"/>
        <v>17</v>
      </c>
      <c r="AY504" s="366">
        <f t="shared" si="425"/>
        <v>85</v>
      </c>
      <c r="AZ504" s="366">
        <f t="shared" si="385"/>
        <v>85</v>
      </c>
      <c r="BA504" s="354">
        <f t="shared" si="386"/>
        <v>5.9859154929577468E-2</v>
      </c>
      <c r="BB504" s="354">
        <f t="shared" si="387"/>
        <v>85</v>
      </c>
      <c r="BC504" s="353">
        <v>2102000000</v>
      </c>
      <c r="BD504" s="353">
        <v>2102000000</v>
      </c>
      <c r="BE504" s="353">
        <v>0</v>
      </c>
      <c r="BF504" s="353">
        <v>0</v>
      </c>
      <c r="BG504" s="353">
        <v>0</v>
      </c>
      <c r="BH504" s="353">
        <v>0</v>
      </c>
      <c r="BI504" s="353">
        <v>0</v>
      </c>
      <c r="BJ504" s="353">
        <v>0</v>
      </c>
      <c r="BK504" s="386">
        <v>1649000000</v>
      </c>
      <c r="BL504" s="351">
        <v>1649000000</v>
      </c>
      <c r="BM504" s="351">
        <v>0</v>
      </c>
      <c r="BN504" s="351">
        <v>0</v>
      </c>
      <c r="BO504" s="351">
        <v>0</v>
      </c>
      <c r="BP504" s="351">
        <v>0</v>
      </c>
      <c r="BQ504" s="351">
        <v>0</v>
      </c>
      <c r="BR504" s="351">
        <v>0</v>
      </c>
      <c r="BS504" s="351">
        <v>0</v>
      </c>
      <c r="BT504" s="351">
        <v>0</v>
      </c>
      <c r="BU504" s="351">
        <v>0</v>
      </c>
      <c r="BV504" s="350">
        <f t="shared" si="388"/>
        <v>7.0422535211267609E-2</v>
      </c>
      <c r="BW504" s="350">
        <v>20</v>
      </c>
      <c r="BX504" s="385">
        <f t="shared" si="426"/>
        <v>0.28169014084507044</v>
      </c>
      <c r="BY504" s="369">
        <v>50</v>
      </c>
      <c r="BZ504" s="391">
        <v>10</v>
      </c>
      <c r="CA504" s="689">
        <v>22</v>
      </c>
      <c r="CB504" s="324">
        <f t="shared" si="427"/>
        <v>22</v>
      </c>
      <c r="CC504" s="324">
        <f t="shared" si="428"/>
        <v>110</v>
      </c>
      <c r="CD504" s="384">
        <f t="shared" si="389"/>
        <v>100</v>
      </c>
      <c r="CE504" s="383">
        <f t="shared" si="390"/>
        <v>7.0422535211267609E-2</v>
      </c>
      <c r="CF504" s="367">
        <f t="shared" si="391"/>
        <v>100</v>
      </c>
      <c r="CG504" s="383">
        <f t="shared" si="392"/>
        <v>7.7464788732394374E-2</v>
      </c>
      <c r="CH504" s="320">
        <f t="shared" si="393"/>
        <v>5.2816901408450703E-2</v>
      </c>
      <c r="CI504" s="319">
        <v>15</v>
      </c>
      <c r="CJ504" s="318">
        <f t="shared" si="429"/>
        <v>0.21126760563380281</v>
      </c>
      <c r="CK504" s="1259">
        <v>22</v>
      </c>
      <c r="CL504" s="301">
        <f t="shared" si="433"/>
        <v>-7</v>
      </c>
      <c r="CM504" s="381">
        <f t="shared" si="430"/>
        <v>22</v>
      </c>
      <c r="CN504" s="381">
        <f t="shared" si="431"/>
        <v>146.66666666666666</v>
      </c>
      <c r="CO504" s="316">
        <f t="shared" si="394"/>
        <v>100</v>
      </c>
      <c r="CP504" s="381">
        <f t="shared" si="395"/>
        <v>5.2816901408450703E-2</v>
      </c>
      <c r="CQ504" s="381">
        <f t="shared" si="396"/>
        <v>7.746478873239436E-2</v>
      </c>
      <c r="CR504" s="313">
        <v>4850000000</v>
      </c>
      <c r="CS504" s="313">
        <v>0</v>
      </c>
      <c r="CT504" s="313">
        <v>4850000000</v>
      </c>
      <c r="CU504" s="313">
        <v>0</v>
      </c>
      <c r="CV504" s="313">
        <v>0</v>
      </c>
      <c r="CW504" s="313">
        <v>0</v>
      </c>
      <c r="CX504" s="313">
        <v>0</v>
      </c>
      <c r="CY504" s="313">
        <v>0</v>
      </c>
      <c r="CZ504" s="380">
        <v>0</v>
      </c>
      <c r="DA504" s="380">
        <v>0</v>
      </c>
      <c r="DB504" s="380">
        <v>0</v>
      </c>
      <c r="DC504" s="380">
        <v>0</v>
      </c>
      <c r="DD504" s="380">
        <v>0</v>
      </c>
      <c r="DE504" s="380">
        <v>0</v>
      </c>
      <c r="DF504" s="380">
        <v>0</v>
      </c>
      <c r="DG504" s="380">
        <v>0</v>
      </c>
      <c r="DH504" s="380">
        <v>0</v>
      </c>
      <c r="DI504" s="380">
        <v>0</v>
      </c>
      <c r="DJ504" s="380">
        <v>0</v>
      </c>
      <c r="DK504" s="702">
        <f t="shared" si="432"/>
        <v>86</v>
      </c>
      <c r="DL504" s="311">
        <f t="shared" si="397"/>
        <v>0.25</v>
      </c>
      <c r="DM504" s="310">
        <f t="shared" si="398"/>
        <v>121.12676056338029</v>
      </c>
      <c r="DN504" s="356">
        <f t="shared" si="399"/>
        <v>100</v>
      </c>
      <c r="DO504" s="308">
        <f t="shared" si="400"/>
        <v>0.25</v>
      </c>
      <c r="DP504" s="359">
        <f t="shared" si="418"/>
        <v>0.25</v>
      </c>
      <c r="DQ504" s="306">
        <f t="shared" si="401"/>
        <v>0.25</v>
      </c>
      <c r="DR504" s="379">
        <f t="shared" si="402"/>
        <v>1</v>
      </c>
      <c r="DS504" s="378">
        <f t="shared" si="403"/>
        <v>0</v>
      </c>
      <c r="DT504" s="173">
        <v>621</v>
      </c>
      <c r="DU504" s="174" t="s">
        <v>89</v>
      </c>
      <c r="DV504" s="173"/>
      <c r="DW504" s="174" t="s">
        <v>84</v>
      </c>
      <c r="DX504" s="173"/>
      <c r="DY504" s="173"/>
      <c r="DZ504" s="173"/>
      <c r="EA504" s="665"/>
      <c r="EB504" s="1254" t="s">
        <v>2270</v>
      </c>
      <c r="EC504" s="537">
        <v>15000000</v>
      </c>
      <c r="EE504" s="734">
        <v>4</v>
      </c>
      <c r="EF504" s="706"/>
    </row>
    <row r="505" spans="4:136" s="302" customFormat="1" ht="51" hidden="1">
      <c r="D505" s="520">
        <v>502</v>
      </c>
      <c r="E505" s="534">
        <v>573</v>
      </c>
      <c r="F505" s="479" t="s">
        <v>46</v>
      </c>
      <c r="G505" s="479" t="s">
        <v>30</v>
      </c>
      <c r="H505" s="479" t="s">
        <v>2681</v>
      </c>
      <c r="I505" s="479" t="s">
        <v>1178</v>
      </c>
      <c r="J505" s="335" t="s">
        <v>1187</v>
      </c>
      <c r="K505" s="335" t="s">
        <v>1188</v>
      </c>
      <c r="L505" s="358" t="s">
        <v>1404</v>
      </c>
      <c r="M505" s="334" t="s">
        <v>1771</v>
      </c>
      <c r="N505" s="334">
        <v>43</v>
      </c>
      <c r="O505" s="333">
        <f t="shared" si="419"/>
        <v>70</v>
      </c>
      <c r="P505" s="332">
        <v>27</v>
      </c>
      <c r="Q505" s="390">
        <v>0.16500000000000001</v>
      </c>
      <c r="R505" s="342">
        <f t="shared" si="381"/>
        <v>0</v>
      </c>
      <c r="S505" s="389">
        <v>0</v>
      </c>
      <c r="T505" s="337">
        <f t="shared" ref="T505:T536" si="434">IF($M505="M",0.25,(IF($P505&gt;0,S505/$P505," ")))</f>
        <v>0</v>
      </c>
      <c r="U505" s="670">
        <v>0</v>
      </c>
      <c r="V505" s="388">
        <f t="shared" ref="V505:V536" si="435">+IF(M505="I",(+U505),IF(M505="M",(+U505)/4,))</f>
        <v>0</v>
      </c>
      <c r="W505" s="356">
        <f t="shared" ref="W505:W541" si="436">IF(S505=0,0,+U505*100/S505)</f>
        <v>0</v>
      </c>
      <c r="X505" s="356">
        <f t="shared" si="382"/>
        <v>0</v>
      </c>
      <c r="Y505" s="356">
        <f t="shared" si="417"/>
        <v>0</v>
      </c>
      <c r="Z505" s="356">
        <f t="shared" si="383"/>
        <v>0</v>
      </c>
      <c r="AA505" s="355">
        <v>0</v>
      </c>
      <c r="AB505" s="355">
        <v>0</v>
      </c>
      <c r="AC505" s="355">
        <v>0</v>
      </c>
      <c r="AD505" s="355">
        <v>0</v>
      </c>
      <c r="AE505" s="355">
        <v>0</v>
      </c>
      <c r="AF505" s="355">
        <v>0</v>
      </c>
      <c r="AG505" s="355">
        <v>0</v>
      </c>
      <c r="AH505" s="355">
        <v>0</v>
      </c>
      <c r="AI505" s="355">
        <v>0</v>
      </c>
      <c r="AJ505" s="355">
        <v>0</v>
      </c>
      <c r="AK505" s="355">
        <v>0</v>
      </c>
      <c r="AL505" s="355">
        <v>0</v>
      </c>
      <c r="AM505" s="355">
        <v>0</v>
      </c>
      <c r="AN505" s="355">
        <v>0</v>
      </c>
      <c r="AO505" s="355">
        <v>0</v>
      </c>
      <c r="AP505" s="355">
        <v>0</v>
      </c>
      <c r="AQ505" s="355">
        <v>0</v>
      </c>
      <c r="AR505" s="355">
        <v>0</v>
      </c>
      <c r="AS505" s="355">
        <v>0</v>
      </c>
      <c r="AT505" s="333">
        <f t="shared" si="384"/>
        <v>7.9444444444444443E-2</v>
      </c>
      <c r="AU505" s="334">
        <v>13</v>
      </c>
      <c r="AV505" s="387">
        <f t="shared" ref="AV505:AV536" si="437">IF($M505="M",0.25,(IF($P505&gt;0,AU505/$P505," ")))</f>
        <v>0.48148148148148145</v>
      </c>
      <c r="AW505" s="677">
        <v>12.9</v>
      </c>
      <c r="AX505" s="366">
        <f t="shared" ref="AX505:AX536" si="438">+IF(M505="I",(+AW505),IF(M505="M",(+AW505)/4,))</f>
        <v>12.9</v>
      </c>
      <c r="AY505" s="366">
        <f t="shared" ref="AY505:AY541" si="439">IF(AU505=0,0,+AW505*100/AU505)</f>
        <v>99.230769230769226</v>
      </c>
      <c r="AZ505" s="366">
        <f t="shared" si="385"/>
        <v>99.230769230769226</v>
      </c>
      <c r="BA505" s="354">
        <f t="shared" si="386"/>
        <v>7.8833333333333325E-2</v>
      </c>
      <c r="BB505" s="354">
        <f t="shared" si="387"/>
        <v>99.230769230769226</v>
      </c>
      <c r="BC505" s="353">
        <v>300000000</v>
      </c>
      <c r="BD505" s="353">
        <v>0</v>
      </c>
      <c r="BE505" s="353">
        <v>300000000</v>
      </c>
      <c r="BF505" s="353">
        <v>0</v>
      </c>
      <c r="BG505" s="353">
        <v>0</v>
      </c>
      <c r="BH505" s="353">
        <v>0</v>
      </c>
      <c r="BI505" s="353">
        <v>0</v>
      </c>
      <c r="BJ505" s="353">
        <v>0</v>
      </c>
      <c r="BK505" s="386">
        <v>0</v>
      </c>
      <c r="BL505" s="351">
        <v>0</v>
      </c>
      <c r="BM505" s="351">
        <v>0</v>
      </c>
      <c r="BN505" s="351">
        <v>0</v>
      </c>
      <c r="BO505" s="351">
        <v>0</v>
      </c>
      <c r="BP505" s="351">
        <v>0</v>
      </c>
      <c r="BQ505" s="351">
        <v>0</v>
      </c>
      <c r="BR505" s="351">
        <v>0</v>
      </c>
      <c r="BS505" s="351">
        <v>0</v>
      </c>
      <c r="BT505" s="351">
        <v>0</v>
      </c>
      <c r="BU505" s="351">
        <v>0</v>
      </c>
      <c r="BV505" s="350">
        <f t="shared" si="388"/>
        <v>8.5555555555555551E-2</v>
      </c>
      <c r="BW505" s="350">
        <v>14</v>
      </c>
      <c r="BX505" s="385">
        <f t="shared" ref="BX505:BX536" si="440">IF($M505="M",0.25,(IF($P505&gt;0,BW505/$P505," ")))</f>
        <v>0.51851851851851849</v>
      </c>
      <c r="BY505" s="369">
        <v>0</v>
      </c>
      <c r="BZ505" s="391">
        <v>0</v>
      </c>
      <c r="CA505" s="689">
        <v>58.200000762939453</v>
      </c>
      <c r="CB505" s="324">
        <f t="shared" ref="CB505:CB536" si="441">+IF(M505="I",(+CA505),IF(M505="M",(+CA505)/4,))</f>
        <v>58.200000762939453</v>
      </c>
      <c r="CC505" s="324">
        <f t="shared" ref="CC505:CC541" si="442">IF(BW505=0,0,+CA505*100/BW505)</f>
        <v>415.71429116385326</v>
      </c>
      <c r="CD505" s="384">
        <f t="shared" si="389"/>
        <v>100</v>
      </c>
      <c r="CE505" s="383">
        <f t="shared" si="390"/>
        <v>8.5555555555555551E-2</v>
      </c>
      <c r="CF505" s="367">
        <f t="shared" si="391"/>
        <v>100</v>
      </c>
      <c r="CG505" s="383">
        <f t="shared" si="392"/>
        <v>0.35566667132907442</v>
      </c>
      <c r="CH505" s="320">
        <f t="shared" si="393"/>
        <v>0</v>
      </c>
      <c r="CI505" s="319">
        <v>0</v>
      </c>
      <c r="CJ505" s="318">
        <f t="shared" ref="CJ505:CJ536" si="443">IF($M505="M",0.25,(IF($P505&gt;0,CI505/$P505," ")))</f>
        <v>0</v>
      </c>
      <c r="CK505" s="1258">
        <v>0</v>
      </c>
      <c r="CL505" s="301">
        <f t="shared" si="433"/>
        <v>0</v>
      </c>
      <c r="CM505" s="381">
        <f t="shared" ref="CM505:CM531" si="444">+IF(M505="I",(+CK505),IF(M505="M",(+CK505)/4,))</f>
        <v>0</v>
      </c>
      <c r="CN505" s="381">
        <f t="shared" ref="CN505:CN541" si="445">IF(CI505=0,0,+CK505*100/CI505)</f>
        <v>0</v>
      </c>
      <c r="CO505" s="316">
        <f t="shared" si="394"/>
        <v>0</v>
      </c>
      <c r="CP505" s="381">
        <f t="shared" si="395"/>
        <v>0</v>
      </c>
      <c r="CQ505" s="381">
        <f t="shared" si="396"/>
        <v>0</v>
      </c>
      <c r="CR505" s="313">
        <v>0</v>
      </c>
      <c r="CS505" s="313">
        <v>0</v>
      </c>
      <c r="CT505" s="313">
        <v>0</v>
      </c>
      <c r="CU505" s="313">
        <v>0</v>
      </c>
      <c r="CV505" s="313">
        <v>0</v>
      </c>
      <c r="CW505" s="313">
        <v>0</v>
      </c>
      <c r="CX505" s="313">
        <v>0</v>
      </c>
      <c r="CY505" s="313">
        <v>0</v>
      </c>
      <c r="CZ505" s="380">
        <v>0</v>
      </c>
      <c r="DA505" s="380">
        <v>0</v>
      </c>
      <c r="DB505" s="380">
        <v>0</v>
      </c>
      <c r="DC505" s="380">
        <v>0</v>
      </c>
      <c r="DD505" s="380">
        <v>0</v>
      </c>
      <c r="DE505" s="380">
        <v>0</v>
      </c>
      <c r="DF505" s="380">
        <v>0</v>
      </c>
      <c r="DG505" s="380">
        <v>0</v>
      </c>
      <c r="DH505" s="380">
        <v>0</v>
      </c>
      <c r="DI505" s="380">
        <v>0</v>
      </c>
      <c r="DJ505" s="380">
        <v>0</v>
      </c>
      <c r="DK505" s="702">
        <f t="shared" ref="DK505:DK538" si="446">+IF(M505="I",(+U505+AW505+CA505+CK505),IF(M505="M",(+U505+AW505+CA505+CK505)/4,))</f>
        <v>71.100000762939459</v>
      </c>
      <c r="DL505" s="311">
        <f t="shared" si="397"/>
        <v>0.16499999999999998</v>
      </c>
      <c r="DM505" s="310">
        <f t="shared" si="398"/>
        <v>263.33333615903507</v>
      </c>
      <c r="DN505" s="356">
        <f t="shared" si="399"/>
        <v>100</v>
      </c>
      <c r="DO505" s="308">
        <f t="shared" si="400"/>
        <v>0.16500000000000001</v>
      </c>
      <c r="DP505" s="359">
        <f t="shared" si="418"/>
        <v>0.16500000000000001</v>
      </c>
      <c r="DQ505" s="306">
        <f t="shared" si="401"/>
        <v>0.16500000000000001</v>
      </c>
      <c r="DR505" s="379">
        <f t="shared" si="402"/>
        <v>1</v>
      </c>
      <c r="DS505" s="378">
        <f t="shared" si="403"/>
        <v>1.3877787807814457E-17</v>
      </c>
      <c r="DT505" s="173">
        <v>623</v>
      </c>
      <c r="DU505" s="174" t="s">
        <v>87</v>
      </c>
      <c r="DV505" s="173"/>
      <c r="DW505" s="174" t="s">
        <v>84</v>
      </c>
      <c r="DX505" s="173"/>
      <c r="DY505" s="173"/>
      <c r="DZ505" s="173"/>
      <c r="EA505" s="665"/>
      <c r="EB505" s="1254" t="s">
        <v>3169</v>
      </c>
      <c r="EC505" s="537">
        <v>542000000</v>
      </c>
      <c r="EE505" s="734">
        <v>2</v>
      </c>
      <c r="EF505" s="706"/>
    </row>
    <row r="506" spans="4:136" s="302" customFormat="1" ht="127.5" hidden="1">
      <c r="D506" s="520">
        <v>503</v>
      </c>
      <c r="E506" s="534">
        <v>575</v>
      </c>
      <c r="F506" s="479" t="s">
        <v>46</v>
      </c>
      <c r="G506" s="479" t="s">
        <v>8</v>
      </c>
      <c r="H506" s="479" t="s">
        <v>2681</v>
      </c>
      <c r="I506" s="479" t="s">
        <v>1178</v>
      </c>
      <c r="J506" s="335" t="s">
        <v>1310</v>
      </c>
      <c r="K506" s="335" t="s">
        <v>1189</v>
      </c>
      <c r="L506" s="358" t="s">
        <v>1799</v>
      </c>
      <c r="M506" s="334" t="s">
        <v>1771</v>
      </c>
      <c r="N506" s="334">
        <v>0</v>
      </c>
      <c r="O506" s="333">
        <f t="shared" si="419"/>
        <v>52000</v>
      </c>
      <c r="P506" s="332">
        <v>52000</v>
      </c>
      <c r="Q506" s="390">
        <v>0.33</v>
      </c>
      <c r="R506" s="342">
        <f t="shared" si="381"/>
        <v>3.2308269230769238E-2</v>
      </c>
      <c r="S506" s="389">
        <v>5091</v>
      </c>
      <c r="T506" s="402">
        <f t="shared" si="434"/>
        <v>9.7903846153846161E-2</v>
      </c>
      <c r="U506" s="670">
        <v>5091</v>
      </c>
      <c r="V506" s="388">
        <f t="shared" si="435"/>
        <v>5091</v>
      </c>
      <c r="W506" s="356">
        <f t="shared" si="436"/>
        <v>100</v>
      </c>
      <c r="X506" s="356">
        <f t="shared" si="382"/>
        <v>100</v>
      </c>
      <c r="Y506" s="356">
        <f t="shared" si="417"/>
        <v>3.2308269230769238E-2</v>
      </c>
      <c r="Z506" s="356">
        <f t="shared" si="383"/>
        <v>100</v>
      </c>
      <c r="AA506" s="355">
        <v>5455000000</v>
      </c>
      <c r="AB506" s="355">
        <v>5455000000</v>
      </c>
      <c r="AC506" s="355">
        <v>0</v>
      </c>
      <c r="AD506" s="355">
        <v>0</v>
      </c>
      <c r="AE506" s="355">
        <v>0</v>
      </c>
      <c r="AF506" s="355">
        <v>0</v>
      </c>
      <c r="AG506" s="355">
        <v>0</v>
      </c>
      <c r="AH506" s="355">
        <v>0</v>
      </c>
      <c r="AI506" s="355">
        <v>0</v>
      </c>
      <c r="AJ506" s="355">
        <v>0</v>
      </c>
      <c r="AK506" s="355">
        <v>0</v>
      </c>
      <c r="AL506" s="355">
        <v>0</v>
      </c>
      <c r="AM506" s="355">
        <v>0</v>
      </c>
      <c r="AN506" s="355">
        <v>0</v>
      </c>
      <c r="AO506" s="355">
        <v>0</v>
      </c>
      <c r="AP506" s="355">
        <v>0</v>
      </c>
      <c r="AQ506" s="355">
        <v>0</v>
      </c>
      <c r="AR506" s="355">
        <v>0</v>
      </c>
      <c r="AS506" s="313" t="s">
        <v>1798</v>
      </c>
      <c r="AT506" s="333">
        <f t="shared" si="384"/>
        <v>0.10828442307692307</v>
      </c>
      <c r="AU506" s="334">
        <v>17063</v>
      </c>
      <c r="AV506" s="387">
        <f t="shared" si="437"/>
        <v>0.32813461538461536</v>
      </c>
      <c r="AW506" s="677">
        <v>17063</v>
      </c>
      <c r="AX506" s="366">
        <f t="shared" si="438"/>
        <v>17063</v>
      </c>
      <c r="AY506" s="366">
        <f t="shared" si="439"/>
        <v>100</v>
      </c>
      <c r="AZ506" s="366">
        <f t="shared" si="385"/>
        <v>100</v>
      </c>
      <c r="BA506" s="354">
        <f t="shared" si="386"/>
        <v>0.10828442307692306</v>
      </c>
      <c r="BB506" s="354">
        <f t="shared" si="387"/>
        <v>100</v>
      </c>
      <c r="BC506" s="353">
        <v>14500000000</v>
      </c>
      <c r="BD506" s="353">
        <v>0</v>
      </c>
      <c r="BE506" s="353">
        <v>3900000000</v>
      </c>
      <c r="BF506" s="353">
        <v>0</v>
      </c>
      <c r="BG506" s="353">
        <v>0</v>
      </c>
      <c r="BH506" s="353">
        <v>0</v>
      </c>
      <c r="BI506" s="353">
        <v>0</v>
      </c>
      <c r="BJ506" s="353">
        <v>10600000</v>
      </c>
      <c r="BK506" s="386">
        <v>5063709619</v>
      </c>
      <c r="BL506" s="351">
        <v>5063709619</v>
      </c>
      <c r="BM506" s="351">
        <v>0</v>
      </c>
      <c r="BN506" s="351">
        <v>0</v>
      </c>
      <c r="BO506" s="351">
        <v>0</v>
      </c>
      <c r="BP506" s="351">
        <v>0</v>
      </c>
      <c r="BQ506" s="351">
        <v>0</v>
      </c>
      <c r="BR506" s="351">
        <v>0</v>
      </c>
      <c r="BS506" s="351">
        <v>0</v>
      </c>
      <c r="BT506" s="351">
        <v>5206393000</v>
      </c>
      <c r="BU506" s="351" t="s">
        <v>1797</v>
      </c>
      <c r="BV506" s="350">
        <f t="shared" si="388"/>
        <v>9.5192307692307687E-2</v>
      </c>
      <c r="BW506" s="350">
        <v>15000</v>
      </c>
      <c r="BX506" s="385">
        <f t="shared" si="440"/>
        <v>0.28846153846153844</v>
      </c>
      <c r="BY506" s="369">
        <v>909</v>
      </c>
      <c r="BZ506" s="391">
        <v>909</v>
      </c>
      <c r="CA506" s="689">
        <v>909</v>
      </c>
      <c r="CB506" s="324">
        <f t="shared" si="441"/>
        <v>909</v>
      </c>
      <c r="CC506" s="324">
        <f t="shared" si="442"/>
        <v>6.06</v>
      </c>
      <c r="CD506" s="384">
        <f t="shared" si="389"/>
        <v>6.06</v>
      </c>
      <c r="CE506" s="383">
        <f t="shared" si="390"/>
        <v>5.7686538461538452E-3</v>
      </c>
      <c r="CF506" s="367">
        <f t="shared" si="391"/>
        <v>6.06</v>
      </c>
      <c r="CG506" s="383">
        <f t="shared" si="392"/>
        <v>5.7686538461538452E-3</v>
      </c>
      <c r="CH506" s="320">
        <f t="shared" si="393"/>
        <v>9.4214999999999993E-2</v>
      </c>
      <c r="CI506" s="319">
        <v>14846</v>
      </c>
      <c r="CJ506" s="318">
        <f t="shared" si="443"/>
        <v>0.28549999999999998</v>
      </c>
      <c r="CK506" s="1258">
        <v>29136</v>
      </c>
      <c r="CL506" s="301">
        <f t="shared" si="433"/>
        <v>-14290</v>
      </c>
      <c r="CM506" s="381">
        <f t="shared" si="444"/>
        <v>29136</v>
      </c>
      <c r="CN506" s="381">
        <f t="shared" si="445"/>
        <v>196.25488347029503</v>
      </c>
      <c r="CO506" s="316">
        <f t="shared" si="394"/>
        <v>100</v>
      </c>
      <c r="CP506" s="381">
        <f t="shared" si="395"/>
        <v>9.4214999999999993E-2</v>
      </c>
      <c r="CQ506" s="381">
        <f t="shared" si="396"/>
        <v>0.18490153846153845</v>
      </c>
      <c r="CR506" s="313">
        <v>19600000000</v>
      </c>
      <c r="CS506" s="313">
        <v>9000000000</v>
      </c>
      <c r="CT506" s="313">
        <v>0</v>
      </c>
      <c r="CU506" s="313">
        <v>0</v>
      </c>
      <c r="CV506" s="313">
        <v>0</v>
      </c>
      <c r="CW506" s="313">
        <v>0</v>
      </c>
      <c r="CX506" s="313">
        <v>0</v>
      </c>
      <c r="CY506" s="313">
        <v>10600000</v>
      </c>
      <c r="CZ506" s="380">
        <v>0</v>
      </c>
      <c r="DA506" s="380">
        <v>0</v>
      </c>
      <c r="DB506" s="380">
        <v>0</v>
      </c>
      <c r="DC506" s="380">
        <v>0</v>
      </c>
      <c r="DD506" s="380">
        <v>0</v>
      </c>
      <c r="DE506" s="380">
        <v>0</v>
      </c>
      <c r="DF506" s="380">
        <v>0</v>
      </c>
      <c r="DG506" s="380">
        <v>0</v>
      </c>
      <c r="DH506" s="380">
        <v>0</v>
      </c>
      <c r="DI506" s="380">
        <v>0</v>
      </c>
      <c r="DJ506" s="380">
        <v>0</v>
      </c>
      <c r="DK506" s="702">
        <f t="shared" si="446"/>
        <v>52199</v>
      </c>
      <c r="DL506" s="311">
        <f t="shared" si="397"/>
        <v>0.32999999999999996</v>
      </c>
      <c r="DM506" s="310">
        <f t="shared" si="398"/>
        <v>100.38269230769231</v>
      </c>
      <c r="DN506" s="356">
        <f t="shared" si="399"/>
        <v>100</v>
      </c>
      <c r="DO506" s="308">
        <f t="shared" si="400"/>
        <v>0.33</v>
      </c>
      <c r="DP506" s="359">
        <f t="shared" si="418"/>
        <v>0.33</v>
      </c>
      <c r="DQ506" s="306">
        <f t="shared" si="401"/>
        <v>0.33</v>
      </c>
      <c r="DR506" s="379">
        <f t="shared" si="402"/>
        <v>0.99999999999999989</v>
      </c>
      <c r="DS506" s="378">
        <f t="shared" si="403"/>
        <v>0</v>
      </c>
      <c r="DT506" s="173">
        <v>75</v>
      </c>
      <c r="DU506" s="174" t="s">
        <v>231</v>
      </c>
      <c r="DV506" s="173">
        <v>76</v>
      </c>
      <c r="DW506" s="174" t="s">
        <v>131</v>
      </c>
      <c r="DX506" s="173">
        <v>77</v>
      </c>
      <c r="DY506" s="173"/>
      <c r="DZ506" s="173"/>
      <c r="EA506" s="665"/>
      <c r="EB506" s="1254" t="s">
        <v>2476</v>
      </c>
      <c r="EC506" s="537">
        <v>0</v>
      </c>
      <c r="EE506" s="733">
        <v>0</v>
      </c>
      <c r="EF506" s="706"/>
    </row>
    <row r="507" spans="4:136" s="302" customFormat="1" ht="178.5" hidden="1">
      <c r="D507" s="520">
        <v>504</v>
      </c>
      <c r="E507" s="534">
        <v>576</v>
      </c>
      <c r="F507" s="479" t="s">
        <v>46</v>
      </c>
      <c r="G507" s="479" t="s">
        <v>28</v>
      </c>
      <c r="H507" s="479" t="s">
        <v>2681</v>
      </c>
      <c r="I507" s="479" t="s">
        <v>1178</v>
      </c>
      <c r="J507" s="335" t="s">
        <v>1190</v>
      </c>
      <c r="K507" s="335" t="s">
        <v>1191</v>
      </c>
      <c r="L507" s="358" t="s">
        <v>1404</v>
      </c>
      <c r="M507" s="334" t="s">
        <v>1771</v>
      </c>
      <c r="N507" s="334">
        <v>55</v>
      </c>
      <c r="O507" s="333">
        <f t="shared" si="419"/>
        <v>100</v>
      </c>
      <c r="P507" s="332">
        <v>45</v>
      </c>
      <c r="Q507" s="390">
        <v>0.16500000000000001</v>
      </c>
      <c r="R507" s="342">
        <f t="shared" si="381"/>
        <v>3.6666666666666667E-2</v>
      </c>
      <c r="S507" s="389">
        <v>10</v>
      </c>
      <c r="T507" s="403">
        <f t="shared" si="434"/>
        <v>0.22222222222222221</v>
      </c>
      <c r="U507" s="670">
        <v>13</v>
      </c>
      <c r="V507" s="388">
        <f t="shared" si="435"/>
        <v>13</v>
      </c>
      <c r="W507" s="356">
        <f t="shared" si="436"/>
        <v>130</v>
      </c>
      <c r="X507" s="356">
        <f t="shared" si="382"/>
        <v>100</v>
      </c>
      <c r="Y507" s="356">
        <f t="shared" si="417"/>
        <v>3.6666666666666667E-2</v>
      </c>
      <c r="Z507" s="356">
        <f t="shared" si="383"/>
        <v>100</v>
      </c>
      <c r="AA507" s="355">
        <v>0</v>
      </c>
      <c r="AB507" s="355">
        <v>0</v>
      </c>
      <c r="AC507" s="355">
        <v>0</v>
      </c>
      <c r="AD507" s="355">
        <v>0</v>
      </c>
      <c r="AE507" s="355">
        <v>0</v>
      </c>
      <c r="AF507" s="355">
        <v>0</v>
      </c>
      <c r="AG507" s="355">
        <v>0</v>
      </c>
      <c r="AH507" s="355">
        <v>0</v>
      </c>
      <c r="AI507" s="355">
        <v>7052000000</v>
      </c>
      <c r="AJ507" s="355">
        <v>7052000000</v>
      </c>
      <c r="AK507" s="355">
        <v>0</v>
      </c>
      <c r="AL507" s="355">
        <v>0</v>
      </c>
      <c r="AM507" s="355">
        <v>0</v>
      </c>
      <c r="AN507" s="355">
        <v>0</v>
      </c>
      <c r="AO507" s="355">
        <v>0</v>
      </c>
      <c r="AP507" s="355">
        <v>0</v>
      </c>
      <c r="AQ507" s="355">
        <v>0</v>
      </c>
      <c r="AR507" s="355">
        <v>0</v>
      </c>
      <c r="AS507" s="355">
        <v>0</v>
      </c>
      <c r="AT507" s="333">
        <f t="shared" si="384"/>
        <v>4.4000000000000004E-2</v>
      </c>
      <c r="AU507" s="334">
        <v>12</v>
      </c>
      <c r="AV507" s="387">
        <f t="shared" si="437"/>
        <v>0.26666666666666666</v>
      </c>
      <c r="AW507" s="677">
        <v>12</v>
      </c>
      <c r="AX507" s="366">
        <f t="shared" si="438"/>
        <v>12</v>
      </c>
      <c r="AY507" s="366">
        <f t="shared" si="439"/>
        <v>100</v>
      </c>
      <c r="AZ507" s="366">
        <f t="shared" si="385"/>
        <v>100</v>
      </c>
      <c r="BA507" s="354">
        <f t="shared" si="386"/>
        <v>4.4000000000000004E-2</v>
      </c>
      <c r="BB507" s="354">
        <f t="shared" si="387"/>
        <v>100</v>
      </c>
      <c r="BC507" s="353">
        <v>0</v>
      </c>
      <c r="BD507" s="353">
        <v>0</v>
      </c>
      <c r="BE507" s="353">
        <v>0</v>
      </c>
      <c r="BF507" s="353">
        <v>0</v>
      </c>
      <c r="BG507" s="353">
        <v>0</v>
      </c>
      <c r="BH507" s="353">
        <v>0</v>
      </c>
      <c r="BI507" s="353">
        <v>0</v>
      </c>
      <c r="BJ507" s="353">
        <v>0</v>
      </c>
      <c r="BK507" s="386">
        <v>7180498445</v>
      </c>
      <c r="BL507" s="351">
        <v>7180498445</v>
      </c>
      <c r="BM507" s="351">
        <v>0</v>
      </c>
      <c r="BN507" s="351">
        <v>0</v>
      </c>
      <c r="BO507" s="351">
        <v>0</v>
      </c>
      <c r="BP507" s="351">
        <v>0</v>
      </c>
      <c r="BQ507" s="351">
        <v>0</v>
      </c>
      <c r="BR507" s="351">
        <v>0</v>
      </c>
      <c r="BS507" s="351">
        <v>0</v>
      </c>
      <c r="BT507" s="351">
        <v>0</v>
      </c>
      <c r="BU507" s="351">
        <v>0</v>
      </c>
      <c r="BV507" s="350">
        <f t="shared" si="388"/>
        <v>2.9333333333333336E-2</v>
      </c>
      <c r="BW507" s="350">
        <v>8</v>
      </c>
      <c r="BX507" s="385">
        <f t="shared" si="440"/>
        <v>0.17777777777777778</v>
      </c>
      <c r="BY507" s="369">
        <v>4</v>
      </c>
      <c r="BZ507" s="391">
        <v>6</v>
      </c>
      <c r="CA507" s="689">
        <v>8</v>
      </c>
      <c r="CB507" s="324">
        <f t="shared" si="441"/>
        <v>8</v>
      </c>
      <c r="CC507" s="324">
        <f t="shared" si="442"/>
        <v>100</v>
      </c>
      <c r="CD507" s="384">
        <f t="shared" si="389"/>
        <v>100</v>
      </c>
      <c r="CE507" s="383">
        <f t="shared" si="390"/>
        <v>2.9333333333333336E-2</v>
      </c>
      <c r="CF507" s="367">
        <f t="shared" si="391"/>
        <v>100</v>
      </c>
      <c r="CG507" s="383">
        <f t="shared" si="392"/>
        <v>2.9333333333333336E-2</v>
      </c>
      <c r="CH507" s="320">
        <f t="shared" si="393"/>
        <v>5.5E-2</v>
      </c>
      <c r="CI507" s="319">
        <v>15</v>
      </c>
      <c r="CJ507" s="318">
        <f t="shared" si="443"/>
        <v>0.33333333333333331</v>
      </c>
      <c r="CK507" s="1258">
        <v>14</v>
      </c>
      <c r="CL507" s="301">
        <f t="shared" si="433"/>
        <v>1</v>
      </c>
      <c r="CM507" s="381">
        <f t="shared" si="444"/>
        <v>14</v>
      </c>
      <c r="CN507" s="381">
        <f t="shared" si="445"/>
        <v>93.333333333333329</v>
      </c>
      <c r="CO507" s="316">
        <f t="shared" si="394"/>
        <v>93.333333333333329</v>
      </c>
      <c r="CP507" s="381">
        <f t="shared" si="395"/>
        <v>5.1333333333333328E-2</v>
      </c>
      <c r="CQ507" s="381">
        <f t="shared" si="396"/>
        <v>5.1333333333333328E-2</v>
      </c>
      <c r="CR507" s="313">
        <v>0</v>
      </c>
      <c r="CS507" s="313">
        <v>0</v>
      </c>
      <c r="CT507" s="313">
        <v>0</v>
      </c>
      <c r="CU507" s="313">
        <v>0</v>
      </c>
      <c r="CV507" s="313">
        <v>0</v>
      </c>
      <c r="CW507" s="313">
        <v>0</v>
      </c>
      <c r="CX507" s="313">
        <v>0</v>
      </c>
      <c r="CY507" s="313">
        <v>0</v>
      </c>
      <c r="CZ507" s="380">
        <v>0</v>
      </c>
      <c r="DA507" s="380">
        <v>0</v>
      </c>
      <c r="DB507" s="380">
        <v>0</v>
      </c>
      <c r="DC507" s="380">
        <v>0</v>
      </c>
      <c r="DD507" s="380">
        <v>0</v>
      </c>
      <c r="DE507" s="380">
        <v>0</v>
      </c>
      <c r="DF507" s="380">
        <v>0</v>
      </c>
      <c r="DG507" s="380">
        <v>0</v>
      </c>
      <c r="DH507" s="380">
        <v>0</v>
      </c>
      <c r="DI507" s="380">
        <v>0</v>
      </c>
      <c r="DJ507" s="380">
        <v>0</v>
      </c>
      <c r="DK507" s="702">
        <f t="shared" si="446"/>
        <v>47</v>
      </c>
      <c r="DL507" s="311">
        <f t="shared" si="397"/>
        <v>0.16500000000000001</v>
      </c>
      <c r="DM507" s="310">
        <f t="shared" si="398"/>
        <v>104.44444444444444</v>
      </c>
      <c r="DN507" s="356">
        <f t="shared" si="399"/>
        <v>100</v>
      </c>
      <c r="DO507" s="308">
        <f t="shared" si="400"/>
        <v>0.16500000000000001</v>
      </c>
      <c r="DP507" s="359">
        <f t="shared" si="418"/>
        <v>0.16500000000000001</v>
      </c>
      <c r="DQ507" s="306">
        <f t="shared" si="401"/>
        <v>0.16500000000000001</v>
      </c>
      <c r="DR507" s="379">
        <f t="shared" si="402"/>
        <v>1</v>
      </c>
      <c r="DS507" s="378">
        <f t="shared" si="403"/>
        <v>0</v>
      </c>
      <c r="DT507" s="173">
        <v>612</v>
      </c>
      <c r="DU507" s="174" t="s">
        <v>97</v>
      </c>
      <c r="DV507" s="173"/>
      <c r="DW507" s="174" t="s">
        <v>84</v>
      </c>
      <c r="DX507" s="173"/>
      <c r="DY507" s="173"/>
      <c r="DZ507" s="173"/>
      <c r="EA507" s="665"/>
      <c r="EB507" s="1254" t="s">
        <v>2604</v>
      </c>
      <c r="EC507" s="537">
        <v>2800000000</v>
      </c>
      <c r="EE507" s="734">
        <v>1</v>
      </c>
      <c r="EF507" s="706"/>
    </row>
    <row r="508" spans="4:136" s="302" customFormat="1" ht="63.75" hidden="1">
      <c r="D508" s="520">
        <v>505</v>
      </c>
      <c r="E508" s="534">
        <v>577</v>
      </c>
      <c r="F508" s="479" t="s">
        <v>46</v>
      </c>
      <c r="G508" s="479" t="s">
        <v>30</v>
      </c>
      <c r="H508" s="479" t="s">
        <v>2681</v>
      </c>
      <c r="I508" s="479" t="s">
        <v>1192</v>
      </c>
      <c r="J508" s="335" t="s">
        <v>1193</v>
      </c>
      <c r="K508" s="335" t="s">
        <v>1194</v>
      </c>
      <c r="L508" s="358" t="s">
        <v>1793</v>
      </c>
      <c r="M508" s="334" t="s">
        <v>1771</v>
      </c>
      <c r="N508" s="334">
        <v>0</v>
      </c>
      <c r="O508" s="333">
        <f t="shared" si="419"/>
        <v>1800</v>
      </c>
      <c r="P508" s="332">
        <v>1800</v>
      </c>
      <c r="Q508" s="390">
        <v>0.33</v>
      </c>
      <c r="R508" s="342">
        <f t="shared" si="381"/>
        <v>0</v>
      </c>
      <c r="S508" s="389">
        <v>0</v>
      </c>
      <c r="T508" s="337">
        <f t="shared" si="434"/>
        <v>0</v>
      </c>
      <c r="U508" s="670">
        <v>0</v>
      </c>
      <c r="V508" s="388">
        <f t="shared" si="435"/>
        <v>0</v>
      </c>
      <c r="W508" s="356">
        <f t="shared" si="436"/>
        <v>0</v>
      </c>
      <c r="X508" s="356">
        <f t="shared" si="382"/>
        <v>0</v>
      </c>
      <c r="Y508" s="356">
        <f t="shared" si="417"/>
        <v>0</v>
      </c>
      <c r="Z508" s="356">
        <f t="shared" si="383"/>
        <v>0</v>
      </c>
      <c r="AA508" s="355">
        <v>3000000000</v>
      </c>
      <c r="AB508" s="355">
        <v>600000000</v>
      </c>
      <c r="AC508" s="355">
        <v>2400000000</v>
      </c>
      <c r="AD508" s="355">
        <v>0</v>
      </c>
      <c r="AE508" s="355">
        <v>0</v>
      </c>
      <c r="AF508" s="355">
        <v>0</v>
      </c>
      <c r="AG508" s="355">
        <v>0</v>
      </c>
      <c r="AH508" s="355">
        <v>0</v>
      </c>
      <c r="AI508" s="355">
        <v>2844000000</v>
      </c>
      <c r="AJ508" s="355">
        <v>579000000</v>
      </c>
      <c r="AK508" s="355">
        <v>2265000000</v>
      </c>
      <c r="AL508" s="355">
        <v>0</v>
      </c>
      <c r="AM508" s="355">
        <v>0</v>
      </c>
      <c r="AN508" s="355">
        <v>0</v>
      </c>
      <c r="AO508" s="355">
        <v>0</v>
      </c>
      <c r="AP508" s="355">
        <v>0</v>
      </c>
      <c r="AQ508" s="355">
        <v>0</v>
      </c>
      <c r="AR508" s="355">
        <v>837000000</v>
      </c>
      <c r="AS508" s="355" t="s">
        <v>1788</v>
      </c>
      <c r="AT508" s="333">
        <f t="shared" si="384"/>
        <v>7.3333333333333334E-2</v>
      </c>
      <c r="AU508" s="334">
        <v>400</v>
      </c>
      <c r="AV508" s="387">
        <f t="shared" si="437"/>
        <v>0.22222222222222221</v>
      </c>
      <c r="AW508" s="677">
        <v>407</v>
      </c>
      <c r="AX508" s="366">
        <f t="shared" si="438"/>
        <v>407</v>
      </c>
      <c r="AY508" s="366">
        <f t="shared" si="439"/>
        <v>101.75</v>
      </c>
      <c r="AZ508" s="366">
        <f t="shared" si="385"/>
        <v>100</v>
      </c>
      <c r="BA508" s="354">
        <f t="shared" si="386"/>
        <v>7.3333333333333334E-2</v>
      </c>
      <c r="BB508" s="354">
        <f t="shared" si="387"/>
        <v>100</v>
      </c>
      <c r="BC508" s="353">
        <v>24157000000</v>
      </c>
      <c r="BD508" s="353">
        <v>1209000000</v>
      </c>
      <c r="BE508" s="353">
        <v>4450000000</v>
      </c>
      <c r="BF508" s="353">
        <v>0</v>
      </c>
      <c r="BG508" s="353">
        <v>0</v>
      </c>
      <c r="BH508" s="353">
        <v>0</v>
      </c>
      <c r="BI508" s="353">
        <v>0</v>
      </c>
      <c r="BJ508" s="353">
        <v>18498000</v>
      </c>
      <c r="BK508" s="386">
        <v>1768878793</v>
      </c>
      <c r="BL508" s="351">
        <v>1768878793</v>
      </c>
      <c r="BM508" s="351">
        <v>0</v>
      </c>
      <c r="BN508" s="351">
        <v>0</v>
      </c>
      <c r="BO508" s="351">
        <v>0</v>
      </c>
      <c r="BP508" s="351">
        <v>0</v>
      </c>
      <c r="BQ508" s="351">
        <v>0</v>
      </c>
      <c r="BR508" s="351">
        <v>0</v>
      </c>
      <c r="BS508" s="351">
        <v>0</v>
      </c>
      <c r="BT508" s="351">
        <v>0</v>
      </c>
      <c r="BU508" s="351">
        <v>0</v>
      </c>
      <c r="BV508" s="350">
        <f t="shared" si="388"/>
        <v>9.1666666666666674E-2</v>
      </c>
      <c r="BW508" s="350">
        <v>500</v>
      </c>
      <c r="BX508" s="385">
        <f t="shared" si="440"/>
        <v>0.27777777777777779</v>
      </c>
      <c r="BY508" s="369">
        <v>513</v>
      </c>
      <c r="BZ508" s="391">
        <v>760</v>
      </c>
      <c r="CA508" s="689">
        <v>100</v>
      </c>
      <c r="CB508" s="324">
        <f t="shared" si="441"/>
        <v>100</v>
      </c>
      <c r="CC508" s="324">
        <f t="shared" si="442"/>
        <v>20</v>
      </c>
      <c r="CD508" s="384">
        <f t="shared" si="389"/>
        <v>20</v>
      </c>
      <c r="CE508" s="383">
        <f t="shared" si="390"/>
        <v>1.8333333333333333E-2</v>
      </c>
      <c r="CF508" s="367">
        <f t="shared" si="391"/>
        <v>100</v>
      </c>
      <c r="CG508" s="383">
        <f t="shared" si="392"/>
        <v>1.8333333333333333E-2</v>
      </c>
      <c r="CH508" s="320">
        <f t="shared" si="393"/>
        <v>0.16500000000000001</v>
      </c>
      <c r="CI508" s="319">
        <v>900</v>
      </c>
      <c r="CJ508" s="318">
        <f t="shared" si="443"/>
        <v>0.5</v>
      </c>
      <c r="CK508" s="1258">
        <v>406</v>
      </c>
      <c r="CL508" s="301">
        <f t="shared" si="433"/>
        <v>494</v>
      </c>
      <c r="CM508" s="381">
        <f t="shared" si="444"/>
        <v>406</v>
      </c>
      <c r="CN508" s="381">
        <f t="shared" si="445"/>
        <v>45.111111111111114</v>
      </c>
      <c r="CO508" s="316">
        <f t="shared" si="394"/>
        <v>45.111111111111114</v>
      </c>
      <c r="CP508" s="381">
        <f t="shared" si="395"/>
        <v>7.4433333333333337E-2</v>
      </c>
      <c r="CQ508" s="381">
        <f t="shared" si="396"/>
        <v>7.4433333333333337E-2</v>
      </c>
      <c r="CR508" s="313">
        <v>24287000000</v>
      </c>
      <c r="CS508" s="313">
        <v>4450000000</v>
      </c>
      <c r="CT508" s="313">
        <v>1337000000</v>
      </c>
      <c r="CU508" s="313">
        <v>0</v>
      </c>
      <c r="CV508" s="313">
        <v>0</v>
      </c>
      <c r="CW508" s="313">
        <v>0</v>
      </c>
      <c r="CX508" s="313">
        <v>0</v>
      </c>
      <c r="CY508" s="313">
        <v>18500000</v>
      </c>
      <c r="CZ508" s="380">
        <v>0</v>
      </c>
      <c r="DA508" s="380">
        <v>0</v>
      </c>
      <c r="DB508" s="380">
        <v>0</v>
      </c>
      <c r="DC508" s="380">
        <v>0</v>
      </c>
      <c r="DD508" s="380">
        <v>0</v>
      </c>
      <c r="DE508" s="380">
        <v>0</v>
      </c>
      <c r="DF508" s="380">
        <v>0</v>
      </c>
      <c r="DG508" s="380">
        <v>0</v>
      </c>
      <c r="DH508" s="380">
        <v>0</v>
      </c>
      <c r="DI508" s="380">
        <v>0</v>
      </c>
      <c r="DJ508" s="380">
        <v>0</v>
      </c>
      <c r="DK508" s="702">
        <f t="shared" si="446"/>
        <v>913</v>
      </c>
      <c r="DL508" s="311">
        <f t="shared" si="397"/>
        <v>0.33</v>
      </c>
      <c r="DM508" s="310">
        <f t="shared" si="398"/>
        <v>50.722222222222221</v>
      </c>
      <c r="DN508" s="356">
        <f t="shared" si="399"/>
        <v>50.722222222222221</v>
      </c>
      <c r="DO508" s="308">
        <f t="shared" si="400"/>
        <v>0.16738333333333333</v>
      </c>
      <c r="DP508" s="359">
        <f t="shared" si="418"/>
        <v>0.16738333333333333</v>
      </c>
      <c r="DQ508" s="306">
        <f t="shared" si="401"/>
        <v>0.16738333333333333</v>
      </c>
      <c r="DR508" s="379">
        <f t="shared" si="402"/>
        <v>1</v>
      </c>
      <c r="DS508" s="378">
        <f t="shared" si="403"/>
        <v>0</v>
      </c>
      <c r="DT508" s="173">
        <v>621</v>
      </c>
      <c r="DU508" s="174" t="s">
        <v>89</v>
      </c>
      <c r="DV508" s="173"/>
      <c r="DW508" s="174" t="s">
        <v>84</v>
      </c>
      <c r="DX508" s="173"/>
      <c r="DY508" s="173"/>
      <c r="DZ508" s="173"/>
      <c r="EA508" s="665"/>
      <c r="EB508" s="1254" t="s">
        <v>3170</v>
      </c>
      <c r="EC508" s="537">
        <v>2574000000</v>
      </c>
      <c r="EE508" s="734">
        <v>2</v>
      </c>
      <c r="EF508" s="706"/>
    </row>
    <row r="509" spans="4:136" s="302" customFormat="1" ht="51.75" hidden="1" thickBot="1">
      <c r="D509" s="520">
        <v>506</v>
      </c>
      <c r="E509" s="534">
        <v>578</v>
      </c>
      <c r="F509" s="479" t="s">
        <v>46</v>
      </c>
      <c r="G509" s="479" t="s">
        <v>30</v>
      </c>
      <c r="H509" s="479" t="s">
        <v>2681</v>
      </c>
      <c r="I509" s="479" t="s">
        <v>1192</v>
      </c>
      <c r="J509" s="335" t="s">
        <v>1195</v>
      </c>
      <c r="K509" s="335" t="s">
        <v>1196</v>
      </c>
      <c r="L509" s="358" t="s">
        <v>1415</v>
      </c>
      <c r="M509" s="334" t="s">
        <v>1771</v>
      </c>
      <c r="N509" s="334">
        <v>0</v>
      </c>
      <c r="O509" s="333">
        <f t="shared" si="419"/>
        <v>20</v>
      </c>
      <c r="P509" s="332">
        <v>20</v>
      </c>
      <c r="Q509" s="390">
        <v>0.25</v>
      </c>
      <c r="R509" s="342">
        <f t="shared" si="381"/>
        <v>6.25E-2</v>
      </c>
      <c r="S509" s="389">
        <v>5</v>
      </c>
      <c r="T509" s="402">
        <f t="shared" si="434"/>
        <v>0.25</v>
      </c>
      <c r="U509" s="670">
        <v>28</v>
      </c>
      <c r="V509" s="388">
        <f t="shared" si="435"/>
        <v>28</v>
      </c>
      <c r="W509" s="356">
        <f t="shared" si="436"/>
        <v>560</v>
      </c>
      <c r="X509" s="356">
        <f t="shared" si="382"/>
        <v>100</v>
      </c>
      <c r="Y509" s="356">
        <f t="shared" si="417"/>
        <v>6.25E-2</v>
      </c>
      <c r="Z509" s="356">
        <f t="shared" si="383"/>
        <v>100</v>
      </c>
      <c r="AA509" s="355">
        <v>150000000</v>
      </c>
      <c r="AB509" s="355">
        <v>150000000</v>
      </c>
      <c r="AC509" s="355">
        <v>0</v>
      </c>
      <c r="AD509" s="355">
        <v>0</v>
      </c>
      <c r="AE509" s="355">
        <v>0</v>
      </c>
      <c r="AF509" s="355">
        <v>0</v>
      </c>
      <c r="AG509" s="355">
        <v>0</v>
      </c>
      <c r="AH509" s="355">
        <v>0</v>
      </c>
      <c r="AI509" s="355">
        <v>150000000</v>
      </c>
      <c r="AJ509" s="355">
        <v>150000000</v>
      </c>
      <c r="AK509" s="355">
        <v>0</v>
      </c>
      <c r="AL509" s="355">
        <v>0</v>
      </c>
      <c r="AM509" s="355">
        <v>0</v>
      </c>
      <c r="AN509" s="355">
        <v>0</v>
      </c>
      <c r="AO509" s="355">
        <v>0</v>
      </c>
      <c r="AP509" s="355">
        <v>0</v>
      </c>
      <c r="AQ509" s="355">
        <v>0</v>
      </c>
      <c r="AR509" s="355">
        <v>690881000</v>
      </c>
      <c r="AS509" s="355" t="s">
        <v>1788</v>
      </c>
      <c r="AT509" s="333">
        <f t="shared" si="384"/>
        <v>6.25E-2</v>
      </c>
      <c r="AU509" s="334">
        <v>5</v>
      </c>
      <c r="AV509" s="387">
        <f t="shared" si="437"/>
        <v>0.25</v>
      </c>
      <c r="AW509" s="677">
        <v>0</v>
      </c>
      <c r="AX509" s="366">
        <f t="shared" si="438"/>
        <v>0</v>
      </c>
      <c r="AY509" s="366">
        <f t="shared" si="439"/>
        <v>0</v>
      </c>
      <c r="AZ509" s="366">
        <f t="shared" si="385"/>
        <v>0</v>
      </c>
      <c r="BA509" s="354">
        <f t="shared" si="386"/>
        <v>0</v>
      </c>
      <c r="BB509" s="354">
        <f t="shared" si="387"/>
        <v>0</v>
      </c>
      <c r="BC509" s="353">
        <v>1110000000</v>
      </c>
      <c r="BD509" s="353">
        <v>0</v>
      </c>
      <c r="BE509" s="353">
        <v>500000000</v>
      </c>
      <c r="BF509" s="353">
        <v>0</v>
      </c>
      <c r="BG509" s="353">
        <v>0</v>
      </c>
      <c r="BH509" s="353">
        <v>0</v>
      </c>
      <c r="BI509" s="353">
        <v>0</v>
      </c>
      <c r="BJ509" s="353">
        <v>610000000</v>
      </c>
      <c r="BK509" s="386">
        <v>0</v>
      </c>
      <c r="BL509" s="351">
        <v>0</v>
      </c>
      <c r="BM509" s="351">
        <v>0</v>
      </c>
      <c r="BN509" s="351">
        <v>0</v>
      </c>
      <c r="BO509" s="351">
        <v>0</v>
      </c>
      <c r="BP509" s="351">
        <v>0</v>
      </c>
      <c r="BQ509" s="351">
        <v>0</v>
      </c>
      <c r="BR509" s="351">
        <v>0</v>
      </c>
      <c r="BS509" s="351">
        <v>0</v>
      </c>
      <c r="BT509" s="351">
        <v>0</v>
      </c>
      <c r="BU509" s="351">
        <v>0</v>
      </c>
      <c r="BV509" s="350">
        <f t="shared" si="388"/>
        <v>6.25E-2</v>
      </c>
      <c r="BW509" s="350">
        <v>5</v>
      </c>
      <c r="BX509" s="385">
        <f t="shared" si="440"/>
        <v>0.25</v>
      </c>
      <c r="BY509" s="1386">
        <v>0</v>
      </c>
      <c r="BZ509" s="1389">
        <v>0</v>
      </c>
      <c r="CA509" s="689">
        <v>2</v>
      </c>
      <c r="CB509" s="324">
        <f t="shared" si="441"/>
        <v>2</v>
      </c>
      <c r="CC509" s="324">
        <f t="shared" si="442"/>
        <v>40</v>
      </c>
      <c r="CD509" s="384">
        <f t="shared" si="389"/>
        <v>40</v>
      </c>
      <c r="CE509" s="383">
        <f t="shared" si="390"/>
        <v>2.5000000000000001E-2</v>
      </c>
      <c r="CF509" s="367">
        <f t="shared" si="391"/>
        <v>40</v>
      </c>
      <c r="CG509" s="383">
        <f t="shared" si="392"/>
        <v>2.5000000000000001E-2</v>
      </c>
      <c r="CH509" s="320">
        <f t="shared" si="393"/>
        <v>6.25E-2</v>
      </c>
      <c r="CI509" s="319">
        <v>5</v>
      </c>
      <c r="CJ509" s="318">
        <f t="shared" si="443"/>
        <v>0.25</v>
      </c>
      <c r="CK509" s="1258">
        <v>0</v>
      </c>
      <c r="CL509" s="301">
        <f t="shared" si="433"/>
        <v>5</v>
      </c>
      <c r="CM509" s="381">
        <f t="shared" si="444"/>
        <v>0</v>
      </c>
      <c r="CN509" s="381">
        <f t="shared" si="445"/>
        <v>0</v>
      </c>
      <c r="CO509" s="316">
        <f t="shared" si="394"/>
        <v>0</v>
      </c>
      <c r="CP509" s="381">
        <f t="shared" si="395"/>
        <v>0</v>
      </c>
      <c r="CQ509" s="381">
        <f t="shared" si="396"/>
        <v>0</v>
      </c>
      <c r="CR509" s="313">
        <v>1093000000</v>
      </c>
      <c r="CS509" s="313">
        <v>481000000</v>
      </c>
      <c r="CT509" s="313">
        <v>0</v>
      </c>
      <c r="CU509" s="313">
        <v>0</v>
      </c>
      <c r="CV509" s="313">
        <v>0</v>
      </c>
      <c r="CW509" s="313">
        <v>0</v>
      </c>
      <c r="CX509" s="313">
        <v>0</v>
      </c>
      <c r="CY509" s="313">
        <v>612000000</v>
      </c>
      <c r="CZ509" s="380">
        <v>0</v>
      </c>
      <c r="DA509" s="380">
        <v>0</v>
      </c>
      <c r="DB509" s="380">
        <v>0</v>
      </c>
      <c r="DC509" s="380">
        <v>0</v>
      </c>
      <c r="DD509" s="380">
        <v>0</v>
      </c>
      <c r="DE509" s="380">
        <v>0</v>
      </c>
      <c r="DF509" s="380">
        <v>0</v>
      </c>
      <c r="DG509" s="380">
        <v>0</v>
      </c>
      <c r="DH509" s="380">
        <v>0</v>
      </c>
      <c r="DI509" s="380">
        <v>0</v>
      </c>
      <c r="DJ509" s="380">
        <v>0</v>
      </c>
      <c r="DK509" s="702">
        <f t="shared" si="446"/>
        <v>30</v>
      </c>
      <c r="DL509" s="311">
        <f t="shared" si="397"/>
        <v>0.25</v>
      </c>
      <c r="DM509" s="310">
        <f t="shared" si="398"/>
        <v>150</v>
      </c>
      <c r="DN509" s="356">
        <f t="shared" si="399"/>
        <v>100</v>
      </c>
      <c r="DO509" s="308">
        <f t="shared" si="400"/>
        <v>0.25</v>
      </c>
      <c r="DP509" s="359">
        <f t="shared" si="418"/>
        <v>0.25</v>
      </c>
      <c r="DQ509" s="306">
        <f t="shared" si="401"/>
        <v>0.25</v>
      </c>
      <c r="DR509" s="379">
        <f t="shared" si="402"/>
        <v>1</v>
      </c>
      <c r="DS509" s="378">
        <f t="shared" si="403"/>
        <v>0</v>
      </c>
      <c r="DT509" s="173">
        <v>621</v>
      </c>
      <c r="DU509" s="174" t="s">
        <v>89</v>
      </c>
      <c r="DV509" s="173"/>
      <c r="DW509" s="174" t="s">
        <v>84</v>
      </c>
      <c r="DX509" s="173"/>
      <c r="DY509" s="173"/>
      <c r="DZ509" s="173"/>
      <c r="EA509" s="665"/>
      <c r="EB509" s="1254" t="s">
        <v>3171</v>
      </c>
      <c r="EC509" s="537">
        <v>40000000</v>
      </c>
      <c r="EE509" s="734">
        <v>1</v>
      </c>
      <c r="EF509" s="706"/>
    </row>
    <row r="510" spans="4:136" s="302" customFormat="1" ht="76.5" hidden="1">
      <c r="D510" s="520">
        <v>507</v>
      </c>
      <c r="E510" s="534">
        <v>579</v>
      </c>
      <c r="F510" s="479" t="s">
        <v>46</v>
      </c>
      <c r="G510" s="479" t="s">
        <v>30</v>
      </c>
      <c r="H510" s="479" t="s">
        <v>2681</v>
      </c>
      <c r="I510" s="479" t="s">
        <v>1192</v>
      </c>
      <c r="J510" s="335" t="s">
        <v>1197</v>
      </c>
      <c r="K510" s="335" t="s">
        <v>1198</v>
      </c>
      <c r="L510" s="358" t="s">
        <v>1796</v>
      </c>
      <c r="M510" s="334" t="s">
        <v>1771</v>
      </c>
      <c r="N510" s="334">
        <v>0</v>
      </c>
      <c r="O510" s="333">
        <f t="shared" si="419"/>
        <v>1</v>
      </c>
      <c r="P510" s="332">
        <v>1</v>
      </c>
      <c r="Q510" s="390">
        <v>8.8999999999999996E-2</v>
      </c>
      <c r="R510" s="342">
        <f t="shared" si="381"/>
        <v>1.78E-2</v>
      </c>
      <c r="S510" s="389">
        <v>0.2</v>
      </c>
      <c r="T510" s="337">
        <f t="shared" si="434"/>
        <v>0.2</v>
      </c>
      <c r="U510" s="670">
        <v>0</v>
      </c>
      <c r="V510" s="388">
        <f t="shared" si="435"/>
        <v>0</v>
      </c>
      <c r="W510" s="356">
        <f t="shared" si="436"/>
        <v>0</v>
      </c>
      <c r="X510" s="356">
        <f t="shared" si="382"/>
        <v>0</v>
      </c>
      <c r="Y510" s="356">
        <f t="shared" si="417"/>
        <v>0</v>
      </c>
      <c r="Z510" s="356">
        <f t="shared" si="383"/>
        <v>0</v>
      </c>
      <c r="AA510" s="355">
        <v>200000000</v>
      </c>
      <c r="AB510" s="355">
        <v>200000000</v>
      </c>
      <c r="AC510" s="355">
        <v>0</v>
      </c>
      <c r="AD510" s="355">
        <v>0</v>
      </c>
      <c r="AE510" s="355">
        <v>0</v>
      </c>
      <c r="AF510" s="355">
        <v>0</v>
      </c>
      <c r="AG510" s="355">
        <v>0</v>
      </c>
      <c r="AH510" s="355">
        <v>0</v>
      </c>
      <c r="AI510" s="355">
        <v>200000000</v>
      </c>
      <c r="AJ510" s="355">
        <v>200000000</v>
      </c>
      <c r="AK510" s="355">
        <v>0</v>
      </c>
      <c r="AL510" s="355">
        <v>0</v>
      </c>
      <c r="AM510" s="355">
        <v>0</v>
      </c>
      <c r="AN510" s="355">
        <v>0</v>
      </c>
      <c r="AO510" s="355">
        <v>0</v>
      </c>
      <c r="AP510" s="355">
        <v>0</v>
      </c>
      <c r="AQ510" s="355">
        <v>0</v>
      </c>
      <c r="AR510" s="355">
        <v>0</v>
      </c>
      <c r="AS510" s="355">
        <v>0</v>
      </c>
      <c r="AT510" s="333">
        <f t="shared" si="384"/>
        <v>7.1199999999999999E-2</v>
      </c>
      <c r="AU510" s="334">
        <v>0.8</v>
      </c>
      <c r="AV510" s="387">
        <f t="shared" si="437"/>
        <v>0.8</v>
      </c>
      <c r="AW510" s="677">
        <v>1</v>
      </c>
      <c r="AX510" s="366">
        <f t="shared" si="438"/>
        <v>1</v>
      </c>
      <c r="AY510" s="366">
        <f t="shared" si="439"/>
        <v>125</v>
      </c>
      <c r="AZ510" s="366">
        <f t="shared" si="385"/>
        <v>100</v>
      </c>
      <c r="BA510" s="354">
        <f t="shared" si="386"/>
        <v>7.1199999999999999E-2</v>
      </c>
      <c r="BB510" s="354">
        <f t="shared" si="387"/>
        <v>100</v>
      </c>
      <c r="BC510" s="353">
        <v>500000000</v>
      </c>
      <c r="BD510" s="353">
        <v>0</v>
      </c>
      <c r="BE510" s="353">
        <v>500000000</v>
      </c>
      <c r="BF510" s="353">
        <v>0</v>
      </c>
      <c r="BG510" s="353">
        <v>0</v>
      </c>
      <c r="BH510" s="353">
        <v>0</v>
      </c>
      <c r="BI510" s="353">
        <v>0</v>
      </c>
      <c r="BJ510" s="353">
        <v>0</v>
      </c>
      <c r="BK510" s="386">
        <v>289656824</v>
      </c>
      <c r="BL510" s="351">
        <v>289656824</v>
      </c>
      <c r="BM510" s="351">
        <v>0</v>
      </c>
      <c r="BN510" s="351">
        <v>0</v>
      </c>
      <c r="BO510" s="351">
        <v>0</v>
      </c>
      <c r="BP510" s="351">
        <v>0</v>
      </c>
      <c r="BQ510" s="351">
        <v>0</v>
      </c>
      <c r="BR510" s="351">
        <v>0</v>
      </c>
      <c r="BS510" s="351">
        <v>0</v>
      </c>
      <c r="BT510" s="351">
        <v>0</v>
      </c>
      <c r="BU510" s="351">
        <v>0</v>
      </c>
      <c r="BV510" s="350">
        <f t="shared" si="388"/>
        <v>0</v>
      </c>
      <c r="BW510" s="350">
        <v>0</v>
      </c>
      <c r="BX510" s="385">
        <f t="shared" si="440"/>
        <v>0</v>
      </c>
      <c r="BY510" s="395">
        <v>0</v>
      </c>
      <c r="BZ510" s="401">
        <v>0</v>
      </c>
      <c r="CA510" s="691">
        <v>0</v>
      </c>
      <c r="CB510" s="324">
        <f t="shared" si="441"/>
        <v>0</v>
      </c>
      <c r="CC510" s="324">
        <f t="shared" si="442"/>
        <v>0</v>
      </c>
      <c r="CD510" s="384">
        <f t="shared" si="389"/>
        <v>0</v>
      </c>
      <c r="CE510" s="383">
        <f t="shared" si="390"/>
        <v>0</v>
      </c>
      <c r="CF510" s="367">
        <f t="shared" si="391"/>
        <v>0</v>
      </c>
      <c r="CG510" s="383">
        <f t="shared" si="392"/>
        <v>0</v>
      </c>
      <c r="CH510" s="320">
        <f t="shared" si="393"/>
        <v>0</v>
      </c>
      <c r="CI510" s="319">
        <v>0</v>
      </c>
      <c r="CJ510" s="318">
        <f t="shared" si="443"/>
        <v>0</v>
      </c>
      <c r="CK510" s="1258">
        <v>0</v>
      </c>
      <c r="CL510" s="301">
        <f t="shared" si="433"/>
        <v>0</v>
      </c>
      <c r="CM510" s="381">
        <f t="shared" si="444"/>
        <v>0</v>
      </c>
      <c r="CN510" s="381">
        <f t="shared" si="445"/>
        <v>0</v>
      </c>
      <c r="CO510" s="316">
        <f t="shared" si="394"/>
        <v>0</v>
      </c>
      <c r="CP510" s="381">
        <f t="shared" si="395"/>
        <v>0</v>
      </c>
      <c r="CQ510" s="381">
        <f t="shared" si="396"/>
        <v>0</v>
      </c>
      <c r="CR510" s="313">
        <v>0</v>
      </c>
      <c r="CS510" s="313">
        <v>0</v>
      </c>
      <c r="CT510" s="313">
        <v>0</v>
      </c>
      <c r="CU510" s="313">
        <v>0</v>
      </c>
      <c r="CV510" s="313">
        <v>0</v>
      </c>
      <c r="CW510" s="313">
        <v>0</v>
      </c>
      <c r="CX510" s="313">
        <v>0</v>
      </c>
      <c r="CY510" s="313">
        <v>0</v>
      </c>
      <c r="CZ510" s="380">
        <v>0</v>
      </c>
      <c r="DA510" s="380">
        <v>0</v>
      </c>
      <c r="DB510" s="380">
        <v>0</v>
      </c>
      <c r="DC510" s="380">
        <v>0</v>
      </c>
      <c r="DD510" s="380">
        <v>0</v>
      </c>
      <c r="DE510" s="380">
        <v>0</v>
      </c>
      <c r="DF510" s="380">
        <v>0</v>
      </c>
      <c r="DG510" s="380">
        <v>0</v>
      </c>
      <c r="DH510" s="380">
        <v>0</v>
      </c>
      <c r="DI510" s="380">
        <v>0</v>
      </c>
      <c r="DJ510" s="380">
        <v>0</v>
      </c>
      <c r="DK510" s="702">
        <f t="shared" si="446"/>
        <v>1</v>
      </c>
      <c r="DL510" s="311">
        <f t="shared" si="397"/>
        <v>8.8999999999999996E-2</v>
      </c>
      <c r="DM510" s="310">
        <f t="shared" si="398"/>
        <v>100</v>
      </c>
      <c r="DN510" s="356">
        <f t="shared" si="399"/>
        <v>100</v>
      </c>
      <c r="DO510" s="308">
        <f t="shared" si="400"/>
        <v>8.900000000000001E-2</v>
      </c>
      <c r="DP510" s="359">
        <f t="shared" si="418"/>
        <v>8.8999999999999996E-2</v>
      </c>
      <c r="DQ510" s="306">
        <f t="shared" si="401"/>
        <v>8.8999999999999996E-2</v>
      </c>
      <c r="DR510" s="379">
        <f t="shared" si="402"/>
        <v>1</v>
      </c>
      <c r="DS510" s="378">
        <f t="shared" si="403"/>
        <v>0</v>
      </c>
      <c r="DT510" s="173">
        <v>621</v>
      </c>
      <c r="DU510" s="174" t="s">
        <v>89</v>
      </c>
      <c r="DV510" s="173"/>
      <c r="DW510" s="174" t="s">
        <v>84</v>
      </c>
      <c r="DX510" s="173"/>
      <c r="DY510" s="173"/>
      <c r="DZ510" s="173"/>
      <c r="EA510" s="665"/>
      <c r="EB510" s="1254" t="s">
        <v>3172</v>
      </c>
      <c r="EC510" s="537">
        <v>59000000</v>
      </c>
      <c r="EE510" s="734">
        <v>0</v>
      </c>
      <c r="EF510" s="706"/>
    </row>
    <row r="511" spans="4:136" s="302" customFormat="1" ht="229.5" hidden="1">
      <c r="D511" s="520">
        <v>508</v>
      </c>
      <c r="E511" s="534">
        <v>580</v>
      </c>
      <c r="F511" s="479" t="s">
        <v>46</v>
      </c>
      <c r="G511" s="479" t="s">
        <v>30</v>
      </c>
      <c r="H511" s="479" t="s">
        <v>2681</v>
      </c>
      <c r="I511" s="479" t="s">
        <v>1192</v>
      </c>
      <c r="J511" s="335" t="s">
        <v>1199</v>
      </c>
      <c r="K511" s="335" t="s">
        <v>1200</v>
      </c>
      <c r="L511" s="358" t="s">
        <v>1795</v>
      </c>
      <c r="M511" s="390" t="s">
        <v>1771</v>
      </c>
      <c r="N511" s="334">
        <v>0</v>
      </c>
      <c r="O511" s="333">
        <f t="shared" si="419"/>
        <v>8</v>
      </c>
      <c r="P511" s="332">
        <v>8</v>
      </c>
      <c r="Q511" s="390">
        <v>0.25</v>
      </c>
      <c r="R511" s="342">
        <f t="shared" si="381"/>
        <v>3.125E-2</v>
      </c>
      <c r="S511" s="389">
        <v>1</v>
      </c>
      <c r="T511" s="337">
        <f t="shared" si="434"/>
        <v>0.125</v>
      </c>
      <c r="U511" s="670">
        <v>2</v>
      </c>
      <c r="V511" s="388">
        <f t="shared" si="435"/>
        <v>2</v>
      </c>
      <c r="W511" s="356">
        <f t="shared" si="436"/>
        <v>200</v>
      </c>
      <c r="X511" s="356">
        <f t="shared" si="382"/>
        <v>100</v>
      </c>
      <c r="Y511" s="356">
        <f t="shared" si="417"/>
        <v>3.125E-2</v>
      </c>
      <c r="Z511" s="356">
        <f t="shared" si="383"/>
        <v>100</v>
      </c>
      <c r="AA511" s="355">
        <v>700000000</v>
      </c>
      <c r="AB511" s="355">
        <v>700000000</v>
      </c>
      <c r="AC511" s="355">
        <v>0</v>
      </c>
      <c r="AD511" s="355">
        <v>0</v>
      </c>
      <c r="AE511" s="355">
        <v>0</v>
      </c>
      <c r="AF511" s="355">
        <v>0</v>
      </c>
      <c r="AG511" s="355">
        <v>0</v>
      </c>
      <c r="AH511" s="355">
        <v>0</v>
      </c>
      <c r="AI511" s="355">
        <v>200000000</v>
      </c>
      <c r="AJ511" s="355">
        <v>200000000</v>
      </c>
      <c r="AK511" s="355">
        <v>0</v>
      </c>
      <c r="AL511" s="355">
        <v>0</v>
      </c>
      <c r="AM511" s="355">
        <v>0</v>
      </c>
      <c r="AN511" s="355">
        <v>0</v>
      </c>
      <c r="AO511" s="355">
        <v>0</v>
      </c>
      <c r="AP511" s="355">
        <v>0</v>
      </c>
      <c r="AQ511" s="355">
        <v>0</v>
      </c>
      <c r="AR511" s="355">
        <v>0</v>
      </c>
      <c r="AS511" s="355">
        <v>0</v>
      </c>
      <c r="AT511" s="333">
        <f t="shared" si="384"/>
        <v>9.375E-2</v>
      </c>
      <c r="AU511" s="334">
        <v>3</v>
      </c>
      <c r="AV511" s="387">
        <f t="shared" si="437"/>
        <v>0.375</v>
      </c>
      <c r="AW511" s="677">
        <v>6</v>
      </c>
      <c r="AX511" s="366">
        <f t="shared" si="438"/>
        <v>6</v>
      </c>
      <c r="AY511" s="366">
        <f t="shared" si="439"/>
        <v>200</v>
      </c>
      <c r="AZ511" s="366">
        <f t="shared" si="385"/>
        <v>100</v>
      </c>
      <c r="BA511" s="354">
        <f t="shared" si="386"/>
        <v>9.375E-2</v>
      </c>
      <c r="BB511" s="354">
        <f t="shared" si="387"/>
        <v>100</v>
      </c>
      <c r="BC511" s="353">
        <v>0</v>
      </c>
      <c r="BD511" s="353">
        <v>0</v>
      </c>
      <c r="BE511" s="353">
        <v>0</v>
      </c>
      <c r="BF511" s="353">
        <v>0</v>
      </c>
      <c r="BG511" s="353">
        <v>0</v>
      </c>
      <c r="BH511" s="353">
        <v>0</v>
      </c>
      <c r="BI511" s="353">
        <v>0</v>
      </c>
      <c r="BJ511" s="353">
        <v>0</v>
      </c>
      <c r="BK511" s="386">
        <v>0</v>
      </c>
      <c r="BL511" s="351">
        <v>0</v>
      </c>
      <c r="BM511" s="351">
        <v>0</v>
      </c>
      <c r="BN511" s="351">
        <v>0</v>
      </c>
      <c r="BO511" s="351">
        <v>0</v>
      </c>
      <c r="BP511" s="351">
        <v>0</v>
      </c>
      <c r="BQ511" s="351">
        <v>0</v>
      </c>
      <c r="BR511" s="351">
        <v>0</v>
      </c>
      <c r="BS511" s="351">
        <v>0</v>
      </c>
      <c r="BT511" s="351">
        <v>0</v>
      </c>
      <c r="BU511" s="351">
        <v>0</v>
      </c>
      <c r="BV511" s="350">
        <f t="shared" si="388"/>
        <v>6.25E-2</v>
      </c>
      <c r="BW511" s="350">
        <v>2</v>
      </c>
      <c r="BX511" s="385">
        <f t="shared" si="440"/>
        <v>0.25</v>
      </c>
      <c r="BY511" s="369">
        <v>0</v>
      </c>
      <c r="BZ511" s="391">
        <v>0</v>
      </c>
      <c r="CA511" s="689" t="s">
        <v>1327</v>
      </c>
      <c r="CB511" s="324" t="str">
        <f t="shared" si="441"/>
        <v>2</v>
      </c>
      <c r="CC511" s="324">
        <f t="shared" si="442"/>
        <v>100</v>
      </c>
      <c r="CD511" s="384">
        <f t="shared" si="389"/>
        <v>100</v>
      </c>
      <c r="CE511" s="383">
        <f t="shared" si="390"/>
        <v>6.25E-2</v>
      </c>
      <c r="CF511" s="367">
        <f t="shared" si="391"/>
        <v>100</v>
      </c>
      <c r="CG511" s="383">
        <f t="shared" si="392"/>
        <v>6.25E-2</v>
      </c>
      <c r="CH511" s="320">
        <f t="shared" si="393"/>
        <v>6.25E-2</v>
      </c>
      <c r="CI511" s="319">
        <v>2</v>
      </c>
      <c r="CJ511" s="318">
        <f t="shared" si="443"/>
        <v>0.25</v>
      </c>
      <c r="CK511" s="1258">
        <v>0</v>
      </c>
      <c r="CL511" s="301">
        <f t="shared" si="433"/>
        <v>2</v>
      </c>
      <c r="CM511" s="381">
        <f t="shared" si="444"/>
        <v>0</v>
      </c>
      <c r="CN511" s="381">
        <f t="shared" si="445"/>
        <v>0</v>
      </c>
      <c r="CO511" s="316">
        <f t="shared" si="394"/>
        <v>0</v>
      </c>
      <c r="CP511" s="381">
        <f t="shared" si="395"/>
        <v>0</v>
      </c>
      <c r="CQ511" s="381">
        <f t="shared" si="396"/>
        <v>0</v>
      </c>
      <c r="CR511" s="313">
        <v>0</v>
      </c>
      <c r="CS511" s="313">
        <v>0</v>
      </c>
      <c r="CT511" s="313">
        <v>0</v>
      </c>
      <c r="CU511" s="313">
        <v>0</v>
      </c>
      <c r="CV511" s="313">
        <v>0</v>
      </c>
      <c r="CW511" s="313">
        <v>0</v>
      </c>
      <c r="CX511" s="313">
        <v>0</v>
      </c>
      <c r="CY511" s="313">
        <v>0</v>
      </c>
      <c r="CZ511" s="380">
        <v>0</v>
      </c>
      <c r="DA511" s="380">
        <v>0</v>
      </c>
      <c r="DB511" s="380">
        <v>0</v>
      </c>
      <c r="DC511" s="380">
        <v>0</v>
      </c>
      <c r="DD511" s="380">
        <v>0</v>
      </c>
      <c r="DE511" s="380">
        <v>0</v>
      </c>
      <c r="DF511" s="380">
        <v>0</v>
      </c>
      <c r="DG511" s="380">
        <v>0</v>
      </c>
      <c r="DH511" s="380">
        <v>0</v>
      </c>
      <c r="DI511" s="380">
        <v>0</v>
      </c>
      <c r="DJ511" s="380">
        <v>0</v>
      </c>
      <c r="DK511" s="702">
        <f t="shared" si="446"/>
        <v>10</v>
      </c>
      <c r="DL511" s="311">
        <f t="shared" si="397"/>
        <v>0.25</v>
      </c>
      <c r="DM511" s="310">
        <f t="shared" si="398"/>
        <v>125</v>
      </c>
      <c r="DN511" s="356">
        <f t="shared" si="399"/>
        <v>100</v>
      </c>
      <c r="DO511" s="308">
        <f t="shared" si="400"/>
        <v>0.25</v>
      </c>
      <c r="DP511" s="359">
        <f t="shared" si="418"/>
        <v>0.25</v>
      </c>
      <c r="DQ511" s="306">
        <f t="shared" si="401"/>
        <v>0.25</v>
      </c>
      <c r="DR511" s="379">
        <f t="shared" si="402"/>
        <v>1</v>
      </c>
      <c r="DS511" s="378">
        <f t="shared" si="403"/>
        <v>0</v>
      </c>
      <c r="DT511" s="173">
        <v>621</v>
      </c>
      <c r="DU511" s="174" t="s">
        <v>89</v>
      </c>
      <c r="DV511" s="173"/>
      <c r="DW511" s="174" t="s">
        <v>84</v>
      </c>
      <c r="DX511" s="173"/>
      <c r="DY511" s="173"/>
      <c r="DZ511" s="173"/>
      <c r="EA511" s="665"/>
      <c r="EB511" s="1254" t="s">
        <v>3173</v>
      </c>
      <c r="EC511" s="537">
        <v>24000000</v>
      </c>
      <c r="EE511" s="734">
        <v>10</v>
      </c>
      <c r="EF511" s="706"/>
    </row>
    <row r="512" spans="4:136" s="302" customFormat="1" ht="76.5" hidden="1">
      <c r="D512" s="520">
        <v>509</v>
      </c>
      <c r="E512" s="534">
        <v>581</v>
      </c>
      <c r="F512" s="479" t="s">
        <v>46</v>
      </c>
      <c r="G512" s="479" t="s">
        <v>30</v>
      </c>
      <c r="H512" s="479" t="s">
        <v>2681</v>
      </c>
      <c r="I512" s="479" t="s">
        <v>1192</v>
      </c>
      <c r="J512" s="335" t="s">
        <v>1201</v>
      </c>
      <c r="K512" s="335" t="s">
        <v>1202</v>
      </c>
      <c r="L512" s="358" t="s">
        <v>1783</v>
      </c>
      <c r="M512" s="334" t="s">
        <v>1785</v>
      </c>
      <c r="N512" s="334">
        <v>0</v>
      </c>
      <c r="O512" s="333">
        <f>+P512</f>
        <v>32</v>
      </c>
      <c r="P512" s="332">
        <v>32</v>
      </c>
      <c r="Q512" s="390">
        <v>0.25</v>
      </c>
      <c r="R512" s="342">
        <f t="shared" si="381"/>
        <v>6.25E-2</v>
      </c>
      <c r="S512" s="389">
        <v>32</v>
      </c>
      <c r="T512" s="337">
        <f t="shared" si="434"/>
        <v>0.25</v>
      </c>
      <c r="U512" s="670">
        <v>32</v>
      </c>
      <c r="V512" s="388">
        <f t="shared" si="435"/>
        <v>8</v>
      </c>
      <c r="W512" s="356">
        <f t="shared" si="436"/>
        <v>100</v>
      </c>
      <c r="X512" s="356">
        <f t="shared" si="382"/>
        <v>100</v>
      </c>
      <c r="Y512" s="356">
        <f t="shared" si="417"/>
        <v>6.25E-2</v>
      </c>
      <c r="Z512" s="356">
        <f t="shared" si="383"/>
        <v>100</v>
      </c>
      <c r="AA512" s="355">
        <v>0</v>
      </c>
      <c r="AB512" s="355">
        <v>0</v>
      </c>
      <c r="AC512" s="355">
        <v>0</v>
      </c>
      <c r="AD512" s="355">
        <v>0</v>
      </c>
      <c r="AE512" s="355">
        <v>0</v>
      </c>
      <c r="AF512" s="355">
        <v>0</v>
      </c>
      <c r="AG512" s="355">
        <v>0</v>
      </c>
      <c r="AH512" s="355">
        <v>0</v>
      </c>
      <c r="AI512" s="355">
        <v>667880000</v>
      </c>
      <c r="AJ512" s="355">
        <v>667880000</v>
      </c>
      <c r="AK512" s="355">
        <v>0</v>
      </c>
      <c r="AL512" s="355">
        <v>0</v>
      </c>
      <c r="AM512" s="355">
        <v>0</v>
      </c>
      <c r="AN512" s="355">
        <v>0</v>
      </c>
      <c r="AO512" s="355">
        <v>0</v>
      </c>
      <c r="AP512" s="355">
        <v>0</v>
      </c>
      <c r="AQ512" s="355">
        <v>0</v>
      </c>
      <c r="AR512" s="355">
        <v>0</v>
      </c>
      <c r="AS512" s="355">
        <v>0</v>
      </c>
      <c r="AT512" s="333">
        <f t="shared" si="384"/>
        <v>6.25E-2</v>
      </c>
      <c r="AU512" s="334">
        <v>32</v>
      </c>
      <c r="AV512" s="387">
        <f t="shared" si="437"/>
        <v>0.25</v>
      </c>
      <c r="AW512" s="677">
        <v>32</v>
      </c>
      <c r="AX512" s="366">
        <f t="shared" si="438"/>
        <v>8</v>
      </c>
      <c r="AY512" s="366">
        <f t="shared" si="439"/>
        <v>100</v>
      </c>
      <c r="AZ512" s="366">
        <f t="shared" si="385"/>
        <v>100</v>
      </c>
      <c r="BA512" s="354">
        <f t="shared" si="386"/>
        <v>6.25E-2</v>
      </c>
      <c r="BB512" s="354">
        <f t="shared" si="387"/>
        <v>100</v>
      </c>
      <c r="BC512" s="353">
        <v>1384000000</v>
      </c>
      <c r="BD512" s="353">
        <v>0</v>
      </c>
      <c r="BE512" s="353">
        <v>1384000000</v>
      </c>
      <c r="BF512" s="353">
        <v>0</v>
      </c>
      <c r="BG512" s="353">
        <v>0</v>
      </c>
      <c r="BH512" s="353">
        <v>0</v>
      </c>
      <c r="BI512" s="353">
        <v>0</v>
      </c>
      <c r="BJ512" s="353">
        <v>0</v>
      </c>
      <c r="BK512" s="386">
        <v>2207116789</v>
      </c>
      <c r="BL512" s="351">
        <v>2207116789</v>
      </c>
      <c r="BM512" s="351">
        <v>0</v>
      </c>
      <c r="BN512" s="351">
        <v>0</v>
      </c>
      <c r="BO512" s="351">
        <v>0</v>
      </c>
      <c r="BP512" s="351">
        <v>0</v>
      </c>
      <c r="BQ512" s="351">
        <v>0</v>
      </c>
      <c r="BR512" s="351">
        <v>0</v>
      </c>
      <c r="BS512" s="351">
        <v>0</v>
      </c>
      <c r="BT512" s="351">
        <v>0</v>
      </c>
      <c r="BU512" s="351">
        <v>0</v>
      </c>
      <c r="BV512" s="350">
        <f t="shared" si="388"/>
        <v>6.25E-2</v>
      </c>
      <c r="BW512" s="350">
        <v>32</v>
      </c>
      <c r="BX512" s="385">
        <f t="shared" si="440"/>
        <v>0.25</v>
      </c>
      <c r="BY512" s="369">
        <v>30</v>
      </c>
      <c r="BZ512" s="391">
        <v>32</v>
      </c>
      <c r="CA512" s="689">
        <v>32</v>
      </c>
      <c r="CB512" s="324">
        <f t="shared" si="441"/>
        <v>8</v>
      </c>
      <c r="CC512" s="324">
        <f t="shared" si="442"/>
        <v>100</v>
      </c>
      <c r="CD512" s="384">
        <f t="shared" si="389"/>
        <v>100</v>
      </c>
      <c r="CE512" s="383">
        <f t="shared" si="390"/>
        <v>6.25E-2</v>
      </c>
      <c r="CF512" s="367">
        <f t="shared" si="391"/>
        <v>100</v>
      </c>
      <c r="CG512" s="383">
        <f t="shared" si="392"/>
        <v>6.25E-2</v>
      </c>
      <c r="CH512" s="320">
        <f t="shared" si="393"/>
        <v>6.25E-2</v>
      </c>
      <c r="CI512" s="319">
        <v>32</v>
      </c>
      <c r="CJ512" s="318">
        <f t="shared" si="443"/>
        <v>0.25</v>
      </c>
      <c r="CK512" s="1259">
        <v>32</v>
      </c>
      <c r="CL512" s="301">
        <f t="shared" si="433"/>
        <v>0</v>
      </c>
      <c r="CM512" s="381">
        <f t="shared" si="444"/>
        <v>8</v>
      </c>
      <c r="CN512" s="381">
        <f t="shared" si="445"/>
        <v>100</v>
      </c>
      <c r="CO512" s="381">
        <f t="shared" si="394"/>
        <v>100</v>
      </c>
      <c r="CP512" s="381">
        <f t="shared" si="395"/>
        <v>6.25E-2</v>
      </c>
      <c r="CQ512" s="381">
        <f t="shared" si="396"/>
        <v>6.25E-2</v>
      </c>
      <c r="CR512" s="313">
        <v>1384000000</v>
      </c>
      <c r="CS512" s="313">
        <v>1384000000</v>
      </c>
      <c r="CT512" s="313">
        <v>0</v>
      </c>
      <c r="CU512" s="313">
        <v>0</v>
      </c>
      <c r="CV512" s="313">
        <v>0</v>
      </c>
      <c r="CW512" s="313">
        <v>0</v>
      </c>
      <c r="CX512" s="313">
        <v>0</v>
      </c>
      <c r="CY512" s="313">
        <v>0</v>
      </c>
      <c r="CZ512" s="380">
        <v>0</v>
      </c>
      <c r="DA512" s="380">
        <v>0</v>
      </c>
      <c r="DB512" s="380">
        <v>0</v>
      </c>
      <c r="DC512" s="380">
        <v>0</v>
      </c>
      <c r="DD512" s="380">
        <v>0</v>
      </c>
      <c r="DE512" s="380">
        <v>0</v>
      </c>
      <c r="DF512" s="380">
        <v>0</v>
      </c>
      <c r="DG512" s="380">
        <v>0</v>
      </c>
      <c r="DH512" s="380">
        <v>0</v>
      </c>
      <c r="DI512" s="380">
        <v>0</v>
      </c>
      <c r="DJ512" s="380">
        <v>0</v>
      </c>
      <c r="DK512" s="702">
        <f t="shared" si="446"/>
        <v>32</v>
      </c>
      <c r="DL512" s="311">
        <f t="shared" si="397"/>
        <v>0.25</v>
      </c>
      <c r="DM512" s="310">
        <f t="shared" si="398"/>
        <v>100</v>
      </c>
      <c r="DN512" s="356">
        <f t="shared" si="399"/>
        <v>100</v>
      </c>
      <c r="DO512" s="308">
        <f t="shared" si="400"/>
        <v>0.25</v>
      </c>
      <c r="DP512" s="359">
        <f>+IF(M512="M",DO512,0)</f>
        <v>0.25</v>
      </c>
      <c r="DQ512" s="306">
        <f t="shared" si="401"/>
        <v>0.25</v>
      </c>
      <c r="DR512" s="379">
        <f t="shared" si="402"/>
        <v>1</v>
      </c>
      <c r="DS512" s="378">
        <f t="shared" si="403"/>
        <v>0</v>
      </c>
      <c r="DT512" s="173">
        <v>621</v>
      </c>
      <c r="DU512" s="174" t="s">
        <v>89</v>
      </c>
      <c r="DV512" s="173"/>
      <c r="DW512" s="174" t="s">
        <v>84</v>
      </c>
      <c r="DX512" s="173"/>
      <c r="DY512" s="173"/>
      <c r="DZ512" s="173"/>
      <c r="EA512" s="665"/>
      <c r="EB512" s="1254" t="s">
        <v>3174</v>
      </c>
      <c r="EC512" s="537">
        <v>150000000</v>
      </c>
      <c r="EE512" s="734">
        <v>1</v>
      </c>
      <c r="EF512" s="706"/>
    </row>
    <row r="513" spans="4:136" s="302" customFormat="1" ht="76.5" hidden="1">
      <c r="D513" s="520">
        <v>510</v>
      </c>
      <c r="E513" s="534">
        <v>582</v>
      </c>
      <c r="F513" s="479" t="s">
        <v>46</v>
      </c>
      <c r="G513" s="479" t="s">
        <v>30</v>
      </c>
      <c r="H513" s="479" t="s">
        <v>2681</v>
      </c>
      <c r="I513" s="479" t="s">
        <v>1192</v>
      </c>
      <c r="J513" s="335" t="s">
        <v>1203</v>
      </c>
      <c r="K513" s="335" t="s">
        <v>1204</v>
      </c>
      <c r="L513" s="358" t="s">
        <v>1794</v>
      </c>
      <c r="M513" s="334" t="s">
        <v>1771</v>
      </c>
      <c r="N513" s="334">
        <v>0</v>
      </c>
      <c r="O513" s="333">
        <f t="shared" ref="O513:O523" si="447">+N513+P513</f>
        <v>80</v>
      </c>
      <c r="P513" s="332">
        <v>80</v>
      </c>
      <c r="Q513" s="390">
        <v>0.25</v>
      </c>
      <c r="R513" s="342">
        <f t="shared" si="381"/>
        <v>6.25E-2</v>
      </c>
      <c r="S513" s="389">
        <v>20</v>
      </c>
      <c r="T513" s="337">
        <f t="shared" si="434"/>
        <v>0.25</v>
      </c>
      <c r="U513" s="670">
        <v>67</v>
      </c>
      <c r="V513" s="388">
        <f t="shared" si="435"/>
        <v>67</v>
      </c>
      <c r="W513" s="356">
        <f t="shared" si="436"/>
        <v>335</v>
      </c>
      <c r="X513" s="356">
        <f t="shared" si="382"/>
        <v>100</v>
      </c>
      <c r="Y513" s="356">
        <f t="shared" si="417"/>
        <v>6.25E-2</v>
      </c>
      <c r="Z513" s="356">
        <f t="shared" si="383"/>
        <v>100</v>
      </c>
      <c r="AA513" s="355">
        <v>0</v>
      </c>
      <c r="AB513" s="355">
        <v>0</v>
      </c>
      <c r="AC513" s="355">
        <v>0</v>
      </c>
      <c r="AD513" s="355">
        <v>0</v>
      </c>
      <c r="AE513" s="355">
        <v>0</v>
      </c>
      <c r="AF513" s="355">
        <v>0</v>
      </c>
      <c r="AG513" s="355">
        <v>0</v>
      </c>
      <c r="AH513" s="355">
        <v>0</v>
      </c>
      <c r="AI513" s="355">
        <v>0</v>
      </c>
      <c r="AJ513" s="355">
        <v>0</v>
      </c>
      <c r="AK513" s="355">
        <v>0</v>
      </c>
      <c r="AL513" s="355">
        <v>0</v>
      </c>
      <c r="AM513" s="355">
        <v>0</v>
      </c>
      <c r="AN513" s="355">
        <v>0</v>
      </c>
      <c r="AO513" s="355">
        <v>0</v>
      </c>
      <c r="AP513" s="355">
        <v>0</v>
      </c>
      <c r="AQ513" s="355">
        <v>0</v>
      </c>
      <c r="AR513" s="355">
        <v>0</v>
      </c>
      <c r="AS513" s="355">
        <v>0</v>
      </c>
      <c r="AT513" s="333">
        <f t="shared" si="384"/>
        <v>6.25E-2</v>
      </c>
      <c r="AU513" s="334">
        <v>20</v>
      </c>
      <c r="AV513" s="387">
        <f t="shared" si="437"/>
        <v>0.25</v>
      </c>
      <c r="AW513" s="677">
        <v>12</v>
      </c>
      <c r="AX513" s="366">
        <f t="shared" si="438"/>
        <v>12</v>
      </c>
      <c r="AY513" s="366">
        <f t="shared" si="439"/>
        <v>60</v>
      </c>
      <c r="AZ513" s="366">
        <f t="shared" si="385"/>
        <v>60</v>
      </c>
      <c r="BA513" s="354">
        <f t="shared" si="386"/>
        <v>3.7499999999999999E-2</v>
      </c>
      <c r="BB513" s="354">
        <f t="shared" si="387"/>
        <v>60</v>
      </c>
      <c r="BC513" s="353">
        <v>546000000</v>
      </c>
      <c r="BD513" s="353">
        <v>0</v>
      </c>
      <c r="BE513" s="353">
        <v>546000000</v>
      </c>
      <c r="BF513" s="353">
        <v>0</v>
      </c>
      <c r="BG513" s="353">
        <v>0</v>
      </c>
      <c r="BH513" s="353">
        <v>0</v>
      </c>
      <c r="BI513" s="353">
        <v>0</v>
      </c>
      <c r="BJ513" s="353">
        <v>0</v>
      </c>
      <c r="BK513" s="386">
        <v>644084880</v>
      </c>
      <c r="BL513" s="351">
        <v>644084880</v>
      </c>
      <c r="BM513" s="351">
        <v>0</v>
      </c>
      <c r="BN513" s="351">
        <v>0</v>
      </c>
      <c r="BO513" s="351">
        <v>0</v>
      </c>
      <c r="BP513" s="351">
        <v>0</v>
      </c>
      <c r="BQ513" s="351">
        <v>0</v>
      </c>
      <c r="BR513" s="351">
        <v>0</v>
      </c>
      <c r="BS513" s="351">
        <v>0</v>
      </c>
      <c r="BT513" s="351">
        <v>0</v>
      </c>
      <c r="BU513" s="351">
        <v>0</v>
      </c>
      <c r="BV513" s="350">
        <f t="shared" si="388"/>
        <v>6.25E-2</v>
      </c>
      <c r="BW513" s="350">
        <v>20</v>
      </c>
      <c r="BX513" s="385">
        <f t="shared" si="440"/>
        <v>0.25</v>
      </c>
      <c r="BY513" s="369">
        <v>0</v>
      </c>
      <c r="BZ513" s="391">
        <v>0</v>
      </c>
      <c r="CA513" s="689">
        <v>0</v>
      </c>
      <c r="CB513" s="324">
        <f t="shared" si="441"/>
        <v>0</v>
      </c>
      <c r="CC513" s="324">
        <f t="shared" si="442"/>
        <v>0</v>
      </c>
      <c r="CD513" s="384">
        <f t="shared" si="389"/>
        <v>0</v>
      </c>
      <c r="CE513" s="383">
        <f t="shared" si="390"/>
        <v>0</v>
      </c>
      <c r="CF513" s="367">
        <f t="shared" si="391"/>
        <v>0</v>
      </c>
      <c r="CG513" s="383">
        <f t="shared" si="392"/>
        <v>0</v>
      </c>
      <c r="CH513" s="320">
        <f t="shared" si="393"/>
        <v>6.25E-2</v>
      </c>
      <c r="CI513" s="319">
        <v>20</v>
      </c>
      <c r="CJ513" s="318">
        <f t="shared" si="443"/>
        <v>0.25</v>
      </c>
      <c r="CK513" s="1258">
        <v>1</v>
      </c>
      <c r="CL513" s="301">
        <f t="shared" si="433"/>
        <v>19</v>
      </c>
      <c r="CM513" s="381">
        <f t="shared" si="444"/>
        <v>1</v>
      </c>
      <c r="CN513" s="381">
        <f t="shared" si="445"/>
        <v>5</v>
      </c>
      <c r="CO513" s="316">
        <f t="shared" si="394"/>
        <v>5</v>
      </c>
      <c r="CP513" s="381">
        <f t="shared" si="395"/>
        <v>3.1250000000000002E-3</v>
      </c>
      <c r="CQ513" s="381">
        <f t="shared" si="396"/>
        <v>3.1250000000000002E-3</v>
      </c>
      <c r="CR513" s="313">
        <v>0</v>
      </c>
      <c r="CS513" s="313">
        <v>0</v>
      </c>
      <c r="CT513" s="313">
        <v>0</v>
      </c>
      <c r="CU513" s="313">
        <v>0</v>
      </c>
      <c r="CV513" s="313">
        <v>0</v>
      </c>
      <c r="CW513" s="313">
        <v>0</v>
      </c>
      <c r="CX513" s="313">
        <v>0</v>
      </c>
      <c r="CY513" s="313">
        <v>0</v>
      </c>
      <c r="CZ513" s="380">
        <v>0</v>
      </c>
      <c r="DA513" s="380">
        <v>0</v>
      </c>
      <c r="DB513" s="380">
        <v>0</v>
      </c>
      <c r="DC513" s="380">
        <v>0</v>
      </c>
      <c r="DD513" s="380">
        <v>0</v>
      </c>
      <c r="DE513" s="380">
        <v>0</v>
      </c>
      <c r="DF513" s="380">
        <v>0</v>
      </c>
      <c r="DG513" s="380">
        <v>0</v>
      </c>
      <c r="DH513" s="380">
        <v>0</v>
      </c>
      <c r="DI513" s="380">
        <v>0</v>
      </c>
      <c r="DJ513" s="380">
        <v>0</v>
      </c>
      <c r="DK513" s="702">
        <f t="shared" si="446"/>
        <v>80</v>
      </c>
      <c r="DL513" s="311">
        <f t="shared" si="397"/>
        <v>0.25</v>
      </c>
      <c r="DM513" s="310">
        <f t="shared" si="398"/>
        <v>100</v>
      </c>
      <c r="DN513" s="356">
        <f t="shared" si="399"/>
        <v>100</v>
      </c>
      <c r="DO513" s="308">
        <f t="shared" si="400"/>
        <v>0.25</v>
      </c>
      <c r="DP513" s="359">
        <f t="shared" ref="DP513:DP523" si="448">+IF(((DN513*Q513)/100)&lt;Q513, ((DN513*Q513)/100),Q513)</f>
        <v>0.25</v>
      </c>
      <c r="DQ513" s="306">
        <f t="shared" si="401"/>
        <v>0.25</v>
      </c>
      <c r="DR513" s="379">
        <f t="shared" si="402"/>
        <v>1</v>
      </c>
      <c r="DS513" s="378">
        <f t="shared" si="403"/>
        <v>0</v>
      </c>
      <c r="DT513" s="173">
        <v>621</v>
      </c>
      <c r="DU513" s="174" t="s">
        <v>89</v>
      </c>
      <c r="DV513" s="173"/>
      <c r="DW513" s="174" t="s">
        <v>84</v>
      </c>
      <c r="DX513" s="173"/>
      <c r="DY513" s="173"/>
      <c r="DZ513" s="173"/>
      <c r="EA513" s="665"/>
      <c r="EB513" s="1254" t="s">
        <v>3175</v>
      </c>
      <c r="EC513" s="537">
        <v>30000000</v>
      </c>
      <c r="EE513" s="735">
        <v>0</v>
      </c>
      <c r="EF513" s="706"/>
    </row>
    <row r="514" spans="4:136" s="302" customFormat="1" ht="63.75" hidden="1">
      <c r="D514" s="520">
        <v>511</v>
      </c>
      <c r="E514" s="534">
        <v>583</v>
      </c>
      <c r="F514" s="479" t="s">
        <v>46</v>
      </c>
      <c r="G514" s="479" t="s">
        <v>30</v>
      </c>
      <c r="H514" s="479" t="s">
        <v>2681</v>
      </c>
      <c r="I514" s="479" t="s">
        <v>1192</v>
      </c>
      <c r="J514" s="335" t="s">
        <v>1205</v>
      </c>
      <c r="K514" s="335" t="s">
        <v>1206</v>
      </c>
      <c r="L514" s="358" t="s">
        <v>1793</v>
      </c>
      <c r="M514" s="334" t="s">
        <v>1771</v>
      </c>
      <c r="N514" s="334">
        <v>0</v>
      </c>
      <c r="O514" s="333">
        <f t="shared" si="447"/>
        <v>153</v>
      </c>
      <c r="P514" s="332">
        <v>153</v>
      </c>
      <c r="Q514" s="390">
        <v>0.25</v>
      </c>
      <c r="R514" s="342">
        <f t="shared" si="381"/>
        <v>0</v>
      </c>
      <c r="S514" s="389">
        <v>0</v>
      </c>
      <c r="T514" s="337">
        <f t="shared" si="434"/>
        <v>0</v>
      </c>
      <c r="U514" s="670">
        <v>0</v>
      </c>
      <c r="V514" s="388">
        <f t="shared" si="435"/>
        <v>0</v>
      </c>
      <c r="W514" s="356">
        <f t="shared" si="436"/>
        <v>0</v>
      </c>
      <c r="X514" s="356">
        <f t="shared" si="382"/>
        <v>0</v>
      </c>
      <c r="Y514" s="356">
        <f t="shared" si="417"/>
        <v>0</v>
      </c>
      <c r="Z514" s="356">
        <f t="shared" si="383"/>
        <v>0</v>
      </c>
      <c r="AA514" s="355">
        <v>100000000</v>
      </c>
      <c r="AB514" s="355">
        <v>100000000</v>
      </c>
      <c r="AC514" s="355">
        <v>0</v>
      </c>
      <c r="AD514" s="355">
        <v>0</v>
      </c>
      <c r="AE514" s="355">
        <v>0</v>
      </c>
      <c r="AF514" s="355">
        <v>0</v>
      </c>
      <c r="AG514" s="355">
        <v>0</v>
      </c>
      <c r="AH514" s="355">
        <v>0</v>
      </c>
      <c r="AI514" s="355">
        <v>100000000</v>
      </c>
      <c r="AJ514" s="355">
        <v>100000000</v>
      </c>
      <c r="AK514" s="355">
        <v>0</v>
      </c>
      <c r="AL514" s="355">
        <v>0</v>
      </c>
      <c r="AM514" s="355">
        <v>0</v>
      </c>
      <c r="AN514" s="355">
        <v>0</v>
      </c>
      <c r="AO514" s="355">
        <v>0</v>
      </c>
      <c r="AP514" s="355">
        <v>0</v>
      </c>
      <c r="AQ514" s="355">
        <v>0</v>
      </c>
      <c r="AR514" s="355">
        <v>0</v>
      </c>
      <c r="AS514" s="355">
        <v>0</v>
      </c>
      <c r="AT514" s="333">
        <f t="shared" si="384"/>
        <v>8.3333333333333329E-2</v>
      </c>
      <c r="AU514" s="334">
        <v>51</v>
      </c>
      <c r="AV514" s="387">
        <f t="shared" si="437"/>
        <v>0.33333333333333331</v>
      </c>
      <c r="AW514" s="677">
        <v>13</v>
      </c>
      <c r="AX514" s="366">
        <f t="shared" si="438"/>
        <v>13</v>
      </c>
      <c r="AY514" s="366">
        <f t="shared" si="439"/>
        <v>25.490196078431371</v>
      </c>
      <c r="AZ514" s="366">
        <f t="shared" si="385"/>
        <v>25.490196078431371</v>
      </c>
      <c r="BA514" s="354">
        <f t="shared" si="386"/>
        <v>2.1241830065359471E-2</v>
      </c>
      <c r="BB514" s="354">
        <f t="shared" si="387"/>
        <v>25.490196078431371</v>
      </c>
      <c r="BC514" s="353">
        <v>1265000000</v>
      </c>
      <c r="BD514" s="353">
        <v>0</v>
      </c>
      <c r="BE514" s="353">
        <v>1265000000</v>
      </c>
      <c r="BF514" s="353">
        <v>0</v>
      </c>
      <c r="BG514" s="353">
        <v>0</v>
      </c>
      <c r="BH514" s="353">
        <v>0</v>
      </c>
      <c r="BI514" s="353">
        <v>0</v>
      </c>
      <c r="BJ514" s="353">
        <v>0</v>
      </c>
      <c r="BK514" s="386">
        <v>1264941797</v>
      </c>
      <c r="BL514" s="351">
        <v>1264941797</v>
      </c>
      <c r="BM514" s="351">
        <v>0</v>
      </c>
      <c r="BN514" s="351">
        <v>0</v>
      </c>
      <c r="BO514" s="351">
        <v>0</v>
      </c>
      <c r="BP514" s="351">
        <v>0</v>
      </c>
      <c r="BQ514" s="351">
        <v>0</v>
      </c>
      <c r="BR514" s="351">
        <v>0</v>
      </c>
      <c r="BS514" s="351">
        <v>0</v>
      </c>
      <c r="BT514" s="351">
        <v>0</v>
      </c>
      <c r="BU514" s="351">
        <v>0</v>
      </c>
      <c r="BV514" s="350">
        <f t="shared" si="388"/>
        <v>8.3333333333333329E-2</v>
      </c>
      <c r="BW514" s="350">
        <v>51</v>
      </c>
      <c r="BX514" s="385">
        <f t="shared" si="440"/>
        <v>0.33333333333333331</v>
      </c>
      <c r="BY514" s="369">
        <v>51</v>
      </c>
      <c r="BZ514" s="391">
        <v>51</v>
      </c>
      <c r="CA514" s="689">
        <v>79</v>
      </c>
      <c r="CB514" s="324">
        <f t="shared" si="441"/>
        <v>79</v>
      </c>
      <c r="CC514" s="324">
        <f t="shared" si="442"/>
        <v>154.90196078431373</v>
      </c>
      <c r="CD514" s="384">
        <f t="shared" si="389"/>
        <v>100</v>
      </c>
      <c r="CE514" s="383">
        <f t="shared" si="390"/>
        <v>8.3333333333333315E-2</v>
      </c>
      <c r="CF514" s="367">
        <f t="shared" si="391"/>
        <v>100</v>
      </c>
      <c r="CG514" s="383">
        <f t="shared" si="392"/>
        <v>0.12908496732026145</v>
      </c>
      <c r="CH514" s="320">
        <f t="shared" si="393"/>
        <v>8.3333333333333329E-2</v>
      </c>
      <c r="CI514" s="319">
        <v>51</v>
      </c>
      <c r="CJ514" s="318">
        <f t="shared" si="443"/>
        <v>0.33333333333333331</v>
      </c>
      <c r="CK514" s="1259">
        <v>56</v>
      </c>
      <c r="CL514" s="301">
        <f t="shared" si="433"/>
        <v>-5</v>
      </c>
      <c r="CM514" s="381">
        <f t="shared" si="444"/>
        <v>56</v>
      </c>
      <c r="CN514" s="381">
        <f t="shared" si="445"/>
        <v>109.80392156862744</v>
      </c>
      <c r="CO514" s="316">
        <f t="shared" si="394"/>
        <v>100</v>
      </c>
      <c r="CP514" s="381">
        <f t="shared" si="395"/>
        <v>8.3333333333333315E-2</v>
      </c>
      <c r="CQ514" s="381">
        <f t="shared" si="396"/>
        <v>9.1503267973856203E-2</v>
      </c>
      <c r="CR514" s="313">
        <v>0</v>
      </c>
      <c r="CS514" s="313">
        <v>0</v>
      </c>
      <c r="CT514" s="313">
        <v>0</v>
      </c>
      <c r="CU514" s="313">
        <v>0</v>
      </c>
      <c r="CV514" s="313">
        <v>0</v>
      </c>
      <c r="CW514" s="313">
        <v>0</v>
      </c>
      <c r="CX514" s="313">
        <v>0</v>
      </c>
      <c r="CY514" s="313">
        <v>0</v>
      </c>
      <c r="CZ514" s="380">
        <v>0</v>
      </c>
      <c r="DA514" s="380">
        <v>0</v>
      </c>
      <c r="DB514" s="380">
        <v>0</v>
      </c>
      <c r="DC514" s="380">
        <v>0</v>
      </c>
      <c r="DD514" s="380">
        <v>0</v>
      </c>
      <c r="DE514" s="380">
        <v>0</v>
      </c>
      <c r="DF514" s="380">
        <v>0</v>
      </c>
      <c r="DG514" s="380">
        <v>0</v>
      </c>
      <c r="DH514" s="380">
        <v>0</v>
      </c>
      <c r="DI514" s="380">
        <v>0</v>
      </c>
      <c r="DJ514" s="380">
        <v>0</v>
      </c>
      <c r="DK514" s="702">
        <f t="shared" si="446"/>
        <v>148</v>
      </c>
      <c r="DL514" s="311">
        <f t="shared" si="397"/>
        <v>0.25</v>
      </c>
      <c r="DM514" s="310">
        <f t="shared" si="398"/>
        <v>96.732026143790847</v>
      </c>
      <c r="DN514" s="356">
        <f t="shared" si="399"/>
        <v>96.732026143790847</v>
      </c>
      <c r="DO514" s="308">
        <f t="shared" si="400"/>
        <v>0.24183006535947713</v>
      </c>
      <c r="DP514" s="359">
        <f t="shared" si="448"/>
        <v>0.24183006535947713</v>
      </c>
      <c r="DQ514" s="306">
        <f t="shared" si="401"/>
        <v>0.24183006535947713</v>
      </c>
      <c r="DR514" s="379">
        <f t="shared" si="402"/>
        <v>1</v>
      </c>
      <c r="DS514" s="378">
        <f t="shared" si="403"/>
        <v>0</v>
      </c>
      <c r="DT514" s="173">
        <v>621</v>
      </c>
      <c r="DU514" s="174" t="s">
        <v>89</v>
      </c>
      <c r="DV514" s="173"/>
      <c r="DW514" s="174" t="s">
        <v>84</v>
      </c>
      <c r="DX514" s="173"/>
      <c r="DY514" s="173"/>
      <c r="DZ514" s="173"/>
      <c r="EA514" s="665"/>
      <c r="EB514" s="1254" t="s">
        <v>3176</v>
      </c>
      <c r="EC514" s="537">
        <v>0</v>
      </c>
      <c r="EE514" s="734">
        <v>0</v>
      </c>
      <c r="EF514" s="706"/>
    </row>
    <row r="515" spans="4:136" s="302" customFormat="1" ht="255" hidden="1">
      <c r="D515" s="520">
        <v>512</v>
      </c>
      <c r="E515" s="534">
        <v>584</v>
      </c>
      <c r="F515" s="479" t="s">
        <v>46</v>
      </c>
      <c r="G515" s="479" t="s">
        <v>10</v>
      </c>
      <c r="H515" s="479" t="s">
        <v>2681</v>
      </c>
      <c r="I515" s="479" t="s">
        <v>1192</v>
      </c>
      <c r="J515" s="335" t="s">
        <v>1207</v>
      </c>
      <c r="K515" s="335" t="s">
        <v>1208</v>
      </c>
      <c r="L515" s="358" t="s">
        <v>1540</v>
      </c>
      <c r="M515" s="334" t="s">
        <v>1771</v>
      </c>
      <c r="N515" s="334">
        <v>0</v>
      </c>
      <c r="O515" s="333">
        <f t="shared" si="447"/>
        <v>100</v>
      </c>
      <c r="P515" s="332">
        <v>100</v>
      </c>
      <c r="Q515" s="390">
        <v>0.33</v>
      </c>
      <c r="R515" s="342">
        <f t="shared" si="381"/>
        <v>0</v>
      </c>
      <c r="S515" s="389">
        <v>0</v>
      </c>
      <c r="T515" s="337">
        <f t="shared" si="434"/>
        <v>0</v>
      </c>
      <c r="U515" s="670">
        <v>0</v>
      </c>
      <c r="V515" s="388">
        <f t="shared" si="435"/>
        <v>0</v>
      </c>
      <c r="W515" s="356">
        <f t="shared" si="436"/>
        <v>0</v>
      </c>
      <c r="X515" s="356">
        <f t="shared" si="382"/>
        <v>0</v>
      </c>
      <c r="Y515" s="356">
        <f t="shared" si="417"/>
        <v>0</v>
      </c>
      <c r="Z515" s="356">
        <f t="shared" si="383"/>
        <v>0</v>
      </c>
      <c r="AA515" s="355">
        <v>500000000</v>
      </c>
      <c r="AB515" s="355">
        <v>500000000</v>
      </c>
      <c r="AC515" s="355">
        <v>0</v>
      </c>
      <c r="AD515" s="355">
        <v>0</v>
      </c>
      <c r="AE515" s="355">
        <v>0</v>
      </c>
      <c r="AF515" s="355">
        <v>0</v>
      </c>
      <c r="AG515" s="355">
        <v>0</v>
      </c>
      <c r="AH515" s="355">
        <v>0</v>
      </c>
      <c r="AI515" s="355">
        <v>456576000</v>
      </c>
      <c r="AJ515" s="355">
        <v>456576000</v>
      </c>
      <c r="AK515" s="355">
        <v>0</v>
      </c>
      <c r="AL515" s="355">
        <v>0</v>
      </c>
      <c r="AM515" s="355">
        <v>0</v>
      </c>
      <c r="AN515" s="355">
        <v>0</v>
      </c>
      <c r="AO515" s="355">
        <v>0</v>
      </c>
      <c r="AP515" s="355">
        <v>0</v>
      </c>
      <c r="AQ515" s="355">
        <v>0</v>
      </c>
      <c r="AR515" s="355">
        <v>0</v>
      </c>
      <c r="AS515" s="355">
        <v>0</v>
      </c>
      <c r="AT515" s="333">
        <f t="shared" si="384"/>
        <v>8.2500000000000004E-2</v>
      </c>
      <c r="AU515" s="334">
        <v>25</v>
      </c>
      <c r="AV515" s="387">
        <f t="shared" si="437"/>
        <v>0.25</v>
      </c>
      <c r="AW515" s="677">
        <v>31</v>
      </c>
      <c r="AX515" s="366">
        <f t="shared" si="438"/>
        <v>31</v>
      </c>
      <c r="AY515" s="366">
        <f t="shared" si="439"/>
        <v>124</v>
      </c>
      <c r="AZ515" s="366">
        <f t="shared" si="385"/>
        <v>100</v>
      </c>
      <c r="BA515" s="354">
        <f t="shared" si="386"/>
        <v>8.2500000000000004E-2</v>
      </c>
      <c r="BB515" s="354">
        <f t="shared" si="387"/>
        <v>100</v>
      </c>
      <c r="BC515" s="353">
        <v>5000000000</v>
      </c>
      <c r="BD515" s="353">
        <v>5000000000</v>
      </c>
      <c r="BE515" s="353">
        <v>0</v>
      </c>
      <c r="BF515" s="353">
        <v>0</v>
      </c>
      <c r="BG515" s="353">
        <v>0</v>
      </c>
      <c r="BH515" s="353">
        <v>0</v>
      </c>
      <c r="BI515" s="353">
        <v>0</v>
      </c>
      <c r="BJ515" s="353">
        <v>0</v>
      </c>
      <c r="BK515" s="386">
        <v>3000000000</v>
      </c>
      <c r="BL515" s="351">
        <v>3000000000</v>
      </c>
      <c r="BM515" s="351">
        <v>0</v>
      </c>
      <c r="BN515" s="351">
        <v>0</v>
      </c>
      <c r="BO515" s="351">
        <v>0</v>
      </c>
      <c r="BP515" s="351">
        <v>0</v>
      </c>
      <c r="BQ515" s="351">
        <v>0</v>
      </c>
      <c r="BR515" s="351">
        <v>0</v>
      </c>
      <c r="BS515" s="351">
        <v>0</v>
      </c>
      <c r="BT515" s="351">
        <v>0</v>
      </c>
      <c r="BU515" s="351">
        <v>0</v>
      </c>
      <c r="BV515" s="350">
        <f t="shared" si="388"/>
        <v>0.11549999999999999</v>
      </c>
      <c r="BW515" s="350">
        <v>35</v>
      </c>
      <c r="BX515" s="385">
        <f t="shared" si="440"/>
        <v>0.35</v>
      </c>
      <c r="BY515" s="369">
        <v>0</v>
      </c>
      <c r="BZ515" s="391">
        <v>28</v>
      </c>
      <c r="CA515" s="689">
        <v>35</v>
      </c>
      <c r="CB515" s="324">
        <f t="shared" si="441"/>
        <v>35</v>
      </c>
      <c r="CC515" s="324">
        <f t="shared" si="442"/>
        <v>100</v>
      </c>
      <c r="CD515" s="384">
        <f t="shared" si="389"/>
        <v>100</v>
      </c>
      <c r="CE515" s="383">
        <f t="shared" si="390"/>
        <v>0.11549999999999999</v>
      </c>
      <c r="CF515" s="367">
        <f t="shared" si="391"/>
        <v>100</v>
      </c>
      <c r="CG515" s="383">
        <f t="shared" si="392"/>
        <v>0.11549999999999999</v>
      </c>
      <c r="CH515" s="320">
        <f t="shared" si="393"/>
        <v>0.13200000000000001</v>
      </c>
      <c r="CI515" s="319">
        <v>40</v>
      </c>
      <c r="CJ515" s="318">
        <f t="shared" si="443"/>
        <v>0.4</v>
      </c>
      <c r="CK515" s="1258">
        <v>34</v>
      </c>
      <c r="CL515" s="301">
        <f t="shared" si="433"/>
        <v>6</v>
      </c>
      <c r="CM515" s="381">
        <f t="shared" si="444"/>
        <v>34</v>
      </c>
      <c r="CN515" s="381">
        <f t="shared" si="445"/>
        <v>85</v>
      </c>
      <c r="CO515" s="316">
        <f t="shared" si="394"/>
        <v>85</v>
      </c>
      <c r="CP515" s="381">
        <f t="shared" si="395"/>
        <v>0.11220000000000001</v>
      </c>
      <c r="CQ515" s="381">
        <f t="shared" si="396"/>
        <v>0.11220000000000001</v>
      </c>
      <c r="CR515" s="313">
        <v>0</v>
      </c>
      <c r="CS515" s="313">
        <v>0</v>
      </c>
      <c r="CT515" s="313">
        <v>0</v>
      </c>
      <c r="CU515" s="313">
        <v>0</v>
      </c>
      <c r="CV515" s="313">
        <v>0</v>
      </c>
      <c r="CW515" s="313">
        <v>0</v>
      </c>
      <c r="CX515" s="313">
        <v>0</v>
      </c>
      <c r="CY515" s="313">
        <v>0</v>
      </c>
      <c r="CZ515" s="380">
        <v>0</v>
      </c>
      <c r="DA515" s="380">
        <v>0</v>
      </c>
      <c r="DB515" s="380">
        <v>0</v>
      </c>
      <c r="DC515" s="380">
        <v>0</v>
      </c>
      <c r="DD515" s="380">
        <v>0</v>
      </c>
      <c r="DE515" s="380">
        <v>0</v>
      </c>
      <c r="DF515" s="380">
        <v>0</v>
      </c>
      <c r="DG515" s="380">
        <v>0</v>
      </c>
      <c r="DH515" s="380">
        <v>0</v>
      </c>
      <c r="DI515" s="380">
        <v>0</v>
      </c>
      <c r="DJ515" s="380">
        <v>0</v>
      </c>
      <c r="DK515" s="702">
        <f t="shared" si="446"/>
        <v>100</v>
      </c>
      <c r="DL515" s="311">
        <f t="shared" si="397"/>
        <v>0.33</v>
      </c>
      <c r="DM515" s="310">
        <f t="shared" si="398"/>
        <v>100</v>
      </c>
      <c r="DN515" s="356">
        <f t="shared" si="399"/>
        <v>100</v>
      </c>
      <c r="DO515" s="308">
        <f t="shared" si="400"/>
        <v>0.33</v>
      </c>
      <c r="DP515" s="359">
        <f t="shared" si="448"/>
        <v>0.33</v>
      </c>
      <c r="DQ515" s="306">
        <f t="shared" si="401"/>
        <v>0.33</v>
      </c>
      <c r="DR515" s="379">
        <f t="shared" si="402"/>
        <v>1</v>
      </c>
      <c r="DS515" s="378">
        <f t="shared" si="403"/>
        <v>0</v>
      </c>
      <c r="DT515" s="173">
        <v>621</v>
      </c>
      <c r="DU515" s="174" t="s">
        <v>89</v>
      </c>
      <c r="DV515" s="173"/>
      <c r="DW515" s="174" t="s">
        <v>84</v>
      </c>
      <c r="DX515" s="173"/>
      <c r="DY515" s="173"/>
      <c r="DZ515" s="173"/>
      <c r="EA515" s="665"/>
      <c r="EB515" s="1254" t="s">
        <v>2357</v>
      </c>
      <c r="EC515" s="537">
        <v>29000000</v>
      </c>
      <c r="EE515" s="734">
        <v>2</v>
      </c>
      <c r="EF515" s="706"/>
    </row>
    <row r="516" spans="4:136" s="302" customFormat="1" ht="114.75" hidden="1">
      <c r="D516" s="520">
        <v>513</v>
      </c>
      <c r="E516" s="534">
        <v>585</v>
      </c>
      <c r="F516" s="479" t="s">
        <v>46</v>
      </c>
      <c r="G516" s="479" t="s">
        <v>10</v>
      </c>
      <c r="H516" s="479" t="s">
        <v>2681</v>
      </c>
      <c r="I516" s="479" t="s">
        <v>1192</v>
      </c>
      <c r="J516" s="335" t="s">
        <v>1209</v>
      </c>
      <c r="K516" s="335" t="s">
        <v>1210</v>
      </c>
      <c r="L516" s="358" t="s">
        <v>1792</v>
      </c>
      <c r="M516" s="334" t="s">
        <v>1771</v>
      </c>
      <c r="N516" s="334">
        <v>16</v>
      </c>
      <c r="O516" s="333">
        <f t="shared" si="447"/>
        <v>100</v>
      </c>
      <c r="P516" s="332">
        <v>84</v>
      </c>
      <c r="Q516" s="390">
        <v>0.33</v>
      </c>
      <c r="R516" s="342">
        <f t="shared" si="381"/>
        <v>0</v>
      </c>
      <c r="S516" s="389">
        <v>0</v>
      </c>
      <c r="T516" s="337">
        <f t="shared" si="434"/>
        <v>0</v>
      </c>
      <c r="U516" s="670">
        <v>7</v>
      </c>
      <c r="V516" s="388">
        <f t="shared" si="435"/>
        <v>7</v>
      </c>
      <c r="W516" s="356">
        <f t="shared" si="436"/>
        <v>0</v>
      </c>
      <c r="X516" s="356">
        <f t="shared" si="382"/>
        <v>0</v>
      </c>
      <c r="Y516" s="356">
        <f t="shared" si="417"/>
        <v>0</v>
      </c>
      <c r="Z516" s="356">
        <f t="shared" si="383"/>
        <v>100</v>
      </c>
      <c r="AA516" s="355">
        <v>1276000000</v>
      </c>
      <c r="AB516" s="355">
        <v>1276000000</v>
      </c>
      <c r="AC516" s="355">
        <v>0</v>
      </c>
      <c r="AD516" s="355">
        <v>0</v>
      </c>
      <c r="AE516" s="355">
        <v>0</v>
      </c>
      <c r="AF516" s="355">
        <v>0</v>
      </c>
      <c r="AG516" s="355">
        <v>0</v>
      </c>
      <c r="AH516" s="355">
        <v>0</v>
      </c>
      <c r="AI516" s="355">
        <v>0</v>
      </c>
      <c r="AJ516" s="355">
        <v>0</v>
      </c>
      <c r="AK516" s="355">
        <v>0</v>
      </c>
      <c r="AL516" s="355">
        <v>0</v>
      </c>
      <c r="AM516" s="355">
        <v>0</v>
      </c>
      <c r="AN516" s="355">
        <v>0</v>
      </c>
      <c r="AO516" s="355">
        <v>0</v>
      </c>
      <c r="AP516" s="355">
        <v>0</v>
      </c>
      <c r="AQ516" s="355">
        <v>0</v>
      </c>
      <c r="AR516" s="355">
        <v>0</v>
      </c>
      <c r="AS516" s="355">
        <v>0</v>
      </c>
      <c r="AT516" s="333">
        <f t="shared" si="384"/>
        <v>7.857142857142857E-2</v>
      </c>
      <c r="AU516" s="334">
        <v>20</v>
      </c>
      <c r="AV516" s="387">
        <f t="shared" si="437"/>
        <v>0.23809523809523808</v>
      </c>
      <c r="AW516" s="677">
        <v>16</v>
      </c>
      <c r="AX516" s="366">
        <f t="shared" si="438"/>
        <v>16</v>
      </c>
      <c r="AY516" s="366">
        <f t="shared" si="439"/>
        <v>80</v>
      </c>
      <c r="AZ516" s="366">
        <f t="shared" si="385"/>
        <v>80</v>
      </c>
      <c r="BA516" s="354">
        <f t="shared" si="386"/>
        <v>6.2857142857142861E-2</v>
      </c>
      <c r="BB516" s="354">
        <f t="shared" si="387"/>
        <v>80</v>
      </c>
      <c r="BC516" s="353">
        <v>2000000000</v>
      </c>
      <c r="BD516" s="353">
        <v>2000000000</v>
      </c>
      <c r="BE516" s="353">
        <v>0</v>
      </c>
      <c r="BF516" s="353">
        <v>0</v>
      </c>
      <c r="BG516" s="353">
        <v>0</v>
      </c>
      <c r="BH516" s="353">
        <v>0</v>
      </c>
      <c r="BI516" s="353">
        <v>0</v>
      </c>
      <c r="BJ516" s="353">
        <v>0</v>
      </c>
      <c r="BK516" s="386">
        <v>1400991000</v>
      </c>
      <c r="BL516" s="351">
        <v>1400991000</v>
      </c>
      <c r="BM516" s="351">
        <v>0</v>
      </c>
      <c r="BN516" s="351">
        <v>0</v>
      </c>
      <c r="BO516" s="351">
        <v>0</v>
      </c>
      <c r="BP516" s="351">
        <v>0</v>
      </c>
      <c r="BQ516" s="351">
        <v>0</v>
      </c>
      <c r="BR516" s="351">
        <v>0</v>
      </c>
      <c r="BS516" s="351">
        <v>0</v>
      </c>
      <c r="BT516" s="351">
        <v>0</v>
      </c>
      <c r="BU516" s="351">
        <v>0</v>
      </c>
      <c r="BV516" s="350">
        <f t="shared" si="388"/>
        <v>0.11785714285714287</v>
      </c>
      <c r="BW516" s="350">
        <v>30</v>
      </c>
      <c r="BX516" s="385">
        <f t="shared" si="440"/>
        <v>0.35714285714285715</v>
      </c>
      <c r="BY516" s="369">
        <v>22</v>
      </c>
      <c r="BZ516" s="391">
        <v>34.840000000000003</v>
      </c>
      <c r="CA516" s="689">
        <v>30</v>
      </c>
      <c r="CB516" s="324">
        <f t="shared" si="441"/>
        <v>30</v>
      </c>
      <c r="CC516" s="324">
        <f t="shared" si="442"/>
        <v>100</v>
      </c>
      <c r="CD516" s="384">
        <f t="shared" si="389"/>
        <v>100</v>
      </c>
      <c r="CE516" s="383">
        <f t="shared" si="390"/>
        <v>0.11785714285714287</v>
      </c>
      <c r="CF516" s="367">
        <f t="shared" si="391"/>
        <v>100</v>
      </c>
      <c r="CG516" s="383">
        <f t="shared" si="392"/>
        <v>0.11785714285714287</v>
      </c>
      <c r="CH516" s="320">
        <f t="shared" si="393"/>
        <v>0.13357142857142859</v>
      </c>
      <c r="CI516" s="319">
        <v>34</v>
      </c>
      <c r="CJ516" s="318">
        <f t="shared" si="443"/>
        <v>0.40476190476190477</v>
      </c>
      <c r="CK516" s="1259">
        <v>31</v>
      </c>
      <c r="CL516" s="301">
        <f t="shared" si="433"/>
        <v>3</v>
      </c>
      <c r="CM516" s="381">
        <f t="shared" si="444"/>
        <v>31</v>
      </c>
      <c r="CN516" s="381">
        <f t="shared" si="445"/>
        <v>91.17647058823529</v>
      </c>
      <c r="CO516" s="316">
        <f t="shared" si="394"/>
        <v>91.17647058823529</v>
      </c>
      <c r="CP516" s="381">
        <f t="shared" si="395"/>
        <v>0.1217857142857143</v>
      </c>
      <c r="CQ516" s="381">
        <f t="shared" si="396"/>
        <v>0.1217857142857143</v>
      </c>
      <c r="CR516" s="313">
        <v>4500000000</v>
      </c>
      <c r="CS516" s="313">
        <v>0</v>
      </c>
      <c r="CT516" s="313">
        <v>4500000000</v>
      </c>
      <c r="CU516" s="313">
        <v>0</v>
      </c>
      <c r="CV516" s="313">
        <v>0</v>
      </c>
      <c r="CW516" s="313">
        <v>0</v>
      </c>
      <c r="CX516" s="313">
        <v>0</v>
      </c>
      <c r="CY516" s="313">
        <v>0</v>
      </c>
      <c r="CZ516" s="380">
        <v>0</v>
      </c>
      <c r="DA516" s="380">
        <v>0</v>
      </c>
      <c r="DB516" s="380">
        <v>0</v>
      </c>
      <c r="DC516" s="380">
        <v>0</v>
      </c>
      <c r="DD516" s="380">
        <v>0</v>
      </c>
      <c r="DE516" s="380">
        <v>0</v>
      </c>
      <c r="DF516" s="380">
        <v>0</v>
      </c>
      <c r="DG516" s="380">
        <v>0</v>
      </c>
      <c r="DH516" s="380">
        <v>0</v>
      </c>
      <c r="DI516" s="380">
        <v>0</v>
      </c>
      <c r="DJ516" s="380">
        <v>0</v>
      </c>
      <c r="DK516" s="702">
        <f t="shared" si="446"/>
        <v>84</v>
      </c>
      <c r="DL516" s="311">
        <f t="shared" si="397"/>
        <v>0.33000000000000007</v>
      </c>
      <c r="DM516" s="310">
        <f t="shared" si="398"/>
        <v>100</v>
      </c>
      <c r="DN516" s="356">
        <f t="shared" si="399"/>
        <v>100</v>
      </c>
      <c r="DO516" s="308">
        <f t="shared" si="400"/>
        <v>0.33</v>
      </c>
      <c r="DP516" s="359">
        <f t="shared" si="448"/>
        <v>0.33</v>
      </c>
      <c r="DQ516" s="306">
        <f t="shared" si="401"/>
        <v>0.33</v>
      </c>
      <c r="DR516" s="379">
        <f t="shared" si="402"/>
        <v>1</v>
      </c>
      <c r="DS516" s="378">
        <f t="shared" si="403"/>
        <v>0</v>
      </c>
      <c r="DT516" s="173">
        <v>621</v>
      </c>
      <c r="DU516" s="174" t="s">
        <v>89</v>
      </c>
      <c r="DV516" s="173"/>
      <c r="DW516" s="174" t="s">
        <v>84</v>
      </c>
      <c r="DX516" s="173"/>
      <c r="DY516" s="173"/>
      <c r="DZ516" s="173"/>
      <c r="EA516" s="665"/>
      <c r="EB516" s="1254" t="s">
        <v>2364</v>
      </c>
      <c r="EC516" s="537">
        <v>15000000</v>
      </c>
      <c r="EE516" s="734">
        <v>2</v>
      </c>
      <c r="EF516" s="706"/>
    </row>
    <row r="517" spans="4:136" s="302" customFormat="1" ht="114.75" hidden="1">
      <c r="D517" s="520">
        <v>514</v>
      </c>
      <c r="E517" s="534">
        <v>586</v>
      </c>
      <c r="F517" s="336" t="s">
        <v>46</v>
      </c>
      <c r="G517" s="336" t="s">
        <v>30</v>
      </c>
      <c r="H517" s="336" t="s">
        <v>2681</v>
      </c>
      <c r="I517" s="336" t="s">
        <v>1211</v>
      </c>
      <c r="J517" s="335" t="s">
        <v>1311</v>
      </c>
      <c r="K517" s="335" t="s">
        <v>1213</v>
      </c>
      <c r="L517" s="358" t="s">
        <v>1501</v>
      </c>
      <c r="M517" s="334" t="s">
        <v>1771</v>
      </c>
      <c r="N517" s="334">
        <v>0</v>
      </c>
      <c r="O517" s="333">
        <f t="shared" si="447"/>
        <v>100000</v>
      </c>
      <c r="P517" s="332">
        <v>100000</v>
      </c>
      <c r="Q517" s="393">
        <v>0.33</v>
      </c>
      <c r="R517" s="342">
        <f t="shared" ref="R517:R541" si="449">+Q517*T517</f>
        <v>9.9000000000000005E-2</v>
      </c>
      <c r="S517" s="389">
        <v>30000</v>
      </c>
      <c r="T517" s="337">
        <f t="shared" si="434"/>
        <v>0.3</v>
      </c>
      <c r="U517" s="670">
        <v>55690</v>
      </c>
      <c r="V517" s="388">
        <f t="shared" si="435"/>
        <v>55690</v>
      </c>
      <c r="W517" s="356">
        <f t="shared" si="436"/>
        <v>185.63333333333333</v>
      </c>
      <c r="X517" s="356">
        <f t="shared" ref="X517:X541" si="450">+IF(W517&lt;100,W517,100)</f>
        <v>100</v>
      </c>
      <c r="Y517" s="356">
        <f t="shared" si="417"/>
        <v>9.9000000000000005E-2</v>
      </c>
      <c r="Z517" s="356">
        <f t="shared" ref="Z517:Z541" si="451">+IF(U517&gt;S517,100,X517)</f>
        <v>100</v>
      </c>
      <c r="AA517" s="355">
        <v>150000000</v>
      </c>
      <c r="AB517" s="355">
        <v>150000000</v>
      </c>
      <c r="AC517" s="355">
        <v>0</v>
      </c>
      <c r="AD517" s="355">
        <v>0</v>
      </c>
      <c r="AE517" s="355">
        <v>0</v>
      </c>
      <c r="AF517" s="355">
        <v>0</v>
      </c>
      <c r="AG517" s="355">
        <v>0</v>
      </c>
      <c r="AH517" s="355">
        <v>0</v>
      </c>
      <c r="AI517" s="355">
        <v>150000000</v>
      </c>
      <c r="AJ517" s="355">
        <v>150000000</v>
      </c>
      <c r="AK517" s="355">
        <v>0</v>
      </c>
      <c r="AL517" s="355">
        <v>0</v>
      </c>
      <c r="AM517" s="355">
        <v>0</v>
      </c>
      <c r="AN517" s="355">
        <v>0</v>
      </c>
      <c r="AO517" s="355">
        <v>0</v>
      </c>
      <c r="AP517" s="355">
        <v>0</v>
      </c>
      <c r="AQ517" s="355">
        <v>0</v>
      </c>
      <c r="AR517" s="355">
        <v>1520000000</v>
      </c>
      <c r="AS517" s="355" t="s">
        <v>1788</v>
      </c>
      <c r="AT517" s="392">
        <f t="shared" ref="AT517:AT541" si="452">+Q517*AV517</f>
        <v>3.3000000000000002E-2</v>
      </c>
      <c r="AU517" s="334">
        <v>10000</v>
      </c>
      <c r="AV517" s="387">
        <f t="shared" si="437"/>
        <v>0.1</v>
      </c>
      <c r="AW517" s="677">
        <v>6140</v>
      </c>
      <c r="AX517" s="366">
        <f t="shared" si="438"/>
        <v>6140</v>
      </c>
      <c r="AY517" s="366">
        <f t="shared" si="439"/>
        <v>61.4</v>
      </c>
      <c r="AZ517" s="366">
        <f t="shared" ref="AZ517:AZ541" si="453">+IF(AY517&lt;100,AY517,100)</f>
        <v>61.4</v>
      </c>
      <c r="BA517" s="354">
        <f t="shared" ref="BA517:BA541" si="454">+(AZ517*AT517)/100</f>
        <v>2.0262000000000002E-2</v>
      </c>
      <c r="BB517" s="354">
        <f t="shared" ref="BB517:BB541" si="455">+IF(AW517&gt;AU517,100,AZ517)</f>
        <v>61.4</v>
      </c>
      <c r="BC517" s="353">
        <v>14415000000</v>
      </c>
      <c r="BD517" s="353">
        <v>0</v>
      </c>
      <c r="BE517" s="353">
        <v>0</v>
      </c>
      <c r="BF517" s="353">
        <v>0</v>
      </c>
      <c r="BG517" s="353">
        <v>0</v>
      </c>
      <c r="BH517" s="353">
        <v>0</v>
      </c>
      <c r="BI517" s="353">
        <v>0</v>
      </c>
      <c r="BJ517" s="353">
        <v>14415000</v>
      </c>
      <c r="BK517" s="386">
        <v>0</v>
      </c>
      <c r="BL517" s="351">
        <v>0</v>
      </c>
      <c r="BM517" s="351">
        <v>0</v>
      </c>
      <c r="BN517" s="351">
        <v>0</v>
      </c>
      <c r="BO517" s="351">
        <v>0</v>
      </c>
      <c r="BP517" s="351">
        <v>0</v>
      </c>
      <c r="BQ517" s="351">
        <v>0</v>
      </c>
      <c r="BR517" s="351">
        <v>0</v>
      </c>
      <c r="BS517" s="351">
        <v>0</v>
      </c>
      <c r="BT517" s="351">
        <v>830000000</v>
      </c>
      <c r="BU517" s="351" t="s">
        <v>1788</v>
      </c>
      <c r="BV517" s="350">
        <f t="shared" ref="BV517:BV541" si="456">+Q517*BX517</f>
        <v>4.9500000000000002E-2</v>
      </c>
      <c r="BW517" s="350">
        <v>15000</v>
      </c>
      <c r="BX517" s="385">
        <f t="shared" si="440"/>
        <v>0.15</v>
      </c>
      <c r="BY517" s="369">
        <v>9845</v>
      </c>
      <c r="BZ517" s="391">
        <v>10789</v>
      </c>
      <c r="CA517" s="689">
        <v>50810</v>
      </c>
      <c r="CB517" s="324">
        <f t="shared" si="441"/>
        <v>50810</v>
      </c>
      <c r="CC517" s="324">
        <f t="shared" si="442"/>
        <v>338.73333333333335</v>
      </c>
      <c r="CD517" s="384">
        <f t="shared" ref="CD517:CD541" si="457">+IF(CC517&lt;100,CC517,100)</f>
        <v>100</v>
      </c>
      <c r="CE517" s="383">
        <f t="shared" ref="CE517:CE541" si="458">+(CD517*BV517)/100</f>
        <v>4.9500000000000002E-2</v>
      </c>
      <c r="CF517" s="367">
        <f t="shared" ref="CF517:CF541" si="459">+IF(BZ517&gt;BW517,100,CD517)</f>
        <v>100</v>
      </c>
      <c r="CG517" s="383">
        <f t="shared" ref="CG517:CG535" si="460">(CC517*BV517)/100</f>
        <v>0.16767300000000002</v>
      </c>
      <c r="CH517" s="320">
        <f t="shared" ref="CH517:CH541" si="461">+Q517*CJ517</f>
        <v>0.14850000000000002</v>
      </c>
      <c r="CI517" s="319">
        <v>45000</v>
      </c>
      <c r="CJ517" s="318">
        <f t="shared" si="443"/>
        <v>0.45</v>
      </c>
      <c r="CK517" s="1259">
        <v>950</v>
      </c>
      <c r="CL517" s="301">
        <f t="shared" si="433"/>
        <v>44050</v>
      </c>
      <c r="CM517" s="381">
        <f t="shared" si="444"/>
        <v>950</v>
      </c>
      <c r="CN517" s="381">
        <f t="shared" si="445"/>
        <v>2.1111111111111112</v>
      </c>
      <c r="CO517" s="316">
        <f t="shared" ref="CO517:CO541" si="462">+IF(CN517&lt;100,CN517,100)</f>
        <v>2.1111111111111112</v>
      </c>
      <c r="CP517" s="381">
        <f t="shared" ref="CP517:CP541" si="463">+(CO517*CH517)/100</f>
        <v>3.1350000000000006E-3</v>
      </c>
      <c r="CQ517" s="381">
        <f t="shared" ref="CQ517:CQ541" si="464">+(CN517*CH517)/100</f>
        <v>3.1350000000000006E-3</v>
      </c>
      <c r="CR517" s="313">
        <v>14415000000</v>
      </c>
      <c r="CS517" s="313">
        <v>0</v>
      </c>
      <c r="CT517" s="313">
        <v>0</v>
      </c>
      <c r="CU517" s="313">
        <v>0</v>
      </c>
      <c r="CV517" s="313">
        <v>0</v>
      </c>
      <c r="CW517" s="313">
        <v>0</v>
      </c>
      <c r="CX517" s="313">
        <v>0</v>
      </c>
      <c r="CY517" s="313">
        <v>14415000</v>
      </c>
      <c r="CZ517" s="380">
        <v>0</v>
      </c>
      <c r="DA517" s="380">
        <v>0</v>
      </c>
      <c r="DB517" s="380">
        <v>0</v>
      </c>
      <c r="DC517" s="380">
        <v>0</v>
      </c>
      <c r="DD517" s="380">
        <v>0</v>
      </c>
      <c r="DE517" s="380">
        <v>0</v>
      </c>
      <c r="DF517" s="380">
        <v>0</v>
      </c>
      <c r="DG517" s="380">
        <v>0</v>
      </c>
      <c r="DH517" s="380">
        <v>0</v>
      </c>
      <c r="DI517" s="380">
        <v>0</v>
      </c>
      <c r="DJ517" s="380">
        <v>0</v>
      </c>
      <c r="DK517" s="702">
        <f t="shared" si="446"/>
        <v>113590</v>
      </c>
      <c r="DL517" s="311">
        <f t="shared" ref="DL517:DL541" si="465">+R517+AT517+BV517+CH517</f>
        <v>0.33</v>
      </c>
      <c r="DM517" s="310">
        <f t="shared" ref="DM517:DM541" si="466">+DK517*100/P517</f>
        <v>113.59</v>
      </c>
      <c r="DN517" s="356">
        <f t="shared" ref="DN517:DN541" si="467">+IF(DM517&lt;100,DM517,100)</f>
        <v>100</v>
      </c>
      <c r="DO517" s="308">
        <f t="shared" ref="DO517:DO541" si="468">+(DN517*Q517)/100</f>
        <v>0.33</v>
      </c>
      <c r="DP517" s="359">
        <f t="shared" si="448"/>
        <v>0.33</v>
      </c>
      <c r="DQ517" s="306">
        <f t="shared" ref="DQ517:DQ541" si="469">+IF(DL517&lt;DP517,DL517,DP517)</f>
        <v>0.33</v>
      </c>
      <c r="DR517" s="379">
        <f t="shared" ref="DR517:DR541" si="470">+T517+AV517+BX517+CJ517</f>
        <v>1</v>
      </c>
      <c r="DS517" s="378">
        <f t="shared" ref="DS517:DS541" si="471">+Q517-R517-AT517-BV517-CH517</f>
        <v>0</v>
      </c>
      <c r="DT517" s="173">
        <v>621</v>
      </c>
      <c r="DU517" s="174" t="s">
        <v>89</v>
      </c>
      <c r="DV517" s="173"/>
      <c r="DW517" s="174" t="s">
        <v>84</v>
      </c>
      <c r="DX517" s="173"/>
      <c r="DY517" s="173"/>
      <c r="DZ517" s="173"/>
      <c r="EA517" s="665"/>
      <c r="EB517" s="1254" t="s">
        <v>3177</v>
      </c>
      <c r="EC517" s="537">
        <v>100000000</v>
      </c>
      <c r="EE517" s="734">
        <v>2</v>
      </c>
      <c r="EF517" s="706"/>
    </row>
    <row r="518" spans="4:136" s="302" customFormat="1" ht="102" hidden="1">
      <c r="D518" s="520">
        <v>515</v>
      </c>
      <c r="E518" s="534">
        <v>587</v>
      </c>
      <c r="F518" s="479" t="s">
        <v>46</v>
      </c>
      <c r="G518" s="479" t="s">
        <v>30</v>
      </c>
      <c r="H518" s="479" t="s">
        <v>2681</v>
      </c>
      <c r="I518" s="479" t="s">
        <v>1211</v>
      </c>
      <c r="J518" s="335" t="s">
        <v>1212</v>
      </c>
      <c r="K518" s="335" t="s">
        <v>1214</v>
      </c>
      <c r="L518" s="358" t="s">
        <v>1791</v>
      </c>
      <c r="M518" s="334" t="s">
        <v>1771</v>
      </c>
      <c r="N518" s="334">
        <v>0</v>
      </c>
      <c r="O518" s="333">
        <f t="shared" si="447"/>
        <v>56</v>
      </c>
      <c r="P518" s="332">
        <v>56</v>
      </c>
      <c r="Q518" s="390">
        <v>0.33</v>
      </c>
      <c r="R518" s="342">
        <f t="shared" si="449"/>
        <v>1.7678571428571429E-2</v>
      </c>
      <c r="S518" s="389">
        <v>3</v>
      </c>
      <c r="T518" s="337">
        <f t="shared" si="434"/>
        <v>5.3571428571428568E-2</v>
      </c>
      <c r="U518" s="670">
        <v>4</v>
      </c>
      <c r="V518" s="388">
        <f t="shared" si="435"/>
        <v>4</v>
      </c>
      <c r="W518" s="356">
        <f t="shared" si="436"/>
        <v>133.33333333333334</v>
      </c>
      <c r="X518" s="356">
        <f t="shared" si="450"/>
        <v>100</v>
      </c>
      <c r="Y518" s="356">
        <f t="shared" si="417"/>
        <v>1.7678571428571429E-2</v>
      </c>
      <c r="Z518" s="356">
        <f t="shared" si="451"/>
        <v>100</v>
      </c>
      <c r="AA518" s="355">
        <v>150000000</v>
      </c>
      <c r="AB518" s="355">
        <v>150000000</v>
      </c>
      <c r="AC518" s="355">
        <v>0</v>
      </c>
      <c r="AD518" s="355">
        <v>0</v>
      </c>
      <c r="AE518" s="355">
        <v>0</v>
      </c>
      <c r="AF518" s="355">
        <v>0</v>
      </c>
      <c r="AG518" s="355">
        <v>0</v>
      </c>
      <c r="AH518" s="355">
        <v>0</v>
      </c>
      <c r="AI518" s="355">
        <v>0</v>
      </c>
      <c r="AJ518" s="355">
        <v>0</v>
      </c>
      <c r="AK518" s="355">
        <v>0</v>
      </c>
      <c r="AL518" s="355">
        <v>0</v>
      </c>
      <c r="AM518" s="355">
        <v>0</v>
      </c>
      <c r="AN518" s="355">
        <v>0</v>
      </c>
      <c r="AO518" s="355">
        <v>0</v>
      </c>
      <c r="AP518" s="355">
        <v>0</v>
      </c>
      <c r="AQ518" s="355">
        <v>0</v>
      </c>
      <c r="AR518" s="355">
        <v>587978000</v>
      </c>
      <c r="AS518" s="355" t="s">
        <v>1788</v>
      </c>
      <c r="AT518" s="333">
        <f t="shared" si="452"/>
        <v>9.4285714285714278E-2</v>
      </c>
      <c r="AU518" s="334">
        <v>16</v>
      </c>
      <c r="AV518" s="387">
        <f t="shared" si="437"/>
        <v>0.2857142857142857</v>
      </c>
      <c r="AW518" s="677">
        <v>5</v>
      </c>
      <c r="AX518" s="366">
        <f t="shared" si="438"/>
        <v>5</v>
      </c>
      <c r="AY518" s="366">
        <f t="shared" si="439"/>
        <v>31.25</v>
      </c>
      <c r="AZ518" s="366">
        <f t="shared" si="453"/>
        <v>31.25</v>
      </c>
      <c r="BA518" s="354">
        <f t="shared" si="454"/>
        <v>2.946428571428571E-2</v>
      </c>
      <c r="BB518" s="354">
        <f t="shared" si="455"/>
        <v>31.25</v>
      </c>
      <c r="BC518" s="353">
        <v>1222000000</v>
      </c>
      <c r="BD518" s="353">
        <v>0</v>
      </c>
      <c r="BE518" s="353">
        <v>312000000</v>
      </c>
      <c r="BF518" s="353">
        <v>0</v>
      </c>
      <c r="BG518" s="353">
        <v>0</v>
      </c>
      <c r="BH518" s="353">
        <v>0</v>
      </c>
      <c r="BI518" s="353">
        <v>0</v>
      </c>
      <c r="BJ518" s="353">
        <v>910000000</v>
      </c>
      <c r="BK518" s="386">
        <v>436406759</v>
      </c>
      <c r="BL518" s="351">
        <v>436406759</v>
      </c>
      <c r="BM518" s="351">
        <v>0</v>
      </c>
      <c r="BN518" s="351">
        <v>0</v>
      </c>
      <c r="BO518" s="351">
        <v>0</v>
      </c>
      <c r="BP518" s="351">
        <v>0</v>
      </c>
      <c r="BQ518" s="351">
        <v>0</v>
      </c>
      <c r="BR518" s="351">
        <v>0</v>
      </c>
      <c r="BS518" s="351">
        <v>0</v>
      </c>
      <c r="BT518" s="351">
        <v>122000000</v>
      </c>
      <c r="BU518" s="351" t="s">
        <v>1790</v>
      </c>
      <c r="BV518" s="350">
        <f t="shared" si="456"/>
        <v>0.10607142857142858</v>
      </c>
      <c r="BW518" s="350">
        <v>18</v>
      </c>
      <c r="BX518" s="385">
        <f t="shared" si="440"/>
        <v>0.32142857142857145</v>
      </c>
      <c r="BY518" s="369">
        <v>6</v>
      </c>
      <c r="BZ518" s="391">
        <v>6</v>
      </c>
      <c r="CA518" s="689">
        <v>22</v>
      </c>
      <c r="CB518" s="324">
        <f t="shared" si="441"/>
        <v>22</v>
      </c>
      <c r="CC518" s="324">
        <f t="shared" si="442"/>
        <v>122.22222222222223</v>
      </c>
      <c r="CD518" s="384">
        <f t="shared" si="457"/>
        <v>100</v>
      </c>
      <c r="CE518" s="383">
        <f t="shared" si="458"/>
        <v>0.10607142857142858</v>
      </c>
      <c r="CF518" s="367">
        <f t="shared" si="459"/>
        <v>100</v>
      </c>
      <c r="CG518" s="383">
        <f t="shared" si="460"/>
        <v>0.12964285714285714</v>
      </c>
      <c r="CH518" s="320">
        <f t="shared" si="461"/>
        <v>0.11196428571428572</v>
      </c>
      <c r="CI518" s="319">
        <v>19</v>
      </c>
      <c r="CJ518" s="318">
        <f t="shared" si="443"/>
        <v>0.3392857142857143</v>
      </c>
      <c r="CK518" s="1259">
        <v>20</v>
      </c>
      <c r="CL518" s="301">
        <f t="shared" si="433"/>
        <v>-1</v>
      </c>
      <c r="CM518" s="381">
        <f t="shared" si="444"/>
        <v>20</v>
      </c>
      <c r="CN518" s="381">
        <f t="shared" si="445"/>
        <v>105.26315789473684</v>
      </c>
      <c r="CO518" s="316">
        <f t="shared" si="462"/>
        <v>100</v>
      </c>
      <c r="CP518" s="381">
        <f t="shared" si="463"/>
        <v>0.11196428571428572</v>
      </c>
      <c r="CQ518" s="381">
        <f t="shared" si="464"/>
        <v>0.11785714285714287</v>
      </c>
      <c r="CR518" s="313">
        <v>2410000000</v>
      </c>
      <c r="CS518" s="313">
        <v>1500000000</v>
      </c>
      <c r="CT518" s="313">
        <v>0</v>
      </c>
      <c r="CU518" s="313">
        <v>0</v>
      </c>
      <c r="CV518" s="313">
        <v>0</v>
      </c>
      <c r="CW518" s="313">
        <v>0</v>
      </c>
      <c r="CX518" s="313">
        <v>0</v>
      </c>
      <c r="CY518" s="313">
        <v>910000000</v>
      </c>
      <c r="CZ518" s="380">
        <v>0</v>
      </c>
      <c r="DA518" s="380">
        <v>0</v>
      </c>
      <c r="DB518" s="380">
        <v>0</v>
      </c>
      <c r="DC518" s="380">
        <v>0</v>
      </c>
      <c r="DD518" s="380">
        <v>0</v>
      </c>
      <c r="DE518" s="380">
        <v>0</v>
      </c>
      <c r="DF518" s="380">
        <v>0</v>
      </c>
      <c r="DG518" s="380">
        <v>0</v>
      </c>
      <c r="DH518" s="380">
        <v>0</v>
      </c>
      <c r="DI518" s="380">
        <v>0</v>
      </c>
      <c r="DJ518" s="380">
        <v>0</v>
      </c>
      <c r="DK518" s="702">
        <f t="shared" si="446"/>
        <v>51</v>
      </c>
      <c r="DL518" s="311">
        <f t="shared" si="465"/>
        <v>0.33</v>
      </c>
      <c r="DM518" s="310">
        <f t="shared" si="466"/>
        <v>91.071428571428569</v>
      </c>
      <c r="DN518" s="356">
        <f t="shared" si="467"/>
        <v>91.071428571428569</v>
      </c>
      <c r="DO518" s="308">
        <f t="shared" si="468"/>
        <v>0.30053571428571429</v>
      </c>
      <c r="DP518" s="359">
        <f t="shared" si="448"/>
        <v>0.30053571428571429</v>
      </c>
      <c r="DQ518" s="306">
        <f t="shared" si="469"/>
        <v>0.30053571428571429</v>
      </c>
      <c r="DR518" s="379">
        <f t="shared" si="470"/>
        <v>1</v>
      </c>
      <c r="DS518" s="378">
        <f t="shared" si="471"/>
        <v>0</v>
      </c>
      <c r="DT518" s="173">
        <v>621</v>
      </c>
      <c r="DU518" s="174" t="s">
        <v>89</v>
      </c>
      <c r="DV518" s="173"/>
      <c r="DW518" s="174" t="s">
        <v>84</v>
      </c>
      <c r="DX518" s="173"/>
      <c r="DY518" s="173"/>
      <c r="DZ518" s="173"/>
      <c r="EA518" s="665"/>
      <c r="EB518" s="1254" t="s">
        <v>3178</v>
      </c>
      <c r="EC518" s="537">
        <v>0</v>
      </c>
      <c r="EE518" s="734">
        <v>0</v>
      </c>
      <c r="EF518" s="706"/>
    </row>
    <row r="519" spans="4:136" s="302" customFormat="1" ht="63.75" hidden="1">
      <c r="D519" s="520">
        <v>516</v>
      </c>
      <c r="E519" s="534">
        <v>588</v>
      </c>
      <c r="F519" s="479" t="s">
        <v>46</v>
      </c>
      <c r="G519" s="479" t="s">
        <v>30</v>
      </c>
      <c r="H519" s="479" t="s">
        <v>2681</v>
      </c>
      <c r="I519" s="479" t="s">
        <v>1211</v>
      </c>
      <c r="J519" s="335" t="s">
        <v>1215</v>
      </c>
      <c r="K519" s="335" t="s">
        <v>1216</v>
      </c>
      <c r="L519" s="358" t="s">
        <v>1415</v>
      </c>
      <c r="M519" s="334" t="s">
        <v>1771</v>
      </c>
      <c r="N519" s="334">
        <v>0</v>
      </c>
      <c r="O519" s="333">
        <f t="shared" si="447"/>
        <v>100</v>
      </c>
      <c r="P519" s="332">
        <v>100</v>
      </c>
      <c r="Q519" s="390">
        <v>0.25</v>
      </c>
      <c r="R519" s="342">
        <f t="shared" si="449"/>
        <v>0</v>
      </c>
      <c r="S519" s="389">
        <v>0</v>
      </c>
      <c r="T519" s="337">
        <f t="shared" si="434"/>
        <v>0</v>
      </c>
      <c r="U519" s="670">
        <v>0</v>
      </c>
      <c r="V519" s="388">
        <f t="shared" si="435"/>
        <v>0</v>
      </c>
      <c r="W519" s="356">
        <f t="shared" si="436"/>
        <v>0</v>
      </c>
      <c r="X519" s="356">
        <f t="shared" si="450"/>
        <v>0</v>
      </c>
      <c r="Y519" s="356">
        <f t="shared" si="417"/>
        <v>0</v>
      </c>
      <c r="Z519" s="356">
        <f t="shared" si="451"/>
        <v>0</v>
      </c>
      <c r="AA519" s="355">
        <v>0</v>
      </c>
      <c r="AB519" s="355">
        <v>0</v>
      </c>
      <c r="AC519" s="355">
        <v>0</v>
      </c>
      <c r="AD519" s="355">
        <v>0</v>
      </c>
      <c r="AE519" s="355">
        <v>0</v>
      </c>
      <c r="AF519" s="355">
        <v>0</v>
      </c>
      <c r="AG519" s="355">
        <v>0</v>
      </c>
      <c r="AH519" s="355">
        <v>0</v>
      </c>
      <c r="AI519" s="355">
        <v>0</v>
      </c>
      <c r="AJ519" s="355">
        <v>0</v>
      </c>
      <c r="AK519" s="355">
        <v>0</v>
      </c>
      <c r="AL519" s="355">
        <v>0</v>
      </c>
      <c r="AM519" s="355">
        <v>0</v>
      </c>
      <c r="AN519" s="355">
        <v>0</v>
      </c>
      <c r="AO519" s="355">
        <v>0</v>
      </c>
      <c r="AP519" s="355">
        <v>0</v>
      </c>
      <c r="AQ519" s="355">
        <v>0</v>
      </c>
      <c r="AR519" s="355">
        <v>0</v>
      </c>
      <c r="AS519" s="355">
        <v>0</v>
      </c>
      <c r="AT519" s="333">
        <f t="shared" si="452"/>
        <v>0.25</v>
      </c>
      <c r="AU519" s="334">
        <v>100</v>
      </c>
      <c r="AV519" s="387">
        <f t="shared" si="437"/>
        <v>1</v>
      </c>
      <c r="AW519" s="677">
        <v>116</v>
      </c>
      <c r="AX519" s="366">
        <f t="shared" si="438"/>
        <v>116</v>
      </c>
      <c r="AY519" s="366">
        <f t="shared" si="439"/>
        <v>116</v>
      </c>
      <c r="AZ519" s="366">
        <f t="shared" si="453"/>
        <v>100</v>
      </c>
      <c r="BA519" s="354">
        <f t="shared" si="454"/>
        <v>0.25</v>
      </c>
      <c r="BB519" s="354">
        <f t="shared" si="455"/>
        <v>100</v>
      </c>
      <c r="BC519" s="353">
        <v>1907000000</v>
      </c>
      <c r="BD519" s="353">
        <v>0</v>
      </c>
      <c r="BE519" s="353">
        <v>633000000</v>
      </c>
      <c r="BF519" s="353">
        <v>0</v>
      </c>
      <c r="BG519" s="353">
        <v>0</v>
      </c>
      <c r="BH519" s="353">
        <v>0</v>
      </c>
      <c r="BI519" s="353">
        <v>0</v>
      </c>
      <c r="BJ519" s="353">
        <v>1274000000</v>
      </c>
      <c r="BK519" s="386">
        <v>0</v>
      </c>
      <c r="BL519" s="351">
        <v>0</v>
      </c>
      <c r="BM519" s="351">
        <v>0</v>
      </c>
      <c r="BN519" s="351">
        <v>0</v>
      </c>
      <c r="BO519" s="351">
        <v>0</v>
      </c>
      <c r="BP519" s="351">
        <v>0</v>
      </c>
      <c r="BQ519" s="351">
        <v>0</v>
      </c>
      <c r="BR519" s="351">
        <v>0</v>
      </c>
      <c r="BS519" s="351">
        <v>0</v>
      </c>
      <c r="BT519" s="351">
        <v>0</v>
      </c>
      <c r="BU519" s="351">
        <v>0</v>
      </c>
      <c r="BV519" s="350">
        <f t="shared" si="456"/>
        <v>0</v>
      </c>
      <c r="BW519" s="350">
        <v>0</v>
      </c>
      <c r="BX519" s="385">
        <f t="shared" si="440"/>
        <v>0</v>
      </c>
      <c r="BY519" s="369">
        <v>0</v>
      </c>
      <c r="BZ519" s="391">
        <v>0</v>
      </c>
      <c r="CA519" s="689">
        <v>0</v>
      </c>
      <c r="CB519" s="324">
        <f t="shared" si="441"/>
        <v>0</v>
      </c>
      <c r="CC519" s="324">
        <f t="shared" si="442"/>
        <v>0</v>
      </c>
      <c r="CD519" s="384">
        <f t="shared" si="457"/>
        <v>0</v>
      </c>
      <c r="CE519" s="383">
        <f t="shared" si="458"/>
        <v>0</v>
      </c>
      <c r="CF519" s="367">
        <f t="shared" si="459"/>
        <v>0</v>
      </c>
      <c r="CG519" s="383">
        <f t="shared" si="460"/>
        <v>0</v>
      </c>
      <c r="CH519" s="320">
        <f t="shared" si="461"/>
        <v>0</v>
      </c>
      <c r="CI519" s="319">
        <v>0</v>
      </c>
      <c r="CJ519" s="318">
        <f t="shared" si="443"/>
        <v>0</v>
      </c>
      <c r="CK519" s="1258">
        <v>0</v>
      </c>
      <c r="CL519" s="301">
        <f t="shared" si="433"/>
        <v>0</v>
      </c>
      <c r="CM519" s="381">
        <f t="shared" si="444"/>
        <v>0</v>
      </c>
      <c r="CN519" s="381">
        <f t="shared" si="445"/>
        <v>0</v>
      </c>
      <c r="CO519" s="316">
        <f t="shared" si="462"/>
        <v>0</v>
      </c>
      <c r="CP519" s="381">
        <f t="shared" si="463"/>
        <v>0</v>
      </c>
      <c r="CQ519" s="381">
        <f t="shared" si="464"/>
        <v>0</v>
      </c>
      <c r="CR519" s="313">
        <v>1324000000</v>
      </c>
      <c r="CS519" s="313">
        <v>50000000</v>
      </c>
      <c r="CT519" s="313">
        <v>0</v>
      </c>
      <c r="CU519" s="313">
        <v>0</v>
      </c>
      <c r="CV519" s="313">
        <v>0</v>
      </c>
      <c r="CW519" s="313">
        <v>0</v>
      </c>
      <c r="CX519" s="313">
        <v>0</v>
      </c>
      <c r="CY519" s="313">
        <v>1274000000</v>
      </c>
      <c r="CZ519" s="380">
        <v>0</v>
      </c>
      <c r="DA519" s="380">
        <v>0</v>
      </c>
      <c r="DB519" s="380">
        <v>0</v>
      </c>
      <c r="DC519" s="380">
        <v>0</v>
      </c>
      <c r="DD519" s="380">
        <v>0</v>
      </c>
      <c r="DE519" s="380">
        <v>0</v>
      </c>
      <c r="DF519" s="380">
        <v>0</v>
      </c>
      <c r="DG519" s="380">
        <v>0</v>
      </c>
      <c r="DH519" s="380">
        <v>0</v>
      </c>
      <c r="DI519" s="380">
        <v>0</v>
      </c>
      <c r="DJ519" s="380">
        <v>0</v>
      </c>
      <c r="DK519" s="702">
        <f t="shared" si="446"/>
        <v>116</v>
      </c>
      <c r="DL519" s="311">
        <f t="shared" si="465"/>
        <v>0.25</v>
      </c>
      <c r="DM519" s="310">
        <f t="shared" si="466"/>
        <v>116</v>
      </c>
      <c r="DN519" s="356">
        <f t="shared" si="467"/>
        <v>100</v>
      </c>
      <c r="DO519" s="308">
        <f t="shared" si="468"/>
        <v>0.25</v>
      </c>
      <c r="DP519" s="359">
        <f t="shared" si="448"/>
        <v>0.25</v>
      </c>
      <c r="DQ519" s="306">
        <f t="shared" si="469"/>
        <v>0.25</v>
      </c>
      <c r="DR519" s="379">
        <f t="shared" si="470"/>
        <v>1</v>
      </c>
      <c r="DS519" s="378">
        <f t="shared" si="471"/>
        <v>0</v>
      </c>
      <c r="DT519" s="173">
        <v>611</v>
      </c>
      <c r="DU519" s="174" t="s">
        <v>98</v>
      </c>
      <c r="DV519" s="173"/>
      <c r="DW519" s="174" t="s">
        <v>84</v>
      </c>
      <c r="DX519" s="173"/>
      <c r="DY519" s="173"/>
      <c r="DZ519" s="173"/>
      <c r="EA519" s="665"/>
      <c r="EB519" s="1254" t="s">
        <v>3179</v>
      </c>
      <c r="EC519" s="537">
        <v>80000000</v>
      </c>
      <c r="EE519" s="734">
        <v>116</v>
      </c>
      <c r="EF519" s="706"/>
    </row>
    <row r="520" spans="4:136" s="302" customFormat="1" ht="63.75" hidden="1">
      <c r="D520" s="520">
        <v>517</v>
      </c>
      <c r="E520" s="534">
        <v>589</v>
      </c>
      <c r="F520" s="479" t="s">
        <v>46</v>
      </c>
      <c r="G520" s="479" t="s">
        <v>30</v>
      </c>
      <c r="H520" s="479" t="s">
        <v>2681</v>
      </c>
      <c r="I520" s="479" t="s">
        <v>1211</v>
      </c>
      <c r="J520" s="335" t="s">
        <v>1215</v>
      </c>
      <c r="K520" s="335" t="s">
        <v>1217</v>
      </c>
      <c r="L520" s="358" t="s">
        <v>1789</v>
      </c>
      <c r="M520" s="334" t="s">
        <v>1771</v>
      </c>
      <c r="N520" s="334">
        <v>0</v>
      </c>
      <c r="O520" s="333">
        <f t="shared" si="447"/>
        <v>20000</v>
      </c>
      <c r="P520" s="332">
        <v>20000</v>
      </c>
      <c r="Q520" s="390">
        <v>0.16500000000000001</v>
      </c>
      <c r="R520" s="342">
        <f t="shared" si="449"/>
        <v>0</v>
      </c>
      <c r="S520" s="389">
        <v>0</v>
      </c>
      <c r="T520" s="337">
        <f t="shared" si="434"/>
        <v>0</v>
      </c>
      <c r="U520" s="670">
        <v>0</v>
      </c>
      <c r="V520" s="388">
        <f t="shared" si="435"/>
        <v>0</v>
      </c>
      <c r="W520" s="356">
        <f t="shared" si="436"/>
        <v>0</v>
      </c>
      <c r="X520" s="356">
        <f t="shared" si="450"/>
        <v>0</v>
      </c>
      <c r="Y520" s="356">
        <f t="shared" si="417"/>
        <v>0</v>
      </c>
      <c r="Z520" s="356">
        <f t="shared" si="451"/>
        <v>0</v>
      </c>
      <c r="AA520" s="355">
        <v>0</v>
      </c>
      <c r="AB520" s="355">
        <v>0</v>
      </c>
      <c r="AC520" s="355">
        <v>0</v>
      </c>
      <c r="AD520" s="355">
        <v>0</v>
      </c>
      <c r="AE520" s="355">
        <v>0</v>
      </c>
      <c r="AF520" s="355">
        <v>0</v>
      </c>
      <c r="AG520" s="355">
        <v>0</v>
      </c>
      <c r="AH520" s="355">
        <v>0</v>
      </c>
      <c r="AI520" s="355">
        <v>0</v>
      </c>
      <c r="AJ520" s="355">
        <v>0</v>
      </c>
      <c r="AK520" s="355">
        <v>0</v>
      </c>
      <c r="AL520" s="355">
        <v>0</v>
      </c>
      <c r="AM520" s="355">
        <v>0</v>
      </c>
      <c r="AN520" s="355">
        <v>0</v>
      </c>
      <c r="AO520" s="355">
        <v>0</v>
      </c>
      <c r="AP520" s="355">
        <v>0</v>
      </c>
      <c r="AQ520" s="355">
        <v>0</v>
      </c>
      <c r="AR520" s="355">
        <v>0</v>
      </c>
      <c r="AS520" s="355">
        <v>0</v>
      </c>
      <c r="AT520" s="333">
        <f t="shared" si="452"/>
        <v>4.1250000000000002E-2</v>
      </c>
      <c r="AU520" s="334">
        <v>5000</v>
      </c>
      <c r="AV520" s="387">
        <f t="shared" si="437"/>
        <v>0.25</v>
      </c>
      <c r="AW520" s="677">
        <v>1000</v>
      </c>
      <c r="AX520" s="366">
        <f t="shared" si="438"/>
        <v>1000</v>
      </c>
      <c r="AY520" s="366">
        <f t="shared" si="439"/>
        <v>20</v>
      </c>
      <c r="AZ520" s="366">
        <f t="shared" si="453"/>
        <v>20</v>
      </c>
      <c r="BA520" s="354">
        <f t="shared" si="454"/>
        <v>8.2500000000000004E-3</v>
      </c>
      <c r="BB520" s="354">
        <f t="shared" si="455"/>
        <v>20</v>
      </c>
      <c r="BC520" s="353">
        <v>0</v>
      </c>
      <c r="BD520" s="353">
        <v>0</v>
      </c>
      <c r="BE520" s="353">
        <v>0</v>
      </c>
      <c r="BF520" s="353">
        <v>0</v>
      </c>
      <c r="BG520" s="353">
        <v>0</v>
      </c>
      <c r="BH520" s="353">
        <v>0</v>
      </c>
      <c r="BI520" s="353">
        <v>0</v>
      </c>
      <c r="BJ520" s="353">
        <v>0</v>
      </c>
      <c r="BK520" s="386">
        <v>0</v>
      </c>
      <c r="BL520" s="351">
        <v>0</v>
      </c>
      <c r="BM520" s="351">
        <v>0</v>
      </c>
      <c r="BN520" s="351">
        <v>0</v>
      </c>
      <c r="BO520" s="351">
        <v>0</v>
      </c>
      <c r="BP520" s="351">
        <v>0</v>
      </c>
      <c r="BQ520" s="351">
        <v>0</v>
      </c>
      <c r="BR520" s="351">
        <v>0</v>
      </c>
      <c r="BS520" s="351">
        <v>0</v>
      </c>
      <c r="BT520" s="351">
        <v>0</v>
      </c>
      <c r="BU520" s="351">
        <v>0</v>
      </c>
      <c r="BV520" s="350">
        <f t="shared" si="456"/>
        <v>4.1250000000000002E-2</v>
      </c>
      <c r="BW520" s="350">
        <v>5000</v>
      </c>
      <c r="BX520" s="385">
        <f t="shared" si="440"/>
        <v>0.25</v>
      </c>
      <c r="BY520" s="369">
        <v>5000</v>
      </c>
      <c r="BZ520" s="391">
        <v>4000</v>
      </c>
      <c r="CA520" s="689">
        <v>1000</v>
      </c>
      <c r="CB520" s="324">
        <f t="shared" si="441"/>
        <v>1000</v>
      </c>
      <c r="CC520" s="324">
        <f t="shared" si="442"/>
        <v>20</v>
      </c>
      <c r="CD520" s="384">
        <f t="shared" si="457"/>
        <v>20</v>
      </c>
      <c r="CE520" s="383">
        <f t="shared" si="458"/>
        <v>8.2500000000000004E-3</v>
      </c>
      <c r="CF520" s="367">
        <f t="shared" si="459"/>
        <v>20</v>
      </c>
      <c r="CG520" s="383">
        <f t="shared" si="460"/>
        <v>8.2500000000000004E-3</v>
      </c>
      <c r="CH520" s="320">
        <f t="shared" si="461"/>
        <v>8.2500000000000004E-2</v>
      </c>
      <c r="CI520" s="319">
        <v>10000</v>
      </c>
      <c r="CJ520" s="318">
        <f t="shared" si="443"/>
        <v>0.5</v>
      </c>
      <c r="CK520" s="1258">
        <v>2000</v>
      </c>
      <c r="CL520" s="301">
        <f t="shared" si="433"/>
        <v>8000</v>
      </c>
      <c r="CM520" s="381">
        <f t="shared" si="444"/>
        <v>2000</v>
      </c>
      <c r="CN520" s="381">
        <f t="shared" si="445"/>
        <v>20</v>
      </c>
      <c r="CO520" s="316">
        <f t="shared" si="462"/>
        <v>20</v>
      </c>
      <c r="CP520" s="381">
        <f t="shared" si="463"/>
        <v>1.6500000000000001E-2</v>
      </c>
      <c r="CQ520" s="381">
        <f t="shared" si="464"/>
        <v>1.6500000000000001E-2</v>
      </c>
      <c r="CR520" s="313">
        <v>0</v>
      </c>
      <c r="CS520" s="313">
        <v>0</v>
      </c>
      <c r="CT520" s="313">
        <v>0</v>
      </c>
      <c r="CU520" s="313">
        <v>0</v>
      </c>
      <c r="CV520" s="313">
        <v>0</v>
      </c>
      <c r="CW520" s="313">
        <v>0</v>
      </c>
      <c r="CX520" s="313">
        <v>0</v>
      </c>
      <c r="CY520" s="313">
        <v>0</v>
      </c>
      <c r="CZ520" s="380">
        <v>0</v>
      </c>
      <c r="DA520" s="380">
        <v>0</v>
      </c>
      <c r="DB520" s="380">
        <v>0</v>
      </c>
      <c r="DC520" s="380">
        <v>0</v>
      </c>
      <c r="DD520" s="380">
        <v>0</v>
      </c>
      <c r="DE520" s="380">
        <v>0</v>
      </c>
      <c r="DF520" s="380">
        <v>0</v>
      </c>
      <c r="DG520" s="380">
        <v>0</v>
      </c>
      <c r="DH520" s="380">
        <v>0</v>
      </c>
      <c r="DI520" s="380">
        <v>0</v>
      </c>
      <c r="DJ520" s="380">
        <v>0</v>
      </c>
      <c r="DK520" s="702">
        <f t="shared" si="446"/>
        <v>4000</v>
      </c>
      <c r="DL520" s="311">
        <f t="shared" si="465"/>
        <v>0.16500000000000001</v>
      </c>
      <c r="DM520" s="310">
        <f t="shared" si="466"/>
        <v>20</v>
      </c>
      <c r="DN520" s="356">
        <f t="shared" si="467"/>
        <v>20</v>
      </c>
      <c r="DO520" s="308">
        <f t="shared" si="468"/>
        <v>3.3000000000000002E-2</v>
      </c>
      <c r="DP520" s="359">
        <f t="shared" si="448"/>
        <v>3.3000000000000002E-2</v>
      </c>
      <c r="DQ520" s="306">
        <f t="shared" si="469"/>
        <v>3.3000000000000002E-2</v>
      </c>
      <c r="DR520" s="379">
        <f t="shared" si="470"/>
        <v>1</v>
      </c>
      <c r="DS520" s="378">
        <f t="shared" si="471"/>
        <v>0</v>
      </c>
      <c r="DT520" s="173">
        <v>611</v>
      </c>
      <c r="DU520" s="174" t="s">
        <v>98</v>
      </c>
      <c r="DV520" s="173"/>
      <c r="DW520" s="174" t="s">
        <v>84</v>
      </c>
      <c r="DX520" s="173"/>
      <c r="DY520" s="173"/>
      <c r="DZ520" s="173"/>
      <c r="EA520" s="665"/>
      <c r="EB520" s="1254" t="s">
        <v>3180</v>
      </c>
      <c r="EC520" s="537">
        <v>90000000</v>
      </c>
      <c r="EE520" s="734">
        <v>116</v>
      </c>
      <c r="EF520" s="706"/>
    </row>
    <row r="521" spans="4:136" s="302" customFormat="1" ht="178.5" hidden="1">
      <c r="D521" s="520">
        <v>518</v>
      </c>
      <c r="E521" s="534">
        <v>590</v>
      </c>
      <c r="F521" s="479" t="s">
        <v>46</v>
      </c>
      <c r="G521" s="479" t="s">
        <v>30</v>
      </c>
      <c r="H521" s="479" t="s">
        <v>2681</v>
      </c>
      <c r="I521" s="479" t="s">
        <v>1211</v>
      </c>
      <c r="J521" s="335" t="s">
        <v>1218</v>
      </c>
      <c r="K521" s="335" t="s">
        <v>1219</v>
      </c>
      <c r="L521" s="358" t="s">
        <v>1415</v>
      </c>
      <c r="M521" s="334" t="s">
        <v>1771</v>
      </c>
      <c r="N521" s="334">
        <v>0</v>
      </c>
      <c r="O521" s="333">
        <f t="shared" si="447"/>
        <v>60</v>
      </c>
      <c r="P521" s="332">
        <v>60</v>
      </c>
      <c r="Q521" s="390">
        <v>0.16500000000000001</v>
      </c>
      <c r="R521" s="342">
        <f t="shared" si="449"/>
        <v>4.9500000000000002E-2</v>
      </c>
      <c r="S521" s="389">
        <v>18</v>
      </c>
      <c r="T521" s="337">
        <f t="shared" si="434"/>
        <v>0.3</v>
      </c>
      <c r="U521" s="670">
        <v>18</v>
      </c>
      <c r="V521" s="388">
        <f t="shared" si="435"/>
        <v>18</v>
      </c>
      <c r="W521" s="356">
        <f t="shared" si="436"/>
        <v>100</v>
      </c>
      <c r="X521" s="356">
        <f t="shared" si="450"/>
        <v>100</v>
      </c>
      <c r="Y521" s="356">
        <f t="shared" si="417"/>
        <v>4.9500000000000002E-2</v>
      </c>
      <c r="Z521" s="356">
        <f t="shared" si="451"/>
        <v>100</v>
      </c>
      <c r="AA521" s="355">
        <v>0</v>
      </c>
      <c r="AB521" s="355">
        <v>0</v>
      </c>
      <c r="AC521" s="355">
        <v>0</v>
      </c>
      <c r="AD521" s="355">
        <v>0</v>
      </c>
      <c r="AE521" s="355">
        <v>0</v>
      </c>
      <c r="AF521" s="355">
        <v>0</v>
      </c>
      <c r="AG521" s="355">
        <v>0</v>
      </c>
      <c r="AH521" s="355">
        <v>0</v>
      </c>
      <c r="AI521" s="355">
        <v>0</v>
      </c>
      <c r="AJ521" s="355">
        <v>0</v>
      </c>
      <c r="AK521" s="355">
        <v>0</v>
      </c>
      <c r="AL521" s="355">
        <v>0</v>
      </c>
      <c r="AM521" s="355">
        <v>0</v>
      </c>
      <c r="AN521" s="355">
        <v>0</v>
      </c>
      <c r="AO521" s="355">
        <v>0</v>
      </c>
      <c r="AP521" s="355">
        <v>0</v>
      </c>
      <c r="AQ521" s="355">
        <v>0</v>
      </c>
      <c r="AR521" s="355">
        <v>181312000</v>
      </c>
      <c r="AS521" s="355" t="s">
        <v>1788</v>
      </c>
      <c r="AT521" s="333">
        <f t="shared" si="452"/>
        <v>3.85E-2</v>
      </c>
      <c r="AU521" s="334">
        <v>14</v>
      </c>
      <c r="AV521" s="387">
        <f t="shared" si="437"/>
        <v>0.23333333333333334</v>
      </c>
      <c r="AW521" s="677">
        <v>0</v>
      </c>
      <c r="AX521" s="366">
        <f t="shared" si="438"/>
        <v>0</v>
      </c>
      <c r="AY521" s="366">
        <f t="shared" si="439"/>
        <v>0</v>
      </c>
      <c r="AZ521" s="366">
        <f t="shared" si="453"/>
        <v>0</v>
      </c>
      <c r="BA521" s="354">
        <f t="shared" si="454"/>
        <v>0</v>
      </c>
      <c r="BB521" s="354">
        <f t="shared" si="455"/>
        <v>0</v>
      </c>
      <c r="BC521" s="353">
        <v>0</v>
      </c>
      <c r="BD521" s="353">
        <v>0</v>
      </c>
      <c r="BE521" s="353">
        <v>0</v>
      </c>
      <c r="BF521" s="353">
        <v>0</v>
      </c>
      <c r="BG521" s="353">
        <v>0</v>
      </c>
      <c r="BH521" s="353">
        <v>0</v>
      </c>
      <c r="BI521" s="353">
        <v>0</v>
      </c>
      <c r="BJ521" s="353">
        <v>0</v>
      </c>
      <c r="BK521" s="386">
        <v>1252372484</v>
      </c>
      <c r="BL521" s="351">
        <v>1252372484</v>
      </c>
      <c r="BM521" s="351">
        <v>0</v>
      </c>
      <c r="BN521" s="351">
        <v>0</v>
      </c>
      <c r="BO521" s="351">
        <v>0</v>
      </c>
      <c r="BP521" s="351">
        <v>0</v>
      </c>
      <c r="BQ521" s="351">
        <v>0</v>
      </c>
      <c r="BR521" s="351">
        <v>0</v>
      </c>
      <c r="BS521" s="351">
        <v>0</v>
      </c>
      <c r="BT521" s="351">
        <v>0</v>
      </c>
      <c r="BU521" s="351">
        <v>0</v>
      </c>
      <c r="BV521" s="350">
        <f t="shared" si="456"/>
        <v>3.85E-2</v>
      </c>
      <c r="BW521" s="350">
        <v>14</v>
      </c>
      <c r="BX521" s="385">
        <f t="shared" si="440"/>
        <v>0.23333333333333334</v>
      </c>
      <c r="BY521" s="369">
        <v>60</v>
      </c>
      <c r="BZ521" s="391">
        <v>60</v>
      </c>
      <c r="CA521" s="689">
        <v>50</v>
      </c>
      <c r="CB521" s="324">
        <f t="shared" si="441"/>
        <v>50</v>
      </c>
      <c r="CC521" s="324">
        <f t="shared" si="442"/>
        <v>357.14285714285717</v>
      </c>
      <c r="CD521" s="384">
        <f t="shared" si="457"/>
        <v>100</v>
      </c>
      <c r="CE521" s="383">
        <f t="shared" si="458"/>
        <v>3.85E-2</v>
      </c>
      <c r="CF521" s="367">
        <f t="shared" si="459"/>
        <v>100</v>
      </c>
      <c r="CG521" s="383">
        <f t="shared" si="460"/>
        <v>0.13750000000000001</v>
      </c>
      <c r="CH521" s="320">
        <f t="shared" si="461"/>
        <v>3.85E-2</v>
      </c>
      <c r="CI521" s="319">
        <v>14</v>
      </c>
      <c r="CJ521" s="318">
        <f t="shared" si="443"/>
        <v>0.23333333333333334</v>
      </c>
      <c r="CK521" s="1259">
        <v>0</v>
      </c>
      <c r="CL521" s="301">
        <f t="shared" si="433"/>
        <v>14</v>
      </c>
      <c r="CM521" s="381">
        <f t="shared" si="444"/>
        <v>0</v>
      </c>
      <c r="CN521" s="381">
        <f t="shared" si="445"/>
        <v>0</v>
      </c>
      <c r="CO521" s="316">
        <f t="shared" si="462"/>
        <v>0</v>
      </c>
      <c r="CP521" s="381">
        <f t="shared" si="463"/>
        <v>0</v>
      </c>
      <c r="CQ521" s="381">
        <f t="shared" si="464"/>
        <v>0</v>
      </c>
      <c r="CR521" s="313">
        <v>0</v>
      </c>
      <c r="CS521" s="313">
        <v>0</v>
      </c>
      <c r="CT521" s="313">
        <v>0</v>
      </c>
      <c r="CU521" s="313">
        <v>0</v>
      </c>
      <c r="CV521" s="313">
        <v>0</v>
      </c>
      <c r="CW521" s="313">
        <v>0</v>
      </c>
      <c r="CX521" s="313">
        <v>0</v>
      </c>
      <c r="CY521" s="313">
        <v>0</v>
      </c>
      <c r="CZ521" s="380">
        <v>0</v>
      </c>
      <c r="DA521" s="380">
        <v>0</v>
      </c>
      <c r="DB521" s="380">
        <v>0</v>
      </c>
      <c r="DC521" s="380">
        <v>0</v>
      </c>
      <c r="DD521" s="380">
        <v>0</v>
      </c>
      <c r="DE521" s="380">
        <v>0</v>
      </c>
      <c r="DF521" s="380">
        <v>0</v>
      </c>
      <c r="DG521" s="380">
        <v>0</v>
      </c>
      <c r="DH521" s="380">
        <v>0</v>
      </c>
      <c r="DI521" s="380">
        <v>0</v>
      </c>
      <c r="DJ521" s="380">
        <v>0</v>
      </c>
      <c r="DK521" s="702">
        <f t="shared" si="446"/>
        <v>68</v>
      </c>
      <c r="DL521" s="311">
        <f t="shared" si="465"/>
        <v>0.16500000000000001</v>
      </c>
      <c r="DM521" s="310">
        <f t="shared" si="466"/>
        <v>113.33333333333333</v>
      </c>
      <c r="DN521" s="356">
        <f t="shared" si="467"/>
        <v>100</v>
      </c>
      <c r="DO521" s="308">
        <f t="shared" si="468"/>
        <v>0.16500000000000001</v>
      </c>
      <c r="DP521" s="359">
        <f t="shared" si="448"/>
        <v>0.16500000000000001</v>
      </c>
      <c r="DQ521" s="306">
        <f t="shared" si="469"/>
        <v>0.16500000000000001</v>
      </c>
      <c r="DR521" s="379">
        <f t="shared" si="470"/>
        <v>1</v>
      </c>
      <c r="DS521" s="378">
        <f t="shared" si="471"/>
        <v>0</v>
      </c>
      <c r="DT521" s="173">
        <v>621</v>
      </c>
      <c r="DU521" s="174" t="s">
        <v>89</v>
      </c>
      <c r="DV521" s="173"/>
      <c r="DW521" s="174" t="s">
        <v>84</v>
      </c>
      <c r="DX521" s="173"/>
      <c r="DY521" s="173"/>
      <c r="DZ521" s="173"/>
      <c r="EA521" s="665"/>
      <c r="EB521" s="1254" t="s">
        <v>3181</v>
      </c>
      <c r="EC521" s="537">
        <v>0</v>
      </c>
      <c r="EE521" s="733">
        <v>0</v>
      </c>
      <c r="EF521" s="706"/>
    </row>
    <row r="522" spans="4:136" s="302" customFormat="1" ht="191.25" hidden="1">
      <c r="D522" s="520">
        <v>519</v>
      </c>
      <c r="E522" s="534">
        <v>591</v>
      </c>
      <c r="F522" s="479" t="s">
        <v>46</v>
      </c>
      <c r="G522" s="479" t="s">
        <v>30</v>
      </c>
      <c r="H522" s="479" t="s">
        <v>2681</v>
      </c>
      <c r="I522" s="479" t="s">
        <v>1211</v>
      </c>
      <c r="J522" s="335" t="s">
        <v>1218</v>
      </c>
      <c r="K522" s="335" t="s">
        <v>1220</v>
      </c>
      <c r="L522" s="358" t="s">
        <v>1540</v>
      </c>
      <c r="M522" s="334" t="s">
        <v>1771</v>
      </c>
      <c r="N522" s="334">
        <v>0</v>
      </c>
      <c r="O522" s="333">
        <f t="shared" si="447"/>
        <v>100</v>
      </c>
      <c r="P522" s="332">
        <v>100</v>
      </c>
      <c r="Q522" s="390">
        <v>0.16500000000000001</v>
      </c>
      <c r="R522" s="342">
        <f t="shared" si="449"/>
        <v>4.1250000000000002E-2</v>
      </c>
      <c r="S522" s="389">
        <v>25</v>
      </c>
      <c r="T522" s="337">
        <f t="shared" si="434"/>
        <v>0.25</v>
      </c>
      <c r="U522" s="670">
        <v>80.7</v>
      </c>
      <c r="V522" s="388">
        <f t="shared" si="435"/>
        <v>80.7</v>
      </c>
      <c r="W522" s="356">
        <f t="shared" si="436"/>
        <v>322.8</v>
      </c>
      <c r="X522" s="356">
        <f t="shared" si="450"/>
        <v>100</v>
      </c>
      <c r="Y522" s="356">
        <f t="shared" si="417"/>
        <v>4.1250000000000002E-2</v>
      </c>
      <c r="Z522" s="356">
        <f t="shared" si="451"/>
        <v>100</v>
      </c>
      <c r="AA522" s="355">
        <v>0</v>
      </c>
      <c r="AB522" s="355">
        <v>0</v>
      </c>
      <c r="AC522" s="355">
        <v>0</v>
      </c>
      <c r="AD522" s="355">
        <v>0</v>
      </c>
      <c r="AE522" s="355">
        <v>0</v>
      </c>
      <c r="AF522" s="355">
        <v>0</v>
      </c>
      <c r="AG522" s="355">
        <v>0</v>
      </c>
      <c r="AH522" s="355">
        <v>0</v>
      </c>
      <c r="AI522" s="355">
        <v>0</v>
      </c>
      <c r="AJ522" s="355">
        <v>0</v>
      </c>
      <c r="AK522" s="355">
        <v>0</v>
      </c>
      <c r="AL522" s="355">
        <v>0</v>
      </c>
      <c r="AM522" s="355">
        <v>0</v>
      </c>
      <c r="AN522" s="355">
        <v>0</v>
      </c>
      <c r="AO522" s="355">
        <v>0</v>
      </c>
      <c r="AP522" s="355">
        <v>0</v>
      </c>
      <c r="AQ522" s="355">
        <v>0</v>
      </c>
      <c r="AR522" s="355">
        <v>181312000</v>
      </c>
      <c r="AS522" s="355" t="s">
        <v>1788</v>
      </c>
      <c r="AT522" s="333">
        <f t="shared" si="452"/>
        <v>4.1250000000000002E-2</v>
      </c>
      <c r="AU522" s="334">
        <v>25</v>
      </c>
      <c r="AV522" s="387">
        <f t="shared" si="437"/>
        <v>0.25</v>
      </c>
      <c r="AW522" s="677">
        <v>10</v>
      </c>
      <c r="AX522" s="366">
        <f t="shared" si="438"/>
        <v>10</v>
      </c>
      <c r="AY522" s="366">
        <f t="shared" si="439"/>
        <v>40</v>
      </c>
      <c r="AZ522" s="366">
        <f t="shared" si="453"/>
        <v>40</v>
      </c>
      <c r="BA522" s="354">
        <f t="shared" si="454"/>
        <v>1.6500000000000001E-2</v>
      </c>
      <c r="BB522" s="354">
        <f t="shared" si="455"/>
        <v>40</v>
      </c>
      <c r="BC522" s="353">
        <v>0</v>
      </c>
      <c r="BD522" s="353">
        <v>0</v>
      </c>
      <c r="BE522" s="353">
        <v>0</v>
      </c>
      <c r="BF522" s="353">
        <v>0</v>
      </c>
      <c r="BG522" s="353">
        <v>0</v>
      </c>
      <c r="BH522" s="353">
        <v>0</v>
      </c>
      <c r="BI522" s="353">
        <v>0</v>
      </c>
      <c r="BJ522" s="353">
        <v>0</v>
      </c>
      <c r="BK522" s="386">
        <v>0</v>
      </c>
      <c r="BL522" s="351">
        <v>0</v>
      </c>
      <c r="BM522" s="351">
        <v>0</v>
      </c>
      <c r="BN522" s="351">
        <v>0</v>
      </c>
      <c r="BO522" s="351">
        <v>0</v>
      </c>
      <c r="BP522" s="351">
        <v>0</v>
      </c>
      <c r="BQ522" s="351">
        <v>0</v>
      </c>
      <c r="BR522" s="351">
        <v>0</v>
      </c>
      <c r="BS522" s="351">
        <v>0</v>
      </c>
      <c r="BT522" s="351">
        <v>0</v>
      </c>
      <c r="BU522" s="351">
        <v>0</v>
      </c>
      <c r="BV522" s="350">
        <f t="shared" si="456"/>
        <v>4.1250000000000002E-2</v>
      </c>
      <c r="BW522" s="350">
        <v>25</v>
      </c>
      <c r="BX522" s="385">
        <f t="shared" si="440"/>
        <v>0.25</v>
      </c>
      <c r="BY522" s="369">
        <v>0</v>
      </c>
      <c r="BZ522" s="391">
        <v>0</v>
      </c>
      <c r="CA522" s="689">
        <v>0</v>
      </c>
      <c r="CB522" s="324">
        <f t="shared" si="441"/>
        <v>0</v>
      </c>
      <c r="CC522" s="324">
        <f t="shared" si="442"/>
        <v>0</v>
      </c>
      <c r="CD522" s="384">
        <f t="shared" si="457"/>
        <v>0</v>
      </c>
      <c r="CE522" s="383">
        <f t="shared" si="458"/>
        <v>0</v>
      </c>
      <c r="CF522" s="367">
        <f t="shared" si="459"/>
        <v>0</v>
      </c>
      <c r="CG522" s="383">
        <f t="shared" si="460"/>
        <v>0</v>
      </c>
      <c r="CH522" s="320">
        <f t="shared" si="461"/>
        <v>4.1250000000000002E-2</v>
      </c>
      <c r="CI522" s="319">
        <v>25</v>
      </c>
      <c r="CJ522" s="318">
        <f t="shared" si="443"/>
        <v>0.25</v>
      </c>
      <c r="CK522" s="1258">
        <v>0</v>
      </c>
      <c r="CL522" s="301">
        <f t="shared" si="433"/>
        <v>25</v>
      </c>
      <c r="CM522" s="381">
        <f t="shared" si="444"/>
        <v>0</v>
      </c>
      <c r="CN522" s="381">
        <f t="shared" si="445"/>
        <v>0</v>
      </c>
      <c r="CO522" s="316">
        <f t="shared" si="462"/>
        <v>0</v>
      </c>
      <c r="CP522" s="381">
        <f t="shared" si="463"/>
        <v>0</v>
      </c>
      <c r="CQ522" s="381">
        <f t="shared" si="464"/>
        <v>0</v>
      </c>
      <c r="CR522" s="313">
        <v>0</v>
      </c>
      <c r="CS522" s="313">
        <v>0</v>
      </c>
      <c r="CT522" s="313">
        <v>0</v>
      </c>
      <c r="CU522" s="313">
        <v>0</v>
      </c>
      <c r="CV522" s="313">
        <v>0</v>
      </c>
      <c r="CW522" s="313">
        <v>0</v>
      </c>
      <c r="CX522" s="313">
        <v>0</v>
      </c>
      <c r="CY522" s="313">
        <v>0</v>
      </c>
      <c r="CZ522" s="380">
        <v>0</v>
      </c>
      <c r="DA522" s="380">
        <v>0</v>
      </c>
      <c r="DB522" s="380">
        <v>0</v>
      </c>
      <c r="DC522" s="380">
        <v>0</v>
      </c>
      <c r="DD522" s="380">
        <v>0</v>
      </c>
      <c r="DE522" s="380">
        <v>0</v>
      </c>
      <c r="DF522" s="380">
        <v>0</v>
      </c>
      <c r="DG522" s="380">
        <v>0</v>
      </c>
      <c r="DH522" s="380">
        <v>0</v>
      </c>
      <c r="DI522" s="380">
        <v>0</v>
      </c>
      <c r="DJ522" s="380">
        <v>0</v>
      </c>
      <c r="DK522" s="702">
        <f t="shared" si="446"/>
        <v>90.7</v>
      </c>
      <c r="DL522" s="311">
        <f t="shared" si="465"/>
        <v>0.16500000000000001</v>
      </c>
      <c r="DM522" s="310">
        <f t="shared" si="466"/>
        <v>90.7</v>
      </c>
      <c r="DN522" s="356">
        <f t="shared" si="467"/>
        <v>90.7</v>
      </c>
      <c r="DO522" s="308">
        <f t="shared" si="468"/>
        <v>0.14965500000000001</v>
      </c>
      <c r="DP522" s="359">
        <f t="shared" si="448"/>
        <v>0.14965500000000001</v>
      </c>
      <c r="DQ522" s="306">
        <f t="shared" si="469"/>
        <v>0.14965500000000001</v>
      </c>
      <c r="DR522" s="379">
        <f t="shared" si="470"/>
        <v>1</v>
      </c>
      <c r="DS522" s="378">
        <f t="shared" si="471"/>
        <v>0</v>
      </c>
      <c r="DT522" s="173">
        <v>621</v>
      </c>
      <c r="DU522" s="174" t="s">
        <v>89</v>
      </c>
      <c r="DV522" s="173"/>
      <c r="DW522" s="174" t="s">
        <v>84</v>
      </c>
      <c r="DX522" s="173"/>
      <c r="DY522" s="173"/>
      <c r="DZ522" s="173"/>
      <c r="EA522" s="665"/>
      <c r="EB522" s="1254" t="s">
        <v>3182</v>
      </c>
      <c r="EC522" s="537">
        <v>30000000</v>
      </c>
      <c r="EE522" s="734">
        <v>116</v>
      </c>
      <c r="EF522" s="706"/>
    </row>
    <row r="523" spans="4:136" s="302" customFormat="1" ht="178.5" hidden="1">
      <c r="D523" s="520">
        <v>520</v>
      </c>
      <c r="E523" s="534">
        <v>592</v>
      </c>
      <c r="F523" s="479" t="s">
        <v>46</v>
      </c>
      <c r="G523" s="479" t="s">
        <v>30</v>
      </c>
      <c r="H523" s="479" t="s">
        <v>2681</v>
      </c>
      <c r="I523" s="479" t="s">
        <v>1211</v>
      </c>
      <c r="J523" s="335" t="s">
        <v>1221</v>
      </c>
      <c r="K523" s="335" t="s">
        <v>1222</v>
      </c>
      <c r="L523" s="358" t="s">
        <v>1787</v>
      </c>
      <c r="M523" s="334" t="s">
        <v>1771</v>
      </c>
      <c r="N523" s="334">
        <v>0</v>
      </c>
      <c r="O523" s="333">
        <f t="shared" si="447"/>
        <v>1</v>
      </c>
      <c r="P523" s="332">
        <v>1</v>
      </c>
      <c r="Q523" s="390">
        <v>0.16500000000000001</v>
      </c>
      <c r="R523" s="342">
        <f t="shared" si="449"/>
        <v>4.9500000000000002E-2</v>
      </c>
      <c r="S523" s="389">
        <v>0.3</v>
      </c>
      <c r="T523" s="337">
        <f t="shared" si="434"/>
        <v>0.3</v>
      </c>
      <c r="U523" s="670">
        <v>0</v>
      </c>
      <c r="V523" s="388">
        <f t="shared" si="435"/>
        <v>0</v>
      </c>
      <c r="W523" s="356">
        <f t="shared" si="436"/>
        <v>0</v>
      </c>
      <c r="X523" s="356">
        <f t="shared" si="450"/>
        <v>0</v>
      </c>
      <c r="Y523" s="356">
        <f t="shared" si="417"/>
        <v>0</v>
      </c>
      <c r="Z523" s="356">
        <f t="shared" si="451"/>
        <v>0</v>
      </c>
      <c r="AA523" s="355">
        <v>0</v>
      </c>
      <c r="AB523" s="355">
        <v>0</v>
      </c>
      <c r="AC523" s="355">
        <v>0</v>
      </c>
      <c r="AD523" s="355">
        <v>0</v>
      </c>
      <c r="AE523" s="355">
        <v>0</v>
      </c>
      <c r="AF523" s="355">
        <v>0</v>
      </c>
      <c r="AG523" s="355">
        <v>0</v>
      </c>
      <c r="AH523" s="355">
        <v>0</v>
      </c>
      <c r="AI523" s="355">
        <v>0</v>
      </c>
      <c r="AJ523" s="355">
        <v>0</v>
      </c>
      <c r="AK523" s="355">
        <v>0</v>
      </c>
      <c r="AL523" s="355">
        <v>0</v>
      </c>
      <c r="AM523" s="355">
        <v>0</v>
      </c>
      <c r="AN523" s="355">
        <v>0</v>
      </c>
      <c r="AO523" s="355">
        <v>0</v>
      </c>
      <c r="AP523" s="355">
        <v>0</v>
      </c>
      <c r="AQ523" s="355">
        <v>0</v>
      </c>
      <c r="AR523" s="355">
        <v>0</v>
      </c>
      <c r="AS523" s="355">
        <v>0</v>
      </c>
      <c r="AT523" s="333">
        <f t="shared" si="452"/>
        <v>0.11549999999999999</v>
      </c>
      <c r="AU523" s="334">
        <v>0.7</v>
      </c>
      <c r="AV523" s="387">
        <f t="shared" si="437"/>
        <v>0.7</v>
      </c>
      <c r="AW523" s="677">
        <v>0.1</v>
      </c>
      <c r="AX523" s="366">
        <f t="shared" si="438"/>
        <v>0.1</v>
      </c>
      <c r="AY523" s="366">
        <f t="shared" si="439"/>
        <v>14.285714285714286</v>
      </c>
      <c r="AZ523" s="366">
        <f t="shared" si="453"/>
        <v>14.285714285714286</v>
      </c>
      <c r="BA523" s="354">
        <f t="shared" si="454"/>
        <v>1.6500000000000001E-2</v>
      </c>
      <c r="BB523" s="354">
        <f t="shared" si="455"/>
        <v>14.285714285714286</v>
      </c>
      <c r="BC523" s="353">
        <v>0</v>
      </c>
      <c r="BD523" s="353">
        <v>0</v>
      </c>
      <c r="BE523" s="353">
        <v>0</v>
      </c>
      <c r="BF523" s="353">
        <v>0</v>
      </c>
      <c r="BG523" s="353">
        <v>0</v>
      </c>
      <c r="BH523" s="353">
        <v>0</v>
      </c>
      <c r="BI523" s="353">
        <v>0</v>
      </c>
      <c r="BJ523" s="353">
        <v>0</v>
      </c>
      <c r="BK523" s="386">
        <v>0</v>
      </c>
      <c r="BL523" s="351">
        <v>0</v>
      </c>
      <c r="BM523" s="351">
        <v>0</v>
      </c>
      <c r="BN523" s="351">
        <v>0</v>
      </c>
      <c r="BO523" s="351">
        <v>0</v>
      </c>
      <c r="BP523" s="351">
        <v>0</v>
      </c>
      <c r="BQ523" s="351">
        <v>0</v>
      </c>
      <c r="BR523" s="351">
        <v>0</v>
      </c>
      <c r="BS523" s="351">
        <v>0</v>
      </c>
      <c r="BT523" s="351">
        <v>0</v>
      </c>
      <c r="BU523" s="351">
        <v>0</v>
      </c>
      <c r="BV523" s="350">
        <f t="shared" si="456"/>
        <v>0</v>
      </c>
      <c r="BW523" s="350">
        <v>0</v>
      </c>
      <c r="BX523" s="385">
        <f t="shared" si="440"/>
        <v>0</v>
      </c>
      <c r="BY523" s="399">
        <v>0.2</v>
      </c>
      <c r="BZ523" s="398">
        <v>0.20000000298023224</v>
      </c>
      <c r="CA523" s="690">
        <v>0.2</v>
      </c>
      <c r="CB523" s="324">
        <f t="shared" si="441"/>
        <v>0.2</v>
      </c>
      <c r="CC523" s="324">
        <f t="shared" si="442"/>
        <v>0</v>
      </c>
      <c r="CD523" s="384">
        <f t="shared" si="457"/>
        <v>0</v>
      </c>
      <c r="CE523" s="383">
        <f t="shared" si="458"/>
        <v>0</v>
      </c>
      <c r="CF523" s="367">
        <f t="shared" si="459"/>
        <v>100</v>
      </c>
      <c r="CG523" s="383">
        <f t="shared" si="460"/>
        <v>0</v>
      </c>
      <c r="CH523" s="320">
        <f t="shared" si="461"/>
        <v>0</v>
      </c>
      <c r="CI523" s="319">
        <v>0</v>
      </c>
      <c r="CJ523" s="318">
        <f t="shared" si="443"/>
        <v>0</v>
      </c>
      <c r="CK523" s="1258">
        <v>0.5</v>
      </c>
      <c r="CL523" s="301">
        <f t="shared" si="433"/>
        <v>-0.5</v>
      </c>
      <c r="CM523" s="381">
        <f t="shared" si="444"/>
        <v>0.5</v>
      </c>
      <c r="CN523" s="381">
        <f t="shared" si="445"/>
        <v>0</v>
      </c>
      <c r="CO523" s="316">
        <f t="shared" si="462"/>
        <v>0</v>
      </c>
      <c r="CP523" s="381">
        <f t="shared" si="463"/>
        <v>0</v>
      </c>
      <c r="CQ523" s="381">
        <f t="shared" si="464"/>
        <v>0</v>
      </c>
      <c r="CR523" s="313">
        <v>0</v>
      </c>
      <c r="CS523" s="313">
        <v>0</v>
      </c>
      <c r="CT523" s="313">
        <v>0</v>
      </c>
      <c r="CU523" s="313">
        <v>0</v>
      </c>
      <c r="CV523" s="313">
        <v>0</v>
      </c>
      <c r="CW523" s="313">
        <v>0</v>
      </c>
      <c r="CX523" s="313">
        <v>0</v>
      </c>
      <c r="CY523" s="313">
        <v>0</v>
      </c>
      <c r="CZ523" s="380">
        <v>0</v>
      </c>
      <c r="DA523" s="380">
        <v>0</v>
      </c>
      <c r="DB523" s="380">
        <v>0</v>
      </c>
      <c r="DC523" s="380">
        <v>0</v>
      </c>
      <c r="DD523" s="380">
        <v>0</v>
      </c>
      <c r="DE523" s="380">
        <v>0</v>
      </c>
      <c r="DF523" s="380">
        <v>0</v>
      </c>
      <c r="DG523" s="380">
        <v>0</v>
      </c>
      <c r="DH523" s="380">
        <v>0</v>
      </c>
      <c r="DI523" s="380">
        <v>0</v>
      </c>
      <c r="DJ523" s="380">
        <v>0</v>
      </c>
      <c r="DK523" s="702">
        <f t="shared" si="446"/>
        <v>0.8</v>
      </c>
      <c r="DL523" s="311">
        <f t="shared" si="465"/>
        <v>0.16499999999999998</v>
      </c>
      <c r="DM523" s="310">
        <f t="shared" si="466"/>
        <v>80</v>
      </c>
      <c r="DN523" s="356">
        <f t="shared" si="467"/>
        <v>80</v>
      </c>
      <c r="DO523" s="308">
        <f t="shared" si="468"/>
        <v>0.13200000000000001</v>
      </c>
      <c r="DP523" s="359">
        <f t="shared" si="448"/>
        <v>0.13200000000000001</v>
      </c>
      <c r="DQ523" s="306">
        <f t="shared" si="469"/>
        <v>0.13200000000000001</v>
      </c>
      <c r="DR523" s="379">
        <f t="shared" si="470"/>
        <v>1</v>
      </c>
      <c r="DS523" s="378">
        <f t="shared" si="471"/>
        <v>1.3877787807814457E-17</v>
      </c>
      <c r="DT523" s="173">
        <v>621</v>
      </c>
      <c r="DU523" s="174" t="s">
        <v>89</v>
      </c>
      <c r="DV523" s="173"/>
      <c r="DW523" s="174" t="s">
        <v>84</v>
      </c>
      <c r="DX523" s="173"/>
      <c r="DY523" s="173"/>
      <c r="DZ523" s="173"/>
      <c r="EA523" s="665"/>
      <c r="EB523" s="1254" t="s">
        <v>3183</v>
      </c>
      <c r="EC523" s="537">
        <v>35000000</v>
      </c>
      <c r="EE523" s="734">
        <v>1</v>
      </c>
      <c r="EF523" s="706"/>
    </row>
    <row r="524" spans="4:136" s="302" customFormat="1" ht="63.75">
      <c r="D524" s="520">
        <v>521</v>
      </c>
      <c r="E524" s="534">
        <v>593</v>
      </c>
      <c r="F524" s="479" t="s">
        <v>46</v>
      </c>
      <c r="G524" s="479" t="s">
        <v>19</v>
      </c>
      <c r="H524" s="479" t="s">
        <v>2682</v>
      </c>
      <c r="I524" s="479" t="s">
        <v>1223</v>
      </c>
      <c r="J524" s="335" t="s">
        <v>1224</v>
      </c>
      <c r="K524" s="335" t="s">
        <v>1786</v>
      </c>
      <c r="L524" s="358" t="s">
        <v>1783</v>
      </c>
      <c r="M524" s="334" t="s">
        <v>1785</v>
      </c>
      <c r="N524" s="334">
        <v>0</v>
      </c>
      <c r="O524" s="333">
        <f>+P524</f>
        <v>1</v>
      </c>
      <c r="P524" s="332">
        <v>1</v>
      </c>
      <c r="Q524" s="390">
        <v>0.16500000000000001</v>
      </c>
      <c r="R524" s="342">
        <f t="shared" si="449"/>
        <v>4.1250000000000002E-2</v>
      </c>
      <c r="S524" s="389">
        <v>1</v>
      </c>
      <c r="T524" s="337">
        <f t="shared" si="434"/>
        <v>0.25</v>
      </c>
      <c r="U524" s="670">
        <v>1</v>
      </c>
      <c r="V524" s="388">
        <f t="shared" si="435"/>
        <v>0.25</v>
      </c>
      <c r="W524" s="356">
        <f t="shared" si="436"/>
        <v>100</v>
      </c>
      <c r="X524" s="356">
        <f t="shared" si="450"/>
        <v>100</v>
      </c>
      <c r="Y524" s="356">
        <f t="shared" si="417"/>
        <v>4.1250000000000002E-2</v>
      </c>
      <c r="Z524" s="356">
        <f t="shared" si="451"/>
        <v>100</v>
      </c>
      <c r="AA524" s="355">
        <v>159000000</v>
      </c>
      <c r="AB524" s="355">
        <v>159000000</v>
      </c>
      <c r="AC524" s="355">
        <v>0</v>
      </c>
      <c r="AD524" s="355">
        <v>0</v>
      </c>
      <c r="AE524" s="355">
        <v>0</v>
      </c>
      <c r="AF524" s="355">
        <v>0</v>
      </c>
      <c r="AG524" s="355">
        <v>0</v>
      </c>
      <c r="AH524" s="355">
        <v>0</v>
      </c>
      <c r="AI524" s="355">
        <v>84429000</v>
      </c>
      <c r="AJ524" s="355">
        <v>84429000</v>
      </c>
      <c r="AK524" s="355">
        <v>0</v>
      </c>
      <c r="AL524" s="355">
        <v>0</v>
      </c>
      <c r="AM524" s="355">
        <v>0</v>
      </c>
      <c r="AN524" s="355">
        <v>0</v>
      </c>
      <c r="AO524" s="355">
        <v>0</v>
      </c>
      <c r="AP524" s="355">
        <v>0</v>
      </c>
      <c r="AQ524" s="355">
        <v>0</v>
      </c>
      <c r="AR524" s="355">
        <v>0</v>
      </c>
      <c r="AS524" s="355">
        <v>0</v>
      </c>
      <c r="AT524" s="333">
        <f t="shared" si="452"/>
        <v>4.1250000000000002E-2</v>
      </c>
      <c r="AU524" s="334">
        <v>1</v>
      </c>
      <c r="AV524" s="387">
        <f t="shared" si="437"/>
        <v>0.25</v>
      </c>
      <c r="AW524" s="677">
        <v>1</v>
      </c>
      <c r="AX524" s="366">
        <f t="shared" si="438"/>
        <v>0.25</v>
      </c>
      <c r="AY524" s="366">
        <f t="shared" si="439"/>
        <v>100</v>
      </c>
      <c r="AZ524" s="366">
        <f t="shared" si="453"/>
        <v>100</v>
      </c>
      <c r="BA524" s="354">
        <f t="shared" si="454"/>
        <v>4.1250000000000002E-2</v>
      </c>
      <c r="BB524" s="354">
        <f t="shared" si="455"/>
        <v>100</v>
      </c>
      <c r="BC524" s="353">
        <v>85000000</v>
      </c>
      <c r="BD524" s="353">
        <v>0</v>
      </c>
      <c r="BE524" s="353">
        <v>85000000</v>
      </c>
      <c r="BF524" s="353">
        <v>0</v>
      </c>
      <c r="BG524" s="353">
        <v>0</v>
      </c>
      <c r="BH524" s="353">
        <v>0</v>
      </c>
      <c r="BI524" s="353">
        <v>0</v>
      </c>
      <c r="BJ524" s="353">
        <v>0</v>
      </c>
      <c r="BK524" s="386">
        <v>15000000</v>
      </c>
      <c r="BL524" s="351">
        <v>15000000</v>
      </c>
      <c r="BM524" s="351">
        <v>0</v>
      </c>
      <c r="BN524" s="351">
        <v>0</v>
      </c>
      <c r="BO524" s="351">
        <v>0</v>
      </c>
      <c r="BP524" s="351">
        <v>0</v>
      </c>
      <c r="BQ524" s="351">
        <v>0</v>
      </c>
      <c r="BR524" s="351">
        <v>0</v>
      </c>
      <c r="BS524" s="351">
        <v>0</v>
      </c>
      <c r="BT524" s="351">
        <v>0</v>
      </c>
      <c r="BU524" s="351">
        <v>0</v>
      </c>
      <c r="BV524" s="350">
        <f t="shared" si="456"/>
        <v>4.1250000000000002E-2</v>
      </c>
      <c r="BW524" s="350">
        <v>1</v>
      </c>
      <c r="BX524" s="385">
        <f t="shared" si="440"/>
        <v>0.25</v>
      </c>
      <c r="BY524" s="369">
        <v>0.25</v>
      </c>
      <c r="BZ524" s="368">
        <v>0.64999997615814209</v>
      </c>
      <c r="CA524" s="742">
        <v>1</v>
      </c>
      <c r="CB524" s="324">
        <f t="shared" si="441"/>
        <v>0.25</v>
      </c>
      <c r="CC524" s="324">
        <f t="shared" si="442"/>
        <v>100</v>
      </c>
      <c r="CD524" s="384">
        <f t="shared" si="457"/>
        <v>100</v>
      </c>
      <c r="CE524" s="383">
        <f t="shared" si="458"/>
        <v>4.1250000000000002E-2</v>
      </c>
      <c r="CF524" s="367">
        <f t="shared" si="459"/>
        <v>100</v>
      </c>
      <c r="CG524" s="383">
        <f t="shared" si="460"/>
        <v>4.1250000000000002E-2</v>
      </c>
      <c r="CH524" s="320">
        <f t="shared" si="461"/>
        <v>4.1250000000000002E-2</v>
      </c>
      <c r="CI524" s="319">
        <v>1</v>
      </c>
      <c r="CJ524" s="318">
        <f t="shared" si="443"/>
        <v>0.25</v>
      </c>
      <c r="CK524" s="1259">
        <v>1</v>
      </c>
      <c r="CL524" s="301">
        <f t="shared" si="433"/>
        <v>0</v>
      </c>
      <c r="CM524" s="381">
        <f t="shared" si="444"/>
        <v>0.25</v>
      </c>
      <c r="CN524" s="381">
        <f t="shared" si="445"/>
        <v>100</v>
      </c>
      <c r="CO524" s="381">
        <f t="shared" si="462"/>
        <v>100</v>
      </c>
      <c r="CP524" s="381">
        <f t="shared" si="463"/>
        <v>4.1250000000000002E-2</v>
      </c>
      <c r="CQ524" s="381">
        <f t="shared" si="464"/>
        <v>4.1250000000000002E-2</v>
      </c>
      <c r="CR524" s="313">
        <v>195000000</v>
      </c>
      <c r="CS524" s="313">
        <v>195000000</v>
      </c>
      <c r="CT524" s="313">
        <v>0</v>
      </c>
      <c r="CU524" s="313">
        <v>0</v>
      </c>
      <c r="CV524" s="313">
        <v>0</v>
      </c>
      <c r="CW524" s="313">
        <v>0</v>
      </c>
      <c r="CX524" s="313">
        <v>0</v>
      </c>
      <c r="CY524" s="313">
        <v>0</v>
      </c>
      <c r="CZ524" s="380">
        <v>0</v>
      </c>
      <c r="DA524" s="380">
        <v>0</v>
      </c>
      <c r="DB524" s="380">
        <v>0</v>
      </c>
      <c r="DC524" s="380">
        <v>0</v>
      </c>
      <c r="DD524" s="380">
        <v>0</v>
      </c>
      <c r="DE524" s="380">
        <v>0</v>
      </c>
      <c r="DF524" s="380">
        <v>0</v>
      </c>
      <c r="DG524" s="380">
        <v>0</v>
      </c>
      <c r="DH524" s="380">
        <v>0</v>
      </c>
      <c r="DI524" s="380">
        <v>0</v>
      </c>
      <c r="DJ524" s="380">
        <v>0</v>
      </c>
      <c r="DK524" s="702">
        <f t="shared" si="446"/>
        <v>1</v>
      </c>
      <c r="DL524" s="311">
        <f t="shared" si="465"/>
        <v>0.16500000000000001</v>
      </c>
      <c r="DM524" s="310">
        <f t="shared" si="466"/>
        <v>100</v>
      </c>
      <c r="DN524" s="356">
        <f t="shared" si="467"/>
        <v>100</v>
      </c>
      <c r="DO524" s="308">
        <f t="shared" si="468"/>
        <v>0.16500000000000001</v>
      </c>
      <c r="DP524" s="359">
        <f>+IF(M524="M",DO524,0)</f>
        <v>0.16500000000000001</v>
      </c>
      <c r="DQ524" s="306">
        <f t="shared" si="469"/>
        <v>0.16500000000000001</v>
      </c>
      <c r="DR524" s="379">
        <f t="shared" si="470"/>
        <v>1</v>
      </c>
      <c r="DS524" s="378">
        <f t="shared" si="471"/>
        <v>0</v>
      </c>
      <c r="DT524" s="173">
        <v>622</v>
      </c>
      <c r="DU524" s="174" t="s">
        <v>88</v>
      </c>
      <c r="DV524" s="173"/>
      <c r="DW524" s="174" t="s">
        <v>84</v>
      </c>
      <c r="DX524" s="173"/>
      <c r="DY524" s="173"/>
      <c r="DZ524" s="173"/>
      <c r="EA524" s="665"/>
      <c r="EB524" s="1254" t="s">
        <v>2155</v>
      </c>
      <c r="EC524" s="537">
        <v>400000000</v>
      </c>
      <c r="EE524" s="734">
        <v>25</v>
      </c>
      <c r="EF524" s="706"/>
    </row>
    <row r="525" spans="4:136" s="302" customFormat="1" ht="89.25">
      <c r="D525" s="520">
        <v>522</v>
      </c>
      <c r="E525" s="534">
        <v>594</v>
      </c>
      <c r="F525" s="479" t="s">
        <v>46</v>
      </c>
      <c r="G525" s="479" t="s">
        <v>19</v>
      </c>
      <c r="H525" s="479" t="s">
        <v>2682</v>
      </c>
      <c r="I525" s="479" t="s">
        <v>1223</v>
      </c>
      <c r="J525" s="335" t="s">
        <v>1225</v>
      </c>
      <c r="K525" s="335" t="s">
        <v>1226</v>
      </c>
      <c r="L525" s="358" t="s">
        <v>1777</v>
      </c>
      <c r="M525" s="334" t="s">
        <v>1771</v>
      </c>
      <c r="N525" s="334">
        <v>1</v>
      </c>
      <c r="O525" s="333">
        <f t="shared" ref="O525:O541" si="472">+N525+P525</f>
        <v>4</v>
      </c>
      <c r="P525" s="332">
        <f>4-N525</f>
        <v>3</v>
      </c>
      <c r="Q525" s="390">
        <v>0.16500000000000001</v>
      </c>
      <c r="R525" s="342">
        <f t="shared" si="449"/>
        <v>5.5E-2</v>
      </c>
      <c r="S525" s="389">
        <v>1</v>
      </c>
      <c r="T525" s="337">
        <f t="shared" si="434"/>
        <v>0.33333333333333331</v>
      </c>
      <c r="U525" s="670">
        <v>1</v>
      </c>
      <c r="V525" s="388">
        <f t="shared" si="435"/>
        <v>1</v>
      </c>
      <c r="W525" s="356">
        <f t="shared" si="436"/>
        <v>100</v>
      </c>
      <c r="X525" s="356">
        <f t="shared" si="450"/>
        <v>100</v>
      </c>
      <c r="Y525" s="356">
        <f t="shared" si="417"/>
        <v>5.5E-2</v>
      </c>
      <c r="Z525" s="356">
        <f t="shared" si="451"/>
        <v>100</v>
      </c>
      <c r="AA525" s="355">
        <v>40000000</v>
      </c>
      <c r="AB525" s="355">
        <v>40000000</v>
      </c>
      <c r="AC525" s="355">
        <v>0</v>
      </c>
      <c r="AD525" s="355">
        <v>0</v>
      </c>
      <c r="AE525" s="355">
        <v>0</v>
      </c>
      <c r="AF525" s="355">
        <v>0</v>
      </c>
      <c r="AG525" s="355">
        <v>0</v>
      </c>
      <c r="AH525" s="355">
        <v>0</v>
      </c>
      <c r="AI525" s="355">
        <v>40000000</v>
      </c>
      <c r="AJ525" s="355">
        <v>40000000</v>
      </c>
      <c r="AK525" s="355">
        <v>0</v>
      </c>
      <c r="AL525" s="355">
        <v>0</v>
      </c>
      <c r="AM525" s="355">
        <v>0</v>
      </c>
      <c r="AN525" s="355">
        <v>0</v>
      </c>
      <c r="AO525" s="355">
        <v>0</v>
      </c>
      <c r="AP525" s="355">
        <v>0</v>
      </c>
      <c r="AQ525" s="355">
        <v>0</v>
      </c>
      <c r="AR525" s="355">
        <v>0</v>
      </c>
      <c r="AS525" s="355">
        <v>0</v>
      </c>
      <c r="AT525" s="333">
        <f t="shared" si="452"/>
        <v>5.5E-2</v>
      </c>
      <c r="AU525" s="334">
        <v>1</v>
      </c>
      <c r="AV525" s="387">
        <f t="shared" si="437"/>
        <v>0.33333333333333331</v>
      </c>
      <c r="AW525" s="677">
        <v>4</v>
      </c>
      <c r="AX525" s="366">
        <f t="shared" si="438"/>
        <v>4</v>
      </c>
      <c r="AY525" s="366">
        <f t="shared" si="439"/>
        <v>400</v>
      </c>
      <c r="AZ525" s="366">
        <f t="shared" si="453"/>
        <v>100</v>
      </c>
      <c r="BA525" s="354">
        <f t="shared" si="454"/>
        <v>5.5E-2</v>
      </c>
      <c r="BB525" s="354">
        <f t="shared" si="455"/>
        <v>100</v>
      </c>
      <c r="BC525" s="353">
        <v>14000000</v>
      </c>
      <c r="BD525" s="353">
        <v>0</v>
      </c>
      <c r="BE525" s="353">
        <v>14000000</v>
      </c>
      <c r="BF525" s="353">
        <v>0</v>
      </c>
      <c r="BG525" s="353">
        <v>0</v>
      </c>
      <c r="BH525" s="353">
        <v>0</v>
      </c>
      <c r="BI525" s="353">
        <v>0</v>
      </c>
      <c r="BJ525" s="353">
        <v>0</v>
      </c>
      <c r="BK525" s="386">
        <v>167517156</v>
      </c>
      <c r="BL525" s="351">
        <v>167517156</v>
      </c>
      <c r="BM525" s="351">
        <v>0</v>
      </c>
      <c r="BN525" s="351">
        <v>0</v>
      </c>
      <c r="BO525" s="351">
        <v>0</v>
      </c>
      <c r="BP525" s="351">
        <v>0</v>
      </c>
      <c r="BQ525" s="351">
        <v>0</v>
      </c>
      <c r="BR525" s="351">
        <v>0</v>
      </c>
      <c r="BS525" s="351">
        <v>0</v>
      </c>
      <c r="BT525" s="351">
        <v>175673600</v>
      </c>
      <c r="BU525" s="351" t="s">
        <v>1614</v>
      </c>
      <c r="BV525" s="350">
        <f t="shared" si="456"/>
        <v>0</v>
      </c>
      <c r="BW525" s="350">
        <v>0</v>
      </c>
      <c r="BX525" s="385">
        <f t="shared" si="440"/>
        <v>0</v>
      </c>
      <c r="BY525" s="369">
        <v>0</v>
      </c>
      <c r="BZ525" s="368">
        <v>0</v>
      </c>
      <c r="CA525" s="742">
        <v>1</v>
      </c>
      <c r="CB525" s="324">
        <f t="shared" si="441"/>
        <v>1</v>
      </c>
      <c r="CC525" s="324">
        <f t="shared" si="442"/>
        <v>0</v>
      </c>
      <c r="CD525" s="384">
        <f t="shared" si="457"/>
        <v>0</v>
      </c>
      <c r="CE525" s="383">
        <f t="shared" si="458"/>
        <v>0</v>
      </c>
      <c r="CF525" s="367">
        <f t="shared" si="459"/>
        <v>0</v>
      </c>
      <c r="CG525" s="383">
        <f t="shared" si="460"/>
        <v>0</v>
      </c>
      <c r="CH525" s="320">
        <f t="shared" si="461"/>
        <v>5.5E-2</v>
      </c>
      <c r="CI525" s="319">
        <v>1</v>
      </c>
      <c r="CJ525" s="318">
        <f t="shared" si="443"/>
        <v>0.33333333333333331</v>
      </c>
      <c r="CK525" s="1259">
        <v>2</v>
      </c>
      <c r="CL525" s="301">
        <f t="shared" si="433"/>
        <v>-1</v>
      </c>
      <c r="CM525" s="381">
        <f t="shared" si="444"/>
        <v>2</v>
      </c>
      <c r="CN525" s="381">
        <f t="shared" si="445"/>
        <v>200</v>
      </c>
      <c r="CO525" s="316">
        <f t="shared" si="462"/>
        <v>100</v>
      </c>
      <c r="CP525" s="381">
        <f t="shared" si="463"/>
        <v>5.5E-2</v>
      </c>
      <c r="CQ525" s="381">
        <f t="shared" si="464"/>
        <v>0.11</v>
      </c>
      <c r="CR525" s="313">
        <v>33000000</v>
      </c>
      <c r="CS525" s="313">
        <v>33000000</v>
      </c>
      <c r="CT525" s="313">
        <v>0</v>
      </c>
      <c r="CU525" s="313">
        <v>0</v>
      </c>
      <c r="CV525" s="313">
        <v>0</v>
      </c>
      <c r="CW525" s="313">
        <v>0</v>
      </c>
      <c r="CX525" s="313">
        <v>0</v>
      </c>
      <c r="CY525" s="313">
        <v>0</v>
      </c>
      <c r="CZ525" s="380">
        <v>0</v>
      </c>
      <c r="DA525" s="380">
        <v>0</v>
      </c>
      <c r="DB525" s="380">
        <v>0</v>
      </c>
      <c r="DC525" s="380">
        <v>0</v>
      </c>
      <c r="DD525" s="380">
        <v>0</v>
      </c>
      <c r="DE525" s="380">
        <v>0</v>
      </c>
      <c r="DF525" s="380">
        <v>0</v>
      </c>
      <c r="DG525" s="380">
        <v>0</v>
      </c>
      <c r="DH525" s="380">
        <v>0</v>
      </c>
      <c r="DI525" s="380">
        <v>0</v>
      </c>
      <c r="DJ525" s="380">
        <v>0</v>
      </c>
      <c r="DK525" s="702">
        <f t="shared" si="446"/>
        <v>8</v>
      </c>
      <c r="DL525" s="311">
        <f t="shared" si="465"/>
        <v>0.16500000000000001</v>
      </c>
      <c r="DM525" s="310">
        <f t="shared" si="466"/>
        <v>266.66666666666669</v>
      </c>
      <c r="DN525" s="356">
        <f t="shared" si="467"/>
        <v>100</v>
      </c>
      <c r="DO525" s="308">
        <f t="shared" si="468"/>
        <v>0.16500000000000001</v>
      </c>
      <c r="DP525" s="359">
        <f t="shared" ref="DP525:DP541" si="473">+IF(((DN525*Q525)/100)&lt;Q525, ((DN525*Q525)/100),Q525)</f>
        <v>0.16500000000000001</v>
      </c>
      <c r="DQ525" s="306">
        <f t="shared" si="469"/>
        <v>0.16500000000000001</v>
      </c>
      <c r="DR525" s="379">
        <f t="shared" si="470"/>
        <v>1</v>
      </c>
      <c r="DS525" s="378">
        <f t="shared" si="471"/>
        <v>0</v>
      </c>
      <c r="DT525" s="173">
        <v>622</v>
      </c>
      <c r="DU525" s="174" t="s">
        <v>88</v>
      </c>
      <c r="DV525" s="173"/>
      <c r="DW525" s="174" t="s">
        <v>84</v>
      </c>
      <c r="DX525" s="173"/>
      <c r="DY525" s="173"/>
      <c r="DZ525" s="173"/>
      <c r="EA525" s="665"/>
      <c r="EB525" s="1254" t="s">
        <v>2156</v>
      </c>
      <c r="EC525" s="537">
        <v>9000000</v>
      </c>
      <c r="EE525" s="733">
        <v>0</v>
      </c>
      <c r="EF525" s="706"/>
    </row>
    <row r="526" spans="4:136" s="302" customFormat="1" ht="51" hidden="1">
      <c r="D526" s="520">
        <v>523</v>
      </c>
      <c r="E526" s="534">
        <v>595</v>
      </c>
      <c r="F526" s="336" t="s">
        <v>46</v>
      </c>
      <c r="G526" s="336" t="s">
        <v>30</v>
      </c>
      <c r="H526" s="336" t="s">
        <v>2682</v>
      </c>
      <c r="I526" s="336" t="s">
        <v>1223</v>
      </c>
      <c r="J526" s="335" t="s">
        <v>1312</v>
      </c>
      <c r="K526" s="335" t="s">
        <v>1227</v>
      </c>
      <c r="L526" s="358" t="s">
        <v>1784</v>
      </c>
      <c r="M526" s="334" t="s">
        <v>1771</v>
      </c>
      <c r="N526" s="334">
        <v>0</v>
      </c>
      <c r="O526" s="333">
        <f t="shared" si="472"/>
        <v>1</v>
      </c>
      <c r="P526" s="332">
        <v>1</v>
      </c>
      <c r="Q526" s="393">
        <v>0.16500000000000001</v>
      </c>
      <c r="R526" s="342">
        <f t="shared" si="449"/>
        <v>0</v>
      </c>
      <c r="S526" s="389">
        <v>0</v>
      </c>
      <c r="T526" s="337">
        <f t="shared" si="434"/>
        <v>0</v>
      </c>
      <c r="U526" s="670">
        <v>0</v>
      </c>
      <c r="V526" s="388">
        <f t="shared" si="435"/>
        <v>0</v>
      </c>
      <c r="W526" s="356">
        <f t="shared" si="436"/>
        <v>0</v>
      </c>
      <c r="X526" s="356">
        <f t="shared" si="450"/>
        <v>0</v>
      </c>
      <c r="Y526" s="356">
        <f t="shared" si="417"/>
        <v>0</v>
      </c>
      <c r="Z526" s="356">
        <f t="shared" si="451"/>
        <v>0</v>
      </c>
      <c r="AA526" s="355">
        <v>62000000</v>
      </c>
      <c r="AB526" s="355">
        <v>62000000</v>
      </c>
      <c r="AC526" s="355">
        <v>0</v>
      </c>
      <c r="AD526" s="355">
        <v>0</v>
      </c>
      <c r="AE526" s="355">
        <v>0</v>
      </c>
      <c r="AF526" s="355">
        <v>0</v>
      </c>
      <c r="AG526" s="355">
        <v>0</v>
      </c>
      <c r="AH526" s="355">
        <v>0</v>
      </c>
      <c r="AI526" s="355">
        <v>0</v>
      </c>
      <c r="AJ526" s="355">
        <v>0</v>
      </c>
      <c r="AK526" s="355">
        <v>0</v>
      </c>
      <c r="AL526" s="355">
        <v>0</v>
      </c>
      <c r="AM526" s="355">
        <v>0</v>
      </c>
      <c r="AN526" s="355">
        <v>0</v>
      </c>
      <c r="AO526" s="355">
        <v>0</v>
      </c>
      <c r="AP526" s="355">
        <v>0</v>
      </c>
      <c r="AQ526" s="355">
        <v>0</v>
      </c>
      <c r="AR526" s="355">
        <v>0</v>
      </c>
      <c r="AS526" s="355">
        <v>0</v>
      </c>
      <c r="AT526" s="392">
        <f t="shared" si="452"/>
        <v>0</v>
      </c>
      <c r="AU526" s="334">
        <v>0</v>
      </c>
      <c r="AV526" s="387">
        <f t="shared" si="437"/>
        <v>0</v>
      </c>
      <c r="AW526" s="677">
        <v>0</v>
      </c>
      <c r="AX526" s="366">
        <f t="shared" si="438"/>
        <v>0</v>
      </c>
      <c r="AY526" s="366">
        <f t="shared" si="439"/>
        <v>0</v>
      </c>
      <c r="AZ526" s="366">
        <f t="shared" si="453"/>
        <v>0</v>
      </c>
      <c r="BA526" s="354">
        <f t="shared" si="454"/>
        <v>0</v>
      </c>
      <c r="BB526" s="354">
        <f t="shared" si="455"/>
        <v>0</v>
      </c>
      <c r="BC526" s="353">
        <v>39000000</v>
      </c>
      <c r="BD526" s="353">
        <v>0</v>
      </c>
      <c r="BE526" s="353">
        <v>39000000</v>
      </c>
      <c r="BF526" s="353">
        <v>0</v>
      </c>
      <c r="BG526" s="353">
        <v>0</v>
      </c>
      <c r="BH526" s="353">
        <v>0</v>
      </c>
      <c r="BI526" s="353">
        <v>0</v>
      </c>
      <c r="BJ526" s="353">
        <v>0</v>
      </c>
      <c r="BK526" s="386">
        <v>0</v>
      </c>
      <c r="BL526" s="351">
        <v>0</v>
      </c>
      <c r="BM526" s="351">
        <v>0</v>
      </c>
      <c r="BN526" s="351">
        <v>0</v>
      </c>
      <c r="BO526" s="351">
        <v>0</v>
      </c>
      <c r="BP526" s="351">
        <v>0</v>
      </c>
      <c r="BQ526" s="351">
        <v>0</v>
      </c>
      <c r="BR526" s="351">
        <v>0</v>
      </c>
      <c r="BS526" s="351">
        <v>0</v>
      </c>
      <c r="BT526" s="351">
        <v>0</v>
      </c>
      <c r="BU526" s="351">
        <v>0</v>
      </c>
      <c r="BV526" s="350">
        <f t="shared" si="456"/>
        <v>6.6000000000000003E-2</v>
      </c>
      <c r="BW526" s="350">
        <v>0.4</v>
      </c>
      <c r="BX526" s="385">
        <f t="shared" si="440"/>
        <v>0.4</v>
      </c>
      <c r="BY526" s="399">
        <v>0</v>
      </c>
      <c r="BZ526" s="398">
        <v>0</v>
      </c>
      <c r="CA526" s="690">
        <v>0.4</v>
      </c>
      <c r="CB526" s="324">
        <f t="shared" si="441"/>
        <v>0.4</v>
      </c>
      <c r="CC526" s="324">
        <f t="shared" si="442"/>
        <v>100</v>
      </c>
      <c r="CD526" s="384">
        <f t="shared" si="457"/>
        <v>100</v>
      </c>
      <c r="CE526" s="383">
        <f t="shared" si="458"/>
        <v>6.6000000000000003E-2</v>
      </c>
      <c r="CF526" s="367">
        <f t="shared" si="459"/>
        <v>100</v>
      </c>
      <c r="CG526" s="383">
        <f t="shared" si="460"/>
        <v>6.6000000000000003E-2</v>
      </c>
      <c r="CH526" s="320">
        <f t="shared" si="461"/>
        <v>9.9000000000000005E-2</v>
      </c>
      <c r="CI526" s="319">
        <v>0.6</v>
      </c>
      <c r="CJ526" s="318">
        <f t="shared" si="443"/>
        <v>0.6</v>
      </c>
      <c r="CK526" s="1260">
        <v>100</v>
      </c>
      <c r="CL526" s="301">
        <f t="shared" si="433"/>
        <v>-99.4</v>
      </c>
      <c r="CM526" s="381">
        <f t="shared" si="444"/>
        <v>100</v>
      </c>
      <c r="CN526" s="381">
        <f t="shared" si="445"/>
        <v>16666.666666666668</v>
      </c>
      <c r="CO526" s="316">
        <f t="shared" si="462"/>
        <v>100</v>
      </c>
      <c r="CP526" s="381">
        <f t="shared" si="463"/>
        <v>9.9000000000000005E-2</v>
      </c>
      <c r="CQ526" s="381">
        <f t="shared" si="464"/>
        <v>16.500000000000004</v>
      </c>
      <c r="CR526" s="313">
        <v>90000000</v>
      </c>
      <c r="CS526" s="313">
        <v>90000000</v>
      </c>
      <c r="CT526" s="313">
        <v>0</v>
      </c>
      <c r="CU526" s="313">
        <v>0</v>
      </c>
      <c r="CV526" s="313">
        <v>0</v>
      </c>
      <c r="CW526" s="313">
        <v>0</v>
      </c>
      <c r="CX526" s="313">
        <v>0</v>
      </c>
      <c r="CY526" s="313">
        <v>0</v>
      </c>
      <c r="CZ526" s="380">
        <v>0</v>
      </c>
      <c r="DA526" s="380">
        <v>0</v>
      </c>
      <c r="DB526" s="380">
        <v>0</v>
      </c>
      <c r="DC526" s="380">
        <v>0</v>
      </c>
      <c r="DD526" s="380">
        <v>0</v>
      </c>
      <c r="DE526" s="380">
        <v>0</v>
      </c>
      <c r="DF526" s="380">
        <v>0</v>
      </c>
      <c r="DG526" s="380">
        <v>0</v>
      </c>
      <c r="DH526" s="380">
        <v>0</v>
      </c>
      <c r="DI526" s="380">
        <v>0</v>
      </c>
      <c r="DJ526" s="380">
        <v>0</v>
      </c>
      <c r="DK526" s="702">
        <f t="shared" si="446"/>
        <v>100.4</v>
      </c>
      <c r="DL526" s="311">
        <f t="shared" si="465"/>
        <v>0.16500000000000001</v>
      </c>
      <c r="DM526" s="310">
        <f t="shared" si="466"/>
        <v>10040</v>
      </c>
      <c r="DN526" s="356">
        <f t="shared" si="467"/>
        <v>100</v>
      </c>
      <c r="DO526" s="308">
        <f t="shared" si="468"/>
        <v>0.16500000000000001</v>
      </c>
      <c r="DP526" s="359">
        <f t="shared" si="473"/>
        <v>0.16500000000000001</v>
      </c>
      <c r="DQ526" s="306">
        <f t="shared" si="469"/>
        <v>0.16500000000000001</v>
      </c>
      <c r="DR526" s="379">
        <f t="shared" si="470"/>
        <v>1</v>
      </c>
      <c r="DS526" s="378">
        <f t="shared" si="471"/>
        <v>0</v>
      </c>
      <c r="DT526" s="173">
        <v>622</v>
      </c>
      <c r="DU526" s="174" t="s">
        <v>88</v>
      </c>
      <c r="DV526" s="173"/>
      <c r="DW526" s="174" t="s">
        <v>84</v>
      </c>
      <c r="DX526" s="173"/>
      <c r="DY526" s="173"/>
      <c r="DZ526" s="173"/>
      <c r="EA526" s="665"/>
      <c r="EB526" s="1254" t="s">
        <v>3184</v>
      </c>
      <c r="EC526" s="537">
        <v>0</v>
      </c>
      <c r="EE526" s="734">
        <v>1</v>
      </c>
      <c r="EF526" s="706"/>
    </row>
    <row r="527" spans="4:136" s="302" customFormat="1" ht="268.5" hidden="1" thickBot="1">
      <c r="D527" s="520">
        <v>524</v>
      </c>
      <c r="E527" s="534">
        <v>597</v>
      </c>
      <c r="F527" s="479" t="s">
        <v>46</v>
      </c>
      <c r="G527" s="479" t="s">
        <v>10</v>
      </c>
      <c r="H527" s="479" t="s">
        <v>2682</v>
      </c>
      <c r="I527" s="479" t="s">
        <v>1223</v>
      </c>
      <c r="J527" s="335" t="s">
        <v>1228</v>
      </c>
      <c r="K527" s="335" t="s">
        <v>1229</v>
      </c>
      <c r="L527" s="358" t="s">
        <v>1783</v>
      </c>
      <c r="M527" s="334" t="s">
        <v>1771</v>
      </c>
      <c r="N527" s="334">
        <v>0</v>
      </c>
      <c r="O527" s="333">
        <f t="shared" si="472"/>
        <v>1</v>
      </c>
      <c r="P527" s="332">
        <v>1</v>
      </c>
      <c r="Q527" s="390">
        <v>0.16500000000000001</v>
      </c>
      <c r="R527" s="342">
        <f t="shared" si="449"/>
        <v>2.6400000000000003E-2</v>
      </c>
      <c r="S527" s="389">
        <v>0.16</v>
      </c>
      <c r="T527" s="337">
        <f t="shared" si="434"/>
        <v>0.16</v>
      </c>
      <c r="U527" s="670">
        <v>0.15</v>
      </c>
      <c r="V527" s="388">
        <f t="shared" si="435"/>
        <v>0.15</v>
      </c>
      <c r="W527" s="356">
        <f t="shared" si="436"/>
        <v>93.75</v>
      </c>
      <c r="X527" s="356">
        <f t="shared" si="450"/>
        <v>93.75</v>
      </c>
      <c r="Y527" s="356">
        <f t="shared" si="417"/>
        <v>2.4750000000000005E-2</v>
      </c>
      <c r="Z527" s="356">
        <f t="shared" si="451"/>
        <v>93.75</v>
      </c>
      <c r="AA527" s="355">
        <v>0</v>
      </c>
      <c r="AB527" s="355">
        <v>0</v>
      </c>
      <c r="AC527" s="355">
        <v>0</v>
      </c>
      <c r="AD527" s="355">
        <v>0</v>
      </c>
      <c r="AE527" s="355">
        <v>0</v>
      </c>
      <c r="AF527" s="355">
        <v>0</v>
      </c>
      <c r="AG527" s="355">
        <v>0</v>
      </c>
      <c r="AH527" s="355">
        <v>0</v>
      </c>
      <c r="AI527" s="355">
        <v>0</v>
      </c>
      <c r="AJ527" s="355">
        <v>0</v>
      </c>
      <c r="AK527" s="355">
        <v>0</v>
      </c>
      <c r="AL527" s="355">
        <v>0</v>
      </c>
      <c r="AM527" s="355">
        <v>0</v>
      </c>
      <c r="AN527" s="355">
        <v>0</v>
      </c>
      <c r="AO527" s="355">
        <v>0</v>
      </c>
      <c r="AP527" s="355">
        <v>0</v>
      </c>
      <c r="AQ527" s="355">
        <v>0</v>
      </c>
      <c r="AR527" s="355">
        <v>0</v>
      </c>
      <c r="AS527" s="355">
        <v>0</v>
      </c>
      <c r="AT527" s="333">
        <f t="shared" si="452"/>
        <v>4.9500000000000002E-2</v>
      </c>
      <c r="AU527" s="334">
        <v>0.3</v>
      </c>
      <c r="AV527" s="387">
        <f t="shared" si="437"/>
        <v>0.3</v>
      </c>
      <c r="AW527" s="677">
        <v>0.3</v>
      </c>
      <c r="AX527" s="366">
        <f t="shared" si="438"/>
        <v>0.3</v>
      </c>
      <c r="AY527" s="366">
        <f t="shared" si="439"/>
        <v>100</v>
      </c>
      <c r="AZ527" s="366">
        <f t="shared" si="453"/>
        <v>100</v>
      </c>
      <c r="BA527" s="354">
        <f t="shared" si="454"/>
        <v>4.9500000000000002E-2</v>
      </c>
      <c r="BB527" s="354">
        <f t="shared" si="455"/>
        <v>100</v>
      </c>
      <c r="BC527" s="353">
        <v>0</v>
      </c>
      <c r="BD527" s="353">
        <v>0</v>
      </c>
      <c r="BE527" s="353">
        <v>0</v>
      </c>
      <c r="BF527" s="353">
        <v>0</v>
      </c>
      <c r="BG527" s="353">
        <v>0</v>
      </c>
      <c r="BH527" s="353">
        <v>0</v>
      </c>
      <c r="BI527" s="353">
        <v>0</v>
      </c>
      <c r="BJ527" s="353">
        <v>0</v>
      </c>
      <c r="BK527" s="386">
        <v>0</v>
      </c>
      <c r="BL527" s="351">
        <v>0</v>
      </c>
      <c r="BM527" s="351">
        <v>0</v>
      </c>
      <c r="BN527" s="351">
        <v>0</v>
      </c>
      <c r="BO527" s="351">
        <v>0</v>
      </c>
      <c r="BP527" s="351">
        <v>0</v>
      </c>
      <c r="BQ527" s="351">
        <v>0</v>
      </c>
      <c r="BR527" s="351">
        <v>0</v>
      </c>
      <c r="BS527" s="351">
        <v>0</v>
      </c>
      <c r="BT527" s="351">
        <v>0</v>
      </c>
      <c r="BU527" s="351">
        <v>0</v>
      </c>
      <c r="BV527" s="350">
        <f t="shared" si="456"/>
        <v>4.9500000000000002E-2</v>
      </c>
      <c r="BW527" s="350">
        <v>0.3</v>
      </c>
      <c r="BX527" s="385">
        <f t="shared" si="440"/>
        <v>0.3</v>
      </c>
      <c r="BY527" s="1386">
        <v>0.10000000149011612</v>
      </c>
      <c r="BZ527" s="1389">
        <v>0.20000000298023224</v>
      </c>
      <c r="CA527" s="689">
        <v>0.30000001192092896</v>
      </c>
      <c r="CB527" s="324">
        <f t="shared" si="441"/>
        <v>0.30000001192092896</v>
      </c>
      <c r="CC527" s="324">
        <f t="shared" si="442"/>
        <v>100.00000397364299</v>
      </c>
      <c r="CD527" s="384">
        <f t="shared" si="457"/>
        <v>100</v>
      </c>
      <c r="CE527" s="383">
        <f t="shared" si="458"/>
        <v>4.9500000000000002E-2</v>
      </c>
      <c r="CF527" s="367">
        <f t="shared" si="459"/>
        <v>100</v>
      </c>
      <c r="CG527" s="383">
        <f t="shared" si="460"/>
        <v>4.9500001966953283E-2</v>
      </c>
      <c r="CH527" s="320">
        <f t="shared" si="461"/>
        <v>3.9600000000000003E-2</v>
      </c>
      <c r="CI527" s="396">
        <v>0.24</v>
      </c>
      <c r="CJ527" s="318">
        <f t="shared" si="443"/>
        <v>0.24</v>
      </c>
      <c r="CK527" s="1259">
        <v>0.25</v>
      </c>
      <c r="CL527" s="301">
        <f t="shared" si="433"/>
        <v>-1.0000000000000009E-2</v>
      </c>
      <c r="CM527" s="381">
        <f t="shared" si="444"/>
        <v>0.25</v>
      </c>
      <c r="CN527" s="381">
        <f t="shared" si="445"/>
        <v>104.16666666666667</v>
      </c>
      <c r="CO527" s="316">
        <f t="shared" si="462"/>
        <v>100</v>
      </c>
      <c r="CP527" s="381">
        <f t="shared" si="463"/>
        <v>3.9600000000000003E-2</v>
      </c>
      <c r="CQ527" s="381">
        <f t="shared" si="464"/>
        <v>4.1250000000000009E-2</v>
      </c>
      <c r="CR527" s="313">
        <v>0</v>
      </c>
      <c r="CS527" s="313">
        <v>0</v>
      </c>
      <c r="CT527" s="313">
        <v>0</v>
      </c>
      <c r="CU527" s="313">
        <v>0</v>
      </c>
      <c r="CV527" s="313">
        <v>0</v>
      </c>
      <c r="CW527" s="313">
        <v>0</v>
      </c>
      <c r="CX527" s="313">
        <v>0</v>
      </c>
      <c r="CY527" s="313">
        <v>0</v>
      </c>
      <c r="CZ527" s="380">
        <v>0</v>
      </c>
      <c r="DA527" s="380">
        <v>0</v>
      </c>
      <c r="DB527" s="380">
        <v>0</v>
      </c>
      <c r="DC527" s="380">
        <v>0</v>
      </c>
      <c r="DD527" s="380">
        <v>0</v>
      </c>
      <c r="DE527" s="380">
        <v>0</v>
      </c>
      <c r="DF527" s="380">
        <v>0</v>
      </c>
      <c r="DG527" s="380">
        <v>0</v>
      </c>
      <c r="DH527" s="380">
        <v>0</v>
      </c>
      <c r="DI527" s="380">
        <v>0</v>
      </c>
      <c r="DJ527" s="380">
        <v>0</v>
      </c>
      <c r="DK527" s="702">
        <f t="shared" si="446"/>
        <v>1.0000000119209289</v>
      </c>
      <c r="DL527" s="311">
        <f t="shared" si="465"/>
        <v>0.16500000000000001</v>
      </c>
      <c r="DM527" s="310">
        <f t="shared" si="466"/>
        <v>100.0000011920929</v>
      </c>
      <c r="DN527" s="356">
        <f t="shared" si="467"/>
        <v>100</v>
      </c>
      <c r="DO527" s="308">
        <f t="shared" si="468"/>
        <v>0.16500000000000001</v>
      </c>
      <c r="DP527" s="359">
        <f t="shared" si="473"/>
        <v>0.16500000000000001</v>
      </c>
      <c r="DQ527" s="306">
        <f t="shared" si="469"/>
        <v>0.16500000000000001</v>
      </c>
      <c r="DR527" s="379">
        <f t="shared" si="470"/>
        <v>1</v>
      </c>
      <c r="DS527" s="378">
        <f t="shared" si="471"/>
        <v>0</v>
      </c>
      <c r="DT527" s="173">
        <v>622</v>
      </c>
      <c r="DU527" s="174" t="s">
        <v>88</v>
      </c>
      <c r="DV527" s="173"/>
      <c r="DW527" s="174" t="s">
        <v>84</v>
      </c>
      <c r="DX527" s="173"/>
      <c r="DY527" s="173"/>
      <c r="DZ527" s="173"/>
      <c r="EA527" s="665"/>
      <c r="EB527" s="1254" t="s">
        <v>2358</v>
      </c>
      <c r="EC527" s="537">
        <v>30000000</v>
      </c>
      <c r="EE527" s="734">
        <v>1</v>
      </c>
      <c r="EF527" s="706"/>
    </row>
    <row r="528" spans="4:136" s="302" customFormat="1" ht="51">
      <c r="D528" s="520">
        <v>525</v>
      </c>
      <c r="E528" s="534">
        <v>599</v>
      </c>
      <c r="F528" s="479" t="s">
        <v>46</v>
      </c>
      <c r="G528" s="479" t="s">
        <v>19</v>
      </c>
      <c r="H528" s="479" t="s">
        <v>2682</v>
      </c>
      <c r="I528" s="479" t="s">
        <v>1223</v>
      </c>
      <c r="J528" s="335" t="s">
        <v>1230</v>
      </c>
      <c r="K528" s="335" t="s">
        <v>1231</v>
      </c>
      <c r="L528" s="358" t="s">
        <v>1782</v>
      </c>
      <c r="M528" s="334" t="s">
        <v>1771</v>
      </c>
      <c r="N528" s="334">
        <v>0</v>
      </c>
      <c r="O528" s="333">
        <f t="shared" si="472"/>
        <v>2</v>
      </c>
      <c r="P528" s="332">
        <v>2</v>
      </c>
      <c r="Q528" s="390">
        <v>0.16500000000000001</v>
      </c>
      <c r="R528" s="342">
        <f t="shared" si="449"/>
        <v>8.2500000000000004E-2</v>
      </c>
      <c r="S528" s="389">
        <v>1</v>
      </c>
      <c r="T528" s="337">
        <f t="shared" si="434"/>
        <v>0.5</v>
      </c>
      <c r="U528" s="670">
        <v>0.5</v>
      </c>
      <c r="V528" s="388">
        <f t="shared" si="435"/>
        <v>0.5</v>
      </c>
      <c r="W528" s="356">
        <f t="shared" si="436"/>
        <v>50</v>
      </c>
      <c r="X528" s="356">
        <f t="shared" si="450"/>
        <v>50</v>
      </c>
      <c r="Y528" s="356">
        <f t="shared" si="417"/>
        <v>4.1250000000000002E-2</v>
      </c>
      <c r="Z528" s="356">
        <f t="shared" si="451"/>
        <v>50</v>
      </c>
      <c r="AA528" s="355">
        <v>0</v>
      </c>
      <c r="AB528" s="355">
        <v>0</v>
      </c>
      <c r="AC528" s="355">
        <v>0</v>
      </c>
      <c r="AD528" s="355">
        <v>0</v>
      </c>
      <c r="AE528" s="355">
        <v>0</v>
      </c>
      <c r="AF528" s="355">
        <v>0</v>
      </c>
      <c r="AG528" s="355">
        <v>0</v>
      </c>
      <c r="AH528" s="355">
        <v>0</v>
      </c>
      <c r="AI528" s="355">
        <v>0</v>
      </c>
      <c r="AJ528" s="355">
        <v>0</v>
      </c>
      <c r="AK528" s="355">
        <v>0</v>
      </c>
      <c r="AL528" s="355">
        <v>0</v>
      </c>
      <c r="AM528" s="355">
        <v>0</v>
      </c>
      <c r="AN528" s="355">
        <v>0</v>
      </c>
      <c r="AO528" s="355">
        <v>0</v>
      </c>
      <c r="AP528" s="355">
        <v>0</v>
      </c>
      <c r="AQ528" s="355">
        <v>0</v>
      </c>
      <c r="AR528" s="355">
        <v>0</v>
      </c>
      <c r="AS528" s="355">
        <v>0</v>
      </c>
      <c r="AT528" s="333">
        <f t="shared" si="452"/>
        <v>8.2500000000000004E-2</v>
      </c>
      <c r="AU528" s="334">
        <v>1</v>
      </c>
      <c r="AV528" s="387">
        <f t="shared" si="437"/>
        <v>0.5</v>
      </c>
      <c r="AW528" s="677">
        <v>1</v>
      </c>
      <c r="AX528" s="366">
        <f t="shared" si="438"/>
        <v>1</v>
      </c>
      <c r="AY528" s="366">
        <f t="shared" si="439"/>
        <v>100</v>
      </c>
      <c r="AZ528" s="366">
        <f t="shared" si="453"/>
        <v>100</v>
      </c>
      <c r="BA528" s="354">
        <f t="shared" si="454"/>
        <v>8.2500000000000004E-2</v>
      </c>
      <c r="BB528" s="354">
        <f t="shared" si="455"/>
        <v>100</v>
      </c>
      <c r="BC528" s="353">
        <v>0</v>
      </c>
      <c r="BD528" s="353">
        <v>0</v>
      </c>
      <c r="BE528" s="353">
        <v>0</v>
      </c>
      <c r="BF528" s="353">
        <v>0</v>
      </c>
      <c r="BG528" s="353">
        <v>0</v>
      </c>
      <c r="BH528" s="353">
        <v>0</v>
      </c>
      <c r="BI528" s="353">
        <v>0</v>
      </c>
      <c r="BJ528" s="353">
        <v>0</v>
      </c>
      <c r="BK528" s="386">
        <v>0</v>
      </c>
      <c r="BL528" s="351">
        <v>0</v>
      </c>
      <c r="BM528" s="351">
        <v>0</v>
      </c>
      <c r="BN528" s="351">
        <v>0</v>
      </c>
      <c r="BO528" s="351">
        <v>0</v>
      </c>
      <c r="BP528" s="351">
        <v>0</v>
      </c>
      <c r="BQ528" s="351">
        <v>0</v>
      </c>
      <c r="BR528" s="351">
        <v>0</v>
      </c>
      <c r="BS528" s="351">
        <v>0</v>
      </c>
      <c r="BT528" s="351">
        <v>0</v>
      </c>
      <c r="BU528" s="351">
        <v>0</v>
      </c>
      <c r="BV528" s="350">
        <f t="shared" si="456"/>
        <v>0</v>
      </c>
      <c r="BW528" s="350">
        <v>0</v>
      </c>
      <c r="BX528" s="385">
        <f t="shared" si="440"/>
        <v>0</v>
      </c>
      <c r="BY528" s="395">
        <v>0</v>
      </c>
      <c r="BZ528" s="394">
        <v>0</v>
      </c>
      <c r="CA528" s="691">
        <v>0</v>
      </c>
      <c r="CB528" s="324">
        <f t="shared" si="441"/>
        <v>0</v>
      </c>
      <c r="CC528" s="324">
        <f t="shared" si="442"/>
        <v>0</v>
      </c>
      <c r="CD528" s="384">
        <f t="shared" si="457"/>
        <v>0</v>
      </c>
      <c r="CE528" s="383">
        <f t="shared" si="458"/>
        <v>0</v>
      </c>
      <c r="CF528" s="367">
        <f t="shared" si="459"/>
        <v>0</v>
      </c>
      <c r="CG528" s="383">
        <f t="shared" si="460"/>
        <v>0</v>
      </c>
      <c r="CH528" s="320">
        <f t="shared" si="461"/>
        <v>0</v>
      </c>
      <c r="CI528" s="319">
        <v>0</v>
      </c>
      <c r="CJ528" s="318">
        <f t="shared" si="443"/>
        <v>0</v>
      </c>
      <c r="CK528" s="1259">
        <v>0.5</v>
      </c>
      <c r="CL528" s="301">
        <f t="shared" si="433"/>
        <v>-0.5</v>
      </c>
      <c r="CM528" s="381">
        <f t="shared" si="444"/>
        <v>0.5</v>
      </c>
      <c r="CN528" s="381">
        <f t="shared" si="445"/>
        <v>0</v>
      </c>
      <c r="CO528" s="316">
        <f t="shared" si="462"/>
        <v>0</v>
      </c>
      <c r="CP528" s="381">
        <f t="shared" si="463"/>
        <v>0</v>
      </c>
      <c r="CQ528" s="381">
        <f t="shared" si="464"/>
        <v>0</v>
      </c>
      <c r="CR528" s="313">
        <v>0</v>
      </c>
      <c r="CS528" s="313">
        <v>0</v>
      </c>
      <c r="CT528" s="313">
        <v>0</v>
      </c>
      <c r="CU528" s="313">
        <v>0</v>
      </c>
      <c r="CV528" s="313">
        <v>0</v>
      </c>
      <c r="CW528" s="313">
        <v>0</v>
      </c>
      <c r="CX528" s="313">
        <v>0</v>
      </c>
      <c r="CY528" s="313">
        <v>0</v>
      </c>
      <c r="CZ528" s="380">
        <v>0</v>
      </c>
      <c r="DA528" s="380">
        <v>0</v>
      </c>
      <c r="DB528" s="380">
        <v>0</v>
      </c>
      <c r="DC528" s="380">
        <v>0</v>
      </c>
      <c r="DD528" s="380">
        <v>0</v>
      </c>
      <c r="DE528" s="380">
        <v>0</v>
      </c>
      <c r="DF528" s="380">
        <v>0</v>
      </c>
      <c r="DG528" s="380">
        <v>0</v>
      </c>
      <c r="DH528" s="380">
        <v>0</v>
      </c>
      <c r="DI528" s="380">
        <v>0</v>
      </c>
      <c r="DJ528" s="380">
        <v>0</v>
      </c>
      <c r="DK528" s="702">
        <f t="shared" si="446"/>
        <v>2</v>
      </c>
      <c r="DL528" s="311">
        <f t="shared" si="465"/>
        <v>0.16500000000000001</v>
      </c>
      <c r="DM528" s="310">
        <f t="shared" si="466"/>
        <v>100</v>
      </c>
      <c r="DN528" s="356">
        <f t="shared" si="467"/>
        <v>100</v>
      </c>
      <c r="DO528" s="308">
        <f t="shared" si="468"/>
        <v>0.16500000000000001</v>
      </c>
      <c r="DP528" s="359">
        <f t="shared" si="473"/>
        <v>0.16500000000000001</v>
      </c>
      <c r="DQ528" s="306">
        <f t="shared" si="469"/>
        <v>0.16500000000000001</v>
      </c>
      <c r="DR528" s="379">
        <f t="shared" si="470"/>
        <v>1</v>
      </c>
      <c r="DS528" s="378">
        <f t="shared" si="471"/>
        <v>0</v>
      </c>
      <c r="DT528" s="173">
        <v>622</v>
      </c>
      <c r="DU528" s="174" t="s">
        <v>88</v>
      </c>
      <c r="DV528" s="173"/>
      <c r="DW528" s="174" t="s">
        <v>84</v>
      </c>
      <c r="DX528" s="173"/>
      <c r="DY528" s="173"/>
      <c r="DZ528" s="173"/>
      <c r="EA528" s="665"/>
      <c r="EB528" s="1254" t="s">
        <v>2157</v>
      </c>
      <c r="EC528" s="537">
        <v>200000000</v>
      </c>
      <c r="EE528" s="733">
        <v>0</v>
      </c>
      <c r="EF528" s="706"/>
    </row>
    <row r="529" spans="4:136" s="302" customFormat="1" ht="76.5" hidden="1">
      <c r="D529" s="520">
        <v>526</v>
      </c>
      <c r="E529" s="534">
        <v>600</v>
      </c>
      <c r="F529" s="336" t="s">
        <v>46</v>
      </c>
      <c r="G529" s="336" t="s">
        <v>30</v>
      </c>
      <c r="H529" s="336" t="s">
        <v>2683</v>
      </c>
      <c r="I529" s="336" t="s">
        <v>2339</v>
      </c>
      <c r="J529" s="335" t="s">
        <v>1313</v>
      </c>
      <c r="K529" s="335" t="s">
        <v>1232</v>
      </c>
      <c r="L529" s="358" t="s">
        <v>1404</v>
      </c>
      <c r="M529" s="334" t="s">
        <v>1771</v>
      </c>
      <c r="N529" s="334">
        <v>0</v>
      </c>
      <c r="O529" s="333">
        <f t="shared" si="472"/>
        <v>100</v>
      </c>
      <c r="P529" s="332">
        <f>100-N529</f>
        <v>100</v>
      </c>
      <c r="Q529" s="393">
        <v>0.16500000000000001</v>
      </c>
      <c r="R529" s="342">
        <f t="shared" si="449"/>
        <v>0</v>
      </c>
      <c r="S529" s="389">
        <v>0</v>
      </c>
      <c r="T529" s="337">
        <f t="shared" si="434"/>
        <v>0</v>
      </c>
      <c r="U529" s="670">
        <v>0</v>
      </c>
      <c r="V529" s="388">
        <f t="shared" si="435"/>
        <v>0</v>
      </c>
      <c r="W529" s="356">
        <f t="shared" si="436"/>
        <v>0</v>
      </c>
      <c r="X529" s="356">
        <f t="shared" si="450"/>
        <v>0</v>
      </c>
      <c r="Y529" s="356">
        <f t="shared" si="417"/>
        <v>0</v>
      </c>
      <c r="Z529" s="356">
        <f t="shared" si="451"/>
        <v>0</v>
      </c>
      <c r="AA529" s="355">
        <v>40000000</v>
      </c>
      <c r="AB529" s="355">
        <v>40000000</v>
      </c>
      <c r="AC529" s="355">
        <v>0</v>
      </c>
      <c r="AD529" s="355">
        <v>0</v>
      </c>
      <c r="AE529" s="355">
        <v>0</v>
      </c>
      <c r="AF529" s="355">
        <v>0</v>
      </c>
      <c r="AG529" s="355">
        <v>0</v>
      </c>
      <c r="AH529" s="355">
        <v>0</v>
      </c>
      <c r="AI529" s="355">
        <v>40000000</v>
      </c>
      <c r="AJ529" s="355">
        <v>40000000</v>
      </c>
      <c r="AK529" s="355">
        <v>0</v>
      </c>
      <c r="AL529" s="355">
        <v>0</v>
      </c>
      <c r="AM529" s="355">
        <v>0</v>
      </c>
      <c r="AN529" s="355">
        <v>0</v>
      </c>
      <c r="AO529" s="355">
        <v>0</v>
      </c>
      <c r="AP529" s="355">
        <v>0</v>
      </c>
      <c r="AQ529" s="355">
        <v>0</v>
      </c>
      <c r="AR529" s="355">
        <v>0</v>
      </c>
      <c r="AS529" s="355">
        <v>0</v>
      </c>
      <c r="AT529" s="392">
        <f t="shared" si="452"/>
        <v>0</v>
      </c>
      <c r="AU529" s="334">
        <v>0</v>
      </c>
      <c r="AV529" s="387">
        <f t="shared" si="437"/>
        <v>0</v>
      </c>
      <c r="AW529" s="677">
        <v>0</v>
      </c>
      <c r="AX529" s="366">
        <f t="shared" si="438"/>
        <v>0</v>
      </c>
      <c r="AY529" s="366">
        <f t="shared" si="439"/>
        <v>0</v>
      </c>
      <c r="AZ529" s="366">
        <f t="shared" si="453"/>
        <v>0</v>
      </c>
      <c r="BA529" s="354">
        <f t="shared" si="454"/>
        <v>0</v>
      </c>
      <c r="BB529" s="354">
        <f t="shared" si="455"/>
        <v>0</v>
      </c>
      <c r="BC529" s="353">
        <v>0</v>
      </c>
      <c r="BD529" s="353">
        <v>0</v>
      </c>
      <c r="BE529" s="353">
        <v>0</v>
      </c>
      <c r="BF529" s="353">
        <v>0</v>
      </c>
      <c r="BG529" s="353">
        <v>0</v>
      </c>
      <c r="BH529" s="353">
        <v>0</v>
      </c>
      <c r="BI529" s="353">
        <v>0</v>
      </c>
      <c r="BJ529" s="353">
        <v>0</v>
      </c>
      <c r="BK529" s="386">
        <v>34000000</v>
      </c>
      <c r="BL529" s="351">
        <v>34000000</v>
      </c>
      <c r="BM529" s="351">
        <v>0</v>
      </c>
      <c r="BN529" s="351">
        <v>0</v>
      </c>
      <c r="BO529" s="351">
        <v>0</v>
      </c>
      <c r="BP529" s="351">
        <v>0</v>
      </c>
      <c r="BQ529" s="351">
        <v>0</v>
      </c>
      <c r="BR529" s="351">
        <v>0</v>
      </c>
      <c r="BS529" s="351">
        <v>0</v>
      </c>
      <c r="BT529" s="351">
        <v>0</v>
      </c>
      <c r="BU529" s="351">
        <v>0</v>
      </c>
      <c r="BV529" s="350">
        <f t="shared" si="456"/>
        <v>1.6500000000000001E-2</v>
      </c>
      <c r="BW529" s="350">
        <v>10</v>
      </c>
      <c r="BX529" s="385">
        <f t="shared" si="440"/>
        <v>0.1</v>
      </c>
      <c r="BY529" s="369">
        <v>18</v>
      </c>
      <c r="BZ529" s="391">
        <v>10</v>
      </c>
      <c r="CA529" s="689">
        <v>10</v>
      </c>
      <c r="CB529" s="324">
        <f t="shared" si="441"/>
        <v>10</v>
      </c>
      <c r="CC529" s="324">
        <f t="shared" si="442"/>
        <v>100</v>
      </c>
      <c r="CD529" s="384">
        <f t="shared" si="457"/>
        <v>100</v>
      </c>
      <c r="CE529" s="383">
        <f t="shared" si="458"/>
        <v>1.6500000000000001E-2</v>
      </c>
      <c r="CF529" s="367">
        <f t="shared" si="459"/>
        <v>100</v>
      </c>
      <c r="CG529" s="383">
        <f t="shared" si="460"/>
        <v>1.6500000000000001E-2</v>
      </c>
      <c r="CH529" s="320">
        <f t="shared" si="461"/>
        <v>0.14850000000000002</v>
      </c>
      <c r="CI529" s="319">
        <v>90</v>
      </c>
      <c r="CJ529" s="318">
        <f t="shared" si="443"/>
        <v>0.9</v>
      </c>
      <c r="CK529" s="1258">
        <v>80</v>
      </c>
      <c r="CL529" s="301">
        <f t="shared" si="433"/>
        <v>10</v>
      </c>
      <c r="CM529" s="381">
        <f t="shared" si="444"/>
        <v>80</v>
      </c>
      <c r="CN529" s="381">
        <f t="shared" si="445"/>
        <v>88.888888888888886</v>
      </c>
      <c r="CO529" s="316">
        <f t="shared" si="462"/>
        <v>88.888888888888886</v>
      </c>
      <c r="CP529" s="381">
        <f t="shared" si="463"/>
        <v>0.13200000000000001</v>
      </c>
      <c r="CQ529" s="381">
        <f t="shared" si="464"/>
        <v>0.13200000000000001</v>
      </c>
      <c r="CR529" s="313">
        <v>0</v>
      </c>
      <c r="CS529" s="313">
        <v>0</v>
      </c>
      <c r="CT529" s="313">
        <v>0</v>
      </c>
      <c r="CU529" s="313">
        <v>0</v>
      </c>
      <c r="CV529" s="313">
        <v>0</v>
      </c>
      <c r="CW529" s="313">
        <v>0</v>
      </c>
      <c r="CX529" s="313">
        <v>0</v>
      </c>
      <c r="CY529" s="313">
        <v>0</v>
      </c>
      <c r="CZ529" s="380">
        <v>0</v>
      </c>
      <c r="DA529" s="380">
        <v>0</v>
      </c>
      <c r="DB529" s="380">
        <v>0</v>
      </c>
      <c r="DC529" s="380">
        <v>0</v>
      </c>
      <c r="DD529" s="380">
        <v>0</v>
      </c>
      <c r="DE529" s="380">
        <v>0</v>
      </c>
      <c r="DF529" s="380">
        <v>0</v>
      </c>
      <c r="DG529" s="380">
        <v>0</v>
      </c>
      <c r="DH529" s="380">
        <v>0</v>
      </c>
      <c r="DI529" s="380">
        <v>0</v>
      </c>
      <c r="DJ529" s="380">
        <v>0</v>
      </c>
      <c r="DK529" s="702">
        <f t="shared" si="446"/>
        <v>90</v>
      </c>
      <c r="DL529" s="311">
        <f t="shared" si="465"/>
        <v>0.16500000000000004</v>
      </c>
      <c r="DM529" s="310">
        <f t="shared" si="466"/>
        <v>90</v>
      </c>
      <c r="DN529" s="356">
        <f t="shared" si="467"/>
        <v>90</v>
      </c>
      <c r="DO529" s="308">
        <f t="shared" si="468"/>
        <v>0.14850000000000002</v>
      </c>
      <c r="DP529" s="359">
        <f t="shared" si="473"/>
        <v>0.14850000000000002</v>
      </c>
      <c r="DQ529" s="306">
        <f t="shared" si="469"/>
        <v>0.14850000000000002</v>
      </c>
      <c r="DR529" s="379">
        <f t="shared" si="470"/>
        <v>1</v>
      </c>
      <c r="DS529" s="378">
        <f t="shared" si="471"/>
        <v>0</v>
      </c>
      <c r="DT529" s="173">
        <v>623</v>
      </c>
      <c r="DU529" s="174" t="s">
        <v>87</v>
      </c>
      <c r="DV529" s="173"/>
      <c r="DW529" s="174" t="s">
        <v>84</v>
      </c>
      <c r="DX529" s="173"/>
      <c r="DY529" s="173"/>
      <c r="DZ529" s="173"/>
      <c r="EA529" s="665"/>
      <c r="EB529" s="1254" t="s">
        <v>3185</v>
      </c>
      <c r="EC529" s="537">
        <v>60000000</v>
      </c>
      <c r="EE529" s="734">
        <v>0.2</v>
      </c>
      <c r="EF529" s="706"/>
    </row>
    <row r="530" spans="4:136" s="302" customFormat="1" ht="51">
      <c r="D530" s="520">
        <v>527</v>
      </c>
      <c r="E530" s="534">
        <v>601</v>
      </c>
      <c r="F530" s="479" t="s">
        <v>46</v>
      </c>
      <c r="G530" s="479" t="s">
        <v>19</v>
      </c>
      <c r="H530" s="479" t="s">
        <v>2683</v>
      </c>
      <c r="I530" s="435" t="s">
        <v>2339</v>
      </c>
      <c r="J530" s="335" t="s">
        <v>1233</v>
      </c>
      <c r="K530" s="335" t="s">
        <v>1234</v>
      </c>
      <c r="L530" s="358" t="s">
        <v>1523</v>
      </c>
      <c r="M530" s="334" t="s">
        <v>1771</v>
      </c>
      <c r="N530" s="334">
        <v>10</v>
      </c>
      <c r="O530" s="333">
        <f t="shared" si="472"/>
        <v>110</v>
      </c>
      <c r="P530" s="332">
        <v>100</v>
      </c>
      <c r="Q530" s="390">
        <v>0.16500000000000001</v>
      </c>
      <c r="R530" s="342">
        <f t="shared" si="449"/>
        <v>3.1350000000000003E-2</v>
      </c>
      <c r="S530" s="389">
        <v>19</v>
      </c>
      <c r="T530" s="337">
        <f t="shared" si="434"/>
        <v>0.19</v>
      </c>
      <c r="U530" s="670">
        <v>19</v>
      </c>
      <c r="V530" s="388">
        <f t="shared" si="435"/>
        <v>19</v>
      </c>
      <c r="W530" s="356">
        <f t="shared" si="436"/>
        <v>100</v>
      </c>
      <c r="X530" s="356">
        <f t="shared" si="450"/>
        <v>100</v>
      </c>
      <c r="Y530" s="356">
        <f t="shared" ref="Y530:Y541" si="474">+(X530*R530)/100</f>
        <v>3.1350000000000003E-2</v>
      </c>
      <c r="Z530" s="356">
        <f t="shared" si="451"/>
        <v>100</v>
      </c>
      <c r="AA530" s="355">
        <v>425000000</v>
      </c>
      <c r="AB530" s="355">
        <v>425000000</v>
      </c>
      <c r="AC530" s="355">
        <v>0</v>
      </c>
      <c r="AD530" s="355">
        <v>0</v>
      </c>
      <c r="AE530" s="355">
        <v>0</v>
      </c>
      <c r="AF530" s="355">
        <v>0</v>
      </c>
      <c r="AG530" s="355">
        <v>0</v>
      </c>
      <c r="AH530" s="355">
        <v>0</v>
      </c>
      <c r="AI530" s="355">
        <v>337484000</v>
      </c>
      <c r="AJ530" s="355">
        <v>337484000</v>
      </c>
      <c r="AK530" s="355">
        <v>0</v>
      </c>
      <c r="AL530" s="355">
        <v>0</v>
      </c>
      <c r="AM530" s="355">
        <v>0</v>
      </c>
      <c r="AN530" s="355">
        <v>0</v>
      </c>
      <c r="AO530" s="355">
        <v>0</v>
      </c>
      <c r="AP530" s="355">
        <v>0</v>
      </c>
      <c r="AQ530" s="355">
        <v>0</v>
      </c>
      <c r="AR530" s="355">
        <v>0</v>
      </c>
      <c r="AS530" s="355">
        <v>0</v>
      </c>
      <c r="AT530" s="333">
        <f t="shared" si="452"/>
        <v>3.465E-2</v>
      </c>
      <c r="AU530" s="334">
        <v>21</v>
      </c>
      <c r="AV530" s="387">
        <f t="shared" si="437"/>
        <v>0.21</v>
      </c>
      <c r="AW530" s="677">
        <v>21</v>
      </c>
      <c r="AX530" s="366">
        <f t="shared" si="438"/>
        <v>21</v>
      </c>
      <c r="AY530" s="366">
        <f t="shared" si="439"/>
        <v>100</v>
      </c>
      <c r="AZ530" s="366">
        <f t="shared" si="453"/>
        <v>100</v>
      </c>
      <c r="BA530" s="354">
        <f t="shared" si="454"/>
        <v>3.465E-2</v>
      </c>
      <c r="BB530" s="354">
        <f t="shared" si="455"/>
        <v>100</v>
      </c>
      <c r="BC530" s="353">
        <v>0</v>
      </c>
      <c r="BD530" s="353">
        <v>0</v>
      </c>
      <c r="BE530" s="353">
        <v>0</v>
      </c>
      <c r="BF530" s="353">
        <v>0</v>
      </c>
      <c r="BG530" s="353">
        <v>0</v>
      </c>
      <c r="BH530" s="353">
        <v>0</v>
      </c>
      <c r="BI530" s="353">
        <v>0</v>
      </c>
      <c r="BJ530" s="353">
        <v>0</v>
      </c>
      <c r="BK530" s="386">
        <v>136000000</v>
      </c>
      <c r="BL530" s="351">
        <v>136000000</v>
      </c>
      <c r="BM530" s="351">
        <v>0</v>
      </c>
      <c r="BN530" s="351">
        <v>0</v>
      </c>
      <c r="BO530" s="351">
        <v>0</v>
      </c>
      <c r="BP530" s="351">
        <v>0</v>
      </c>
      <c r="BQ530" s="351">
        <v>0</v>
      </c>
      <c r="BR530" s="351">
        <v>0</v>
      </c>
      <c r="BS530" s="351">
        <v>0</v>
      </c>
      <c r="BT530" s="351">
        <v>0</v>
      </c>
      <c r="BU530" s="351">
        <v>0</v>
      </c>
      <c r="BV530" s="350">
        <f t="shared" si="456"/>
        <v>4.9500000000000002E-2</v>
      </c>
      <c r="BW530" s="350">
        <v>30</v>
      </c>
      <c r="BX530" s="385">
        <f t="shared" si="440"/>
        <v>0.3</v>
      </c>
      <c r="BY530" s="369">
        <v>65</v>
      </c>
      <c r="BZ530" s="368">
        <v>20</v>
      </c>
      <c r="CA530" s="742">
        <v>60</v>
      </c>
      <c r="CB530" s="324">
        <f t="shared" si="441"/>
        <v>60</v>
      </c>
      <c r="CC530" s="324">
        <f t="shared" si="442"/>
        <v>200</v>
      </c>
      <c r="CD530" s="384">
        <f t="shared" si="457"/>
        <v>100</v>
      </c>
      <c r="CE530" s="383">
        <f t="shared" si="458"/>
        <v>4.9500000000000002E-2</v>
      </c>
      <c r="CF530" s="367">
        <f t="shared" si="459"/>
        <v>100</v>
      </c>
      <c r="CG530" s="383">
        <f t="shared" si="460"/>
        <v>9.9000000000000005E-2</v>
      </c>
      <c r="CH530" s="320">
        <f t="shared" si="461"/>
        <v>4.9500000000000002E-2</v>
      </c>
      <c r="CI530" s="319">
        <v>30</v>
      </c>
      <c r="CJ530" s="318">
        <f t="shared" si="443"/>
        <v>0.3</v>
      </c>
      <c r="CK530" s="1258">
        <v>0</v>
      </c>
      <c r="CL530" s="301">
        <f t="shared" si="433"/>
        <v>30</v>
      </c>
      <c r="CM530" s="381">
        <f t="shared" si="444"/>
        <v>0</v>
      </c>
      <c r="CN530" s="381">
        <f t="shared" si="445"/>
        <v>0</v>
      </c>
      <c r="CO530" s="316">
        <f t="shared" si="462"/>
        <v>0</v>
      </c>
      <c r="CP530" s="381">
        <f t="shared" si="463"/>
        <v>0</v>
      </c>
      <c r="CQ530" s="381">
        <f t="shared" si="464"/>
        <v>0</v>
      </c>
      <c r="CR530" s="313">
        <v>0</v>
      </c>
      <c r="CS530" s="313">
        <v>0</v>
      </c>
      <c r="CT530" s="313">
        <v>0</v>
      </c>
      <c r="CU530" s="313">
        <v>0</v>
      </c>
      <c r="CV530" s="313">
        <v>0</v>
      </c>
      <c r="CW530" s="313">
        <v>0</v>
      </c>
      <c r="CX530" s="313">
        <v>0</v>
      </c>
      <c r="CY530" s="313">
        <v>0</v>
      </c>
      <c r="CZ530" s="380">
        <v>0</v>
      </c>
      <c r="DA530" s="380">
        <v>0</v>
      </c>
      <c r="DB530" s="380">
        <v>0</v>
      </c>
      <c r="DC530" s="380">
        <v>0</v>
      </c>
      <c r="DD530" s="380">
        <v>0</v>
      </c>
      <c r="DE530" s="380">
        <v>0</v>
      </c>
      <c r="DF530" s="380">
        <v>0</v>
      </c>
      <c r="DG530" s="380">
        <v>0</v>
      </c>
      <c r="DH530" s="380">
        <v>0</v>
      </c>
      <c r="DI530" s="380">
        <v>0</v>
      </c>
      <c r="DJ530" s="380">
        <v>0</v>
      </c>
      <c r="DK530" s="702">
        <f t="shared" si="446"/>
        <v>100</v>
      </c>
      <c r="DL530" s="311">
        <f t="shared" si="465"/>
        <v>0.16500000000000001</v>
      </c>
      <c r="DM530" s="310">
        <f t="shared" si="466"/>
        <v>100</v>
      </c>
      <c r="DN530" s="356">
        <f t="shared" si="467"/>
        <v>100</v>
      </c>
      <c r="DO530" s="308">
        <f t="shared" si="468"/>
        <v>0.16500000000000001</v>
      </c>
      <c r="DP530" s="359">
        <f t="shared" si="473"/>
        <v>0.16500000000000001</v>
      </c>
      <c r="DQ530" s="306">
        <f t="shared" si="469"/>
        <v>0.16500000000000001</v>
      </c>
      <c r="DR530" s="379">
        <f t="shared" si="470"/>
        <v>1</v>
      </c>
      <c r="DS530" s="378">
        <f t="shared" si="471"/>
        <v>0</v>
      </c>
      <c r="DT530" s="173">
        <v>623</v>
      </c>
      <c r="DU530" s="174" t="s">
        <v>87</v>
      </c>
      <c r="DV530" s="173"/>
      <c r="DW530" s="174" t="s">
        <v>84</v>
      </c>
      <c r="DX530" s="173"/>
      <c r="DY530" s="173"/>
      <c r="DZ530" s="173"/>
      <c r="EA530" s="665"/>
      <c r="EB530" s="1254" t="s">
        <v>2158</v>
      </c>
      <c r="EC530" s="537">
        <v>6000000000</v>
      </c>
      <c r="EE530" s="733">
        <v>10</v>
      </c>
      <c r="EF530" s="706"/>
    </row>
    <row r="531" spans="4:136" s="302" customFormat="1" ht="63.75">
      <c r="D531" s="520">
        <v>528</v>
      </c>
      <c r="E531" s="534">
        <v>602</v>
      </c>
      <c r="F531" s="479" t="s">
        <v>46</v>
      </c>
      <c r="G531" s="479" t="s">
        <v>19</v>
      </c>
      <c r="H531" s="479" t="s">
        <v>2683</v>
      </c>
      <c r="I531" s="435" t="s">
        <v>2339</v>
      </c>
      <c r="J531" s="335" t="s">
        <v>1235</v>
      </c>
      <c r="K531" s="335" t="s">
        <v>1236</v>
      </c>
      <c r="L531" s="358" t="s">
        <v>1781</v>
      </c>
      <c r="M531" s="334" t="s">
        <v>1771</v>
      </c>
      <c r="N531" s="334">
        <v>0</v>
      </c>
      <c r="O531" s="333">
        <f t="shared" si="472"/>
        <v>8</v>
      </c>
      <c r="P531" s="332">
        <v>8</v>
      </c>
      <c r="Q531" s="390">
        <v>0.16500000000000001</v>
      </c>
      <c r="R531" s="342">
        <f t="shared" si="449"/>
        <v>2.0625000000000001E-2</v>
      </c>
      <c r="S531" s="389">
        <v>1</v>
      </c>
      <c r="T531" s="337">
        <f t="shared" si="434"/>
        <v>0.125</v>
      </c>
      <c r="U531" s="670">
        <v>1</v>
      </c>
      <c r="V531" s="388">
        <f t="shared" si="435"/>
        <v>1</v>
      </c>
      <c r="W531" s="356">
        <f t="shared" si="436"/>
        <v>100</v>
      </c>
      <c r="X531" s="356">
        <f t="shared" si="450"/>
        <v>100</v>
      </c>
      <c r="Y531" s="356">
        <f t="shared" si="474"/>
        <v>2.0625000000000001E-2</v>
      </c>
      <c r="Z531" s="356">
        <f t="shared" si="451"/>
        <v>100</v>
      </c>
      <c r="AA531" s="355">
        <v>0</v>
      </c>
      <c r="AB531" s="355">
        <v>0</v>
      </c>
      <c r="AC531" s="355">
        <v>0</v>
      </c>
      <c r="AD531" s="355">
        <v>0</v>
      </c>
      <c r="AE531" s="355">
        <v>0</v>
      </c>
      <c r="AF531" s="355">
        <v>0</v>
      </c>
      <c r="AG531" s="355">
        <v>0</v>
      </c>
      <c r="AH531" s="355">
        <v>0</v>
      </c>
      <c r="AI531" s="355">
        <v>0</v>
      </c>
      <c r="AJ531" s="355">
        <v>0</v>
      </c>
      <c r="AK531" s="355">
        <v>0</v>
      </c>
      <c r="AL531" s="355">
        <v>0</v>
      </c>
      <c r="AM531" s="355">
        <v>0</v>
      </c>
      <c r="AN531" s="355">
        <v>0</v>
      </c>
      <c r="AO531" s="355">
        <v>0</v>
      </c>
      <c r="AP531" s="355">
        <v>0</v>
      </c>
      <c r="AQ531" s="355">
        <v>0</v>
      </c>
      <c r="AR531" s="355">
        <v>0</v>
      </c>
      <c r="AS531" s="355">
        <v>0</v>
      </c>
      <c r="AT531" s="333">
        <f t="shared" si="452"/>
        <v>4.1250000000000002E-2</v>
      </c>
      <c r="AU531" s="334">
        <v>2</v>
      </c>
      <c r="AV531" s="387">
        <f t="shared" si="437"/>
        <v>0.25</v>
      </c>
      <c r="AW531" s="677">
        <v>2</v>
      </c>
      <c r="AX531" s="366">
        <f t="shared" si="438"/>
        <v>2</v>
      </c>
      <c r="AY531" s="366">
        <f t="shared" si="439"/>
        <v>100</v>
      </c>
      <c r="AZ531" s="366">
        <f t="shared" si="453"/>
        <v>100</v>
      </c>
      <c r="BA531" s="354">
        <f t="shared" si="454"/>
        <v>4.1250000000000002E-2</v>
      </c>
      <c r="BB531" s="354">
        <f t="shared" si="455"/>
        <v>100</v>
      </c>
      <c r="BC531" s="353">
        <v>0</v>
      </c>
      <c r="BD531" s="353">
        <v>0</v>
      </c>
      <c r="BE531" s="353">
        <v>0</v>
      </c>
      <c r="BF531" s="353">
        <v>0</v>
      </c>
      <c r="BG531" s="353">
        <v>0</v>
      </c>
      <c r="BH531" s="353">
        <v>0</v>
      </c>
      <c r="BI531" s="353">
        <v>0</v>
      </c>
      <c r="BJ531" s="353">
        <v>0</v>
      </c>
      <c r="BK531" s="386">
        <v>0</v>
      </c>
      <c r="BL531" s="351">
        <v>0</v>
      </c>
      <c r="BM531" s="351">
        <v>0</v>
      </c>
      <c r="BN531" s="351">
        <v>0</v>
      </c>
      <c r="BO531" s="351">
        <v>0</v>
      </c>
      <c r="BP531" s="351">
        <v>0</v>
      </c>
      <c r="BQ531" s="351">
        <v>0</v>
      </c>
      <c r="BR531" s="351">
        <v>0</v>
      </c>
      <c r="BS531" s="351">
        <v>0</v>
      </c>
      <c r="BT531" s="351">
        <v>0</v>
      </c>
      <c r="BU531" s="351">
        <v>0</v>
      </c>
      <c r="BV531" s="350">
        <f t="shared" si="456"/>
        <v>6.1874999999999999E-2</v>
      </c>
      <c r="BW531" s="350">
        <v>3</v>
      </c>
      <c r="BX531" s="385">
        <f t="shared" si="440"/>
        <v>0.375</v>
      </c>
      <c r="BY531" s="369">
        <v>0</v>
      </c>
      <c r="BZ531" s="368">
        <v>1</v>
      </c>
      <c r="CA531" s="742">
        <v>2</v>
      </c>
      <c r="CB531" s="324">
        <f t="shared" si="441"/>
        <v>2</v>
      </c>
      <c r="CC531" s="324">
        <f t="shared" si="442"/>
        <v>66.666666666666671</v>
      </c>
      <c r="CD531" s="384">
        <f t="shared" si="457"/>
        <v>66.666666666666671</v>
      </c>
      <c r="CE531" s="383">
        <f t="shared" si="458"/>
        <v>4.1250000000000002E-2</v>
      </c>
      <c r="CF531" s="367">
        <f t="shared" si="459"/>
        <v>66.666666666666671</v>
      </c>
      <c r="CG531" s="383">
        <f t="shared" si="460"/>
        <v>4.1250000000000002E-2</v>
      </c>
      <c r="CH531" s="320">
        <f t="shared" si="461"/>
        <v>4.1250000000000002E-2</v>
      </c>
      <c r="CI531" s="319">
        <v>2</v>
      </c>
      <c r="CJ531" s="318">
        <f t="shared" si="443"/>
        <v>0.25</v>
      </c>
      <c r="CK531" s="1258">
        <v>1</v>
      </c>
      <c r="CL531" s="301">
        <f t="shared" si="433"/>
        <v>1</v>
      </c>
      <c r="CM531" s="381">
        <f t="shared" si="444"/>
        <v>1</v>
      </c>
      <c r="CN531" s="381">
        <f t="shared" si="445"/>
        <v>50</v>
      </c>
      <c r="CO531" s="316">
        <f t="shared" si="462"/>
        <v>50</v>
      </c>
      <c r="CP531" s="381">
        <f t="shared" si="463"/>
        <v>2.0625000000000001E-2</v>
      </c>
      <c r="CQ531" s="381">
        <f t="shared" si="464"/>
        <v>2.0625000000000001E-2</v>
      </c>
      <c r="CR531" s="313">
        <v>0</v>
      </c>
      <c r="CS531" s="313">
        <v>0</v>
      </c>
      <c r="CT531" s="313">
        <v>0</v>
      </c>
      <c r="CU531" s="313">
        <v>0</v>
      </c>
      <c r="CV531" s="313">
        <v>0</v>
      </c>
      <c r="CW531" s="313">
        <v>0</v>
      </c>
      <c r="CX531" s="313">
        <v>0</v>
      </c>
      <c r="CY531" s="313">
        <v>0</v>
      </c>
      <c r="CZ531" s="380">
        <v>0</v>
      </c>
      <c r="DA531" s="380">
        <v>0</v>
      </c>
      <c r="DB531" s="380">
        <v>0</v>
      </c>
      <c r="DC531" s="380">
        <v>0</v>
      </c>
      <c r="DD531" s="380">
        <v>0</v>
      </c>
      <c r="DE531" s="380">
        <v>0</v>
      </c>
      <c r="DF531" s="380">
        <v>0</v>
      </c>
      <c r="DG531" s="380">
        <v>0</v>
      </c>
      <c r="DH531" s="380">
        <v>0</v>
      </c>
      <c r="DI531" s="380">
        <v>0</v>
      </c>
      <c r="DJ531" s="380">
        <v>0</v>
      </c>
      <c r="DK531" s="702">
        <f t="shared" si="446"/>
        <v>6</v>
      </c>
      <c r="DL531" s="311">
        <f t="shared" si="465"/>
        <v>0.16500000000000001</v>
      </c>
      <c r="DM531" s="310">
        <f t="shared" si="466"/>
        <v>75</v>
      </c>
      <c r="DN531" s="356">
        <f t="shared" si="467"/>
        <v>75</v>
      </c>
      <c r="DO531" s="308">
        <f t="shared" si="468"/>
        <v>0.12375</v>
      </c>
      <c r="DP531" s="359">
        <f t="shared" si="473"/>
        <v>0.12375</v>
      </c>
      <c r="DQ531" s="306">
        <f t="shared" si="469"/>
        <v>0.12375</v>
      </c>
      <c r="DR531" s="379">
        <f t="shared" si="470"/>
        <v>1</v>
      </c>
      <c r="DS531" s="378">
        <f t="shared" si="471"/>
        <v>0</v>
      </c>
      <c r="DT531" s="173">
        <v>623</v>
      </c>
      <c r="DU531" s="174" t="s">
        <v>87</v>
      </c>
      <c r="DV531" s="173"/>
      <c r="DW531" s="174" t="s">
        <v>84</v>
      </c>
      <c r="DX531" s="173"/>
      <c r="DY531" s="173"/>
      <c r="DZ531" s="173"/>
      <c r="EA531" s="665"/>
      <c r="EB531" s="1254" t="s">
        <v>3255</v>
      </c>
      <c r="EC531" s="537">
        <v>267000000</v>
      </c>
      <c r="EE531" s="734">
        <v>4</v>
      </c>
      <c r="EF531" s="706"/>
    </row>
    <row r="532" spans="4:136" s="302" customFormat="1" ht="76.5">
      <c r="D532" s="520">
        <v>529</v>
      </c>
      <c r="E532" s="534">
        <v>603</v>
      </c>
      <c r="F532" s="479" t="s">
        <v>46</v>
      </c>
      <c r="G532" s="479" t="s">
        <v>19</v>
      </c>
      <c r="H532" s="479" t="s">
        <v>2683</v>
      </c>
      <c r="I532" s="435" t="s">
        <v>2339</v>
      </c>
      <c r="J532" s="335" t="s">
        <v>1237</v>
      </c>
      <c r="K532" s="335" t="s">
        <v>1238</v>
      </c>
      <c r="L532" s="358" t="s">
        <v>1780</v>
      </c>
      <c r="M532" s="334" t="s">
        <v>1771</v>
      </c>
      <c r="N532" s="334">
        <v>0</v>
      </c>
      <c r="O532" s="333">
        <f t="shared" si="472"/>
        <v>14</v>
      </c>
      <c r="P532" s="332">
        <v>14</v>
      </c>
      <c r="Q532" s="390">
        <v>0.16500000000000001</v>
      </c>
      <c r="R532" s="342">
        <f t="shared" si="449"/>
        <v>2.357142857142857E-2</v>
      </c>
      <c r="S532" s="389">
        <v>2</v>
      </c>
      <c r="T532" s="337">
        <f t="shared" si="434"/>
        <v>0.14285714285714285</v>
      </c>
      <c r="U532" s="670">
        <v>2</v>
      </c>
      <c r="V532" s="388">
        <f t="shared" si="435"/>
        <v>2</v>
      </c>
      <c r="W532" s="356">
        <f t="shared" si="436"/>
        <v>100</v>
      </c>
      <c r="X532" s="356">
        <f t="shared" si="450"/>
        <v>100</v>
      </c>
      <c r="Y532" s="356">
        <f t="shared" si="474"/>
        <v>2.3571428571428566E-2</v>
      </c>
      <c r="Z532" s="356">
        <f t="shared" si="451"/>
        <v>100</v>
      </c>
      <c r="AA532" s="355">
        <v>10000000</v>
      </c>
      <c r="AB532" s="355">
        <v>10000000</v>
      </c>
      <c r="AC532" s="355">
        <v>0</v>
      </c>
      <c r="AD532" s="355">
        <v>0</v>
      </c>
      <c r="AE532" s="355">
        <v>0</v>
      </c>
      <c r="AF532" s="355">
        <v>0</v>
      </c>
      <c r="AG532" s="355">
        <v>0</v>
      </c>
      <c r="AH532" s="355">
        <v>0</v>
      </c>
      <c r="AI532" s="355">
        <v>57768000</v>
      </c>
      <c r="AJ532" s="355">
        <v>57768000</v>
      </c>
      <c r="AK532" s="355">
        <v>0</v>
      </c>
      <c r="AL532" s="355">
        <v>0</v>
      </c>
      <c r="AM532" s="355">
        <v>0</v>
      </c>
      <c r="AN532" s="355">
        <v>0</v>
      </c>
      <c r="AO532" s="355">
        <v>0</v>
      </c>
      <c r="AP532" s="355">
        <v>0</v>
      </c>
      <c r="AQ532" s="355">
        <v>0</v>
      </c>
      <c r="AR532" s="355">
        <v>0</v>
      </c>
      <c r="AS532" s="355">
        <v>0</v>
      </c>
      <c r="AT532" s="333">
        <f t="shared" si="452"/>
        <v>4.7142857142857139E-2</v>
      </c>
      <c r="AU532" s="334">
        <v>4</v>
      </c>
      <c r="AV532" s="387">
        <f t="shared" si="437"/>
        <v>0.2857142857142857</v>
      </c>
      <c r="AW532" s="677">
        <v>4</v>
      </c>
      <c r="AX532" s="366">
        <f t="shared" si="438"/>
        <v>4</v>
      </c>
      <c r="AY532" s="366">
        <f t="shared" si="439"/>
        <v>100</v>
      </c>
      <c r="AZ532" s="366">
        <f t="shared" si="453"/>
        <v>100</v>
      </c>
      <c r="BA532" s="354">
        <f t="shared" si="454"/>
        <v>4.7142857142857132E-2</v>
      </c>
      <c r="BB532" s="354">
        <f t="shared" si="455"/>
        <v>100</v>
      </c>
      <c r="BC532" s="353">
        <v>13000000</v>
      </c>
      <c r="BD532" s="353">
        <v>0</v>
      </c>
      <c r="BE532" s="353">
        <v>13000000</v>
      </c>
      <c r="BF532" s="353">
        <v>0</v>
      </c>
      <c r="BG532" s="353">
        <v>0</v>
      </c>
      <c r="BH532" s="353">
        <v>0</v>
      </c>
      <c r="BI532" s="353">
        <v>0</v>
      </c>
      <c r="BJ532" s="353">
        <v>0</v>
      </c>
      <c r="BK532" s="386">
        <v>50000000</v>
      </c>
      <c r="BL532" s="351">
        <v>50000000</v>
      </c>
      <c r="BM532" s="351">
        <v>0</v>
      </c>
      <c r="BN532" s="351">
        <v>0</v>
      </c>
      <c r="BO532" s="351">
        <v>0</v>
      </c>
      <c r="BP532" s="351">
        <v>0</v>
      </c>
      <c r="BQ532" s="351">
        <v>0</v>
      </c>
      <c r="BR532" s="351">
        <v>0</v>
      </c>
      <c r="BS532" s="351">
        <v>0</v>
      </c>
      <c r="BT532" s="351">
        <v>0</v>
      </c>
      <c r="BU532" s="351">
        <v>0</v>
      </c>
      <c r="BV532" s="350">
        <f t="shared" si="456"/>
        <v>4.7142857142857139E-2</v>
      </c>
      <c r="BW532" s="350">
        <v>4</v>
      </c>
      <c r="BX532" s="385">
        <f t="shared" si="440"/>
        <v>0.2857142857142857</v>
      </c>
      <c r="BY532" s="369">
        <v>4</v>
      </c>
      <c r="BZ532" s="368">
        <v>4</v>
      </c>
      <c r="CA532" s="742">
        <v>4</v>
      </c>
      <c r="CB532" s="324">
        <f t="shared" si="441"/>
        <v>4</v>
      </c>
      <c r="CC532" s="324">
        <f t="shared" si="442"/>
        <v>100</v>
      </c>
      <c r="CD532" s="384">
        <f t="shared" si="457"/>
        <v>100</v>
      </c>
      <c r="CE532" s="383">
        <f t="shared" si="458"/>
        <v>4.7142857142857132E-2</v>
      </c>
      <c r="CF532" s="367">
        <f t="shared" si="459"/>
        <v>100</v>
      </c>
      <c r="CG532" s="383">
        <f t="shared" si="460"/>
        <v>4.7142857142857132E-2</v>
      </c>
      <c r="CH532" s="320">
        <f t="shared" si="461"/>
        <v>4.7142857142857139E-2</v>
      </c>
      <c r="CI532" s="319">
        <v>4</v>
      </c>
      <c r="CJ532" s="318">
        <f t="shared" si="443"/>
        <v>0.2857142857142857</v>
      </c>
      <c r="CK532" s="1259">
        <v>3</v>
      </c>
      <c r="CL532" s="301">
        <f t="shared" si="433"/>
        <v>1</v>
      </c>
      <c r="CM532" s="381">
        <v>0</v>
      </c>
      <c r="CN532" s="381">
        <f t="shared" si="445"/>
        <v>75</v>
      </c>
      <c r="CO532" s="316">
        <f t="shared" si="462"/>
        <v>75</v>
      </c>
      <c r="CP532" s="381">
        <f t="shared" si="463"/>
        <v>3.5357142857142858E-2</v>
      </c>
      <c r="CQ532" s="381">
        <f t="shared" si="464"/>
        <v>3.5357142857142858E-2</v>
      </c>
      <c r="CR532" s="313">
        <v>15000000</v>
      </c>
      <c r="CS532" s="313">
        <v>15000000</v>
      </c>
      <c r="CT532" s="313">
        <v>0</v>
      </c>
      <c r="CU532" s="313">
        <v>0</v>
      </c>
      <c r="CV532" s="313">
        <v>0</v>
      </c>
      <c r="CW532" s="313">
        <v>0</v>
      </c>
      <c r="CX532" s="313">
        <v>0</v>
      </c>
      <c r="CY532" s="313">
        <v>0</v>
      </c>
      <c r="CZ532" s="380">
        <v>0</v>
      </c>
      <c r="DA532" s="380">
        <v>0</v>
      </c>
      <c r="DB532" s="380">
        <v>0</v>
      </c>
      <c r="DC532" s="380">
        <v>0</v>
      </c>
      <c r="DD532" s="380">
        <v>0</v>
      </c>
      <c r="DE532" s="380">
        <v>0</v>
      </c>
      <c r="DF532" s="380">
        <v>0</v>
      </c>
      <c r="DG532" s="380">
        <v>0</v>
      </c>
      <c r="DH532" s="380">
        <v>0</v>
      </c>
      <c r="DI532" s="380">
        <v>0</v>
      </c>
      <c r="DJ532" s="380">
        <v>0</v>
      </c>
      <c r="DK532" s="702">
        <f t="shared" si="446"/>
        <v>13</v>
      </c>
      <c r="DL532" s="311">
        <f t="shared" si="465"/>
        <v>0.16499999999999998</v>
      </c>
      <c r="DM532" s="310">
        <f t="shared" si="466"/>
        <v>92.857142857142861</v>
      </c>
      <c r="DN532" s="356">
        <f t="shared" si="467"/>
        <v>92.857142857142861</v>
      </c>
      <c r="DO532" s="308">
        <f t="shared" si="468"/>
        <v>0.15321428571428572</v>
      </c>
      <c r="DP532" s="359">
        <f t="shared" si="473"/>
        <v>0.15321428571428572</v>
      </c>
      <c r="DQ532" s="306">
        <f t="shared" si="469"/>
        <v>0.15321428571428572</v>
      </c>
      <c r="DR532" s="379">
        <f t="shared" si="470"/>
        <v>0.99999999999999989</v>
      </c>
      <c r="DS532" s="378">
        <f t="shared" si="471"/>
        <v>0</v>
      </c>
      <c r="DT532" s="173">
        <v>623</v>
      </c>
      <c r="DU532" s="174" t="s">
        <v>87</v>
      </c>
      <c r="DV532" s="173"/>
      <c r="DW532" s="174" t="s">
        <v>84</v>
      </c>
      <c r="DX532" s="173"/>
      <c r="DY532" s="173"/>
      <c r="DZ532" s="173"/>
      <c r="EA532" s="665"/>
      <c r="EB532" s="1254" t="s">
        <v>3256</v>
      </c>
      <c r="EC532" s="537">
        <v>0</v>
      </c>
      <c r="EE532" s="735">
        <v>1</v>
      </c>
      <c r="EF532" s="706"/>
    </row>
    <row r="533" spans="4:136" s="302" customFormat="1" ht="89.25">
      <c r="D533" s="520">
        <v>530</v>
      </c>
      <c r="E533" s="534">
        <v>604</v>
      </c>
      <c r="F533" s="479" t="s">
        <v>46</v>
      </c>
      <c r="G533" s="479" t="s">
        <v>19</v>
      </c>
      <c r="H533" s="479" t="s">
        <v>2683</v>
      </c>
      <c r="I533" s="435" t="s">
        <v>2339</v>
      </c>
      <c r="J533" s="335" t="s">
        <v>1239</v>
      </c>
      <c r="K533" s="335" t="s">
        <v>1240</v>
      </c>
      <c r="L533" s="358" t="s">
        <v>1779</v>
      </c>
      <c r="M533" s="334" t="s">
        <v>1771</v>
      </c>
      <c r="N533" s="334">
        <v>4</v>
      </c>
      <c r="O533" s="333">
        <f t="shared" si="472"/>
        <v>11</v>
      </c>
      <c r="P533" s="332">
        <v>7</v>
      </c>
      <c r="Q533" s="390">
        <v>0.16500000000000001</v>
      </c>
      <c r="R533" s="342">
        <f t="shared" si="449"/>
        <v>2.357142857142857E-2</v>
      </c>
      <c r="S533" s="389">
        <v>1</v>
      </c>
      <c r="T533" s="337">
        <f t="shared" si="434"/>
        <v>0.14285714285714285</v>
      </c>
      <c r="U533" s="670">
        <v>0</v>
      </c>
      <c r="V533" s="388">
        <f t="shared" si="435"/>
        <v>0</v>
      </c>
      <c r="W533" s="356">
        <f t="shared" si="436"/>
        <v>0</v>
      </c>
      <c r="X533" s="356">
        <f t="shared" si="450"/>
        <v>0</v>
      </c>
      <c r="Y533" s="356">
        <f t="shared" si="474"/>
        <v>0</v>
      </c>
      <c r="Z533" s="356">
        <f t="shared" si="451"/>
        <v>0</v>
      </c>
      <c r="AA533" s="355">
        <v>0</v>
      </c>
      <c r="AB533" s="355">
        <v>0</v>
      </c>
      <c r="AC533" s="355">
        <v>0</v>
      </c>
      <c r="AD533" s="355">
        <v>0</v>
      </c>
      <c r="AE533" s="355">
        <v>0</v>
      </c>
      <c r="AF533" s="355">
        <v>0</v>
      </c>
      <c r="AG533" s="355">
        <v>0</v>
      </c>
      <c r="AH533" s="355">
        <v>0</v>
      </c>
      <c r="AI533" s="355">
        <v>0</v>
      </c>
      <c r="AJ533" s="355">
        <v>0</v>
      </c>
      <c r="AK533" s="355">
        <v>0</v>
      </c>
      <c r="AL533" s="355">
        <v>0</v>
      </c>
      <c r="AM533" s="355">
        <v>0</v>
      </c>
      <c r="AN533" s="355">
        <v>0</v>
      </c>
      <c r="AO533" s="355">
        <v>0</v>
      </c>
      <c r="AP533" s="355">
        <v>0</v>
      </c>
      <c r="AQ533" s="355">
        <v>0</v>
      </c>
      <c r="AR533" s="355">
        <v>0</v>
      </c>
      <c r="AS533" s="355">
        <v>0</v>
      </c>
      <c r="AT533" s="333">
        <f t="shared" si="452"/>
        <v>4.7142857142857139E-2</v>
      </c>
      <c r="AU533" s="334">
        <v>2</v>
      </c>
      <c r="AV533" s="387">
        <f t="shared" si="437"/>
        <v>0.2857142857142857</v>
      </c>
      <c r="AW533" s="677">
        <v>6</v>
      </c>
      <c r="AX533" s="366">
        <f t="shared" si="438"/>
        <v>6</v>
      </c>
      <c r="AY533" s="366">
        <f t="shared" si="439"/>
        <v>300</v>
      </c>
      <c r="AZ533" s="366">
        <f t="shared" si="453"/>
        <v>100</v>
      </c>
      <c r="BA533" s="354">
        <f t="shared" si="454"/>
        <v>4.7142857142857132E-2</v>
      </c>
      <c r="BB533" s="354">
        <f t="shared" si="455"/>
        <v>100</v>
      </c>
      <c r="BC533" s="353">
        <v>29000000</v>
      </c>
      <c r="BD533" s="353">
        <v>0</v>
      </c>
      <c r="BE533" s="353">
        <v>29000000</v>
      </c>
      <c r="BF533" s="353">
        <v>0</v>
      </c>
      <c r="BG533" s="353">
        <v>0</v>
      </c>
      <c r="BH533" s="353">
        <v>0</v>
      </c>
      <c r="BI533" s="353">
        <v>0</v>
      </c>
      <c r="BJ533" s="353">
        <v>0</v>
      </c>
      <c r="BK533" s="386">
        <v>67720000</v>
      </c>
      <c r="BL533" s="351">
        <v>67720000</v>
      </c>
      <c r="BM533" s="351">
        <v>0</v>
      </c>
      <c r="BN533" s="351">
        <v>0</v>
      </c>
      <c r="BO533" s="351">
        <v>0</v>
      </c>
      <c r="BP533" s="351">
        <v>0</v>
      </c>
      <c r="BQ533" s="351">
        <v>0</v>
      </c>
      <c r="BR533" s="351">
        <v>0</v>
      </c>
      <c r="BS533" s="351">
        <v>0</v>
      </c>
      <c r="BT533" s="351">
        <v>0</v>
      </c>
      <c r="BU533" s="351">
        <v>0</v>
      </c>
      <c r="BV533" s="350">
        <f t="shared" si="456"/>
        <v>4.7142857142857139E-2</v>
      </c>
      <c r="BW533" s="350">
        <v>2</v>
      </c>
      <c r="BX533" s="385">
        <f t="shared" si="440"/>
        <v>0.2857142857142857</v>
      </c>
      <c r="BY533" s="369">
        <v>5</v>
      </c>
      <c r="BZ533" s="368">
        <v>5</v>
      </c>
      <c r="CA533" s="742">
        <v>5</v>
      </c>
      <c r="CB533" s="324">
        <f t="shared" si="441"/>
        <v>5</v>
      </c>
      <c r="CC533" s="324">
        <f t="shared" si="442"/>
        <v>250</v>
      </c>
      <c r="CD533" s="384">
        <f t="shared" si="457"/>
        <v>100</v>
      </c>
      <c r="CE533" s="383">
        <f t="shared" si="458"/>
        <v>4.7142857142857132E-2</v>
      </c>
      <c r="CF533" s="367">
        <f t="shared" si="459"/>
        <v>100</v>
      </c>
      <c r="CG533" s="383">
        <f t="shared" si="460"/>
        <v>0.11785714285714284</v>
      </c>
      <c r="CH533" s="320">
        <f t="shared" si="461"/>
        <v>4.7142857142857139E-2</v>
      </c>
      <c r="CI533" s="319">
        <v>2</v>
      </c>
      <c r="CJ533" s="318">
        <f t="shared" si="443"/>
        <v>0.2857142857142857</v>
      </c>
      <c r="CK533" s="1259">
        <v>4</v>
      </c>
      <c r="CL533" s="301">
        <f t="shared" si="433"/>
        <v>-2</v>
      </c>
      <c r="CM533" s="381">
        <v>0</v>
      </c>
      <c r="CN533" s="381">
        <f t="shared" si="445"/>
        <v>200</v>
      </c>
      <c r="CO533" s="316">
        <f t="shared" si="462"/>
        <v>100</v>
      </c>
      <c r="CP533" s="381">
        <f t="shared" si="463"/>
        <v>4.7142857142857132E-2</v>
      </c>
      <c r="CQ533" s="381">
        <f t="shared" si="464"/>
        <v>9.4285714285714264E-2</v>
      </c>
      <c r="CR533" s="313">
        <v>31000000</v>
      </c>
      <c r="CS533" s="313">
        <v>31000000</v>
      </c>
      <c r="CT533" s="313">
        <v>0</v>
      </c>
      <c r="CU533" s="313">
        <v>0</v>
      </c>
      <c r="CV533" s="313">
        <v>0</v>
      </c>
      <c r="CW533" s="313">
        <v>0</v>
      </c>
      <c r="CX533" s="313">
        <v>0</v>
      </c>
      <c r="CY533" s="313">
        <v>0</v>
      </c>
      <c r="CZ533" s="380">
        <v>0</v>
      </c>
      <c r="DA533" s="380">
        <v>0</v>
      </c>
      <c r="DB533" s="380">
        <v>0</v>
      </c>
      <c r="DC533" s="380">
        <v>0</v>
      </c>
      <c r="DD533" s="380">
        <v>0</v>
      </c>
      <c r="DE533" s="380">
        <v>0</v>
      </c>
      <c r="DF533" s="380">
        <v>0</v>
      </c>
      <c r="DG533" s="380">
        <v>0</v>
      </c>
      <c r="DH533" s="380">
        <v>0</v>
      </c>
      <c r="DI533" s="380">
        <v>0</v>
      </c>
      <c r="DJ533" s="380">
        <v>0</v>
      </c>
      <c r="DK533" s="702">
        <f t="shared" si="446"/>
        <v>15</v>
      </c>
      <c r="DL533" s="311">
        <f t="shared" si="465"/>
        <v>0.16499999999999998</v>
      </c>
      <c r="DM533" s="310">
        <f t="shared" si="466"/>
        <v>214.28571428571428</v>
      </c>
      <c r="DN533" s="356">
        <f t="shared" si="467"/>
        <v>100</v>
      </c>
      <c r="DO533" s="308">
        <f t="shared" si="468"/>
        <v>0.16500000000000001</v>
      </c>
      <c r="DP533" s="359">
        <f t="shared" si="473"/>
        <v>0.16500000000000001</v>
      </c>
      <c r="DQ533" s="306">
        <f t="shared" si="469"/>
        <v>0.16500000000000001</v>
      </c>
      <c r="DR533" s="379">
        <f t="shared" si="470"/>
        <v>0.99999999999999989</v>
      </c>
      <c r="DS533" s="378">
        <f t="shared" si="471"/>
        <v>0</v>
      </c>
      <c r="DT533" s="173">
        <v>623</v>
      </c>
      <c r="DU533" s="174" t="s">
        <v>87</v>
      </c>
      <c r="DV533" s="173"/>
      <c r="DW533" s="174" t="s">
        <v>84</v>
      </c>
      <c r="DX533" s="173"/>
      <c r="DY533" s="173"/>
      <c r="DZ533" s="173"/>
      <c r="EA533" s="665"/>
      <c r="EB533" s="1254" t="s">
        <v>3257</v>
      </c>
      <c r="EC533" s="537">
        <v>0</v>
      </c>
      <c r="EE533" s="733">
        <v>0</v>
      </c>
      <c r="EF533" s="706"/>
    </row>
    <row r="534" spans="4:136" s="302" customFormat="1" ht="108">
      <c r="D534" s="520">
        <v>531</v>
      </c>
      <c r="E534" s="534">
        <v>605</v>
      </c>
      <c r="F534" s="479" t="s">
        <v>46</v>
      </c>
      <c r="G534" s="479" t="s">
        <v>19</v>
      </c>
      <c r="H534" s="479" t="s">
        <v>2683</v>
      </c>
      <c r="I534" s="435" t="s">
        <v>2339</v>
      </c>
      <c r="J534" s="335" t="s">
        <v>1241</v>
      </c>
      <c r="K534" s="335" t="s">
        <v>1242</v>
      </c>
      <c r="L534" s="358" t="s">
        <v>1778</v>
      </c>
      <c r="M534" s="334" t="s">
        <v>1771</v>
      </c>
      <c r="N534" s="334">
        <v>1</v>
      </c>
      <c r="O534" s="333">
        <f t="shared" si="472"/>
        <v>5</v>
      </c>
      <c r="P534" s="332">
        <v>4</v>
      </c>
      <c r="Q534" s="390">
        <v>0.16500000000000001</v>
      </c>
      <c r="R534" s="342">
        <f t="shared" si="449"/>
        <v>4.1250000000000002E-2</v>
      </c>
      <c r="S534" s="389">
        <v>1</v>
      </c>
      <c r="T534" s="337">
        <f t="shared" si="434"/>
        <v>0.25</v>
      </c>
      <c r="U534" s="670">
        <v>0</v>
      </c>
      <c r="V534" s="388">
        <f t="shared" si="435"/>
        <v>0</v>
      </c>
      <c r="W534" s="356">
        <f t="shared" si="436"/>
        <v>0</v>
      </c>
      <c r="X534" s="356">
        <f t="shared" si="450"/>
        <v>0</v>
      </c>
      <c r="Y534" s="356">
        <f t="shared" si="474"/>
        <v>0</v>
      </c>
      <c r="Z534" s="356">
        <f t="shared" si="451"/>
        <v>0</v>
      </c>
      <c r="AA534" s="355">
        <v>0</v>
      </c>
      <c r="AB534" s="355">
        <v>0</v>
      </c>
      <c r="AC534" s="355">
        <v>0</v>
      </c>
      <c r="AD534" s="355">
        <v>0</v>
      </c>
      <c r="AE534" s="355">
        <v>0</v>
      </c>
      <c r="AF534" s="355">
        <v>0</v>
      </c>
      <c r="AG534" s="355">
        <v>0</v>
      </c>
      <c r="AH534" s="355">
        <v>0</v>
      </c>
      <c r="AI534" s="355">
        <v>0</v>
      </c>
      <c r="AJ534" s="355">
        <v>0</v>
      </c>
      <c r="AK534" s="355">
        <v>0</v>
      </c>
      <c r="AL534" s="355">
        <v>0</v>
      </c>
      <c r="AM534" s="355">
        <v>0</v>
      </c>
      <c r="AN534" s="355">
        <v>0</v>
      </c>
      <c r="AO534" s="355">
        <v>0</v>
      </c>
      <c r="AP534" s="355">
        <v>0</v>
      </c>
      <c r="AQ534" s="355">
        <v>0</v>
      </c>
      <c r="AR534" s="355">
        <v>0</v>
      </c>
      <c r="AS534" s="355">
        <v>0</v>
      </c>
      <c r="AT534" s="333">
        <f t="shared" si="452"/>
        <v>4.1250000000000002E-2</v>
      </c>
      <c r="AU534" s="334">
        <v>1</v>
      </c>
      <c r="AV534" s="387">
        <f t="shared" si="437"/>
        <v>0.25</v>
      </c>
      <c r="AW534" s="677">
        <v>0</v>
      </c>
      <c r="AX534" s="366">
        <f t="shared" si="438"/>
        <v>0</v>
      </c>
      <c r="AY534" s="366">
        <f t="shared" si="439"/>
        <v>0</v>
      </c>
      <c r="AZ534" s="366">
        <f t="shared" si="453"/>
        <v>0</v>
      </c>
      <c r="BA534" s="354">
        <f t="shared" si="454"/>
        <v>0</v>
      </c>
      <c r="BB534" s="354">
        <f t="shared" si="455"/>
        <v>0</v>
      </c>
      <c r="BC534" s="353">
        <v>15000000</v>
      </c>
      <c r="BD534" s="353">
        <v>0</v>
      </c>
      <c r="BE534" s="353">
        <v>15000000</v>
      </c>
      <c r="BF534" s="353">
        <v>0</v>
      </c>
      <c r="BG534" s="353">
        <v>0</v>
      </c>
      <c r="BH534" s="353">
        <v>0</v>
      </c>
      <c r="BI534" s="353">
        <v>0</v>
      </c>
      <c r="BJ534" s="353">
        <v>0</v>
      </c>
      <c r="BK534" s="386">
        <v>10800000</v>
      </c>
      <c r="BL534" s="351">
        <v>10800000</v>
      </c>
      <c r="BM534" s="351">
        <v>0</v>
      </c>
      <c r="BN534" s="351">
        <v>0</v>
      </c>
      <c r="BO534" s="351">
        <v>0</v>
      </c>
      <c r="BP534" s="351">
        <v>0</v>
      </c>
      <c r="BQ534" s="351">
        <v>0</v>
      </c>
      <c r="BR534" s="351">
        <v>0</v>
      </c>
      <c r="BS534" s="351">
        <v>0</v>
      </c>
      <c r="BT534" s="351">
        <v>0</v>
      </c>
      <c r="BU534" s="351">
        <v>0</v>
      </c>
      <c r="BV534" s="350">
        <f t="shared" si="456"/>
        <v>4.1250000000000002E-2</v>
      </c>
      <c r="BW534" s="350">
        <v>1</v>
      </c>
      <c r="BX534" s="385">
        <f t="shared" si="440"/>
        <v>0.25</v>
      </c>
      <c r="BY534" s="369">
        <v>5.000000074505806E-2</v>
      </c>
      <c r="BZ534" s="368">
        <v>0.8</v>
      </c>
      <c r="CA534" s="701">
        <v>0.95</v>
      </c>
      <c r="CB534" s="324">
        <f t="shared" si="441"/>
        <v>0.95</v>
      </c>
      <c r="CC534" s="324">
        <f t="shared" si="442"/>
        <v>95</v>
      </c>
      <c r="CD534" s="384">
        <f t="shared" si="457"/>
        <v>95</v>
      </c>
      <c r="CE534" s="383">
        <f t="shared" si="458"/>
        <v>3.91875E-2</v>
      </c>
      <c r="CF534" s="367">
        <f t="shared" si="459"/>
        <v>95</v>
      </c>
      <c r="CG534" s="383">
        <f t="shared" si="460"/>
        <v>3.91875E-2</v>
      </c>
      <c r="CH534" s="320">
        <f t="shared" si="461"/>
        <v>4.1250000000000002E-2</v>
      </c>
      <c r="CI534" s="319">
        <v>1</v>
      </c>
      <c r="CJ534" s="318">
        <f t="shared" si="443"/>
        <v>0.25</v>
      </c>
      <c r="CK534" s="1259">
        <v>6</v>
      </c>
      <c r="CL534" s="301">
        <f t="shared" si="433"/>
        <v>-5</v>
      </c>
      <c r="CM534" s="381">
        <v>0</v>
      </c>
      <c r="CN534" s="381">
        <f t="shared" si="445"/>
        <v>600</v>
      </c>
      <c r="CO534" s="316">
        <f t="shared" si="462"/>
        <v>100</v>
      </c>
      <c r="CP534" s="381">
        <f t="shared" si="463"/>
        <v>4.1250000000000002E-2</v>
      </c>
      <c r="CQ534" s="381">
        <f t="shared" si="464"/>
        <v>0.2475</v>
      </c>
      <c r="CR534" s="313">
        <v>15000000</v>
      </c>
      <c r="CS534" s="313">
        <v>15000000</v>
      </c>
      <c r="CT534" s="313">
        <v>0</v>
      </c>
      <c r="CU534" s="313">
        <v>0</v>
      </c>
      <c r="CV534" s="313">
        <v>0</v>
      </c>
      <c r="CW534" s="313">
        <v>0</v>
      </c>
      <c r="CX534" s="313">
        <v>0</v>
      </c>
      <c r="CY534" s="313">
        <v>0</v>
      </c>
      <c r="CZ534" s="380">
        <v>0</v>
      </c>
      <c r="DA534" s="380">
        <v>0</v>
      </c>
      <c r="DB534" s="380">
        <v>0</v>
      </c>
      <c r="DC534" s="380">
        <v>0</v>
      </c>
      <c r="DD534" s="380">
        <v>0</v>
      </c>
      <c r="DE534" s="380">
        <v>0</v>
      </c>
      <c r="DF534" s="380">
        <v>0</v>
      </c>
      <c r="DG534" s="380">
        <v>0</v>
      </c>
      <c r="DH534" s="380">
        <v>0</v>
      </c>
      <c r="DI534" s="380">
        <v>0</v>
      </c>
      <c r="DJ534" s="380">
        <v>0</v>
      </c>
      <c r="DK534" s="702">
        <f t="shared" si="446"/>
        <v>6.95</v>
      </c>
      <c r="DL534" s="311">
        <f t="shared" si="465"/>
        <v>0.16500000000000001</v>
      </c>
      <c r="DM534" s="310">
        <f t="shared" si="466"/>
        <v>173.75</v>
      </c>
      <c r="DN534" s="356">
        <f t="shared" si="467"/>
        <v>100</v>
      </c>
      <c r="DO534" s="308">
        <f t="shared" si="468"/>
        <v>0.16500000000000001</v>
      </c>
      <c r="DP534" s="359">
        <f t="shared" si="473"/>
        <v>0.16500000000000001</v>
      </c>
      <c r="DQ534" s="306">
        <f t="shared" si="469"/>
        <v>0.16500000000000001</v>
      </c>
      <c r="DR534" s="379">
        <f t="shared" si="470"/>
        <v>1</v>
      </c>
      <c r="DS534" s="378">
        <f t="shared" si="471"/>
        <v>0</v>
      </c>
      <c r="DT534" s="173">
        <v>619</v>
      </c>
      <c r="DU534" s="174" t="s">
        <v>272</v>
      </c>
      <c r="DV534" s="173">
        <v>622</v>
      </c>
      <c r="DW534" s="174" t="s">
        <v>88</v>
      </c>
      <c r="DX534" s="173">
        <v>623</v>
      </c>
      <c r="DY534" s="173"/>
      <c r="DZ534" s="173"/>
      <c r="EA534" s="665"/>
      <c r="EB534" s="1254" t="s">
        <v>3258</v>
      </c>
      <c r="EC534" s="537">
        <v>500000000</v>
      </c>
      <c r="EE534" s="734">
        <v>5</v>
      </c>
      <c r="EF534" s="706"/>
    </row>
    <row r="535" spans="4:136" s="302" customFormat="1" ht="165.75">
      <c r="D535" s="520">
        <v>532</v>
      </c>
      <c r="E535" s="534">
        <v>606</v>
      </c>
      <c r="F535" s="479" t="s">
        <v>46</v>
      </c>
      <c r="G535" s="479" t="s">
        <v>19</v>
      </c>
      <c r="H535" s="479" t="s">
        <v>2683</v>
      </c>
      <c r="I535" s="435" t="s">
        <v>2339</v>
      </c>
      <c r="J535" s="335" t="s">
        <v>1243</v>
      </c>
      <c r="K535" s="335" t="s">
        <v>1244</v>
      </c>
      <c r="L535" s="358" t="s">
        <v>1777</v>
      </c>
      <c r="M535" s="334" t="s">
        <v>1771</v>
      </c>
      <c r="N535" s="334">
        <v>0</v>
      </c>
      <c r="O535" s="333">
        <f t="shared" si="472"/>
        <v>8</v>
      </c>
      <c r="P535" s="332">
        <v>8</v>
      </c>
      <c r="Q535" s="390">
        <v>0.16500000000000001</v>
      </c>
      <c r="R535" s="342">
        <f t="shared" si="449"/>
        <v>2.0625000000000001E-2</v>
      </c>
      <c r="S535" s="389">
        <v>1</v>
      </c>
      <c r="T535" s="337">
        <f t="shared" si="434"/>
        <v>0.125</v>
      </c>
      <c r="U535" s="670">
        <v>1</v>
      </c>
      <c r="V535" s="388">
        <f t="shared" si="435"/>
        <v>1</v>
      </c>
      <c r="W535" s="356">
        <f t="shared" si="436"/>
        <v>100</v>
      </c>
      <c r="X535" s="356">
        <f t="shared" si="450"/>
        <v>100</v>
      </c>
      <c r="Y535" s="356">
        <f t="shared" si="474"/>
        <v>2.0625000000000001E-2</v>
      </c>
      <c r="Z535" s="356">
        <f t="shared" si="451"/>
        <v>100</v>
      </c>
      <c r="AA535" s="355">
        <v>0</v>
      </c>
      <c r="AB535" s="355">
        <v>0</v>
      </c>
      <c r="AC535" s="355">
        <v>0</v>
      </c>
      <c r="AD535" s="355">
        <v>0</v>
      </c>
      <c r="AE535" s="355">
        <v>0</v>
      </c>
      <c r="AF535" s="355">
        <v>0</v>
      </c>
      <c r="AG535" s="355">
        <v>0</v>
      </c>
      <c r="AH535" s="355">
        <v>0</v>
      </c>
      <c r="AI535" s="355">
        <v>39715000</v>
      </c>
      <c r="AJ535" s="355">
        <v>39715000</v>
      </c>
      <c r="AK535" s="355">
        <v>0</v>
      </c>
      <c r="AL535" s="355">
        <v>0</v>
      </c>
      <c r="AM535" s="355">
        <v>0</v>
      </c>
      <c r="AN535" s="355">
        <v>0</v>
      </c>
      <c r="AO535" s="355">
        <v>0</v>
      </c>
      <c r="AP535" s="355">
        <v>0</v>
      </c>
      <c r="AQ535" s="355">
        <v>0</v>
      </c>
      <c r="AR535" s="355">
        <v>0</v>
      </c>
      <c r="AS535" s="355">
        <v>0</v>
      </c>
      <c r="AT535" s="333">
        <f t="shared" si="452"/>
        <v>4.1250000000000002E-2</v>
      </c>
      <c r="AU535" s="334">
        <v>2</v>
      </c>
      <c r="AV535" s="387">
        <f t="shared" si="437"/>
        <v>0.25</v>
      </c>
      <c r="AW535" s="677">
        <v>2</v>
      </c>
      <c r="AX535" s="366">
        <f t="shared" si="438"/>
        <v>2</v>
      </c>
      <c r="AY535" s="366">
        <f t="shared" si="439"/>
        <v>100</v>
      </c>
      <c r="AZ535" s="366">
        <f t="shared" si="453"/>
        <v>100</v>
      </c>
      <c r="BA535" s="354">
        <f t="shared" si="454"/>
        <v>4.1250000000000002E-2</v>
      </c>
      <c r="BB535" s="354">
        <f t="shared" si="455"/>
        <v>100</v>
      </c>
      <c r="BC535" s="353">
        <v>30000000</v>
      </c>
      <c r="BD535" s="353">
        <v>0</v>
      </c>
      <c r="BE535" s="353">
        <v>30000000</v>
      </c>
      <c r="BF535" s="353">
        <v>0</v>
      </c>
      <c r="BG535" s="353">
        <v>0</v>
      </c>
      <c r="BH535" s="353">
        <v>0</v>
      </c>
      <c r="BI535" s="353">
        <v>0</v>
      </c>
      <c r="BJ535" s="353">
        <v>0</v>
      </c>
      <c r="BK535" s="386">
        <v>0</v>
      </c>
      <c r="BL535" s="351">
        <v>0</v>
      </c>
      <c r="BM535" s="351">
        <v>0</v>
      </c>
      <c r="BN535" s="351">
        <v>0</v>
      </c>
      <c r="BO535" s="351">
        <v>0</v>
      </c>
      <c r="BP535" s="351">
        <v>0</v>
      </c>
      <c r="BQ535" s="351">
        <v>0</v>
      </c>
      <c r="BR535" s="351">
        <v>0</v>
      </c>
      <c r="BS535" s="351">
        <v>0</v>
      </c>
      <c r="BT535" s="351">
        <v>0</v>
      </c>
      <c r="BU535" s="351">
        <v>0</v>
      </c>
      <c r="BV535" s="350">
        <f t="shared" si="456"/>
        <v>6.1874999999999999E-2</v>
      </c>
      <c r="BW535" s="350">
        <v>3</v>
      </c>
      <c r="BX535" s="385">
        <f t="shared" si="440"/>
        <v>0.375</v>
      </c>
      <c r="BY535" s="369">
        <v>0</v>
      </c>
      <c r="BZ535" s="368">
        <v>0</v>
      </c>
      <c r="CA535" s="742">
        <v>3</v>
      </c>
      <c r="CB535" s="324">
        <f t="shared" si="441"/>
        <v>3</v>
      </c>
      <c r="CC535" s="324">
        <f t="shared" si="442"/>
        <v>100</v>
      </c>
      <c r="CD535" s="384">
        <f t="shared" si="457"/>
        <v>100</v>
      </c>
      <c r="CE535" s="383">
        <f t="shared" si="458"/>
        <v>6.1874999999999999E-2</v>
      </c>
      <c r="CF535" s="367">
        <f t="shared" si="459"/>
        <v>100</v>
      </c>
      <c r="CG535" s="382">
        <f t="shared" si="460"/>
        <v>6.1874999999999999E-2</v>
      </c>
      <c r="CH535" s="320">
        <f t="shared" si="461"/>
        <v>4.1250000000000002E-2</v>
      </c>
      <c r="CI535" s="319">
        <v>2</v>
      </c>
      <c r="CJ535" s="318">
        <f t="shared" si="443"/>
        <v>0.25</v>
      </c>
      <c r="CK535" s="1259">
        <v>4</v>
      </c>
      <c r="CL535" s="301">
        <f t="shared" si="433"/>
        <v>-2</v>
      </c>
      <c r="CM535" s="381">
        <f t="shared" ref="CM535:CM541" si="475">+IF(M535="I",(+CK535),IF(M535="M",(+CK535)/4,))</f>
        <v>4</v>
      </c>
      <c r="CN535" s="381">
        <f t="shared" si="445"/>
        <v>200</v>
      </c>
      <c r="CO535" s="316">
        <f t="shared" si="462"/>
        <v>100</v>
      </c>
      <c r="CP535" s="381">
        <f t="shared" si="463"/>
        <v>4.1250000000000002E-2</v>
      </c>
      <c r="CQ535" s="381">
        <f t="shared" si="464"/>
        <v>8.2500000000000004E-2</v>
      </c>
      <c r="CR535" s="313">
        <v>30000000</v>
      </c>
      <c r="CS535" s="313">
        <v>30000000</v>
      </c>
      <c r="CT535" s="313">
        <v>0</v>
      </c>
      <c r="CU535" s="313">
        <v>0</v>
      </c>
      <c r="CV535" s="313">
        <v>0</v>
      </c>
      <c r="CW535" s="313">
        <v>0</v>
      </c>
      <c r="CX535" s="313">
        <v>0</v>
      </c>
      <c r="CY535" s="313">
        <v>0</v>
      </c>
      <c r="CZ535" s="380">
        <v>0</v>
      </c>
      <c r="DA535" s="380">
        <v>0</v>
      </c>
      <c r="DB535" s="380">
        <v>0</v>
      </c>
      <c r="DC535" s="380">
        <v>0</v>
      </c>
      <c r="DD535" s="380">
        <v>0</v>
      </c>
      <c r="DE535" s="380">
        <v>0</v>
      </c>
      <c r="DF535" s="380">
        <v>0</v>
      </c>
      <c r="DG535" s="380">
        <v>0</v>
      </c>
      <c r="DH535" s="380">
        <v>0</v>
      </c>
      <c r="DI535" s="380">
        <v>0</v>
      </c>
      <c r="DJ535" s="380">
        <v>0</v>
      </c>
      <c r="DK535" s="702">
        <f t="shared" si="446"/>
        <v>10</v>
      </c>
      <c r="DL535" s="311">
        <f t="shared" si="465"/>
        <v>0.16500000000000001</v>
      </c>
      <c r="DM535" s="310">
        <f t="shared" si="466"/>
        <v>125</v>
      </c>
      <c r="DN535" s="356">
        <f t="shared" si="467"/>
        <v>100</v>
      </c>
      <c r="DO535" s="308">
        <f t="shared" si="468"/>
        <v>0.16500000000000001</v>
      </c>
      <c r="DP535" s="359">
        <f t="shared" si="473"/>
        <v>0.16500000000000001</v>
      </c>
      <c r="DQ535" s="306">
        <f t="shared" si="469"/>
        <v>0.16500000000000001</v>
      </c>
      <c r="DR535" s="379">
        <f t="shared" si="470"/>
        <v>1</v>
      </c>
      <c r="DS535" s="378">
        <f t="shared" si="471"/>
        <v>0</v>
      </c>
      <c r="DT535" s="173">
        <v>623</v>
      </c>
      <c r="DU535" s="174" t="s">
        <v>87</v>
      </c>
      <c r="DV535" s="173"/>
      <c r="DW535" s="174" t="s">
        <v>84</v>
      </c>
      <c r="DX535" s="173"/>
      <c r="DY535" s="173"/>
      <c r="DZ535" s="173"/>
      <c r="EA535" s="665"/>
      <c r="EB535" s="1254" t="s">
        <v>3259</v>
      </c>
      <c r="EC535" s="537">
        <v>96000000</v>
      </c>
      <c r="EE535" s="735">
        <v>1</v>
      </c>
      <c r="EF535" s="706"/>
    </row>
    <row r="536" spans="4:136" s="303" customFormat="1" ht="76.5">
      <c r="D536" s="520">
        <v>533</v>
      </c>
      <c r="E536" s="535">
        <v>607</v>
      </c>
      <c r="F536" s="527" t="s">
        <v>46</v>
      </c>
      <c r="G536" s="527" t="s">
        <v>19</v>
      </c>
      <c r="H536" s="527" t="s">
        <v>2683</v>
      </c>
      <c r="I536" s="528" t="s">
        <v>2339</v>
      </c>
      <c r="J536" s="335" t="s">
        <v>1245</v>
      </c>
      <c r="K536" s="335" t="s">
        <v>1246</v>
      </c>
      <c r="L536" s="358" t="s">
        <v>1776</v>
      </c>
      <c r="M536" s="330" t="s">
        <v>1771</v>
      </c>
      <c r="N536" s="334">
        <v>0</v>
      </c>
      <c r="O536" s="333">
        <f t="shared" si="472"/>
        <v>4</v>
      </c>
      <c r="P536" s="332">
        <v>4</v>
      </c>
      <c r="Q536" s="377">
        <v>0.16500000000000001</v>
      </c>
      <c r="R536" s="331">
        <f t="shared" si="449"/>
        <v>0</v>
      </c>
      <c r="S536" s="341">
        <v>0</v>
      </c>
      <c r="T536" s="1363">
        <f t="shared" si="434"/>
        <v>0</v>
      </c>
      <c r="U536" s="669">
        <v>0</v>
      </c>
      <c r="V536" s="376">
        <f t="shared" si="435"/>
        <v>0</v>
      </c>
      <c r="W536" s="309">
        <f t="shared" si="436"/>
        <v>0</v>
      </c>
      <c r="X536" s="309">
        <f t="shared" si="450"/>
        <v>0</v>
      </c>
      <c r="Y536" s="309">
        <f t="shared" si="474"/>
        <v>0</v>
      </c>
      <c r="Z536" s="356">
        <f t="shared" si="451"/>
        <v>0</v>
      </c>
      <c r="AA536" s="375">
        <v>0</v>
      </c>
      <c r="AB536" s="375">
        <v>0</v>
      </c>
      <c r="AC536" s="375">
        <v>0</v>
      </c>
      <c r="AD536" s="375">
        <v>0</v>
      </c>
      <c r="AE536" s="375">
        <v>0</v>
      </c>
      <c r="AF536" s="375">
        <v>0</v>
      </c>
      <c r="AG536" s="375">
        <v>0</v>
      </c>
      <c r="AH536" s="375">
        <v>0</v>
      </c>
      <c r="AI536" s="375">
        <v>0</v>
      </c>
      <c r="AJ536" s="375">
        <v>0</v>
      </c>
      <c r="AK536" s="375">
        <v>0</v>
      </c>
      <c r="AL536" s="375">
        <v>0</v>
      </c>
      <c r="AM536" s="375">
        <v>0</v>
      </c>
      <c r="AN536" s="375">
        <v>0</v>
      </c>
      <c r="AO536" s="375">
        <v>0</v>
      </c>
      <c r="AP536" s="375">
        <v>0</v>
      </c>
      <c r="AQ536" s="375">
        <v>0</v>
      </c>
      <c r="AR536" s="375">
        <v>0</v>
      </c>
      <c r="AS536" s="375">
        <v>0</v>
      </c>
      <c r="AT536" s="339">
        <f t="shared" si="452"/>
        <v>4.1250000000000002E-2</v>
      </c>
      <c r="AU536" s="330">
        <v>1</v>
      </c>
      <c r="AV536" s="328">
        <f t="shared" si="437"/>
        <v>0.25</v>
      </c>
      <c r="AW536" s="678">
        <v>0</v>
      </c>
      <c r="AX536" s="374">
        <f t="shared" si="438"/>
        <v>0</v>
      </c>
      <c r="AY536" s="374">
        <f t="shared" si="439"/>
        <v>0</v>
      </c>
      <c r="AZ536" s="374">
        <f t="shared" si="453"/>
        <v>0</v>
      </c>
      <c r="BA536" s="373">
        <f t="shared" si="454"/>
        <v>0</v>
      </c>
      <c r="BB536" s="354">
        <f t="shared" si="455"/>
        <v>0</v>
      </c>
      <c r="BC536" s="372">
        <v>20000000</v>
      </c>
      <c r="BD536" s="372">
        <v>0</v>
      </c>
      <c r="BE536" s="372">
        <v>20000000</v>
      </c>
      <c r="BF536" s="372">
        <v>0</v>
      </c>
      <c r="BG536" s="372">
        <v>0</v>
      </c>
      <c r="BH536" s="372">
        <v>0</v>
      </c>
      <c r="BI536" s="372">
        <v>0</v>
      </c>
      <c r="BJ536" s="372">
        <v>0</v>
      </c>
      <c r="BK536" s="371">
        <v>0</v>
      </c>
      <c r="BL536" s="370">
        <v>0</v>
      </c>
      <c r="BM536" s="370">
        <v>0</v>
      </c>
      <c r="BN536" s="370">
        <v>0</v>
      </c>
      <c r="BO536" s="370">
        <v>0</v>
      </c>
      <c r="BP536" s="370">
        <v>0</v>
      </c>
      <c r="BQ536" s="370">
        <v>0</v>
      </c>
      <c r="BR536" s="370">
        <v>0</v>
      </c>
      <c r="BS536" s="370">
        <v>0</v>
      </c>
      <c r="BT536" s="370">
        <v>0</v>
      </c>
      <c r="BU536" s="370">
        <v>0</v>
      </c>
      <c r="BV536" s="326">
        <f t="shared" si="456"/>
        <v>4.1250000000000002E-2</v>
      </c>
      <c r="BW536" s="326">
        <v>1</v>
      </c>
      <c r="BX536" s="325">
        <f t="shared" si="440"/>
        <v>0.25</v>
      </c>
      <c r="BY536" s="369">
        <v>5.000000074505806E-2</v>
      </c>
      <c r="BZ536" s="368">
        <v>0.05</v>
      </c>
      <c r="CA536" s="742">
        <v>0</v>
      </c>
      <c r="CB536" s="324">
        <f t="shared" si="441"/>
        <v>0</v>
      </c>
      <c r="CC536" s="324">
        <f t="shared" si="442"/>
        <v>0</v>
      </c>
      <c r="CD536" s="323">
        <f t="shared" si="457"/>
        <v>0</v>
      </c>
      <c r="CE536" s="321">
        <f t="shared" si="458"/>
        <v>0</v>
      </c>
      <c r="CF536" s="367">
        <f t="shared" si="459"/>
        <v>0</v>
      </c>
      <c r="CG536" s="366">
        <f>+IF(((CC536*BV536)/100)&lt;BV536, ((CC536*BV536)/100),BV536)</f>
        <v>0</v>
      </c>
      <c r="CH536" s="365">
        <f t="shared" si="461"/>
        <v>8.2500000000000004E-2</v>
      </c>
      <c r="CI536" s="364">
        <v>2</v>
      </c>
      <c r="CJ536" s="363">
        <f t="shared" si="443"/>
        <v>0.5</v>
      </c>
      <c r="CK536" s="1259">
        <v>3</v>
      </c>
      <c r="CL536" s="301">
        <f t="shared" si="433"/>
        <v>-1</v>
      </c>
      <c r="CM536" s="362">
        <f t="shared" si="475"/>
        <v>3</v>
      </c>
      <c r="CN536" s="362">
        <f t="shared" si="445"/>
        <v>150</v>
      </c>
      <c r="CO536" s="316">
        <f t="shared" si="462"/>
        <v>100</v>
      </c>
      <c r="CP536" s="362">
        <f t="shared" si="463"/>
        <v>8.2500000000000004E-2</v>
      </c>
      <c r="CQ536" s="362">
        <f t="shared" si="464"/>
        <v>0.12375</v>
      </c>
      <c r="CR536" s="361">
        <v>20000000</v>
      </c>
      <c r="CS536" s="361">
        <v>20000000</v>
      </c>
      <c r="CT536" s="361">
        <v>0</v>
      </c>
      <c r="CU536" s="361">
        <v>0</v>
      </c>
      <c r="CV536" s="361">
        <v>0</v>
      </c>
      <c r="CW536" s="361">
        <v>0</v>
      </c>
      <c r="CX536" s="361">
        <v>0</v>
      </c>
      <c r="CY536" s="361">
        <v>0</v>
      </c>
      <c r="CZ536" s="360">
        <v>0</v>
      </c>
      <c r="DA536" s="360">
        <v>0</v>
      </c>
      <c r="DB536" s="360">
        <v>0</v>
      </c>
      <c r="DC536" s="360">
        <v>0</v>
      </c>
      <c r="DD536" s="360">
        <v>0</v>
      </c>
      <c r="DE536" s="360">
        <v>0</v>
      </c>
      <c r="DF536" s="360">
        <v>0</v>
      </c>
      <c r="DG536" s="360">
        <v>0</v>
      </c>
      <c r="DH536" s="360">
        <v>0</v>
      </c>
      <c r="DI536" s="360">
        <v>0</v>
      </c>
      <c r="DJ536" s="360">
        <v>0</v>
      </c>
      <c r="DK536" s="702">
        <f t="shared" si="446"/>
        <v>3</v>
      </c>
      <c r="DL536" s="311">
        <f t="shared" si="465"/>
        <v>0.16500000000000001</v>
      </c>
      <c r="DM536" s="310">
        <f t="shared" si="466"/>
        <v>75</v>
      </c>
      <c r="DN536" s="309">
        <f t="shared" si="467"/>
        <v>75</v>
      </c>
      <c r="DO536" s="308">
        <f t="shared" si="468"/>
        <v>0.12375</v>
      </c>
      <c r="DP536" s="359">
        <f t="shared" si="473"/>
        <v>0.12375</v>
      </c>
      <c r="DQ536" s="306">
        <f t="shared" si="469"/>
        <v>0.12375</v>
      </c>
      <c r="DR536" s="305">
        <f t="shared" si="470"/>
        <v>1</v>
      </c>
      <c r="DS536" s="304">
        <f t="shared" si="471"/>
        <v>0</v>
      </c>
      <c r="DT536" s="173">
        <v>623</v>
      </c>
      <c r="DU536" s="174" t="s">
        <v>87</v>
      </c>
      <c r="DV536" s="173"/>
      <c r="DW536" s="174" t="s">
        <v>84</v>
      </c>
      <c r="DX536" s="173"/>
      <c r="DY536" s="173"/>
      <c r="DZ536" s="173"/>
      <c r="EA536" s="665"/>
      <c r="EB536" s="1254" t="s">
        <v>3260</v>
      </c>
      <c r="EC536" s="537">
        <v>30000000</v>
      </c>
      <c r="ED536" s="302"/>
      <c r="EE536" s="735">
        <v>20</v>
      </c>
      <c r="EF536" s="706"/>
    </row>
    <row r="537" spans="4:136" s="303" customFormat="1" ht="51">
      <c r="D537" s="520">
        <v>534</v>
      </c>
      <c r="E537" s="534">
        <v>608</v>
      </c>
      <c r="F537" s="479" t="s">
        <v>46</v>
      </c>
      <c r="G537" s="479" t="s">
        <v>19</v>
      </c>
      <c r="H537" s="479" t="s">
        <v>2683</v>
      </c>
      <c r="I537" s="435" t="s">
        <v>2339</v>
      </c>
      <c r="J537" s="335" t="s">
        <v>1247</v>
      </c>
      <c r="K537" s="335" t="s">
        <v>1248</v>
      </c>
      <c r="L537" s="358" t="s">
        <v>1775</v>
      </c>
      <c r="M537" s="334" t="s">
        <v>1771</v>
      </c>
      <c r="N537" s="334">
        <v>0</v>
      </c>
      <c r="O537" s="333">
        <f t="shared" si="472"/>
        <v>8</v>
      </c>
      <c r="P537" s="332">
        <v>8</v>
      </c>
      <c r="Q537" s="357">
        <v>0.16500000000000001</v>
      </c>
      <c r="R537" s="342">
        <f t="shared" si="449"/>
        <v>2.0625000000000001E-2</v>
      </c>
      <c r="S537" s="341">
        <v>1</v>
      </c>
      <c r="T537" s="1363">
        <f t="shared" ref="T537:T541" si="476">IF($M537="M",0.25,(IF($P537&gt;0,S537/$P537," ")))</f>
        <v>0.125</v>
      </c>
      <c r="U537" s="672">
        <v>1</v>
      </c>
      <c r="V537" s="332">
        <f t="shared" ref="V537:V541" si="477">+IF(M537="I",(+U537),IF(M537="M",(+U537)/4,))</f>
        <v>1</v>
      </c>
      <c r="W537" s="356">
        <f t="shared" si="436"/>
        <v>100</v>
      </c>
      <c r="X537" s="356">
        <f t="shared" si="450"/>
        <v>100</v>
      </c>
      <c r="Y537" s="356">
        <f t="shared" si="474"/>
        <v>2.0625000000000001E-2</v>
      </c>
      <c r="Z537" s="356">
        <f t="shared" si="451"/>
        <v>100</v>
      </c>
      <c r="AA537" s="355">
        <v>0</v>
      </c>
      <c r="AB537" s="355">
        <v>0</v>
      </c>
      <c r="AC537" s="355">
        <v>0</v>
      </c>
      <c r="AD537" s="355">
        <v>0</v>
      </c>
      <c r="AE537" s="355">
        <v>0</v>
      </c>
      <c r="AF537" s="355">
        <v>0</v>
      </c>
      <c r="AG537" s="355">
        <v>0</v>
      </c>
      <c r="AH537" s="355">
        <v>0</v>
      </c>
      <c r="AI537" s="355">
        <v>0</v>
      </c>
      <c r="AJ537" s="355">
        <v>0</v>
      </c>
      <c r="AK537" s="355">
        <v>0</v>
      </c>
      <c r="AL537" s="355">
        <v>0</v>
      </c>
      <c r="AM537" s="355">
        <v>0</v>
      </c>
      <c r="AN537" s="355">
        <v>0</v>
      </c>
      <c r="AO537" s="355">
        <v>0</v>
      </c>
      <c r="AP537" s="355">
        <v>0</v>
      </c>
      <c r="AQ537" s="355">
        <v>0</v>
      </c>
      <c r="AR537" s="355">
        <v>0</v>
      </c>
      <c r="AS537" s="355">
        <v>0</v>
      </c>
      <c r="AT537" s="339">
        <f t="shared" si="452"/>
        <v>6.1874999999999999E-2</v>
      </c>
      <c r="AU537" s="334">
        <v>3</v>
      </c>
      <c r="AV537" s="328">
        <f t="shared" ref="AV537:AV541" si="478">IF($M537="M",0.25,(IF($P537&gt;0,AU537/$P537," ")))</f>
        <v>0.375</v>
      </c>
      <c r="AW537" s="677">
        <v>5</v>
      </c>
      <c r="AX537" s="354">
        <f t="shared" ref="AX537:AX541" si="479">+IF(M537="I",(+AW537),IF(M537="M",(+AW537)/4,))</f>
        <v>5</v>
      </c>
      <c r="AY537" s="354">
        <f t="shared" si="439"/>
        <v>166.66666666666666</v>
      </c>
      <c r="AZ537" s="354">
        <f t="shared" si="453"/>
        <v>100</v>
      </c>
      <c r="BA537" s="354">
        <f t="shared" si="454"/>
        <v>6.1874999999999999E-2</v>
      </c>
      <c r="BB537" s="354">
        <f t="shared" si="455"/>
        <v>100</v>
      </c>
      <c r="BC537" s="353">
        <v>12000000</v>
      </c>
      <c r="BD537" s="353">
        <v>0</v>
      </c>
      <c r="BE537" s="353">
        <v>12000000</v>
      </c>
      <c r="BF537" s="353">
        <v>0</v>
      </c>
      <c r="BG537" s="353">
        <v>0</v>
      </c>
      <c r="BH537" s="353">
        <v>0</v>
      </c>
      <c r="BI537" s="353">
        <v>0</v>
      </c>
      <c r="BJ537" s="353">
        <v>0</v>
      </c>
      <c r="BK537" s="352">
        <v>20000000</v>
      </c>
      <c r="BL537" s="351">
        <v>20000000</v>
      </c>
      <c r="BM537" s="351">
        <v>0</v>
      </c>
      <c r="BN537" s="351">
        <v>0</v>
      </c>
      <c r="BO537" s="351">
        <v>0</v>
      </c>
      <c r="BP537" s="351">
        <v>0</v>
      </c>
      <c r="BQ537" s="351">
        <v>0</v>
      </c>
      <c r="BR537" s="351">
        <v>0</v>
      </c>
      <c r="BS537" s="351">
        <v>0</v>
      </c>
      <c r="BT537" s="351">
        <v>0</v>
      </c>
      <c r="BU537" s="351">
        <v>0</v>
      </c>
      <c r="BV537" s="326">
        <f t="shared" si="456"/>
        <v>6.1874999999999999E-2</v>
      </c>
      <c r="BW537" s="350">
        <v>3</v>
      </c>
      <c r="BX537" s="325">
        <f t="shared" ref="BX537:BX541" si="480">IF($M537="M",0.25,(IF($P537&gt;0,BW537/$P537," ")))</f>
        <v>0.375</v>
      </c>
      <c r="BY537" s="349">
        <v>1</v>
      </c>
      <c r="BZ537" s="348">
        <v>1</v>
      </c>
      <c r="CA537" s="742">
        <v>1</v>
      </c>
      <c r="CB537" s="324">
        <f t="shared" ref="CB537:CB541" si="481">+IF(M537="I",(+CA537),IF(M537="M",(+CA537)/4,))</f>
        <v>1</v>
      </c>
      <c r="CC537" s="324">
        <f t="shared" si="442"/>
        <v>33.333333333333336</v>
      </c>
      <c r="CD537" s="323">
        <f t="shared" si="457"/>
        <v>33.333333333333336</v>
      </c>
      <c r="CE537" s="321">
        <f t="shared" si="458"/>
        <v>2.0625000000000001E-2</v>
      </c>
      <c r="CF537" s="322">
        <f t="shared" si="459"/>
        <v>33.333333333333336</v>
      </c>
      <c r="CG537" s="321">
        <f>(CC537*BV537)/100</f>
        <v>2.0625000000000001E-2</v>
      </c>
      <c r="CH537" s="320">
        <f t="shared" si="461"/>
        <v>2.0625000000000001E-2</v>
      </c>
      <c r="CI537" s="319">
        <v>1</v>
      </c>
      <c r="CJ537" s="318">
        <f t="shared" ref="CJ537" si="482">IF($M537="M",0.25,(IF($P537&gt;0,CI537/$P537," ")))</f>
        <v>0.125</v>
      </c>
      <c r="CK537" s="1258">
        <v>1</v>
      </c>
      <c r="CL537" s="301">
        <f t="shared" si="433"/>
        <v>0</v>
      </c>
      <c r="CM537" s="317">
        <f t="shared" si="475"/>
        <v>1</v>
      </c>
      <c r="CN537" s="317">
        <f t="shared" si="445"/>
        <v>100</v>
      </c>
      <c r="CO537" s="316">
        <f t="shared" si="462"/>
        <v>100</v>
      </c>
      <c r="CP537" s="317">
        <f t="shared" si="463"/>
        <v>2.0625000000000001E-2</v>
      </c>
      <c r="CQ537" s="317">
        <f t="shared" si="464"/>
        <v>2.0625000000000001E-2</v>
      </c>
      <c r="CR537" s="313">
        <v>12000000</v>
      </c>
      <c r="CS537" s="313">
        <v>12000000</v>
      </c>
      <c r="CT537" s="313">
        <v>0</v>
      </c>
      <c r="CU537" s="313">
        <v>0</v>
      </c>
      <c r="CV537" s="313">
        <v>0</v>
      </c>
      <c r="CW537" s="313">
        <v>0</v>
      </c>
      <c r="CX537" s="313">
        <v>0</v>
      </c>
      <c r="CY537" s="313">
        <v>0</v>
      </c>
      <c r="CZ537" s="347">
        <v>0</v>
      </c>
      <c r="DA537" s="347">
        <v>0</v>
      </c>
      <c r="DB537" s="347">
        <v>0</v>
      </c>
      <c r="DC537" s="347">
        <v>0</v>
      </c>
      <c r="DD537" s="347">
        <v>0</v>
      </c>
      <c r="DE537" s="347">
        <v>0</v>
      </c>
      <c r="DF537" s="347">
        <v>0</v>
      </c>
      <c r="DG537" s="347">
        <v>0</v>
      </c>
      <c r="DH537" s="347">
        <v>0</v>
      </c>
      <c r="DI537" s="347">
        <v>0</v>
      </c>
      <c r="DJ537" s="347">
        <v>0</v>
      </c>
      <c r="DK537" s="702">
        <f t="shared" si="446"/>
        <v>8</v>
      </c>
      <c r="DL537" s="311">
        <f t="shared" si="465"/>
        <v>0.16500000000000001</v>
      </c>
      <c r="DM537" s="310">
        <f t="shared" si="466"/>
        <v>100</v>
      </c>
      <c r="DN537" s="309">
        <f t="shared" si="467"/>
        <v>100</v>
      </c>
      <c r="DO537" s="308">
        <f t="shared" si="468"/>
        <v>0.16500000000000001</v>
      </c>
      <c r="DP537" s="307">
        <f t="shared" si="473"/>
        <v>0.16500000000000001</v>
      </c>
      <c r="DQ537" s="306">
        <f t="shared" si="469"/>
        <v>0.16500000000000001</v>
      </c>
      <c r="DR537" s="305">
        <f t="shared" si="470"/>
        <v>1</v>
      </c>
      <c r="DS537" s="304">
        <f t="shared" si="471"/>
        <v>0</v>
      </c>
      <c r="DT537" s="173">
        <v>623</v>
      </c>
      <c r="DU537" s="174" t="s">
        <v>87</v>
      </c>
      <c r="DV537" s="173"/>
      <c r="DW537" s="174" t="s">
        <v>84</v>
      </c>
      <c r="DX537" s="173"/>
      <c r="DY537" s="173"/>
      <c r="DZ537" s="173"/>
      <c r="EA537" s="665"/>
      <c r="EB537" s="1254" t="s">
        <v>2159</v>
      </c>
      <c r="EC537" s="537">
        <v>0</v>
      </c>
      <c r="ED537" s="302"/>
      <c r="EE537" s="735">
        <v>30</v>
      </c>
      <c r="EF537" s="706"/>
    </row>
    <row r="538" spans="4:136" s="303" customFormat="1" ht="89.25" hidden="1">
      <c r="D538" s="520">
        <v>535</v>
      </c>
      <c r="E538" s="534">
        <v>624</v>
      </c>
      <c r="F538" s="336" t="s">
        <v>43</v>
      </c>
      <c r="G538" s="336" t="s">
        <v>7</v>
      </c>
      <c r="H538" s="336" t="s">
        <v>2656</v>
      </c>
      <c r="I538" s="336" t="s">
        <v>2361</v>
      </c>
      <c r="J538" s="335" t="s">
        <v>1314</v>
      </c>
      <c r="K538" s="335" t="s">
        <v>1323</v>
      </c>
      <c r="L538" s="344" t="s">
        <v>1550</v>
      </c>
      <c r="M538" s="334" t="s">
        <v>1771</v>
      </c>
      <c r="N538" s="334">
        <v>0</v>
      </c>
      <c r="O538" s="333">
        <f t="shared" si="472"/>
        <v>6000</v>
      </c>
      <c r="P538" s="332">
        <v>6000</v>
      </c>
      <c r="Q538" s="343">
        <v>0.22264</v>
      </c>
      <c r="R538" s="342">
        <f t="shared" si="449"/>
        <v>0</v>
      </c>
      <c r="S538" s="341">
        <v>0</v>
      </c>
      <c r="T538" s="1363">
        <f t="shared" si="476"/>
        <v>0</v>
      </c>
      <c r="U538" s="676">
        <v>0</v>
      </c>
      <c r="V538" s="315">
        <f t="shared" si="477"/>
        <v>0</v>
      </c>
      <c r="W538" s="315">
        <f t="shared" si="436"/>
        <v>0</v>
      </c>
      <c r="X538" s="315">
        <f t="shared" si="450"/>
        <v>0</v>
      </c>
      <c r="Y538" s="315">
        <f t="shared" si="474"/>
        <v>0</v>
      </c>
      <c r="Z538" s="315">
        <f t="shared" si="451"/>
        <v>0</v>
      </c>
      <c r="AA538" s="315">
        <v>0</v>
      </c>
      <c r="AB538" s="315">
        <v>0</v>
      </c>
      <c r="AC538" s="315">
        <v>0</v>
      </c>
      <c r="AD538" s="315">
        <v>0</v>
      </c>
      <c r="AE538" s="315">
        <v>0</v>
      </c>
      <c r="AF538" s="315">
        <v>0</v>
      </c>
      <c r="AG538" s="315">
        <v>0</v>
      </c>
      <c r="AH538" s="315">
        <v>0</v>
      </c>
      <c r="AI538" s="315">
        <v>0</v>
      </c>
      <c r="AJ538" s="315">
        <v>0</v>
      </c>
      <c r="AK538" s="315">
        <v>0</v>
      </c>
      <c r="AL538" s="315">
        <v>0</v>
      </c>
      <c r="AM538" s="315">
        <v>0</v>
      </c>
      <c r="AN538" s="315">
        <v>0</v>
      </c>
      <c r="AO538" s="315">
        <v>0</v>
      </c>
      <c r="AP538" s="315">
        <v>0</v>
      </c>
      <c r="AQ538" s="315">
        <v>0</v>
      </c>
      <c r="AR538" s="315">
        <v>0</v>
      </c>
      <c r="AS538" s="315">
        <v>0</v>
      </c>
      <c r="AT538" s="329">
        <f t="shared" si="452"/>
        <v>0</v>
      </c>
      <c r="AU538" s="340">
        <v>0</v>
      </c>
      <c r="AV538" s="328">
        <f t="shared" si="478"/>
        <v>0</v>
      </c>
      <c r="AW538" s="679">
        <v>0</v>
      </c>
      <c r="AX538" s="327">
        <f t="shared" si="479"/>
        <v>0</v>
      </c>
      <c r="AY538" s="327">
        <f t="shared" si="439"/>
        <v>0</v>
      </c>
      <c r="AZ538" s="327">
        <f t="shared" si="453"/>
        <v>0</v>
      </c>
      <c r="BA538" s="327">
        <f t="shared" si="454"/>
        <v>0</v>
      </c>
      <c r="BB538" s="327">
        <f t="shared" si="455"/>
        <v>0</v>
      </c>
      <c r="BC538" s="327">
        <f>SUBTOTAL(9,BD538:BJ538)</f>
        <v>0</v>
      </c>
      <c r="BD538" s="346">
        <v>0</v>
      </c>
      <c r="BE538" s="327">
        <v>0</v>
      </c>
      <c r="BF538" s="327">
        <v>0</v>
      </c>
      <c r="BG538" s="327">
        <v>0</v>
      </c>
      <c r="BH538" s="327">
        <v>0</v>
      </c>
      <c r="BI538" s="327">
        <v>0</v>
      </c>
      <c r="BJ538" s="327">
        <v>0</v>
      </c>
      <c r="BK538" s="327">
        <v>0</v>
      </c>
      <c r="BL538" s="327">
        <v>0</v>
      </c>
      <c r="BM538" s="327">
        <v>0</v>
      </c>
      <c r="BN538" s="327">
        <v>0</v>
      </c>
      <c r="BO538" s="327">
        <v>0</v>
      </c>
      <c r="BP538" s="327">
        <v>0</v>
      </c>
      <c r="BQ538" s="327">
        <v>0</v>
      </c>
      <c r="BR538" s="327">
        <v>0</v>
      </c>
      <c r="BS538" s="327">
        <v>0</v>
      </c>
      <c r="BT538" s="327">
        <v>0</v>
      </c>
      <c r="BU538" s="327">
        <v>0</v>
      </c>
      <c r="BV538" s="326">
        <f t="shared" si="456"/>
        <v>0</v>
      </c>
      <c r="BW538" s="327">
        <v>0</v>
      </c>
      <c r="BX538" s="325">
        <f t="shared" si="480"/>
        <v>0</v>
      </c>
      <c r="BY538" s="327">
        <v>0</v>
      </c>
      <c r="BZ538" s="327">
        <v>0</v>
      </c>
      <c r="CA538" s="1392">
        <v>0</v>
      </c>
      <c r="CB538" s="324">
        <f t="shared" si="481"/>
        <v>0</v>
      </c>
      <c r="CC538" s="324">
        <f t="shared" si="442"/>
        <v>0</v>
      </c>
      <c r="CD538" s="323">
        <f t="shared" si="457"/>
        <v>0</v>
      </c>
      <c r="CE538" s="321">
        <f t="shared" si="458"/>
        <v>0</v>
      </c>
      <c r="CF538" s="322">
        <f t="shared" si="459"/>
        <v>0</v>
      </c>
      <c r="CG538" s="321">
        <f>(CC538*BV538)/100</f>
        <v>0</v>
      </c>
      <c r="CH538" s="327">
        <f t="shared" si="461"/>
        <v>0.22264</v>
      </c>
      <c r="CI538" s="345">
        <v>6000</v>
      </c>
      <c r="CJ538" s="345">
        <v>1</v>
      </c>
      <c r="CK538" s="1263">
        <v>6000</v>
      </c>
      <c r="CL538" s="301">
        <f t="shared" si="433"/>
        <v>0</v>
      </c>
      <c r="CM538" s="317">
        <f t="shared" si="475"/>
        <v>6000</v>
      </c>
      <c r="CN538" s="315">
        <f t="shared" si="445"/>
        <v>100</v>
      </c>
      <c r="CO538" s="316">
        <f t="shared" si="462"/>
        <v>100</v>
      </c>
      <c r="CP538" s="315">
        <f t="shared" si="463"/>
        <v>0.22264</v>
      </c>
      <c r="CQ538" s="315">
        <f t="shared" si="464"/>
        <v>0.22264</v>
      </c>
      <c r="CR538" s="314">
        <f>SUM(CS538:CY538)</f>
        <v>0</v>
      </c>
      <c r="CS538" s="313">
        <v>0</v>
      </c>
      <c r="CT538" s="313">
        <v>0</v>
      </c>
      <c r="CU538" s="313">
        <v>0</v>
      </c>
      <c r="CV538" s="313">
        <v>0</v>
      </c>
      <c r="CW538" s="313">
        <v>0</v>
      </c>
      <c r="CX538" s="313">
        <v>0</v>
      </c>
      <c r="CY538" s="313">
        <v>0</v>
      </c>
      <c r="CZ538" s="315">
        <v>0</v>
      </c>
      <c r="DA538" s="315">
        <v>0</v>
      </c>
      <c r="DB538" s="315">
        <v>0</v>
      </c>
      <c r="DC538" s="315">
        <v>0</v>
      </c>
      <c r="DD538" s="315">
        <v>0</v>
      </c>
      <c r="DE538" s="315">
        <v>0</v>
      </c>
      <c r="DF538" s="315">
        <v>0</v>
      </c>
      <c r="DG538" s="315">
        <v>0</v>
      </c>
      <c r="DH538" s="315">
        <v>0</v>
      </c>
      <c r="DI538" s="315">
        <v>0</v>
      </c>
      <c r="DJ538" s="315">
        <v>0</v>
      </c>
      <c r="DK538" s="702">
        <f t="shared" si="446"/>
        <v>6000</v>
      </c>
      <c r="DL538" s="311">
        <f t="shared" si="465"/>
        <v>0.22264</v>
      </c>
      <c r="DM538" s="310">
        <f t="shared" si="466"/>
        <v>100</v>
      </c>
      <c r="DN538" s="309">
        <f t="shared" si="467"/>
        <v>100</v>
      </c>
      <c r="DO538" s="308">
        <f t="shared" si="468"/>
        <v>0.22264</v>
      </c>
      <c r="DP538" s="307">
        <f t="shared" si="473"/>
        <v>0.22264</v>
      </c>
      <c r="DQ538" s="306">
        <f t="shared" si="469"/>
        <v>0.22264</v>
      </c>
      <c r="DR538" s="305">
        <f t="shared" si="470"/>
        <v>1</v>
      </c>
      <c r="DS538" s="304">
        <f t="shared" si="471"/>
        <v>0</v>
      </c>
      <c r="DT538" s="581"/>
      <c r="DU538" s="581"/>
      <c r="DV538" s="581"/>
      <c r="DW538" s="581"/>
      <c r="DX538" s="581"/>
      <c r="DY538" s="581"/>
      <c r="DZ538" s="581"/>
      <c r="EA538" s="581"/>
      <c r="EB538" s="1405" t="s">
        <v>3254</v>
      </c>
      <c r="EC538" s="537">
        <v>250000000</v>
      </c>
      <c r="ED538" s="302"/>
      <c r="EE538" s="733">
        <v>0</v>
      </c>
      <c r="EF538" s="706"/>
    </row>
    <row r="539" spans="4:136" s="303" customFormat="1" ht="63.75" hidden="1">
      <c r="D539" s="520">
        <v>536</v>
      </c>
      <c r="E539" s="534">
        <v>625</v>
      </c>
      <c r="F539" s="336" t="s">
        <v>43</v>
      </c>
      <c r="G539" s="336" t="s">
        <v>15</v>
      </c>
      <c r="H539" s="336" t="s">
        <v>2658</v>
      </c>
      <c r="I539" s="336" t="s">
        <v>583</v>
      </c>
      <c r="J539" s="335" t="s">
        <v>1315</v>
      </c>
      <c r="K539" s="335" t="s">
        <v>1324</v>
      </c>
      <c r="L539" s="344" t="s">
        <v>1774</v>
      </c>
      <c r="M539" s="334" t="s">
        <v>1771</v>
      </c>
      <c r="N539" s="334">
        <v>0</v>
      </c>
      <c r="O539" s="333">
        <f t="shared" si="472"/>
        <v>5</v>
      </c>
      <c r="P539" s="332">
        <v>5</v>
      </c>
      <c r="Q539" s="343">
        <v>0.22264</v>
      </c>
      <c r="R539" s="342">
        <f t="shared" si="449"/>
        <v>0</v>
      </c>
      <c r="S539" s="341">
        <v>0</v>
      </c>
      <c r="T539" s="1363">
        <f t="shared" si="476"/>
        <v>0</v>
      </c>
      <c r="U539" s="676">
        <v>0</v>
      </c>
      <c r="V539" s="315">
        <f t="shared" si="477"/>
        <v>0</v>
      </c>
      <c r="W539" s="315">
        <f t="shared" si="436"/>
        <v>0</v>
      </c>
      <c r="X539" s="315">
        <f t="shared" si="450"/>
        <v>0</v>
      </c>
      <c r="Y539" s="315">
        <f t="shared" si="474"/>
        <v>0</v>
      </c>
      <c r="Z539" s="315">
        <f t="shared" si="451"/>
        <v>0</v>
      </c>
      <c r="AA539" s="315">
        <v>0</v>
      </c>
      <c r="AB539" s="315">
        <v>0</v>
      </c>
      <c r="AC539" s="315">
        <v>0</v>
      </c>
      <c r="AD539" s="315">
        <v>0</v>
      </c>
      <c r="AE539" s="315">
        <v>0</v>
      </c>
      <c r="AF539" s="315">
        <v>0</v>
      </c>
      <c r="AG539" s="315">
        <v>0</v>
      </c>
      <c r="AH539" s="315">
        <v>0</v>
      </c>
      <c r="AI539" s="315">
        <v>0</v>
      </c>
      <c r="AJ539" s="315">
        <v>0</v>
      </c>
      <c r="AK539" s="315">
        <v>0</v>
      </c>
      <c r="AL539" s="315">
        <v>0</v>
      </c>
      <c r="AM539" s="315">
        <v>0</v>
      </c>
      <c r="AN539" s="315">
        <v>0</v>
      </c>
      <c r="AO539" s="315">
        <v>0</v>
      </c>
      <c r="AP539" s="315">
        <v>0</v>
      </c>
      <c r="AQ539" s="315">
        <v>0</v>
      </c>
      <c r="AR539" s="315">
        <v>0</v>
      </c>
      <c r="AS539" s="315">
        <v>0</v>
      </c>
      <c r="AT539" s="329">
        <f t="shared" si="452"/>
        <v>0</v>
      </c>
      <c r="AU539" s="340">
        <v>0</v>
      </c>
      <c r="AV539" s="328">
        <f t="shared" si="478"/>
        <v>0</v>
      </c>
      <c r="AW539" s="679">
        <v>0</v>
      </c>
      <c r="AX539" s="327">
        <f t="shared" si="479"/>
        <v>0</v>
      </c>
      <c r="AY539" s="327">
        <f t="shared" si="439"/>
        <v>0</v>
      </c>
      <c r="AZ539" s="327">
        <f t="shared" si="453"/>
        <v>0</v>
      </c>
      <c r="BA539" s="327">
        <f t="shared" si="454"/>
        <v>0</v>
      </c>
      <c r="BB539" s="327">
        <f t="shared" si="455"/>
        <v>0</v>
      </c>
      <c r="BC539" s="327">
        <f>SUBTOTAL(9,BD539:BJ539)</f>
        <v>0</v>
      </c>
      <c r="BD539" s="327">
        <v>0</v>
      </c>
      <c r="BE539" s="327">
        <v>0</v>
      </c>
      <c r="BF539" s="327">
        <v>0</v>
      </c>
      <c r="BG539" s="327">
        <v>0</v>
      </c>
      <c r="BH539" s="327">
        <v>0</v>
      </c>
      <c r="BI539" s="327">
        <v>0</v>
      </c>
      <c r="BJ539" s="327">
        <v>0</v>
      </c>
      <c r="BK539" s="327">
        <v>0</v>
      </c>
      <c r="BL539" s="327">
        <v>0</v>
      </c>
      <c r="BM539" s="327">
        <v>0</v>
      </c>
      <c r="BN539" s="327">
        <v>0</v>
      </c>
      <c r="BO539" s="327">
        <v>0</v>
      </c>
      <c r="BP539" s="327">
        <v>0</v>
      </c>
      <c r="BQ539" s="327">
        <v>0</v>
      </c>
      <c r="BR539" s="327">
        <v>0</v>
      </c>
      <c r="BS539" s="327">
        <v>0</v>
      </c>
      <c r="BT539" s="327">
        <v>0</v>
      </c>
      <c r="BU539" s="327">
        <v>0</v>
      </c>
      <c r="BV539" s="326">
        <f t="shared" si="456"/>
        <v>0</v>
      </c>
      <c r="BW539" s="327">
        <v>0</v>
      </c>
      <c r="BX539" s="325">
        <f t="shared" si="480"/>
        <v>0</v>
      </c>
      <c r="BY539" s="327">
        <v>0</v>
      </c>
      <c r="BZ539" s="327">
        <v>0</v>
      </c>
      <c r="CA539" s="1392">
        <v>0</v>
      </c>
      <c r="CB539" s="324">
        <f t="shared" si="481"/>
        <v>0</v>
      </c>
      <c r="CC539" s="324">
        <f t="shared" si="442"/>
        <v>0</v>
      </c>
      <c r="CD539" s="323">
        <f t="shared" si="457"/>
        <v>0</v>
      </c>
      <c r="CE539" s="321">
        <f t="shared" si="458"/>
        <v>0</v>
      </c>
      <c r="CF539" s="322">
        <f t="shared" si="459"/>
        <v>0</v>
      </c>
      <c r="CG539" s="321">
        <f>(CC539*BV539)/100</f>
        <v>0</v>
      </c>
      <c r="CH539" s="320">
        <f t="shared" si="461"/>
        <v>0.22264</v>
      </c>
      <c r="CI539" s="319">
        <v>5</v>
      </c>
      <c r="CJ539" s="318">
        <f>IF($M539="M",0.25,(IF($P539&gt;0,CI539/$P539," ")))</f>
        <v>1</v>
      </c>
      <c r="CK539" s="1263">
        <v>2</v>
      </c>
      <c r="CL539" s="301">
        <f t="shared" si="433"/>
        <v>3</v>
      </c>
      <c r="CM539" s="317">
        <f t="shared" si="475"/>
        <v>2</v>
      </c>
      <c r="CN539" s="315">
        <f t="shared" si="445"/>
        <v>40</v>
      </c>
      <c r="CO539" s="316">
        <f t="shared" si="462"/>
        <v>40</v>
      </c>
      <c r="CP539" s="315">
        <f t="shared" si="463"/>
        <v>8.9055999999999996E-2</v>
      </c>
      <c r="CQ539" s="315">
        <f t="shared" si="464"/>
        <v>8.9055999999999996E-2</v>
      </c>
      <c r="CR539" s="314">
        <f>SUM(CS539:CY539)</f>
        <v>0</v>
      </c>
      <c r="CS539" s="313">
        <v>0</v>
      </c>
      <c r="CT539" s="313">
        <v>0</v>
      </c>
      <c r="CU539" s="313">
        <v>0</v>
      </c>
      <c r="CV539" s="313">
        <v>0</v>
      </c>
      <c r="CW539" s="313">
        <v>0</v>
      </c>
      <c r="CX539" s="313">
        <v>0</v>
      </c>
      <c r="CY539" s="313">
        <v>0</v>
      </c>
      <c r="CZ539" s="315">
        <v>0</v>
      </c>
      <c r="DA539" s="315">
        <v>0</v>
      </c>
      <c r="DB539" s="315">
        <v>0</v>
      </c>
      <c r="DC539" s="315">
        <v>0</v>
      </c>
      <c r="DD539" s="315">
        <v>0</v>
      </c>
      <c r="DE539" s="315">
        <v>0</v>
      </c>
      <c r="DF539" s="315">
        <v>0</v>
      </c>
      <c r="DG539" s="315">
        <v>0</v>
      </c>
      <c r="DH539" s="315">
        <v>0</v>
      </c>
      <c r="DI539" s="315">
        <v>0</v>
      </c>
      <c r="DJ539" s="315">
        <v>0</v>
      </c>
      <c r="DK539" s="702">
        <v>0</v>
      </c>
      <c r="DL539" s="311">
        <f t="shared" si="465"/>
        <v>0.22264</v>
      </c>
      <c r="DM539" s="310">
        <f t="shared" si="466"/>
        <v>0</v>
      </c>
      <c r="DN539" s="309">
        <f t="shared" si="467"/>
        <v>0</v>
      </c>
      <c r="DO539" s="308">
        <f t="shared" si="468"/>
        <v>0</v>
      </c>
      <c r="DP539" s="307">
        <f t="shared" si="473"/>
        <v>0</v>
      </c>
      <c r="DQ539" s="306">
        <f t="shared" si="469"/>
        <v>0</v>
      </c>
      <c r="DR539" s="305">
        <f t="shared" si="470"/>
        <v>1</v>
      </c>
      <c r="DS539" s="304">
        <f t="shared" si="471"/>
        <v>0</v>
      </c>
      <c r="DT539" s="581"/>
      <c r="DU539" s="581"/>
      <c r="DV539" s="581"/>
      <c r="DW539" s="581"/>
      <c r="DX539" s="581"/>
      <c r="DY539" s="581"/>
      <c r="DZ539" s="581"/>
      <c r="EA539" s="581"/>
      <c r="EB539" s="1405" t="s">
        <v>2605</v>
      </c>
      <c r="EC539" s="537">
        <v>6000000000</v>
      </c>
      <c r="ED539" s="302"/>
      <c r="EE539" s="734">
        <v>52</v>
      </c>
      <c r="EF539" s="706"/>
    </row>
    <row r="540" spans="4:136" s="303" customFormat="1" ht="63.75" hidden="1">
      <c r="D540" s="520">
        <v>537</v>
      </c>
      <c r="E540" s="535">
        <v>626</v>
      </c>
      <c r="F540" s="338" t="s">
        <v>43</v>
      </c>
      <c r="G540" s="338" t="s">
        <v>15</v>
      </c>
      <c r="H540" s="338" t="s">
        <v>2658</v>
      </c>
      <c r="I540" s="338" t="s">
        <v>583</v>
      </c>
      <c r="J540" s="568" t="s">
        <v>1316</v>
      </c>
      <c r="K540" s="568" t="s">
        <v>1325</v>
      </c>
      <c r="L540" s="1362" t="s">
        <v>1773</v>
      </c>
      <c r="M540" s="330" t="s">
        <v>1771</v>
      </c>
      <c r="N540" s="330">
        <v>0</v>
      </c>
      <c r="O540" s="339">
        <f t="shared" si="472"/>
        <v>5</v>
      </c>
      <c r="P540" s="569">
        <v>5</v>
      </c>
      <c r="Q540" s="1365">
        <v>0.22264</v>
      </c>
      <c r="R540" s="331">
        <f t="shared" si="449"/>
        <v>0</v>
      </c>
      <c r="S540" s="330">
        <v>0</v>
      </c>
      <c r="T540" s="1363">
        <f t="shared" si="476"/>
        <v>0</v>
      </c>
      <c r="U540" s="1373">
        <v>0</v>
      </c>
      <c r="V540" s="1374">
        <f t="shared" si="477"/>
        <v>0</v>
      </c>
      <c r="W540" s="1374">
        <f t="shared" si="436"/>
        <v>0</v>
      </c>
      <c r="X540" s="1374">
        <f t="shared" si="450"/>
        <v>0</v>
      </c>
      <c r="Y540" s="1374">
        <f t="shared" si="474"/>
        <v>0</v>
      </c>
      <c r="Z540" s="1374">
        <f t="shared" si="451"/>
        <v>0</v>
      </c>
      <c r="AA540" s="1374">
        <v>0</v>
      </c>
      <c r="AB540" s="1374">
        <v>0</v>
      </c>
      <c r="AC540" s="1374">
        <v>0</v>
      </c>
      <c r="AD540" s="1374">
        <v>0</v>
      </c>
      <c r="AE540" s="1374">
        <v>0</v>
      </c>
      <c r="AF540" s="1374">
        <v>0</v>
      </c>
      <c r="AG540" s="1374">
        <v>0</v>
      </c>
      <c r="AH540" s="1374">
        <v>0</v>
      </c>
      <c r="AI540" s="1374">
        <v>0</v>
      </c>
      <c r="AJ540" s="1374">
        <v>0</v>
      </c>
      <c r="AK540" s="1374">
        <v>0</v>
      </c>
      <c r="AL540" s="1374">
        <v>0</v>
      </c>
      <c r="AM540" s="1374">
        <v>0</v>
      </c>
      <c r="AN540" s="1374">
        <v>0</v>
      </c>
      <c r="AO540" s="1374">
        <v>0</v>
      </c>
      <c r="AP540" s="1374">
        <v>0</v>
      </c>
      <c r="AQ540" s="1374">
        <v>0</v>
      </c>
      <c r="AR540" s="1374">
        <v>0</v>
      </c>
      <c r="AS540" s="1374">
        <v>0</v>
      </c>
      <c r="AT540" s="329">
        <f t="shared" si="452"/>
        <v>0</v>
      </c>
      <c r="AU540" s="1376">
        <v>0</v>
      </c>
      <c r="AV540" s="328">
        <f t="shared" si="478"/>
        <v>0</v>
      </c>
      <c r="AW540" s="1378">
        <v>0</v>
      </c>
      <c r="AX540" s="1380">
        <f t="shared" si="479"/>
        <v>0</v>
      </c>
      <c r="AY540" s="1380">
        <f t="shared" si="439"/>
        <v>0</v>
      </c>
      <c r="AZ540" s="1380">
        <f t="shared" si="453"/>
        <v>0</v>
      </c>
      <c r="BA540" s="1380">
        <f t="shared" si="454"/>
        <v>0</v>
      </c>
      <c r="BB540" s="1380">
        <f t="shared" si="455"/>
        <v>0</v>
      </c>
      <c r="BC540" s="1380">
        <f>SUBTOTAL(9,BD540:BJ540)</f>
        <v>0</v>
      </c>
      <c r="BD540" s="1380">
        <v>0</v>
      </c>
      <c r="BE540" s="1380">
        <v>0</v>
      </c>
      <c r="BF540" s="1380">
        <v>0</v>
      </c>
      <c r="BG540" s="1380">
        <v>0</v>
      </c>
      <c r="BH540" s="1380">
        <v>0</v>
      </c>
      <c r="BI540" s="1380">
        <v>0</v>
      </c>
      <c r="BJ540" s="1380">
        <v>0</v>
      </c>
      <c r="BK540" s="1380">
        <v>0</v>
      </c>
      <c r="BL540" s="1380">
        <v>0</v>
      </c>
      <c r="BM540" s="1380">
        <v>0</v>
      </c>
      <c r="BN540" s="1380">
        <v>0</v>
      </c>
      <c r="BO540" s="1380">
        <v>0</v>
      </c>
      <c r="BP540" s="1380">
        <v>0</v>
      </c>
      <c r="BQ540" s="1380">
        <v>0</v>
      </c>
      <c r="BR540" s="1380">
        <v>0</v>
      </c>
      <c r="BS540" s="1380">
        <v>0</v>
      </c>
      <c r="BT540" s="1380">
        <v>0</v>
      </c>
      <c r="BU540" s="1380">
        <v>0</v>
      </c>
      <c r="BV540" s="326">
        <f t="shared" si="456"/>
        <v>0</v>
      </c>
      <c r="BW540" s="1380">
        <v>0</v>
      </c>
      <c r="BX540" s="325">
        <f t="shared" si="480"/>
        <v>0</v>
      </c>
      <c r="BY540" s="1380">
        <v>0</v>
      </c>
      <c r="BZ540" s="1380">
        <v>0</v>
      </c>
      <c r="CA540" s="1392">
        <v>0</v>
      </c>
      <c r="CB540" s="570">
        <f t="shared" si="481"/>
        <v>0</v>
      </c>
      <c r="CC540" s="570">
        <f t="shared" si="442"/>
        <v>0</v>
      </c>
      <c r="CD540" s="323">
        <f t="shared" si="457"/>
        <v>0</v>
      </c>
      <c r="CE540" s="321">
        <f t="shared" si="458"/>
        <v>0</v>
      </c>
      <c r="CF540" s="322">
        <f t="shared" si="459"/>
        <v>0</v>
      </c>
      <c r="CG540" s="321">
        <f>(CC540*BV540)/100</f>
        <v>0</v>
      </c>
      <c r="CH540" s="365">
        <f t="shared" si="461"/>
        <v>0.22264</v>
      </c>
      <c r="CI540" s="364">
        <v>5</v>
      </c>
      <c r="CJ540" s="363">
        <f>IF($M540="M",0.25,(IF($P540&gt;0,CI540/$P540," ")))</f>
        <v>1</v>
      </c>
      <c r="CK540" s="1263">
        <v>0</v>
      </c>
      <c r="CL540" s="571">
        <f t="shared" si="433"/>
        <v>5</v>
      </c>
      <c r="CM540" s="572">
        <f t="shared" si="475"/>
        <v>0</v>
      </c>
      <c r="CN540" s="1374">
        <f t="shared" si="445"/>
        <v>0</v>
      </c>
      <c r="CO540" s="573">
        <f t="shared" si="462"/>
        <v>0</v>
      </c>
      <c r="CP540" s="1374">
        <f t="shared" si="463"/>
        <v>0</v>
      </c>
      <c r="CQ540" s="1374">
        <f t="shared" si="464"/>
        <v>0</v>
      </c>
      <c r="CR540" s="1402">
        <f>SUM(CS540:CY540)</f>
        <v>0</v>
      </c>
      <c r="CS540" s="361">
        <v>0</v>
      </c>
      <c r="CT540" s="361">
        <v>0</v>
      </c>
      <c r="CU540" s="361">
        <v>0</v>
      </c>
      <c r="CV540" s="361">
        <v>0</v>
      </c>
      <c r="CW540" s="361">
        <v>0</v>
      </c>
      <c r="CX540" s="361">
        <v>0</v>
      </c>
      <c r="CY540" s="361">
        <v>0</v>
      </c>
      <c r="CZ540" s="1374">
        <v>0</v>
      </c>
      <c r="DA540" s="1374">
        <v>0</v>
      </c>
      <c r="DB540" s="1374">
        <v>0</v>
      </c>
      <c r="DC540" s="1374">
        <v>0</v>
      </c>
      <c r="DD540" s="1374">
        <v>0</v>
      </c>
      <c r="DE540" s="1374">
        <v>0</v>
      </c>
      <c r="DF540" s="1374">
        <v>0</v>
      </c>
      <c r="DG540" s="1374">
        <v>0</v>
      </c>
      <c r="DH540" s="1374">
        <v>0</v>
      </c>
      <c r="DI540" s="1374">
        <v>0</v>
      </c>
      <c r="DJ540" s="1374">
        <v>0</v>
      </c>
      <c r="DK540" s="705">
        <v>0</v>
      </c>
      <c r="DL540" s="574">
        <f t="shared" si="465"/>
        <v>0.22264</v>
      </c>
      <c r="DM540" s="575">
        <f t="shared" si="466"/>
        <v>0</v>
      </c>
      <c r="DN540" s="309">
        <f t="shared" si="467"/>
        <v>0</v>
      </c>
      <c r="DO540" s="576">
        <f t="shared" si="468"/>
        <v>0</v>
      </c>
      <c r="DP540" s="307">
        <f t="shared" si="473"/>
        <v>0</v>
      </c>
      <c r="DQ540" s="577">
        <f t="shared" si="469"/>
        <v>0</v>
      </c>
      <c r="DR540" s="305">
        <f t="shared" si="470"/>
        <v>1</v>
      </c>
      <c r="DS540" s="304">
        <f t="shared" si="471"/>
        <v>0</v>
      </c>
      <c r="DT540" s="581"/>
      <c r="DU540" s="581"/>
      <c r="DV540" s="581"/>
      <c r="DW540" s="581"/>
      <c r="DX540" s="581"/>
      <c r="DY540" s="581"/>
      <c r="DZ540" s="581"/>
      <c r="EA540" s="581"/>
      <c r="EB540" s="1405" t="s">
        <v>84</v>
      </c>
      <c r="EC540" s="537">
        <v>248670000000</v>
      </c>
      <c r="ED540" s="302"/>
      <c r="EE540" s="734">
        <v>1</v>
      </c>
      <c r="EF540" s="706"/>
    </row>
    <row r="541" spans="4:136" s="303" customFormat="1" ht="76.5" hidden="1">
      <c r="D541" s="520">
        <v>538</v>
      </c>
      <c r="E541" s="534">
        <v>627</v>
      </c>
      <c r="F541" s="336" t="s">
        <v>45</v>
      </c>
      <c r="G541" s="336" t="s">
        <v>15</v>
      </c>
      <c r="H541" s="479" t="s">
        <v>2672</v>
      </c>
      <c r="I541" s="336" t="s">
        <v>974</v>
      </c>
      <c r="J541" s="335" t="s">
        <v>1317</v>
      </c>
      <c r="K541" s="335" t="s">
        <v>1326</v>
      </c>
      <c r="L541" s="344" t="s">
        <v>1772</v>
      </c>
      <c r="M541" s="334" t="s">
        <v>1771</v>
      </c>
      <c r="N541" s="334">
        <v>0</v>
      </c>
      <c r="O541" s="333">
        <f t="shared" si="472"/>
        <v>5000</v>
      </c>
      <c r="P541" s="332">
        <v>5000</v>
      </c>
      <c r="Q541" s="427">
        <v>0.22264</v>
      </c>
      <c r="R541" s="342">
        <f t="shared" si="449"/>
        <v>0</v>
      </c>
      <c r="S541" s="334">
        <v>0</v>
      </c>
      <c r="T541" s="337">
        <f t="shared" si="476"/>
        <v>0</v>
      </c>
      <c r="U541" s="676">
        <v>0</v>
      </c>
      <c r="V541" s="315">
        <f t="shared" si="477"/>
        <v>0</v>
      </c>
      <c r="W541" s="315">
        <f t="shared" si="436"/>
        <v>0</v>
      </c>
      <c r="X541" s="315">
        <f t="shared" si="450"/>
        <v>0</v>
      </c>
      <c r="Y541" s="315">
        <f t="shared" si="474"/>
        <v>0</v>
      </c>
      <c r="Z541" s="315">
        <f t="shared" si="451"/>
        <v>0</v>
      </c>
      <c r="AA541" s="315">
        <v>0</v>
      </c>
      <c r="AB541" s="315">
        <v>0</v>
      </c>
      <c r="AC541" s="315">
        <v>0</v>
      </c>
      <c r="AD541" s="315">
        <v>0</v>
      </c>
      <c r="AE541" s="315">
        <v>0</v>
      </c>
      <c r="AF541" s="315">
        <v>0</v>
      </c>
      <c r="AG541" s="315">
        <v>0</v>
      </c>
      <c r="AH541" s="315">
        <v>0</v>
      </c>
      <c r="AI541" s="315">
        <v>0</v>
      </c>
      <c r="AJ541" s="315">
        <v>0</v>
      </c>
      <c r="AK541" s="315">
        <v>0</v>
      </c>
      <c r="AL541" s="315">
        <v>0</v>
      </c>
      <c r="AM541" s="315">
        <v>0</v>
      </c>
      <c r="AN541" s="315">
        <v>0</v>
      </c>
      <c r="AO541" s="315">
        <v>0</v>
      </c>
      <c r="AP541" s="315">
        <v>0</v>
      </c>
      <c r="AQ541" s="315">
        <v>0</v>
      </c>
      <c r="AR541" s="315">
        <v>0</v>
      </c>
      <c r="AS541" s="315">
        <v>0</v>
      </c>
      <c r="AT541" s="392">
        <f t="shared" si="452"/>
        <v>0</v>
      </c>
      <c r="AU541" s="340">
        <v>0</v>
      </c>
      <c r="AV541" s="387">
        <f t="shared" si="478"/>
        <v>0</v>
      </c>
      <c r="AW541" s="679">
        <v>0</v>
      </c>
      <c r="AX541" s="327">
        <f t="shared" si="479"/>
        <v>0</v>
      </c>
      <c r="AY541" s="327">
        <f t="shared" si="439"/>
        <v>0</v>
      </c>
      <c r="AZ541" s="327">
        <f t="shared" si="453"/>
        <v>0</v>
      </c>
      <c r="BA541" s="327">
        <f t="shared" si="454"/>
        <v>0</v>
      </c>
      <c r="BB541" s="327">
        <f t="shared" si="455"/>
        <v>0</v>
      </c>
      <c r="BC541" s="327">
        <f>SUBTOTAL(9,BD541:BJ541)</f>
        <v>0</v>
      </c>
      <c r="BD541" s="327">
        <v>0</v>
      </c>
      <c r="BE541" s="327">
        <v>0</v>
      </c>
      <c r="BF541" s="327">
        <v>0</v>
      </c>
      <c r="BG541" s="327">
        <v>0</v>
      </c>
      <c r="BH541" s="327">
        <v>0</v>
      </c>
      <c r="BI541" s="327">
        <v>0</v>
      </c>
      <c r="BJ541" s="327">
        <v>0</v>
      </c>
      <c r="BK541" s="327">
        <v>0</v>
      </c>
      <c r="BL541" s="327">
        <v>0</v>
      </c>
      <c r="BM541" s="327">
        <v>0</v>
      </c>
      <c r="BN541" s="327">
        <v>0</v>
      </c>
      <c r="BO541" s="327">
        <v>0</v>
      </c>
      <c r="BP541" s="327">
        <v>0</v>
      </c>
      <c r="BQ541" s="327">
        <v>0</v>
      </c>
      <c r="BR541" s="327">
        <v>0</v>
      </c>
      <c r="BS541" s="327">
        <v>0</v>
      </c>
      <c r="BT541" s="327">
        <v>0</v>
      </c>
      <c r="BU541" s="327">
        <v>0</v>
      </c>
      <c r="BV541" s="350">
        <f t="shared" si="456"/>
        <v>0</v>
      </c>
      <c r="BW541" s="327">
        <v>0</v>
      </c>
      <c r="BX541" s="385">
        <f t="shared" si="480"/>
        <v>0</v>
      </c>
      <c r="BY541" s="327">
        <v>0</v>
      </c>
      <c r="BZ541" s="327">
        <v>0</v>
      </c>
      <c r="CA541" s="698">
        <v>0</v>
      </c>
      <c r="CB541" s="578">
        <f t="shared" si="481"/>
        <v>0</v>
      </c>
      <c r="CC541" s="578">
        <f t="shared" si="442"/>
        <v>0</v>
      </c>
      <c r="CD541" s="578">
        <f t="shared" si="457"/>
        <v>0</v>
      </c>
      <c r="CE541" s="382">
        <f t="shared" si="458"/>
        <v>0</v>
      </c>
      <c r="CF541" s="579">
        <f t="shared" si="459"/>
        <v>0</v>
      </c>
      <c r="CG541" s="382">
        <f>(CC541*BV541)/100</f>
        <v>0</v>
      </c>
      <c r="CH541" s="320">
        <f t="shared" si="461"/>
        <v>0.22264</v>
      </c>
      <c r="CI541" s="319">
        <v>5000</v>
      </c>
      <c r="CJ541" s="318">
        <f>IF($M541="M",0.25,(IF($P541&gt;0,CI541/$P541," ")))</f>
        <v>1</v>
      </c>
      <c r="CK541" s="1399">
        <v>5000</v>
      </c>
      <c r="CL541" s="582">
        <f t="shared" si="433"/>
        <v>0</v>
      </c>
      <c r="CM541" s="317">
        <f t="shared" si="475"/>
        <v>5000</v>
      </c>
      <c r="CN541" s="315">
        <f t="shared" si="445"/>
        <v>100</v>
      </c>
      <c r="CO541" s="317">
        <f t="shared" si="462"/>
        <v>100</v>
      </c>
      <c r="CP541" s="315">
        <f t="shared" si="463"/>
        <v>0.22264</v>
      </c>
      <c r="CQ541" s="315">
        <f t="shared" si="464"/>
        <v>0.22264</v>
      </c>
      <c r="CR541" s="314">
        <f>SUM(CS541:CY541)</f>
        <v>0</v>
      </c>
      <c r="CS541" s="313">
        <v>0</v>
      </c>
      <c r="CT541" s="313">
        <v>0</v>
      </c>
      <c r="CU541" s="313">
        <v>0</v>
      </c>
      <c r="CV541" s="313">
        <v>0</v>
      </c>
      <c r="CW541" s="313">
        <v>0</v>
      </c>
      <c r="CX541" s="313">
        <v>0</v>
      </c>
      <c r="CY541" s="313">
        <v>0</v>
      </c>
      <c r="CZ541" s="315">
        <v>0</v>
      </c>
      <c r="DA541" s="315">
        <v>0</v>
      </c>
      <c r="DB541" s="315">
        <v>0</v>
      </c>
      <c r="DC541" s="315">
        <v>0</v>
      </c>
      <c r="DD541" s="315">
        <v>0</v>
      </c>
      <c r="DE541" s="315">
        <v>0</v>
      </c>
      <c r="DF541" s="315">
        <v>0</v>
      </c>
      <c r="DG541" s="315">
        <v>0</v>
      </c>
      <c r="DH541" s="315">
        <v>0</v>
      </c>
      <c r="DI541" s="315">
        <v>0</v>
      </c>
      <c r="DJ541" s="315">
        <v>0</v>
      </c>
      <c r="DK541" s="702">
        <f>+IF(M541="I",(+U541+AW541+CA541+CK541),IF(M541="M",(+U541+AW541+CA541+CK541)/4,))</f>
        <v>5000</v>
      </c>
      <c r="DL541" s="359">
        <f t="shared" si="465"/>
        <v>0.22264</v>
      </c>
      <c r="DM541" s="356">
        <f t="shared" si="466"/>
        <v>100</v>
      </c>
      <c r="DN541" s="356">
        <f t="shared" si="467"/>
        <v>100</v>
      </c>
      <c r="DO541" s="580">
        <f t="shared" si="468"/>
        <v>0.22264</v>
      </c>
      <c r="DP541" s="359">
        <f t="shared" si="473"/>
        <v>0.22264</v>
      </c>
      <c r="DQ541" s="577">
        <f t="shared" si="469"/>
        <v>0.22264</v>
      </c>
      <c r="DR541" s="379">
        <f t="shared" si="470"/>
        <v>1</v>
      </c>
      <c r="DS541" s="378">
        <f t="shared" si="471"/>
        <v>0</v>
      </c>
      <c r="DT541" s="581"/>
      <c r="DU541" s="581"/>
      <c r="DV541" s="581"/>
      <c r="DW541" s="581"/>
      <c r="DX541" s="581"/>
      <c r="DY541" s="581"/>
      <c r="DZ541" s="581"/>
      <c r="EA541" s="666"/>
      <c r="EB541" s="1256" t="s">
        <v>2606</v>
      </c>
      <c r="EC541" s="537">
        <v>59000000000</v>
      </c>
      <c r="ED541" s="302"/>
      <c r="EE541" s="734">
        <v>1</v>
      </c>
      <c r="EF541" s="706"/>
    </row>
    <row r="542" spans="4:136" s="709" customFormat="1" hidden="1">
      <c r="M542" s="710"/>
      <c r="O542" s="709">
        <f>SUM(O5:O541)</f>
        <v>10559043.859999999</v>
      </c>
      <c r="P542" s="709">
        <f>SUM(P5:P541)</f>
        <v>4542230.5999999996</v>
      </c>
      <c r="Q542" s="709">
        <f>SUM(Q5:Q541)</f>
        <v>100.00480000000037</v>
      </c>
      <c r="U542" s="709">
        <f>SUM(U5:U541)</f>
        <v>1484649.3800000004</v>
      </c>
      <c r="V542" s="711"/>
      <c r="W542" s="711"/>
      <c r="X542" s="711"/>
      <c r="Y542" s="711"/>
      <c r="Z542" s="711"/>
      <c r="AU542" s="713"/>
      <c r="AW542" s="709">
        <f>SUM(AW5:AW541)</f>
        <v>1694435.1350000005</v>
      </c>
      <c r="BY542" s="714"/>
      <c r="BZ542" s="715"/>
      <c r="CA542" s="709">
        <f>SUM(CA5:CA541)</f>
        <v>2286011.7528959876</v>
      </c>
      <c r="CB542" s="717"/>
      <c r="CC542" s="717"/>
      <c r="CD542" s="717"/>
      <c r="CE542" s="717"/>
      <c r="CF542" s="717"/>
      <c r="CG542" s="717"/>
      <c r="CH542" s="717"/>
      <c r="CI542" s="718"/>
      <c r="CJ542" s="718"/>
      <c r="CK542" s="709">
        <f>SUM(CK5:CK541)</f>
        <v>1791093.1290000009</v>
      </c>
      <c r="CL542" s="718"/>
      <c r="CM542" s="717"/>
      <c r="CN542" s="717"/>
      <c r="CO542" s="717"/>
      <c r="CP542" s="717"/>
      <c r="CQ542" s="717"/>
      <c r="CR542" s="717"/>
      <c r="CS542" s="717"/>
      <c r="CT542" s="717"/>
      <c r="CU542" s="717"/>
      <c r="CV542" s="717"/>
      <c r="CW542" s="717"/>
      <c r="CX542" s="717"/>
      <c r="CY542" s="717"/>
      <c r="CZ542" s="717"/>
      <c r="DA542" s="717"/>
      <c r="DB542" s="717"/>
      <c r="DC542" s="717"/>
      <c r="DD542" s="717"/>
      <c r="DE542" s="717"/>
      <c r="DF542" s="717"/>
      <c r="DG542" s="717"/>
      <c r="DH542" s="717"/>
      <c r="DI542" s="717"/>
      <c r="DJ542" s="717"/>
      <c r="DM542" s="711"/>
      <c r="DN542" s="711"/>
      <c r="DO542" s="711"/>
      <c r="DP542" s="711"/>
      <c r="DQ542" s="928">
        <f>SUM(DQ5:DQ541)</f>
        <v>94.284661843262214</v>
      </c>
      <c r="EB542" s="719"/>
      <c r="EF542" s="706"/>
    </row>
    <row r="543" spans="4:136" s="709" customFormat="1" hidden="1">
      <c r="M543" s="710"/>
      <c r="P543" s="711"/>
      <c r="Q543" s="712"/>
      <c r="U543" s="711"/>
      <c r="V543" s="711"/>
      <c r="W543" s="711"/>
      <c r="X543" s="711"/>
      <c r="Y543" s="711"/>
      <c r="Z543" s="711"/>
      <c r="AU543" s="713"/>
      <c r="AW543" s="712"/>
      <c r="BY543" s="714"/>
      <c r="BZ543" s="715"/>
      <c r="CA543" s="716"/>
      <c r="CB543" s="717"/>
      <c r="CC543" s="717"/>
      <c r="CD543" s="717"/>
      <c r="CE543" s="717"/>
      <c r="CF543" s="717"/>
      <c r="CG543" s="717"/>
      <c r="CH543" s="717"/>
      <c r="CI543" s="717"/>
      <c r="CJ543" s="717"/>
      <c r="CK543" s="717"/>
      <c r="CL543" s="717"/>
      <c r="CM543" s="717"/>
      <c r="CN543" s="717"/>
      <c r="CO543" s="717"/>
      <c r="CP543" s="717"/>
      <c r="CQ543" s="717"/>
      <c r="CR543" s="717"/>
      <c r="CS543" s="717"/>
      <c r="CT543" s="717"/>
      <c r="CU543" s="717"/>
      <c r="CV543" s="717"/>
      <c r="CW543" s="717"/>
      <c r="CX543" s="717"/>
      <c r="CY543" s="717"/>
      <c r="CZ543" s="717"/>
      <c r="DA543" s="717"/>
      <c r="DB543" s="717"/>
      <c r="DC543" s="717"/>
      <c r="DD543" s="717"/>
      <c r="DE543" s="717"/>
      <c r="DF543" s="717"/>
      <c r="DG543" s="717"/>
      <c r="DH543" s="717"/>
      <c r="DI543" s="717"/>
      <c r="DJ543" s="717"/>
      <c r="DM543" s="711"/>
      <c r="DN543" s="711"/>
      <c r="DO543" s="711"/>
      <c r="DP543" s="711"/>
      <c r="DQ543" s="711"/>
      <c r="EB543" s="719"/>
    </row>
    <row r="544" spans="4:136" s="709" customFormat="1" hidden="1">
      <c r="M544" s="710"/>
      <c r="P544" s="711"/>
      <c r="Q544" s="712"/>
      <c r="U544" s="711"/>
      <c r="V544" s="711"/>
      <c r="W544" s="711"/>
      <c r="X544" s="711"/>
      <c r="Y544" s="711"/>
      <c r="Z544" s="711"/>
      <c r="AU544" s="713"/>
      <c r="AW544" s="712"/>
      <c r="BY544" s="714"/>
      <c r="BZ544" s="715"/>
      <c r="CA544" s="716"/>
      <c r="CB544" s="717"/>
      <c r="CC544" s="717"/>
      <c r="CD544" s="717"/>
      <c r="CE544" s="717"/>
      <c r="CF544" s="717"/>
      <c r="CG544" s="717"/>
      <c r="CH544" s="717"/>
      <c r="CI544" s="717"/>
      <c r="CJ544" s="717"/>
      <c r="CK544" s="717"/>
      <c r="CL544" s="717"/>
      <c r="CM544" s="717"/>
      <c r="CN544" s="717"/>
      <c r="CO544" s="717"/>
      <c r="CP544" s="717"/>
      <c r="CQ544" s="717"/>
      <c r="CR544" s="717"/>
      <c r="CS544" s="717"/>
      <c r="CT544" s="717"/>
      <c r="CU544" s="717"/>
      <c r="CV544" s="717"/>
      <c r="CW544" s="717"/>
      <c r="CX544" s="717"/>
      <c r="CY544" s="717"/>
      <c r="CZ544" s="717"/>
      <c r="DA544" s="717"/>
      <c r="DB544" s="717"/>
      <c r="DC544" s="717"/>
      <c r="DD544" s="717"/>
      <c r="DE544" s="717"/>
      <c r="DF544" s="717"/>
      <c r="DG544" s="717"/>
      <c r="DH544" s="717"/>
      <c r="DI544" s="717"/>
      <c r="DJ544" s="717"/>
      <c r="DM544" s="711"/>
      <c r="DN544" s="711"/>
      <c r="DO544" s="711"/>
      <c r="DP544" s="711"/>
      <c r="DQ544" s="711"/>
      <c r="EB544" s="719"/>
    </row>
    <row r="545" spans="5:132" s="709" customFormat="1" hidden="1">
      <c r="M545" s="710"/>
      <c r="P545" s="711"/>
      <c r="Q545" s="712"/>
      <c r="U545" s="711"/>
      <c r="V545" s="711"/>
      <c r="W545" s="711"/>
      <c r="X545" s="711"/>
      <c r="Y545" s="711"/>
      <c r="Z545" s="711"/>
      <c r="AU545" s="713"/>
      <c r="AW545" s="712"/>
      <c r="BY545" s="714"/>
      <c r="BZ545" s="715"/>
      <c r="CA545" s="716"/>
      <c r="CB545" s="717"/>
      <c r="CC545" s="717"/>
      <c r="CD545" s="717"/>
      <c r="CE545" s="717"/>
      <c r="CF545" s="717"/>
      <c r="CG545" s="717"/>
      <c r="CH545" s="717"/>
      <c r="CI545" s="717"/>
      <c r="CJ545" s="717"/>
      <c r="CK545" s="717"/>
      <c r="CL545" s="717"/>
      <c r="CM545" s="717"/>
      <c r="CN545" s="717"/>
      <c r="CO545" s="717"/>
      <c r="CP545" s="717"/>
      <c r="CQ545" s="717"/>
      <c r="CR545" s="717"/>
      <c r="CS545" s="717"/>
      <c r="CT545" s="717"/>
      <c r="CU545" s="717"/>
      <c r="CV545" s="717"/>
      <c r="CW545" s="717"/>
      <c r="CX545" s="717"/>
      <c r="CY545" s="717"/>
      <c r="CZ545" s="717"/>
      <c r="DA545" s="717"/>
      <c r="DB545" s="717"/>
      <c r="DC545" s="717"/>
      <c r="DD545" s="717"/>
      <c r="DE545" s="717"/>
      <c r="DF545" s="717"/>
      <c r="DG545" s="717"/>
      <c r="DH545" s="717"/>
      <c r="DI545" s="717"/>
      <c r="DJ545" s="717"/>
      <c r="DM545" s="711"/>
      <c r="DN545" s="711"/>
      <c r="DO545" s="711"/>
      <c r="DP545" s="711"/>
      <c r="DQ545" s="711"/>
      <c r="EB545" s="719"/>
    </row>
    <row r="546" spans="5:132" s="709" customFormat="1" hidden="1">
      <c r="M546" s="710"/>
      <c r="P546" s="711"/>
      <c r="Q546" s="712"/>
      <c r="T546" s="763"/>
      <c r="U546" s="711"/>
      <c r="V546" s="711"/>
      <c r="W546" s="711"/>
      <c r="X546" s="711"/>
      <c r="Y546" s="711"/>
      <c r="Z546" s="711"/>
      <c r="AU546" s="713"/>
      <c r="AW546" s="712"/>
      <c r="BY546" s="714"/>
      <c r="BZ546" s="715"/>
      <c r="CA546" s="716"/>
      <c r="CB546" s="717"/>
      <c r="CC546" s="717"/>
      <c r="CD546" s="717"/>
      <c r="CE546" s="717"/>
      <c r="CF546" s="717"/>
      <c r="CG546" s="717"/>
      <c r="CH546" s="717"/>
      <c r="CI546" s="717"/>
      <c r="CJ546" s="717"/>
      <c r="CK546" s="717"/>
      <c r="CL546" s="717"/>
      <c r="CM546" s="717"/>
      <c r="CN546" s="717"/>
      <c r="CO546" s="717"/>
      <c r="CP546" s="717"/>
      <c r="CQ546" s="717"/>
      <c r="CR546" s="717"/>
      <c r="CS546" s="717"/>
      <c r="CT546" s="717"/>
      <c r="CU546" s="717"/>
      <c r="CV546" s="717"/>
      <c r="CW546" s="717"/>
      <c r="CX546" s="717"/>
      <c r="CY546" s="717"/>
      <c r="CZ546" s="717"/>
      <c r="DA546" s="717"/>
      <c r="DB546" s="717"/>
      <c r="DC546" s="717"/>
      <c r="DD546" s="717"/>
      <c r="DE546" s="717"/>
      <c r="DF546" s="717"/>
      <c r="DG546" s="717"/>
      <c r="DH546" s="717"/>
      <c r="DI546" s="717"/>
      <c r="DJ546" s="717"/>
      <c r="DM546" s="711"/>
      <c r="DN546" s="711"/>
      <c r="DO546" s="711"/>
      <c r="DP546" s="711"/>
      <c r="DQ546" s="711"/>
      <c r="EB546" s="719"/>
    </row>
    <row r="547" spans="5:132" s="709" customFormat="1" hidden="1">
      <c r="M547" s="710"/>
      <c r="P547" s="711"/>
      <c r="Q547" s="712"/>
      <c r="T547" s="387"/>
      <c r="U547" s="711"/>
      <c r="V547" s="711"/>
      <c r="W547" s="711"/>
      <c r="X547" s="711"/>
      <c r="Y547" s="711"/>
      <c r="Z547" s="711"/>
      <c r="AU547" s="713"/>
      <c r="AW547" s="712"/>
      <c r="BY547" s="714"/>
      <c r="BZ547" s="715"/>
      <c r="CA547" s="716"/>
      <c r="CB547" s="717"/>
      <c r="CC547" s="717"/>
      <c r="CD547" s="717"/>
      <c r="CE547" s="717"/>
      <c r="CF547" s="717"/>
      <c r="CG547" s="717"/>
      <c r="CH547" s="717"/>
      <c r="CI547" s="717"/>
      <c r="CJ547" s="717"/>
      <c r="CK547" s="717"/>
      <c r="CL547" s="717"/>
      <c r="CM547" s="717"/>
      <c r="CN547" s="717"/>
      <c r="CO547" s="717"/>
      <c r="CP547" s="717"/>
      <c r="CQ547" s="717"/>
      <c r="CR547" s="717"/>
      <c r="CS547" s="717"/>
      <c r="CT547" s="717"/>
      <c r="CU547" s="717"/>
      <c r="CV547" s="717"/>
      <c r="CW547" s="717"/>
      <c r="CX547" s="717"/>
      <c r="CY547" s="717"/>
      <c r="CZ547" s="717"/>
      <c r="DA547" s="717"/>
      <c r="DB547" s="717"/>
      <c r="DC547" s="717"/>
      <c r="DD547" s="717"/>
      <c r="DE547" s="717"/>
      <c r="DF547" s="717"/>
      <c r="DG547" s="717"/>
      <c r="DH547" s="717"/>
      <c r="DI547" s="717"/>
      <c r="DJ547" s="717"/>
      <c r="DM547" s="711"/>
      <c r="DN547" s="711"/>
      <c r="DO547" s="711"/>
      <c r="DP547" s="711"/>
      <c r="DQ547" s="711"/>
      <c r="EB547" s="719"/>
    </row>
    <row r="548" spans="5:132" s="709" customFormat="1" hidden="1">
      <c r="M548" s="710"/>
      <c r="P548" s="711"/>
      <c r="Q548" s="712"/>
      <c r="U548" s="711"/>
      <c r="V548" s="711"/>
      <c r="W548" s="711"/>
      <c r="X548" s="711"/>
      <c r="Y548" s="711"/>
      <c r="Z548" s="711"/>
      <c r="AU548" s="713"/>
      <c r="AW548" s="712"/>
      <c r="BY548" s="714"/>
      <c r="BZ548" s="715"/>
      <c r="CA548" s="716"/>
      <c r="CB548" s="717"/>
      <c r="CC548" s="717"/>
      <c r="CD548" s="717"/>
      <c r="CE548" s="717"/>
      <c r="CF548" s="717"/>
      <c r="CG548" s="717"/>
      <c r="CH548" s="717"/>
      <c r="CI548" s="717"/>
      <c r="CJ548" s="717"/>
      <c r="CK548" s="717"/>
      <c r="CL548" s="717"/>
      <c r="CM548" s="717"/>
      <c r="CN548" s="717"/>
      <c r="CO548" s="717"/>
      <c r="CP548" s="717"/>
      <c r="CQ548" s="717"/>
      <c r="CR548" s="717"/>
      <c r="CS548" s="717"/>
      <c r="CT548" s="717"/>
      <c r="CU548" s="717"/>
      <c r="CV548" s="717"/>
      <c r="CW548" s="717"/>
      <c r="CX548" s="717"/>
      <c r="CY548" s="717"/>
      <c r="CZ548" s="717"/>
      <c r="DA548" s="717"/>
      <c r="DB548" s="717"/>
      <c r="DC548" s="717"/>
      <c r="DD548" s="717"/>
      <c r="DE548" s="717"/>
      <c r="DF548" s="717"/>
      <c r="DG548" s="717"/>
      <c r="DH548" s="717"/>
      <c r="DI548" s="717"/>
      <c r="DJ548" s="717"/>
      <c r="DM548" s="711"/>
      <c r="DN548" s="711"/>
      <c r="DO548" s="711"/>
      <c r="DP548" s="711"/>
      <c r="DQ548" s="711"/>
      <c r="EB548" s="719"/>
    </row>
    <row r="549" spans="5:132" s="709" customFormat="1" hidden="1">
      <c r="M549" s="710"/>
      <c r="P549" s="711"/>
      <c r="Q549" s="712"/>
      <c r="U549" s="711"/>
      <c r="V549" s="711"/>
      <c r="W549" s="711"/>
      <c r="X549" s="711"/>
      <c r="Y549" s="711"/>
      <c r="Z549" s="711"/>
      <c r="AU549" s="713"/>
      <c r="AW549" s="712"/>
      <c r="BY549" s="714"/>
      <c r="BZ549" s="715"/>
      <c r="CA549" s="716"/>
      <c r="CB549" s="717"/>
      <c r="CC549" s="717"/>
      <c r="CD549" s="717"/>
      <c r="CE549" s="717"/>
      <c r="CF549" s="717"/>
      <c r="CG549" s="717"/>
      <c r="CH549" s="717"/>
      <c r="CI549" s="717"/>
      <c r="CJ549" s="717"/>
      <c r="CK549" s="717"/>
      <c r="CL549" s="717"/>
      <c r="CM549" s="717"/>
      <c r="CN549" s="717"/>
      <c r="CO549" s="717"/>
      <c r="CP549" s="717"/>
      <c r="CQ549" s="717"/>
      <c r="CR549" s="717"/>
      <c r="CS549" s="717"/>
      <c r="CT549" s="717"/>
      <c r="CU549" s="717"/>
      <c r="CV549" s="717"/>
      <c r="CW549" s="717"/>
      <c r="CX549" s="717"/>
      <c r="CY549" s="717"/>
      <c r="CZ549" s="717"/>
      <c r="DA549" s="717"/>
      <c r="DB549" s="717"/>
      <c r="DC549" s="717"/>
      <c r="DD549" s="717"/>
      <c r="DE549" s="717"/>
      <c r="DF549" s="717"/>
      <c r="DG549" s="717"/>
      <c r="DH549" s="717"/>
      <c r="DI549" s="717"/>
      <c r="DJ549" s="717"/>
      <c r="DM549" s="711"/>
      <c r="DN549" s="711"/>
      <c r="DO549" s="711"/>
      <c r="DP549" s="711"/>
      <c r="DQ549" s="711"/>
      <c r="EB549" s="719"/>
    </row>
    <row r="550" spans="5:132" s="709" customFormat="1" hidden="1">
      <c r="M550" s="710"/>
      <c r="P550" s="711"/>
      <c r="Q550" s="712"/>
      <c r="U550" s="711"/>
      <c r="V550" s="711"/>
      <c r="W550" s="711"/>
      <c r="X550" s="711"/>
      <c r="Y550" s="711"/>
      <c r="Z550" s="711"/>
      <c r="AU550" s="713"/>
      <c r="AW550" s="712"/>
      <c r="BY550" s="714"/>
      <c r="BZ550" s="715"/>
      <c r="CA550" s="716"/>
      <c r="CB550" s="717"/>
      <c r="CC550" s="717"/>
      <c r="CD550" s="717"/>
      <c r="CE550" s="717"/>
      <c r="CF550" s="717"/>
      <c r="CG550" s="717"/>
      <c r="CH550" s="717"/>
      <c r="CI550" s="717"/>
      <c r="CJ550" s="717"/>
      <c r="CK550" s="717"/>
      <c r="CL550" s="717"/>
      <c r="CM550" s="717"/>
      <c r="CN550" s="717"/>
      <c r="CO550" s="717"/>
      <c r="CP550" s="717"/>
      <c r="CQ550" s="717"/>
      <c r="CR550" s="717"/>
      <c r="CS550" s="717"/>
      <c r="CT550" s="717"/>
      <c r="CU550" s="717"/>
      <c r="CV550" s="717"/>
      <c r="CW550" s="717"/>
      <c r="CX550" s="717"/>
      <c r="CY550" s="717"/>
      <c r="CZ550" s="717"/>
      <c r="DA550" s="717"/>
      <c r="DB550" s="717"/>
      <c r="DC550" s="717"/>
      <c r="DD550" s="717"/>
      <c r="DE550" s="717"/>
      <c r="DF550" s="717"/>
      <c r="DG550" s="717"/>
      <c r="DH550" s="717"/>
      <c r="DI550" s="717"/>
      <c r="DJ550" s="717"/>
      <c r="DM550" s="711"/>
      <c r="DN550" s="711"/>
      <c r="DO550" s="711"/>
      <c r="DP550" s="711"/>
      <c r="DQ550" s="711"/>
      <c r="EB550" s="719"/>
    </row>
    <row r="551" spans="5:132" s="709" customFormat="1" hidden="1">
      <c r="M551" s="710"/>
      <c r="P551" s="711"/>
      <c r="Q551" s="712"/>
      <c r="U551" s="711"/>
      <c r="V551" s="711"/>
      <c r="W551" s="711"/>
      <c r="X551" s="711"/>
      <c r="Y551" s="711"/>
      <c r="Z551" s="711"/>
      <c r="AU551" s="713"/>
      <c r="AW551" s="712"/>
      <c r="BY551" s="714"/>
      <c r="BZ551" s="715"/>
      <c r="CA551" s="716"/>
      <c r="CB551" s="717"/>
      <c r="CC551" s="717"/>
      <c r="CD551" s="717"/>
      <c r="CE551" s="717"/>
      <c r="CF551" s="717"/>
      <c r="CG551" s="717"/>
      <c r="CH551" s="717"/>
      <c r="CI551" s="717"/>
      <c r="CJ551" s="717"/>
      <c r="CK551" s="717"/>
      <c r="CL551" s="717"/>
      <c r="CM551" s="717"/>
      <c r="CN551" s="717"/>
      <c r="CO551" s="717"/>
      <c r="CP551" s="717"/>
      <c r="CQ551" s="717"/>
      <c r="CR551" s="717"/>
      <c r="CS551" s="717"/>
      <c r="CT551" s="717"/>
      <c r="CU551" s="717"/>
      <c r="CV551" s="717"/>
      <c r="CW551" s="717"/>
      <c r="CX551" s="717"/>
      <c r="CY551" s="717"/>
      <c r="CZ551" s="717"/>
      <c r="DA551" s="717"/>
      <c r="DB551" s="717"/>
      <c r="DC551" s="717"/>
      <c r="DD551" s="717"/>
      <c r="DE551" s="717"/>
      <c r="DF551" s="717"/>
      <c r="DG551" s="717"/>
      <c r="DH551" s="717"/>
      <c r="DI551" s="717"/>
      <c r="DJ551" s="717"/>
      <c r="DM551" s="711"/>
      <c r="DN551" s="711"/>
      <c r="DO551" s="711"/>
      <c r="DP551" s="711"/>
      <c r="DQ551" s="711"/>
      <c r="EB551" s="719"/>
    </row>
    <row r="552" spans="5:132" s="709" customFormat="1" hidden="1">
      <c r="M552" s="710"/>
      <c r="P552" s="711"/>
      <c r="Q552" s="712"/>
      <c r="U552" s="711"/>
      <c r="V552" s="711"/>
      <c r="W552" s="711"/>
      <c r="X552" s="711"/>
      <c r="Y552" s="711"/>
      <c r="Z552" s="711"/>
      <c r="AU552" s="713"/>
      <c r="AW552" s="712"/>
      <c r="BY552" s="714"/>
      <c r="BZ552" s="715"/>
      <c r="CA552" s="716"/>
      <c r="CB552" s="717"/>
      <c r="CC552" s="717"/>
      <c r="CD552" s="717"/>
      <c r="CE552" s="717"/>
      <c r="CF552" s="717"/>
      <c r="CG552" s="717"/>
      <c r="CH552" s="717"/>
      <c r="CI552" s="717"/>
      <c r="CJ552" s="717"/>
      <c r="CK552" s="717"/>
      <c r="CL552" s="717"/>
      <c r="CM552" s="717"/>
      <c r="CN552" s="717"/>
      <c r="CO552" s="717"/>
      <c r="CP552" s="717"/>
      <c r="CQ552" s="717"/>
      <c r="CR552" s="717"/>
      <c r="CS552" s="717"/>
      <c r="CT552" s="717"/>
      <c r="CU552" s="717"/>
      <c r="CV552" s="717"/>
      <c r="CW552" s="717"/>
      <c r="CX552" s="717"/>
      <c r="CY552" s="717"/>
      <c r="CZ552" s="717"/>
      <c r="DA552" s="717"/>
      <c r="DB552" s="717"/>
      <c r="DC552" s="717"/>
      <c r="DD552" s="717"/>
      <c r="DE552" s="717"/>
      <c r="DF552" s="717"/>
      <c r="DG552" s="717"/>
      <c r="DH552" s="717"/>
      <c r="DI552" s="717"/>
      <c r="DJ552" s="717"/>
      <c r="DM552" s="711"/>
      <c r="DN552" s="711"/>
      <c r="DO552" s="711"/>
      <c r="DP552" s="711"/>
      <c r="DQ552" s="711"/>
      <c r="EB552" s="719"/>
    </row>
    <row r="553" spans="5:132" s="709" customFormat="1" hidden="1">
      <c r="E553" s="720"/>
      <c r="M553" s="710"/>
      <c r="P553" s="711"/>
      <c r="Q553" s="712"/>
      <c r="U553" s="711"/>
      <c r="V553" s="711"/>
      <c r="W553" s="711"/>
      <c r="X553" s="711"/>
      <c r="Y553" s="711"/>
      <c r="Z553" s="711"/>
      <c r="AU553" s="713"/>
      <c r="AW553" s="712"/>
      <c r="BY553" s="714"/>
      <c r="BZ553" s="715"/>
      <c r="CA553" s="716"/>
      <c r="CB553" s="717"/>
      <c r="CC553" s="717"/>
      <c r="CD553" s="717"/>
      <c r="CE553" s="717"/>
      <c r="CF553" s="717"/>
      <c r="CG553" s="717"/>
      <c r="CH553" s="717"/>
      <c r="CI553" s="717"/>
      <c r="CJ553" s="717"/>
      <c r="CK553" s="717"/>
      <c r="CL553" s="717"/>
      <c r="CM553" s="717"/>
      <c r="CN553" s="717"/>
      <c r="CO553" s="717"/>
      <c r="CP553" s="717"/>
      <c r="CQ553" s="717"/>
      <c r="CR553" s="717"/>
      <c r="CS553" s="717"/>
      <c r="CT553" s="717"/>
      <c r="CU553" s="717"/>
      <c r="CV553" s="717"/>
      <c r="CW553" s="717"/>
      <c r="CX553" s="717"/>
      <c r="CY553" s="717"/>
      <c r="CZ553" s="717"/>
      <c r="DA553" s="717"/>
      <c r="DB553" s="717"/>
      <c r="DC553" s="717"/>
      <c r="DD553" s="717"/>
      <c r="DE553" s="717"/>
      <c r="DF553" s="717"/>
      <c r="DG553" s="717"/>
      <c r="DH553" s="717"/>
      <c r="DI553" s="717"/>
      <c r="DJ553" s="717"/>
      <c r="DM553" s="711"/>
      <c r="DN553" s="711"/>
      <c r="DO553" s="711"/>
      <c r="DP553" s="711"/>
      <c r="DQ553" s="711"/>
      <c r="EB553" s="719"/>
    </row>
    <row r="554" spans="5:132" s="709" customFormat="1" ht="18" hidden="1">
      <c r="E554" s="721"/>
      <c r="M554" s="710"/>
      <c r="P554" s="711"/>
      <c r="Q554" s="712"/>
      <c r="U554" s="711"/>
      <c r="V554" s="711"/>
      <c r="W554" s="711"/>
      <c r="X554" s="711"/>
      <c r="Y554" s="711"/>
      <c r="Z554" s="711"/>
      <c r="AU554" s="713"/>
      <c r="AW554" s="712"/>
      <c r="BY554" s="714"/>
      <c r="BZ554" s="715"/>
      <c r="CA554" s="716"/>
      <c r="CB554" s="717"/>
      <c r="CC554" s="717"/>
      <c r="CD554" s="717"/>
      <c r="CE554" s="717"/>
      <c r="CF554" s="717"/>
      <c r="CG554" s="717"/>
      <c r="CH554" s="717"/>
      <c r="CI554" s="717"/>
      <c r="CJ554" s="717"/>
      <c r="CK554" s="717"/>
      <c r="CL554" s="717"/>
      <c r="CM554" s="717"/>
      <c r="CN554" s="717"/>
      <c r="CO554" s="717"/>
      <c r="CP554" s="717"/>
      <c r="CQ554" s="717"/>
      <c r="CR554" s="717"/>
      <c r="CS554" s="717"/>
      <c r="CT554" s="717"/>
      <c r="CU554" s="717"/>
      <c r="CV554" s="717"/>
      <c r="CW554" s="717"/>
      <c r="CX554" s="717"/>
      <c r="CY554" s="717"/>
      <c r="CZ554" s="717"/>
      <c r="DA554" s="717"/>
      <c r="DB554" s="717"/>
      <c r="DC554" s="717"/>
      <c r="DD554" s="717"/>
      <c r="DE554" s="717"/>
      <c r="DF554" s="717"/>
      <c r="DG554" s="717"/>
      <c r="DH554" s="717"/>
      <c r="DI554" s="717"/>
      <c r="DJ554" s="717"/>
      <c r="DM554" s="711"/>
      <c r="DN554" s="711"/>
      <c r="DO554" s="711"/>
      <c r="DP554" s="711"/>
      <c r="DQ554" s="711"/>
      <c r="EB554" s="719"/>
    </row>
    <row r="555" spans="5:132" s="709" customFormat="1" ht="18" hidden="1">
      <c r="E555" s="721"/>
      <c r="M555" s="710"/>
      <c r="P555" s="711"/>
      <c r="Q555" s="712"/>
      <c r="U555" s="711"/>
      <c r="V555" s="711"/>
      <c r="W555" s="711"/>
      <c r="X555" s="711"/>
      <c r="Y555" s="711"/>
      <c r="Z555" s="711"/>
      <c r="AU555" s="713"/>
      <c r="AW555" s="712"/>
      <c r="BY555" s="714"/>
      <c r="BZ555" s="715"/>
      <c r="CA555" s="716"/>
      <c r="CB555" s="717"/>
      <c r="CC555" s="717"/>
      <c r="CD555" s="717"/>
      <c r="CE555" s="717"/>
      <c r="CF555" s="717"/>
      <c r="CG555" s="717"/>
      <c r="CH555" s="717"/>
      <c r="CI555" s="717"/>
      <c r="CJ555" s="717"/>
      <c r="CK555" s="717"/>
      <c r="CL555" s="717"/>
      <c r="CM555" s="717"/>
      <c r="CN555" s="717"/>
      <c r="CO555" s="717"/>
      <c r="CP555" s="717"/>
      <c r="CQ555" s="717"/>
      <c r="CR555" s="717"/>
      <c r="CS555" s="717"/>
      <c r="CT555" s="717"/>
      <c r="CU555" s="717"/>
      <c r="CV555" s="717"/>
      <c r="CW555" s="717"/>
      <c r="CX555" s="717"/>
      <c r="CY555" s="717"/>
      <c r="CZ555" s="717"/>
      <c r="DA555" s="717"/>
      <c r="DB555" s="717"/>
      <c r="DC555" s="717"/>
      <c r="DD555" s="717"/>
      <c r="DE555" s="717"/>
      <c r="DF555" s="717"/>
      <c r="DG555" s="717"/>
      <c r="DH555" s="717"/>
      <c r="DI555" s="717"/>
      <c r="DJ555" s="717"/>
      <c r="DM555" s="711"/>
      <c r="DN555" s="711"/>
      <c r="DO555" s="711"/>
      <c r="DP555" s="711"/>
      <c r="DQ555" s="711"/>
      <c r="EB555" s="719"/>
    </row>
    <row r="556" spans="5:132" s="709" customFormat="1" ht="18" hidden="1">
      <c r="E556" s="721"/>
      <c r="M556" s="710"/>
      <c r="P556" s="711"/>
      <c r="Q556" s="712"/>
      <c r="U556" s="711"/>
      <c r="V556" s="711"/>
      <c r="W556" s="711"/>
      <c r="X556" s="711"/>
      <c r="Y556" s="711"/>
      <c r="Z556" s="711"/>
      <c r="AU556" s="713"/>
      <c r="AW556" s="712"/>
      <c r="BY556" s="714"/>
      <c r="BZ556" s="715"/>
      <c r="CA556" s="716"/>
      <c r="CB556" s="717"/>
      <c r="CC556" s="717"/>
      <c r="CD556" s="717"/>
      <c r="CE556" s="717"/>
      <c r="CF556" s="717"/>
      <c r="CG556" s="717"/>
      <c r="CH556" s="717"/>
      <c r="CI556" s="717"/>
      <c r="CJ556" s="717"/>
      <c r="CK556" s="717"/>
      <c r="CL556" s="717"/>
      <c r="CM556" s="717"/>
      <c r="CN556" s="717"/>
      <c r="CO556" s="717"/>
      <c r="CP556" s="717"/>
      <c r="CQ556" s="717"/>
      <c r="CR556" s="717"/>
      <c r="CS556" s="717"/>
      <c r="CT556" s="717"/>
      <c r="CU556" s="717"/>
      <c r="CV556" s="717"/>
      <c r="CW556" s="717"/>
      <c r="CX556" s="717"/>
      <c r="CY556" s="717"/>
      <c r="CZ556" s="717"/>
      <c r="DA556" s="717"/>
      <c r="DB556" s="717"/>
      <c r="DC556" s="717"/>
      <c r="DD556" s="717"/>
      <c r="DE556" s="717"/>
      <c r="DF556" s="717"/>
      <c r="DG556" s="717"/>
      <c r="DH556" s="717"/>
      <c r="DI556" s="717"/>
      <c r="DJ556" s="717"/>
      <c r="DM556" s="711"/>
      <c r="DN556" s="711"/>
      <c r="DO556" s="711"/>
      <c r="DP556" s="711"/>
      <c r="DQ556" s="711"/>
      <c r="EB556" s="719"/>
    </row>
    <row r="557" spans="5:132" s="709" customFormat="1" ht="18" hidden="1">
      <c r="E557" s="721"/>
      <c r="M557" s="710"/>
      <c r="P557" s="711"/>
      <c r="Q557" s="712"/>
      <c r="U557" s="711"/>
      <c r="V557" s="711"/>
      <c r="W557" s="711"/>
      <c r="X557" s="711"/>
      <c r="Y557" s="711"/>
      <c r="Z557" s="711"/>
      <c r="AU557" s="713"/>
      <c r="AW557" s="712"/>
      <c r="BY557" s="714"/>
      <c r="BZ557" s="715"/>
      <c r="CA557" s="716"/>
      <c r="CB557" s="717"/>
      <c r="CC557" s="717"/>
      <c r="CD557" s="717"/>
      <c r="CE557" s="717"/>
      <c r="CF557" s="717"/>
      <c r="CG557" s="717"/>
      <c r="CH557" s="717"/>
      <c r="CI557" s="717"/>
      <c r="CJ557" s="717"/>
      <c r="CK557" s="717"/>
      <c r="CL557" s="717"/>
      <c r="CM557" s="717"/>
      <c r="CN557" s="717"/>
      <c r="CO557" s="717"/>
      <c r="CP557" s="717"/>
      <c r="CQ557" s="717"/>
      <c r="CR557" s="717"/>
      <c r="CS557" s="717"/>
      <c r="CT557" s="717"/>
      <c r="CU557" s="717"/>
      <c r="CV557" s="717"/>
      <c r="CW557" s="717"/>
      <c r="CX557" s="717"/>
      <c r="CY557" s="717"/>
      <c r="CZ557" s="717"/>
      <c r="DA557" s="717"/>
      <c r="DB557" s="717"/>
      <c r="DC557" s="717"/>
      <c r="DD557" s="717"/>
      <c r="DE557" s="717"/>
      <c r="DF557" s="717"/>
      <c r="DG557" s="717"/>
      <c r="DH557" s="717"/>
      <c r="DI557" s="717"/>
      <c r="DJ557" s="717"/>
      <c r="DM557" s="711"/>
      <c r="DN557" s="711"/>
      <c r="DO557" s="711"/>
      <c r="DP557" s="711"/>
      <c r="DQ557" s="711"/>
      <c r="EB557" s="719"/>
    </row>
    <row r="558" spans="5:132" s="709" customFormat="1" ht="18" hidden="1">
      <c r="E558" s="721"/>
      <c r="M558" s="710"/>
      <c r="P558" s="711"/>
      <c r="Q558" s="712"/>
      <c r="U558" s="711"/>
      <c r="V558" s="711"/>
      <c r="W558" s="711"/>
      <c r="X558" s="711"/>
      <c r="Y558" s="711"/>
      <c r="Z558" s="711"/>
      <c r="AU558" s="713"/>
      <c r="AW558" s="712"/>
      <c r="BY558" s="714"/>
      <c r="BZ558" s="715"/>
      <c r="CA558" s="716"/>
      <c r="CB558" s="717"/>
      <c r="CC558" s="717"/>
      <c r="CD558" s="717"/>
      <c r="CE558" s="717"/>
      <c r="CF558" s="717"/>
      <c r="CG558" s="717"/>
      <c r="CH558" s="717"/>
      <c r="CI558" s="717"/>
      <c r="CJ558" s="717"/>
      <c r="CK558" s="717"/>
      <c r="CL558" s="717"/>
      <c r="CM558" s="717"/>
      <c r="CN558" s="717"/>
      <c r="CO558" s="717"/>
      <c r="CP558" s="717"/>
      <c r="CQ558" s="717"/>
      <c r="CR558" s="717"/>
      <c r="CS558" s="717"/>
      <c r="CT558" s="717"/>
      <c r="CU558" s="717"/>
      <c r="CV558" s="717"/>
      <c r="CW558" s="717"/>
      <c r="CX558" s="717"/>
      <c r="CY558" s="717"/>
      <c r="CZ558" s="717"/>
      <c r="DA558" s="717"/>
      <c r="DB558" s="717"/>
      <c r="DC558" s="717"/>
      <c r="DD558" s="717"/>
      <c r="DE558" s="717"/>
      <c r="DF558" s="717"/>
      <c r="DG558" s="717"/>
      <c r="DH558" s="717"/>
      <c r="DI558" s="717"/>
      <c r="DJ558" s="717"/>
      <c r="DM558" s="711"/>
      <c r="DN558" s="711"/>
      <c r="DO558" s="711"/>
      <c r="DP558" s="711"/>
      <c r="DQ558" s="711"/>
      <c r="EB558" s="719"/>
    </row>
    <row r="559" spans="5:132" s="709" customFormat="1" ht="25.5" hidden="1">
      <c r="E559" s="721"/>
      <c r="G559" s="990">
        <v>1</v>
      </c>
      <c r="H559" s="722" t="s">
        <v>149</v>
      </c>
      <c r="I559" s="722" t="s">
        <v>2168</v>
      </c>
      <c r="J559" s="722" t="s">
        <v>2169</v>
      </c>
      <c r="K559" s="722" t="s">
        <v>2170</v>
      </c>
      <c r="L559" s="722" t="s">
        <v>2171</v>
      </c>
      <c r="M559" s="722" t="s">
        <v>2172</v>
      </c>
      <c r="N559" s="722" t="s">
        <v>2173</v>
      </c>
      <c r="O559" s="722" t="s">
        <v>2174</v>
      </c>
      <c r="P559" s="722" t="s">
        <v>2175</v>
      </c>
      <c r="Q559" s="722" t="s">
        <v>2176</v>
      </c>
      <c r="R559" s="722" t="s">
        <v>2177</v>
      </c>
      <c r="S559" s="722" t="s">
        <v>2178</v>
      </c>
      <c r="T559" s="722" t="s">
        <v>2179</v>
      </c>
      <c r="U559" s="722" t="s">
        <v>2180</v>
      </c>
      <c r="V559" s="722" t="s">
        <v>2181</v>
      </c>
      <c r="W559" s="722" t="s">
        <v>2182</v>
      </c>
      <c r="X559" s="722" t="s">
        <v>2183</v>
      </c>
      <c r="Y559" s="722" t="s">
        <v>2184</v>
      </c>
      <c r="Z559" s="722" t="s">
        <v>2185</v>
      </c>
      <c r="AA559" s="722" t="s">
        <v>2186</v>
      </c>
      <c r="AB559" s="722" t="s">
        <v>2187</v>
      </c>
      <c r="AC559" s="722" t="s">
        <v>2188</v>
      </c>
      <c r="AD559" s="722" t="s">
        <v>2189</v>
      </c>
      <c r="AE559" s="722" t="s">
        <v>2190</v>
      </c>
      <c r="AF559" s="722" t="s">
        <v>2191</v>
      </c>
      <c r="AG559" s="722" t="s">
        <v>2192</v>
      </c>
      <c r="AH559" s="722" t="s">
        <v>2193</v>
      </c>
      <c r="AI559" s="722" t="s">
        <v>2194</v>
      </c>
      <c r="AU559" s="713"/>
      <c r="AW559" s="712"/>
      <c r="BY559" s="714"/>
      <c r="BZ559" s="715"/>
      <c r="CA559" s="716"/>
      <c r="CB559" s="717"/>
      <c r="CC559" s="717"/>
      <c r="CD559" s="717"/>
      <c r="CE559" s="717"/>
      <c r="CF559" s="717"/>
      <c r="CG559" s="717"/>
      <c r="CH559" s="717"/>
      <c r="CI559" s="717"/>
      <c r="CJ559" s="717"/>
      <c r="CK559" s="717"/>
      <c r="CL559" s="717"/>
      <c r="CM559" s="717"/>
      <c r="CN559" s="717"/>
      <c r="CO559" s="717"/>
      <c r="CP559" s="717"/>
      <c r="CQ559" s="717"/>
      <c r="CR559" s="717"/>
      <c r="CS559" s="717"/>
      <c r="CT559" s="717"/>
      <c r="CU559" s="717"/>
      <c r="CV559" s="717"/>
      <c r="CW559" s="717"/>
      <c r="CX559" s="717"/>
      <c r="CY559" s="717"/>
      <c r="CZ559" s="717"/>
      <c r="DA559" s="717"/>
      <c r="DB559" s="717"/>
      <c r="DC559" s="717"/>
      <c r="DD559" s="717"/>
      <c r="DE559" s="717"/>
      <c r="DF559" s="717"/>
      <c r="DG559" s="717"/>
      <c r="DH559" s="717"/>
      <c r="DI559" s="717"/>
      <c r="DJ559" s="717"/>
      <c r="DM559" s="711"/>
      <c r="DN559" s="711"/>
      <c r="DO559" s="711"/>
      <c r="DP559" s="711"/>
      <c r="DQ559" s="711"/>
      <c r="EB559" s="719"/>
    </row>
    <row r="560" spans="5:132" s="709" customFormat="1" ht="18" hidden="1">
      <c r="E560" s="721"/>
      <c r="G560" s="990">
        <v>2</v>
      </c>
      <c r="H560" s="988">
        <v>11</v>
      </c>
      <c r="I560" s="721">
        <v>52</v>
      </c>
      <c r="J560" s="721">
        <v>532</v>
      </c>
      <c r="K560" s="721">
        <v>322</v>
      </c>
      <c r="L560" s="721">
        <v>258</v>
      </c>
      <c r="M560" s="721">
        <v>24</v>
      </c>
      <c r="N560" s="721">
        <v>21</v>
      </c>
      <c r="O560" s="721">
        <v>67</v>
      </c>
      <c r="P560" s="721">
        <v>204</v>
      </c>
      <c r="Q560" s="721">
        <v>311</v>
      </c>
      <c r="R560" s="721">
        <v>153</v>
      </c>
      <c r="S560" s="721">
        <v>469</v>
      </c>
      <c r="T560" s="721">
        <v>309</v>
      </c>
      <c r="U560" s="721">
        <v>541</v>
      </c>
      <c r="V560" s="721">
        <v>15</v>
      </c>
      <c r="W560" s="721">
        <v>18</v>
      </c>
      <c r="X560" s="721">
        <v>518</v>
      </c>
      <c r="Y560" s="721">
        <v>524</v>
      </c>
      <c r="Z560" s="721">
        <v>17</v>
      </c>
      <c r="AA560" s="721">
        <v>540</v>
      </c>
      <c r="AB560" s="721">
        <v>330</v>
      </c>
      <c r="AC560" s="721">
        <v>568</v>
      </c>
      <c r="AD560" s="721">
        <v>443</v>
      </c>
      <c r="AE560" s="721">
        <v>462</v>
      </c>
      <c r="AF560" s="721">
        <v>328</v>
      </c>
      <c r="AG560" s="721">
        <v>537</v>
      </c>
      <c r="AH560" s="721">
        <v>11</v>
      </c>
      <c r="AI560" s="721">
        <v>399</v>
      </c>
      <c r="AU560" s="713"/>
      <c r="AW560" s="712"/>
      <c r="BY560" s="714"/>
      <c r="BZ560" s="715"/>
      <c r="CA560" s="716"/>
      <c r="CB560" s="717"/>
      <c r="CC560" s="717"/>
      <c r="CD560" s="717"/>
      <c r="CE560" s="717"/>
      <c r="CF560" s="717"/>
      <c r="CG560" s="717"/>
      <c r="CH560" s="717"/>
      <c r="CI560" s="717"/>
      <c r="CJ560" s="717"/>
      <c r="CK560" s="717"/>
      <c r="CL560" s="717"/>
      <c r="CM560" s="717"/>
      <c r="CN560" s="717"/>
      <c r="CO560" s="717"/>
      <c r="CP560" s="717"/>
      <c r="CQ560" s="717"/>
      <c r="CR560" s="717"/>
      <c r="CS560" s="717"/>
      <c r="CT560" s="717"/>
      <c r="CU560" s="717"/>
      <c r="CV560" s="717"/>
      <c r="CW560" s="717"/>
      <c r="CX560" s="717"/>
      <c r="CY560" s="717"/>
      <c r="CZ560" s="717"/>
      <c r="DA560" s="717"/>
      <c r="DB560" s="717"/>
      <c r="DC560" s="717"/>
      <c r="DD560" s="717"/>
      <c r="DE560" s="717"/>
      <c r="DF560" s="717"/>
      <c r="DG560" s="717"/>
      <c r="DH560" s="717"/>
      <c r="DI560" s="717"/>
      <c r="DJ560" s="717"/>
      <c r="DM560" s="711"/>
      <c r="DN560" s="711"/>
      <c r="DO560" s="711"/>
      <c r="DP560" s="711"/>
      <c r="DQ560" s="711"/>
      <c r="EB560" s="719"/>
    </row>
    <row r="561" spans="5:132" s="709" customFormat="1" ht="18" hidden="1">
      <c r="E561" s="721"/>
      <c r="G561" s="990">
        <v>3</v>
      </c>
      <c r="H561" s="989">
        <v>12</v>
      </c>
      <c r="I561" s="721">
        <v>96</v>
      </c>
      <c r="J561" s="721">
        <v>533</v>
      </c>
      <c r="K561" s="721">
        <v>349</v>
      </c>
      <c r="L561" s="721">
        <v>259</v>
      </c>
      <c r="M561" s="721">
        <v>25</v>
      </c>
      <c r="N561" s="721">
        <v>22</v>
      </c>
      <c r="O561" s="721">
        <v>108</v>
      </c>
      <c r="P561" s="721">
        <v>205</v>
      </c>
      <c r="Q561" s="721">
        <v>312</v>
      </c>
      <c r="R561" s="721">
        <v>336</v>
      </c>
      <c r="S561" s="721">
        <v>470</v>
      </c>
      <c r="T561" s="721">
        <v>310</v>
      </c>
      <c r="U561" s="724"/>
      <c r="V561" s="721">
        <v>16</v>
      </c>
      <c r="W561" s="721">
        <v>19</v>
      </c>
      <c r="X561" s="721">
        <v>519</v>
      </c>
      <c r="Y561" s="721">
        <v>525</v>
      </c>
      <c r="Z561" s="721">
        <v>32</v>
      </c>
      <c r="AA561" s="721">
        <v>576</v>
      </c>
      <c r="AB561" s="721">
        <v>409</v>
      </c>
      <c r="AC561" s="721">
        <v>569</v>
      </c>
      <c r="AD561" s="721">
        <v>444</v>
      </c>
      <c r="AE561" s="721">
        <v>463</v>
      </c>
      <c r="AF561" s="721">
        <v>329</v>
      </c>
      <c r="AG561" s="724"/>
      <c r="AH561" s="721">
        <v>12</v>
      </c>
      <c r="AI561" s="721">
        <v>400</v>
      </c>
      <c r="AU561" s="713"/>
      <c r="AW561" s="712"/>
      <c r="BY561" s="714"/>
      <c r="BZ561" s="715"/>
      <c r="CA561" s="716"/>
      <c r="CB561" s="717"/>
      <c r="CC561" s="717"/>
      <c r="CD561" s="717"/>
      <c r="CE561" s="717"/>
      <c r="CF561" s="717"/>
      <c r="CG561" s="717"/>
      <c r="CH561" s="717"/>
      <c r="CI561" s="717"/>
      <c r="CJ561" s="717"/>
      <c r="CK561" s="717"/>
      <c r="CL561" s="717"/>
      <c r="CM561" s="717"/>
      <c r="CN561" s="717"/>
      <c r="CO561" s="717"/>
      <c r="CP561" s="717"/>
      <c r="CQ561" s="717"/>
      <c r="CR561" s="717"/>
      <c r="CS561" s="717"/>
      <c r="CT561" s="717"/>
      <c r="CU561" s="717"/>
      <c r="CV561" s="717"/>
      <c r="CW561" s="717"/>
      <c r="CX561" s="717"/>
      <c r="CY561" s="717"/>
      <c r="CZ561" s="717"/>
      <c r="DA561" s="717"/>
      <c r="DB561" s="717"/>
      <c r="DC561" s="717"/>
      <c r="DD561" s="717"/>
      <c r="DE561" s="717"/>
      <c r="DF561" s="717"/>
      <c r="DG561" s="717"/>
      <c r="DH561" s="717"/>
      <c r="DI561" s="717"/>
      <c r="DJ561" s="717"/>
      <c r="DM561" s="711"/>
      <c r="DN561" s="711"/>
      <c r="DO561" s="711"/>
      <c r="DP561" s="711"/>
      <c r="DQ561" s="711"/>
      <c r="EB561" s="719"/>
    </row>
    <row r="562" spans="5:132" s="709" customFormat="1" ht="18" hidden="1">
      <c r="E562" s="721"/>
      <c r="G562" s="990">
        <v>4</v>
      </c>
      <c r="H562" s="989">
        <v>13</v>
      </c>
      <c r="I562" s="721">
        <v>195</v>
      </c>
      <c r="J562" s="725"/>
      <c r="K562" s="721">
        <v>350</v>
      </c>
      <c r="L562" s="721">
        <v>261</v>
      </c>
      <c r="M562" s="721">
        <v>26</v>
      </c>
      <c r="N562" s="721">
        <v>23</v>
      </c>
      <c r="O562" s="721">
        <v>150</v>
      </c>
      <c r="P562" s="721">
        <v>206</v>
      </c>
      <c r="Q562" s="721">
        <v>313</v>
      </c>
      <c r="R562" s="721">
        <v>337</v>
      </c>
      <c r="S562" s="721">
        <v>471</v>
      </c>
      <c r="T562" s="721">
        <v>423</v>
      </c>
      <c r="U562" s="724"/>
      <c r="V562" s="721">
        <v>20</v>
      </c>
      <c r="W562" s="721">
        <v>27</v>
      </c>
      <c r="X562" s="721">
        <v>522</v>
      </c>
      <c r="Y562" s="721">
        <v>526</v>
      </c>
      <c r="Z562" s="721">
        <v>44</v>
      </c>
      <c r="AA562" s="724"/>
      <c r="AB562" s="721">
        <v>410</v>
      </c>
      <c r="AC562" s="721">
        <v>570</v>
      </c>
      <c r="AD562" s="721">
        <v>445</v>
      </c>
      <c r="AE562" s="721">
        <v>464</v>
      </c>
      <c r="AF562" s="721">
        <v>331</v>
      </c>
      <c r="AG562" s="724"/>
      <c r="AH562" s="721">
        <v>13</v>
      </c>
      <c r="AI562" s="721">
        <v>402</v>
      </c>
      <c r="AU562" s="713"/>
      <c r="AW562" s="712"/>
      <c r="BY562" s="714"/>
      <c r="BZ562" s="715"/>
      <c r="CA562" s="716"/>
      <c r="CB562" s="717"/>
      <c r="CC562" s="717"/>
      <c r="CD562" s="717"/>
      <c r="CE562" s="717"/>
      <c r="CF562" s="717"/>
      <c r="CG562" s="717"/>
      <c r="CH562" s="717"/>
      <c r="CI562" s="717"/>
      <c r="CJ562" s="717"/>
      <c r="CK562" s="717"/>
      <c r="CL562" s="717"/>
      <c r="CM562" s="717"/>
      <c r="CN562" s="717"/>
      <c r="CO562" s="717"/>
      <c r="CP562" s="717"/>
      <c r="CQ562" s="717"/>
      <c r="CR562" s="717"/>
      <c r="CS562" s="717"/>
      <c r="CT562" s="717"/>
      <c r="CU562" s="717"/>
      <c r="CV562" s="717"/>
      <c r="CW562" s="717"/>
      <c r="CX562" s="717"/>
      <c r="CY562" s="717"/>
      <c r="CZ562" s="717"/>
      <c r="DA562" s="717"/>
      <c r="DB562" s="717"/>
      <c r="DC562" s="717"/>
      <c r="DD562" s="717"/>
      <c r="DE562" s="717"/>
      <c r="DF562" s="717"/>
      <c r="DG562" s="717"/>
      <c r="DH562" s="717"/>
      <c r="DI562" s="717"/>
      <c r="DJ562" s="717"/>
      <c r="DM562" s="711"/>
      <c r="DN562" s="711"/>
      <c r="DO562" s="711"/>
      <c r="DP562" s="711"/>
      <c r="DQ562" s="711"/>
      <c r="EB562" s="719"/>
    </row>
    <row r="563" spans="5:132" s="709" customFormat="1" ht="18" hidden="1">
      <c r="E563" s="721"/>
      <c r="G563" s="990">
        <v>5</v>
      </c>
      <c r="H563" s="989">
        <v>14</v>
      </c>
      <c r="I563" s="721">
        <v>234</v>
      </c>
      <c r="J563" s="725"/>
      <c r="K563" s="721">
        <v>351</v>
      </c>
      <c r="L563" s="721">
        <v>262</v>
      </c>
      <c r="M563" s="721">
        <v>58</v>
      </c>
      <c r="N563" s="721">
        <v>54</v>
      </c>
      <c r="O563" s="721">
        <v>173</v>
      </c>
      <c r="P563" s="721">
        <v>207</v>
      </c>
      <c r="Q563" s="721">
        <v>361</v>
      </c>
      <c r="R563" s="721">
        <v>338</v>
      </c>
      <c r="S563" s="721">
        <v>472</v>
      </c>
      <c r="T563" s="721">
        <v>424</v>
      </c>
      <c r="U563" s="724"/>
      <c r="V563" s="721">
        <v>28</v>
      </c>
      <c r="W563" s="721">
        <v>43</v>
      </c>
      <c r="X563" s="721">
        <v>530</v>
      </c>
      <c r="Y563" s="721">
        <v>539</v>
      </c>
      <c r="Z563" s="721">
        <v>71</v>
      </c>
      <c r="AA563" s="724"/>
      <c r="AB563" s="721">
        <v>498</v>
      </c>
      <c r="AC563" s="721">
        <v>571</v>
      </c>
      <c r="AD563" s="721">
        <v>446</v>
      </c>
      <c r="AE563" s="721">
        <v>465</v>
      </c>
      <c r="AF563" s="721">
        <v>332</v>
      </c>
      <c r="AG563" s="724"/>
      <c r="AH563" s="721">
        <v>14</v>
      </c>
      <c r="AI563" s="721">
        <v>403</v>
      </c>
      <c r="AU563" s="713"/>
      <c r="AW563" s="712"/>
      <c r="BY563" s="714"/>
      <c r="BZ563" s="715"/>
      <c r="CA563" s="716"/>
      <c r="CB563" s="717"/>
      <c r="CC563" s="717"/>
      <c r="CD563" s="717"/>
      <c r="CE563" s="717"/>
      <c r="CF563" s="717"/>
      <c r="CG563" s="717"/>
      <c r="CH563" s="717"/>
      <c r="CI563" s="717"/>
      <c r="CJ563" s="717"/>
      <c r="CK563" s="717"/>
      <c r="CL563" s="717"/>
      <c r="CM563" s="717"/>
      <c r="CN563" s="717"/>
      <c r="CO563" s="717"/>
      <c r="CP563" s="717"/>
      <c r="CQ563" s="717"/>
      <c r="CR563" s="717"/>
      <c r="CS563" s="717"/>
      <c r="CT563" s="717"/>
      <c r="CU563" s="717"/>
      <c r="CV563" s="717"/>
      <c r="CW563" s="717"/>
      <c r="CX563" s="717"/>
      <c r="CY563" s="717"/>
      <c r="CZ563" s="717"/>
      <c r="DA563" s="717"/>
      <c r="DB563" s="717"/>
      <c r="DC563" s="717"/>
      <c r="DD563" s="717"/>
      <c r="DE563" s="717"/>
      <c r="DF563" s="717"/>
      <c r="DG563" s="717"/>
      <c r="DH563" s="717"/>
      <c r="DI563" s="717"/>
      <c r="DJ563" s="717"/>
      <c r="DM563" s="711"/>
      <c r="DN563" s="711"/>
      <c r="DO563" s="711"/>
      <c r="DP563" s="711"/>
      <c r="DQ563" s="711"/>
      <c r="EB563" s="719"/>
    </row>
    <row r="564" spans="5:132" s="709" customFormat="1" ht="18" hidden="1">
      <c r="E564" s="721"/>
      <c r="G564" s="990">
        <v>6</v>
      </c>
      <c r="H564" s="989">
        <v>15</v>
      </c>
      <c r="I564" s="721">
        <v>278</v>
      </c>
      <c r="J564" s="725"/>
      <c r="K564" s="721">
        <v>352</v>
      </c>
      <c r="L564" s="721">
        <v>263</v>
      </c>
      <c r="M564" s="721">
        <v>59</v>
      </c>
      <c r="N564" s="721">
        <v>55</v>
      </c>
      <c r="O564" s="721">
        <v>251</v>
      </c>
      <c r="P564" s="721">
        <v>208</v>
      </c>
      <c r="Q564" s="721">
        <v>362</v>
      </c>
      <c r="R564" s="721">
        <v>339</v>
      </c>
      <c r="S564" s="721">
        <v>473</v>
      </c>
      <c r="T564" s="721">
        <v>425</v>
      </c>
      <c r="U564" s="724"/>
      <c r="V564" s="721">
        <v>31</v>
      </c>
      <c r="W564" s="721">
        <v>45</v>
      </c>
      <c r="X564" s="721">
        <v>531</v>
      </c>
      <c r="Y564" s="721"/>
      <c r="Z564" s="721">
        <v>83</v>
      </c>
      <c r="AA564" s="724"/>
      <c r="AB564" s="721">
        <v>499</v>
      </c>
      <c r="AC564" s="721">
        <v>573</v>
      </c>
      <c r="AD564" s="721">
        <v>447</v>
      </c>
      <c r="AE564" s="724"/>
      <c r="AF564" s="721">
        <v>538</v>
      </c>
      <c r="AG564" s="724"/>
      <c r="AH564" s="721">
        <v>41</v>
      </c>
      <c r="AI564" s="721">
        <v>404</v>
      </c>
      <c r="AU564" s="713"/>
      <c r="AW564" s="712"/>
      <c r="BY564" s="714"/>
      <c r="BZ564" s="715"/>
      <c r="CA564" s="716"/>
      <c r="CB564" s="717"/>
      <c r="CC564" s="717"/>
      <c r="CD564" s="717"/>
      <c r="CE564" s="717"/>
      <c r="CF564" s="717"/>
      <c r="CG564" s="717"/>
      <c r="CH564" s="717"/>
      <c r="CI564" s="717"/>
      <c r="CJ564" s="717"/>
      <c r="CK564" s="717"/>
      <c r="CL564" s="717"/>
      <c r="CM564" s="717"/>
      <c r="CN564" s="717"/>
      <c r="CO564" s="717"/>
      <c r="CP564" s="717"/>
      <c r="CQ564" s="717"/>
      <c r="CR564" s="717"/>
      <c r="CS564" s="717"/>
      <c r="CT564" s="717"/>
      <c r="CU564" s="717"/>
      <c r="CV564" s="717"/>
      <c r="CW564" s="717"/>
      <c r="CX564" s="717"/>
      <c r="CY564" s="717"/>
      <c r="CZ564" s="717"/>
      <c r="DA564" s="717"/>
      <c r="DB564" s="717"/>
      <c r="DC564" s="717"/>
      <c r="DD564" s="717"/>
      <c r="DE564" s="717"/>
      <c r="DF564" s="717"/>
      <c r="DG564" s="717"/>
      <c r="DH564" s="717"/>
      <c r="DI564" s="717"/>
      <c r="DJ564" s="717"/>
      <c r="DM564" s="711"/>
      <c r="DN564" s="711"/>
      <c r="DO564" s="711"/>
      <c r="DP564" s="711"/>
      <c r="DQ564" s="711"/>
      <c r="EB564" s="719"/>
    </row>
    <row r="565" spans="5:132" s="709" customFormat="1" ht="18" hidden="1">
      <c r="E565" s="721"/>
      <c r="G565" s="990">
        <v>7</v>
      </c>
      <c r="H565" s="989">
        <v>16</v>
      </c>
      <c r="I565" s="726"/>
      <c r="J565" s="725"/>
      <c r="K565" s="721">
        <v>353</v>
      </c>
      <c r="L565" s="721">
        <v>265</v>
      </c>
      <c r="M565" s="721">
        <v>102</v>
      </c>
      <c r="N565" s="721">
        <v>56</v>
      </c>
      <c r="O565" s="721">
        <v>323</v>
      </c>
      <c r="P565" s="721">
        <v>209</v>
      </c>
      <c r="Q565" s="721">
        <v>363</v>
      </c>
      <c r="R565" s="721">
        <v>340</v>
      </c>
      <c r="S565" s="727">
        <v>474</v>
      </c>
      <c r="T565" s="721">
        <v>426</v>
      </c>
      <c r="U565" s="724"/>
      <c r="V565" s="721">
        <v>53</v>
      </c>
      <c r="W565" s="721">
        <v>46</v>
      </c>
      <c r="X565" s="721">
        <v>534</v>
      </c>
      <c r="Y565" s="721"/>
      <c r="Z565" s="721">
        <v>113</v>
      </c>
      <c r="AA565" s="724"/>
      <c r="AB565" s="721">
        <v>500</v>
      </c>
      <c r="AC565" s="721">
        <v>577</v>
      </c>
      <c r="AD565" s="721">
        <v>448</v>
      </c>
      <c r="AE565" s="724"/>
      <c r="AF565" s="721">
        <v>542</v>
      </c>
      <c r="AG565" s="724"/>
      <c r="AH565" s="721">
        <v>42</v>
      </c>
      <c r="AI565" s="721">
        <v>408</v>
      </c>
      <c r="AU565" s="713"/>
      <c r="AW565" s="712"/>
      <c r="BY565" s="714"/>
      <c r="BZ565" s="715"/>
      <c r="CA565" s="716"/>
      <c r="CB565" s="717"/>
      <c r="CC565" s="717"/>
      <c r="CD565" s="717"/>
      <c r="CE565" s="717"/>
      <c r="CF565" s="717"/>
      <c r="CG565" s="717"/>
      <c r="CH565" s="717"/>
      <c r="CI565" s="717"/>
      <c r="CJ565" s="717"/>
      <c r="CK565" s="717"/>
      <c r="CL565" s="717"/>
      <c r="CM565" s="717"/>
      <c r="CN565" s="717"/>
      <c r="CO565" s="717"/>
      <c r="CP565" s="717"/>
      <c r="CQ565" s="717"/>
      <c r="CR565" s="717"/>
      <c r="CS565" s="717"/>
      <c r="CT565" s="717"/>
      <c r="CU565" s="717"/>
      <c r="CV565" s="717"/>
      <c r="CW565" s="717"/>
      <c r="CX565" s="717"/>
      <c r="CY565" s="717"/>
      <c r="CZ565" s="717"/>
      <c r="DA565" s="717"/>
      <c r="DB565" s="717"/>
      <c r="DC565" s="717"/>
      <c r="DD565" s="717"/>
      <c r="DE565" s="717"/>
      <c r="DF565" s="717"/>
      <c r="DG565" s="717"/>
      <c r="DH565" s="717"/>
      <c r="DI565" s="717"/>
      <c r="DJ565" s="717"/>
      <c r="DM565" s="711"/>
      <c r="DN565" s="711"/>
      <c r="DO565" s="711"/>
      <c r="DP565" s="711"/>
      <c r="DQ565" s="711"/>
      <c r="EB565" s="719"/>
    </row>
    <row r="566" spans="5:132" s="709" customFormat="1" ht="18" hidden="1">
      <c r="E566" s="721"/>
      <c r="G566" s="990">
        <v>8</v>
      </c>
      <c r="H566" s="989">
        <v>17</v>
      </c>
      <c r="I566" s="726"/>
      <c r="J566" s="725"/>
      <c r="K566" s="721">
        <v>354</v>
      </c>
      <c r="L566" s="721">
        <v>266</v>
      </c>
      <c r="M566" s="721">
        <v>103</v>
      </c>
      <c r="N566" s="721">
        <v>57</v>
      </c>
      <c r="O566" s="721">
        <v>558</v>
      </c>
      <c r="P566" s="721">
        <v>210</v>
      </c>
      <c r="Q566" s="721">
        <v>364</v>
      </c>
      <c r="R566" s="721">
        <v>341</v>
      </c>
      <c r="S566" s="721">
        <v>475</v>
      </c>
      <c r="T566" s="721">
        <v>427</v>
      </c>
      <c r="U566" s="724"/>
      <c r="V566" s="721">
        <v>65</v>
      </c>
      <c r="W566" s="721">
        <v>47</v>
      </c>
      <c r="X566" s="721">
        <v>535</v>
      </c>
      <c r="Y566" s="724"/>
      <c r="Z566" s="721">
        <v>114</v>
      </c>
      <c r="AA566" s="724"/>
      <c r="AB566" s="725"/>
      <c r="AC566" s="721">
        <v>578</v>
      </c>
      <c r="AD566" s="724"/>
      <c r="AE566" s="724"/>
      <c r="AF566" s="721">
        <v>543</v>
      </c>
      <c r="AG566" s="724"/>
      <c r="AH566" s="721">
        <v>80</v>
      </c>
      <c r="AI566" s="724"/>
      <c r="AU566" s="713"/>
      <c r="AW566" s="712"/>
      <c r="BY566" s="714"/>
      <c r="BZ566" s="715"/>
      <c r="CA566" s="716"/>
      <c r="CB566" s="717"/>
      <c r="CC566" s="717"/>
      <c r="CD566" s="717"/>
      <c r="CE566" s="717"/>
      <c r="CF566" s="717"/>
      <c r="CG566" s="717"/>
      <c r="CH566" s="717"/>
      <c r="CI566" s="717"/>
      <c r="CJ566" s="717"/>
      <c r="CK566" s="717"/>
      <c r="CL566" s="717"/>
      <c r="CM566" s="717"/>
      <c r="CN566" s="717"/>
      <c r="CO566" s="717"/>
      <c r="CP566" s="717"/>
      <c r="CQ566" s="717"/>
      <c r="CR566" s="717"/>
      <c r="CS566" s="717"/>
      <c r="CT566" s="717"/>
      <c r="CU566" s="717"/>
      <c r="CV566" s="717"/>
      <c r="CW566" s="717"/>
      <c r="CX566" s="717"/>
      <c r="CY566" s="717"/>
      <c r="CZ566" s="717"/>
      <c r="DA566" s="717"/>
      <c r="DB566" s="717"/>
      <c r="DC566" s="717"/>
      <c r="DD566" s="717"/>
      <c r="DE566" s="717"/>
      <c r="DF566" s="717"/>
      <c r="DG566" s="717"/>
      <c r="DH566" s="717"/>
      <c r="DI566" s="717"/>
      <c r="DJ566" s="717"/>
      <c r="DM566" s="711"/>
      <c r="DN566" s="711"/>
      <c r="DO566" s="711"/>
      <c r="DP566" s="711"/>
      <c r="DQ566" s="711"/>
      <c r="EB566" s="719"/>
    </row>
    <row r="567" spans="5:132" s="709" customFormat="1" ht="18" hidden="1">
      <c r="E567" s="721"/>
      <c r="G567" s="990">
        <v>9</v>
      </c>
      <c r="H567" s="989">
        <v>18</v>
      </c>
      <c r="I567" s="726"/>
      <c r="J567" s="725"/>
      <c r="K567" s="721">
        <v>355</v>
      </c>
      <c r="L567" s="721">
        <v>267</v>
      </c>
      <c r="M567" s="721">
        <v>135</v>
      </c>
      <c r="N567" s="721">
        <v>98</v>
      </c>
      <c r="O567" s="721">
        <v>559</v>
      </c>
      <c r="P567" s="721">
        <v>212</v>
      </c>
      <c r="Q567" s="721">
        <v>365</v>
      </c>
      <c r="R567" s="721">
        <v>342</v>
      </c>
      <c r="S567" s="721">
        <v>477</v>
      </c>
      <c r="T567" s="721">
        <v>428</v>
      </c>
      <c r="U567" s="724"/>
      <c r="V567" s="721">
        <v>66</v>
      </c>
      <c r="W567" s="721">
        <v>48</v>
      </c>
      <c r="X567" s="721">
        <v>536</v>
      </c>
      <c r="Y567" s="724"/>
      <c r="Z567" s="721">
        <v>156</v>
      </c>
      <c r="AA567" s="724"/>
      <c r="AB567" s="725"/>
      <c r="AC567" s="721">
        <v>579</v>
      </c>
      <c r="AD567" s="724"/>
      <c r="AE567" s="724"/>
      <c r="AF567" s="721">
        <v>544</v>
      </c>
      <c r="AG567" s="724"/>
      <c r="AH567" s="721">
        <v>81</v>
      </c>
      <c r="AI567" s="724"/>
      <c r="AU567" s="713"/>
      <c r="AW567" s="712"/>
      <c r="BY567" s="714"/>
      <c r="BZ567" s="715"/>
      <c r="CA567" s="716"/>
      <c r="CB567" s="717"/>
      <c r="CC567" s="717"/>
      <c r="CD567" s="717"/>
      <c r="CE567" s="717"/>
      <c r="CF567" s="717"/>
      <c r="CG567" s="717"/>
      <c r="CH567" s="717"/>
      <c r="CI567" s="717"/>
      <c r="CJ567" s="717"/>
      <c r="CK567" s="717"/>
      <c r="CL567" s="717"/>
      <c r="CM567" s="717"/>
      <c r="CN567" s="717"/>
      <c r="CO567" s="717"/>
      <c r="CP567" s="717"/>
      <c r="CQ567" s="717"/>
      <c r="CR567" s="717"/>
      <c r="CS567" s="717"/>
      <c r="CT567" s="717"/>
      <c r="CU567" s="717"/>
      <c r="CV567" s="717"/>
      <c r="CW567" s="717"/>
      <c r="CX567" s="717"/>
      <c r="CY567" s="717"/>
      <c r="CZ567" s="717"/>
      <c r="DA567" s="717"/>
      <c r="DB567" s="717"/>
      <c r="DC567" s="717"/>
      <c r="DD567" s="717"/>
      <c r="DE567" s="717"/>
      <c r="DF567" s="717"/>
      <c r="DG567" s="717"/>
      <c r="DH567" s="717"/>
      <c r="DI567" s="717"/>
      <c r="DJ567" s="717"/>
      <c r="DM567" s="711"/>
      <c r="DN567" s="711"/>
      <c r="DO567" s="711"/>
      <c r="DP567" s="711"/>
      <c r="DQ567" s="711"/>
      <c r="EB567" s="719"/>
    </row>
    <row r="568" spans="5:132" s="709" customFormat="1" ht="18" hidden="1">
      <c r="E568" s="721"/>
      <c r="G568" s="990">
        <v>10</v>
      </c>
      <c r="H568" s="989">
        <v>19</v>
      </c>
      <c r="I568" s="726"/>
      <c r="J568" s="725"/>
      <c r="K568" s="721">
        <v>356</v>
      </c>
      <c r="L568" s="721">
        <v>268</v>
      </c>
      <c r="M568" s="721">
        <v>136</v>
      </c>
      <c r="N568" s="721">
        <v>99</v>
      </c>
      <c r="O568" s="721">
        <v>560</v>
      </c>
      <c r="P568" s="721">
        <v>318</v>
      </c>
      <c r="Q568" s="721">
        <v>366</v>
      </c>
      <c r="R568" s="721">
        <v>343</v>
      </c>
      <c r="S568" s="721">
        <v>478</v>
      </c>
      <c r="T568" s="721">
        <v>429</v>
      </c>
      <c r="U568" s="724"/>
      <c r="V568" s="721">
        <v>68</v>
      </c>
      <c r="W568" s="721">
        <v>49</v>
      </c>
      <c r="X568" s="724"/>
      <c r="Y568" s="724"/>
      <c r="Z568" s="721">
        <v>157</v>
      </c>
      <c r="AA568" s="724"/>
      <c r="AB568" s="725"/>
      <c r="AC568" s="721">
        <v>580</v>
      </c>
      <c r="AD568" s="724"/>
      <c r="AE568" s="724"/>
      <c r="AF568" s="721">
        <v>545</v>
      </c>
      <c r="AG568" s="724"/>
      <c r="AH568" s="721">
        <v>120</v>
      </c>
      <c r="AI568" s="724"/>
      <c r="AU568" s="713"/>
      <c r="AW568" s="712"/>
      <c r="BY568" s="714"/>
      <c r="BZ568" s="715"/>
      <c r="CA568" s="716"/>
      <c r="CB568" s="717"/>
      <c r="CC568" s="717"/>
      <c r="CD568" s="717"/>
      <c r="CE568" s="717"/>
      <c r="CF568" s="717"/>
      <c r="CG568" s="717"/>
      <c r="CH568" s="717"/>
      <c r="CI568" s="717"/>
      <c r="CJ568" s="717"/>
      <c r="CK568" s="717"/>
      <c r="CL568" s="717"/>
      <c r="CM568" s="717"/>
      <c r="CN568" s="717"/>
      <c r="CO568" s="717"/>
      <c r="CP568" s="717"/>
      <c r="CQ568" s="717"/>
      <c r="CR568" s="717"/>
      <c r="CS568" s="717"/>
      <c r="CT568" s="717"/>
      <c r="CU568" s="717"/>
      <c r="CV568" s="717"/>
      <c r="CW568" s="717"/>
      <c r="CX568" s="717"/>
      <c r="CY568" s="717"/>
      <c r="CZ568" s="717"/>
      <c r="DA568" s="717"/>
      <c r="DB568" s="717"/>
      <c r="DC568" s="717"/>
      <c r="DD568" s="717"/>
      <c r="DE568" s="717"/>
      <c r="DF568" s="717"/>
      <c r="DG568" s="717"/>
      <c r="DH568" s="717"/>
      <c r="DI568" s="717"/>
      <c r="DJ568" s="717"/>
      <c r="DM568" s="711"/>
      <c r="DN568" s="711"/>
      <c r="DO568" s="711"/>
      <c r="DP568" s="711"/>
      <c r="DQ568" s="711"/>
      <c r="EB568" s="719"/>
    </row>
    <row r="569" spans="5:132" s="709" customFormat="1" ht="18" hidden="1">
      <c r="E569" s="721"/>
      <c r="G569" s="990">
        <v>11</v>
      </c>
      <c r="H569" s="989">
        <v>20</v>
      </c>
      <c r="I569" s="726"/>
      <c r="J569" s="725"/>
      <c r="K569" s="721">
        <v>357</v>
      </c>
      <c r="L569" s="721">
        <v>324</v>
      </c>
      <c r="M569" s="721">
        <v>137</v>
      </c>
      <c r="N569" s="721">
        <v>100</v>
      </c>
      <c r="O569" s="721">
        <v>561</v>
      </c>
      <c r="P569" s="724"/>
      <c r="Q569" s="721">
        <v>367</v>
      </c>
      <c r="R569" s="721">
        <v>344</v>
      </c>
      <c r="S569" s="721">
        <v>479</v>
      </c>
      <c r="T569" s="721">
        <v>430</v>
      </c>
      <c r="U569" s="724"/>
      <c r="V569" s="721">
        <v>69</v>
      </c>
      <c r="W569" s="721">
        <v>50</v>
      </c>
      <c r="X569" s="724"/>
      <c r="Y569" s="724"/>
      <c r="Z569" s="721">
        <v>174</v>
      </c>
      <c r="AA569" s="724"/>
      <c r="AB569" s="725"/>
      <c r="AC569" s="721">
        <v>581</v>
      </c>
      <c r="AD569" s="724"/>
      <c r="AE569" s="724"/>
      <c r="AF569" s="721">
        <v>547</v>
      </c>
      <c r="AG569" s="724"/>
      <c r="AH569" s="721">
        <v>154</v>
      </c>
      <c r="AI569" s="724"/>
      <c r="AU569" s="713"/>
      <c r="AW569" s="712"/>
      <c r="BY569" s="714"/>
      <c r="BZ569" s="715"/>
      <c r="CA569" s="716"/>
      <c r="CB569" s="717"/>
      <c r="CC569" s="717"/>
      <c r="CD569" s="717"/>
      <c r="CE569" s="717"/>
      <c r="CF569" s="717"/>
      <c r="CG569" s="717"/>
      <c r="CH569" s="717"/>
      <c r="CI569" s="717"/>
      <c r="CJ569" s="717"/>
      <c r="CK569" s="717"/>
      <c r="CL569" s="717"/>
      <c r="CM569" s="717"/>
      <c r="CN569" s="717"/>
      <c r="CO569" s="717"/>
      <c r="CP569" s="717"/>
      <c r="CQ569" s="717"/>
      <c r="CR569" s="717"/>
      <c r="CS569" s="717"/>
      <c r="CT569" s="717"/>
      <c r="CU569" s="717"/>
      <c r="CV569" s="717"/>
      <c r="CW569" s="717"/>
      <c r="CX569" s="717"/>
      <c r="CY569" s="717"/>
      <c r="CZ569" s="717"/>
      <c r="DA569" s="717"/>
      <c r="DB569" s="717"/>
      <c r="DC569" s="717"/>
      <c r="DD569" s="717"/>
      <c r="DE569" s="717"/>
      <c r="DF569" s="717"/>
      <c r="DG569" s="717"/>
      <c r="DH569" s="717"/>
      <c r="DI569" s="717"/>
      <c r="DJ569" s="717"/>
      <c r="DM569" s="711"/>
      <c r="DN569" s="711"/>
      <c r="DO569" s="711"/>
      <c r="DP569" s="711"/>
      <c r="DQ569" s="711"/>
      <c r="EB569" s="719"/>
    </row>
    <row r="570" spans="5:132" s="709" customFormat="1" ht="18" hidden="1">
      <c r="E570" s="721"/>
      <c r="G570" s="990">
        <v>12</v>
      </c>
      <c r="H570" s="989">
        <v>21</v>
      </c>
      <c r="I570" s="726"/>
      <c r="J570" s="724"/>
      <c r="K570" s="721">
        <v>358</v>
      </c>
      <c r="L570" s="721">
        <v>451</v>
      </c>
      <c r="M570" s="721">
        <v>138</v>
      </c>
      <c r="N570" s="721">
        <v>101</v>
      </c>
      <c r="O570" s="721">
        <v>562</v>
      </c>
      <c r="P570" s="724"/>
      <c r="Q570" s="721">
        <v>368</v>
      </c>
      <c r="R570" s="721">
        <v>345</v>
      </c>
      <c r="S570" s="721">
        <v>480</v>
      </c>
      <c r="T570" s="721">
        <v>431</v>
      </c>
      <c r="U570" s="724"/>
      <c r="V570" s="721">
        <v>70</v>
      </c>
      <c r="W570" s="721">
        <v>51</v>
      </c>
      <c r="X570" s="724"/>
      <c r="Y570" s="724"/>
      <c r="Z570" s="721">
        <v>175</v>
      </c>
      <c r="AA570" s="724"/>
      <c r="AB570" s="725"/>
      <c r="AC570" s="721">
        <v>582</v>
      </c>
      <c r="AD570" s="724"/>
      <c r="AE570" s="724"/>
      <c r="AF570" s="721">
        <v>548</v>
      </c>
      <c r="AG570" s="724"/>
      <c r="AH570" s="721">
        <v>161</v>
      </c>
      <c r="AI570" s="724"/>
      <c r="AU570" s="713"/>
      <c r="AW570" s="712"/>
      <c r="BY570" s="714"/>
      <c r="BZ570" s="715"/>
      <c r="CA570" s="716"/>
      <c r="CB570" s="717"/>
      <c r="CC570" s="717"/>
      <c r="CD570" s="717"/>
      <c r="CE570" s="717"/>
      <c r="CF570" s="717"/>
      <c r="CG570" s="717"/>
      <c r="CH570" s="717"/>
      <c r="CI570" s="717"/>
      <c r="CJ570" s="717"/>
      <c r="CK570" s="717"/>
      <c r="CL570" s="717"/>
      <c r="CM570" s="717"/>
      <c r="CN570" s="717"/>
      <c r="CO570" s="717"/>
      <c r="CP570" s="717"/>
      <c r="CQ570" s="717"/>
      <c r="CR570" s="717"/>
      <c r="CS570" s="717"/>
      <c r="CT570" s="717"/>
      <c r="CU570" s="717"/>
      <c r="CV570" s="717"/>
      <c r="CW570" s="717"/>
      <c r="CX570" s="717"/>
      <c r="CY570" s="717"/>
      <c r="CZ570" s="717"/>
      <c r="DA570" s="717"/>
      <c r="DB570" s="717"/>
      <c r="DC570" s="717"/>
      <c r="DD570" s="717"/>
      <c r="DE570" s="717"/>
      <c r="DF570" s="717"/>
      <c r="DG570" s="717"/>
      <c r="DH570" s="717"/>
      <c r="DI570" s="717"/>
      <c r="DJ570" s="717"/>
      <c r="DM570" s="711"/>
      <c r="DN570" s="711"/>
      <c r="DO570" s="711"/>
      <c r="DP570" s="711"/>
      <c r="DQ570" s="711"/>
      <c r="EB570" s="719"/>
    </row>
    <row r="571" spans="5:132" s="709" customFormat="1" ht="18" hidden="1">
      <c r="E571" s="721"/>
      <c r="G571" s="990">
        <v>13</v>
      </c>
      <c r="H571" s="989">
        <v>22</v>
      </c>
      <c r="I571" s="726"/>
      <c r="J571" s="724"/>
      <c r="K571" s="724"/>
      <c r="L571" s="721">
        <v>452</v>
      </c>
      <c r="M571" s="721">
        <v>151</v>
      </c>
      <c r="N571" s="721">
        <v>128</v>
      </c>
      <c r="O571" s="721">
        <v>563</v>
      </c>
      <c r="P571" s="724"/>
      <c r="Q571" s="721">
        <v>369</v>
      </c>
      <c r="R571" s="721">
        <v>346</v>
      </c>
      <c r="S571" s="721">
        <v>481</v>
      </c>
      <c r="T571" s="721">
        <v>432</v>
      </c>
      <c r="U571" s="724"/>
      <c r="V571" s="721">
        <v>82</v>
      </c>
      <c r="W571" s="721">
        <v>60</v>
      </c>
      <c r="X571" s="724"/>
      <c r="Y571" s="724"/>
      <c r="Z571" s="721">
        <v>196</v>
      </c>
      <c r="AA571" s="724"/>
      <c r="AB571" s="725"/>
      <c r="AC571" s="721">
        <v>583</v>
      </c>
      <c r="AD571" s="724"/>
      <c r="AE571" s="724"/>
      <c r="AF571" s="721">
        <v>549</v>
      </c>
      <c r="AG571" s="724"/>
      <c r="AH571" s="721">
        <v>162</v>
      </c>
      <c r="AI571" s="724"/>
      <c r="AU571" s="713"/>
      <c r="AW571" s="712"/>
      <c r="BY571" s="714"/>
      <c r="BZ571" s="715"/>
      <c r="CA571" s="716"/>
      <c r="CB571" s="717"/>
      <c r="CC571" s="717"/>
      <c r="CD571" s="717"/>
      <c r="CE571" s="717"/>
      <c r="CF571" s="717"/>
      <c r="CG571" s="717"/>
      <c r="CH571" s="717"/>
      <c r="CI571" s="717"/>
      <c r="CJ571" s="717"/>
      <c r="CK571" s="717"/>
      <c r="CL571" s="717"/>
      <c r="CM571" s="717"/>
      <c r="CN571" s="717"/>
      <c r="CO571" s="717"/>
      <c r="CP571" s="717"/>
      <c r="CQ571" s="717"/>
      <c r="CR571" s="717"/>
      <c r="CS571" s="717"/>
      <c r="CT571" s="717"/>
      <c r="CU571" s="717"/>
      <c r="CV571" s="717"/>
      <c r="CW571" s="717"/>
      <c r="CX571" s="717"/>
      <c r="CY571" s="717"/>
      <c r="CZ571" s="717"/>
      <c r="DA571" s="717"/>
      <c r="DB571" s="717"/>
      <c r="DC571" s="717"/>
      <c r="DD571" s="717"/>
      <c r="DE571" s="717"/>
      <c r="DF571" s="717"/>
      <c r="DG571" s="717"/>
      <c r="DH571" s="717"/>
      <c r="DI571" s="717"/>
      <c r="DJ571" s="717"/>
      <c r="DM571" s="711"/>
      <c r="DN571" s="711"/>
      <c r="DO571" s="711"/>
      <c r="DP571" s="711"/>
      <c r="DQ571" s="711"/>
      <c r="EB571" s="719"/>
    </row>
    <row r="572" spans="5:132" s="709" customFormat="1" ht="18" hidden="1">
      <c r="E572" s="721"/>
      <c r="G572" s="990">
        <v>14</v>
      </c>
      <c r="H572" s="989">
        <v>23</v>
      </c>
      <c r="I572" s="726"/>
      <c r="J572" s="724"/>
      <c r="K572" s="724"/>
      <c r="L572" s="721">
        <v>453</v>
      </c>
      <c r="M572" s="721">
        <v>152</v>
      </c>
      <c r="N572" s="721">
        <v>129</v>
      </c>
      <c r="O572" s="724"/>
      <c r="P572" s="724"/>
      <c r="Q572" s="721">
        <v>370</v>
      </c>
      <c r="R572" s="721">
        <v>389</v>
      </c>
      <c r="S572" s="721">
        <v>482</v>
      </c>
      <c r="T572" s="721">
        <v>433</v>
      </c>
      <c r="U572" s="724"/>
      <c r="V572" s="721">
        <v>97</v>
      </c>
      <c r="W572" s="721">
        <v>61</v>
      </c>
      <c r="X572" s="724"/>
      <c r="Y572" s="724"/>
      <c r="Z572" s="721">
        <v>198</v>
      </c>
      <c r="AA572" s="724"/>
      <c r="AB572" s="725"/>
      <c r="AC572" s="721">
        <v>586</v>
      </c>
      <c r="AD572" s="724"/>
      <c r="AE572" s="724"/>
      <c r="AF572" s="721">
        <v>550</v>
      </c>
      <c r="AG572" s="724"/>
      <c r="AH572" s="721">
        <v>180</v>
      </c>
      <c r="AI572" s="724"/>
      <c r="AU572" s="713"/>
      <c r="AW572" s="712"/>
      <c r="BY572" s="714"/>
      <c r="BZ572" s="715"/>
      <c r="CA572" s="716"/>
      <c r="CB572" s="717"/>
      <c r="CC572" s="717"/>
      <c r="CD572" s="717"/>
      <c r="CE572" s="717"/>
      <c r="CF572" s="717"/>
      <c r="CG572" s="717"/>
      <c r="CH572" s="717"/>
      <c r="CI572" s="717"/>
      <c r="CJ572" s="717"/>
      <c r="CK572" s="717"/>
      <c r="CL572" s="717"/>
      <c r="CM572" s="717"/>
      <c r="CN572" s="717"/>
      <c r="CO572" s="717"/>
      <c r="CP572" s="717"/>
      <c r="CQ572" s="717"/>
      <c r="CR572" s="717"/>
      <c r="CS572" s="717"/>
      <c r="CT572" s="717"/>
      <c r="CU572" s="717"/>
      <c r="CV572" s="717"/>
      <c r="CW572" s="717"/>
      <c r="CX572" s="717"/>
      <c r="CY572" s="717"/>
      <c r="CZ572" s="717"/>
      <c r="DA572" s="717"/>
      <c r="DB572" s="717"/>
      <c r="DC572" s="717"/>
      <c r="DD572" s="717"/>
      <c r="DE572" s="717"/>
      <c r="DF572" s="717"/>
      <c r="DG572" s="717"/>
      <c r="DH572" s="717"/>
      <c r="DI572" s="717"/>
      <c r="DJ572" s="717"/>
      <c r="DM572" s="711"/>
      <c r="DN572" s="711"/>
      <c r="DO572" s="711"/>
      <c r="DP572" s="711"/>
      <c r="DQ572" s="711"/>
      <c r="EB572" s="719"/>
    </row>
    <row r="573" spans="5:132" s="709" customFormat="1" ht="18" hidden="1">
      <c r="E573" s="721"/>
      <c r="G573" s="990">
        <v>15</v>
      </c>
      <c r="H573" s="989">
        <v>24</v>
      </c>
      <c r="I573" s="726"/>
      <c r="J573" s="724"/>
      <c r="K573" s="724"/>
      <c r="L573" s="721">
        <v>454</v>
      </c>
      <c r="M573" s="721">
        <v>167</v>
      </c>
      <c r="N573" s="721">
        <v>130</v>
      </c>
      <c r="O573" s="724"/>
      <c r="P573" s="724"/>
      <c r="Q573" s="721">
        <v>371</v>
      </c>
      <c r="R573" s="721">
        <v>390</v>
      </c>
      <c r="S573" s="721">
        <v>483</v>
      </c>
      <c r="T573" s="721">
        <v>435</v>
      </c>
      <c r="U573" s="724"/>
      <c r="V573" s="721">
        <v>109</v>
      </c>
      <c r="W573" s="721">
        <v>62</v>
      </c>
      <c r="X573" s="724"/>
      <c r="Y573" s="724"/>
      <c r="Z573" s="721">
        <v>211</v>
      </c>
      <c r="AA573" s="724"/>
      <c r="AB573" s="725"/>
      <c r="AC573" s="721">
        <v>587</v>
      </c>
      <c r="AD573" s="724"/>
      <c r="AE573" s="724"/>
      <c r="AF573" s="721">
        <v>552</v>
      </c>
      <c r="AG573" s="724"/>
      <c r="AH573" s="721">
        <v>181</v>
      </c>
      <c r="AI573" s="724"/>
      <c r="AU573" s="713"/>
      <c r="AW573" s="712"/>
      <c r="BY573" s="714"/>
      <c r="BZ573" s="715"/>
      <c r="CA573" s="716"/>
      <c r="CB573" s="717"/>
      <c r="CC573" s="717"/>
      <c r="CD573" s="717"/>
      <c r="CE573" s="717"/>
      <c r="CF573" s="717"/>
      <c r="CG573" s="717"/>
      <c r="CH573" s="717"/>
      <c r="CI573" s="717"/>
      <c r="CJ573" s="717"/>
      <c r="CK573" s="717"/>
      <c r="CL573" s="717"/>
      <c r="CM573" s="717"/>
      <c r="CN573" s="717"/>
      <c r="CO573" s="717"/>
      <c r="CP573" s="717"/>
      <c r="CQ573" s="717"/>
      <c r="CR573" s="717"/>
      <c r="CS573" s="717"/>
      <c r="CT573" s="717"/>
      <c r="CU573" s="717"/>
      <c r="CV573" s="717"/>
      <c r="CW573" s="717"/>
      <c r="CX573" s="717"/>
      <c r="CY573" s="717"/>
      <c r="CZ573" s="717"/>
      <c r="DA573" s="717"/>
      <c r="DB573" s="717"/>
      <c r="DC573" s="717"/>
      <c r="DD573" s="717"/>
      <c r="DE573" s="717"/>
      <c r="DF573" s="717"/>
      <c r="DG573" s="717"/>
      <c r="DH573" s="717"/>
      <c r="DI573" s="717"/>
      <c r="DJ573" s="717"/>
      <c r="DM573" s="711"/>
      <c r="DN573" s="711"/>
      <c r="DO573" s="711"/>
      <c r="DP573" s="711"/>
      <c r="DQ573" s="711"/>
      <c r="EB573" s="719"/>
    </row>
    <row r="574" spans="5:132" s="709" customFormat="1" ht="18" hidden="1">
      <c r="E574" s="721"/>
      <c r="G574" s="990">
        <v>16</v>
      </c>
      <c r="H574" s="989">
        <v>25</v>
      </c>
      <c r="I574" s="726"/>
      <c r="J574" s="724"/>
      <c r="K574" s="724"/>
      <c r="L574" s="721">
        <v>455</v>
      </c>
      <c r="M574" s="721">
        <v>168</v>
      </c>
      <c r="N574" s="721">
        <v>131</v>
      </c>
      <c r="O574" s="724"/>
      <c r="P574" s="724"/>
      <c r="Q574" s="721">
        <v>372</v>
      </c>
      <c r="R574" s="721">
        <v>391</v>
      </c>
      <c r="S574" s="721">
        <v>484</v>
      </c>
      <c r="T574" s="721">
        <v>436</v>
      </c>
      <c r="U574" s="724"/>
      <c r="V574" s="721">
        <v>110</v>
      </c>
      <c r="W574" s="721">
        <v>63</v>
      </c>
      <c r="X574" s="724"/>
      <c r="Y574" s="724"/>
      <c r="Z574" s="721">
        <v>217</v>
      </c>
      <c r="AA574" s="724"/>
      <c r="AB574" s="725"/>
      <c r="AC574" s="721">
        <v>588</v>
      </c>
      <c r="AD574" s="724"/>
      <c r="AE574" s="724"/>
      <c r="AF574" s="721">
        <v>593</v>
      </c>
      <c r="AG574" s="724"/>
      <c r="AH574" s="721">
        <v>218</v>
      </c>
      <c r="AI574" s="724"/>
      <c r="AU574" s="713"/>
      <c r="AW574" s="712"/>
      <c r="BY574" s="714"/>
      <c r="BZ574" s="715"/>
      <c r="CA574" s="716"/>
      <c r="CB574" s="717"/>
      <c r="CC574" s="717"/>
      <c r="CD574" s="717"/>
      <c r="CE574" s="717"/>
      <c r="CF574" s="717"/>
      <c r="CG574" s="717"/>
      <c r="CH574" s="717"/>
      <c r="CI574" s="717"/>
      <c r="CJ574" s="717"/>
      <c r="CK574" s="717"/>
      <c r="CL574" s="717"/>
      <c r="CM574" s="717"/>
      <c r="CN574" s="717"/>
      <c r="CO574" s="717"/>
      <c r="CP574" s="717"/>
      <c r="CQ574" s="717"/>
      <c r="CR574" s="717"/>
      <c r="CS574" s="717"/>
      <c r="CT574" s="717"/>
      <c r="CU574" s="717"/>
      <c r="CV574" s="717"/>
      <c r="CW574" s="717"/>
      <c r="CX574" s="717"/>
      <c r="CY574" s="717"/>
      <c r="CZ574" s="717"/>
      <c r="DA574" s="717"/>
      <c r="DB574" s="717"/>
      <c r="DC574" s="717"/>
      <c r="DD574" s="717"/>
      <c r="DE574" s="717"/>
      <c r="DF574" s="717"/>
      <c r="DG574" s="717"/>
      <c r="DH574" s="717"/>
      <c r="DI574" s="717"/>
      <c r="DJ574" s="717"/>
      <c r="DM574" s="711"/>
      <c r="DN574" s="711"/>
      <c r="DO574" s="711"/>
      <c r="DP574" s="711"/>
      <c r="DQ574" s="711"/>
      <c r="EB574" s="719"/>
    </row>
    <row r="575" spans="5:132" s="709" customFormat="1" ht="18" hidden="1">
      <c r="E575" s="721"/>
      <c r="G575" s="990">
        <v>17</v>
      </c>
      <c r="H575" s="989">
        <v>26</v>
      </c>
      <c r="I575" s="726"/>
      <c r="J575" s="724"/>
      <c r="K575" s="724"/>
      <c r="L575" s="721">
        <v>456</v>
      </c>
      <c r="M575" s="721">
        <v>169</v>
      </c>
      <c r="N575" s="721">
        <v>132</v>
      </c>
      <c r="O575" s="724"/>
      <c r="P575" s="724"/>
      <c r="Q575" s="721">
        <v>373</v>
      </c>
      <c r="R575" s="721">
        <v>392</v>
      </c>
      <c r="S575" s="721">
        <v>485</v>
      </c>
      <c r="T575" s="721">
        <v>437</v>
      </c>
      <c r="U575" s="724"/>
      <c r="V575" s="721">
        <v>111</v>
      </c>
      <c r="W575" s="721">
        <v>64</v>
      </c>
      <c r="X575" s="724"/>
      <c r="Y575" s="724"/>
      <c r="Z575" s="721">
        <v>270</v>
      </c>
      <c r="AA575" s="724"/>
      <c r="AB575" s="725"/>
      <c r="AC575" s="721">
        <v>589</v>
      </c>
      <c r="AD575" s="724"/>
      <c r="AE575" s="724"/>
      <c r="AF575" s="721">
        <v>594</v>
      </c>
      <c r="AG575" s="724"/>
      <c r="AH575" s="721">
        <v>219</v>
      </c>
      <c r="AI575" s="724"/>
      <c r="AU575" s="713"/>
      <c r="AW575" s="712"/>
      <c r="BY575" s="714"/>
      <c r="BZ575" s="715"/>
      <c r="CA575" s="716"/>
      <c r="CB575" s="717"/>
      <c r="CC575" s="717"/>
      <c r="CD575" s="717"/>
      <c r="CE575" s="717"/>
      <c r="CF575" s="717"/>
      <c r="CG575" s="717"/>
      <c r="CH575" s="717"/>
      <c r="CI575" s="717"/>
      <c r="CJ575" s="717"/>
      <c r="CK575" s="717"/>
      <c r="CL575" s="717"/>
      <c r="CM575" s="717"/>
      <c r="CN575" s="717"/>
      <c r="CO575" s="717"/>
      <c r="CP575" s="717"/>
      <c r="CQ575" s="717"/>
      <c r="CR575" s="717"/>
      <c r="CS575" s="717"/>
      <c r="CT575" s="717"/>
      <c r="CU575" s="717"/>
      <c r="CV575" s="717"/>
      <c r="CW575" s="717"/>
      <c r="CX575" s="717"/>
      <c r="CY575" s="717"/>
      <c r="CZ575" s="717"/>
      <c r="DA575" s="717"/>
      <c r="DB575" s="717"/>
      <c r="DC575" s="717"/>
      <c r="DD575" s="717"/>
      <c r="DE575" s="717"/>
      <c r="DF575" s="717"/>
      <c r="DG575" s="717"/>
      <c r="DH575" s="717"/>
      <c r="DI575" s="717"/>
      <c r="DJ575" s="717"/>
      <c r="DM575" s="711"/>
      <c r="DN575" s="711"/>
      <c r="DO575" s="711"/>
      <c r="DP575" s="711"/>
      <c r="DQ575" s="711"/>
      <c r="EB575" s="719"/>
    </row>
    <row r="576" spans="5:132" s="709" customFormat="1" ht="18" hidden="1">
      <c r="E576" s="721"/>
      <c r="G576" s="990">
        <v>18</v>
      </c>
      <c r="H576" s="989">
        <v>27</v>
      </c>
      <c r="I576" s="726"/>
      <c r="J576" s="724"/>
      <c r="K576" s="724"/>
      <c r="L576" s="721">
        <v>457</v>
      </c>
      <c r="M576" s="721">
        <v>170</v>
      </c>
      <c r="N576" s="721">
        <v>133</v>
      </c>
      <c r="O576" s="724"/>
      <c r="P576" s="724"/>
      <c r="Q576" s="721">
        <v>374</v>
      </c>
      <c r="R576" s="721">
        <v>393</v>
      </c>
      <c r="S576" s="724"/>
      <c r="T576" s="721">
        <v>438</v>
      </c>
      <c r="U576" s="724"/>
      <c r="V576" s="721">
        <v>112</v>
      </c>
      <c r="W576" s="721">
        <v>84</v>
      </c>
      <c r="X576" s="724"/>
      <c r="Y576" s="724"/>
      <c r="Z576" s="721">
        <v>271</v>
      </c>
      <c r="AA576" s="724"/>
      <c r="AB576" s="725"/>
      <c r="AC576" s="721">
        <v>590</v>
      </c>
      <c r="AD576" s="724"/>
      <c r="AE576" s="724"/>
      <c r="AF576" s="721">
        <v>599</v>
      </c>
      <c r="AG576" s="724"/>
      <c r="AH576" s="721">
        <v>220</v>
      </c>
      <c r="AI576" s="724"/>
      <c r="AU576" s="713"/>
      <c r="AW576" s="712"/>
      <c r="BY576" s="714"/>
      <c r="BZ576" s="715"/>
      <c r="CA576" s="716"/>
      <c r="CB576" s="717"/>
      <c r="CC576" s="717"/>
      <c r="CD576" s="717"/>
      <c r="CE576" s="717"/>
      <c r="CF576" s="717"/>
      <c r="CG576" s="717"/>
      <c r="CH576" s="717"/>
      <c r="CI576" s="717"/>
      <c r="CJ576" s="717"/>
      <c r="CK576" s="717"/>
      <c r="CL576" s="717"/>
      <c r="CM576" s="717"/>
      <c r="CN576" s="717"/>
      <c r="CO576" s="717"/>
      <c r="CP576" s="717"/>
      <c r="CQ576" s="717"/>
      <c r="CR576" s="717"/>
      <c r="CS576" s="717"/>
      <c r="CT576" s="717"/>
      <c r="CU576" s="717"/>
      <c r="CV576" s="717"/>
      <c r="CW576" s="717"/>
      <c r="CX576" s="717"/>
      <c r="CY576" s="717"/>
      <c r="CZ576" s="717"/>
      <c r="DA576" s="717"/>
      <c r="DB576" s="717"/>
      <c r="DC576" s="717"/>
      <c r="DD576" s="717"/>
      <c r="DE576" s="717"/>
      <c r="DF576" s="717"/>
      <c r="DG576" s="717"/>
      <c r="DH576" s="717"/>
      <c r="DI576" s="717"/>
      <c r="DJ576" s="717"/>
      <c r="DM576" s="711"/>
      <c r="DN576" s="711"/>
      <c r="DO576" s="711"/>
      <c r="DP576" s="711"/>
      <c r="DQ576" s="711"/>
      <c r="EB576" s="719"/>
    </row>
    <row r="577" spans="5:132" s="709" customFormat="1" ht="18" hidden="1">
      <c r="E577" s="721"/>
      <c r="G577" s="990">
        <v>19</v>
      </c>
      <c r="H577" s="989">
        <v>28</v>
      </c>
      <c r="I577" s="726"/>
      <c r="J577" s="724"/>
      <c r="K577" s="724"/>
      <c r="L577" s="721">
        <v>458</v>
      </c>
      <c r="M577" s="721">
        <v>190</v>
      </c>
      <c r="N577" s="721">
        <v>134</v>
      </c>
      <c r="O577" s="724"/>
      <c r="P577" s="724"/>
      <c r="Q577" s="721">
        <v>376</v>
      </c>
      <c r="R577" s="721">
        <v>394</v>
      </c>
      <c r="S577" s="724"/>
      <c r="T577" s="721">
        <v>439</v>
      </c>
      <c r="U577" s="724"/>
      <c r="V577" s="721">
        <v>125</v>
      </c>
      <c r="W577" s="721">
        <v>85</v>
      </c>
      <c r="X577" s="724"/>
      <c r="Y577" s="724"/>
      <c r="Z577" s="721">
        <v>272</v>
      </c>
      <c r="AA577" s="724"/>
      <c r="AB577" s="725"/>
      <c r="AC577" s="721">
        <v>591</v>
      </c>
      <c r="AD577" s="724"/>
      <c r="AE577" s="724"/>
      <c r="AF577" s="721">
        <v>601</v>
      </c>
      <c r="AG577" s="724"/>
      <c r="AH577" s="721">
        <v>221</v>
      </c>
      <c r="AI577" s="724"/>
      <c r="AU577" s="713"/>
      <c r="AW577" s="712"/>
      <c r="BY577" s="714"/>
      <c r="BZ577" s="715"/>
      <c r="CA577" s="716"/>
      <c r="CB577" s="717"/>
      <c r="CC577" s="717"/>
      <c r="CD577" s="717"/>
      <c r="CE577" s="717"/>
      <c r="CF577" s="717"/>
      <c r="CG577" s="717"/>
      <c r="CH577" s="717"/>
      <c r="CI577" s="717"/>
      <c r="CJ577" s="717"/>
      <c r="CK577" s="717"/>
      <c r="CL577" s="717"/>
      <c r="CM577" s="717"/>
      <c r="CN577" s="717"/>
      <c r="CO577" s="717"/>
      <c r="CP577" s="717"/>
      <c r="CQ577" s="717"/>
      <c r="CR577" s="717"/>
      <c r="CS577" s="717"/>
      <c r="CT577" s="717"/>
      <c r="CU577" s="717"/>
      <c r="CV577" s="717"/>
      <c r="CW577" s="717"/>
      <c r="CX577" s="717"/>
      <c r="CY577" s="717"/>
      <c r="CZ577" s="717"/>
      <c r="DA577" s="717"/>
      <c r="DB577" s="717"/>
      <c r="DC577" s="717"/>
      <c r="DD577" s="717"/>
      <c r="DE577" s="717"/>
      <c r="DF577" s="717"/>
      <c r="DG577" s="717"/>
      <c r="DH577" s="717"/>
      <c r="DI577" s="717"/>
      <c r="DJ577" s="717"/>
      <c r="DM577" s="711"/>
      <c r="DN577" s="711"/>
      <c r="DO577" s="711"/>
      <c r="DP577" s="711"/>
      <c r="DQ577" s="711"/>
      <c r="EB577" s="719"/>
    </row>
    <row r="578" spans="5:132" s="709" customFormat="1" ht="18" hidden="1">
      <c r="E578" s="721"/>
      <c r="G578" s="990">
        <v>20</v>
      </c>
      <c r="H578" s="989">
        <v>31</v>
      </c>
      <c r="I578" s="726"/>
      <c r="J578" s="724"/>
      <c r="K578" s="724"/>
      <c r="L578" s="721">
        <v>459</v>
      </c>
      <c r="M578" s="721">
        <v>191</v>
      </c>
      <c r="N578" s="721">
        <v>165</v>
      </c>
      <c r="O578" s="724"/>
      <c r="P578" s="724"/>
      <c r="Q578" s="721">
        <v>377</v>
      </c>
      <c r="R578" s="721">
        <v>395</v>
      </c>
      <c r="S578" s="724"/>
      <c r="T578" s="724"/>
      <c r="U578" s="724"/>
      <c r="V578" s="721">
        <v>126</v>
      </c>
      <c r="W578" s="721">
        <v>86</v>
      </c>
      <c r="X578" s="724"/>
      <c r="Y578" s="724"/>
      <c r="Z578" s="721">
        <v>273</v>
      </c>
      <c r="AA578" s="724"/>
      <c r="AB578" s="725"/>
      <c r="AC578" s="721">
        <v>592</v>
      </c>
      <c r="AD578" s="724"/>
      <c r="AE578" s="724"/>
      <c r="AF578" s="721">
        <v>602</v>
      </c>
      <c r="AG578" s="724"/>
      <c r="AH578" s="721">
        <v>222</v>
      </c>
      <c r="AI578" s="724"/>
      <c r="AU578" s="713"/>
      <c r="AW578" s="712"/>
      <c r="BY578" s="714"/>
      <c r="BZ578" s="715"/>
      <c r="CA578" s="716"/>
      <c r="CB578" s="717"/>
      <c r="CC578" s="717"/>
      <c r="CD578" s="717"/>
      <c r="CE578" s="717"/>
      <c r="CF578" s="717"/>
      <c r="CG578" s="717"/>
      <c r="CH578" s="717"/>
      <c r="CI578" s="717"/>
      <c r="CJ578" s="717"/>
      <c r="CK578" s="717"/>
      <c r="CL578" s="717"/>
      <c r="CM578" s="717"/>
      <c r="CN578" s="717"/>
      <c r="CO578" s="717"/>
      <c r="CP578" s="717"/>
      <c r="CQ578" s="717"/>
      <c r="CR578" s="717"/>
      <c r="CS578" s="717"/>
      <c r="CT578" s="717"/>
      <c r="CU578" s="717"/>
      <c r="CV578" s="717"/>
      <c r="CW578" s="717"/>
      <c r="CX578" s="717"/>
      <c r="CY578" s="717"/>
      <c r="CZ578" s="717"/>
      <c r="DA578" s="717"/>
      <c r="DB578" s="717"/>
      <c r="DC578" s="717"/>
      <c r="DD578" s="717"/>
      <c r="DE578" s="717"/>
      <c r="DF578" s="717"/>
      <c r="DG578" s="717"/>
      <c r="DH578" s="717"/>
      <c r="DI578" s="717"/>
      <c r="DJ578" s="717"/>
      <c r="DM578" s="711"/>
      <c r="DN578" s="711"/>
      <c r="DO578" s="711"/>
      <c r="DP578" s="711"/>
      <c r="DQ578" s="711"/>
      <c r="EB578" s="719"/>
    </row>
    <row r="579" spans="5:132" s="709" customFormat="1" ht="18" hidden="1">
      <c r="E579" s="721"/>
      <c r="G579" s="990">
        <v>21</v>
      </c>
      <c r="H579" s="989">
        <v>32</v>
      </c>
      <c r="I579" s="726"/>
      <c r="J579" s="724"/>
      <c r="K579" s="724"/>
      <c r="L579" s="721">
        <v>460</v>
      </c>
      <c r="M579" s="721">
        <v>225</v>
      </c>
      <c r="N579" s="721">
        <v>166</v>
      </c>
      <c r="O579" s="724"/>
      <c r="P579" s="724"/>
      <c r="Q579" s="721">
        <v>378</v>
      </c>
      <c r="R579" s="721">
        <v>396</v>
      </c>
      <c r="S579" s="724"/>
      <c r="T579" s="724"/>
      <c r="U579" s="724"/>
      <c r="V579" s="721">
        <v>127</v>
      </c>
      <c r="W579" s="721">
        <v>87</v>
      </c>
      <c r="X579" s="724"/>
      <c r="Y579" s="724"/>
      <c r="Z579" s="721">
        <v>274</v>
      </c>
      <c r="AA579" s="724"/>
      <c r="AB579" s="725"/>
      <c r="AC579" s="721">
        <v>595</v>
      </c>
      <c r="AD579" s="724"/>
      <c r="AE579" s="724"/>
      <c r="AF579" s="721">
        <v>603</v>
      </c>
      <c r="AG579" s="724"/>
      <c r="AH579" s="721">
        <v>223</v>
      </c>
      <c r="AI579" s="724"/>
      <c r="AU579" s="713"/>
      <c r="AW579" s="712"/>
      <c r="BY579" s="714"/>
      <c r="BZ579" s="715"/>
      <c r="CA579" s="716"/>
      <c r="CB579" s="717"/>
      <c r="CC579" s="717"/>
      <c r="CD579" s="717"/>
      <c r="CE579" s="717"/>
      <c r="CF579" s="717"/>
      <c r="CG579" s="717"/>
      <c r="CH579" s="717"/>
      <c r="CI579" s="717"/>
      <c r="CJ579" s="717"/>
      <c r="CK579" s="717"/>
      <c r="CL579" s="717"/>
      <c r="CM579" s="717"/>
      <c r="CN579" s="717"/>
      <c r="CO579" s="717"/>
      <c r="CP579" s="717"/>
      <c r="CQ579" s="717"/>
      <c r="CR579" s="717"/>
      <c r="CS579" s="717"/>
      <c r="CT579" s="717"/>
      <c r="CU579" s="717"/>
      <c r="CV579" s="717"/>
      <c r="CW579" s="717"/>
      <c r="CX579" s="717"/>
      <c r="CY579" s="717"/>
      <c r="CZ579" s="717"/>
      <c r="DA579" s="717"/>
      <c r="DB579" s="717"/>
      <c r="DC579" s="717"/>
      <c r="DD579" s="717"/>
      <c r="DE579" s="717"/>
      <c r="DF579" s="717"/>
      <c r="DG579" s="717"/>
      <c r="DH579" s="717"/>
      <c r="DI579" s="717"/>
      <c r="DJ579" s="717"/>
      <c r="DM579" s="711"/>
      <c r="DN579" s="711"/>
      <c r="DO579" s="711"/>
      <c r="DP579" s="711"/>
      <c r="DQ579" s="711"/>
      <c r="EB579" s="719"/>
    </row>
    <row r="580" spans="5:132" s="709" customFormat="1" ht="18" hidden="1">
      <c r="E580" s="721"/>
      <c r="G580" s="990">
        <v>22</v>
      </c>
      <c r="H580" s="989">
        <v>41</v>
      </c>
      <c r="I580" s="726"/>
      <c r="J580" s="724"/>
      <c r="K580" s="724"/>
      <c r="L580" s="721">
        <v>461</v>
      </c>
      <c r="M580" s="721">
        <v>232</v>
      </c>
      <c r="N580" s="721">
        <v>188</v>
      </c>
      <c r="O580" s="724"/>
      <c r="P580" s="724"/>
      <c r="Q580" s="721">
        <v>379</v>
      </c>
      <c r="R580" s="721">
        <v>412</v>
      </c>
      <c r="S580" s="724"/>
      <c r="T580" s="724"/>
      <c r="U580" s="724"/>
      <c r="V580" s="721">
        <v>139</v>
      </c>
      <c r="W580" s="721">
        <v>88</v>
      </c>
      <c r="X580" s="724"/>
      <c r="Y580" s="724"/>
      <c r="Z580" s="721">
        <v>275</v>
      </c>
      <c r="AA580" s="724"/>
      <c r="AB580" s="725"/>
      <c r="AC580" s="721">
        <v>600</v>
      </c>
      <c r="AD580" s="724"/>
      <c r="AE580" s="724"/>
      <c r="AF580" s="721">
        <v>604</v>
      </c>
      <c r="AG580" s="724"/>
      <c r="AH580" s="721">
        <v>224</v>
      </c>
      <c r="AI580" s="724"/>
      <c r="AU580" s="713"/>
      <c r="AW580" s="712"/>
      <c r="BY580" s="714"/>
      <c r="BZ580" s="715"/>
      <c r="CA580" s="716"/>
      <c r="CB580" s="717"/>
      <c r="CC580" s="717"/>
      <c r="CD580" s="717"/>
      <c r="CE580" s="717"/>
      <c r="CF580" s="717"/>
      <c r="CG580" s="717"/>
      <c r="CH580" s="717"/>
      <c r="CI580" s="717"/>
      <c r="CJ580" s="717"/>
      <c r="CK580" s="717"/>
      <c r="CL580" s="717"/>
      <c r="CM580" s="717"/>
      <c r="CN580" s="717"/>
      <c r="CO580" s="717"/>
      <c r="CP580" s="717"/>
      <c r="CQ580" s="717"/>
      <c r="CR580" s="717"/>
      <c r="CS580" s="717"/>
      <c r="CT580" s="717"/>
      <c r="CU580" s="717"/>
      <c r="CV580" s="717"/>
      <c r="CW580" s="717"/>
      <c r="CX580" s="717"/>
      <c r="CY580" s="717"/>
      <c r="CZ580" s="717"/>
      <c r="DA580" s="717"/>
      <c r="DB580" s="717"/>
      <c r="DC580" s="717"/>
      <c r="DD580" s="717"/>
      <c r="DE580" s="717"/>
      <c r="DF580" s="717"/>
      <c r="DG580" s="717"/>
      <c r="DH580" s="717"/>
      <c r="DI580" s="717"/>
      <c r="DJ580" s="717"/>
      <c r="DM580" s="711"/>
      <c r="DN580" s="711"/>
      <c r="DO580" s="711"/>
      <c r="DP580" s="711"/>
      <c r="DQ580" s="711"/>
      <c r="EB580" s="719"/>
    </row>
    <row r="581" spans="5:132" s="709" customFormat="1" ht="18" hidden="1">
      <c r="E581" s="721"/>
      <c r="G581" s="990">
        <v>23</v>
      </c>
      <c r="H581" s="989">
        <v>42</v>
      </c>
      <c r="I581" s="726"/>
      <c r="J581" s="724"/>
      <c r="K581" s="724"/>
      <c r="L581" s="721">
        <v>466</v>
      </c>
      <c r="M581" s="721">
        <v>241</v>
      </c>
      <c r="N581" s="721">
        <v>189</v>
      </c>
      <c r="O581" s="724"/>
      <c r="P581" s="724"/>
      <c r="Q581" s="721">
        <v>380</v>
      </c>
      <c r="R581" s="721">
        <v>413</v>
      </c>
      <c r="S581" s="724"/>
      <c r="T581" s="724"/>
      <c r="U581" s="724"/>
      <c r="V581" s="721">
        <v>140</v>
      </c>
      <c r="W581" s="721">
        <v>89</v>
      </c>
      <c r="X581" s="724"/>
      <c r="Y581" s="724"/>
      <c r="Z581" s="721">
        <v>277</v>
      </c>
      <c r="AA581" s="724"/>
      <c r="AB581" s="725"/>
      <c r="AC581" s="724"/>
      <c r="AD581" s="724"/>
      <c r="AE581" s="724"/>
      <c r="AF581" s="721">
        <v>605</v>
      </c>
      <c r="AG581" s="724"/>
      <c r="AH581" s="721">
        <v>233</v>
      </c>
      <c r="AI581" s="724"/>
      <c r="AU581" s="713"/>
      <c r="AW581" s="712"/>
      <c r="BY581" s="714"/>
      <c r="BZ581" s="715"/>
      <c r="CA581" s="716"/>
      <c r="CB581" s="717"/>
      <c r="CC581" s="717"/>
      <c r="CD581" s="717"/>
      <c r="CE581" s="717"/>
      <c r="CF581" s="717"/>
      <c r="CG581" s="717"/>
      <c r="CH581" s="717"/>
      <c r="CI581" s="717"/>
      <c r="CJ581" s="717"/>
      <c r="CK581" s="717"/>
      <c r="CL581" s="717"/>
      <c r="CM581" s="717"/>
      <c r="CN581" s="717"/>
      <c r="CO581" s="717"/>
      <c r="CP581" s="717"/>
      <c r="CQ581" s="717"/>
      <c r="CR581" s="717"/>
      <c r="CS581" s="717"/>
      <c r="CT581" s="717"/>
      <c r="CU581" s="717"/>
      <c r="CV581" s="717"/>
      <c r="CW581" s="717"/>
      <c r="CX581" s="717"/>
      <c r="CY581" s="717"/>
      <c r="CZ581" s="717"/>
      <c r="DA581" s="717"/>
      <c r="DB581" s="717"/>
      <c r="DC581" s="717"/>
      <c r="DD581" s="717"/>
      <c r="DE581" s="717"/>
      <c r="DF581" s="717"/>
      <c r="DG581" s="717"/>
      <c r="DH581" s="717"/>
      <c r="DI581" s="717"/>
      <c r="DJ581" s="717"/>
      <c r="DM581" s="711"/>
      <c r="DN581" s="711"/>
      <c r="DO581" s="711"/>
      <c r="DP581" s="711"/>
      <c r="DQ581" s="711"/>
      <c r="EB581" s="719"/>
    </row>
    <row r="582" spans="5:132" s="709" customFormat="1" ht="18" hidden="1">
      <c r="E582" s="721"/>
      <c r="G582" s="990">
        <v>24</v>
      </c>
      <c r="H582" s="989">
        <v>43</v>
      </c>
      <c r="I582" s="726"/>
      <c r="J582" s="724"/>
      <c r="K582" s="724"/>
      <c r="L582" s="721">
        <v>467</v>
      </c>
      <c r="M582" s="721">
        <v>264</v>
      </c>
      <c r="N582" s="721">
        <v>242</v>
      </c>
      <c r="O582" s="724"/>
      <c r="P582" s="724"/>
      <c r="Q582" s="721">
        <v>381</v>
      </c>
      <c r="R582" s="721">
        <v>414</v>
      </c>
      <c r="S582" s="724"/>
      <c r="T582" s="724"/>
      <c r="U582" s="724"/>
      <c r="V582" s="721">
        <v>141</v>
      </c>
      <c r="W582" s="721">
        <v>90</v>
      </c>
      <c r="X582" s="724"/>
      <c r="Y582" s="724"/>
      <c r="Z582" s="721">
        <v>279</v>
      </c>
      <c r="AA582" s="724"/>
      <c r="AB582" s="725"/>
      <c r="AC582" s="724"/>
      <c r="AD582" s="724"/>
      <c r="AE582" s="724"/>
      <c r="AF582" s="721">
        <v>606</v>
      </c>
      <c r="AG582" s="724"/>
      <c r="AH582" s="721">
        <v>238</v>
      </c>
      <c r="AI582" s="724"/>
      <c r="AU582" s="713"/>
      <c r="AW582" s="712"/>
      <c r="BY582" s="714"/>
      <c r="BZ582" s="715"/>
      <c r="CA582" s="716"/>
      <c r="CB582" s="717"/>
      <c r="CC582" s="717"/>
      <c r="CD582" s="717"/>
      <c r="CE582" s="717"/>
      <c r="CF582" s="717"/>
      <c r="CG582" s="717"/>
      <c r="CH582" s="717"/>
      <c r="CI582" s="717"/>
      <c r="CJ582" s="717"/>
      <c r="CK582" s="717"/>
      <c r="CL582" s="717"/>
      <c r="CM582" s="717"/>
      <c r="CN582" s="717"/>
      <c r="CO582" s="717"/>
      <c r="CP582" s="717"/>
      <c r="CQ582" s="717"/>
      <c r="CR582" s="717"/>
      <c r="CS582" s="717"/>
      <c r="CT582" s="717"/>
      <c r="CU582" s="717"/>
      <c r="CV582" s="717"/>
      <c r="CW582" s="717"/>
      <c r="CX582" s="717"/>
      <c r="CY582" s="717"/>
      <c r="CZ582" s="717"/>
      <c r="DA582" s="717"/>
      <c r="DB582" s="717"/>
      <c r="DC582" s="717"/>
      <c r="DD582" s="717"/>
      <c r="DE582" s="717"/>
      <c r="DF582" s="717"/>
      <c r="DG582" s="717"/>
      <c r="DH582" s="717"/>
      <c r="DI582" s="717"/>
      <c r="DJ582" s="717"/>
      <c r="DM582" s="711"/>
      <c r="DN582" s="711"/>
      <c r="DO582" s="711"/>
      <c r="DP582" s="711"/>
      <c r="DQ582" s="711"/>
      <c r="EB582" s="719"/>
    </row>
    <row r="583" spans="5:132" s="709" customFormat="1" ht="18" hidden="1">
      <c r="E583" s="721"/>
      <c r="G583" s="990">
        <v>25</v>
      </c>
      <c r="H583" s="989">
        <v>44</v>
      </c>
      <c r="I583" s="726"/>
      <c r="J583" s="724"/>
      <c r="K583" s="724"/>
      <c r="L583" s="721">
        <v>625</v>
      </c>
      <c r="M583" s="721">
        <v>276</v>
      </c>
      <c r="N583" s="721">
        <v>243</v>
      </c>
      <c r="O583" s="724"/>
      <c r="P583" s="724"/>
      <c r="Q583" s="721">
        <v>382</v>
      </c>
      <c r="R583" s="721">
        <v>415</v>
      </c>
      <c r="S583" s="724"/>
      <c r="T583" s="724"/>
      <c r="U583" s="724"/>
      <c r="V583" s="721">
        <v>142</v>
      </c>
      <c r="W583" s="721">
        <v>91</v>
      </c>
      <c r="X583" s="724"/>
      <c r="Y583" s="724"/>
      <c r="Z583" s="721">
        <v>320</v>
      </c>
      <c r="AA583" s="724"/>
      <c r="AB583" s="725"/>
      <c r="AC583" s="724"/>
      <c r="AD583" s="724"/>
      <c r="AE583" s="724"/>
      <c r="AF583" s="721">
        <v>607</v>
      </c>
      <c r="AG583" s="724"/>
      <c r="AH583" s="721">
        <v>239</v>
      </c>
      <c r="AI583" s="724"/>
      <c r="AU583" s="713"/>
      <c r="AW583" s="712"/>
      <c r="BY583" s="714"/>
      <c r="BZ583" s="715"/>
      <c r="CA583" s="716"/>
      <c r="CB583" s="717"/>
      <c r="CC583" s="717"/>
      <c r="CD583" s="717"/>
      <c r="CE583" s="717"/>
      <c r="CF583" s="717"/>
      <c r="CG583" s="717"/>
      <c r="CH583" s="717"/>
      <c r="CI583" s="717"/>
      <c r="CJ583" s="717"/>
      <c r="CK583" s="717"/>
      <c r="CL583" s="717"/>
      <c r="CM583" s="717"/>
      <c r="CN583" s="717"/>
      <c r="CO583" s="717"/>
      <c r="CP583" s="717"/>
      <c r="CQ583" s="717"/>
      <c r="CR583" s="717"/>
      <c r="CS583" s="717"/>
      <c r="CT583" s="717"/>
      <c r="CU583" s="717"/>
      <c r="CV583" s="717"/>
      <c r="CW583" s="717"/>
      <c r="CX583" s="717"/>
      <c r="CY583" s="717"/>
      <c r="CZ583" s="717"/>
      <c r="DA583" s="717"/>
      <c r="DB583" s="717"/>
      <c r="DC583" s="717"/>
      <c r="DD583" s="717"/>
      <c r="DE583" s="717"/>
      <c r="DF583" s="717"/>
      <c r="DG583" s="717"/>
      <c r="DH583" s="717"/>
      <c r="DI583" s="717"/>
      <c r="DJ583" s="717"/>
      <c r="DM583" s="711"/>
      <c r="DN583" s="711"/>
      <c r="DO583" s="711"/>
      <c r="DP583" s="711"/>
      <c r="DQ583" s="711"/>
      <c r="EB583" s="719"/>
    </row>
    <row r="584" spans="5:132" s="709" customFormat="1" ht="18" hidden="1">
      <c r="E584" s="721"/>
      <c r="G584" s="990">
        <v>26</v>
      </c>
      <c r="H584" s="989">
        <v>45</v>
      </c>
      <c r="I584" s="726"/>
      <c r="J584" s="724"/>
      <c r="K584" s="724"/>
      <c r="L584" s="721">
        <v>626</v>
      </c>
      <c r="M584" s="721">
        <v>315</v>
      </c>
      <c r="N584" s="721">
        <v>244</v>
      </c>
      <c r="O584" s="724"/>
      <c r="P584" s="724"/>
      <c r="Q584" s="721">
        <v>383</v>
      </c>
      <c r="R584" s="721">
        <v>416</v>
      </c>
      <c r="S584" s="724"/>
      <c r="T584" s="724"/>
      <c r="U584" s="724"/>
      <c r="V584" s="721">
        <v>143</v>
      </c>
      <c r="W584" s="721">
        <v>92</v>
      </c>
      <c r="X584" s="724"/>
      <c r="Y584" s="724"/>
      <c r="Z584" s="721">
        <v>321</v>
      </c>
      <c r="AA584" s="724"/>
      <c r="AB584" s="725"/>
      <c r="AC584" s="724"/>
      <c r="AD584" s="724"/>
      <c r="AE584" s="724"/>
      <c r="AF584" s="721">
        <v>608</v>
      </c>
      <c r="AG584" s="724"/>
      <c r="AH584" s="721">
        <v>240</v>
      </c>
      <c r="AI584" s="724"/>
      <c r="AU584" s="713"/>
      <c r="AW584" s="712"/>
      <c r="BY584" s="714"/>
      <c r="BZ584" s="715"/>
      <c r="CA584" s="716"/>
      <c r="CB584" s="717"/>
      <c r="CC584" s="717"/>
      <c r="CD584" s="717"/>
      <c r="CE584" s="717"/>
      <c r="CF584" s="717"/>
      <c r="CG584" s="717"/>
      <c r="CH584" s="717"/>
      <c r="CI584" s="717"/>
      <c r="CJ584" s="717"/>
      <c r="CK584" s="717"/>
      <c r="CL584" s="717"/>
      <c r="CM584" s="717"/>
      <c r="CN584" s="717"/>
      <c r="CO584" s="717"/>
      <c r="CP584" s="717"/>
      <c r="CQ584" s="717"/>
      <c r="CR584" s="717"/>
      <c r="CS584" s="717"/>
      <c r="CT584" s="717"/>
      <c r="CU584" s="717"/>
      <c r="CV584" s="717"/>
      <c r="CW584" s="717"/>
      <c r="CX584" s="717"/>
      <c r="CY584" s="717"/>
      <c r="CZ584" s="717"/>
      <c r="DA584" s="717"/>
      <c r="DB584" s="717"/>
      <c r="DC584" s="717"/>
      <c r="DD584" s="717"/>
      <c r="DE584" s="717"/>
      <c r="DF584" s="717"/>
      <c r="DG584" s="717"/>
      <c r="DH584" s="717"/>
      <c r="DI584" s="717"/>
      <c r="DJ584" s="717"/>
      <c r="DM584" s="711"/>
      <c r="DN584" s="711"/>
      <c r="DO584" s="711"/>
      <c r="DP584" s="711"/>
      <c r="DQ584" s="711"/>
      <c r="EB584" s="719"/>
    </row>
    <row r="585" spans="5:132" s="709" customFormat="1" ht="18" hidden="1">
      <c r="E585" s="721"/>
      <c r="G585" s="990">
        <v>27</v>
      </c>
      <c r="H585" s="989">
        <v>46</v>
      </c>
      <c r="I585" s="726"/>
      <c r="J585" s="724"/>
      <c r="K585" s="724"/>
      <c r="L585" s="721">
        <v>627</v>
      </c>
      <c r="M585" s="721">
        <v>316</v>
      </c>
      <c r="N585" s="721">
        <v>297</v>
      </c>
      <c r="O585" s="724"/>
      <c r="P585" s="724"/>
      <c r="Q585" s="721">
        <v>384</v>
      </c>
      <c r="R585" s="721">
        <v>417</v>
      </c>
      <c r="S585" s="724"/>
      <c r="T585" s="724"/>
      <c r="U585" s="724"/>
      <c r="V585" s="721">
        <v>144</v>
      </c>
      <c r="W585" s="721">
        <v>93</v>
      </c>
      <c r="X585" s="724"/>
      <c r="Y585" s="724"/>
      <c r="Z585" s="721">
        <v>325</v>
      </c>
      <c r="AA585" s="724"/>
      <c r="AB585" s="725"/>
      <c r="AC585" s="724"/>
      <c r="AD585" s="724"/>
      <c r="AE585" s="724"/>
      <c r="AF585" s="721"/>
      <c r="AG585" s="724"/>
      <c r="AH585" s="721">
        <v>245</v>
      </c>
      <c r="AI585" s="724"/>
      <c r="AU585" s="713"/>
      <c r="AW585" s="712"/>
      <c r="BY585" s="714"/>
      <c r="BZ585" s="715"/>
      <c r="CA585" s="716"/>
      <c r="CB585" s="717"/>
      <c r="CC585" s="717"/>
      <c r="CD585" s="717"/>
      <c r="CE585" s="717"/>
      <c r="CF585" s="717"/>
      <c r="CG585" s="717"/>
      <c r="CH585" s="717"/>
      <c r="CI585" s="717"/>
      <c r="CJ585" s="717"/>
      <c r="CK585" s="717"/>
      <c r="CL585" s="717"/>
      <c r="CM585" s="717"/>
      <c r="CN585" s="717"/>
      <c r="CO585" s="717"/>
      <c r="CP585" s="717"/>
      <c r="CQ585" s="717"/>
      <c r="CR585" s="717"/>
      <c r="CS585" s="717"/>
      <c r="CT585" s="717"/>
      <c r="CU585" s="717"/>
      <c r="CV585" s="717"/>
      <c r="CW585" s="717"/>
      <c r="CX585" s="717"/>
      <c r="CY585" s="717"/>
      <c r="CZ585" s="717"/>
      <c r="DA585" s="717"/>
      <c r="DB585" s="717"/>
      <c r="DC585" s="717"/>
      <c r="DD585" s="717"/>
      <c r="DE585" s="717"/>
      <c r="DF585" s="717"/>
      <c r="DG585" s="717"/>
      <c r="DH585" s="717"/>
      <c r="DI585" s="717"/>
      <c r="DJ585" s="717"/>
      <c r="DM585" s="711"/>
      <c r="DN585" s="711"/>
      <c r="DO585" s="711"/>
      <c r="DP585" s="711"/>
      <c r="DQ585" s="711"/>
      <c r="EB585" s="719"/>
    </row>
    <row r="586" spans="5:132" s="709" customFormat="1" ht="18" hidden="1">
      <c r="E586" s="721"/>
      <c r="G586" s="990">
        <v>28</v>
      </c>
      <c r="H586" s="989">
        <v>47</v>
      </c>
      <c r="I586" s="726"/>
      <c r="J586" s="724"/>
      <c r="K586" s="724"/>
      <c r="L586" s="728"/>
      <c r="M586" s="721">
        <v>317</v>
      </c>
      <c r="N586" s="721">
        <v>298</v>
      </c>
      <c r="O586" s="724"/>
      <c r="P586" s="724"/>
      <c r="Q586" s="721">
        <v>385</v>
      </c>
      <c r="R586" s="721">
        <v>418</v>
      </c>
      <c r="S586" s="724"/>
      <c r="T586" s="724"/>
      <c r="U586" s="724"/>
      <c r="V586" s="721">
        <v>145</v>
      </c>
      <c r="W586" s="721">
        <v>94</v>
      </c>
      <c r="X586" s="724"/>
      <c r="Y586" s="724"/>
      <c r="Z586" s="721">
        <v>326</v>
      </c>
      <c r="AA586" s="724"/>
      <c r="AB586" s="725"/>
      <c r="AC586" s="724"/>
      <c r="AD586" s="724"/>
      <c r="AE586" s="724"/>
      <c r="AF586" s="721"/>
      <c r="AG586" s="724"/>
      <c r="AH586" s="721">
        <v>246</v>
      </c>
      <c r="AI586" s="724"/>
      <c r="AU586" s="713"/>
      <c r="AW586" s="712"/>
      <c r="BY586" s="714"/>
      <c r="BZ586" s="715"/>
      <c r="CA586" s="716"/>
      <c r="CB586" s="717"/>
      <c r="CC586" s="717"/>
      <c r="CD586" s="717"/>
      <c r="CE586" s="717"/>
      <c r="CF586" s="717"/>
      <c r="CG586" s="717"/>
      <c r="CH586" s="717"/>
      <c r="CI586" s="717"/>
      <c r="CJ586" s="717"/>
      <c r="CK586" s="717"/>
      <c r="CL586" s="717"/>
      <c r="CM586" s="717"/>
      <c r="CN586" s="717"/>
      <c r="CO586" s="717"/>
      <c r="CP586" s="717"/>
      <c r="CQ586" s="717"/>
      <c r="CR586" s="717"/>
      <c r="CS586" s="717"/>
      <c r="CT586" s="717"/>
      <c r="CU586" s="717"/>
      <c r="CV586" s="717"/>
      <c r="CW586" s="717"/>
      <c r="CX586" s="717"/>
      <c r="CY586" s="717"/>
      <c r="CZ586" s="717"/>
      <c r="DA586" s="717"/>
      <c r="DB586" s="717"/>
      <c r="DC586" s="717"/>
      <c r="DD586" s="717"/>
      <c r="DE586" s="717"/>
      <c r="DF586" s="717"/>
      <c r="DG586" s="717"/>
      <c r="DH586" s="717"/>
      <c r="DI586" s="717"/>
      <c r="DJ586" s="717"/>
      <c r="DM586" s="711"/>
      <c r="DN586" s="711"/>
      <c r="DO586" s="711"/>
      <c r="DP586" s="711"/>
      <c r="DQ586" s="711"/>
      <c r="EB586" s="719"/>
    </row>
    <row r="587" spans="5:132" s="709" customFormat="1" ht="18" hidden="1">
      <c r="E587" s="721"/>
      <c r="G587" s="990">
        <v>29</v>
      </c>
      <c r="H587" s="989">
        <v>48</v>
      </c>
      <c r="I587" s="726"/>
      <c r="J587" s="724"/>
      <c r="K587" s="724"/>
      <c r="L587" s="728"/>
      <c r="M587" s="721">
        <v>487</v>
      </c>
      <c r="N587" s="721">
        <v>299</v>
      </c>
      <c r="O587" s="724"/>
      <c r="P587" s="724"/>
      <c r="Q587" s="721">
        <v>386</v>
      </c>
      <c r="R587" s="721">
        <v>419</v>
      </c>
      <c r="S587" s="724"/>
      <c r="T587" s="724"/>
      <c r="U587" s="724"/>
      <c r="V587" s="721">
        <v>146</v>
      </c>
      <c r="W587" s="721">
        <v>95</v>
      </c>
      <c r="X587" s="724"/>
      <c r="Y587" s="724"/>
      <c r="Z587" s="721">
        <v>501</v>
      </c>
      <c r="AA587" s="724"/>
      <c r="AB587" s="725"/>
      <c r="AC587" s="724"/>
      <c r="AD587" s="724"/>
      <c r="AE587" s="724"/>
      <c r="AF587" s="721"/>
      <c r="AG587" s="724"/>
      <c r="AH587" s="721">
        <v>282</v>
      </c>
      <c r="AI587" s="724"/>
      <c r="AU587" s="713"/>
      <c r="AW587" s="712"/>
      <c r="BY587" s="714"/>
      <c r="BZ587" s="715"/>
      <c r="CA587" s="716"/>
      <c r="CB587" s="717"/>
      <c r="CC587" s="717"/>
      <c r="CD587" s="717"/>
      <c r="CE587" s="717"/>
      <c r="CF587" s="717"/>
      <c r="CG587" s="717"/>
      <c r="CH587" s="717"/>
      <c r="CI587" s="717"/>
      <c r="CJ587" s="717"/>
      <c r="CK587" s="717"/>
      <c r="CL587" s="717"/>
      <c r="CM587" s="717"/>
      <c r="CN587" s="717"/>
      <c r="CO587" s="717"/>
      <c r="CP587" s="717"/>
      <c r="CQ587" s="717"/>
      <c r="CR587" s="717"/>
      <c r="CS587" s="717"/>
      <c r="CT587" s="717"/>
      <c r="CU587" s="717"/>
      <c r="CV587" s="717"/>
      <c r="CW587" s="717"/>
      <c r="CX587" s="717"/>
      <c r="CY587" s="717"/>
      <c r="CZ587" s="717"/>
      <c r="DA587" s="717"/>
      <c r="DB587" s="717"/>
      <c r="DC587" s="717"/>
      <c r="DD587" s="717"/>
      <c r="DE587" s="717"/>
      <c r="DF587" s="717"/>
      <c r="DG587" s="717"/>
      <c r="DH587" s="717"/>
      <c r="DI587" s="717"/>
      <c r="DJ587" s="717"/>
      <c r="DM587" s="711"/>
      <c r="DN587" s="711"/>
      <c r="DO587" s="711"/>
      <c r="DP587" s="711"/>
      <c r="DQ587" s="711"/>
      <c r="EB587" s="719"/>
    </row>
    <row r="588" spans="5:132" s="709" customFormat="1" ht="18" hidden="1">
      <c r="E588" s="721"/>
      <c r="G588" s="990">
        <v>30</v>
      </c>
      <c r="H588" s="989">
        <v>49</v>
      </c>
      <c r="I588" s="726"/>
      <c r="J588" s="724"/>
      <c r="K588" s="724"/>
      <c r="L588" s="728"/>
      <c r="M588" s="721">
        <v>488</v>
      </c>
      <c r="N588" s="721">
        <v>300</v>
      </c>
      <c r="O588" s="724"/>
      <c r="P588" s="724"/>
      <c r="Q588" s="721">
        <v>387</v>
      </c>
      <c r="R588" s="721">
        <v>420</v>
      </c>
      <c r="S588" s="724"/>
      <c r="T588" s="724"/>
      <c r="U588" s="724"/>
      <c r="V588" s="721">
        <v>147</v>
      </c>
      <c r="W588" s="721">
        <v>104</v>
      </c>
      <c r="X588" s="724"/>
      <c r="Y588" s="724"/>
      <c r="Z588" s="721">
        <v>502</v>
      </c>
      <c r="AA588" s="724"/>
      <c r="AB588" s="725"/>
      <c r="AC588" s="724"/>
      <c r="AD588" s="724"/>
      <c r="AE588" s="724"/>
      <c r="AF588" s="721"/>
      <c r="AG588" s="724"/>
      <c r="AH588" s="721">
        <v>286</v>
      </c>
      <c r="AI588" s="724"/>
      <c r="AU588" s="713"/>
      <c r="AW588" s="712"/>
      <c r="BY588" s="714"/>
      <c r="BZ588" s="715"/>
      <c r="CA588" s="716"/>
      <c r="CB588" s="717"/>
      <c r="CC588" s="717"/>
      <c r="CD588" s="717"/>
      <c r="CE588" s="717"/>
      <c r="CF588" s="717"/>
      <c r="CG588" s="717"/>
      <c r="CH588" s="717"/>
      <c r="CI588" s="717"/>
      <c r="CJ588" s="717"/>
      <c r="CK588" s="717"/>
      <c r="CL588" s="717"/>
      <c r="CM588" s="717"/>
      <c r="CN588" s="717"/>
      <c r="CO588" s="717"/>
      <c r="CP588" s="717"/>
      <c r="CQ588" s="717"/>
      <c r="CR588" s="717"/>
      <c r="CS588" s="717"/>
      <c r="CT588" s="717"/>
      <c r="CU588" s="717"/>
      <c r="CV588" s="717"/>
      <c r="CW588" s="717"/>
      <c r="CX588" s="717"/>
      <c r="CY588" s="717"/>
      <c r="CZ588" s="717"/>
      <c r="DA588" s="717"/>
      <c r="DB588" s="717"/>
      <c r="DC588" s="717"/>
      <c r="DD588" s="717"/>
      <c r="DE588" s="717"/>
      <c r="DF588" s="717"/>
      <c r="DG588" s="717"/>
      <c r="DH588" s="717"/>
      <c r="DI588" s="717"/>
      <c r="DJ588" s="717"/>
      <c r="DM588" s="711"/>
      <c r="DN588" s="711"/>
      <c r="DO588" s="711"/>
      <c r="DP588" s="711"/>
      <c r="DQ588" s="711"/>
      <c r="EB588" s="719"/>
    </row>
    <row r="589" spans="5:132" s="709" customFormat="1" ht="18" hidden="1">
      <c r="E589" s="721"/>
      <c r="G589" s="990">
        <v>31</v>
      </c>
      <c r="H589" s="989">
        <v>50</v>
      </c>
      <c r="I589" s="725"/>
      <c r="J589" s="724"/>
      <c r="K589" s="724"/>
      <c r="L589" s="728"/>
      <c r="M589" s="721">
        <v>489</v>
      </c>
      <c r="N589" s="721">
        <v>301</v>
      </c>
      <c r="O589" s="724"/>
      <c r="P589" s="724"/>
      <c r="Q589" s="721">
        <v>401</v>
      </c>
      <c r="R589" s="721">
        <v>421</v>
      </c>
      <c r="S589" s="724"/>
      <c r="T589" s="724"/>
      <c r="U589" s="724"/>
      <c r="V589" s="721">
        <v>148</v>
      </c>
      <c r="W589" s="721">
        <v>105</v>
      </c>
      <c r="X589" s="724"/>
      <c r="Y589" s="724"/>
      <c r="Z589" s="721">
        <v>503</v>
      </c>
      <c r="AA589" s="724"/>
      <c r="AB589" s="725"/>
      <c r="AC589" s="724"/>
      <c r="AD589" s="724"/>
      <c r="AE589" s="724"/>
      <c r="AF589" s="724"/>
      <c r="AG589" s="724"/>
      <c r="AH589" s="721">
        <v>287</v>
      </c>
      <c r="AI589" s="724"/>
      <c r="AU589" s="713"/>
      <c r="AW589" s="712"/>
      <c r="BY589" s="714"/>
      <c r="BZ589" s="715"/>
      <c r="CA589" s="716"/>
      <c r="CB589" s="717"/>
      <c r="CC589" s="717"/>
      <c r="CD589" s="717"/>
      <c r="CE589" s="717"/>
      <c r="CF589" s="717"/>
      <c r="CG589" s="717"/>
      <c r="CH589" s="717"/>
      <c r="CI589" s="717"/>
      <c r="CJ589" s="717"/>
      <c r="CK589" s="717"/>
      <c r="CL589" s="717"/>
      <c r="CM589" s="717"/>
      <c r="CN589" s="717"/>
      <c r="CO589" s="717"/>
      <c r="CP589" s="717"/>
      <c r="CQ589" s="717"/>
      <c r="CR589" s="717"/>
      <c r="CS589" s="717"/>
      <c r="CT589" s="717"/>
      <c r="CU589" s="717"/>
      <c r="CV589" s="717"/>
      <c r="CW589" s="717"/>
      <c r="CX589" s="717"/>
      <c r="CY589" s="717"/>
      <c r="CZ589" s="717"/>
      <c r="DA589" s="717"/>
      <c r="DB589" s="717"/>
      <c r="DC589" s="717"/>
      <c r="DD589" s="717"/>
      <c r="DE589" s="717"/>
      <c r="DF589" s="717"/>
      <c r="DG589" s="717"/>
      <c r="DH589" s="717"/>
      <c r="DI589" s="717"/>
      <c r="DJ589" s="717"/>
      <c r="DM589" s="711"/>
      <c r="DN589" s="711"/>
      <c r="DO589" s="711"/>
      <c r="DP589" s="711"/>
      <c r="DQ589" s="711"/>
      <c r="EB589" s="719"/>
    </row>
    <row r="590" spans="5:132" s="709" customFormat="1" ht="18" hidden="1">
      <c r="E590" s="721"/>
      <c r="G590" s="990">
        <v>32</v>
      </c>
      <c r="H590" s="989">
        <v>51</v>
      </c>
      <c r="I590" s="725"/>
      <c r="J590" s="724"/>
      <c r="K590" s="724"/>
      <c r="L590" s="728"/>
      <c r="M590" s="721">
        <v>490</v>
      </c>
      <c r="N590" s="721">
        <v>302</v>
      </c>
      <c r="O590" s="724"/>
      <c r="P590" s="724"/>
      <c r="Q590" s="724"/>
      <c r="R590" s="724"/>
      <c r="S590" s="724"/>
      <c r="T590" s="724"/>
      <c r="U590" s="724"/>
      <c r="V590" s="721">
        <v>149</v>
      </c>
      <c r="W590" s="721">
        <v>106</v>
      </c>
      <c r="X590" s="724"/>
      <c r="Y590" s="724"/>
      <c r="Z590" s="721">
        <v>504</v>
      </c>
      <c r="AA590" s="724"/>
      <c r="AB590" s="725"/>
      <c r="AC590" s="724"/>
      <c r="AD590" s="724"/>
      <c r="AE590" s="724"/>
      <c r="AF590" s="724"/>
      <c r="AG590" s="724"/>
      <c r="AH590" s="721">
        <v>288</v>
      </c>
      <c r="AI590" s="724"/>
      <c r="AU590" s="713"/>
      <c r="AW590" s="712"/>
      <c r="BY590" s="714"/>
      <c r="BZ590" s="715"/>
      <c r="CA590" s="716"/>
      <c r="CB590" s="717"/>
      <c r="CC590" s="717"/>
      <c r="CD590" s="717"/>
      <c r="CE590" s="717"/>
      <c r="CF590" s="717"/>
      <c r="CG590" s="717"/>
      <c r="CH590" s="717"/>
      <c r="CI590" s="717"/>
      <c r="CJ590" s="717"/>
      <c r="CK590" s="717"/>
      <c r="CL590" s="717"/>
      <c r="CM590" s="717"/>
      <c r="CN590" s="717"/>
      <c r="CO590" s="717"/>
      <c r="CP590" s="717"/>
      <c r="CQ590" s="717"/>
      <c r="CR590" s="717"/>
      <c r="CS590" s="717"/>
      <c r="CT590" s="717"/>
      <c r="CU590" s="717"/>
      <c r="CV590" s="717"/>
      <c r="CW590" s="717"/>
      <c r="CX590" s="717"/>
      <c r="CY590" s="717"/>
      <c r="CZ590" s="717"/>
      <c r="DA590" s="717"/>
      <c r="DB590" s="717"/>
      <c r="DC590" s="717"/>
      <c r="DD590" s="717"/>
      <c r="DE590" s="717"/>
      <c r="DF590" s="717"/>
      <c r="DG590" s="717"/>
      <c r="DH590" s="717"/>
      <c r="DI590" s="717"/>
      <c r="DJ590" s="717"/>
      <c r="DM590" s="711"/>
      <c r="DN590" s="711"/>
      <c r="DO590" s="711"/>
      <c r="DP590" s="711"/>
      <c r="DQ590" s="711"/>
      <c r="EB590" s="719"/>
    </row>
    <row r="591" spans="5:132" s="709" customFormat="1" ht="18" hidden="1">
      <c r="E591" s="721"/>
      <c r="G591" s="990">
        <v>33</v>
      </c>
      <c r="H591" s="989">
        <v>52</v>
      </c>
      <c r="I591" s="725"/>
      <c r="J591" s="724"/>
      <c r="K591" s="724"/>
      <c r="L591" s="728"/>
      <c r="M591" s="721">
        <v>491</v>
      </c>
      <c r="N591" s="721">
        <v>303</v>
      </c>
      <c r="O591" s="724"/>
      <c r="P591" s="724"/>
      <c r="Q591" s="724"/>
      <c r="R591" s="724"/>
      <c r="S591" s="724"/>
      <c r="T591" s="724"/>
      <c r="U591" s="724"/>
      <c r="V591" s="721">
        <v>155</v>
      </c>
      <c r="W591" s="721">
        <v>121</v>
      </c>
      <c r="X591" s="724"/>
      <c r="Y591" s="724"/>
      <c r="Z591" s="721">
        <v>505</v>
      </c>
      <c r="AA591" s="724"/>
      <c r="AB591" s="725"/>
      <c r="AC591" s="724"/>
      <c r="AD591" s="724"/>
      <c r="AE591" s="724"/>
      <c r="AF591" s="724"/>
      <c r="AG591" s="724"/>
      <c r="AH591" s="721">
        <v>289</v>
      </c>
      <c r="AI591" s="724"/>
      <c r="AU591" s="713"/>
      <c r="AW591" s="712"/>
      <c r="BY591" s="714"/>
      <c r="BZ591" s="715"/>
      <c r="CA591" s="716"/>
      <c r="CB591" s="717"/>
      <c r="CC591" s="717"/>
      <c r="CD591" s="717"/>
      <c r="CE591" s="717"/>
      <c r="CF591" s="717"/>
      <c r="CG591" s="717"/>
      <c r="CH591" s="717"/>
      <c r="CI591" s="717"/>
      <c r="CJ591" s="717"/>
      <c r="CK591" s="717"/>
      <c r="CL591" s="717"/>
      <c r="CM591" s="717"/>
      <c r="CN591" s="717"/>
      <c r="CO591" s="717"/>
      <c r="CP591" s="717"/>
      <c r="CQ591" s="717"/>
      <c r="CR591" s="717"/>
      <c r="CS591" s="717"/>
      <c r="CT591" s="717"/>
      <c r="CU591" s="717"/>
      <c r="CV591" s="717"/>
      <c r="CW591" s="717"/>
      <c r="CX591" s="717"/>
      <c r="CY591" s="717"/>
      <c r="CZ591" s="717"/>
      <c r="DA591" s="717"/>
      <c r="DB591" s="717"/>
      <c r="DC591" s="717"/>
      <c r="DD591" s="717"/>
      <c r="DE591" s="717"/>
      <c r="DF591" s="717"/>
      <c r="DG591" s="717"/>
      <c r="DH591" s="717"/>
      <c r="DI591" s="717"/>
      <c r="DJ591" s="717"/>
      <c r="DM591" s="711"/>
      <c r="DN591" s="711"/>
      <c r="DO591" s="711"/>
      <c r="DP591" s="711"/>
      <c r="DQ591" s="711"/>
      <c r="EB591" s="719"/>
    </row>
    <row r="592" spans="5:132" s="709" customFormat="1" ht="18" hidden="1">
      <c r="E592" s="721"/>
      <c r="G592" s="990">
        <v>34</v>
      </c>
      <c r="H592" s="989">
        <v>53</v>
      </c>
      <c r="I592" s="725"/>
      <c r="J592" s="724"/>
      <c r="K592" s="724"/>
      <c r="L592" s="728"/>
      <c r="M592" s="721">
        <v>492</v>
      </c>
      <c r="N592" s="721">
        <v>304</v>
      </c>
      <c r="O592" s="724"/>
      <c r="P592" s="724"/>
      <c r="Q592" s="724"/>
      <c r="R592" s="724"/>
      <c r="S592" s="724"/>
      <c r="T592" s="724"/>
      <c r="U592" s="724"/>
      <c r="V592" s="721">
        <v>164</v>
      </c>
      <c r="W592" s="721">
        <v>122</v>
      </c>
      <c r="X592" s="724"/>
      <c r="Y592" s="724"/>
      <c r="Z592" s="721">
        <v>506</v>
      </c>
      <c r="AA592" s="724"/>
      <c r="AB592" s="725"/>
      <c r="AC592" s="724"/>
      <c r="AD592" s="724"/>
      <c r="AE592" s="724"/>
      <c r="AF592" s="724"/>
      <c r="AG592" s="724"/>
      <c r="AH592" s="721">
        <v>290</v>
      </c>
      <c r="AI592" s="724"/>
      <c r="AU592" s="713"/>
      <c r="AW592" s="712"/>
      <c r="BY592" s="714"/>
      <c r="BZ592" s="715"/>
      <c r="CA592" s="716"/>
      <c r="CB592" s="717"/>
      <c r="CC592" s="717"/>
      <c r="CD592" s="717"/>
      <c r="CE592" s="717"/>
      <c r="CF592" s="717"/>
      <c r="CG592" s="717"/>
      <c r="CH592" s="717"/>
      <c r="CI592" s="717"/>
      <c r="CJ592" s="717"/>
      <c r="CK592" s="717"/>
      <c r="CL592" s="717"/>
      <c r="CM592" s="717"/>
      <c r="CN592" s="717"/>
      <c r="CO592" s="717"/>
      <c r="CP592" s="717"/>
      <c r="CQ592" s="717"/>
      <c r="CR592" s="717"/>
      <c r="CS592" s="717"/>
      <c r="CT592" s="717"/>
      <c r="CU592" s="717"/>
      <c r="CV592" s="717"/>
      <c r="CW592" s="717"/>
      <c r="CX592" s="717"/>
      <c r="CY592" s="717"/>
      <c r="CZ592" s="717"/>
      <c r="DA592" s="717"/>
      <c r="DB592" s="717"/>
      <c r="DC592" s="717"/>
      <c r="DD592" s="717"/>
      <c r="DE592" s="717"/>
      <c r="DF592" s="717"/>
      <c r="DG592" s="717"/>
      <c r="DH592" s="717"/>
      <c r="DI592" s="717"/>
      <c r="DJ592" s="717"/>
      <c r="DM592" s="711"/>
      <c r="DN592" s="711"/>
      <c r="DO592" s="711"/>
      <c r="DP592" s="711"/>
      <c r="DQ592" s="711"/>
      <c r="EB592" s="719"/>
    </row>
    <row r="593" spans="5:132" s="709" customFormat="1" ht="18" hidden="1">
      <c r="E593" s="721"/>
      <c r="G593" s="990">
        <v>35</v>
      </c>
      <c r="H593" s="989">
        <v>54</v>
      </c>
      <c r="I593" s="725"/>
      <c r="J593" s="724"/>
      <c r="K593" s="724"/>
      <c r="L593" s="728"/>
      <c r="M593" s="721">
        <v>493</v>
      </c>
      <c r="N593" s="721">
        <v>305</v>
      </c>
      <c r="O593" s="724"/>
      <c r="P593" s="724"/>
      <c r="Q593" s="724"/>
      <c r="R593" s="724"/>
      <c r="S593" s="724"/>
      <c r="T593" s="724"/>
      <c r="U593" s="724"/>
      <c r="V593" s="721">
        <v>171</v>
      </c>
      <c r="W593" s="721">
        <v>123</v>
      </c>
      <c r="X593" s="724"/>
      <c r="Y593" s="724"/>
      <c r="Z593" s="721">
        <v>507</v>
      </c>
      <c r="AA593" s="724"/>
      <c r="AB593" s="725"/>
      <c r="AC593" s="724"/>
      <c r="AD593" s="724"/>
      <c r="AE593" s="724"/>
      <c r="AF593" s="724"/>
      <c r="AG593" s="724"/>
      <c r="AH593" s="721">
        <v>291</v>
      </c>
      <c r="AI593" s="724"/>
      <c r="AU593" s="713"/>
      <c r="AW593" s="712"/>
      <c r="BY593" s="714"/>
      <c r="BZ593" s="715"/>
      <c r="CA593" s="716"/>
      <c r="CB593" s="717"/>
      <c r="CC593" s="717"/>
      <c r="CD593" s="717"/>
      <c r="CE593" s="717"/>
      <c r="CF593" s="717"/>
      <c r="CG593" s="717"/>
      <c r="CH593" s="717"/>
      <c r="CI593" s="717"/>
      <c r="CJ593" s="717"/>
      <c r="CK593" s="717"/>
      <c r="CL593" s="717"/>
      <c r="CM593" s="717"/>
      <c r="CN593" s="717"/>
      <c r="CO593" s="717"/>
      <c r="CP593" s="717"/>
      <c r="CQ593" s="717"/>
      <c r="CR593" s="717"/>
      <c r="CS593" s="717"/>
      <c r="CT593" s="717"/>
      <c r="CU593" s="717"/>
      <c r="CV593" s="717"/>
      <c r="CW593" s="717"/>
      <c r="CX593" s="717"/>
      <c r="CY593" s="717"/>
      <c r="CZ593" s="717"/>
      <c r="DA593" s="717"/>
      <c r="DB593" s="717"/>
      <c r="DC593" s="717"/>
      <c r="DD593" s="717"/>
      <c r="DE593" s="717"/>
      <c r="DF593" s="717"/>
      <c r="DG593" s="717"/>
      <c r="DH593" s="717"/>
      <c r="DI593" s="717"/>
      <c r="DJ593" s="717"/>
      <c r="DM593" s="711"/>
      <c r="DN593" s="711"/>
      <c r="DO593" s="711"/>
      <c r="DP593" s="711"/>
      <c r="DQ593" s="711"/>
      <c r="EB593" s="719"/>
    </row>
    <row r="594" spans="5:132" s="709" customFormat="1" ht="18" hidden="1">
      <c r="E594" s="721"/>
      <c r="G594" s="990">
        <v>36</v>
      </c>
      <c r="H594" s="989">
        <v>55</v>
      </c>
      <c r="I594" s="725"/>
      <c r="J594" s="724"/>
      <c r="K594" s="724"/>
      <c r="L594" s="728"/>
      <c r="M594" s="721">
        <v>494</v>
      </c>
      <c r="N594" s="721">
        <v>306</v>
      </c>
      <c r="O594" s="724"/>
      <c r="P594" s="724"/>
      <c r="Q594" s="724"/>
      <c r="R594" s="724"/>
      <c r="S594" s="724"/>
      <c r="T594" s="724"/>
      <c r="U594" s="724"/>
      <c r="V594" s="721">
        <v>172</v>
      </c>
      <c r="W594" s="721">
        <v>124</v>
      </c>
      <c r="X594" s="724"/>
      <c r="Y594" s="724"/>
      <c r="Z594" s="721">
        <v>508</v>
      </c>
      <c r="AA594" s="724"/>
      <c r="AB594" s="725"/>
      <c r="AC594" s="724"/>
      <c r="AD594" s="724"/>
      <c r="AE594" s="724"/>
      <c r="AF594" s="724"/>
      <c r="AG594" s="724"/>
      <c r="AH594" s="721">
        <v>405</v>
      </c>
      <c r="AI594" s="724"/>
      <c r="AU594" s="713"/>
      <c r="AW594" s="712"/>
      <c r="BY594" s="714"/>
      <c r="BZ594" s="715"/>
      <c r="CA594" s="716"/>
      <c r="CB594" s="717"/>
      <c r="CC594" s="717"/>
      <c r="CD594" s="717"/>
      <c r="CE594" s="717"/>
      <c r="CF594" s="717"/>
      <c r="CG594" s="717"/>
      <c r="CH594" s="717"/>
      <c r="CI594" s="717"/>
      <c r="CJ594" s="717"/>
      <c r="CK594" s="717"/>
      <c r="CL594" s="717"/>
      <c r="CM594" s="717"/>
      <c r="CN594" s="717"/>
      <c r="CO594" s="717"/>
      <c r="CP594" s="717"/>
      <c r="CQ594" s="717"/>
      <c r="CR594" s="717"/>
      <c r="CS594" s="717"/>
      <c r="CT594" s="717"/>
      <c r="CU594" s="717"/>
      <c r="CV594" s="717"/>
      <c r="CW594" s="717"/>
      <c r="CX594" s="717"/>
      <c r="CY594" s="717"/>
      <c r="CZ594" s="717"/>
      <c r="DA594" s="717"/>
      <c r="DB594" s="717"/>
      <c r="DC594" s="717"/>
      <c r="DD594" s="717"/>
      <c r="DE594" s="717"/>
      <c r="DF594" s="717"/>
      <c r="DG594" s="717"/>
      <c r="DH594" s="717"/>
      <c r="DI594" s="717"/>
      <c r="DJ594" s="717"/>
      <c r="DM594" s="711"/>
      <c r="DN594" s="711"/>
      <c r="DO594" s="711"/>
      <c r="DP594" s="711"/>
      <c r="DQ594" s="711"/>
      <c r="EB594" s="719"/>
    </row>
    <row r="595" spans="5:132" s="709" customFormat="1" ht="18" hidden="1">
      <c r="E595" s="721"/>
      <c r="G595" s="990">
        <v>37</v>
      </c>
      <c r="H595" s="989">
        <v>56</v>
      </c>
      <c r="I595" s="725"/>
      <c r="J595" s="724"/>
      <c r="K595" s="724"/>
      <c r="L595" s="728"/>
      <c r="M595" s="721">
        <v>495</v>
      </c>
      <c r="N595" s="721">
        <v>307</v>
      </c>
      <c r="O595" s="724"/>
      <c r="P595" s="724"/>
      <c r="Q595" s="724"/>
      <c r="R595" s="724"/>
      <c r="S595" s="724"/>
      <c r="T595" s="724"/>
      <c r="U595" s="724"/>
      <c r="V595" s="721">
        <v>176</v>
      </c>
      <c r="W595" s="721">
        <v>163</v>
      </c>
      <c r="X595" s="724"/>
      <c r="Y595" s="724"/>
      <c r="Z595" s="721">
        <v>509</v>
      </c>
      <c r="AA595" s="724"/>
      <c r="AB595" s="725"/>
      <c r="AC595" s="724"/>
      <c r="AD595" s="724"/>
      <c r="AE595" s="724"/>
      <c r="AF595" s="724"/>
      <c r="AG595" s="724"/>
      <c r="AH595" s="721">
        <v>406</v>
      </c>
      <c r="AI595" s="724"/>
      <c r="AU595" s="713"/>
      <c r="AW595" s="712"/>
      <c r="BY595" s="714"/>
      <c r="BZ595" s="715"/>
      <c r="CA595" s="716"/>
      <c r="CB595" s="717"/>
      <c r="CC595" s="717"/>
      <c r="CD595" s="717"/>
      <c r="CE595" s="717"/>
      <c r="CF595" s="717"/>
      <c r="CG595" s="717"/>
      <c r="CH595" s="717"/>
      <c r="CI595" s="717"/>
      <c r="CJ595" s="717"/>
      <c r="CK595" s="717"/>
      <c r="CL595" s="717"/>
      <c r="CM595" s="717"/>
      <c r="CN595" s="717"/>
      <c r="CO595" s="717"/>
      <c r="CP595" s="717"/>
      <c r="CQ595" s="717"/>
      <c r="CR595" s="717"/>
      <c r="CS595" s="717"/>
      <c r="CT595" s="717"/>
      <c r="CU595" s="717"/>
      <c r="CV595" s="717"/>
      <c r="CW595" s="717"/>
      <c r="CX595" s="717"/>
      <c r="CY595" s="717"/>
      <c r="CZ595" s="717"/>
      <c r="DA595" s="717"/>
      <c r="DB595" s="717"/>
      <c r="DC595" s="717"/>
      <c r="DD595" s="717"/>
      <c r="DE595" s="717"/>
      <c r="DF595" s="717"/>
      <c r="DG595" s="717"/>
      <c r="DH595" s="717"/>
      <c r="DI595" s="717"/>
      <c r="DJ595" s="717"/>
      <c r="DM595" s="711"/>
      <c r="DN595" s="711"/>
      <c r="DO595" s="711"/>
      <c r="DP595" s="711"/>
      <c r="DQ595" s="711"/>
      <c r="EB595" s="719"/>
    </row>
    <row r="596" spans="5:132" s="709" customFormat="1" ht="18" hidden="1">
      <c r="E596" s="721"/>
      <c r="G596" s="990">
        <v>38</v>
      </c>
      <c r="H596" s="989">
        <v>57</v>
      </c>
      <c r="I596" s="725"/>
      <c r="J596" s="724"/>
      <c r="K596" s="724"/>
      <c r="L596" s="728"/>
      <c r="M596" s="721">
        <v>496</v>
      </c>
      <c r="N596" s="721">
        <v>308</v>
      </c>
      <c r="O596" s="724"/>
      <c r="P596" s="724"/>
      <c r="Q596" s="724"/>
      <c r="R596" s="724"/>
      <c r="S596" s="724"/>
      <c r="T596" s="724"/>
      <c r="U596" s="724"/>
      <c r="V596" s="721">
        <v>182</v>
      </c>
      <c r="W596" s="721">
        <v>183</v>
      </c>
      <c r="X596" s="724"/>
      <c r="Y596" s="724"/>
      <c r="Z596" s="721">
        <v>510</v>
      </c>
      <c r="AA596" s="724"/>
      <c r="AB596" s="725"/>
      <c r="AC596" s="724"/>
      <c r="AD596" s="724"/>
      <c r="AE596" s="724"/>
      <c r="AF596" s="724"/>
      <c r="AG596" s="724"/>
      <c r="AH596" s="721">
        <v>407</v>
      </c>
      <c r="AI596" s="724"/>
      <c r="AU596" s="713"/>
      <c r="AW596" s="712"/>
      <c r="BY596" s="714"/>
      <c r="BZ596" s="715"/>
      <c r="CA596" s="716"/>
      <c r="CB596" s="717"/>
      <c r="CC596" s="717"/>
      <c r="CD596" s="717"/>
      <c r="CE596" s="717"/>
      <c r="CF596" s="717"/>
      <c r="CG596" s="717"/>
      <c r="CH596" s="717"/>
      <c r="CI596" s="717"/>
      <c r="CJ596" s="717"/>
      <c r="CK596" s="717"/>
      <c r="CL596" s="717"/>
      <c r="CM596" s="717"/>
      <c r="CN596" s="717"/>
      <c r="CO596" s="717"/>
      <c r="CP596" s="717"/>
      <c r="CQ596" s="717"/>
      <c r="CR596" s="717"/>
      <c r="CS596" s="717"/>
      <c r="CT596" s="717"/>
      <c r="CU596" s="717"/>
      <c r="CV596" s="717"/>
      <c r="CW596" s="717"/>
      <c r="CX596" s="717"/>
      <c r="CY596" s="717"/>
      <c r="CZ596" s="717"/>
      <c r="DA596" s="717"/>
      <c r="DB596" s="717"/>
      <c r="DC596" s="717"/>
      <c r="DD596" s="717"/>
      <c r="DE596" s="717"/>
      <c r="DF596" s="717"/>
      <c r="DG596" s="717"/>
      <c r="DH596" s="717"/>
      <c r="DI596" s="717"/>
      <c r="DJ596" s="717"/>
      <c r="DM596" s="711"/>
      <c r="DN596" s="711"/>
      <c r="DO596" s="711"/>
      <c r="DP596" s="711"/>
      <c r="DQ596" s="711"/>
      <c r="EB596" s="719"/>
    </row>
    <row r="597" spans="5:132" s="709" customFormat="1" ht="18" hidden="1">
      <c r="E597" s="721"/>
      <c r="G597" s="990">
        <v>39</v>
      </c>
      <c r="H597" s="989">
        <v>58</v>
      </c>
      <c r="I597" s="725"/>
      <c r="J597" s="724"/>
      <c r="K597" s="724"/>
      <c r="L597" s="728"/>
      <c r="M597" s="721">
        <v>564</v>
      </c>
      <c r="N597" s="724"/>
      <c r="O597" s="724"/>
      <c r="P597" s="724"/>
      <c r="Q597" s="724"/>
      <c r="R597" s="724"/>
      <c r="S597" s="724"/>
      <c r="T597" s="724"/>
      <c r="U597" s="724"/>
      <c r="V597" s="721">
        <v>184</v>
      </c>
      <c r="W597" s="721">
        <v>192</v>
      </c>
      <c r="X597" s="724"/>
      <c r="Y597" s="724"/>
      <c r="Z597" s="721">
        <v>511</v>
      </c>
      <c r="AA597" s="724"/>
      <c r="AB597" s="725"/>
      <c r="AC597" s="724"/>
      <c r="AD597" s="724"/>
      <c r="AE597" s="724"/>
      <c r="AF597" s="724"/>
      <c r="AG597" s="724"/>
      <c r="AH597" s="721">
        <v>476</v>
      </c>
      <c r="AI597" s="724"/>
      <c r="AU597" s="713"/>
      <c r="AW597" s="712"/>
      <c r="BY597" s="714"/>
      <c r="BZ597" s="715"/>
      <c r="CA597" s="716"/>
      <c r="CB597" s="717"/>
      <c r="CC597" s="717"/>
      <c r="CD597" s="717"/>
      <c r="CE597" s="717"/>
      <c r="CF597" s="717"/>
      <c r="CG597" s="717"/>
      <c r="CH597" s="717"/>
      <c r="CI597" s="717"/>
      <c r="CJ597" s="717"/>
      <c r="CK597" s="717"/>
      <c r="CL597" s="717"/>
      <c r="CM597" s="717"/>
      <c r="CN597" s="717"/>
      <c r="CO597" s="717"/>
      <c r="CP597" s="717"/>
      <c r="CQ597" s="717"/>
      <c r="CR597" s="717"/>
      <c r="CS597" s="717"/>
      <c r="CT597" s="717"/>
      <c r="CU597" s="717"/>
      <c r="CV597" s="717"/>
      <c r="CW597" s="717"/>
      <c r="CX597" s="717"/>
      <c r="CY597" s="717"/>
      <c r="CZ597" s="717"/>
      <c r="DA597" s="717"/>
      <c r="DB597" s="717"/>
      <c r="DC597" s="717"/>
      <c r="DD597" s="717"/>
      <c r="DE597" s="717"/>
      <c r="DF597" s="717"/>
      <c r="DG597" s="717"/>
      <c r="DH597" s="717"/>
      <c r="DI597" s="717"/>
      <c r="DJ597" s="717"/>
      <c r="DM597" s="711"/>
      <c r="DN597" s="711"/>
      <c r="DO597" s="711"/>
      <c r="DP597" s="711"/>
      <c r="DQ597" s="711"/>
      <c r="EB597" s="719"/>
    </row>
    <row r="598" spans="5:132" s="709" customFormat="1" ht="18" hidden="1">
      <c r="E598" s="721"/>
      <c r="G598" s="990">
        <v>40</v>
      </c>
      <c r="H598" s="989">
        <v>59</v>
      </c>
      <c r="I598" s="725"/>
      <c r="J598" s="724"/>
      <c r="K598" s="724"/>
      <c r="L598" s="728"/>
      <c r="M598" s="721">
        <v>565</v>
      </c>
      <c r="N598" s="724"/>
      <c r="O598" s="724"/>
      <c r="P598" s="724"/>
      <c r="Q598" s="724"/>
      <c r="R598" s="724"/>
      <c r="S598" s="724"/>
      <c r="T598" s="724"/>
      <c r="U598" s="724"/>
      <c r="V598" s="721">
        <v>185</v>
      </c>
      <c r="W598" s="721">
        <v>235</v>
      </c>
      <c r="X598" s="724"/>
      <c r="Y598" s="724"/>
      <c r="Z598" s="721">
        <v>512</v>
      </c>
      <c r="AA598" s="724"/>
      <c r="AB598" s="725"/>
      <c r="AC598" s="724"/>
      <c r="AD598" s="724"/>
      <c r="AE598" s="724"/>
      <c r="AF598" s="724"/>
      <c r="AG598" s="724"/>
      <c r="AH598" s="721">
        <v>520</v>
      </c>
      <c r="AI598" s="724"/>
      <c r="AU598" s="713"/>
      <c r="AW598" s="712"/>
      <c r="BY598" s="714"/>
      <c r="BZ598" s="715"/>
      <c r="CA598" s="716"/>
      <c r="CB598" s="717"/>
      <c r="CC598" s="717"/>
      <c r="CD598" s="717"/>
      <c r="CE598" s="717"/>
      <c r="CF598" s="717"/>
      <c r="CG598" s="717"/>
      <c r="CH598" s="717"/>
      <c r="CI598" s="717"/>
      <c r="CJ598" s="717"/>
      <c r="CK598" s="717"/>
      <c r="CL598" s="717"/>
      <c r="CM598" s="717"/>
      <c r="CN598" s="717"/>
      <c r="CO598" s="717"/>
      <c r="CP598" s="717"/>
      <c r="CQ598" s="717"/>
      <c r="CR598" s="717"/>
      <c r="CS598" s="717"/>
      <c r="CT598" s="717"/>
      <c r="CU598" s="717"/>
      <c r="CV598" s="717"/>
      <c r="CW598" s="717"/>
      <c r="CX598" s="717"/>
      <c r="CY598" s="717"/>
      <c r="CZ598" s="717"/>
      <c r="DA598" s="717"/>
      <c r="DB598" s="717"/>
      <c r="DC598" s="717"/>
      <c r="DD598" s="717"/>
      <c r="DE598" s="717"/>
      <c r="DF598" s="717"/>
      <c r="DG598" s="717"/>
      <c r="DH598" s="717"/>
      <c r="DI598" s="717"/>
      <c r="DJ598" s="717"/>
      <c r="DM598" s="711"/>
      <c r="DN598" s="711"/>
      <c r="DO598" s="711"/>
      <c r="DP598" s="711"/>
      <c r="DQ598" s="711"/>
      <c r="EB598" s="719"/>
    </row>
    <row r="599" spans="5:132" s="709" customFormat="1" ht="18" hidden="1">
      <c r="E599" s="721"/>
      <c r="G599" s="990">
        <v>41</v>
      </c>
      <c r="H599" s="989">
        <v>60</v>
      </c>
      <c r="I599" s="725"/>
      <c r="J599" s="724"/>
      <c r="K599" s="724"/>
      <c r="L599" s="728"/>
      <c r="M599" s="721">
        <v>566</v>
      </c>
      <c r="N599" s="724"/>
      <c r="O599" s="724"/>
      <c r="P599" s="724"/>
      <c r="Q599" s="724"/>
      <c r="R599" s="724"/>
      <c r="S599" s="724"/>
      <c r="T599" s="724"/>
      <c r="U599" s="724"/>
      <c r="V599" s="721">
        <v>186</v>
      </c>
      <c r="W599" s="721">
        <v>294</v>
      </c>
      <c r="X599" s="724"/>
      <c r="Y599" s="724"/>
      <c r="Z599" s="721">
        <v>513</v>
      </c>
      <c r="AA599" s="724"/>
      <c r="AB599" s="725"/>
      <c r="AC599" s="724"/>
      <c r="AD599" s="724"/>
      <c r="AE599" s="724"/>
      <c r="AF599" s="724"/>
      <c r="AG599" s="724"/>
      <c r="AH599" s="721">
        <v>527</v>
      </c>
      <c r="AI599" s="724"/>
      <c r="AU599" s="713"/>
      <c r="AW599" s="712"/>
      <c r="BY599" s="714"/>
      <c r="BZ599" s="715"/>
      <c r="CA599" s="716"/>
      <c r="CB599" s="717"/>
      <c r="CC599" s="717"/>
      <c r="CD599" s="717"/>
      <c r="CE599" s="717"/>
      <c r="CF599" s="717"/>
      <c r="CG599" s="717"/>
      <c r="CH599" s="717"/>
      <c r="CI599" s="717"/>
      <c r="CJ599" s="717"/>
      <c r="CK599" s="717"/>
      <c r="CL599" s="717"/>
      <c r="CM599" s="717"/>
      <c r="CN599" s="717"/>
      <c r="CO599" s="717"/>
      <c r="CP599" s="717"/>
      <c r="CQ599" s="717"/>
      <c r="CR599" s="717"/>
      <c r="CS599" s="717"/>
      <c r="CT599" s="717"/>
      <c r="CU599" s="717"/>
      <c r="CV599" s="717"/>
      <c r="CW599" s="717"/>
      <c r="CX599" s="717"/>
      <c r="CY599" s="717"/>
      <c r="CZ599" s="717"/>
      <c r="DA599" s="717"/>
      <c r="DB599" s="717"/>
      <c r="DC599" s="717"/>
      <c r="DD599" s="717"/>
      <c r="DE599" s="717"/>
      <c r="DF599" s="717"/>
      <c r="DG599" s="717"/>
      <c r="DH599" s="717"/>
      <c r="DI599" s="717"/>
      <c r="DJ599" s="717"/>
      <c r="DM599" s="711"/>
      <c r="DN599" s="711"/>
      <c r="DO599" s="711"/>
      <c r="DP599" s="711"/>
      <c r="DQ599" s="711"/>
      <c r="EB599" s="719"/>
    </row>
    <row r="600" spans="5:132" s="709" customFormat="1" ht="18" hidden="1">
      <c r="E600" s="721"/>
      <c r="G600" s="990">
        <v>42</v>
      </c>
      <c r="H600" s="989">
        <v>61</v>
      </c>
      <c r="I600" s="725"/>
      <c r="J600" s="724"/>
      <c r="K600" s="724"/>
      <c r="L600" s="728"/>
      <c r="M600" s="721">
        <v>567</v>
      </c>
      <c r="N600" s="724"/>
      <c r="O600" s="724"/>
      <c r="P600" s="724"/>
      <c r="Q600" s="724"/>
      <c r="R600" s="724"/>
      <c r="S600" s="724"/>
      <c r="T600" s="724"/>
      <c r="U600" s="724"/>
      <c r="V600" s="721">
        <v>187</v>
      </c>
      <c r="W600" s="721">
        <v>295</v>
      </c>
      <c r="X600" s="724"/>
      <c r="Y600" s="724"/>
      <c r="Z600" s="721">
        <v>514</v>
      </c>
      <c r="AA600" s="724"/>
      <c r="AB600" s="725"/>
      <c r="AC600" s="724"/>
      <c r="AD600" s="724"/>
      <c r="AE600" s="724"/>
      <c r="AF600" s="724"/>
      <c r="AG600" s="724"/>
      <c r="AH600" s="721">
        <v>528</v>
      </c>
      <c r="AI600" s="724"/>
      <c r="AU600" s="713"/>
      <c r="AW600" s="712"/>
      <c r="BY600" s="714"/>
      <c r="BZ600" s="715"/>
      <c r="CA600" s="716"/>
      <c r="CB600" s="717"/>
      <c r="CC600" s="717"/>
      <c r="CD600" s="717"/>
      <c r="CE600" s="717"/>
      <c r="CF600" s="717"/>
      <c r="CG600" s="717"/>
      <c r="CH600" s="717"/>
      <c r="CI600" s="717"/>
      <c r="CJ600" s="717"/>
      <c r="CK600" s="717"/>
      <c r="CL600" s="717"/>
      <c r="CM600" s="717"/>
      <c r="CN600" s="717"/>
      <c r="CO600" s="717"/>
      <c r="CP600" s="717"/>
      <c r="CQ600" s="717"/>
      <c r="CR600" s="717"/>
      <c r="CS600" s="717"/>
      <c r="CT600" s="717"/>
      <c r="CU600" s="717"/>
      <c r="CV600" s="717"/>
      <c r="CW600" s="717"/>
      <c r="CX600" s="717"/>
      <c r="CY600" s="717"/>
      <c r="CZ600" s="717"/>
      <c r="DA600" s="717"/>
      <c r="DB600" s="717"/>
      <c r="DC600" s="717"/>
      <c r="DD600" s="717"/>
      <c r="DE600" s="717"/>
      <c r="DF600" s="717"/>
      <c r="DG600" s="717"/>
      <c r="DH600" s="717"/>
      <c r="DI600" s="717"/>
      <c r="DJ600" s="717"/>
      <c r="DM600" s="711"/>
      <c r="DN600" s="711"/>
      <c r="DO600" s="711"/>
      <c r="DP600" s="711"/>
      <c r="DQ600" s="711"/>
      <c r="EB600" s="719"/>
    </row>
    <row r="601" spans="5:132" s="709" customFormat="1" ht="18" hidden="1">
      <c r="E601" s="721"/>
      <c r="G601" s="990">
        <v>43</v>
      </c>
      <c r="H601" s="989">
        <v>62</v>
      </c>
      <c r="I601" s="725"/>
      <c r="J601" s="724"/>
      <c r="K601" s="724"/>
      <c r="L601" s="728"/>
      <c r="M601" s="724"/>
      <c r="N601" s="724"/>
      <c r="O601" s="724"/>
      <c r="P601" s="724"/>
      <c r="Q601" s="724"/>
      <c r="R601" s="724"/>
      <c r="S601" s="724"/>
      <c r="T601" s="724"/>
      <c r="U601" s="724"/>
      <c r="V601" s="721">
        <v>193</v>
      </c>
      <c r="W601" s="721">
        <v>296</v>
      </c>
      <c r="X601" s="724"/>
      <c r="Y601" s="724"/>
      <c r="Z601" s="721">
        <v>515</v>
      </c>
      <c r="AA601" s="724"/>
      <c r="AB601" s="725"/>
      <c r="AC601" s="724"/>
      <c r="AD601" s="724"/>
      <c r="AE601" s="724"/>
      <c r="AF601" s="724"/>
      <c r="AG601" s="724"/>
      <c r="AH601" s="721">
        <v>529</v>
      </c>
      <c r="AI601" s="724"/>
      <c r="AU601" s="713"/>
      <c r="AW601" s="712"/>
      <c r="BY601" s="714"/>
      <c r="BZ601" s="715"/>
      <c r="CA601" s="716"/>
      <c r="CB601" s="717"/>
      <c r="CC601" s="717"/>
      <c r="CD601" s="717"/>
      <c r="CE601" s="717"/>
      <c r="CF601" s="717"/>
      <c r="CG601" s="717"/>
      <c r="CH601" s="717"/>
      <c r="CI601" s="717"/>
      <c r="CJ601" s="717"/>
      <c r="CK601" s="717"/>
      <c r="CL601" s="717"/>
      <c r="CM601" s="717"/>
      <c r="CN601" s="717"/>
      <c r="CO601" s="717"/>
      <c r="CP601" s="717"/>
      <c r="CQ601" s="717"/>
      <c r="CR601" s="717"/>
      <c r="CS601" s="717"/>
      <c r="CT601" s="717"/>
      <c r="CU601" s="717"/>
      <c r="CV601" s="717"/>
      <c r="CW601" s="717"/>
      <c r="CX601" s="717"/>
      <c r="CY601" s="717"/>
      <c r="CZ601" s="717"/>
      <c r="DA601" s="717"/>
      <c r="DB601" s="717"/>
      <c r="DC601" s="717"/>
      <c r="DD601" s="717"/>
      <c r="DE601" s="717"/>
      <c r="DF601" s="717"/>
      <c r="DG601" s="717"/>
      <c r="DH601" s="717"/>
      <c r="DI601" s="717"/>
      <c r="DJ601" s="717"/>
      <c r="DM601" s="711"/>
      <c r="DN601" s="711"/>
      <c r="DO601" s="711"/>
      <c r="DP601" s="711"/>
      <c r="DQ601" s="711"/>
      <c r="EB601" s="719"/>
    </row>
    <row r="602" spans="5:132" s="709" customFormat="1" ht="18" hidden="1">
      <c r="E602" s="721"/>
      <c r="G602" s="990">
        <v>44</v>
      </c>
      <c r="H602" s="989">
        <v>63</v>
      </c>
      <c r="I602" s="725"/>
      <c r="J602" s="724"/>
      <c r="K602" s="724"/>
      <c r="L602" s="728"/>
      <c r="M602" s="724"/>
      <c r="N602" s="724"/>
      <c r="O602" s="724"/>
      <c r="P602" s="724"/>
      <c r="Q602" s="724"/>
      <c r="R602" s="724"/>
      <c r="S602" s="724"/>
      <c r="T602" s="724"/>
      <c r="U602" s="724"/>
      <c r="V602" s="721">
        <v>194</v>
      </c>
      <c r="W602" s="721">
        <v>521</v>
      </c>
      <c r="X602" s="724"/>
      <c r="Y602" s="724"/>
      <c r="Z602" s="721">
        <v>516</v>
      </c>
      <c r="AA602" s="724"/>
      <c r="AB602" s="725"/>
      <c r="AC602" s="724"/>
      <c r="AD602" s="724"/>
      <c r="AE602" s="724"/>
      <c r="AF602" s="724"/>
      <c r="AG602" s="724"/>
      <c r="AH602" s="721">
        <v>557</v>
      </c>
      <c r="AI602" s="724"/>
      <c r="AU602" s="713"/>
      <c r="AW602" s="712"/>
      <c r="BY602" s="714"/>
      <c r="BZ602" s="715"/>
      <c r="CA602" s="716"/>
      <c r="CB602" s="717"/>
      <c r="CC602" s="717"/>
      <c r="CD602" s="717"/>
      <c r="CE602" s="717"/>
      <c r="CF602" s="717"/>
      <c r="CG602" s="717"/>
      <c r="CH602" s="717"/>
      <c r="CI602" s="717"/>
      <c r="CJ602" s="717"/>
      <c r="CK602" s="717"/>
      <c r="CL602" s="717"/>
      <c r="CM602" s="717"/>
      <c r="CN602" s="717"/>
      <c r="CO602" s="717"/>
      <c r="CP602" s="717"/>
      <c r="CQ602" s="717"/>
      <c r="CR602" s="717"/>
      <c r="CS602" s="717"/>
      <c r="CT602" s="717"/>
      <c r="CU602" s="717"/>
      <c r="CV602" s="717"/>
      <c r="CW602" s="717"/>
      <c r="CX602" s="717"/>
      <c r="CY602" s="717"/>
      <c r="CZ602" s="717"/>
      <c r="DA602" s="717"/>
      <c r="DB602" s="717"/>
      <c r="DC602" s="717"/>
      <c r="DD602" s="717"/>
      <c r="DE602" s="717"/>
      <c r="DF602" s="717"/>
      <c r="DG602" s="717"/>
      <c r="DH602" s="717"/>
      <c r="DI602" s="717"/>
      <c r="DJ602" s="717"/>
      <c r="DM602" s="711"/>
      <c r="DN602" s="711"/>
      <c r="DO602" s="711"/>
      <c r="DP602" s="711"/>
      <c r="DQ602" s="711"/>
      <c r="EB602" s="719"/>
    </row>
    <row r="603" spans="5:132" s="709" customFormat="1" ht="18" hidden="1">
      <c r="E603" s="721"/>
      <c r="G603" s="990">
        <v>45</v>
      </c>
      <c r="H603" s="989">
        <v>64</v>
      </c>
      <c r="I603" s="725"/>
      <c r="J603" s="724"/>
      <c r="K603" s="724"/>
      <c r="L603" s="728"/>
      <c r="M603" s="724"/>
      <c r="N603" s="724"/>
      <c r="O603" s="724"/>
      <c r="P603" s="724"/>
      <c r="Q603" s="724"/>
      <c r="R603" s="724"/>
      <c r="S603" s="724"/>
      <c r="T603" s="724"/>
      <c r="U603" s="724"/>
      <c r="V603" s="721">
        <v>197</v>
      </c>
      <c r="W603" s="721">
        <v>575</v>
      </c>
      <c r="X603" s="724"/>
      <c r="Y603" s="724"/>
      <c r="Z603" s="721">
        <v>517</v>
      </c>
      <c r="AA603" s="724"/>
      <c r="AB603" s="725"/>
      <c r="AC603" s="724"/>
      <c r="AD603" s="724"/>
      <c r="AE603" s="724"/>
      <c r="AF603" s="724"/>
      <c r="AG603" s="724"/>
      <c r="AH603" s="721">
        <v>572</v>
      </c>
      <c r="AI603" s="724"/>
      <c r="AU603" s="713"/>
      <c r="AW603" s="712"/>
      <c r="BY603" s="714"/>
      <c r="BZ603" s="715"/>
      <c r="CA603" s="716"/>
      <c r="CB603" s="717"/>
      <c r="CC603" s="717"/>
      <c r="CD603" s="717"/>
      <c r="CE603" s="717"/>
      <c r="CF603" s="717"/>
      <c r="CG603" s="717"/>
      <c r="CH603" s="717"/>
      <c r="CI603" s="717"/>
      <c r="CJ603" s="717"/>
      <c r="CK603" s="717"/>
      <c r="CL603" s="717"/>
      <c r="CM603" s="717"/>
      <c r="CN603" s="717"/>
      <c r="CO603" s="717"/>
      <c r="CP603" s="717"/>
      <c r="CQ603" s="717"/>
      <c r="CR603" s="717"/>
      <c r="CS603" s="717"/>
      <c r="CT603" s="717"/>
      <c r="CU603" s="717"/>
      <c r="CV603" s="717"/>
      <c r="CW603" s="717"/>
      <c r="CX603" s="717"/>
      <c r="CY603" s="717"/>
      <c r="CZ603" s="717"/>
      <c r="DA603" s="717"/>
      <c r="DB603" s="717"/>
      <c r="DC603" s="717"/>
      <c r="DD603" s="717"/>
      <c r="DE603" s="717"/>
      <c r="DF603" s="717"/>
      <c r="DG603" s="717"/>
      <c r="DH603" s="717"/>
      <c r="DI603" s="717"/>
      <c r="DJ603" s="717"/>
      <c r="DM603" s="711"/>
      <c r="DN603" s="711"/>
      <c r="DO603" s="711"/>
      <c r="DP603" s="711"/>
      <c r="DQ603" s="711"/>
      <c r="EB603" s="719"/>
    </row>
    <row r="604" spans="5:132" s="709" customFormat="1" ht="18" hidden="1">
      <c r="E604" s="721"/>
      <c r="G604" s="990">
        <v>46</v>
      </c>
      <c r="H604" s="989">
        <v>65</v>
      </c>
      <c r="I604" s="725"/>
      <c r="J604" s="724"/>
      <c r="K604" s="724"/>
      <c r="L604" s="728"/>
      <c r="M604" s="724"/>
      <c r="N604" s="724"/>
      <c r="O604" s="724"/>
      <c r="P604" s="724"/>
      <c r="Q604" s="724"/>
      <c r="R604" s="724"/>
      <c r="S604" s="724"/>
      <c r="T604" s="724"/>
      <c r="U604" s="724"/>
      <c r="V604" s="721">
        <v>213</v>
      </c>
      <c r="W604" s="724"/>
      <c r="X604" s="724"/>
      <c r="Y604" s="724"/>
      <c r="Z604" s="721">
        <v>546</v>
      </c>
      <c r="AA604" s="724"/>
      <c r="AB604" s="725"/>
      <c r="AC604" s="724"/>
      <c r="AD604" s="724"/>
      <c r="AE604" s="724"/>
      <c r="AF604" s="724"/>
      <c r="AG604" s="724"/>
      <c r="AH604" s="721">
        <v>584</v>
      </c>
      <c r="AI604" s="724"/>
      <c r="AU604" s="713"/>
      <c r="AW604" s="712"/>
      <c r="BY604" s="714"/>
      <c r="BZ604" s="715"/>
      <c r="CA604" s="716"/>
      <c r="CB604" s="717"/>
      <c r="CC604" s="717"/>
      <c r="CD604" s="717"/>
      <c r="CE604" s="717"/>
      <c r="CF604" s="717"/>
      <c r="CG604" s="717"/>
      <c r="CH604" s="717"/>
      <c r="CI604" s="717"/>
      <c r="CJ604" s="717"/>
      <c r="CK604" s="717"/>
      <c r="CL604" s="717"/>
      <c r="CM604" s="717"/>
      <c r="CN604" s="717"/>
      <c r="CO604" s="717"/>
      <c r="CP604" s="717"/>
      <c r="CQ604" s="717"/>
      <c r="CR604" s="717"/>
      <c r="CS604" s="717"/>
      <c r="CT604" s="717"/>
      <c r="CU604" s="717"/>
      <c r="CV604" s="717"/>
      <c r="CW604" s="717"/>
      <c r="CX604" s="717"/>
      <c r="CY604" s="717"/>
      <c r="CZ604" s="717"/>
      <c r="DA604" s="717"/>
      <c r="DB604" s="717"/>
      <c r="DC604" s="717"/>
      <c r="DD604" s="717"/>
      <c r="DE604" s="717"/>
      <c r="DF604" s="717"/>
      <c r="DG604" s="717"/>
      <c r="DH604" s="717"/>
      <c r="DI604" s="717"/>
      <c r="DJ604" s="717"/>
      <c r="DM604" s="711"/>
      <c r="DN604" s="711"/>
      <c r="DO604" s="711"/>
      <c r="DP604" s="711"/>
      <c r="DQ604" s="711"/>
      <c r="EB604" s="719"/>
    </row>
    <row r="605" spans="5:132" s="709" customFormat="1" ht="18" hidden="1">
      <c r="E605" s="721"/>
      <c r="G605" s="990">
        <v>47</v>
      </c>
      <c r="H605" s="989">
        <v>66</v>
      </c>
      <c r="I605" s="725"/>
      <c r="J605" s="724"/>
      <c r="K605" s="724"/>
      <c r="L605" s="728"/>
      <c r="M605" s="724"/>
      <c r="N605" s="724"/>
      <c r="O605" s="724"/>
      <c r="P605" s="724"/>
      <c r="Q605" s="724"/>
      <c r="R605" s="724"/>
      <c r="S605" s="724"/>
      <c r="T605" s="724"/>
      <c r="U605" s="724"/>
      <c r="V605" s="721">
        <v>214</v>
      </c>
      <c r="W605" s="724"/>
      <c r="X605" s="724"/>
      <c r="Y605" s="724"/>
      <c r="Z605" s="721">
        <v>551</v>
      </c>
      <c r="AA605" s="724"/>
      <c r="AB605" s="725"/>
      <c r="AC605" s="724"/>
      <c r="AD605" s="724"/>
      <c r="AE605" s="724"/>
      <c r="AF605" s="724"/>
      <c r="AG605" s="724"/>
      <c r="AH605" s="721">
        <v>585</v>
      </c>
      <c r="AI605" s="724"/>
      <c r="AU605" s="713"/>
      <c r="AW605" s="712"/>
      <c r="BY605" s="714"/>
      <c r="BZ605" s="715"/>
      <c r="CA605" s="716"/>
      <c r="CB605" s="717"/>
      <c r="CC605" s="717"/>
      <c r="CD605" s="717"/>
      <c r="CE605" s="717"/>
      <c r="CF605" s="717"/>
      <c r="CG605" s="717"/>
      <c r="CH605" s="717"/>
      <c r="CI605" s="717"/>
      <c r="CJ605" s="717"/>
      <c r="CK605" s="717"/>
      <c r="CL605" s="717"/>
      <c r="CM605" s="717"/>
      <c r="CN605" s="717"/>
      <c r="CO605" s="717"/>
      <c r="CP605" s="717"/>
      <c r="CQ605" s="717"/>
      <c r="CR605" s="717"/>
      <c r="CS605" s="717"/>
      <c r="CT605" s="717"/>
      <c r="CU605" s="717"/>
      <c r="CV605" s="717"/>
      <c r="CW605" s="717"/>
      <c r="CX605" s="717"/>
      <c r="CY605" s="717"/>
      <c r="CZ605" s="717"/>
      <c r="DA605" s="717"/>
      <c r="DB605" s="717"/>
      <c r="DC605" s="717"/>
      <c r="DD605" s="717"/>
      <c r="DE605" s="717"/>
      <c r="DF605" s="717"/>
      <c r="DG605" s="717"/>
      <c r="DH605" s="717"/>
      <c r="DI605" s="717"/>
      <c r="DJ605" s="717"/>
      <c r="DM605" s="711"/>
      <c r="DN605" s="711"/>
      <c r="DO605" s="711"/>
      <c r="DP605" s="711"/>
      <c r="DQ605" s="711"/>
      <c r="EB605" s="719"/>
    </row>
    <row r="606" spans="5:132" s="709" customFormat="1" ht="18" hidden="1">
      <c r="E606" s="721"/>
      <c r="G606" s="990">
        <v>48</v>
      </c>
      <c r="H606" s="989">
        <v>67</v>
      </c>
      <c r="I606" s="725"/>
      <c r="J606" s="724"/>
      <c r="K606" s="724"/>
      <c r="L606" s="728"/>
      <c r="M606" s="724"/>
      <c r="N606" s="724"/>
      <c r="O606" s="724"/>
      <c r="P606" s="724"/>
      <c r="Q606" s="724"/>
      <c r="R606" s="724"/>
      <c r="S606" s="724"/>
      <c r="T606" s="724"/>
      <c r="U606" s="724"/>
      <c r="V606" s="721">
        <v>215</v>
      </c>
      <c r="W606" s="724"/>
      <c r="X606" s="724"/>
      <c r="Y606" s="724"/>
      <c r="Z606" s="721">
        <v>555</v>
      </c>
      <c r="AA606" s="724"/>
      <c r="AB606" s="725"/>
      <c r="AC606" s="724"/>
      <c r="AD606" s="724"/>
      <c r="AE606" s="724"/>
      <c r="AF606" s="724"/>
      <c r="AG606" s="724"/>
      <c r="AH606" s="721">
        <v>597</v>
      </c>
      <c r="AI606" s="724"/>
      <c r="AU606" s="713"/>
      <c r="AW606" s="712"/>
      <c r="BY606" s="714"/>
      <c r="BZ606" s="715"/>
      <c r="CA606" s="716"/>
      <c r="CB606" s="717"/>
      <c r="CC606" s="717"/>
      <c r="CD606" s="717"/>
      <c r="CE606" s="717"/>
      <c r="CF606" s="717"/>
      <c r="CG606" s="717"/>
      <c r="CH606" s="717"/>
      <c r="CI606" s="717"/>
      <c r="CJ606" s="717"/>
      <c r="CK606" s="717"/>
      <c r="CL606" s="717"/>
      <c r="CM606" s="717"/>
      <c r="CN606" s="717"/>
      <c r="CO606" s="717"/>
      <c r="CP606" s="717"/>
      <c r="CQ606" s="717"/>
      <c r="CR606" s="717"/>
      <c r="CS606" s="717"/>
      <c r="CT606" s="717"/>
      <c r="CU606" s="717"/>
      <c r="CV606" s="717"/>
      <c r="CW606" s="717"/>
      <c r="CX606" s="717"/>
      <c r="CY606" s="717"/>
      <c r="CZ606" s="717"/>
      <c r="DA606" s="717"/>
      <c r="DB606" s="717"/>
      <c r="DC606" s="717"/>
      <c r="DD606" s="717"/>
      <c r="DE606" s="717"/>
      <c r="DF606" s="717"/>
      <c r="DG606" s="717"/>
      <c r="DH606" s="717"/>
      <c r="DI606" s="717"/>
      <c r="DJ606" s="717"/>
      <c r="DM606" s="711"/>
      <c r="DN606" s="711"/>
      <c r="DO606" s="711"/>
      <c r="DP606" s="711"/>
      <c r="DQ606" s="711"/>
      <c r="EB606" s="719"/>
    </row>
    <row r="607" spans="5:132" s="709" customFormat="1" ht="18" hidden="1">
      <c r="E607" s="721"/>
      <c r="G607" s="990">
        <v>49</v>
      </c>
      <c r="H607" s="989">
        <v>68</v>
      </c>
      <c r="I607" s="725"/>
      <c r="J607" s="724"/>
      <c r="K607" s="724"/>
      <c r="L607" s="728"/>
      <c r="M607" s="724"/>
      <c r="N607" s="724"/>
      <c r="O607" s="724"/>
      <c r="P607" s="724"/>
      <c r="Q607" s="724"/>
      <c r="R607" s="724"/>
      <c r="S607" s="724"/>
      <c r="T607" s="724"/>
      <c r="U607" s="724"/>
      <c r="V607" s="721">
        <v>216</v>
      </c>
      <c r="W607" s="724"/>
      <c r="X607" s="724"/>
      <c r="Y607" s="724"/>
      <c r="Z607" s="721">
        <v>556</v>
      </c>
      <c r="AA607" s="724"/>
      <c r="AB607" s="725"/>
      <c r="AC607" s="724"/>
      <c r="AD607" s="724"/>
      <c r="AE607" s="724"/>
      <c r="AF607" s="724"/>
      <c r="AG607" s="724"/>
      <c r="AH607" s="721"/>
      <c r="AI607" s="724"/>
      <c r="AU607" s="713"/>
      <c r="AW607" s="712"/>
      <c r="BY607" s="714"/>
      <c r="BZ607" s="715"/>
      <c r="CA607" s="716"/>
      <c r="CB607" s="717"/>
      <c r="CC607" s="717"/>
      <c r="CD607" s="717"/>
      <c r="CE607" s="717"/>
      <c r="CF607" s="717"/>
      <c r="CG607" s="717"/>
      <c r="CH607" s="717"/>
      <c r="CI607" s="717"/>
      <c r="CJ607" s="717"/>
      <c r="CK607" s="717"/>
      <c r="CL607" s="717"/>
      <c r="CM607" s="717"/>
      <c r="CN607" s="717"/>
      <c r="CO607" s="717"/>
      <c r="CP607" s="717"/>
      <c r="CQ607" s="717"/>
      <c r="CR607" s="717"/>
      <c r="CS607" s="717"/>
      <c r="CT607" s="717"/>
      <c r="CU607" s="717"/>
      <c r="CV607" s="717"/>
      <c r="CW607" s="717"/>
      <c r="CX607" s="717"/>
      <c r="CY607" s="717"/>
      <c r="CZ607" s="717"/>
      <c r="DA607" s="717"/>
      <c r="DB607" s="717"/>
      <c r="DC607" s="717"/>
      <c r="DD607" s="717"/>
      <c r="DE607" s="717"/>
      <c r="DF607" s="717"/>
      <c r="DG607" s="717"/>
      <c r="DH607" s="717"/>
      <c r="DI607" s="717"/>
      <c r="DJ607" s="717"/>
      <c r="DM607" s="711"/>
      <c r="DN607" s="711"/>
      <c r="DO607" s="711"/>
      <c r="DP607" s="711"/>
      <c r="DQ607" s="711"/>
      <c r="EB607" s="719"/>
    </row>
    <row r="608" spans="5:132" s="709" customFormat="1" ht="18" hidden="1">
      <c r="E608" s="721"/>
      <c r="G608" s="990">
        <v>50</v>
      </c>
      <c r="H608" s="989">
        <v>69</v>
      </c>
      <c r="I608" s="725"/>
      <c r="J608" s="724"/>
      <c r="K608" s="724"/>
      <c r="L608" s="728"/>
      <c r="M608" s="724"/>
      <c r="N608" s="724"/>
      <c r="O608" s="724"/>
      <c r="P608" s="724"/>
      <c r="Q608" s="724"/>
      <c r="R608" s="724"/>
      <c r="S608" s="724"/>
      <c r="T608" s="724"/>
      <c r="U608" s="724"/>
      <c r="V608" s="721">
        <v>226</v>
      </c>
      <c r="W608" s="724"/>
      <c r="X608" s="724"/>
      <c r="Y608" s="724"/>
      <c r="Z608" s="724"/>
      <c r="AA608" s="724"/>
      <c r="AB608" s="729"/>
      <c r="AC608" s="724"/>
      <c r="AD608" s="724"/>
      <c r="AE608" s="724"/>
      <c r="AF608" s="724"/>
      <c r="AG608" s="724"/>
      <c r="AH608" s="724"/>
      <c r="AI608" s="724"/>
      <c r="AU608" s="713"/>
      <c r="AW608" s="712"/>
      <c r="BY608" s="714"/>
      <c r="BZ608" s="715"/>
      <c r="CA608" s="716"/>
      <c r="CB608" s="717"/>
      <c r="CC608" s="717"/>
      <c r="CD608" s="717"/>
      <c r="CE608" s="717"/>
      <c r="CF608" s="717"/>
      <c r="CG608" s="717"/>
      <c r="CH608" s="717"/>
      <c r="CI608" s="717"/>
      <c r="CJ608" s="717"/>
      <c r="CK608" s="717"/>
      <c r="CL608" s="717"/>
      <c r="CM608" s="717"/>
      <c r="CN608" s="717"/>
      <c r="CO608" s="717"/>
      <c r="CP608" s="717"/>
      <c r="CQ608" s="717"/>
      <c r="CR608" s="717"/>
      <c r="CS608" s="717"/>
      <c r="CT608" s="717"/>
      <c r="CU608" s="717"/>
      <c r="CV608" s="717"/>
      <c r="CW608" s="717"/>
      <c r="CX608" s="717"/>
      <c r="CY608" s="717"/>
      <c r="CZ608" s="717"/>
      <c r="DA608" s="717"/>
      <c r="DB608" s="717"/>
      <c r="DC608" s="717"/>
      <c r="DD608" s="717"/>
      <c r="DE608" s="717"/>
      <c r="DF608" s="717"/>
      <c r="DG608" s="717"/>
      <c r="DH608" s="717"/>
      <c r="DI608" s="717"/>
      <c r="DJ608" s="717"/>
      <c r="DM608" s="711"/>
      <c r="DN608" s="711"/>
      <c r="DO608" s="711"/>
      <c r="DP608" s="711"/>
      <c r="DQ608" s="711"/>
      <c r="EB608" s="719"/>
    </row>
    <row r="609" spans="5:132" s="709" customFormat="1" ht="18" hidden="1">
      <c r="E609" s="721"/>
      <c r="G609" s="990">
        <v>51</v>
      </c>
      <c r="H609" s="989">
        <v>70</v>
      </c>
      <c r="I609" s="725"/>
      <c r="J609" s="724"/>
      <c r="K609" s="724"/>
      <c r="L609" s="728"/>
      <c r="M609" s="724"/>
      <c r="N609" s="724"/>
      <c r="O609" s="724"/>
      <c r="P609" s="724"/>
      <c r="Q609" s="724"/>
      <c r="R609" s="724"/>
      <c r="S609" s="724"/>
      <c r="T609" s="724"/>
      <c r="U609" s="724"/>
      <c r="V609" s="721">
        <v>227</v>
      </c>
      <c r="W609" s="724"/>
      <c r="X609" s="724"/>
      <c r="Y609" s="724"/>
      <c r="Z609" s="724"/>
      <c r="AA609" s="724"/>
      <c r="AB609" s="725"/>
      <c r="AC609" s="724"/>
      <c r="AD609" s="724"/>
      <c r="AE609" s="724"/>
      <c r="AF609" s="724"/>
      <c r="AG609" s="724"/>
      <c r="AH609" s="724"/>
      <c r="AI609" s="724"/>
      <c r="AU609" s="713"/>
      <c r="AW609" s="712"/>
      <c r="BY609" s="714"/>
      <c r="BZ609" s="715"/>
      <c r="CA609" s="716"/>
      <c r="CB609" s="717"/>
      <c r="CC609" s="717"/>
      <c r="CD609" s="717"/>
      <c r="CE609" s="717"/>
      <c r="CF609" s="717"/>
      <c r="CG609" s="717"/>
      <c r="CH609" s="717"/>
      <c r="CI609" s="717"/>
      <c r="CJ609" s="717"/>
      <c r="CK609" s="717"/>
      <c r="CL609" s="717"/>
      <c r="CM609" s="717"/>
      <c r="CN609" s="717"/>
      <c r="CO609" s="717"/>
      <c r="CP609" s="717"/>
      <c r="CQ609" s="717"/>
      <c r="CR609" s="717"/>
      <c r="CS609" s="717"/>
      <c r="CT609" s="717"/>
      <c r="CU609" s="717"/>
      <c r="CV609" s="717"/>
      <c r="CW609" s="717"/>
      <c r="CX609" s="717"/>
      <c r="CY609" s="717"/>
      <c r="CZ609" s="717"/>
      <c r="DA609" s="717"/>
      <c r="DB609" s="717"/>
      <c r="DC609" s="717"/>
      <c r="DD609" s="717"/>
      <c r="DE609" s="717"/>
      <c r="DF609" s="717"/>
      <c r="DG609" s="717"/>
      <c r="DH609" s="717"/>
      <c r="DI609" s="717"/>
      <c r="DJ609" s="717"/>
      <c r="DM609" s="711"/>
      <c r="DN609" s="711"/>
      <c r="DO609" s="711"/>
      <c r="DP609" s="711"/>
      <c r="DQ609" s="711"/>
      <c r="EB609" s="719"/>
    </row>
    <row r="610" spans="5:132" s="709" customFormat="1" ht="18" hidden="1">
      <c r="E610" s="721"/>
      <c r="G610" s="990">
        <v>52</v>
      </c>
      <c r="H610" s="989">
        <v>71</v>
      </c>
      <c r="I610" s="725"/>
      <c r="J610" s="724"/>
      <c r="K610" s="724"/>
      <c r="L610" s="728"/>
      <c r="M610" s="724"/>
      <c r="N610" s="724"/>
      <c r="O610" s="724"/>
      <c r="P610" s="724"/>
      <c r="Q610" s="724"/>
      <c r="R610" s="724"/>
      <c r="S610" s="724"/>
      <c r="T610" s="724"/>
      <c r="U610" s="724"/>
      <c r="V610" s="721">
        <v>228</v>
      </c>
      <c r="W610" s="724"/>
      <c r="X610" s="724"/>
      <c r="Y610" s="724"/>
      <c r="Z610" s="724"/>
      <c r="AA610" s="724"/>
      <c r="AB610" s="729"/>
      <c r="AC610" s="724"/>
      <c r="AD610" s="724"/>
      <c r="AE610" s="724"/>
      <c r="AF610" s="724"/>
      <c r="AG610" s="724"/>
      <c r="AH610" s="724"/>
      <c r="AI610" s="724"/>
      <c r="AU610" s="713"/>
      <c r="AW610" s="712"/>
      <c r="BY610" s="714"/>
      <c r="BZ610" s="715"/>
      <c r="CA610" s="716"/>
      <c r="CB610" s="717"/>
      <c r="CC610" s="717"/>
      <c r="CD610" s="717"/>
      <c r="CE610" s="717"/>
      <c r="CF610" s="717"/>
      <c r="CG610" s="717"/>
      <c r="CH610" s="717"/>
      <c r="CI610" s="717"/>
      <c r="CJ610" s="717"/>
      <c r="CK610" s="717"/>
      <c r="CL610" s="717"/>
      <c r="CM610" s="717"/>
      <c r="CN610" s="717"/>
      <c r="CO610" s="717"/>
      <c r="CP610" s="717"/>
      <c r="CQ610" s="717"/>
      <c r="CR610" s="717"/>
      <c r="CS610" s="717"/>
      <c r="CT610" s="717"/>
      <c r="CU610" s="717"/>
      <c r="CV610" s="717"/>
      <c r="CW610" s="717"/>
      <c r="CX610" s="717"/>
      <c r="CY610" s="717"/>
      <c r="CZ610" s="717"/>
      <c r="DA610" s="717"/>
      <c r="DB610" s="717"/>
      <c r="DC610" s="717"/>
      <c r="DD610" s="717"/>
      <c r="DE610" s="717"/>
      <c r="DF610" s="717"/>
      <c r="DG610" s="717"/>
      <c r="DH610" s="717"/>
      <c r="DI610" s="717"/>
      <c r="DJ610" s="717"/>
      <c r="DM610" s="711"/>
      <c r="DN610" s="711"/>
      <c r="DO610" s="711"/>
      <c r="DP610" s="711"/>
      <c r="DQ610" s="711"/>
      <c r="EB610" s="719"/>
    </row>
    <row r="611" spans="5:132" s="709" customFormat="1" ht="18" hidden="1">
      <c r="E611" s="721"/>
      <c r="G611" s="990">
        <v>53</v>
      </c>
      <c r="H611" s="989">
        <v>80</v>
      </c>
      <c r="I611" s="725"/>
      <c r="J611" s="724"/>
      <c r="K611" s="724"/>
      <c r="L611" s="728"/>
      <c r="M611" s="724"/>
      <c r="N611" s="724"/>
      <c r="O611" s="724"/>
      <c r="P611" s="724"/>
      <c r="Q611" s="724"/>
      <c r="R611" s="724"/>
      <c r="S611" s="724"/>
      <c r="T611" s="724"/>
      <c r="U611" s="724"/>
      <c r="V611" s="721">
        <v>229</v>
      </c>
      <c r="W611" s="724"/>
      <c r="X611" s="724"/>
      <c r="Y611" s="724"/>
      <c r="Z611" s="724"/>
      <c r="AA611" s="724"/>
      <c r="AB611" s="725"/>
      <c r="AC611" s="724"/>
      <c r="AD611" s="724"/>
      <c r="AE611" s="724"/>
      <c r="AF611" s="724"/>
      <c r="AG611" s="724"/>
      <c r="AH611" s="724"/>
      <c r="AI611" s="724"/>
      <c r="AU611" s="713"/>
      <c r="AW611" s="712"/>
      <c r="BY611" s="714"/>
      <c r="BZ611" s="715"/>
      <c r="CA611" s="716"/>
      <c r="CB611" s="717"/>
      <c r="CC611" s="717"/>
      <c r="CD611" s="717"/>
      <c r="CE611" s="717"/>
      <c r="CF611" s="717"/>
      <c r="CG611" s="717"/>
      <c r="CH611" s="717"/>
      <c r="CI611" s="717"/>
      <c r="CJ611" s="717"/>
      <c r="CK611" s="717"/>
      <c r="CL611" s="717"/>
      <c r="CM611" s="717"/>
      <c r="CN611" s="717"/>
      <c r="CO611" s="717"/>
      <c r="CP611" s="717"/>
      <c r="CQ611" s="717"/>
      <c r="CR611" s="717"/>
      <c r="CS611" s="717"/>
      <c r="CT611" s="717"/>
      <c r="CU611" s="717"/>
      <c r="CV611" s="717"/>
      <c r="CW611" s="717"/>
      <c r="CX611" s="717"/>
      <c r="CY611" s="717"/>
      <c r="CZ611" s="717"/>
      <c r="DA611" s="717"/>
      <c r="DB611" s="717"/>
      <c r="DC611" s="717"/>
      <c r="DD611" s="717"/>
      <c r="DE611" s="717"/>
      <c r="DF611" s="717"/>
      <c r="DG611" s="717"/>
      <c r="DH611" s="717"/>
      <c r="DI611" s="717"/>
      <c r="DJ611" s="717"/>
      <c r="DM611" s="711"/>
      <c r="DN611" s="711"/>
      <c r="DO611" s="711"/>
      <c r="DP611" s="711"/>
      <c r="DQ611" s="711"/>
      <c r="EB611" s="719"/>
    </row>
    <row r="612" spans="5:132" s="709" customFormat="1" ht="18" hidden="1">
      <c r="E612" s="721"/>
      <c r="G612" s="990">
        <v>54</v>
      </c>
      <c r="H612" s="989">
        <v>81</v>
      </c>
      <c r="I612" s="726"/>
      <c r="J612" s="724"/>
      <c r="K612" s="724"/>
      <c r="L612" s="728"/>
      <c r="M612" s="724"/>
      <c r="N612" s="724"/>
      <c r="O612" s="724"/>
      <c r="P612" s="724"/>
      <c r="Q612" s="724"/>
      <c r="R612" s="724"/>
      <c r="S612" s="724"/>
      <c r="T612" s="724"/>
      <c r="U612" s="724"/>
      <c r="V612" s="721">
        <v>230</v>
      </c>
      <c r="W612" s="724"/>
      <c r="X612" s="724"/>
      <c r="Y612" s="724"/>
      <c r="Z612" s="724"/>
      <c r="AA612" s="724"/>
      <c r="AB612" s="725"/>
      <c r="AC612" s="724"/>
      <c r="AD612" s="724"/>
      <c r="AE612" s="724"/>
      <c r="AF612" s="724"/>
      <c r="AG612" s="724"/>
      <c r="AH612" s="724"/>
      <c r="AI612" s="724"/>
      <c r="AU612" s="713"/>
      <c r="AW612" s="712"/>
      <c r="BY612" s="714"/>
      <c r="BZ612" s="715"/>
      <c r="CA612" s="716"/>
      <c r="CB612" s="717"/>
      <c r="CC612" s="717"/>
      <c r="CD612" s="717"/>
      <c r="CE612" s="717"/>
      <c r="CF612" s="717"/>
      <c r="CG612" s="717"/>
      <c r="CH612" s="717"/>
      <c r="CI612" s="717"/>
      <c r="CJ612" s="717"/>
      <c r="CK612" s="717"/>
      <c r="CL612" s="717"/>
      <c r="CM612" s="717"/>
      <c r="CN612" s="717"/>
      <c r="CO612" s="717"/>
      <c r="CP612" s="717"/>
      <c r="CQ612" s="717"/>
      <c r="CR612" s="717"/>
      <c r="CS612" s="717"/>
      <c r="CT612" s="717"/>
      <c r="CU612" s="717"/>
      <c r="CV612" s="717"/>
      <c r="CW612" s="717"/>
      <c r="CX612" s="717"/>
      <c r="CY612" s="717"/>
      <c r="CZ612" s="717"/>
      <c r="DA612" s="717"/>
      <c r="DB612" s="717"/>
      <c r="DC612" s="717"/>
      <c r="DD612" s="717"/>
      <c r="DE612" s="717"/>
      <c r="DF612" s="717"/>
      <c r="DG612" s="717"/>
      <c r="DH612" s="717"/>
      <c r="DI612" s="717"/>
      <c r="DJ612" s="717"/>
      <c r="DM612" s="711"/>
      <c r="DN612" s="711"/>
      <c r="DO612" s="711"/>
      <c r="DP612" s="711"/>
      <c r="DQ612" s="711"/>
      <c r="EB612" s="719"/>
    </row>
    <row r="613" spans="5:132" s="709" customFormat="1" ht="18" hidden="1">
      <c r="E613" s="721"/>
      <c r="G613" s="990">
        <v>55</v>
      </c>
      <c r="H613" s="989">
        <v>82</v>
      </c>
      <c r="I613" s="725"/>
      <c r="J613" s="724"/>
      <c r="K613" s="724"/>
      <c r="L613" s="728"/>
      <c r="M613" s="724"/>
      <c r="N613" s="724"/>
      <c r="O613" s="724"/>
      <c r="P613" s="724"/>
      <c r="Q613" s="724"/>
      <c r="R613" s="724"/>
      <c r="S613" s="724"/>
      <c r="T613" s="724"/>
      <c r="U613" s="724"/>
      <c r="V613" s="721">
        <v>231</v>
      </c>
      <c r="W613" s="724"/>
      <c r="X613" s="724"/>
      <c r="Y613" s="724"/>
      <c r="Z613" s="724"/>
      <c r="AA613" s="724"/>
      <c r="AB613" s="725"/>
      <c r="AC613" s="724"/>
      <c r="AD613" s="724"/>
      <c r="AE613" s="724"/>
      <c r="AF613" s="724"/>
      <c r="AG613" s="724"/>
      <c r="AH613" s="724"/>
      <c r="AI613" s="724"/>
      <c r="AU613" s="713"/>
      <c r="AW613" s="712"/>
      <c r="BY613" s="714"/>
      <c r="BZ613" s="715"/>
      <c r="CA613" s="716"/>
      <c r="CB613" s="717"/>
      <c r="CC613" s="717"/>
      <c r="CD613" s="717"/>
      <c r="CE613" s="717"/>
      <c r="CF613" s="717"/>
      <c r="CG613" s="717"/>
      <c r="CH613" s="717"/>
      <c r="CI613" s="717"/>
      <c r="CJ613" s="717"/>
      <c r="CK613" s="717"/>
      <c r="CL613" s="717"/>
      <c r="CM613" s="717"/>
      <c r="CN613" s="717"/>
      <c r="CO613" s="717"/>
      <c r="CP613" s="717"/>
      <c r="CQ613" s="717"/>
      <c r="CR613" s="717"/>
      <c r="CS613" s="717"/>
      <c r="CT613" s="717"/>
      <c r="CU613" s="717"/>
      <c r="CV613" s="717"/>
      <c r="CW613" s="717"/>
      <c r="CX613" s="717"/>
      <c r="CY613" s="717"/>
      <c r="CZ613" s="717"/>
      <c r="DA613" s="717"/>
      <c r="DB613" s="717"/>
      <c r="DC613" s="717"/>
      <c r="DD613" s="717"/>
      <c r="DE613" s="717"/>
      <c r="DF613" s="717"/>
      <c r="DG613" s="717"/>
      <c r="DH613" s="717"/>
      <c r="DI613" s="717"/>
      <c r="DJ613" s="717"/>
      <c r="DM613" s="711"/>
      <c r="DN613" s="711"/>
      <c r="DO613" s="711"/>
      <c r="DP613" s="711"/>
      <c r="DQ613" s="711"/>
      <c r="EB613" s="719"/>
    </row>
    <row r="614" spans="5:132" s="709" customFormat="1" ht="18" hidden="1">
      <c r="E614" s="721"/>
      <c r="G614" s="990">
        <v>56</v>
      </c>
      <c r="H614" s="989">
        <v>83</v>
      </c>
      <c r="I614" s="725"/>
      <c r="J614" s="724"/>
      <c r="K614" s="724"/>
      <c r="L614" s="728"/>
      <c r="M614" s="724"/>
      <c r="N614" s="724"/>
      <c r="O614" s="724"/>
      <c r="P614" s="724"/>
      <c r="Q614" s="724"/>
      <c r="R614" s="724"/>
      <c r="S614" s="724"/>
      <c r="T614" s="724"/>
      <c r="U614" s="724"/>
      <c r="V614" s="721">
        <v>236</v>
      </c>
      <c r="W614" s="724"/>
      <c r="X614" s="724"/>
      <c r="Y614" s="724"/>
      <c r="Z614" s="724"/>
      <c r="AA614" s="724"/>
      <c r="AB614" s="725"/>
      <c r="AC614" s="724"/>
      <c r="AD614" s="724"/>
      <c r="AE614" s="724"/>
      <c r="AF614" s="724"/>
      <c r="AG614" s="724"/>
      <c r="AH614" s="724"/>
      <c r="AI614" s="724"/>
      <c r="AU614" s="713"/>
      <c r="AW614" s="712"/>
      <c r="BY614" s="714"/>
      <c r="BZ614" s="715"/>
      <c r="CA614" s="716"/>
      <c r="CB614" s="717"/>
      <c r="CC614" s="717"/>
      <c r="CD614" s="717"/>
      <c r="CE614" s="717"/>
      <c r="CF614" s="717"/>
      <c r="CG614" s="717"/>
      <c r="CH614" s="717"/>
      <c r="CI614" s="717"/>
      <c r="CJ614" s="717"/>
      <c r="CK614" s="717"/>
      <c r="CL614" s="717"/>
      <c r="CM614" s="717"/>
      <c r="CN614" s="717"/>
      <c r="CO614" s="717"/>
      <c r="CP614" s="717"/>
      <c r="CQ614" s="717"/>
      <c r="CR614" s="717"/>
      <c r="CS614" s="717"/>
      <c r="CT614" s="717"/>
      <c r="CU614" s="717"/>
      <c r="CV614" s="717"/>
      <c r="CW614" s="717"/>
      <c r="CX614" s="717"/>
      <c r="CY614" s="717"/>
      <c r="CZ614" s="717"/>
      <c r="DA614" s="717"/>
      <c r="DB614" s="717"/>
      <c r="DC614" s="717"/>
      <c r="DD614" s="717"/>
      <c r="DE614" s="717"/>
      <c r="DF614" s="717"/>
      <c r="DG614" s="717"/>
      <c r="DH614" s="717"/>
      <c r="DI614" s="717"/>
      <c r="DJ614" s="717"/>
      <c r="DM614" s="711"/>
      <c r="DN614" s="711"/>
      <c r="DO614" s="711"/>
      <c r="DP614" s="711"/>
      <c r="DQ614" s="711"/>
      <c r="EB614" s="719"/>
    </row>
    <row r="615" spans="5:132" s="709" customFormat="1" ht="18" hidden="1">
      <c r="E615" s="721"/>
      <c r="G615" s="990">
        <v>57</v>
      </c>
      <c r="H615" s="989">
        <v>84</v>
      </c>
      <c r="I615" s="725"/>
      <c r="J615" s="724"/>
      <c r="K615" s="724"/>
      <c r="L615" s="728"/>
      <c r="M615" s="724"/>
      <c r="N615" s="724"/>
      <c r="O615" s="724"/>
      <c r="P615" s="724"/>
      <c r="Q615" s="724"/>
      <c r="R615" s="724"/>
      <c r="S615" s="724"/>
      <c r="T615" s="724"/>
      <c r="U615" s="724"/>
      <c r="V615" s="721">
        <v>237</v>
      </c>
      <c r="W615" s="724"/>
      <c r="X615" s="724"/>
      <c r="Y615" s="724"/>
      <c r="Z615" s="724"/>
      <c r="AA615" s="724"/>
      <c r="AB615" s="725"/>
      <c r="AC615" s="724"/>
      <c r="AD615" s="724"/>
      <c r="AE615" s="724"/>
      <c r="AF615" s="724"/>
      <c r="AG615" s="724"/>
      <c r="AH615" s="724"/>
      <c r="AI615" s="724"/>
      <c r="AU615" s="713"/>
      <c r="AW615" s="712"/>
      <c r="BY615" s="714"/>
      <c r="BZ615" s="715"/>
      <c r="CA615" s="716"/>
      <c r="CB615" s="717"/>
      <c r="CC615" s="717"/>
      <c r="CD615" s="717"/>
      <c r="CE615" s="717"/>
      <c r="CF615" s="717"/>
      <c r="CG615" s="717"/>
      <c r="CH615" s="717"/>
      <c r="CI615" s="717"/>
      <c r="CJ615" s="717"/>
      <c r="CK615" s="717"/>
      <c r="CL615" s="717"/>
      <c r="CM615" s="717"/>
      <c r="CN615" s="717"/>
      <c r="CO615" s="717"/>
      <c r="CP615" s="717"/>
      <c r="CQ615" s="717"/>
      <c r="CR615" s="717"/>
      <c r="CS615" s="717"/>
      <c r="CT615" s="717"/>
      <c r="CU615" s="717"/>
      <c r="CV615" s="717"/>
      <c r="CW615" s="717"/>
      <c r="CX615" s="717"/>
      <c r="CY615" s="717"/>
      <c r="CZ615" s="717"/>
      <c r="DA615" s="717"/>
      <c r="DB615" s="717"/>
      <c r="DC615" s="717"/>
      <c r="DD615" s="717"/>
      <c r="DE615" s="717"/>
      <c r="DF615" s="717"/>
      <c r="DG615" s="717"/>
      <c r="DH615" s="717"/>
      <c r="DI615" s="717"/>
      <c r="DJ615" s="717"/>
      <c r="DM615" s="711"/>
      <c r="DN615" s="711"/>
      <c r="DO615" s="711"/>
      <c r="DP615" s="711"/>
      <c r="DQ615" s="711"/>
      <c r="EB615" s="719"/>
    </row>
    <row r="616" spans="5:132" s="709" customFormat="1" ht="18" hidden="1">
      <c r="E616" s="721"/>
      <c r="G616" s="990">
        <v>58</v>
      </c>
      <c r="H616" s="989">
        <v>85</v>
      </c>
      <c r="I616" s="725"/>
      <c r="J616" s="724"/>
      <c r="K616" s="724"/>
      <c r="L616" s="728"/>
      <c r="M616" s="724"/>
      <c r="N616" s="724"/>
      <c r="O616" s="724"/>
      <c r="P616" s="724"/>
      <c r="Q616" s="724"/>
      <c r="R616" s="724"/>
      <c r="S616" s="724"/>
      <c r="T616" s="724"/>
      <c r="U616" s="724"/>
      <c r="V616" s="721">
        <v>248</v>
      </c>
      <c r="W616" s="724"/>
      <c r="X616" s="724"/>
      <c r="Y616" s="724"/>
      <c r="Z616" s="724"/>
      <c r="AA616" s="724"/>
      <c r="AB616" s="725"/>
      <c r="AC616" s="724"/>
      <c r="AD616" s="724"/>
      <c r="AE616" s="724"/>
      <c r="AF616" s="724"/>
      <c r="AG616" s="724"/>
      <c r="AH616" s="724"/>
      <c r="AI616" s="724"/>
      <c r="AU616" s="713"/>
      <c r="AW616" s="712"/>
      <c r="BY616" s="714"/>
      <c r="BZ616" s="715"/>
      <c r="CA616" s="716"/>
      <c r="CB616" s="717"/>
      <c r="CC616" s="717"/>
      <c r="CD616" s="717"/>
      <c r="CE616" s="717"/>
      <c r="CF616" s="717"/>
      <c r="CG616" s="717"/>
      <c r="CH616" s="717"/>
      <c r="CI616" s="717"/>
      <c r="CJ616" s="717"/>
      <c r="CK616" s="717"/>
      <c r="CL616" s="717"/>
      <c r="CM616" s="717"/>
      <c r="CN616" s="717"/>
      <c r="CO616" s="717"/>
      <c r="CP616" s="717"/>
      <c r="CQ616" s="717"/>
      <c r="CR616" s="717"/>
      <c r="CS616" s="717"/>
      <c r="CT616" s="717"/>
      <c r="CU616" s="717"/>
      <c r="CV616" s="717"/>
      <c r="CW616" s="717"/>
      <c r="CX616" s="717"/>
      <c r="CY616" s="717"/>
      <c r="CZ616" s="717"/>
      <c r="DA616" s="717"/>
      <c r="DB616" s="717"/>
      <c r="DC616" s="717"/>
      <c r="DD616" s="717"/>
      <c r="DE616" s="717"/>
      <c r="DF616" s="717"/>
      <c r="DG616" s="717"/>
      <c r="DH616" s="717"/>
      <c r="DI616" s="717"/>
      <c r="DJ616" s="717"/>
      <c r="DM616" s="711"/>
      <c r="DN616" s="711"/>
      <c r="DO616" s="711"/>
      <c r="DP616" s="711"/>
      <c r="DQ616" s="711"/>
      <c r="EB616" s="719"/>
    </row>
    <row r="617" spans="5:132" s="709" customFormat="1" ht="18" hidden="1">
      <c r="E617" s="721"/>
      <c r="G617" s="990">
        <v>59</v>
      </c>
      <c r="H617" s="989">
        <v>86</v>
      </c>
      <c r="I617" s="725"/>
      <c r="J617" s="724"/>
      <c r="K617" s="724"/>
      <c r="L617" s="728"/>
      <c r="M617" s="724"/>
      <c r="N617" s="724"/>
      <c r="O617" s="724"/>
      <c r="P617" s="724"/>
      <c r="Q617" s="724"/>
      <c r="R617" s="724"/>
      <c r="S617" s="724"/>
      <c r="T617" s="724"/>
      <c r="U617" s="724"/>
      <c r="V617" s="721">
        <v>249</v>
      </c>
      <c r="W617" s="724"/>
      <c r="X617" s="724"/>
      <c r="Y617" s="724"/>
      <c r="Z617" s="724"/>
      <c r="AA617" s="724"/>
      <c r="AB617" s="725"/>
      <c r="AC617" s="724"/>
      <c r="AD617" s="724"/>
      <c r="AE617" s="724"/>
      <c r="AF617" s="724"/>
      <c r="AG617" s="724"/>
      <c r="AH617" s="724"/>
      <c r="AI617" s="724"/>
      <c r="AU617" s="713"/>
      <c r="AW617" s="712"/>
      <c r="BY617" s="714"/>
      <c r="BZ617" s="715"/>
      <c r="CA617" s="716"/>
      <c r="CB617" s="717"/>
      <c r="CC617" s="717"/>
      <c r="CD617" s="717"/>
      <c r="CE617" s="717"/>
      <c r="CF617" s="717"/>
      <c r="CG617" s="717"/>
      <c r="CH617" s="717"/>
      <c r="CI617" s="717"/>
      <c r="CJ617" s="717"/>
      <c r="CK617" s="717"/>
      <c r="CL617" s="717"/>
      <c r="CM617" s="717"/>
      <c r="CN617" s="717"/>
      <c r="CO617" s="717"/>
      <c r="CP617" s="717"/>
      <c r="CQ617" s="717"/>
      <c r="CR617" s="717"/>
      <c r="CS617" s="717"/>
      <c r="CT617" s="717"/>
      <c r="CU617" s="717"/>
      <c r="CV617" s="717"/>
      <c r="CW617" s="717"/>
      <c r="CX617" s="717"/>
      <c r="CY617" s="717"/>
      <c r="CZ617" s="717"/>
      <c r="DA617" s="717"/>
      <c r="DB617" s="717"/>
      <c r="DC617" s="717"/>
      <c r="DD617" s="717"/>
      <c r="DE617" s="717"/>
      <c r="DF617" s="717"/>
      <c r="DG617" s="717"/>
      <c r="DH617" s="717"/>
      <c r="DI617" s="717"/>
      <c r="DJ617" s="717"/>
      <c r="DM617" s="711"/>
      <c r="DN617" s="711"/>
      <c r="DO617" s="711"/>
      <c r="DP617" s="711"/>
      <c r="DQ617" s="711"/>
      <c r="EB617" s="719"/>
    </row>
    <row r="618" spans="5:132" s="709" customFormat="1" ht="18" hidden="1">
      <c r="E618" s="721"/>
      <c r="G618" s="990">
        <v>60</v>
      </c>
      <c r="H618" s="989">
        <v>87</v>
      </c>
      <c r="I618" s="725"/>
      <c r="J618" s="724"/>
      <c r="K618" s="724"/>
      <c r="L618" s="728"/>
      <c r="M618" s="724"/>
      <c r="N618" s="724"/>
      <c r="O618" s="724"/>
      <c r="P618" s="724"/>
      <c r="Q618" s="724"/>
      <c r="R618" s="724"/>
      <c r="S618" s="724"/>
      <c r="T618" s="724"/>
      <c r="U618" s="724"/>
      <c r="V618" s="721">
        <v>250</v>
      </c>
      <c r="W618" s="724"/>
      <c r="X618" s="724"/>
      <c r="Y618" s="724"/>
      <c r="Z618" s="724"/>
      <c r="AA618" s="724"/>
      <c r="AB618" s="725"/>
      <c r="AC618" s="724"/>
      <c r="AD618" s="724"/>
      <c r="AE618" s="724"/>
      <c r="AF618" s="724"/>
      <c r="AG618" s="724"/>
      <c r="AH618" s="724"/>
      <c r="AI618" s="724"/>
      <c r="AU618" s="713"/>
      <c r="AW618" s="712"/>
      <c r="BY618" s="714"/>
      <c r="BZ618" s="715"/>
      <c r="CA618" s="716"/>
      <c r="CB618" s="717"/>
      <c r="CC618" s="717"/>
      <c r="CD618" s="717"/>
      <c r="CE618" s="717"/>
      <c r="CF618" s="717"/>
      <c r="CG618" s="717"/>
      <c r="CH618" s="717"/>
      <c r="CI618" s="717"/>
      <c r="CJ618" s="717"/>
      <c r="CK618" s="717"/>
      <c r="CL618" s="717"/>
      <c r="CM618" s="717"/>
      <c r="CN618" s="717"/>
      <c r="CO618" s="717"/>
      <c r="CP618" s="717"/>
      <c r="CQ618" s="717"/>
      <c r="CR618" s="717"/>
      <c r="CS618" s="717"/>
      <c r="CT618" s="717"/>
      <c r="CU618" s="717"/>
      <c r="CV618" s="717"/>
      <c r="CW618" s="717"/>
      <c r="CX618" s="717"/>
      <c r="CY618" s="717"/>
      <c r="CZ618" s="717"/>
      <c r="DA618" s="717"/>
      <c r="DB618" s="717"/>
      <c r="DC618" s="717"/>
      <c r="DD618" s="717"/>
      <c r="DE618" s="717"/>
      <c r="DF618" s="717"/>
      <c r="DG618" s="717"/>
      <c r="DH618" s="717"/>
      <c r="DI618" s="717"/>
      <c r="DJ618" s="717"/>
      <c r="DM618" s="711"/>
      <c r="DN618" s="711"/>
      <c r="DO618" s="711"/>
      <c r="DP618" s="711"/>
      <c r="DQ618" s="711"/>
      <c r="EB618" s="719"/>
    </row>
    <row r="619" spans="5:132" s="709" customFormat="1" ht="18" hidden="1">
      <c r="E619" s="721"/>
      <c r="G619" s="990">
        <v>61</v>
      </c>
      <c r="H619" s="989">
        <v>88</v>
      </c>
      <c r="I619" s="725"/>
      <c r="J619" s="724"/>
      <c r="K619" s="724"/>
      <c r="L619" s="728"/>
      <c r="M619" s="724"/>
      <c r="N619" s="724"/>
      <c r="O619" s="724"/>
      <c r="P619" s="724"/>
      <c r="Q619" s="724"/>
      <c r="R619" s="724"/>
      <c r="S619" s="724"/>
      <c r="T619" s="724"/>
      <c r="U619" s="724"/>
      <c r="V619" s="721">
        <v>252</v>
      </c>
      <c r="W619" s="724"/>
      <c r="X619" s="724"/>
      <c r="Y619" s="724"/>
      <c r="Z619" s="724"/>
      <c r="AA619" s="724"/>
      <c r="AB619" s="725"/>
      <c r="AC619" s="724"/>
      <c r="AD619" s="724"/>
      <c r="AE619" s="724"/>
      <c r="AF619" s="724"/>
      <c r="AG619" s="724"/>
      <c r="AH619" s="724"/>
      <c r="AI619" s="724"/>
      <c r="AU619" s="713"/>
      <c r="AW619" s="712"/>
      <c r="BY619" s="714"/>
      <c r="BZ619" s="715"/>
      <c r="CA619" s="716"/>
      <c r="CB619" s="717"/>
      <c r="CC619" s="717"/>
      <c r="CD619" s="717"/>
      <c r="CE619" s="717"/>
      <c r="CF619" s="717"/>
      <c r="CG619" s="717"/>
      <c r="CH619" s="717"/>
      <c r="CI619" s="717"/>
      <c r="CJ619" s="717"/>
      <c r="CK619" s="717"/>
      <c r="CL619" s="717"/>
      <c r="CM619" s="717"/>
      <c r="CN619" s="717"/>
      <c r="CO619" s="717"/>
      <c r="CP619" s="717"/>
      <c r="CQ619" s="717"/>
      <c r="CR619" s="717"/>
      <c r="CS619" s="717"/>
      <c r="CT619" s="717"/>
      <c r="CU619" s="717"/>
      <c r="CV619" s="717"/>
      <c r="CW619" s="717"/>
      <c r="CX619" s="717"/>
      <c r="CY619" s="717"/>
      <c r="CZ619" s="717"/>
      <c r="DA619" s="717"/>
      <c r="DB619" s="717"/>
      <c r="DC619" s="717"/>
      <c r="DD619" s="717"/>
      <c r="DE619" s="717"/>
      <c r="DF619" s="717"/>
      <c r="DG619" s="717"/>
      <c r="DH619" s="717"/>
      <c r="DI619" s="717"/>
      <c r="DJ619" s="717"/>
      <c r="DM619" s="711"/>
      <c r="DN619" s="711"/>
      <c r="DO619" s="711"/>
      <c r="DP619" s="711"/>
      <c r="DQ619" s="711"/>
      <c r="EB619" s="719"/>
    </row>
    <row r="620" spans="5:132" s="709" customFormat="1" ht="18" hidden="1">
      <c r="E620" s="721"/>
      <c r="G620" s="990">
        <v>62</v>
      </c>
      <c r="H620" s="989">
        <v>89</v>
      </c>
      <c r="I620" s="725"/>
      <c r="J620" s="724"/>
      <c r="K620" s="724"/>
      <c r="L620" s="728"/>
      <c r="M620" s="724"/>
      <c r="N620" s="724"/>
      <c r="O620" s="724"/>
      <c r="P620" s="724"/>
      <c r="Q620" s="724"/>
      <c r="R620" s="724"/>
      <c r="S620" s="724"/>
      <c r="T620" s="724"/>
      <c r="U620" s="724"/>
      <c r="V620" s="721">
        <v>253</v>
      </c>
      <c r="W620" s="724"/>
      <c r="X620" s="724"/>
      <c r="Y620" s="724"/>
      <c r="Z620" s="724"/>
      <c r="AA620" s="724"/>
      <c r="AB620" s="725"/>
      <c r="AC620" s="724"/>
      <c r="AD620" s="724"/>
      <c r="AE620" s="724"/>
      <c r="AF620" s="724"/>
      <c r="AG620" s="724"/>
      <c r="AH620" s="724"/>
      <c r="AI620" s="724"/>
      <c r="AU620" s="713"/>
      <c r="AW620" s="712"/>
      <c r="BY620" s="714"/>
      <c r="BZ620" s="715"/>
      <c r="CA620" s="716"/>
      <c r="CB620" s="717"/>
      <c r="CC620" s="717"/>
      <c r="CD620" s="717"/>
      <c r="CE620" s="717"/>
      <c r="CF620" s="717"/>
      <c r="CG620" s="717"/>
      <c r="CH620" s="717"/>
      <c r="CI620" s="717"/>
      <c r="CJ620" s="717"/>
      <c r="CK620" s="717"/>
      <c r="CL620" s="717"/>
      <c r="CM620" s="717"/>
      <c r="CN620" s="717"/>
      <c r="CO620" s="717"/>
      <c r="CP620" s="717"/>
      <c r="CQ620" s="717"/>
      <c r="CR620" s="717"/>
      <c r="CS620" s="717"/>
      <c r="CT620" s="717"/>
      <c r="CU620" s="717"/>
      <c r="CV620" s="717"/>
      <c r="CW620" s="717"/>
      <c r="CX620" s="717"/>
      <c r="CY620" s="717"/>
      <c r="CZ620" s="717"/>
      <c r="DA620" s="717"/>
      <c r="DB620" s="717"/>
      <c r="DC620" s="717"/>
      <c r="DD620" s="717"/>
      <c r="DE620" s="717"/>
      <c r="DF620" s="717"/>
      <c r="DG620" s="717"/>
      <c r="DH620" s="717"/>
      <c r="DI620" s="717"/>
      <c r="DJ620" s="717"/>
      <c r="DM620" s="711"/>
      <c r="DN620" s="711"/>
      <c r="DO620" s="711"/>
      <c r="DP620" s="711"/>
      <c r="DQ620" s="711"/>
      <c r="EB620" s="719"/>
    </row>
    <row r="621" spans="5:132" s="709" customFormat="1" ht="18" hidden="1">
      <c r="E621" s="721"/>
      <c r="G621" s="990">
        <v>63</v>
      </c>
      <c r="H621" s="989">
        <v>90</v>
      </c>
      <c r="I621" s="725"/>
      <c r="J621" s="724"/>
      <c r="K621" s="724"/>
      <c r="L621" s="728"/>
      <c r="M621" s="724"/>
      <c r="N621" s="724"/>
      <c r="O621" s="724"/>
      <c r="P621" s="724"/>
      <c r="Q621" s="724"/>
      <c r="R621" s="724"/>
      <c r="S621" s="724"/>
      <c r="T621" s="724"/>
      <c r="U621" s="724"/>
      <c r="V621" s="721">
        <v>254</v>
      </c>
      <c r="W621" s="724"/>
      <c r="X621" s="724"/>
      <c r="Y621" s="724"/>
      <c r="Z621" s="724"/>
      <c r="AA621" s="724"/>
      <c r="AB621" s="725"/>
      <c r="AC621" s="724"/>
      <c r="AD621" s="724"/>
      <c r="AE621" s="724"/>
      <c r="AF621" s="724"/>
      <c r="AG621" s="724"/>
      <c r="AH621" s="724"/>
      <c r="AI621" s="724"/>
      <c r="AU621" s="713"/>
      <c r="AW621" s="712"/>
      <c r="BY621" s="714"/>
      <c r="BZ621" s="715"/>
      <c r="CA621" s="716"/>
      <c r="CB621" s="717"/>
      <c r="CC621" s="717"/>
      <c r="CD621" s="717"/>
      <c r="CE621" s="717"/>
      <c r="CF621" s="717"/>
      <c r="CG621" s="717"/>
      <c r="CH621" s="717"/>
      <c r="CI621" s="717"/>
      <c r="CJ621" s="717"/>
      <c r="CK621" s="717"/>
      <c r="CL621" s="717"/>
      <c r="CM621" s="717"/>
      <c r="CN621" s="717"/>
      <c r="CO621" s="717"/>
      <c r="CP621" s="717"/>
      <c r="CQ621" s="717"/>
      <c r="CR621" s="717"/>
      <c r="CS621" s="717"/>
      <c r="CT621" s="717"/>
      <c r="CU621" s="717"/>
      <c r="CV621" s="717"/>
      <c r="CW621" s="717"/>
      <c r="CX621" s="717"/>
      <c r="CY621" s="717"/>
      <c r="CZ621" s="717"/>
      <c r="DA621" s="717"/>
      <c r="DB621" s="717"/>
      <c r="DC621" s="717"/>
      <c r="DD621" s="717"/>
      <c r="DE621" s="717"/>
      <c r="DF621" s="717"/>
      <c r="DG621" s="717"/>
      <c r="DH621" s="717"/>
      <c r="DI621" s="717"/>
      <c r="DJ621" s="717"/>
      <c r="DM621" s="711"/>
      <c r="DN621" s="711"/>
      <c r="DO621" s="711"/>
      <c r="DP621" s="711"/>
      <c r="DQ621" s="711"/>
      <c r="EB621" s="719"/>
    </row>
    <row r="622" spans="5:132" s="709" customFormat="1" ht="18" hidden="1">
      <c r="E622" s="721"/>
      <c r="G622" s="990">
        <v>64</v>
      </c>
      <c r="H622" s="989">
        <v>91</v>
      </c>
      <c r="I622" s="725"/>
      <c r="J622" s="724"/>
      <c r="K622" s="724"/>
      <c r="L622" s="728"/>
      <c r="M622" s="724"/>
      <c r="N622" s="724"/>
      <c r="O622" s="724"/>
      <c r="P622" s="724"/>
      <c r="Q622" s="724"/>
      <c r="R622" s="724"/>
      <c r="S622" s="724"/>
      <c r="T622" s="724"/>
      <c r="U622" s="724"/>
      <c r="V622" s="721">
        <v>255</v>
      </c>
      <c r="W622" s="724"/>
      <c r="X622" s="724"/>
      <c r="Y622" s="724"/>
      <c r="Z622" s="724"/>
      <c r="AA622" s="724"/>
      <c r="AB622" s="725"/>
      <c r="AC622" s="724"/>
      <c r="AD622" s="724"/>
      <c r="AE622" s="724"/>
      <c r="AF622" s="724"/>
      <c r="AG622" s="724"/>
      <c r="AH622" s="724"/>
      <c r="AI622" s="724"/>
      <c r="AU622" s="713"/>
      <c r="AW622" s="712"/>
      <c r="BY622" s="714"/>
      <c r="BZ622" s="715"/>
      <c r="CA622" s="716"/>
      <c r="CB622" s="717"/>
      <c r="CC622" s="717"/>
      <c r="CD622" s="717"/>
      <c r="CE622" s="717"/>
      <c r="CF622" s="717"/>
      <c r="CG622" s="717"/>
      <c r="CH622" s="717"/>
      <c r="CI622" s="717"/>
      <c r="CJ622" s="717"/>
      <c r="CK622" s="717"/>
      <c r="CL622" s="717"/>
      <c r="CM622" s="717"/>
      <c r="CN622" s="717"/>
      <c r="CO622" s="717"/>
      <c r="CP622" s="717"/>
      <c r="CQ622" s="717"/>
      <c r="CR622" s="717"/>
      <c r="CS622" s="717"/>
      <c r="CT622" s="717"/>
      <c r="CU622" s="717"/>
      <c r="CV622" s="717"/>
      <c r="CW622" s="717"/>
      <c r="CX622" s="717"/>
      <c r="CY622" s="717"/>
      <c r="CZ622" s="717"/>
      <c r="DA622" s="717"/>
      <c r="DB622" s="717"/>
      <c r="DC622" s="717"/>
      <c r="DD622" s="717"/>
      <c r="DE622" s="717"/>
      <c r="DF622" s="717"/>
      <c r="DG622" s="717"/>
      <c r="DH622" s="717"/>
      <c r="DI622" s="717"/>
      <c r="DJ622" s="717"/>
      <c r="DM622" s="711"/>
      <c r="DN622" s="711"/>
      <c r="DO622" s="711"/>
      <c r="DP622" s="711"/>
      <c r="DQ622" s="711"/>
      <c r="EB622" s="719"/>
    </row>
    <row r="623" spans="5:132" s="709" customFormat="1" ht="18" hidden="1">
      <c r="E623" s="721"/>
      <c r="G623" s="990">
        <v>65</v>
      </c>
      <c r="H623" s="989">
        <v>92</v>
      </c>
      <c r="I623" s="725"/>
      <c r="J623" s="724"/>
      <c r="K623" s="724"/>
      <c r="L623" s="728"/>
      <c r="M623" s="724"/>
      <c r="N623" s="724"/>
      <c r="O623" s="724"/>
      <c r="P623" s="724"/>
      <c r="Q623" s="724"/>
      <c r="R623" s="724"/>
      <c r="S623" s="724"/>
      <c r="T623" s="724"/>
      <c r="U623" s="724"/>
      <c r="V623" s="721">
        <v>256</v>
      </c>
      <c r="W623" s="724"/>
      <c r="X623" s="724"/>
      <c r="Y623" s="724"/>
      <c r="Z623" s="724"/>
      <c r="AA623" s="724"/>
      <c r="AB623" s="725"/>
      <c r="AC623" s="724"/>
      <c r="AD623" s="724"/>
      <c r="AE623" s="724"/>
      <c r="AF623" s="724"/>
      <c r="AG623" s="724"/>
      <c r="AH623" s="724"/>
      <c r="AI623" s="724"/>
      <c r="AU623" s="713"/>
      <c r="AW623" s="712"/>
      <c r="BY623" s="714"/>
      <c r="BZ623" s="715"/>
      <c r="CA623" s="716"/>
      <c r="CB623" s="717"/>
      <c r="CC623" s="717"/>
      <c r="CD623" s="717"/>
      <c r="CE623" s="717"/>
      <c r="CF623" s="717"/>
      <c r="CG623" s="717"/>
      <c r="CH623" s="717"/>
      <c r="CI623" s="717"/>
      <c r="CJ623" s="717"/>
      <c r="CK623" s="717"/>
      <c r="CL623" s="717"/>
      <c r="CM623" s="717"/>
      <c r="CN623" s="717"/>
      <c r="CO623" s="717"/>
      <c r="CP623" s="717"/>
      <c r="CQ623" s="717"/>
      <c r="CR623" s="717"/>
      <c r="CS623" s="717"/>
      <c r="CT623" s="717"/>
      <c r="CU623" s="717"/>
      <c r="CV623" s="717"/>
      <c r="CW623" s="717"/>
      <c r="CX623" s="717"/>
      <c r="CY623" s="717"/>
      <c r="CZ623" s="717"/>
      <c r="DA623" s="717"/>
      <c r="DB623" s="717"/>
      <c r="DC623" s="717"/>
      <c r="DD623" s="717"/>
      <c r="DE623" s="717"/>
      <c r="DF623" s="717"/>
      <c r="DG623" s="717"/>
      <c r="DH623" s="717"/>
      <c r="DI623" s="717"/>
      <c r="DJ623" s="717"/>
      <c r="DM623" s="711"/>
      <c r="DN623" s="711"/>
      <c r="DO623" s="711"/>
      <c r="DP623" s="711"/>
      <c r="DQ623" s="711"/>
      <c r="EB623" s="719"/>
    </row>
    <row r="624" spans="5:132" s="709" customFormat="1" ht="18" hidden="1">
      <c r="E624" s="721"/>
      <c r="G624" s="990">
        <v>66</v>
      </c>
      <c r="H624" s="989">
        <v>93</v>
      </c>
      <c r="I624" s="725"/>
      <c r="J624" s="724"/>
      <c r="K624" s="724"/>
      <c r="L624" s="728"/>
      <c r="M624" s="724"/>
      <c r="N624" s="724"/>
      <c r="O624" s="724"/>
      <c r="P624" s="724"/>
      <c r="Q624" s="724"/>
      <c r="R624" s="724"/>
      <c r="S624" s="724"/>
      <c r="T624" s="724"/>
      <c r="U624" s="724"/>
      <c r="V624" s="721">
        <v>280</v>
      </c>
      <c r="W624" s="724"/>
      <c r="X624" s="724"/>
      <c r="Y624" s="724"/>
      <c r="Z624" s="724"/>
      <c r="AA624" s="724"/>
      <c r="AB624" s="725"/>
      <c r="AC624" s="724"/>
      <c r="AD624" s="724"/>
      <c r="AE624" s="724"/>
      <c r="AF624" s="724"/>
      <c r="AG624" s="724"/>
      <c r="AH624" s="724"/>
      <c r="AI624" s="724"/>
      <c r="AU624" s="713"/>
      <c r="AW624" s="712"/>
      <c r="BY624" s="714"/>
      <c r="BZ624" s="715"/>
      <c r="CA624" s="716"/>
      <c r="CB624" s="717"/>
      <c r="CC624" s="717"/>
      <c r="CD624" s="717"/>
      <c r="CE624" s="717"/>
      <c r="CF624" s="717"/>
      <c r="CG624" s="717"/>
      <c r="CH624" s="717"/>
      <c r="CI624" s="717"/>
      <c r="CJ624" s="717"/>
      <c r="CK624" s="717"/>
      <c r="CL624" s="717"/>
      <c r="CM624" s="717"/>
      <c r="CN624" s="717"/>
      <c r="CO624" s="717"/>
      <c r="CP624" s="717"/>
      <c r="CQ624" s="717"/>
      <c r="CR624" s="717"/>
      <c r="CS624" s="717"/>
      <c r="CT624" s="717"/>
      <c r="CU624" s="717"/>
      <c r="CV624" s="717"/>
      <c r="CW624" s="717"/>
      <c r="CX624" s="717"/>
      <c r="CY624" s="717"/>
      <c r="CZ624" s="717"/>
      <c r="DA624" s="717"/>
      <c r="DB624" s="717"/>
      <c r="DC624" s="717"/>
      <c r="DD624" s="717"/>
      <c r="DE624" s="717"/>
      <c r="DF624" s="717"/>
      <c r="DG624" s="717"/>
      <c r="DH624" s="717"/>
      <c r="DI624" s="717"/>
      <c r="DJ624" s="717"/>
      <c r="DM624" s="711"/>
      <c r="DN624" s="711"/>
      <c r="DO624" s="711"/>
      <c r="DP624" s="711"/>
      <c r="DQ624" s="711"/>
      <c r="EB624" s="719"/>
    </row>
    <row r="625" spans="5:132" s="709" customFormat="1" ht="18" hidden="1">
      <c r="E625" s="721"/>
      <c r="G625" s="990">
        <v>67</v>
      </c>
      <c r="H625" s="989">
        <v>94</v>
      </c>
      <c r="I625" s="725"/>
      <c r="J625" s="724"/>
      <c r="K625" s="724"/>
      <c r="L625" s="728"/>
      <c r="M625" s="724"/>
      <c r="N625" s="724"/>
      <c r="O625" s="724"/>
      <c r="P625" s="724"/>
      <c r="Q625" s="724"/>
      <c r="R625" s="724"/>
      <c r="S625" s="724"/>
      <c r="T625" s="724"/>
      <c r="U625" s="724"/>
      <c r="V625" s="721">
        <v>281</v>
      </c>
      <c r="W625" s="724"/>
      <c r="X625" s="724"/>
      <c r="Y625" s="724"/>
      <c r="Z625" s="724"/>
      <c r="AA625" s="724"/>
      <c r="AB625" s="725"/>
      <c r="AC625" s="724"/>
      <c r="AD625" s="724"/>
      <c r="AE625" s="724"/>
      <c r="AF625" s="724"/>
      <c r="AG625" s="724"/>
      <c r="AH625" s="724"/>
      <c r="AI625" s="724"/>
      <c r="AU625" s="713"/>
      <c r="AW625" s="712"/>
      <c r="BY625" s="714"/>
      <c r="BZ625" s="715"/>
      <c r="CA625" s="716"/>
      <c r="CB625" s="717"/>
      <c r="CC625" s="717"/>
      <c r="CD625" s="717"/>
      <c r="CE625" s="717"/>
      <c r="CF625" s="717"/>
      <c r="CG625" s="717"/>
      <c r="CH625" s="717"/>
      <c r="CI625" s="717"/>
      <c r="CJ625" s="717"/>
      <c r="CK625" s="717"/>
      <c r="CL625" s="717"/>
      <c r="CM625" s="717"/>
      <c r="CN625" s="717"/>
      <c r="CO625" s="717"/>
      <c r="CP625" s="717"/>
      <c r="CQ625" s="717"/>
      <c r="CR625" s="717"/>
      <c r="CS625" s="717"/>
      <c r="CT625" s="717"/>
      <c r="CU625" s="717"/>
      <c r="CV625" s="717"/>
      <c r="CW625" s="717"/>
      <c r="CX625" s="717"/>
      <c r="CY625" s="717"/>
      <c r="CZ625" s="717"/>
      <c r="DA625" s="717"/>
      <c r="DB625" s="717"/>
      <c r="DC625" s="717"/>
      <c r="DD625" s="717"/>
      <c r="DE625" s="717"/>
      <c r="DF625" s="717"/>
      <c r="DG625" s="717"/>
      <c r="DH625" s="717"/>
      <c r="DI625" s="717"/>
      <c r="DJ625" s="717"/>
      <c r="DM625" s="711"/>
      <c r="DN625" s="711"/>
      <c r="DO625" s="711"/>
      <c r="DP625" s="711"/>
      <c r="DQ625" s="711"/>
      <c r="EB625" s="719"/>
    </row>
    <row r="626" spans="5:132" s="709" customFormat="1" ht="18" hidden="1">
      <c r="E626" s="721"/>
      <c r="G626" s="990">
        <v>68</v>
      </c>
      <c r="H626" s="989">
        <v>95</v>
      </c>
      <c r="I626" s="725"/>
      <c r="J626" s="724"/>
      <c r="K626" s="724"/>
      <c r="L626" s="728"/>
      <c r="M626" s="724"/>
      <c r="N626" s="724"/>
      <c r="O626" s="724"/>
      <c r="P626" s="724"/>
      <c r="Q626" s="724"/>
      <c r="R626" s="724"/>
      <c r="S626" s="724"/>
      <c r="T626" s="724"/>
      <c r="U626" s="724"/>
      <c r="V626" s="721">
        <v>283</v>
      </c>
      <c r="W626" s="724"/>
      <c r="X626" s="724"/>
      <c r="Y626" s="724"/>
      <c r="Z626" s="724"/>
      <c r="AA626" s="724"/>
      <c r="AB626" s="725"/>
      <c r="AC626" s="724"/>
      <c r="AD626" s="724"/>
      <c r="AE626" s="724"/>
      <c r="AF626" s="724"/>
      <c r="AG626" s="724"/>
      <c r="AH626" s="724"/>
      <c r="AI626" s="724"/>
      <c r="AU626" s="713"/>
      <c r="AW626" s="712"/>
      <c r="BY626" s="714"/>
      <c r="BZ626" s="715"/>
      <c r="CA626" s="716"/>
      <c r="CB626" s="717"/>
      <c r="CC626" s="717"/>
      <c r="CD626" s="717"/>
      <c r="CE626" s="717"/>
      <c r="CF626" s="717"/>
      <c r="CG626" s="717"/>
      <c r="CH626" s="717"/>
      <c r="CI626" s="717"/>
      <c r="CJ626" s="717"/>
      <c r="CK626" s="717"/>
      <c r="CL626" s="717"/>
      <c r="CM626" s="717"/>
      <c r="CN626" s="717"/>
      <c r="CO626" s="717"/>
      <c r="CP626" s="717"/>
      <c r="CQ626" s="717"/>
      <c r="CR626" s="717"/>
      <c r="CS626" s="717"/>
      <c r="CT626" s="717"/>
      <c r="CU626" s="717"/>
      <c r="CV626" s="717"/>
      <c r="CW626" s="717"/>
      <c r="CX626" s="717"/>
      <c r="CY626" s="717"/>
      <c r="CZ626" s="717"/>
      <c r="DA626" s="717"/>
      <c r="DB626" s="717"/>
      <c r="DC626" s="717"/>
      <c r="DD626" s="717"/>
      <c r="DE626" s="717"/>
      <c r="DF626" s="717"/>
      <c r="DG626" s="717"/>
      <c r="DH626" s="717"/>
      <c r="DI626" s="717"/>
      <c r="DJ626" s="717"/>
      <c r="DM626" s="711"/>
      <c r="DN626" s="711"/>
      <c r="DO626" s="711"/>
      <c r="DP626" s="711"/>
      <c r="DQ626" s="711"/>
      <c r="EB626" s="719"/>
    </row>
    <row r="627" spans="5:132" s="709" customFormat="1" ht="18" hidden="1">
      <c r="E627" s="721"/>
      <c r="G627" s="990">
        <v>69</v>
      </c>
      <c r="H627" s="989">
        <v>96</v>
      </c>
      <c r="I627" s="725"/>
      <c r="J627" s="724"/>
      <c r="K627" s="724"/>
      <c r="L627" s="728"/>
      <c r="M627" s="724"/>
      <c r="N627" s="724"/>
      <c r="O627" s="724"/>
      <c r="P627" s="724"/>
      <c r="Q627" s="724"/>
      <c r="R627" s="724"/>
      <c r="S627" s="724"/>
      <c r="T627" s="724"/>
      <c r="U627" s="724"/>
      <c r="V627" s="721">
        <v>284</v>
      </c>
      <c r="W627" s="724"/>
      <c r="X627" s="724"/>
      <c r="Y627" s="724"/>
      <c r="Z627" s="724"/>
      <c r="AA627" s="724"/>
      <c r="AB627" s="725"/>
      <c r="AC627" s="724"/>
      <c r="AD627" s="724"/>
      <c r="AE627" s="724"/>
      <c r="AF627" s="724"/>
      <c r="AG627" s="724"/>
      <c r="AH627" s="724"/>
      <c r="AI627" s="724"/>
      <c r="AU627" s="713"/>
      <c r="AW627" s="712"/>
      <c r="BY627" s="714"/>
      <c r="BZ627" s="715"/>
      <c r="CA627" s="716"/>
      <c r="CB627" s="717"/>
      <c r="CC627" s="717"/>
      <c r="CD627" s="717"/>
      <c r="CE627" s="717"/>
      <c r="CF627" s="717"/>
      <c r="CG627" s="717"/>
      <c r="CH627" s="717"/>
      <c r="CI627" s="717"/>
      <c r="CJ627" s="717"/>
      <c r="CK627" s="717"/>
      <c r="CL627" s="717"/>
      <c r="CM627" s="717"/>
      <c r="CN627" s="717"/>
      <c r="CO627" s="717"/>
      <c r="CP627" s="717"/>
      <c r="CQ627" s="717"/>
      <c r="CR627" s="717"/>
      <c r="CS627" s="717"/>
      <c r="CT627" s="717"/>
      <c r="CU627" s="717"/>
      <c r="CV627" s="717"/>
      <c r="CW627" s="717"/>
      <c r="CX627" s="717"/>
      <c r="CY627" s="717"/>
      <c r="CZ627" s="717"/>
      <c r="DA627" s="717"/>
      <c r="DB627" s="717"/>
      <c r="DC627" s="717"/>
      <c r="DD627" s="717"/>
      <c r="DE627" s="717"/>
      <c r="DF627" s="717"/>
      <c r="DG627" s="717"/>
      <c r="DH627" s="717"/>
      <c r="DI627" s="717"/>
      <c r="DJ627" s="717"/>
      <c r="DM627" s="711"/>
      <c r="DN627" s="711"/>
      <c r="DO627" s="711"/>
      <c r="DP627" s="711"/>
      <c r="DQ627" s="711"/>
      <c r="EB627" s="719"/>
    </row>
    <row r="628" spans="5:132" s="709" customFormat="1" ht="18" hidden="1">
      <c r="E628" s="721"/>
      <c r="G628" s="990">
        <v>70</v>
      </c>
      <c r="H628" s="989">
        <v>97</v>
      </c>
      <c r="I628" s="725"/>
      <c r="J628" s="724"/>
      <c r="K628" s="724"/>
      <c r="L628" s="728"/>
      <c r="M628" s="724"/>
      <c r="N628" s="724"/>
      <c r="O628" s="724"/>
      <c r="P628" s="724"/>
      <c r="Q628" s="724"/>
      <c r="R628" s="724"/>
      <c r="S628" s="724"/>
      <c r="T628" s="724"/>
      <c r="U628" s="724"/>
      <c r="V628" s="721">
        <v>285</v>
      </c>
      <c r="W628" s="724"/>
      <c r="X628" s="724"/>
      <c r="Y628" s="724"/>
      <c r="Z628" s="724"/>
      <c r="AA628" s="724"/>
      <c r="AB628" s="725"/>
      <c r="AC628" s="724"/>
      <c r="AD628" s="724"/>
      <c r="AE628" s="724"/>
      <c r="AF628" s="724"/>
      <c r="AG628" s="724"/>
      <c r="AH628" s="724"/>
      <c r="AI628" s="724"/>
      <c r="AU628" s="713"/>
      <c r="AW628" s="712"/>
      <c r="BY628" s="714"/>
      <c r="BZ628" s="715"/>
      <c r="CA628" s="716"/>
      <c r="CB628" s="717"/>
      <c r="CC628" s="717"/>
      <c r="CD628" s="717"/>
      <c r="CE628" s="717"/>
      <c r="CF628" s="717"/>
      <c r="CG628" s="717"/>
      <c r="CH628" s="717"/>
      <c r="CI628" s="717"/>
      <c r="CJ628" s="717"/>
      <c r="CK628" s="717"/>
      <c r="CL628" s="717"/>
      <c r="CM628" s="717"/>
      <c r="CN628" s="717"/>
      <c r="CO628" s="717"/>
      <c r="CP628" s="717"/>
      <c r="CQ628" s="717"/>
      <c r="CR628" s="717"/>
      <c r="CS628" s="717"/>
      <c r="CT628" s="717"/>
      <c r="CU628" s="717"/>
      <c r="CV628" s="717"/>
      <c r="CW628" s="717"/>
      <c r="CX628" s="717"/>
      <c r="CY628" s="717"/>
      <c r="CZ628" s="717"/>
      <c r="DA628" s="717"/>
      <c r="DB628" s="717"/>
      <c r="DC628" s="717"/>
      <c r="DD628" s="717"/>
      <c r="DE628" s="717"/>
      <c r="DF628" s="717"/>
      <c r="DG628" s="717"/>
      <c r="DH628" s="717"/>
      <c r="DI628" s="717"/>
      <c r="DJ628" s="717"/>
      <c r="DM628" s="711"/>
      <c r="DN628" s="711"/>
      <c r="DO628" s="711"/>
      <c r="DP628" s="711"/>
      <c r="DQ628" s="711"/>
      <c r="EB628" s="719"/>
    </row>
    <row r="629" spans="5:132" s="709" customFormat="1" ht="18" hidden="1">
      <c r="E629" s="721"/>
      <c r="G629" s="990">
        <v>71</v>
      </c>
      <c r="H629" s="989">
        <v>98</v>
      </c>
      <c r="I629" s="725"/>
      <c r="J629" s="724"/>
      <c r="K629" s="724"/>
      <c r="L629" s="728"/>
      <c r="M629" s="724"/>
      <c r="N629" s="724"/>
      <c r="O629" s="724"/>
      <c r="P629" s="724"/>
      <c r="Q629" s="724"/>
      <c r="R629" s="724"/>
      <c r="S629" s="724"/>
      <c r="T629" s="724"/>
      <c r="U629" s="724"/>
      <c r="V629" s="721">
        <v>292</v>
      </c>
      <c r="W629" s="724"/>
      <c r="X629" s="724"/>
      <c r="Y629" s="724"/>
      <c r="Z629" s="724"/>
      <c r="AA629" s="724"/>
      <c r="AB629" s="725"/>
      <c r="AC629" s="724"/>
      <c r="AD629" s="724"/>
      <c r="AE629" s="724"/>
      <c r="AF629" s="724"/>
      <c r="AG629" s="724"/>
      <c r="AH629" s="724"/>
      <c r="AI629" s="724"/>
      <c r="AU629" s="713"/>
      <c r="AW629" s="712"/>
      <c r="BY629" s="714"/>
      <c r="BZ629" s="715"/>
      <c r="CA629" s="716"/>
      <c r="CB629" s="717"/>
      <c r="CC629" s="717"/>
      <c r="CD629" s="717"/>
      <c r="CE629" s="717"/>
      <c r="CF629" s="717"/>
      <c r="CG629" s="717"/>
      <c r="CH629" s="717"/>
      <c r="CI629" s="717"/>
      <c r="CJ629" s="717"/>
      <c r="CK629" s="717"/>
      <c r="CL629" s="717"/>
      <c r="CM629" s="717"/>
      <c r="CN629" s="717"/>
      <c r="CO629" s="717"/>
      <c r="CP629" s="717"/>
      <c r="CQ629" s="717"/>
      <c r="CR629" s="717"/>
      <c r="CS629" s="717"/>
      <c r="CT629" s="717"/>
      <c r="CU629" s="717"/>
      <c r="CV629" s="717"/>
      <c r="CW629" s="717"/>
      <c r="CX629" s="717"/>
      <c r="CY629" s="717"/>
      <c r="CZ629" s="717"/>
      <c r="DA629" s="717"/>
      <c r="DB629" s="717"/>
      <c r="DC629" s="717"/>
      <c r="DD629" s="717"/>
      <c r="DE629" s="717"/>
      <c r="DF629" s="717"/>
      <c r="DG629" s="717"/>
      <c r="DH629" s="717"/>
      <c r="DI629" s="717"/>
      <c r="DJ629" s="717"/>
      <c r="DM629" s="711"/>
      <c r="DN629" s="711"/>
      <c r="DO629" s="711"/>
      <c r="DP629" s="711"/>
      <c r="DQ629" s="711"/>
      <c r="EB629" s="719"/>
    </row>
    <row r="630" spans="5:132" s="709" customFormat="1" ht="18" hidden="1">
      <c r="E630" s="721"/>
      <c r="G630" s="990">
        <v>72</v>
      </c>
      <c r="H630" s="989">
        <v>99</v>
      </c>
      <c r="I630" s="725"/>
      <c r="J630" s="724"/>
      <c r="K630" s="724"/>
      <c r="L630" s="728"/>
      <c r="M630" s="724"/>
      <c r="N630" s="724"/>
      <c r="O630" s="724"/>
      <c r="P630" s="724"/>
      <c r="Q630" s="724"/>
      <c r="R630" s="724"/>
      <c r="S630" s="724"/>
      <c r="T630" s="724"/>
      <c r="U630" s="724"/>
      <c r="V630" s="721">
        <v>293</v>
      </c>
      <c r="W630" s="724"/>
      <c r="X630" s="724"/>
      <c r="Y630" s="724"/>
      <c r="Z630" s="724"/>
      <c r="AA630" s="724"/>
      <c r="AB630" s="725"/>
      <c r="AC630" s="724"/>
      <c r="AD630" s="724"/>
      <c r="AE630" s="724"/>
      <c r="AF630" s="724"/>
      <c r="AG630" s="724"/>
      <c r="AH630" s="724"/>
      <c r="AI630" s="724"/>
      <c r="AU630" s="713"/>
      <c r="AW630" s="712"/>
      <c r="BY630" s="714"/>
      <c r="BZ630" s="715"/>
      <c r="CA630" s="716"/>
      <c r="CB630" s="717"/>
      <c r="CC630" s="717"/>
      <c r="CD630" s="717"/>
      <c r="CE630" s="717"/>
      <c r="CF630" s="717"/>
      <c r="CG630" s="717"/>
      <c r="CH630" s="717"/>
      <c r="CI630" s="717"/>
      <c r="CJ630" s="717"/>
      <c r="CK630" s="717"/>
      <c r="CL630" s="717"/>
      <c r="CM630" s="717"/>
      <c r="CN630" s="717"/>
      <c r="CO630" s="717"/>
      <c r="CP630" s="717"/>
      <c r="CQ630" s="717"/>
      <c r="CR630" s="717"/>
      <c r="CS630" s="717"/>
      <c r="CT630" s="717"/>
      <c r="CU630" s="717"/>
      <c r="CV630" s="717"/>
      <c r="CW630" s="717"/>
      <c r="CX630" s="717"/>
      <c r="CY630" s="717"/>
      <c r="CZ630" s="717"/>
      <c r="DA630" s="717"/>
      <c r="DB630" s="717"/>
      <c r="DC630" s="717"/>
      <c r="DD630" s="717"/>
      <c r="DE630" s="717"/>
      <c r="DF630" s="717"/>
      <c r="DG630" s="717"/>
      <c r="DH630" s="717"/>
      <c r="DI630" s="717"/>
      <c r="DJ630" s="717"/>
      <c r="DM630" s="711"/>
      <c r="DN630" s="711"/>
      <c r="DO630" s="711"/>
      <c r="DP630" s="711"/>
      <c r="DQ630" s="711"/>
      <c r="EB630" s="719"/>
    </row>
    <row r="631" spans="5:132" s="709" customFormat="1" ht="18" hidden="1">
      <c r="E631" s="721"/>
      <c r="G631" s="990">
        <v>73</v>
      </c>
      <c r="H631" s="989">
        <v>100</v>
      </c>
      <c r="I631" s="725"/>
      <c r="J631" s="724"/>
      <c r="K631" s="724"/>
      <c r="L631" s="728"/>
      <c r="M631" s="724"/>
      <c r="N631" s="724"/>
      <c r="O631" s="724"/>
      <c r="P631" s="724"/>
      <c r="Q631" s="724"/>
      <c r="R631" s="724"/>
      <c r="S631" s="724"/>
      <c r="T631" s="724"/>
      <c r="U631" s="724"/>
      <c r="V631" s="721">
        <v>314</v>
      </c>
      <c r="W631" s="724"/>
      <c r="X631" s="724"/>
      <c r="Y631" s="724"/>
      <c r="Z631" s="724"/>
      <c r="AA631" s="724"/>
      <c r="AB631" s="725"/>
      <c r="AC631" s="724"/>
      <c r="AD631" s="724"/>
      <c r="AE631" s="724"/>
      <c r="AF631" s="724"/>
      <c r="AG631" s="724"/>
      <c r="AH631" s="724"/>
      <c r="AI631" s="724"/>
      <c r="AU631" s="713"/>
      <c r="AW631" s="712"/>
      <c r="BY631" s="714"/>
      <c r="BZ631" s="715"/>
      <c r="CA631" s="716"/>
      <c r="CB631" s="717"/>
      <c r="CC631" s="717"/>
      <c r="CD631" s="717"/>
      <c r="CE631" s="717"/>
      <c r="CF631" s="717"/>
      <c r="CG631" s="717"/>
      <c r="CH631" s="717"/>
      <c r="CI631" s="717"/>
      <c r="CJ631" s="717"/>
      <c r="CK631" s="717"/>
      <c r="CL631" s="717"/>
      <c r="CM631" s="717"/>
      <c r="CN631" s="717"/>
      <c r="CO631" s="717"/>
      <c r="CP631" s="717"/>
      <c r="CQ631" s="717"/>
      <c r="CR631" s="717"/>
      <c r="CS631" s="717"/>
      <c r="CT631" s="717"/>
      <c r="CU631" s="717"/>
      <c r="CV631" s="717"/>
      <c r="CW631" s="717"/>
      <c r="CX631" s="717"/>
      <c r="CY631" s="717"/>
      <c r="CZ631" s="717"/>
      <c r="DA631" s="717"/>
      <c r="DB631" s="717"/>
      <c r="DC631" s="717"/>
      <c r="DD631" s="717"/>
      <c r="DE631" s="717"/>
      <c r="DF631" s="717"/>
      <c r="DG631" s="717"/>
      <c r="DH631" s="717"/>
      <c r="DI631" s="717"/>
      <c r="DJ631" s="717"/>
      <c r="DM631" s="711"/>
      <c r="DN631" s="711"/>
      <c r="DO631" s="711"/>
      <c r="DP631" s="711"/>
      <c r="DQ631" s="711"/>
      <c r="EB631" s="719"/>
    </row>
    <row r="632" spans="5:132" s="709" customFormat="1" ht="18" hidden="1">
      <c r="E632" s="721"/>
      <c r="G632" s="990">
        <v>74</v>
      </c>
      <c r="H632" s="989">
        <v>101</v>
      </c>
      <c r="I632" s="725"/>
      <c r="J632" s="724"/>
      <c r="K632" s="724"/>
      <c r="L632" s="728"/>
      <c r="M632" s="724"/>
      <c r="N632" s="724"/>
      <c r="O632" s="724"/>
      <c r="P632" s="724"/>
      <c r="Q632" s="724"/>
      <c r="R632" s="724"/>
      <c r="S632" s="724"/>
      <c r="T632" s="724"/>
      <c r="U632" s="724"/>
      <c r="V632" s="721">
        <v>319</v>
      </c>
      <c r="W632" s="724"/>
      <c r="X632" s="724"/>
      <c r="Y632" s="724"/>
      <c r="Z632" s="724"/>
      <c r="AA632" s="724"/>
      <c r="AB632" s="725"/>
      <c r="AC632" s="724"/>
      <c r="AD632" s="724"/>
      <c r="AE632" s="724"/>
      <c r="AF632" s="724"/>
      <c r="AG632" s="724"/>
      <c r="AH632" s="724"/>
      <c r="AI632" s="724"/>
      <c r="AU632" s="713"/>
      <c r="AW632" s="712"/>
      <c r="BY632" s="714"/>
      <c r="BZ632" s="715"/>
      <c r="CA632" s="716"/>
      <c r="CB632" s="717"/>
      <c r="CC632" s="717"/>
      <c r="CD632" s="717"/>
      <c r="CE632" s="717"/>
      <c r="CF632" s="717"/>
      <c r="CG632" s="717"/>
      <c r="CH632" s="717"/>
      <c r="CI632" s="717"/>
      <c r="CJ632" s="717"/>
      <c r="CK632" s="717"/>
      <c r="CL632" s="717"/>
      <c r="CM632" s="717"/>
      <c r="CN632" s="717"/>
      <c r="CO632" s="717"/>
      <c r="CP632" s="717"/>
      <c r="CQ632" s="717"/>
      <c r="CR632" s="717"/>
      <c r="CS632" s="717"/>
      <c r="CT632" s="717"/>
      <c r="CU632" s="717"/>
      <c r="CV632" s="717"/>
      <c r="CW632" s="717"/>
      <c r="CX632" s="717"/>
      <c r="CY632" s="717"/>
      <c r="CZ632" s="717"/>
      <c r="DA632" s="717"/>
      <c r="DB632" s="717"/>
      <c r="DC632" s="717"/>
      <c r="DD632" s="717"/>
      <c r="DE632" s="717"/>
      <c r="DF632" s="717"/>
      <c r="DG632" s="717"/>
      <c r="DH632" s="717"/>
      <c r="DI632" s="717"/>
      <c r="DJ632" s="717"/>
      <c r="DM632" s="711"/>
      <c r="DN632" s="711"/>
      <c r="DO632" s="711"/>
      <c r="DP632" s="711"/>
      <c r="DQ632" s="711"/>
      <c r="EB632" s="719"/>
    </row>
    <row r="633" spans="5:132" s="709" customFormat="1" ht="18" hidden="1">
      <c r="E633" s="721"/>
      <c r="G633" s="990">
        <v>75</v>
      </c>
      <c r="H633" s="989">
        <v>102</v>
      </c>
      <c r="I633" s="725"/>
      <c r="J633" s="724"/>
      <c r="K633" s="724"/>
      <c r="L633" s="728"/>
      <c r="M633" s="724"/>
      <c r="N633" s="724"/>
      <c r="O633" s="724"/>
      <c r="P633" s="724"/>
      <c r="Q633" s="724"/>
      <c r="R633" s="724"/>
      <c r="S633" s="724"/>
      <c r="T633" s="724"/>
      <c r="U633" s="724"/>
      <c r="V633" s="721">
        <v>553</v>
      </c>
      <c r="W633" s="724"/>
      <c r="X633" s="724"/>
      <c r="Y633" s="724"/>
      <c r="Z633" s="724"/>
      <c r="AA633" s="724"/>
      <c r="AB633" s="725"/>
      <c r="AC633" s="724"/>
      <c r="AD633" s="724"/>
      <c r="AE633" s="724"/>
      <c r="AF633" s="724"/>
      <c r="AG633" s="724"/>
      <c r="AH633" s="724"/>
      <c r="AI633" s="724"/>
      <c r="AU633" s="713"/>
      <c r="AW633" s="712"/>
      <c r="BY633" s="714"/>
      <c r="BZ633" s="715"/>
      <c r="CA633" s="716"/>
      <c r="CB633" s="717"/>
      <c r="CC633" s="717"/>
      <c r="CD633" s="717"/>
      <c r="CE633" s="717"/>
      <c r="CF633" s="717"/>
      <c r="CG633" s="717"/>
      <c r="CH633" s="717"/>
      <c r="CI633" s="717"/>
      <c r="CJ633" s="717"/>
      <c r="CK633" s="717"/>
      <c r="CL633" s="717"/>
      <c r="CM633" s="717"/>
      <c r="CN633" s="717"/>
      <c r="CO633" s="717"/>
      <c r="CP633" s="717"/>
      <c r="CQ633" s="717"/>
      <c r="CR633" s="717"/>
      <c r="CS633" s="717"/>
      <c r="CT633" s="717"/>
      <c r="CU633" s="717"/>
      <c r="CV633" s="717"/>
      <c r="CW633" s="717"/>
      <c r="CX633" s="717"/>
      <c r="CY633" s="717"/>
      <c r="CZ633" s="717"/>
      <c r="DA633" s="717"/>
      <c r="DB633" s="717"/>
      <c r="DC633" s="717"/>
      <c r="DD633" s="717"/>
      <c r="DE633" s="717"/>
      <c r="DF633" s="717"/>
      <c r="DG633" s="717"/>
      <c r="DH633" s="717"/>
      <c r="DI633" s="717"/>
      <c r="DJ633" s="717"/>
      <c r="DM633" s="711"/>
      <c r="DN633" s="711"/>
      <c r="DO633" s="711"/>
      <c r="DP633" s="711"/>
      <c r="DQ633" s="711"/>
      <c r="EB633" s="719"/>
    </row>
    <row r="634" spans="5:132" s="709" customFormat="1" ht="18" hidden="1">
      <c r="E634" s="721"/>
      <c r="G634" s="990">
        <v>76</v>
      </c>
      <c r="H634" s="989">
        <v>103</v>
      </c>
      <c r="I634" s="725"/>
      <c r="J634" s="724"/>
      <c r="K634" s="724"/>
      <c r="L634" s="728"/>
      <c r="M634" s="724"/>
      <c r="N634" s="724"/>
      <c r="O634" s="724"/>
      <c r="P634" s="724"/>
      <c r="Q634" s="724"/>
      <c r="R634" s="724"/>
      <c r="S634" s="724"/>
      <c r="T634" s="724"/>
      <c r="U634" s="724"/>
      <c r="V634" s="721">
        <v>554</v>
      </c>
      <c r="W634" s="724"/>
      <c r="X634" s="724"/>
      <c r="Y634" s="724"/>
      <c r="Z634" s="724"/>
      <c r="AA634" s="724"/>
      <c r="AB634" s="725"/>
      <c r="AC634" s="724"/>
      <c r="AD634" s="724"/>
      <c r="AE634" s="724"/>
      <c r="AF634" s="724"/>
      <c r="AG634" s="724"/>
      <c r="AH634" s="724"/>
      <c r="AI634" s="724"/>
      <c r="AU634" s="713"/>
      <c r="AW634" s="712"/>
      <c r="BY634" s="714"/>
      <c r="BZ634" s="715"/>
      <c r="CA634" s="716"/>
      <c r="CB634" s="717"/>
      <c r="CC634" s="717"/>
      <c r="CD634" s="717"/>
      <c r="CE634" s="717"/>
      <c r="CF634" s="717"/>
      <c r="CG634" s="717"/>
      <c r="CH634" s="717"/>
      <c r="CI634" s="717"/>
      <c r="CJ634" s="717"/>
      <c r="CK634" s="717"/>
      <c r="CL634" s="717"/>
      <c r="CM634" s="717"/>
      <c r="CN634" s="717"/>
      <c r="CO634" s="717"/>
      <c r="CP634" s="717"/>
      <c r="CQ634" s="717"/>
      <c r="CR634" s="717"/>
      <c r="CS634" s="717"/>
      <c r="CT634" s="717"/>
      <c r="CU634" s="717"/>
      <c r="CV634" s="717"/>
      <c r="CW634" s="717"/>
      <c r="CX634" s="717"/>
      <c r="CY634" s="717"/>
      <c r="CZ634" s="717"/>
      <c r="DA634" s="717"/>
      <c r="DB634" s="717"/>
      <c r="DC634" s="717"/>
      <c r="DD634" s="717"/>
      <c r="DE634" s="717"/>
      <c r="DF634" s="717"/>
      <c r="DG634" s="717"/>
      <c r="DH634" s="717"/>
      <c r="DI634" s="717"/>
      <c r="DJ634" s="717"/>
      <c r="DM634" s="711"/>
      <c r="DN634" s="711"/>
      <c r="DO634" s="711"/>
      <c r="DP634" s="711"/>
      <c r="DQ634" s="711"/>
      <c r="EB634" s="719"/>
    </row>
    <row r="635" spans="5:132" s="709" customFormat="1" ht="18" hidden="1">
      <c r="E635" s="721"/>
      <c r="G635" s="990">
        <v>77</v>
      </c>
      <c r="H635" s="989">
        <v>104</v>
      </c>
      <c r="I635" s="725"/>
      <c r="J635" s="724"/>
      <c r="K635" s="724"/>
      <c r="L635" s="728"/>
      <c r="M635" s="724"/>
      <c r="N635" s="724"/>
      <c r="O635" s="724"/>
      <c r="P635" s="724"/>
      <c r="Q635" s="724"/>
      <c r="R635" s="724"/>
      <c r="S635" s="724"/>
      <c r="T635" s="724"/>
      <c r="U635" s="724"/>
      <c r="V635" s="721">
        <v>624</v>
      </c>
      <c r="W635" s="724"/>
      <c r="X635" s="724"/>
      <c r="Y635" s="724"/>
      <c r="Z635" s="724"/>
      <c r="AA635" s="724"/>
      <c r="AB635" s="729"/>
      <c r="AC635" s="724"/>
      <c r="AD635" s="724"/>
      <c r="AE635" s="724"/>
      <c r="AF635" s="724"/>
      <c r="AG635" s="724"/>
      <c r="AH635" s="724"/>
      <c r="AI635" s="724"/>
      <c r="AU635" s="713"/>
      <c r="AW635" s="712"/>
      <c r="BY635" s="714"/>
      <c r="BZ635" s="715"/>
      <c r="CA635" s="716"/>
      <c r="CB635" s="717"/>
      <c r="CC635" s="717"/>
      <c r="CD635" s="717"/>
      <c r="CE635" s="717"/>
      <c r="CF635" s="717"/>
      <c r="CG635" s="717"/>
      <c r="CH635" s="717"/>
      <c r="CI635" s="717"/>
      <c r="CJ635" s="717"/>
      <c r="CK635" s="717"/>
      <c r="CL635" s="717"/>
      <c r="CM635" s="717"/>
      <c r="CN635" s="717"/>
      <c r="CO635" s="717"/>
      <c r="CP635" s="717"/>
      <c r="CQ635" s="717"/>
      <c r="CR635" s="717"/>
      <c r="CS635" s="717"/>
      <c r="CT635" s="717"/>
      <c r="CU635" s="717"/>
      <c r="CV635" s="717"/>
      <c r="CW635" s="717"/>
      <c r="CX635" s="717"/>
      <c r="CY635" s="717"/>
      <c r="CZ635" s="717"/>
      <c r="DA635" s="717"/>
      <c r="DB635" s="717"/>
      <c r="DC635" s="717"/>
      <c r="DD635" s="717"/>
      <c r="DE635" s="717"/>
      <c r="DF635" s="717"/>
      <c r="DG635" s="717"/>
      <c r="DH635" s="717"/>
      <c r="DI635" s="717"/>
      <c r="DJ635" s="717"/>
      <c r="DM635" s="711"/>
      <c r="DN635" s="711"/>
      <c r="DO635" s="711"/>
      <c r="DP635" s="711"/>
      <c r="DQ635" s="711"/>
      <c r="EB635" s="719"/>
    </row>
    <row r="636" spans="5:132" s="709" customFormat="1" ht="18" hidden="1">
      <c r="E636" s="721"/>
      <c r="H636" s="723">
        <v>105</v>
      </c>
      <c r="I636" s="725"/>
      <c r="J636" s="724"/>
      <c r="K636" s="724"/>
      <c r="L636" s="724"/>
      <c r="M636" s="728"/>
      <c r="N636" s="724"/>
      <c r="O636" s="724"/>
      <c r="P636" s="724"/>
      <c r="Q636" s="724"/>
      <c r="R636" s="724"/>
      <c r="S636" s="724"/>
      <c r="T636" s="724"/>
      <c r="U636" s="724"/>
      <c r="V636" s="724"/>
      <c r="W636" s="721"/>
      <c r="X636" s="724"/>
      <c r="Y636" s="724"/>
      <c r="Z636" s="724"/>
      <c r="AA636" s="724"/>
      <c r="AB636" s="724"/>
      <c r="AC636" s="725"/>
      <c r="AD636" s="724"/>
      <c r="AE636" s="724"/>
      <c r="AF636" s="724"/>
      <c r="AG636" s="724"/>
      <c r="AH636" s="724"/>
      <c r="AI636" s="724"/>
      <c r="AJ636" s="724"/>
      <c r="AU636" s="713"/>
      <c r="AW636" s="712"/>
      <c r="BY636" s="714"/>
      <c r="BZ636" s="715"/>
      <c r="CA636" s="716"/>
      <c r="CB636" s="717"/>
      <c r="CC636" s="717"/>
      <c r="CD636" s="717"/>
      <c r="CE636" s="717"/>
      <c r="CF636" s="717"/>
      <c r="CG636" s="717"/>
      <c r="CH636" s="717"/>
      <c r="CI636" s="717"/>
      <c r="CJ636" s="717"/>
      <c r="CK636" s="717"/>
      <c r="CL636" s="717"/>
      <c r="CM636" s="717"/>
      <c r="CN636" s="717"/>
      <c r="CO636" s="717"/>
      <c r="CP636" s="717"/>
      <c r="CQ636" s="717"/>
      <c r="CR636" s="717"/>
      <c r="CS636" s="717"/>
      <c r="CT636" s="717"/>
      <c r="CU636" s="717"/>
      <c r="CV636" s="717"/>
      <c r="CW636" s="717"/>
      <c r="CX636" s="717"/>
      <c r="CY636" s="717"/>
      <c r="CZ636" s="717"/>
      <c r="DA636" s="717"/>
      <c r="DB636" s="717"/>
      <c r="DC636" s="717"/>
      <c r="DD636" s="717"/>
      <c r="DE636" s="717"/>
      <c r="DF636" s="717"/>
      <c r="DG636" s="717"/>
      <c r="DH636" s="717"/>
      <c r="DI636" s="717"/>
      <c r="DJ636" s="717"/>
      <c r="DM636" s="711"/>
      <c r="DN636" s="711"/>
      <c r="DO636" s="711"/>
      <c r="DP636" s="711"/>
      <c r="DQ636" s="711"/>
      <c r="EB636" s="719"/>
    </row>
    <row r="637" spans="5:132" s="709" customFormat="1" ht="18" hidden="1">
      <c r="E637" s="721"/>
      <c r="H637" s="723">
        <v>106</v>
      </c>
      <c r="I637" s="725"/>
      <c r="J637" s="724"/>
      <c r="K637" s="724"/>
      <c r="L637" s="724"/>
      <c r="M637" s="728"/>
      <c r="N637" s="724"/>
      <c r="O637" s="724"/>
      <c r="P637" s="724"/>
      <c r="Q637" s="724"/>
      <c r="R637" s="724"/>
      <c r="S637" s="724"/>
      <c r="T637" s="724"/>
      <c r="U637" s="724"/>
      <c r="V637" s="724"/>
      <c r="W637" s="721"/>
      <c r="X637" s="724"/>
      <c r="Y637" s="724"/>
      <c r="Z637" s="724"/>
      <c r="AA637" s="724"/>
      <c r="AB637" s="724"/>
      <c r="AC637" s="725"/>
      <c r="AD637" s="724"/>
      <c r="AE637" s="724"/>
      <c r="AF637" s="724"/>
      <c r="AG637" s="724"/>
      <c r="AH637" s="724"/>
      <c r="AI637" s="724"/>
      <c r="AJ637" s="724"/>
      <c r="AU637" s="713"/>
      <c r="AW637" s="712"/>
      <c r="BY637" s="714"/>
      <c r="BZ637" s="715"/>
      <c r="CA637" s="716"/>
      <c r="CB637" s="717"/>
      <c r="CC637" s="717"/>
      <c r="CD637" s="717"/>
      <c r="CE637" s="717"/>
      <c r="CF637" s="717"/>
      <c r="CG637" s="717"/>
      <c r="CH637" s="717"/>
      <c r="CI637" s="717"/>
      <c r="CJ637" s="717"/>
      <c r="CK637" s="717"/>
      <c r="CL637" s="717"/>
      <c r="CM637" s="717"/>
      <c r="CN637" s="717"/>
      <c r="CO637" s="717"/>
      <c r="CP637" s="717"/>
      <c r="CQ637" s="717"/>
      <c r="CR637" s="717"/>
      <c r="CS637" s="717"/>
      <c r="CT637" s="717"/>
      <c r="CU637" s="717"/>
      <c r="CV637" s="717"/>
      <c r="CW637" s="717"/>
      <c r="CX637" s="717"/>
      <c r="CY637" s="717"/>
      <c r="CZ637" s="717"/>
      <c r="DA637" s="717"/>
      <c r="DB637" s="717"/>
      <c r="DC637" s="717"/>
      <c r="DD637" s="717"/>
      <c r="DE637" s="717"/>
      <c r="DF637" s="717"/>
      <c r="DG637" s="717"/>
      <c r="DH637" s="717"/>
      <c r="DI637" s="717"/>
      <c r="DJ637" s="717"/>
      <c r="DM637" s="711"/>
      <c r="DN637" s="711"/>
      <c r="DO637" s="711"/>
      <c r="DP637" s="711"/>
      <c r="DQ637" s="711"/>
      <c r="EB637" s="719"/>
    </row>
    <row r="638" spans="5:132" s="709" customFormat="1" ht="18" hidden="1">
      <c r="E638" s="721"/>
      <c r="H638" s="723">
        <v>108</v>
      </c>
      <c r="I638" s="725"/>
      <c r="J638" s="724"/>
      <c r="K638" s="724"/>
      <c r="L638" s="724"/>
      <c r="M638" s="728"/>
      <c r="N638" s="724"/>
      <c r="O638" s="724"/>
      <c r="P638" s="724"/>
      <c r="Q638" s="724"/>
      <c r="R638" s="724"/>
      <c r="S638" s="724"/>
      <c r="T638" s="724"/>
      <c r="U638" s="724"/>
      <c r="V638" s="724"/>
      <c r="W638" s="721"/>
      <c r="X638" s="724"/>
      <c r="Y638" s="724"/>
      <c r="Z638" s="724"/>
      <c r="AA638" s="724"/>
      <c r="AB638" s="724"/>
      <c r="AC638" s="725"/>
      <c r="AD638" s="724"/>
      <c r="AE638" s="724"/>
      <c r="AF638" s="724"/>
      <c r="AG638" s="724"/>
      <c r="AH638" s="724"/>
      <c r="AI638" s="724"/>
      <c r="AJ638" s="724"/>
      <c r="AU638" s="713"/>
      <c r="AW638" s="712"/>
      <c r="BY638" s="714"/>
      <c r="BZ638" s="715"/>
      <c r="CA638" s="716"/>
      <c r="CB638" s="717"/>
      <c r="CC638" s="717"/>
      <c r="CD638" s="717"/>
      <c r="CE638" s="717"/>
      <c r="CF638" s="717"/>
      <c r="CG638" s="717"/>
      <c r="CH638" s="717"/>
      <c r="CI638" s="717"/>
      <c r="CJ638" s="717"/>
      <c r="CK638" s="717"/>
      <c r="CL638" s="717"/>
      <c r="CM638" s="717"/>
      <c r="CN638" s="717"/>
      <c r="CO638" s="717"/>
      <c r="CP638" s="717"/>
      <c r="CQ638" s="717"/>
      <c r="CR638" s="717"/>
      <c r="CS638" s="717"/>
      <c r="CT638" s="717"/>
      <c r="CU638" s="717"/>
      <c r="CV638" s="717"/>
      <c r="CW638" s="717"/>
      <c r="CX638" s="717"/>
      <c r="CY638" s="717"/>
      <c r="CZ638" s="717"/>
      <c r="DA638" s="717"/>
      <c r="DB638" s="717"/>
      <c r="DC638" s="717"/>
      <c r="DD638" s="717"/>
      <c r="DE638" s="717"/>
      <c r="DF638" s="717"/>
      <c r="DG638" s="717"/>
      <c r="DH638" s="717"/>
      <c r="DI638" s="717"/>
      <c r="DJ638" s="717"/>
      <c r="DM638" s="711"/>
      <c r="DN638" s="711"/>
      <c r="DO638" s="711"/>
      <c r="DP638" s="711"/>
      <c r="DQ638" s="711"/>
      <c r="EB638" s="719"/>
    </row>
    <row r="639" spans="5:132" s="709" customFormat="1" ht="18" hidden="1">
      <c r="E639" s="721"/>
      <c r="H639" s="723">
        <v>109</v>
      </c>
      <c r="I639" s="725"/>
      <c r="J639" s="724"/>
      <c r="K639" s="724"/>
      <c r="L639" s="724"/>
      <c r="M639" s="728"/>
      <c r="N639" s="724"/>
      <c r="O639" s="724"/>
      <c r="P639" s="724"/>
      <c r="Q639" s="724"/>
      <c r="R639" s="724"/>
      <c r="S639" s="724"/>
      <c r="T639" s="724"/>
      <c r="U639" s="724"/>
      <c r="V639" s="724"/>
      <c r="W639" s="721"/>
      <c r="X639" s="724"/>
      <c r="Y639" s="724"/>
      <c r="Z639" s="724"/>
      <c r="AA639" s="724"/>
      <c r="AB639" s="724"/>
      <c r="AC639" s="725"/>
      <c r="AD639" s="724"/>
      <c r="AE639" s="724"/>
      <c r="AF639" s="724"/>
      <c r="AG639" s="724"/>
      <c r="AH639" s="724"/>
      <c r="AI639" s="724"/>
      <c r="AJ639" s="724"/>
      <c r="AU639" s="713"/>
      <c r="AW639" s="712"/>
      <c r="BY639" s="714"/>
      <c r="BZ639" s="715"/>
      <c r="CA639" s="716"/>
      <c r="CB639" s="717"/>
      <c r="CC639" s="717"/>
      <c r="CD639" s="717"/>
      <c r="CE639" s="717"/>
      <c r="CF639" s="717"/>
      <c r="CG639" s="717"/>
      <c r="CH639" s="717"/>
      <c r="CI639" s="717"/>
      <c r="CJ639" s="717"/>
      <c r="CK639" s="717"/>
      <c r="CL639" s="717"/>
      <c r="CM639" s="717"/>
      <c r="CN639" s="717"/>
      <c r="CO639" s="717"/>
      <c r="CP639" s="717"/>
      <c r="CQ639" s="717"/>
      <c r="CR639" s="717"/>
      <c r="CS639" s="717"/>
      <c r="CT639" s="717"/>
      <c r="CU639" s="717"/>
      <c r="CV639" s="717"/>
      <c r="CW639" s="717"/>
      <c r="CX639" s="717"/>
      <c r="CY639" s="717"/>
      <c r="CZ639" s="717"/>
      <c r="DA639" s="717"/>
      <c r="DB639" s="717"/>
      <c r="DC639" s="717"/>
      <c r="DD639" s="717"/>
      <c r="DE639" s="717"/>
      <c r="DF639" s="717"/>
      <c r="DG639" s="717"/>
      <c r="DH639" s="717"/>
      <c r="DI639" s="717"/>
      <c r="DJ639" s="717"/>
      <c r="DM639" s="711"/>
      <c r="DN639" s="711"/>
      <c r="DO639" s="711"/>
      <c r="DP639" s="711"/>
      <c r="DQ639" s="711"/>
      <c r="EB639" s="719"/>
    </row>
    <row r="640" spans="5:132" s="709" customFormat="1" ht="25.5" hidden="1">
      <c r="E640" s="721"/>
      <c r="H640" s="723">
        <v>110</v>
      </c>
      <c r="I640" s="722" t="s">
        <v>2168</v>
      </c>
      <c r="J640" s="722" t="s">
        <v>2169</v>
      </c>
      <c r="K640" s="722" t="s">
        <v>2170</v>
      </c>
      <c r="L640" s="722" t="s">
        <v>2171</v>
      </c>
      <c r="M640" s="722" t="s">
        <v>2172</v>
      </c>
      <c r="N640" s="722" t="s">
        <v>2173</v>
      </c>
      <c r="O640" s="722" t="s">
        <v>2174</v>
      </c>
      <c r="P640" s="722" t="s">
        <v>2175</v>
      </c>
      <c r="Q640" s="722" t="s">
        <v>2176</v>
      </c>
      <c r="R640" s="722" t="s">
        <v>2177</v>
      </c>
      <c r="S640" s="722" t="s">
        <v>2178</v>
      </c>
      <c r="T640" s="722" t="s">
        <v>2179</v>
      </c>
      <c r="U640" s="722" t="s">
        <v>2180</v>
      </c>
      <c r="V640" s="722" t="s">
        <v>2181</v>
      </c>
      <c r="W640" s="722" t="s">
        <v>2182</v>
      </c>
      <c r="X640" s="722" t="s">
        <v>2183</v>
      </c>
      <c r="Y640" s="722" t="s">
        <v>2184</v>
      </c>
      <c r="Z640" s="722" t="s">
        <v>2185</v>
      </c>
      <c r="AA640" s="722" t="s">
        <v>2186</v>
      </c>
      <c r="AB640" s="722" t="s">
        <v>2187</v>
      </c>
      <c r="AC640" s="722" t="s">
        <v>2188</v>
      </c>
      <c r="AD640" s="722" t="s">
        <v>2189</v>
      </c>
      <c r="AE640" s="722" t="s">
        <v>2190</v>
      </c>
      <c r="AF640" s="722" t="s">
        <v>2191</v>
      </c>
      <c r="AG640" s="722" t="s">
        <v>2192</v>
      </c>
      <c r="AH640" s="722" t="s">
        <v>2193</v>
      </c>
      <c r="AI640" s="722" t="s">
        <v>2194</v>
      </c>
      <c r="AU640" s="713"/>
      <c r="AW640" s="712"/>
      <c r="BY640" s="714"/>
      <c r="BZ640" s="715"/>
      <c r="CA640" s="716"/>
      <c r="CB640" s="717"/>
      <c r="CC640" s="717"/>
      <c r="CD640" s="717"/>
      <c r="CE640" s="717"/>
      <c r="CF640" s="717"/>
      <c r="CG640" s="717"/>
      <c r="CH640" s="717"/>
      <c r="CI640" s="717"/>
      <c r="CJ640" s="717"/>
      <c r="CK640" s="717"/>
      <c r="CL640" s="717"/>
      <c r="CM640" s="717"/>
      <c r="CN640" s="717"/>
      <c r="CO640" s="717"/>
      <c r="CP640" s="717"/>
      <c r="CQ640" s="717"/>
      <c r="CR640" s="717"/>
      <c r="CS640" s="717"/>
      <c r="CT640" s="717"/>
      <c r="CU640" s="717"/>
      <c r="CV640" s="717"/>
      <c r="CW640" s="717"/>
      <c r="CX640" s="717"/>
      <c r="CY640" s="717"/>
      <c r="CZ640" s="717"/>
      <c r="DA640" s="717"/>
      <c r="DB640" s="717"/>
      <c r="DC640" s="717"/>
      <c r="DD640" s="717"/>
      <c r="DE640" s="717"/>
      <c r="DF640" s="717"/>
      <c r="DG640" s="717"/>
      <c r="DH640" s="717"/>
      <c r="DI640" s="717"/>
      <c r="DJ640" s="717"/>
      <c r="DM640" s="711"/>
      <c r="DN640" s="711"/>
      <c r="DO640" s="711"/>
      <c r="DP640" s="711"/>
      <c r="DQ640" s="711"/>
      <c r="EB640" s="719"/>
    </row>
    <row r="641" spans="5:132" s="709" customFormat="1" ht="18" hidden="1">
      <c r="E641" s="721"/>
      <c r="H641" s="723">
        <v>111</v>
      </c>
      <c r="I641" s="725"/>
      <c r="J641" s="724"/>
      <c r="K641" s="724"/>
      <c r="L641" s="724"/>
      <c r="M641" s="728"/>
      <c r="N641" s="724"/>
      <c r="O641" s="724"/>
      <c r="P641" s="724"/>
      <c r="Q641" s="724"/>
      <c r="R641" s="724"/>
      <c r="S641" s="724"/>
      <c r="T641" s="724"/>
      <c r="U641" s="724"/>
      <c r="V641" s="724"/>
      <c r="W641" s="724"/>
      <c r="X641" s="724"/>
      <c r="Y641" s="724"/>
      <c r="Z641" s="724"/>
      <c r="AA641" s="724"/>
      <c r="AB641" s="724"/>
      <c r="AC641" s="729"/>
      <c r="AD641" s="724"/>
      <c r="AE641" s="724"/>
      <c r="AF641" s="724"/>
      <c r="AG641" s="724"/>
      <c r="AH641" s="724"/>
      <c r="AI641" s="724"/>
      <c r="AJ641" s="724"/>
      <c r="AU641" s="713"/>
      <c r="AW641" s="712"/>
      <c r="BY641" s="714"/>
      <c r="BZ641" s="715"/>
      <c r="CA641" s="716"/>
      <c r="CB641" s="717"/>
      <c r="CC641" s="717"/>
      <c r="CD641" s="717"/>
      <c r="CE641" s="717"/>
      <c r="CF641" s="717"/>
      <c r="CG641" s="717"/>
      <c r="CH641" s="717"/>
      <c r="CI641" s="717"/>
      <c r="CJ641" s="717"/>
      <c r="CK641" s="717"/>
      <c r="CL641" s="717"/>
      <c r="CM641" s="717"/>
      <c r="CN641" s="717"/>
      <c r="CO641" s="717"/>
      <c r="CP641" s="717"/>
      <c r="CQ641" s="717"/>
      <c r="CR641" s="717"/>
      <c r="CS641" s="717"/>
      <c r="CT641" s="717"/>
      <c r="CU641" s="717"/>
      <c r="CV641" s="717"/>
      <c r="CW641" s="717"/>
      <c r="CX641" s="717"/>
      <c r="CY641" s="717"/>
      <c r="CZ641" s="717"/>
      <c r="DA641" s="717"/>
      <c r="DB641" s="717"/>
      <c r="DC641" s="717"/>
      <c r="DD641" s="717"/>
      <c r="DE641" s="717"/>
      <c r="DF641" s="717"/>
      <c r="DG641" s="717"/>
      <c r="DH641" s="717"/>
      <c r="DI641" s="717"/>
      <c r="DJ641" s="717"/>
      <c r="DM641" s="711"/>
      <c r="DN641" s="711"/>
      <c r="DO641" s="711"/>
      <c r="DP641" s="711"/>
      <c r="DQ641" s="711"/>
      <c r="EB641" s="719"/>
    </row>
    <row r="642" spans="5:132" s="709" customFormat="1" ht="18" hidden="1">
      <c r="E642" s="721"/>
      <c r="H642" s="723">
        <v>112</v>
      </c>
      <c r="I642" s="725"/>
      <c r="J642" s="724"/>
      <c r="K642" s="724"/>
      <c r="L642" s="724"/>
      <c r="M642" s="728"/>
      <c r="N642" s="724"/>
      <c r="O642" s="724"/>
      <c r="P642" s="724"/>
      <c r="Q642" s="724"/>
      <c r="R642" s="724"/>
      <c r="S642" s="724"/>
      <c r="T642" s="724"/>
      <c r="U642" s="724"/>
      <c r="V642" s="724"/>
      <c r="W642" s="724"/>
      <c r="X642" s="724"/>
      <c r="Y642" s="724"/>
      <c r="Z642" s="724"/>
      <c r="AA642" s="724"/>
      <c r="AB642" s="724"/>
      <c r="AC642" s="725"/>
      <c r="AD642" s="724"/>
      <c r="AE642" s="724"/>
      <c r="AF642" s="724"/>
      <c r="AG642" s="724"/>
      <c r="AH642" s="724"/>
      <c r="AI642" s="724"/>
      <c r="AJ642" s="724"/>
      <c r="AU642" s="713"/>
      <c r="AW642" s="712"/>
      <c r="BY642" s="714"/>
      <c r="BZ642" s="715"/>
      <c r="CA642" s="716"/>
      <c r="CB642" s="717"/>
      <c r="CC642" s="717"/>
      <c r="CD642" s="717"/>
      <c r="CE642" s="717"/>
      <c r="CF642" s="717"/>
      <c r="CG642" s="717"/>
      <c r="CH642" s="717"/>
      <c r="CI642" s="717"/>
      <c r="CJ642" s="717"/>
      <c r="CK642" s="717"/>
      <c r="CL642" s="717"/>
      <c r="CM642" s="717"/>
      <c r="CN642" s="717"/>
      <c r="CO642" s="717"/>
      <c r="CP642" s="717"/>
      <c r="CQ642" s="717"/>
      <c r="CR642" s="717"/>
      <c r="CS642" s="717"/>
      <c r="CT642" s="717"/>
      <c r="CU642" s="717"/>
      <c r="CV642" s="717"/>
      <c r="CW642" s="717"/>
      <c r="CX642" s="717"/>
      <c r="CY642" s="717"/>
      <c r="CZ642" s="717"/>
      <c r="DA642" s="717"/>
      <c r="DB642" s="717"/>
      <c r="DC642" s="717"/>
      <c r="DD642" s="717"/>
      <c r="DE642" s="717"/>
      <c r="DF642" s="717"/>
      <c r="DG642" s="717"/>
      <c r="DH642" s="717"/>
      <c r="DI642" s="717"/>
      <c r="DJ642" s="717"/>
      <c r="DM642" s="711"/>
      <c r="DN642" s="711"/>
      <c r="DO642" s="711"/>
      <c r="DP642" s="711"/>
      <c r="DQ642" s="711"/>
      <c r="EB642" s="719"/>
    </row>
    <row r="643" spans="5:132" s="709" customFormat="1" ht="18" hidden="1">
      <c r="E643" s="721"/>
      <c r="H643" s="723">
        <v>113</v>
      </c>
      <c r="I643" s="725"/>
      <c r="J643" s="724"/>
      <c r="K643" s="724"/>
      <c r="L643" s="724"/>
      <c r="M643" s="728"/>
      <c r="N643" s="724"/>
      <c r="O643" s="724"/>
      <c r="P643" s="724"/>
      <c r="Q643" s="724"/>
      <c r="R643" s="724"/>
      <c r="S643" s="724"/>
      <c r="T643" s="724"/>
      <c r="U643" s="724"/>
      <c r="V643" s="724"/>
      <c r="W643" s="724"/>
      <c r="X643" s="724"/>
      <c r="Y643" s="724"/>
      <c r="Z643" s="724"/>
      <c r="AA643" s="724"/>
      <c r="AB643" s="724"/>
      <c r="AC643" s="725"/>
      <c r="AD643" s="724"/>
      <c r="AE643" s="724"/>
      <c r="AF643" s="724"/>
      <c r="AG643" s="724"/>
      <c r="AH643" s="724"/>
      <c r="AI643" s="724"/>
      <c r="AJ643" s="724"/>
      <c r="AU643" s="713"/>
      <c r="AW643" s="712"/>
      <c r="BY643" s="714"/>
      <c r="BZ643" s="715"/>
      <c r="CA643" s="716"/>
      <c r="CB643" s="717"/>
      <c r="CC643" s="717"/>
      <c r="CD643" s="717"/>
      <c r="CE643" s="717"/>
      <c r="CF643" s="717"/>
      <c r="CG643" s="717"/>
      <c r="CH643" s="717"/>
      <c r="CI643" s="717"/>
      <c r="CJ643" s="717"/>
      <c r="CK643" s="717"/>
      <c r="CL643" s="717"/>
      <c r="CM643" s="717"/>
      <c r="CN643" s="717"/>
      <c r="CO643" s="717"/>
      <c r="CP643" s="717"/>
      <c r="CQ643" s="717"/>
      <c r="CR643" s="717"/>
      <c r="CS643" s="717"/>
      <c r="CT643" s="717"/>
      <c r="CU643" s="717"/>
      <c r="CV643" s="717"/>
      <c r="CW643" s="717"/>
      <c r="CX643" s="717"/>
      <c r="CY643" s="717"/>
      <c r="CZ643" s="717"/>
      <c r="DA643" s="717"/>
      <c r="DB643" s="717"/>
      <c r="DC643" s="717"/>
      <c r="DD643" s="717"/>
      <c r="DE643" s="717"/>
      <c r="DF643" s="717"/>
      <c r="DG643" s="717"/>
      <c r="DH643" s="717"/>
      <c r="DI643" s="717"/>
      <c r="DJ643" s="717"/>
      <c r="DM643" s="711"/>
      <c r="DN643" s="711"/>
      <c r="DO643" s="711"/>
      <c r="DP643" s="711"/>
      <c r="DQ643" s="711"/>
      <c r="EB643" s="719"/>
    </row>
    <row r="644" spans="5:132" s="709" customFormat="1" ht="18" hidden="1">
      <c r="E644" s="721"/>
      <c r="H644" s="723">
        <v>114</v>
      </c>
      <c r="I644" s="725"/>
      <c r="J644" s="724"/>
      <c r="K644" s="724"/>
      <c r="L644" s="724"/>
      <c r="M644" s="728"/>
      <c r="N644" s="724"/>
      <c r="O644" s="724"/>
      <c r="P644" s="724"/>
      <c r="Q644" s="724"/>
      <c r="R644" s="724"/>
      <c r="S644" s="724"/>
      <c r="T644" s="724"/>
      <c r="U644" s="724"/>
      <c r="V644" s="724"/>
      <c r="W644" s="724"/>
      <c r="X644" s="724"/>
      <c r="Y644" s="724"/>
      <c r="Z644" s="724"/>
      <c r="AA644" s="724"/>
      <c r="AB644" s="724"/>
      <c r="AC644" s="725"/>
      <c r="AD644" s="724"/>
      <c r="AE644" s="724"/>
      <c r="AF644" s="724"/>
      <c r="AG644" s="724"/>
      <c r="AH644" s="724"/>
      <c r="AI644" s="724"/>
      <c r="AJ644" s="724"/>
      <c r="AU644" s="713"/>
      <c r="AW644" s="712"/>
      <c r="BY644" s="714"/>
      <c r="BZ644" s="715"/>
      <c r="CA644" s="716"/>
      <c r="CB644" s="717"/>
      <c r="CC644" s="717"/>
      <c r="CD644" s="717"/>
      <c r="CE644" s="717"/>
      <c r="CF644" s="717"/>
      <c r="CG644" s="717"/>
      <c r="CH644" s="717"/>
      <c r="CI644" s="717"/>
      <c r="CJ644" s="717"/>
      <c r="CK644" s="717"/>
      <c r="CL644" s="717"/>
      <c r="CM644" s="717"/>
      <c r="CN644" s="717"/>
      <c r="CO644" s="717"/>
      <c r="CP644" s="717"/>
      <c r="CQ644" s="717"/>
      <c r="CR644" s="717"/>
      <c r="CS644" s="717"/>
      <c r="CT644" s="717"/>
      <c r="CU644" s="717"/>
      <c r="CV644" s="717"/>
      <c r="CW644" s="717"/>
      <c r="CX644" s="717"/>
      <c r="CY644" s="717"/>
      <c r="CZ644" s="717"/>
      <c r="DA644" s="717"/>
      <c r="DB644" s="717"/>
      <c r="DC644" s="717"/>
      <c r="DD644" s="717"/>
      <c r="DE644" s="717"/>
      <c r="DF644" s="717"/>
      <c r="DG644" s="717"/>
      <c r="DH644" s="717"/>
      <c r="DI644" s="717"/>
      <c r="DJ644" s="717"/>
      <c r="DM644" s="711"/>
      <c r="DN644" s="711"/>
      <c r="DO644" s="711"/>
      <c r="DP644" s="711"/>
      <c r="DQ644" s="711"/>
      <c r="EB644" s="719"/>
    </row>
    <row r="645" spans="5:132" s="709" customFormat="1" ht="18" hidden="1">
      <c r="E645" s="721"/>
      <c r="H645" s="723">
        <v>120</v>
      </c>
      <c r="I645" s="725"/>
      <c r="J645" s="724"/>
      <c r="K645" s="724"/>
      <c r="L645" s="724"/>
      <c r="M645" s="728"/>
      <c r="N645" s="724"/>
      <c r="O645" s="724"/>
      <c r="P645" s="724"/>
      <c r="Q645" s="724"/>
      <c r="R645" s="724"/>
      <c r="S645" s="724"/>
      <c r="T645" s="724"/>
      <c r="U645" s="724"/>
      <c r="V645" s="724"/>
      <c r="W645" s="724"/>
      <c r="X645" s="724"/>
      <c r="Y645" s="724"/>
      <c r="Z645" s="724"/>
      <c r="AA645" s="724"/>
      <c r="AB645" s="724"/>
      <c r="AC645" s="729"/>
      <c r="AD645" s="724"/>
      <c r="AE645" s="724"/>
      <c r="AF645" s="724"/>
      <c r="AG645" s="724"/>
      <c r="AH645" s="724"/>
      <c r="AI645" s="724"/>
      <c r="AJ645" s="724"/>
      <c r="AU645" s="713"/>
      <c r="AW645" s="712"/>
      <c r="BY645" s="714"/>
      <c r="BZ645" s="715"/>
      <c r="CA645" s="716"/>
      <c r="CB645" s="717"/>
      <c r="CC645" s="717"/>
      <c r="CD645" s="717"/>
      <c r="CE645" s="717"/>
      <c r="CF645" s="717"/>
      <c r="CG645" s="717"/>
      <c r="CH645" s="717"/>
      <c r="CI645" s="717"/>
      <c r="CJ645" s="717"/>
      <c r="CK645" s="717"/>
      <c r="CL645" s="717"/>
      <c r="CM645" s="717"/>
      <c r="CN645" s="717"/>
      <c r="CO645" s="717"/>
      <c r="CP645" s="717"/>
      <c r="CQ645" s="717"/>
      <c r="CR645" s="717"/>
      <c r="CS645" s="717"/>
      <c r="CT645" s="717"/>
      <c r="CU645" s="717"/>
      <c r="CV645" s="717"/>
      <c r="CW645" s="717"/>
      <c r="CX645" s="717"/>
      <c r="CY645" s="717"/>
      <c r="CZ645" s="717"/>
      <c r="DA645" s="717"/>
      <c r="DB645" s="717"/>
      <c r="DC645" s="717"/>
      <c r="DD645" s="717"/>
      <c r="DE645" s="717"/>
      <c r="DF645" s="717"/>
      <c r="DG645" s="717"/>
      <c r="DH645" s="717"/>
      <c r="DI645" s="717"/>
      <c r="DJ645" s="717"/>
      <c r="DM645" s="711"/>
      <c r="DN645" s="711"/>
      <c r="DO645" s="711"/>
      <c r="DP645" s="711"/>
      <c r="DQ645" s="711"/>
      <c r="EB645" s="719"/>
    </row>
    <row r="646" spans="5:132" s="709" customFormat="1" ht="18" hidden="1">
      <c r="E646" s="721"/>
      <c r="H646" s="723">
        <v>121</v>
      </c>
      <c r="I646" s="725"/>
      <c r="J646" s="724"/>
      <c r="K646" s="724"/>
      <c r="L646" s="724"/>
      <c r="M646" s="728"/>
      <c r="N646" s="724"/>
      <c r="O646" s="724"/>
      <c r="P646" s="724"/>
      <c r="Q646" s="724"/>
      <c r="R646" s="724"/>
      <c r="S646" s="724"/>
      <c r="T646" s="724"/>
      <c r="U646" s="724"/>
      <c r="V646" s="724"/>
      <c r="W646" s="724"/>
      <c r="X646" s="724"/>
      <c r="Y646" s="724"/>
      <c r="Z646" s="724"/>
      <c r="AA646" s="724"/>
      <c r="AB646" s="724"/>
      <c r="AC646" s="725"/>
      <c r="AD646" s="724"/>
      <c r="AE646" s="724"/>
      <c r="AF646" s="724"/>
      <c r="AG646" s="724"/>
      <c r="AH646" s="724"/>
      <c r="AI646" s="724"/>
      <c r="AJ646" s="724"/>
      <c r="AU646" s="713"/>
      <c r="AW646" s="712"/>
      <c r="BY646" s="714"/>
      <c r="BZ646" s="715"/>
      <c r="CA646" s="716"/>
      <c r="CB646" s="717"/>
      <c r="CC646" s="717"/>
      <c r="CD646" s="717"/>
      <c r="CE646" s="717"/>
      <c r="CF646" s="717"/>
      <c r="CG646" s="717"/>
      <c r="CH646" s="717"/>
      <c r="CI646" s="717"/>
      <c r="CJ646" s="717"/>
      <c r="CK646" s="717"/>
      <c r="CL646" s="717"/>
      <c r="CM646" s="717"/>
      <c r="CN646" s="717"/>
      <c r="CO646" s="717"/>
      <c r="CP646" s="717"/>
      <c r="CQ646" s="717"/>
      <c r="CR646" s="717"/>
      <c r="CS646" s="717"/>
      <c r="CT646" s="717"/>
      <c r="CU646" s="717"/>
      <c r="CV646" s="717"/>
      <c r="CW646" s="717"/>
      <c r="CX646" s="717"/>
      <c r="CY646" s="717"/>
      <c r="CZ646" s="717"/>
      <c r="DA646" s="717"/>
      <c r="DB646" s="717"/>
      <c r="DC646" s="717"/>
      <c r="DD646" s="717"/>
      <c r="DE646" s="717"/>
      <c r="DF646" s="717"/>
      <c r="DG646" s="717"/>
      <c r="DH646" s="717"/>
      <c r="DI646" s="717"/>
      <c r="DJ646" s="717"/>
      <c r="DM646" s="711"/>
      <c r="DN646" s="711"/>
      <c r="DO646" s="711"/>
      <c r="DP646" s="711"/>
      <c r="DQ646" s="711"/>
      <c r="EB646" s="719"/>
    </row>
    <row r="647" spans="5:132" s="709" customFormat="1" ht="18" hidden="1">
      <c r="E647" s="721"/>
      <c r="H647" s="723">
        <v>122</v>
      </c>
      <c r="I647" s="725"/>
      <c r="J647" s="724"/>
      <c r="K647" s="724"/>
      <c r="L647" s="724"/>
      <c r="M647" s="728"/>
      <c r="N647" s="724"/>
      <c r="O647" s="724"/>
      <c r="P647" s="724"/>
      <c r="Q647" s="724"/>
      <c r="R647" s="724"/>
      <c r="S647" s="724"/>
      <c r="T647" s="724"/>
      <c r="U647" s="724"/>
      <c r="V647" s="724"/>
      <c r="W647" s="724"/>
      <c r="X647" s="724"/>
      <c r="Y647" s="724"/>
      <c r="Z647" s="724"/>
      <c r="AA647" s="724"/>
      <c r="AB647" s="724"/>
      <c r="AC647" s="725"/>
      <c r="AD647" s="724"/>
      <c r="AE647" s="724"/>
      <c r="AF647" s="724"/>
      <c r="AG647" s="724"/>
      <c r="AH647" s="724"/>
      <c r="AI647" s="724"/>
      <c r="AJ647" s="724"/>
      <c r="AU647" s="713"/>
      <c r="AW647" s="712"/>
      <c r="BY647" s="714"/>
      <c r="BZ647" s="715"/>
      <c r="CA647" s="716"/>
      <c r="CB647" s="717"/>
      <c r="CC647" s="717"/>
      <c r="CD647" s="717"/>
      <c r="CE647" s="717"/>
      <c r="CF647" s="717"/>
      <c r="CG647" s="717"/>
      <c r="CH647" s="717"/>
      <c r="CI647" s="717"/>
      <c r="CJ647" s="717"/>
      <c r="CK647" s="717"/>
      <c r="CL647" s="717"/>
      <c r="CM647" s="717"/>
      <c r="CN647" s="717"/>
      <c r="CO647" s="717"/>
      <c r="CP647" s="717"/>
      <c r="CQ647" s="717"/>
      <c r="CR647" s="717"/>
      <c r="CS647" s="717"/>
      <c r="CT647" s="717"/>
      <c r="CU647" s="717"/>
      <c r="CV647" s="717"/>
      <c r="CW647" s="717"/>
      <c r="CX647" s="717"/>
      <c r="CY647" s="717"/>
      <c r="CZ647" s="717"/>
      <c r="DA647" s="717"/>
      <c r="DB647" s="717"/>
      <c r="DC647" s="717"/>
      <c r="DD647" s="717"/>
      <c r="DE647" s="717"/>
      <c r="DF647" s="717"/>
      <c r="DG647" s="717"/>
      <c r="DH647" s="717"/>
      <c r="DI647" s="717"/>
      <c r="DJ647" s="717"/>
      <c r="DM647" s="711"/>
      <c r="DN647" s="711"/>
      <c r="DO647" s="711"/>
      <c r="DP647" s="711"/>
      <c r="DQ647" s="711"/>
      <c r="EB647" s="719"/>
    </row>
    <row r="648" spans="5:132" s="709" customFormat="1" ht="18" hidden="1">
      <c r="E648" s="721"/>
      <c r="H648" s="723">
        <v>123</v>
      </c>
      <c r="I648" s="725"/>
      <c r="J648" s="724"/>
      <c r="K648" s="724"/>
      <c r="L648" s="724"/>
      <c r="M648" s="728"/>
      <c r="N648" s="724"/>
      <c r="O648" s="724"/>
      <c r="P648" s="724"/>
      <c r="Q648" s="724"/>
      <c r="R648" s="724"/>
      <c r="S648" s="724"/>
      <c r="T648" s="724"/>
      <c r="U648" s="724"/>
      <c r="V648" s="724"/>
      <c r="W648" s="724"/>
      <c r="X648" s="724"/>
      <c r="Y648" s="724"/>
      <c r="Z648" s="724"/>
      <c r="AA648" s="724"/>
      <c r="AB648" s="724"/>
      <c r="AC648" s="725"/>
      <c r="AD648" s="724"/>
      <c r="AE648" s="724"/>
      <c r="AF648" s="724"/>
      <c r="AG648" s="724"/>
      <c r="AH648" s="724"/>
      <c r="AI648" s="724"/>
      <c r="AJ648" s="724"/>
      <c r="AU648" s="713"/>
      <c r="AW648" s="712"/>
      <c r="BY648" s="714"/>
      <c r="BZ648" s="715"/>
      <c r="CA648" s="716"/>
      <c r="CB648" s="717"/>
      <c r="CC648" s="717"/>
      <c r="CD648" s="717"/>
      <c r="CE648" s="717"/>
      <c r="CF648" s="717"/>
      <c r="CG648" s="717"/>
      <c r="CH648" s="717"/>
      <c r="CI648" s="717"/>
      <c r="CJ648" s="717"/>
      <c r="CK648" s="717"/>
      <c r="CL648" s="717"/>
      <c r="CM648" s="717"/>
      <c r="CN648" s="717"/>
      <c r="CO648" s="717"/>
      <c r="CP648" s="717"/>
      <c r="CQ648" s="717"/>
      <c r="CR648" s="717"/>
      <c r="CS648" s="717"/>
      <c r="CT648" s="717"/>
      <c r="CU648" s="717"/>
      <c r="CV648" s="717"/>
      <c r="CW648" s="717"/>
      <c r="CX648" s="717"/>
      <c r="CY648" s="717"/>
      <c r="CZ648" s="717"/>
      <c r="DA648" s="717"/>
      <c r="DB648" s="717"/>
      <c r="DC648" s="717"/>
      <c r="DD648" s="717"/>
      <c r="DE648" s="717"/>
      <c r="DF648" s="717"/>
      <c r="DG648" s="717"/>
      <c r="DH648" s="717"/>
      <c r="DI648" s="717"/>
      <c r="DJ648" s="717"/>
      <c r="DM648" s="711"/>
      <c r="DN648" s="711"/>
      <c r="DO648" s="711"/>
      <c r="DP648" s="711"/>
      <c r="DQ648" s="711"/>
      <c r="EB648" s="719"/>
    </row>
    <row r="649" spans="5:132" s="709" customFormat="1" ht="18" hidden="1">
      <c r="E649" s="721"/>
      <c r="H649" s="723">
        <v>124</v>
      </c>
      <c r="I649" s="725"/>
      <c r="J649" s="724"/>
      <c r="K649" s="724"/>
      <c r="L649" s="724"/>
      <c r="M649" s="728"/>
      <c r="N649" s="724"/>
      <c r="O649" s="724"/>
      <c r="P649" s="724"/>
      <c r="Q649" s="724"/>
      <c r="R649" s="724"/>
      <c r="S649" s="724"/>
      <c r="T649" s="724"/>
      <c r="U649" s="724"/>
      <c r="V649" s="724"/>
      <c r="W649" s="724"/>
      <c r="X649" s="724"/>
      <c r="Y649" s="724"/>
      <c r="Z649" s="724"/>
      <c r="AA649" s="724"/>
      <c r="AB649" s="724"/>
      <c r="AC649" s="725"/>
      <c r="AD649" s="724"/>
      <c r="AE649" s="724"/>
      <c r="AF649" s="724"/>
      <c r="AG649" s="724"/>
      <c r="AH649" s="724"/>
      <c r="AI649" s="724"/>
      <c r="AJ649" s="724"/>
      <c r="AU649" s="713"/>
      <c r="AW649" s="712"/>
      <c r="BY649" s="714"/>
      <c r="BZ649" s="715"/>
      <c r="CA649" s="716"/>
      <c r="CB649" s="717"/>
      <c r="CC649" s="717"/>
      <c r="CD649" s="717"/>
      <c r="CE649" s="717"/>
      <c r="CF649" s="717"/>
      <c r="CG649" s="717"/>
      <c r="CH649" s="717"/>
      <c r="CI649" s="717"/>
      <c r="CJ649" s="717"/>
      <c r="CK649" s="717"/>
      <c r="CL649" s="717"/>
      <c r="CM649" s="717"/>
      <c r="CN649" s="717"/>
      <c r="CO649" s="717"/>
      <c r="CP649" s="717"/>
      <c r="CQ649" s="717"/>
      <c r="CR649" s="717"/>
      <c r="CS649" s="717"/>
      <c r="CT649" s="717"/>
      <c r="CU649" s="717"/>
      <c r="CV649" s="717"/>
      <c r="CW649" s="717"/>
      <c r="CX649" s="717"/>
      <c r="CY649" s="717"/>
      <c r="CZ649" s="717"/>
      <c r="DA649" s="717"/>
      <c r="DB649" s="717"/>
      <c r="DC649" s="717"/>
      <c r="DD649" s="717"/>
      <c r="DE649" s="717"/>
      <c r="DF649" s="717"/>
      <c r="DG649" s="717"/>
      <c r="DH649" s="717"/>
      <c r="DI649" s="717"/>
      <c r="DJ649" s="717"/>
      <c r="DM649" s="711"/>
      <c r="DN649" s="711"/>
      <c r="DO649" s="711"/>
      <c r="DP649" s="711"/>
      <c r="DQ649" s="711"/>
      <c r="EB649" s="719"/>
    </row>
    <row r="650" spans="5:132" s="709" customFormat="1" ht="18" hidden="1">
      <c r="E650" s="721"/>
      <c r="H650" s="723">
        <v>125</v>
      </c>
      <c r="I650" s="725"/>
      <c r="J650" s="724"/>
      <c r="K650" s="724"/>
      <c r="L650" s="724"/>
      <c r="M650" s="728"/>
      <c r="N650" s="724"/>
      <c r="O650" s="724"/>
      <c r="P650" s="724"/>
      <c r="Q650" s="724"/>
      <c r="R650" s="724"/>
      <c r="S650" s="724"/>
      <c r="T650" s="724"/>
      <c r="U650" s="724"/>
      <c r="V650" s="724"/>
      <c r="W650" s="724"/>
      <c r="X650" s="724"/>
      <c r="Y650" s="724"/>
      <c r="Z650" s="724"/>
      <c r="AA650" s="724"/>
      <c r="AB650" s="724"/>
      <c r="AC650" s="725"/>
      <c r="AD650" s="724"/>
      <c r="AE650" s="724"/>
      <c r="AF650" s="724"/>
      <c r="AG650" s="724"/>
      <c r="AH650" s="724"/>
      <c r="AI650" s="724"/>
      <c r="AJ650" s="724"/>
      <c r="AU650" s="713"/>
      <c r="AW650" s="712"/>
      <c r="BY650" s="714"/>
      <c r="BZ650" s="715"/>
      <c r="CA650" s="716"/>
      <c r="CB650" s="717"/>
      <c r="CC650" s="717"/>
      <c r="CD650" s="717"/>
      <c r="CE650" s="717"/>
      <c r="CF650" s="717"/>
      <c r="CG650" s="717"/>
      <c r="CH650" s="717"/>
      <c r="CI650" s="717"/>
      <c r="CJ650" s="717"/>
      <c r="CK650" s="717"/>
      <c r="CL650" s="717"/>
      <c r="CM650" s="717"/>
      <c r="CN650" s="717"/>
      <c r="CO650" s="717"/>
      <c r="CP650" s="717"/>
      <c r="CQ650" s="717"/>
      <c r="CR650" s="717"/>
      <c r="CS650" s="717"/>
      <c r="CT650" s="717"/>
      <c r="CU650" s="717"/>
      <c r="CV650" s="717"/>
      <c r="CW650" s="717"/>
      <c r="CX650" s="717"/>
      <c r="CY650" s="717"/>
      <c r="CZ650" s="717"/>
      <c r="DA650" s="717"/>
      <c r="DB650" s="717"/>
      <c r="DC650" s="717"/>
      <c r="DD650" s="717"/>
      <c r="DE650" s="717"/>
      <c r="DF650" s="717"/>
      <c r="DG650" s="717"/>
      <c r="DH650" s="717"/>
      <c r="DI650" s="717"/>
      <c r="DJ650" s="717"/>
      <c r="DM650" s="711"/>
      <c r="DN650" s="711"/>
      <c r="DO650" s="711"/>
      <c r="DP650" s="711"/>
      <c r="DQ650" s="711"/>
      <c r="EB650" s="719"/>
    </row>
    <row r="651" spans="5:132" s="709" customFormat="1" ht="18" hidden="1">
      <c r="E651" s="721"/>
      <c r="H651" s="723">
        <v>126</v>
      </c>
      <c r="I651" s="725"/>
      <c r="J651" s="724"/>
      <c r="K651" s="724"/>
      <c r="L651" s="724"/>
      <c r="M651" s="728"/>
      <c r="N651" s="724"/>
      <c r="O651" s="724"/>
      <c r="P651" s="724"/>
      <c r="Q651" s="724"/>
      <c r="R651" s="724"/>
      <c r="S651" s="724"/>
      <c r="T651" s="724"/>
      <c r="U651" s="724"/>
      <c r="V651" s="724"/>
      <c r="W651" s="724"/>
      <c r="X651" s="724"/>
      <c r="Y651" s="724"/>
      <c r="Z651" s="724"/>
      <c r="AA651" s="724"/>
      <c r="AB651" s="724"/>
      <c r="AC651" s="725"/>
      <c r="AD651" s="724"/>
      <c r="AE651" s="724"/>
      <c r="AF651" s="724"/>
      <c r="AG651" s="724"/>
      <c r="AH651" s="724"/>
      <c r="AI651" s="724"/>
      <c r="AJ651" s="724"/>
      <c r="AU651" s="713"/>
      <c r="AW651" s="712"/>
      <c r="BY651" s="714"/>
      <c r="BZ651" s="715"/>
      <c r="CA651" s="716"/>
      <c r="CB651" s="717"/>
      <c r="CC651" s="717"/>
      <c r="CD651" s="717"/>
      <c r="CE651" s="717"/>
      <c r="CF651" s="717"/>
      <c r="CG651" s="717"/>
      <c r="CH651" s="717"/>
      <c r="CI651" s="717"/>
      <c r="CJ651" s="717"/>
      <c r="CK651" s="717"/>
      <c r="CL651" s="717"/>
      <c r="CM651" s="717"/>
      <c r="CN651" s="717"/>
      <c r="CO651" s="717"/>
      <c r="CP651" s="717"/>
      <c r="CQ651" s="717"/>
      <c r="CR651" s="717"/>
      <c r="CS651" s="717"/>
      <c r="CT651" s="717"/>
      <c r="CU651" s="717"/>
      <c r="CV651" s="717"/>
      <c r="CW651" s="717"/>
      <c r="CX651" s="717"/>
      <c r="CY651" s="717"/>
      <c r="CZ651" s="717"/>
      <c r="DA651" s="717"/>
      <c r="DB651" s="717"/>
      <c r="DC651" s="717"/>
      <c r="DD651" s="717"/>
      <c r="DE651" s="717"/>
      <c r="DF651" s="717"/>
      <c r="DG651" s="717"/>
      <c r="DH651" s="717"/>
      <c r="DI651" s="717"/>
      <c r="DJ651" s="717"/>
      <c r="DM651" s="711"/>
      <c r="DN651" s="711"/>
      <c r="DO651" s="711"/>
      <c r="DP651" s="711"/>
      <c r="DQ651" s="711"/>
      <c r="EB651" s="719"/>
    </row>
    <row r="652" spans="5:132" s="709" customFormat="1" ht="18" hidden="1">
      <c r="E652" s="721"/>
      <c r="H652" s="723">
        <v>127</v>
      </c>
      <c r="I652" s="725"/>
      <c r="J652" s="724"/>
      <c r="K652" s="724"/>
      <c r="L652" s="724"/>
      <c r="M652" s="728"/>
      <c r="N652" s="724"/>
      <c r="O652" s="724"/>
      <c r="P652" s="724"/>
      <c r="Q652" s="724"/>
      <c r="R652" s="724"/>
      <c r="S652" s="724"/>
      <c r="T652" s="724"/>
      <c r="U652" s="724"/>
      <c r="V652" s="724"/>
      <c r="W652" s="724"/>
      <c r="X652" s="724"/>
      <c r="Y652" s="724"/>
      <c r="Z652" s="724"/>
      <c r="AA652" s="724"/>
      <c r="AB652" s="724"/>
      <c r="AC652" s="725"/>
      <c r="AD652" s="724"/>
      <c r="AE652" s="724"/>
      <c r="AF652" s="724"/>
      <c r="AG652" s="724"/>
      <c r="AH652" s="724"/>
      <c r="AI652" s="724"/>
      <c r="AJ652" s="724"/>
      <c r="AU652" s="713"/>
      <c r="AW652" s="712"/>
      <c r="BY652" s="714"/>
      <c r="BZ652" s="715"/>
      <c r="CA652" s="716"/>
      <c r="CB652" s="717"/>
      <c r="CC652" s="717"/>
      <c r="CD652" s="717"/>
      <c r="CE652" s="717"/>
      <c r="CF652" s="717"/>
      <c r="CG652" s="717"/>
      <c r="CH652" s="717"/>
      <c r="CI652" s="717"/>
      <c r="CJ652" s="717"/>
      <c r="CK652" s="717"/>
      <c r="CL652" s="717"/>
      <c r="CM652" s="717"/>
      <c r="CN652" s="717"/>
      <c r="CO652" s="717"/>
      <c r="CP652" s="717"/>
      <c r="CQ652" s="717"/>
      <c r="CR652" s="717"/>
      <c r="CS652" s="717"/>
      <c r="CT652" s="717"/>
      <c r="CU652" s="717"/>
      <c r="CV652" s="717"/>
      <c r="CW652" s="717"/>
      <c r="CX652" s="717"/>
      <c r="CY652" s="717"/>
      <c r="CZ652" s="717"/>
      <c r="DA652" s="717"/>
      <c r="DB652" s="717"/>
      <c r="DC652" s="717"/>
      <c r="DD652" s="717"/>
      <c r="DE652" s="717"/>
      <c r="DF652" s="717"/>
      <c r="DG652" s="717"/>
      <c r="DH652" s="717"/>
      <c r="DI652" s="717"/>
      <c r="DJ652" s="717"/>
      <c r="DM652" s="711"/>
      <c r="DN652" s="711"/>
      <c r="DO652" s="711"/>
      <c r="DP652" s="711"/>
      <c r="DQ652" s="711"/>
      <c r="EB652" s="719"/>
    </row>
    <row r="653" spans="5:132" s="709" customFormat="1" ht="18" hidden="1">
      <c r="E653" s="721"/>
      <c r="H653" s="723">
        <v>128</v>
      </c>
      <c r="I653" s="726"/>
      <c r="J653" s="724"/>
      <c r="K653" s="724"/>
      <c r="L653" s="724"/>
      <c r="M653" s="728"/>
      <c r="N653" s="724"/>
      <c r="O653" s="724"/>
      <c r="P653" s="724"/>
      <c r="Q653" s="724"/>
      <c r="R653" s="724"/>
      <c r="S653" s="724"/>
      <c r="T653" s="724"/>
      <c r="U653" s="724"/>
      <c r="V653" s="724"/>
      <c r="W653" s="724"/>
      <c r="X653" s="724"/>
      <c r="Y653" s="724"/>
      <c r="Z653" s="724"/>
      <c r="AA653" s="724"/>
      <c r="AB653" s="724"/>
      <c r="AC653" s="725"/>
      <c r="AD653" s="724"/>
      <c r="AE653" s="724"/>
      <c r="AF653" s="724"/>
      <c r="AG653" s="724"/>
      <c r="AH653" s="724"/>
      <c r="AI653" s="724"/>
      <c r="AJ653" s="724"/>
      <c r="AU653" s="713"/>
      <c r="AW653" s="712"/>
      <c r="BY653" s="714"/>
      <c r="BZ653" s="715"/>
      <c r="CA653" s="716"/>
      <c r="CB653" s="717"/>
      <c r="CC653" s="717"/>
      <c r="CD653" s="717"/>
      <c r="CE653" s="717"/>
      <c r="CF653" s="717"/>
      <c r="CG653" s="717"/>
      <c r="CH653" s="717"/>
      <c r="CI653" s="717"/>
      <c r="CJ653" s="717"/>
      <c r="CK653" s="717"/>
      <c r="CL653" s="717"/>
      <c r="CM653" s="717"/>
      <c r="CN653" s="717"/>
      <c r="CO653" s="717"/>
      <c r="CP653" s="717"/>
      <c r="CQ653" s="717"/>
      <c r="CR653" s="717"/>
      <c r="CS653" s="717"/>
      <c r="CT653" s="717"/>
      <c r="CU653" s="717"/>
      <c r="CV653" s="717"/>
      <c r="CW653" s="717"/>
      <c r="CX653" s="717"/>
      <c r="CY653" s="717"/>
      <c r="CZ653" s="717"/>
      <c r="DA653" s="717"/>
      <c r="DB653" s="717"/>
      <c r="DC653" s="717"/>
      <c r="DD653" s="717"/>
      <c r="DE653" s="717"/>
      <c r="DF653" s="717"/>
      <c r="DG653" s="717"/>
      <c r="DH653" s="717"/>
      <c r="DI653" s="717"/>
      <c r="DJ653" s="717"/>
      <c r="DM653" s="711"/>
      <c r="DN653" s="711"/>
      <c r="DO653" s="711"/>
      <c r="DP653" s="711"/>
      <c r="DQ653" s="711"/>
      <c r="EB653" s="719"/>
    </row>
    <row r="654" spans="5:132" s="709" customFormat="1" ht="18" hidden="1">
      <c r="E654" s="721"/>
      <c r="H654" s="723">
        <v>129</v>
      </c>
      <c r="I654" s="725"/>
      <c r="J654" s="724"/>
      <c r="K654" s="724"/>
      <c r="L654" s="724"/>
      <c r="M654" s="728"/>
      <c r="N654" s="724"/>
      <c r="O654" s="724"/>
      <c r="P654" s="724"/>
      <c r="Q654" s="724"/>
      <c r="R654" s="724"/>
      <c r="S654" s="724"/>
      <c r="T654" s="724"/>
      <c r="U654" s="724"/>
      <c r="V654" s="724"/>
      <c r="W654" s="724"/>
      <c r="X654" s="724"/>
      <c r="Y654" s="724"/>
      <c r="Z654" s="724"/>
      <c r="AA654" s="724"/>
      <c r="AB654" s="724"/>
      <c r="AC654" s="725"/>
      <c r="AD654" s="724"/>
      <c r="AE654" s="724"/>
      <c r="AF654" s="724"/>
      <c r="AG654" s="724"/>
      <c r="AH654" s="724"/>
      <c r="AI654" s="724"/>
      <c r="AJ654" s="724"/>
      <c r="AU654" s="713"/>
      <c r="AW654" s="712"/>
      <c r="BY654" s="714"/>
      <c r="BZ654" s="715"/>
      <c r="CA654" s="716"/>
      <c r="CB654" s="717"/>
      <c r="CC654" s="717"/>
      <c r="CD654" s="717"/>
      <c r="CE654" s="717"/>
      <c r="CF654" s="717"/>
      <c r="CG654" s="717"/>
      <c r="CH654" s="717"/>
      <c r="CI654" s="717"/>
      <c r="CJ654" s="717"/>
      <c r="CK654" s="717"/>
      <c r="CL654" s="717"/>
      <c r="CM654" s="717"/>
      <c r="CN654" s="717"/>
      <c r="CO654" s="717"/>
      <c r="CP654" s="717"/>
      <c r="CQ654" s="717"/>
      <c r="CR654" s="717"/>
      <c r="CS654" s="717"/>
      <c r="CT654" s="717"/>
      <c r="CU654" s="717"/>
      <c r="CV654" s="717"/>
      <c r="CW654" s="717"/>
      <c r="CX654" s="717"/>
      <c r="CY654" s="717"/>
      <c r="CZ654" s="717"/>
      <c r="DA654" s="717"/>
      <c r="DB654" s="717"/>
      <c r="DC654" s="717"/>
      <c r="DD654" s="717"/>
      <c r="DE654" s="717"/>
      <c r="DF654" s="717"/>
      <c r="DG654" s="717"/>
      <c r="DH654" s="717"/>
      <c r="DI654" s="717"/>
      <c r="DJ654" s="717"/>
      <c r="DM654" s="711"/>
      <c r="DN654" s="711"/>
      <c r="DO654" s="711"/>
      <c r="DP654" s="711"/>
      <c r="DQ654" s="711"/>
      <c r="EB654" s="719"/>
    </row>
    <row r="655" spans="5:132" s="709" customFormat="1" ht="18" hidden="1">
      <c r="E655" s="721"/>
      <c r="H655" s="723">
        <v>130</v>
      </c>
      <c r="I655" s="725"/>
      <c r="J655" s="724"/>
      <c r="K655" s="724"/>
      <c r="L655" s="724"/>
      <c r="M655" s="728"/>
      <c r="N655" s="724"/>
      <c r="O655" s="724"/>
      <c r="P655" s="724"/>
      <c r="Q655" s="724"/>
      <c r="R655" s="724"/>
      <c r="S655" s="724"/>
      <c r="T655" s="724"/>
      <c r="U655" s="724"/>
      <c r="V655" s="724"/>
      <c r="W655" s="724"/>
      <c r="X655" s="724"/>
      <c r="Y655" s="724"/>
      <c r="Z655" s="724"/>
      <c r="AA655" s="724"/>
      <c r="AB655" s="724"/>
      <c r="AC655" s="725"/>
      <c r="AD655" s="724"/>
      <c r="AE655" s="724"/>
      <c r="AF655" s="724"/>
      <c r="AG655" s="724"/>
      <c r="AH655" s="724"/>
      <c r="AI655" s="724"/>
      <c r="AJ655" s="724"/>
      <c r="AU655" s="713"/>
      <c r="AW655" s="712"/>
      <c r="BY655" s="714"/>
      <c r="BZ655" s="715"/>
      <c r="CA655" s="716"/>
      <c r="CB655" s="717"/>
      <c r="CC655" s="717"/>
      <c r="CD655" s="717"/>
      <c r="CE655" s="717"/>
      <c r="CF655" s="717"/>
      <c r="CG655" s="717"/>
      <c r="CH655" s="717"/>
      <c r="CI655" s="717"/>
      <c r="CJ655" s="717"/>
      <c r="CK655" s="717"/>
      <c r="CL655" s="717"/>
      <c r="CM655" s="717"/>
      <c r="CN655" s="717"/>
      <c r="CO655" s="717"/>
      <c r="CP655" s="717"/>
      <c r="CQ655" s="717"/>
      <c r="CR655" s="717"/>
      <c r="CS655" s="717"/>
      <c r="CT655" s="717"/>
      <c r="CU655" s="717"/>
      <c r="CV655" s="717"/>
      <c r="CW655" s="717"/>
      <c r="CX655" s="717"/>
      <c r="CY655" s="717"/>
      <c r="CZ655" s="717"/>
      <c r="DA655" s="717"/>
      <c r="DB655" s="717"/>
      <c r="DC655" s="717"/>
      <c r="DD655" s="717"/>
      <c r="DE655" s="717"/>
      <c r="DF655" s="717"/>
      <c r="DG655" s="717"/>
      <c r="DH655" s="717"/>
      <c r="DI655" s="717"/>
      <c r="DJ655" s="717"/>
      <c r="DM655" s="711"/>
      <c r="DN655" s="711"/>
      <c r="DO655" s="711"/>
      <c r="DP655" s="711"/>
      <c r="DQ655" s="711"/>
      <c r="EB655" s="719"/>
    </row>
    <row r="656" spans="5:132" s="709" customFormat="1" ht="18" hidden="1">
      <c r="E656" s="721"/>
      <c r="H656" s="723">
        <v>131</v>
      </c>
      <c r="I656" s="725"/>
      <c r="J656" s="724"/>
      <c r="K656" s="724"/>
      <c r="L656" s="724"/>
      <c r="M656" s="728"/>
      <c r="N656" s="724"/>
      <c r="O656" s="724"/>
      <c r="P656" s="724"/>
      <c r="Q656" s="724"/>
      <c r="R656" s="724"/>
      <c r="S656" s="724"/>
      <c r="T656" s="724"/>
      <c r="U656" s="724"/>
      <c r="V656" s="724"/>
      <c r="W656" s="724"/>
      <c r="X656" s="724"/>
      <c r="Y656" s="724"/>
      <c r="Z656" s="724"/>
      <c r="AA656" s="724"/>
      <c r="AB656" s="724"/>
      <c r="AC656" s="725"/>
      <c r="AD656" s="724"/>
      <c r="AE656" s="724"/>
      <c r="AF656" s="724"/>
      <c r="AG656" s="724"/>
      <c r="AH656" s="724"/>
      <c r="AI656" s="724"/>
      <c r="AJ656" s="724"/>
      <c r="AU656" s="713"/>
      <c r="AW656" s="712"/>
      <c r="BY656" s="714"/>
      <c r="BZ656" s="715"/>
      <c r="CA656" s="716"/>
      <c r="CB656" s="717"/>
      <c r="CC656" s="717"/>
      <c r="CD656" s="717"/>
      <c r="CE656" s="717"/>
      <c r="CF656" s="717"/>
      <c r="CG656" s="717"/>
      <c r="CH656" s="717"/>
      <c r="CI656" s="717"/>
      <c r="CJ656" s="717"/>
      <c r="CK656" s="717"/>
      <c r="CL656" s="717"/>
      <c r="CM656" s="717"/>
      <c r="CN656" s="717"/>
      <c r="CO656" s="717"/>
      <c r="CP656" s="717"/>
      <c r="CQ656" s="717"/>
      <c r="CR656" s="717"/>
      <c r="CS656" s="717"/>
      <c r="CT656" s="717"/>
      <c r="CU656" s="717"/>
      <c r="CV656" s="717"/>
      <c r="CW656" s="717"/>
      <c r="CX656" s="717"/>
      <c r="CY656" s="717"/>
      <c r="CZ656" s="717"/>
      <c r="DA656" s="717"/>
      <c r="DB656" s="717"/>
      <c r="DC656" s="717"/>
      <c r="DD656" s="717"/>
      <c r="DE656" s="717"/>
      <c r="DF656" s="717"/>
      <c r="DG656" s="717"/>
      <c r="DH656" s="717"/>
      <c r="DI656" s="717"/>
      <c r="DJ656" s="717"/>
      <c r="DM656" s="711"/>
      <c r="DN656" s="711"/>
      <c r="DO656" s="711"/>
      <c r="DP656" s="711"/>
      <c r="DQ656" s="711"/>
      <c r="EB656" s="719"/>
    </row>
    <row r="657" spans="5:132" s="709" customFormat="1" ht="18" hidden="1">
      <c r="E657" s="721"/>
      <c r="H657" s="723">
        <v>132</v>
      </c>
      <c r="I657" s="725"/>
      <c r="J657" s="724"/>
      <c r="K657" s="724"/>
      <c r="L657" s="724"/>
      <c r="M657" s="728"/>
      <c r="N657" s="724"/>
      <c r="O657" s="724"/>
      <c r="P657" s="724"/>
      <c r="Q657" s="724"/>
      <c r="R657" s="724"/>
      <c r="S657" s="724"/>
      <c r="T657" s="724"/>
      <c r="U657" s="724"/>
      <c r="V657" s="724"/>
      <c r="W657" s="724"/>
      <c r="X657" s="724"/>
      <c r="Y657" s="724"/>
      <c r="Z657" s="724"/>
      <c r="AA657" s="724"/>
      <c r="AB657" s="724"/>
      <c r="AC657" s="725"/>
      <c r="AD657" s="724"/>
      <c r="AE657" s="724"/>
      <c r="AF657" s="724"/>
      <c r="AG657" s="724"/>
      <c r="AH657" s="724"/>
      <c r="AI657" s="724"/>
      <c r="AJ657" s="724"/>
      <c r="AU657" s="713"/>
      <c r="AW657" s="712"/>
      <c r="BY657" s="714"/>
      <c r="BZ657" s="715"/>
      <c r="CA657" s="716"/>
      <c r="CB657" s="717"/>
      <c r="CC657" s="717"/>
      <c r="CD657" s="717"/>
      <c r="CE657" s="717"/>
      <c r="CF657" s="717"/>
      <c r="CG657" s="717"/>
      <c r="CH657" s="717"/>
      <c r="CI657" s="717"/>
      <c r="CJ657" s="717"/>
      <c r="CK657" s="717"/>
      <c r="CL657" s="717"/>
      <c r="CM657" s="717"/>
      <c r="CN657" s="717"/>
      <c r="CO657" s="717"/>
      <c r="CP657" s="717"/>
      <c r="CQ657" s="717"/>
      <c r="CR657" s="717"/>
      <c r="CS657" s="717"/>
      <c r="CT657" s="717"/>
      <c r="CU657" s="717"/>
      <c r="CV657" s="717"/>
      <c r="CW657" s="717"/>
      <c r="CX657" s="717"/>
      <c r="CY657" s="717"/>
      <c r="CZ657" s="717"/>
      <c r="DA657" s="717"/>
      <c r="DB657" s="717"/>
      <c r="DC657" s="717"/>
      <c r="DD657" s="717"/>
      <c r="DE657" s="717"/>
      <c r="DF657" s="717"/>
      <c r="DG657" s="717"/>
      <c r="DH657" s="717"/>
      <c r="DI657" s="717"/>
      <c r="DJ657" s="717"/>
      <c r="DM657" s="711"/>
      <c r="DN657" s="711"/>
      <c r="DO657" s="711"/>
      <c r="DP657" s="711"/>
      <c r="DQ657" s="711"/>
      <c r="EB657" s="719"/>
    </row>
    <row r="658" spans="5:132" s="709" customFormat="1" ht="18" hidden="1">
      <c r="E658" s="721"/>
      <c r="H658" s="723">
        <v>133</v>
      </c>
      <c r="I658" s="725"/>
      <c r="J658" s="724"/>
      <c r="K658" s="724"/>
      <c r="L658" s="724"/>
      <c r="M658" s="728"/>
      <c r="N658" s="724"/>
      <c r="O658" s="724"/>
      <c r="P658" s="724"/>
      <c r="Q658" s="724"/>
      <c r="R658" s="724"/>
      <c r="S658" s="724"/>
      <c r="T658" s="724"/>
      <c r="U658" s="724"/>
      <c r="V658" s="724"/>
      <c r="W658" s="724"/>
      <c r="X658" s="724"/>
      <c r="Y658" s="724"/>
      <c r="Z658" s="724"/>
      <c r="AA658" s="724"/>
      <c r="AB658" s="724"/>
      <c r="AC658" s="725"/>
      <c r="AD658" s="724"/>
      <c r="AE658" s="724"/>
      <c r="AF658" s="724"/>
      <c r="AG658" s="724"/>
      <c r="AH658" s="724"/>
      <c r="AI658" s="724"/>
      <c r="AJ658" s="724"/>
      <c r="AU658" s="713"/>
      <c r="AW658" s="712"/>
      <c r="BY658" s="714"/>
      <c r="BZ658" s="715"/>
      <c r="CA658" s="716"/>
      <c r="CB658" s="717"/>
      <c r="CC658" s="717"/>
      <c r="CD658" s="717"/>
      <c r="CE658" s="717"/>
      <c r="CF658" s="717"/>
      <c r="CG658" s="717"/>
      <c r="CH658" s="717"/>
      <c r="CI658" s="717"/>
      <c r="CJ658" s="717"/>
      <c r="CK658" s="717"/>
      <c r="CL658" s="717"/>
      <c r="CM658" s="717"/>
      <c r="CN658" s="717"/>
      <c r="CO658" s="717"/>
      <c r="CP658" s="717"/>
      <c r="CQ658" s="717"/>
      <c r="CR658" s="717"/>
      <c r="CS658" s="717"/>
      <c r="CT658" s="717"/>
      <c r="CU658" s="717"/>
      <c r="CV658" s="717"/>
      <c r="CW658" s="717"/>
      <c r="CX658" s="717"/>
      <c r="CY658" s="717"/>
      <c r="CZ658" s="717"/>
      <c r="DA658" s="717"/>
      <c r="DB658" s="717"/>
      <c r="DC658" s="717"/>
      <c r="DD658" s="717"/>
      <c r="DE658" s="717"/>
      <c r="DF658" s="717"/>
      <c r="DG658" s="717"/>
      <c r="DH658" s="717"/>
      <c r="DI658" s="717"/>
      <c r="DJ658" s="717"/>
      <c r="DM658" s="711"/>
      <c r="DN658" s="711"/>
      <c r="DO658" s="711"/>
      <c r="DP658" s="711"/>
      <c r="DQ658" s="711"/>
      <c r="EB658" s="719"/>
    </row>
    <row r="659" spans="5:132" s="709" customFormat="1" ht="18" hidden="1">
      <c r="E659" s="721"/>
      <c r="H659" s="723">
        <v>134</v>
      </c>
      <c r="I659" s="725"/>
      <c r="J659" s="724"/>
      <c r="K659" s="724"/>
      <c r="L659" s="724"/>
      <c r="M659" s="728"/>
      <c r="N659" s="724"/>
      <c r="O659" s="724"/>
      <c r="P659" s="724"/>
      <c r="Q659" s="724"/>
      <c r="R659" s="724"/>
      <c r="S659" s="724"/>
      <c r="T659" s="724"/>
      <c r="U659" s="724"/>
      <c r="V659" s="724"/>
      <c r="W659" s="724"/>
      <c r="X659" s="724"/>
      <c r="Y659" s="724"/>
      <c r="Z659" s="724"/>
      <c r="AA659" s="724"/>
      <c r="AB659" s="724"/>
      <c r="AC659" s="725"/>
      <c r="AD659" s="724"/>
      <c r="AE659" s="724"/>
      <c r="AF659" s="724"/>
      <c r="AG659" s="724"/>
      <c r="AH659" s="724"/>
      <c r="AI659" s="724"/>
      <c r="AJ659" s="724"/>
      <c r="AU659" s="713"/>
      <c r="AW659" s="712"/>
      <c r="BY659" s="714"/>
      <c r="BZ659" s="715"/>
      <c r="CA659" s="716"/>
      <c r="CB659" s="717"/>
      <c r="CC659" s="717"/>
      <c r="CD659" s="717"/>
      <c r="CE659" s="717"/>
      <c r="CF659" s="717"/>
      <c r="CG659" s="717"/>
      <c r="CH659" s="717"/>
      <c r="CI659" s="717"/>
      <c r="CJ659" s="717"/>
      <c r="CK659" s="717"/>
      <c r="CL659" s="717"/>
      <c r="CM659" s="717"/>
      <c r="CN659" s="717"/>
      <c r="CO659" s="717"/>
      <c r="CP659" s="717"/>
      <c r="CQ659" s="717"/>
      <c r="CR659" s="717"/>
      <c r="CS659" s="717"/>
      <c r="CT659" s="717"/>
      <c r="CU659" s="717"/>
      <c r="CV659" s="717"/>
      <c r="CW659" s="717"/>
      <c r="CX659" s="717"/>
      <c r="CY659" s="717"/>
      <c r="CZ659" s="717"/>
      <c r="DA659" s="717"/>
      <c r="DB659" s="717"/>
      <c r="DC659" s="717"/>
      <c r="DD659" s="717"/>
      <c r="DE659" s="717"/>
      <c r="DF659" s="717"/>
      <c r="DG659" s="717"/>
      <c r="DH659" s="717"/>
      <c r="DI659" s="717"/>
      <c r="DJ659" s="717"/>
      <c r="DM659" s="711"/>
      <c r="DN659" s="711"/>
      <c r="DO659" s="711"/>
      <c r="DP659" s="711"/>
      <c r="DQ659" s="711"/>
      <c r="EB659" s="719"/>
    </row>
    <row r="660" spans="5:132" s="709" customFormat="1" ht="18" hidden="1">
      <c r="E660" s="721"/>
      <c r="H660" s="723">
        <v>135</v>
      </c>
      <c r="I660" s="725"/>
      <c r="J660" s="724"/>
      <c r="K660" s="724"/>
      <c r="L660" s="724"/>
      <c r="M660" s="728"/>
      <c r="N660" s="724"/>
      <c r="O660" s="724"/>
      <c r="P660" s="724"/>
      <c r="Q660" s="724"/>
      <c r="R660" s="724"/>
      <c r="S660" s="724"/>
      <c r="T660" s="724"/>
      <c r="U660" s="724"/>
      <c r="V660" s="724"/>
      <c r="W660" s="724"/>
      <c r="X660" s="724"/>
      <c r="Y660" s="724"/>
      <c r="Z660" s="724"/>
      <c r="AA660" s="724"/>
      <c r="AB660" s="724"/>
      <c r="AC660" s="725"/>
      <c r="AD660" s="724"/>
      <c r="AE660" s="724"/>
      <c r="AF660" s="724"/>
      <c r="AG660" s="724"/>
      <c r="AH660" s="724"/>
      <c r="AI660" s="724"/>
      <c r="AJ660" s="724"/>
      <c r="AU660" s="713"/>
      <c r="AW660" s="712"/>
      <c r="BY660" s="714"/>
      <c r="BZ660" s="715"/>
      <c r="CA660" s="716"/>
      <c r="CB660" s="717"/>
      <c r="CC660" s="717"/>
      <c r="CD660" s="717"/>
      <c r="CE660" s="717"/>
      <c r="CF660" s="717"/>
      <c r="CG660" s="717"/>
      <c r="CH660" s="717"/>
      <c r="CI660" s="717"/>
      <c r="CJ660" s="717"/>
      <c r="CK660" s="717"/>
      <c r="CL660" s="717"/>
      <c r="CM660" s="717"/>
      <c r="CN660" s="717"/>
      <c r="CO660" s="717"/>
      <c r="CP660" s="717"/>
      <c r="CQ660" s="717"/>
      <c r="CR660" s="717"/>
      <c r="CS660" s="717"/>
      <c r="CT660" s="717"/>
      <c r="CU660" s="717"/>
      <c r="CV660" s="717"/>
      <c r="CW660" s="717"/>
      <c r="CX660" s="717"/>
      <c r="CY660" s="717"/>
      <c r="CZ660" s="717"/>
      <c r="DA660" s="717"/>
      <c r="DB660" s="717"/>
      <c r="DC660" s="717"/>
      <c r="DD660" s="717"/>
      <c r="DE660" s="717"/>
      <c r="DF660" s="717"/>
      <c r="DG660" s="717"/>
      <c r="DH660" s="717"/>
      <c r="DI660" s="717"/>
      <c r="DJ660" s="717"/>
      <c r="DM660" s="711"/>
      <c r="DN660" s="711"/>
      <c r="DO660" s="711"/>
      <c r="DP660" s="711"/>
      <c r="DQ660" s="711"/>
      <c r="EB660" s="719"/>
    </row>
    <row r="661" spans="5:132" s="709" customFormat="1" ht="18" hidden="1">
      <c r="E661" s="721"/>
      <c r="H661" s="723">
        <v>136</v>
      </c>
      <c r="I661" s="725"/>
      <c r="J661" s="724"/>
      <c r="K661" s="724"/>
      <c r="L661" s="724"/>
      <c r="M661" s="728"/>
      <c r="N661" s="724"/>
      <c r="O661" s="724"/>
      <c r="P661" s="724"/>
      <c r="Q661" s="724"/>
      <c r="R661" s="724"/>
      <c r="S661" s="724"/>
      <c r="T661" s="724"/>
      <c r="U661" s="724"/>
      <c r="V661" s="724"/>
      <c r="W661" s="724"/>
      <c r="X661" s="724"/>
      <c r="Y661" s="724"/>
      <c r="Z661" s="724"/>
      <c r="AA661" s="724"/>
      <c r="AB661" s="724"/>
      <c r="AC661" s="725"/>
      <c r="AD661" s="724"/>
      <c r="AE661" s="724"/>
      <c r="AF661" s="724"/>
      <c r="AG661" s="724"/>
      <c r="AH661" s="724"/>
      <c r="AI661" s="724"/>
      <c r="AJ661" s="724"/>
      <c r="AU661" s="713"/>
      <c r="AW661" s="712"/>
      <c r="BY661" s="714"/>
      <c r="BZ661" s="715"/>
      <c r="CA661" s="716"/>
      <c r="CB661" s="717"/>
      <c r="CC661" s="717"/>
      <c r="CD661" s="717"/>
      <c r="CE661" s="717"/>
      <c r="CF661" s="717"/>
      <c r="CG661" s="717"/>
      <c r="CH661" s="717"/>
      <c r="CI661" s="717"/>
      <c r="CJ661" s="717"/>
      <c r="CK661" s="717"/>
      <c r="CL661" s="717"/>
      <c r="CM661" s="717"/>
      <c r="CN661" s="717"/>
      <c r="CO661" s="717"/>
      <c r="CP661" s="717"/>
      <c r="CQ661" s="717"/>
      <c r="CR661" s="717"/>
      <c r="CS661" s="717"/>
      <c r="CT661" s="717"/>
      <c r="CU661" s="717"/>
      <c r="CV661" s="717"/>
      <c r="CW661" s="717"/>
      <c r="CX661" s="717"/>
      <c r="CY661" s="717"/>
      <c r="CZ661" s="717"/>
      <c r="DA661" s="717"/>
      <c r="DB661" s="717"/>
      <c r="DC661" s="717"/>
      <c r="DD661" s="717"/>
      <c r="DE661" s="717"/>
      <c r="DF661" s="717"/>
      <c r="DG661" s="717"/>
      <c r="DH661" s="717"/>
      <c r="DI661" s="717"/>
      <c r="DJ661" s="717"/>
      <c r="DM661" s="711"/>
      <c r="DN661" s="711"/>
      <c r="DO661" s="711"/>
      <c r="DP661" s="711"/>
      <c r="DQ661" s="711"/>
      <c r="EB661" s="719"/>
    </row>
    <row r="662" spans="5:132" s="709" customFormat="1" ht="18" hidden="1">
      <c r="E662" s="721"/>
      <c r="H662" s="723">
        <v>137</v>
      </c>
      <c r="I662" s="725"/>
      <c r="J662" s="724"/>
      <c r="K662" s="724"/>
      <c r="L662" s="724"/>
      <c r="M662" s="728"/>
      <c r="N662" s="724"/>
      <c r="O662" s="724"/>
      <c r="P662" s="724"/>
      <c r="Q662" s="724"/>
      <c r="R662" s="724"/>
      <c r="S662" s="724"/>
      <c r="T662" s="724"/>
      <c r="U662" s="724"/>
      <c r="V662" s="724"/>
      <c r="W662" s="724"/>
      <c r="X662" s="724"/>
      <c r="Y662" s="724"/>
      <c r="Z662" s="724"/>
      <c r="AA662" s="724"/>
      <c r="AB662" s="724"/>
      <c r="AC662" s="725"/>
      <c r="AD662" s="724"/>
      <c r="AE662" s="724"/>
      <c r="AF662" s="724"/>
      <c r="AG662" s="724"/>
      <c r="AH662" s="724"/>
      <c r="AI662" s="724"/>
      <c r="AJ662" s="724"/>
      <c r="AU662" s="713"/>
      <c r="AW662" s="712"/>
      <c r="BY662" s="714"/>
      <c r="BZ662" s="715"/>
      <c r="CA662" s="716"/>
      <c r="CB662" s="717"/>
      <c r="CC662" s="717"/>
      <c r="CD662" s="717"/>
      <c r="CE662" s="717"/>
      <c r="CF662" s="717"/>
      <c r="CG662" s="717"/>
      <c r="CH662" s="717"/>
      <c r="CI662" s="717"/>
      <c r="CJ662" s="717"/>
      <c r="CK662" s="717"/>
      <c r="CL662" s="717"/>
      <c r="CM662" s="717"/>
      <c r="CN662" s="717"/>
      <c r="CO662" s="717"/>
      <c r="CP662" s="717"/>
      <c r="CQ662" s="717"/>
      <c r="CR662" s="717"/>
      <c r="CS662" s="717"/>
      <c r="CT662" s="717"/>
      <c r="CU662" s="717"/>
      <c r="CV662" s="717"/>
      <c r="CW662" s="717"/>
      <c r="CX662" s="717"/>
      <c r="CY662" s="717"/>
      <c r="CZ662" s="717"/>
      <c r="DA662" s="717"/>
      <c r="DB662" s="717"/>
      <c r="DC662" s="717"/>
      <c r="DD662" s="717"/>
      <c r="DE662" s="717"/>
      <c r="DF662" s="717"/>
      <c r="DG662" s="717"/>
      <c r="DH662" s="717"/>
      <c r="DI662" s="717"/>
      <c r="DJ662" s="717"/>
      <c r="DM662" s="711"/>
      <c r="DN662" s="711"/>
      <c r="DO662" s="711"/>
      <c r="DP662" s="711"/>
      <c r="DQ662" s="711"/>
      <c r="EB662" s="719"/>
    </row>
    <row r="663" spans="5:132" s="709" customFormat="1" ht="18" hidden="1">
      <c r="E663" s="721"/>
      <c r="H663" s="723">
        <v>138</v>
      </c>
      <c r="I663" s="725"/>
      <c r="J663" s="724"/>
      <c r="K663" s="724"/>
      <c r="L663" s="724"/>
      <c r="M663" s="728"/>
      <c r="N663" s="724"/>
      <c r="O663" s="724"/>
      <c r="P663" s="724"/>
      <c r="Q663" s="724"/>
      <c r="R663" s="724"/>
      <c r="S663" s="724"/>
      <c r="T663" s="724"/>
      <c r="U663" s="724"/>
      <c r="V663" s="724"/>
      <c r="W663" s="724"/>
      <c r="X663" s="724"/>
      <c r="Y663" s="724"/>
      <c r="Z663" s="724"/>
      <c r="AA663" s="724"/>
      <c r="AB663" s="724"/>
      <c r="AC663" s="725"/>
      <c r="AD663" s="724"/>
      <c r="AE663" s="724"/>
      <c r="AF663" s="724"/>
      <c r="AG663" s="724"/>
      <c r="AH663" s="724"/>
      <c r="AI663" s="724"/>
      <c r="AJ663" s="724"/>
      <c r="AU663" s="713"/>
      <c r="AW663" s="712"/>
      <c r="BY663" s="714"/>
      <c r="BZ663" s="715"/>
      <c r="CA663" s="716"/>
      <c r="CB663" s="717"/>
      <c r="CC663" s="717"/>
      <c r="CD663" s="717"/>
      <c r="CE663" s="717"/>
      <c r="CF663" s="717"/>
      <c r="CG663" s="717"/>
      <c r="CH663" s="717"/>
      <c r="CI663" s="717"/>
      <c r="CJ663" s="717"/>
      <c r="CK663" s="717"/>
      <c r="CL663" s="717"/>
      <c r="CM663" s="717"/>
      <c r="CN663" s="717"/>
      <c r="CO663" s="717"/>
      <c r="CP663" s="717"/>
      <c r="CQ663" s="717"/>
      <c r="CR663" s="717"/>
      <c r="CS663" s="717"/>
      <c r="CT663" s="717"/>
      <c r="CU663" s="717"/>
      <c r="CV663" s="717"/>
      <c r="CW663" s="717"/>
      <c r="CX663" s="717"/>
      <c r="CY663" s="717"/>
      <c r="CZ663" s="717"/>
      <c r="DA663" s="717"/>
      <c r="DB663" s="717"/>
      <c r="DC663" s="717"/>
      <c r="DD663" s="717"/>
      <c r="DE663" s="717"/>
      <c r="DF663" s="717"/>
      <c r="DG663" s="717"/>
      <c r="DH663" s="717"/>
      <c r="DI663" s="717"/>
      <c r="DJ663" s="717"/>
      <c r="DM663" s="711"/>
      <c r="DN663" s="711"/>
      <c r="DO663" s="711"/>
      <c r="DP663" s="711"/>
      <c r="DQ663" s="711"/>
      <c r="EB663" s="719"/>
    </row>
    <row r="664" spans="5:132" s="709" customFormat="1" ht="18" hidden="1">
      <c r="E664" s="721"/>
      <c r="H664" s="723">
        <v>139</v>
      </c>
      <c r="I664" s="725"/>
      <c r="J664" s="724"/>
      <c r="K664" s="724"/>
      <c r="L664" s="724"/>
      <c r="M664" s="728"/>
      <c r="N664" s="724"/>
      <c r="O664" s="724"/>
      <c r="P664" s="724"/>
      <c r="Q664" s="724"/>
      <c r="R664" s="724"/>
      <c r="S664" s="724"/>
      <c r="T664" s="724"/>
      <c r="U664" s="724"/>
      <c r="V664" s="724"/>
      <c r="W664" s="724"/>
      <c r="X664" s="724"/>
      <c r="Y664" s="724"/>
      <c r="Z664" s="724"/>
      <c r="AA664" s="724"/>
      <c r="AB664" s="724"/>
      <c r="AC664" s="725"/>
      <c r="AD664" s="724"/>
      <c r="AE664" s="724"/>
      <c r="AF664" s="724"/>
      <c r="AG664" s="724"/>
      <c r="AH664" s="724"/>
      <c r="AI664" s="724"/>
      <c r="AJ664" s="724"/>
      <c r="AU664" s="713"/>
      <c r="AW664" s="712"/>
      <c r="BY664" s="714"/>
      <c r="BZ664" s="715"/>
      <c r="CA664" s="716"/>
      <c r="CB664" s="717"/>
      <c r="CC664" s="717"/>
      <c r="CD664" s="717"/>
      <c r="CE664" s="717"/>
      <c r="CF664" s="717"/>
      <c r="CG664" s="717"/>
      <c r="CH664" s="717"/>
      <c r="CI664" s="717"/>
      <c r="CJ664" s="717"/>
      <c r="CK664" s="717"/>
      <c r="CL664" s="717"/>
      <c r="CM664" s="717"/>
      <c r="CN664" s="717"/>
      <c r="CO664" s="717"/>
      <c r="CP664" s="717"/>
      <c r="CQ664" s="717"/>
      <c r="CR664" s="717"/>
      <c r="CS664" s="717"/>
      <c r="CT664" s="717"/>
      <c r="CU664" s="717"/>
      <c r="CV664" s="717"/>
      <c r="CW664" s="717"/>
      <c r="CX664" s="717"/>
      <c r="CY664" s="717"/>
      <c r="CZ664" s="717"/>
      <c r="DA664" s="717"/>
      <c r="DB664" s="717"/>
      <c r="DC664" s="717"/>
      <c r="DD664" s="717"/>
      <c r="DE664" s="717"/>
      <c r="DF664" s="717"/>
      <c r="DG664" s="717"/>
      <c r="DH664" s="717"/>
      <c r="DI664" s="717"/>
      <c r="DJ664" s="717"/>
      <c r="DM664" s="711"/>
      <c r="DN664" s="711"/>
      <c r="DO664" s="711"/>
      <c r="DP664" s="711"/>
      <c r="DQ664" s="711"/>
      <c r="EB664" s="719"/>
    </row>
    <row r="665" spans="5:132" s="709" customFormat="1" ht="18" hidden="1">
      <c r="E665" s="721"/>
      <c r="H665" s="723">
        <v>140</v>
      </c>
      <c r="I665" s="725"/>
      <c r="J665" s="724"/>
      <c r="K665" s="724"/>
      <c r="L665" s="724"/>
      <c r="M665" s="728"/>
      <c r="N665" s="724"/>
      <c r="O665" s="724"/>
      <c r="P665" s="724"/>
      <c r="Q665" s="724"/>
      <c r="R665" s="724"/>
      <c r="S665" s="724"/>
      <c r="T665" s="724"/>
      <c r="U665" s="724"/>
      <c r="V665" s="724"/>
      <c r="W665" s="724"/>
      <c r="X665" s="724"/>
      <c r="Y665" s="724"/>
      <c r="Z665" s="724"/>
      <c r="AA665" s="724"/>
      <c r="AB665" s="724"/>
      <c r="AC665" s="725"/>
      <c r="AD665" s="724"/>
      <c r="AE665" s="724"/>
      <c r="AF665" s="724"/>
      <c r="AG665" s="724"/>
      <c r="AH665" s="724"/>
      <c r="AI665" s="724"/>
      <c r="AJ665" s="724"/>
      <c r="AU665" s="713"/>
      <c r="AW665" s="712"/>
      <c r="BY665" s="714"/>
      <c r="BZ665" s="715"/>
      <c r="CA665" s="716"/>
      <c r="CB665" s="717"/>
      <c r="CC665" s="717"/>
      <c r="CD665" s="717"/>
      <c r="CE665" s="717"/>
      <c r="CF665" s="717"/>
      <c r="CG665" s="717"/>
      <c r="CH665" s="717"/>
      <c r="CI665" s="717"/>
      <c r="CJ665" s="717"/>
      <c r="CK665" s="717"/>
      <c r="CL665" s="717"/>
      <c r="CM665" s="717"/>
      <c r="CN665" s="717"/>
      <c r="CO665" s="717"/>
      <c r="CP665" s="717"/>
      <c r="CQ665" s="717"/>
      <c r="CR665" s="717"/>
      <c r="CS665" s="717"/>
      <c r="CT665" s="717"/>
      <c r="CU665" s="717"/>
      <c r="CV665" s="717"/>
      <c r="CW665" s="717"/>
      <c r="CX665" s="717"/>
      <c r="CY665" s="717"/>
      <c r="CZ665" s="717"/>
      <c r="DA665" s="717"/>
      <c r="DB665" s="717"/>
      <c r="DC665" s="717"/>
      <c r="DD665" s="717"/>
      <c r="DE665" s="717"/>
      <c r="DF665" s="717"/>
      <c r="DG665" s="717"/>
      <c r="DH665" s="717"/>
      <c r="DI665" s="717"/>
      <c r="DJ665" s="717"/>
      <c r="DM665" s="711"/>
      <c r="DN665" s="711"/>
      <c r="DO665" s="711"/>
      <c r="DP665" s="711"/>
      <c r="DQ665" s="711"/>
      <c r="EB665" s="719"/>
    </row>
    <row r="666" spans="5:132" s="709" customFormat="1" ht="18" hidden="1">
      <c r="E666" s="721"/>
      <c r="H666" s="723">
        <v>141</v>
      </c>
      <c r="I666" s="725"/>
      <c r="J666" s="724"/>
      <c r="K666" s="724"/>
      <c r="L666" s="724"/>
      <c r="M666" s="728"/>
      <c r="N666" s="724"/>
      <c r="O666" s="724"/>
      <c r="P666" s="724"/>
      <c r="Q666" s="724"/>
      <c r="R666" s="724"/>
      <c r="S666" s="724"/>
      <c r="T666" s="724"/>
      <c r="U666" s="724"/>
      <c r="V666" s="724"/>
      <c r="W666" s="724"/>
      <c r="X666" s="724"/>
      <c r="Y666" s="724"/>
      <c r="Z666" s="724"/>
      <c r="AA666" s="724"/>
      <c r="AB666" s="724"/>
      <c r="AC666" s="725"/>
      <c r="AD666" s="724"/>
      <c r="AE666" s="724"/>
      <c r="AF666" s="724"/>
      <c r="AG666" s="724"/>
      <c r="AH666" s="724"/>
      <c r="AI666" s="724"/>
      <c r="AJ666" s="724"/>
      <c r="AU666" s="713"/>
      <c r="AW666" s="712"/>
      <c r="BY666" s="714"/>
      <c r="BZ666" s="715"/>
      <c r="CA666" s="716"/>
      <c r="CB666" s="717"/>
      <c r="CC666" s="717"/>
      <c r="CD666" s="717"/>
      <c r="CE666" s="717"/>
      <c r="CF666" s="717"/>
      <c r="CG666" s="717"/>
      <c r="CH666" s="717"/>
      <c r="CI666" s="717"/>
      <c r="CJ666" s="717"/>
      <c r="CK666" s="717"/>
      <c r="CL666" s="717"/>
      <c r="CM666" s="717"/>
      <c r="CN666" s="717"/>
      <c r="CO666" s="717"/>
      <c r="CP666" s="717"/>
      <c r="CQ666" s="717"/>
      <c r="CR666" s="717"/>
      <c r="CS666" s="717"/>
      <c r="CT666" s="717"/>
      <c r="CU666" s="717"/>
      <c r="CV666" s="717"/>
      <c r="CW666" s="717"/>
      <c r="CX666" s="717"/>
      <c r="CY666" s="717"/>
      <c r="CZ666" s="717"/>
      <c r="DA666" s="717"/>
      <c r="DB666" s="717"/>
      <c r="DC666" s="717"/>
      <c r="DD666" s="717"/>
      <c r="DE666" s="717"/>
      <c r="DF666" s="717"/>
      <c r="DG666" s="717"/>
      <c r="DH666" s="717"/>
      <c r="DI666" s="717"/>
      <c r="DJ666" s="717"/>
      <c r="DM666" s="711"/>
      <c r="DN666" s="711"/>
      <c r="DO666" s="711"/>
      <c r="DP666" s="711"/>
      <c r="DQ666" s="711"/>
      <c r="EB666" s="719"/>
    </row>
    <row r="667" spans="5:132" s="709" customFormat="1" ht="18" hidden="1">
      <c r="E667" s="721"/>
      <c r="H667" s="723">
        <v>142</v>
      </c>
      <c r="I667" s="725"/>
      <c r="J667" s="724"/>
      <c r="K667" s="724"/>
      <c r="L667" s="724"/>
      <c r="M667" s="728"/>
      <c r="N667" s="724"/>
      <c r="O667" s="724"/>
      <c r="P667" s="724"/>
      <c r="Q667" s="724"/>
      <c r="R667" s="724"/>
      <c r="S667" s="724"/>
      <c r="T667" s="724"/>
      <c r="U667" s="724"/>
      <c r="V667" s="724"/>
      <c r="W667" s="724"/>
      <c r="X667" s="724"/>
      <c r="Y667" s="724"/>
      <c r="Z667" s="724"/>
      <c r="AA667" s="724"/>
      <c r="AB667" s="724"/>
      <c r="AC667" s="725"/>
      <c r="AD667" s="724"/>
      <c r="AE667" s="724"/>
      <c r="AF667" s="724"/>
      <c r="AG667" s="724"/>
      <c r="AH667" s="724"/>
      <c r="AI667" s="724"/>
      <c r="AJ667" s="724"/>
      <c r="AU667" s="713"/>
      <c r="AW667" s="712"/>
      <c r="BY667" s="714"/>
      <c r="BZ667" s="715"/>
      <c r="CA667" s="716"/>
      <c r="CB667" s="717"/>
      <c r="CC667" s="717"/>
      <c r="CD667" s="717"/>
      <c r="CE667" s="717"/>
      <c r="CF667" s="717"/>
      <c r="CG667" s="717"/>
      <c r="CH667" s="717"/>
      <c r="CI667" s="717"/>
      <c r="CJ667" s="717"/>
      <c r="CK667" s="717"/>
      <c r="CL667" s="717"/>
      <c r="CM667" s="717"/>
      <c r="CN667" s="717"/>
      <c r="CO667" s="717"/>
      <c r="CP667" s="717"/>
      <c r="CQ667" s="717"/>
      <c r="CR667" s="717"/>
      <c r="CS667" s="717"/>
      <c r="CT667" s="717"/>
      <c r="CU667" s="717"/>
      <c r="CV667" s="717"/>
      <c r="CW667" s="717"/>
      <c r="CX667" s="717"/>
      <c r="CY667" s="717"/>
      <c r="CZ667" s="717"/>
      <c r="DA667" s="717"/>
      <c r="DB667" s="717"/>
      <c r="DC667" s="717"/>
      <c r="DD667" s="717"/>
      <c r="DE667" s="717"/>
      <c r="DF667" s="717"/>
      <c r="DG667" s="717"/>
      <c r="DH667" s="717"/>
      <c r="DI667" s="717"/>
      <c r="DJ667" s="717"/>
      <c r="DM667" s="711"/>
      <c r="DN667" s="711"/>
      <c r="DO667" s="711"/>
      <c r="DP667" s="711"/>
      <c r="DQ667" s="711"/>
      <c r="EB667" s="719"/>
    </row>
    <row r="668" spans="5:132" s="709" customFormat="1" ht="18" hidden="1">
      <c r="E668" s="721"/>
      <c r="H668" s="723">
        <v>143</v>
      </c>
      <c r="I668" s="725"/>
      <c r="J668" s="724"/>
      <c r="K668" s="724"/>
      <c r="L668" s="724"/>
      <c r="M668" s="728"/>
      <c r="N668" s="724"/>
      <c r="O668" s="724"/>
      <c r="P668" s="724"/>
      <c r="Q668" s="724"/>
      <c r="R668" s="724"/>
      <c r="S668" s="724"/>
      <c r="T668" s="724"/>
      <c r="U668" s="724"/>
      <c r="V668" s="724"/>
      <c r="W668" s="724"/>
      <c r="X668" s="724"/>
      <c r="Y668" s="724"/>
      <c r="Z668" s="724"/>
      <c r="AA668" s="724"/>
      <c r="AB668" s="724"/>
      <c r="AC668" s="725"/>
      <c r="AD668" s="724"/>
      <c r="AE668" s="724"/>
      <c r="AF668" s="724"/>
      <c r="AG668" s="724"/>
      <c r="AH668" s="724"/>
      <c r="AI668" s="724"/>
      <c r="AJ668" s="724"/>
      <c r="AU668" s="713"/>
      <c r="AW668" s="712"/>
      <c r="BY668" s="714"/>
      <c r="BZ668" s="715"/>
      <c r="CA668" s="716"/>
      <c r="CB668" s="717"/>
      <c r="CC668" s="717"/>
      <c r="CD668" s="717"/>
      <c r="CE668" s="717"/>
      <c r="CF668" s="717"/>
      <c r="CG668" s="717"/>
      <c r="CH668" s="717"/>
      <c r="CI668" s="717"/>
      <c r="CJ668" s="717"/>
      <c r="CK668" s="717"/>
      <c r="CL668" s="717"/>
      <c r="CM668" s="717"/>
      <c r="CN668" s="717"/>
      <c r="CO668" s="717"/>
      <c r="CP668" s="717"/>
      <c r="CQ668" s="717"/>
      <c r="CR668" s="717"/>
      <c r="CS668" s="717"/>
      <c r="CT668" s="717"/>
      <c r="CU668" s="717"/>
      <c r="CV668" s="717"/>
      <c r="CW668" s="717"/>
      <c r="CX668" s="717"/>
      <c r="CY668" s="717"/>
      <c r="CZ668" s="717"/>
      <c r="DA668" s="717"/>
      <c r="DB668" s="717"/>
      <c r="DC668" s="717"/>
      <c r="DD668" s="717"/>
      <c r="DE668" s="717"/>
      <c r="DF668" s="717"/>
      <c r="DG668" s="717"/>
      <c r="DH668" s="717"/>
      <c r="DI668" s="717"/>
      <c r="DJ668" s="717"/>
      <c r="DM668" s="711"/>
      <c r="DN668" s="711"/>
      <c r="DO668" s="711"/>
      <c r="DP668" s="711"/>
      <c r="DQ668" s="711"/>
      <c r="EB668" s="719"/>
    </row>
    <row r="669" spans="5:132" s="709" customFormat="1" ht="18" hidden="1">
      <c r="E669" s="721"/>
      <c r="H669" s="723">
        <v>144</v>
      </c>
      <c r="I669" s="725"/>
      <c r="J669" s="724"/>
      <c r="K669" s="724"/>
      <c r="L669" s="724"/>
      <c r="M669" s="728"/>
      <c r="N669" s="724"/>
      <c r="O669" s="724"/>
      <c r="P669" s="724"/>
      <c r="Q669" s="724"/>
      <c r="R669" s="724"/>
      <c r="S669" s="724"/>
      <c r="T669" s="724"/>
      <c r="U669" s="724"/>
      <c r="V669" s="724"/>
      <c r="W669" s="724"/>
      <c r="X669" s="724"/>
      <c r="Y669" s="724"/>
      <c r="Z669" s="724"/>
      <c r="AA669" s="724"/>
      <c r="AB669" s="724"/>
      <c r="AC669" s="725"/>
      <c r="AD669" s="724"/>
      <c r="AE669" s="724"/>
      <c r="AF669" s="724"/>
      <c r="AG669" s="724"/>
      <c r="AH669" s="724"/>
      <c r="AI669" s="724"/>
      <c r="AJ669" s="724"/>
      <c r="AU669" s="713"/>
      <c r="AW669" s="712"/>
      <c r="BY669" s="714"/>
      <c r="BZ669" s="715"/>
      <c r="CA669" s="716"/>
      <c r="CB669" s="717"/>
      <c r="CC669" s="717"/>
      <c r="CD669" s="717"/>
      <c r="CE669" s="717"/>
      <c r="CF669" s="717"/>
      <c r="CG669" s="717"/>
      <c r="CH669" s="717"/>
      <c r="CI669" s="717"/>
      <c r="CJ669" s="717"/>
      <c r="CK669" s="717"/>
      <c r="CL669" s="717"/>
      <c r="CM669" s="717"/>
      <c r="CN669" s="717"/>
      <c r="CO669" s="717"/>
      <c r="CP669" s="717"/>
      <c r="CQ669" s="717"/>
      <c r="CR669" s="717"/>
      <c r="CS669" s="717"/>
      <c r="CT669" s="717"/>
      <c r="CU669" s="717"/>
      <c r="CV669" s="717"/>
      <c r="CW669" s="717"/>
      <c r="CX669" s="717"/>
      <c r="CY669" s="717"/>
      <c r="CZ669" s="717"/>
      <c r="DA669" s="717"/>
      <c r="DB669" s="717"/>
      <c r="DC669" s="717"/>
      <c r="DD669" s="717"/>
      <c r="DE669" s="717"/>
      <c r="DF669" s="717"/>
      <c r="DG669" s="717"/>
      <c r="DH669" s="717"/>
      <c r="DI669" s="717"/>
      <c r="DJ669" s="717"/>
      <c r="DM669" s="711"/>
      <c r="DN669" s="711"/>
      <c r="DO669" s="711"/>
      <c r="DP669" s="711"/>
      <c r="DQ669" s="711"/>
      <c r="EB669" s="719"/>
    </row>
    <row r="670" spans="5:132" s="709" customFormat="1" ht="18" hidden="1">
      <c r="E670" s="721"/>
      <c r="H670" s="723">
        <v>145</v>
      </c>
      <c r="I670" s="725"/>
      <c r="J670" s="724"/>
      <c r="K670" s="724"/>
      <c r="L670" s="724"/>
      <c r="M670" s="728"/>
      <c r="N670" s="724"/>
      <c r="O670" s="724"/>
      <c r="P670" s="724"/>
      <c r="Q670" s="724"/>
      <c r="R670" s="724"/>
      <c r="S670" s="724"/>
      <c r="T670" s="724"/>
      <c r="U670" s="724"/>
      <c r="V670" s="724"/>
      <c r="W670" s="724"/>
      <c r="X670" s="724"/>
      <c r="Y670" s="724"/>
      <c r="Z670" s="724"/>
      <c r="AA670" s="724"/>
      <c r="AB670" s="724"/>
      <c r="AC670" s="725"/>
      <c r="AD670" s="724"/>
      <c r="AE670" s="724"/>
      <c r="AF670" s="724"/>
      <c r="AG670" s="724"/>
      <c r="AH670" s="724"/>
      <c r="AI670" s="724"/>
      <c r="AJ670" s="724"/>
      <c r="AU670" s="713"/>
      <c r="AW670" s="712"/>
      <c r="BY670" s="714"/>
      <c r="BZ670" s="715"/>
      <c r="CA670" s="716"/>
      <c r="CB670" s="717"/>
      <c r="CC670" s="717"/>
      <c r="CD670" s="717"/>
      <c r="CE670" s="717"/>
      <c r="CF670" s="717"/>
      <c r="CG670" s="717"/>
      <c r="CH670" s="717"/>
      <c r="CI670" s="717"/>
      <c r="CJ670" s="717"/>
      <c r="CK670" s="717"/>
      <c r="CL670" s="717"/>
      <c r="CM670" s="717"/>
      <c r="CN670" s="717"/>
      <c r="CO670" s="717"/>
      <c r="CP670" s="717"/>
      <c r="CQ670" s="717"/>
      <c r="CR670" s="717"/>
      <c r="CS670" s="717"/>
      <c r="CT670" s="717"/>
      <c r="CU670" s="717"/>
      <c r="CV670" s="717"/>
      <c r="CW670" s="717"/>
      <c r="CX670" s="717"/>
      <c r="CY670" s="717"/>
      <c r="CZ670" s="717"/>
      <c r="DA670" s="717"/>
      <c r="DB670" s="717"/>
      <c r="DC670" s="717"/>
      <c r="DD670" s="717"/>
      <c r="DE670" s="717"/>
      <c r="DF670" s="717"/>
      <c r="DG670" s="717"/>
      <c r="DH670" s="717"/>
      <c r="DI670" s="717"/>
      <c r="DJ670" s="717"/>
      <c r="DM670" s="711"/>
      <c r="DN670" s="711"/>
      <c r="DO670" s="711"/>
      <c r="DP670" s="711"/>
      <c r="DQ670" s="711"/>
      <c r="EB670" s="719"/>
    </row>
    <row r="671" spans="5:132" s="709" customFormat="1" ht="18" hidden="1">
      <c r="E671" s="721"/>
      <c r="H671" s="723">
        <v>146</v>
      </c>
      <c r="I671" s="725"/>
      <c r="J671" s="724"/>
      <c r="K671" s="724"/>
      <c r="L671" s="724"/>
      <c r="M671" s="728"/>
      <c r="N671" s="724"/>
      <c r="O671" s="724"/>
      <c r="P671" s="724"/>
      <c r="Q671" s="724"/>
      <c r="R671" s="724"/>
      <c r="S671" s="724"/>
      <c r="T671" s="724"/>
      <c r="U671" s="724"/>
      <c r="V671" s="724"/>
      <c r="W671" s="724"/>
      <c r="X671" s="724"/>
      <c r="Y671" s="724"/>
      <c r="Z671" s="724"/>
      <c r="AA671" s="724"/>
      <c r="AB671" s="724"/>
      <c r="AC671" s="725"/>
      <c r="AD671" s="724"/>
      <c r="AE671" s="724"/>
      <c r="AF671" s="724"/>
      <c r="AG671" s="724"/>
      <c r="AH671" s="724"/>
      <c r="AI671" s="724"/>
      <c r="AJ671" s="724"/>
      <c r="AU671" s="713"/>
      <c r="AW671" s="712"/>
      <c r="BY671" s="714"/>
      <c r="BZ671" s="715"/>
      <c r="CA671" s="716"/>
      <c r="CB671" s="717"/>
      <c r="CC671" s="717"/>
      <c r="CD671" s="717"/>
      <c r="CE671" s="717"/>
      <c r="CF671" s="717"/>
      <c r="CG671" s="717"/>
      <c r="CH671" s="717"/>
      <c r="CI671" s="717"/>
      <c r="CJ671" s="717"/>
      <c r="CK671" s="717"/>
      <c r="CL671" s="717"/>
      <c r="CM671" s="717"/>
      <c r="CN671" s="717"/>
      <c r="CO671" s="717"/>
      <c r="CP671" s="717"/>
      <c r="CQ671" s="717"/>
      <c r="CR671" s="717"/>
      <c r="CS671" s="717"/>
      <c r="CT671" s="717"/>
      <c r="CU671" s="717"/>
      <c r="CV671" s="717"/>
      <c r="CW671" s="717"/>
      <c r="CX671" s="717"/>
      <c r="CY671" s="717"/>
      <c r="CZ671" s="717"/>
      <c r="DA671" s="717"/>
      <c r="DB671" s="717"/>
      <c r="DC671" s="717"/>
      <c r="DD671" s="717"/>
      <c r="DE671" s="717"/>
      <c r="DF671" s="717"/>
      <c r="DG671" s="717"/>
      <c r="DH671" s="717"/>
      <c r="DI671" s="717"/>
      <c r="DJ671" s="717"/>
      <c r="DM671" s="711"/>
      <c r="DN671" s="711"/>
      <c r="DO671" s="711"/>
      <c r="DP671" s="711"/>
      <c r="DQ671" s="711"/>
      <c r="EB671" s="719"/>
    </row>
    <row r="672" spans="5:132" s="709" customFormat="1" ht="18" hidden="1">
      <c r="E672" s="721"/>
      <c r="H672" s="723">
        <v>147</v>
      </c>
      <c r="I672" s="725"/>
      <c r="J672" s="724"/>
      <c r="K672" s="724"/>
      <c r="L672" s="724"/>
      <c r="M672" s="728"/>
      <c r="N672" s="724"/>
      <c r="O672" s="724"/>
      <c r="P672" s="724"/>
      <c r="Q672" s="724"/>
      <c r="R672" s="724"/>
      <c r="S672" s="724"/>
      <c r="T672" s="724"/>
      <c r="U672" s="724"/>
      <c r="V672" s="724"/>
      <c r="W672" s="724"/>
      <c r="X672" s="724"/>
      <c r="Y672" s="724"/>
      <c r="Z672" s="724"/>
      <c r="AA672" s="724"/>
      <c r="AB672" s="724"/>
      <c r="AC672" s="725"/>
      <c r="AD672" s="724"/>
      <c r="AE672" s="724"/>
      <c r="AF672" s="724"/>
      <c r="AG672" s="724"/>
      <c r="AH672" s="724"/>
      <c r="AI672" s="724"/>
      <c r="AJ672" s="724"/>
      <c r="AU672" s="713"/>
      <c r="AW672" s="712"/>
      <c r="BY672" s="714"/>
      <c r="BZ672" s="715"/>
      <c r="CA672" s="716"/>
      <c r="CB672" s="717"/>
      <c r="CC672" s="717"/>
      <c r="CD672" s="717"/>
      <c r="CE672" s="717"/>
      <c r="CF672" s="717"/>
      <c r="CG672" s="717"/>
      <c r="CH672" s="717"/>
      <c r="CI672" s="717"/>
      <c r="CJ672" s="717"/>
      <c r="CK672" s="717"/>
      <c r="CL672" s="717"/>
      <c r="CM672" s="717"/>
      <c r="CN672" s="717"/>
      <c r="CO672" s="717"/>
      <c r="CP672" s="717"/>
      <c r="CQ672" s="717"/>
      <c r="CR672" s="717"/>
      <c r="CS672" s="717"/>
      <c r="CT672" s="717"/>
      <c r="CU672" s="717"/>
      <c r="CV672" s="717"/>
      <c r="CW672" s="717"/>
      <c r="CX672" s="717"/>
      <c r="CY672" s="717"/>
      <c r="CZ672" s="717"/>
      <c r="DA672" s="717"/>
      <c r="DB672" s="717"/>
      <c r="DC672" s="717"/>
      <c r="DD672" s="717"/>
      <c r="DE672" s="717"/>
      <c r="DF672" s="717"/>
      <c r="DG672" s="717"/>
      <c r="DH672" s="717"/>
      <c r="DI672" s="717"/>
      <c r="DJ672" s="717"/>
      <c r="DM672" s="711"/>
      <c r="DN672" s="711"/>
      <c r="DO672" s="711"/>
      <c r="DP672" s="711"/>
      <c r="DQ672" s="711"/>
      <c r="EB672" s="719"/>
    </row>
    <row r="673" spans="5:132" s="709" customFormat="1" ht="18" hidden="1">
      <c r="E673" s="721"/>
      <c r="H673" s="723">
        <v>148</v>
      </c>
      <c r="I673" s="725"/>
      <c r="J673" s="724"/>
      <c r="K673" s="724"/>
      <c r="L673" s="724"/>
      <c r="M673" s="728"/>
      <c r="N673" s="724"/>
      <c r="O673" s="724"/>
      <c r="P673" s="724"/>
      <c r="Q673" s="724"/>
      <c r="R673" s="724"/>
      <c r="S673" s="724"/>
      <c r="T673" s="724"/>
      <c r="U673" s="724"/>
      <c r="V673" s="724"/>
      <c r="W673" s="724"/>
      <c r="X673" s="724"/>
      <c r="Y673" s="724"/>
      <c r="Z673" s="724"/>
      <c r="AA673" s="724"/>
      <c r="AB673" s="724"/>
      <c r="AC673" s="729"/>
      <c r="AD673" s="724"/>
      <c r="AE673" s="724"/>
      <c r="AF673" s="724"/>
      <c r="AG673" s="724"/>
      <c r="AH673" s="724"/>
      <c r="AI673" s="724"/>
      <c r="AJ673" s="724"/>
      <c r="AU673" s="713"/>
      <c r="AW673" s="712"/>
      <c r="BY673" s="714"/>
      <c r="BZ673" s="715"/>
      <c r="CA673" s="716"/>
      <c r="CB673" s="717"/>
      <c r="CC673" s="717"/>
      <c r="CD673" s="717"/>
      <c r="CE673" s="717"/>
      <c r="CF673" s="717"/>
      <c r="CG673" s="717"/>
      <c r="CH673" s="717"/>
      <c r="CI673" s="717"/>
      <c r="CJ673" s="717"/>
      <c r="CK673" s="717"/>
      <c r="CL673" s="717"/>
      <c r="CM673" s="717"/>
      <c r="CN673" s="717"/>
      <c r="CO673" s="717"/>
      <c r="CP673" s="717"/>
      <c r="CQ673" s="717"/>
      <c r="CR673" s="717"/>
      <c r="CS673" s="717"/>
      <c r="CT673" s="717"/>
      <c r="CU673" s="717"/>
      <c r="CV673" s="717"/>
      <c r="CW673" s="717"/>
      <c r="CX673" s="717"/>
      <c r="CY673" s="717"/>
      <c r="CZ673" s="717"/>
      <c r="DA673" s="717"/>
      <c r="DB673" s="717"/>
      <c r="DC673" s="717"/>
      <c r="DD673" s="717"/>
      <c r="DE673" s="717"/>
      <c r="DF673" s="717"/>
      <c r="DG673" s="717"/>
      <c r="DH673" s="717"/>
      <c r="DI673" s="717"/>
      <c r="DJ673" s="717"/>
      <c r="DM673" s="711"/>
      <c r="DN673" s="711"/>
      <c r="DO673" s="711"/>
      <c r="DP673" s="711"/>
      <c r="DQ673" s="711"/>
      <c r="EB673" s="719"/>
    </row>
    <row r="674" spans="5:132" s="709" customFormat="1" ht="18" hidden="1">
      <c r="E674" s="721"/>
      <c r="H674" s="723">
        <v>149</v>
      </c>
      <c r="I674" s="725"/>
      <c r="J674" s="724"/>
      <c r="K674" s="724"/>
      <c r="L674" s="724"/>
      <c r="M674" s="728"/>
      <c r="N674" s="724"/>
      <c r="O674" s="724"/>
      <c r="P674" s="724"/>
      <c r="Q674" s="724"/>
      <c r="R674" s="724"/>
      <c r="S674" s="724"/>
      <c r="T674" s="724"/>
      <c r="U674" s="724"/>
      <c r="V674" s="724"/>
      <c r="W674" s="724"/>
      <c r="X674" s="724"/>
      <c r="Y674" s="724"/>
      <c r="Z674" s="724"/>
      <c r="AA674" s="724"/>
      <c r="AB674" s="724"/>
      <c r="AC674" s="729"/>
      <c r="AD674" s="724"/>
      <c r="AE674" s="724"/>
      <c r="AF674" s="724"/>
      <c r="AG674" s="724"/>
      <c r="AH674" s="724"/>
      <c r="AI674" s="724"/>
      <c r="AJ674" s="724"/>
      <c r="AU674" s="713"/>
      <c r="AW674" s="712"/>
      <c r="BY674" s="714"/>
      <c r="BZ674" s="715"/>
      <c r="CA674" s="716"/>
      <c r="CB674" s="717"/>
      <c r="CC674" s="717"/>
      <c r="CD674" s="717"/>
      <c r="CE674" s="717"/>
      <c r="CF674" s="717"/>
      <c r="CG674" s="717"/>
      <c r="CH674" s="717"/>
      <c r="CI674" s="717"/>
      <c r="CJ674" s="717"/>
      <c r="CK674" s="717"/>
      <c r="CL674" s="717"/>
      <c r="CM674" s="717"/>
      <c r="CN674" s="717"/>
      <c r="CO674" s="717"/>
      <c r="CP674" s="717"/>
      <c r="CQ674" s="717"/>
      <c r="CR674" s="717"/>
      <c r="CS674" s="717"/>
      <c r="CT674" s="717"/>
      <c r="CU674" s="717"/>
      <c r="CV674" s="717"/>
      <c r="CW674" s="717"/>
      <c r="CX674" s="717"/>
      <c r="CY674" s="717"/>
      <c r="CZ674" s="717"/>
      <c r="DA674" s="717"/>
      <c r="DB674" s="717"/>
      <c r="DC674" s="717"/>
      <c r="DD674" s="717"/>
      <c r="DE674" s="717"/>
      <c r="DF674" s="717"/>
      <c r="DG674" s="717"/>
      <c r="DH674" s="717"/>
      <c r="DI674" s="717"/>
      <c r="DJ674" s="717"/>
      <c r="DM674" s="711"/>
      <c r="DN674" s="711"/>
      <c r="DO674" s="711"/>
      <c r="DP674" s="711"/>
      <c r="DQ674" s="711"/>
      <c r="EB674" s="719"/>
    </row>
    <row r="675" spans="5:132" s="709" customFormat="1" ht="18" hidden="1">
      <c r="E675" s="721"/>
      <c r="H675" s="723">
        <v>150</v>
      </c>
      <c r="I675" s="725"/>
      <c r="J675" s="724"/>
      <c r="K675" s="724"/>
      <c r="L675" s="724"/>
      <c r="M675" s="728"/>
      <c r="N675" s="724"/>
      <c r="O675" s="724"/>
      <c r="P675" s="724"/>
      <c r="Q675" s="724"/>
      <c r="R675" s="724"/>
      <c r="S675" s="724"/>
      <c r="T675" s="724"/>
      <c r="U675" s="724"/>
      <c r="V675" s="724"/>
      <c r="W675" s="724"/>
      <c r="X675" s="724"/>
      <c r="Y675" s="724"/>
      <c r="Z675" s="724"/>
      <c r="AA675" s="724"/>
      <c r="AB675" s="724"/>
      <c r="AC675" s="729"/>
      <c r="AD675" s="724"/>
      <c r="AE675" s="724"/>
      <c r="AF675" s="724"/>
      <c r="AG675" s="724"/>
      <c r="AH675" s="724"/>
      <c r="AI675" s="724"/>
      <c r="AJ675" s="724"/>
      <c r="AU675" s="713"/>
      <c r="AW675" s="712"/>
      <c r="BY675" s="714"/>
      <c r="BZ675" s="715"/>
      <c r="CA675" s="716"/>
      <c r="CB675" s="717"/>
      <c r="CC675" s="717"/>
      <c r="CD675" s="717"/>
      <c r="CE675" s="717"/>
      <c r="CF675" s="717"/>
      <c r="CG675" s="717"/>
      <c r="CH675" s="717"/>
      <c r="CI675" s="717"/>
      <c r="CJ675" s="717"/>
      <c r="CK675" s="717"/>
      <c r="CL675" s="717"/>
      <c r="CM675" s="717"/>
      <c r="CN675" s="717"/>
      <c r="CO675" s="717"/>
      <c r="CP675" s="717"/>
      <c r="CQ675" s="717"/>
      <c r="CR675" s="717"/>
      <c r="CS675" s="717"/>
      <c r="CT675" s="717"/>
      <c r="CU675" s="717"/>
      <c r="CV675" s="717"/>
      <c r="CW675" s="717"/>
      <c r="CX675" s="717"/>
      <c r="CY675" s="717"/>
      <c r="CZ675" s="717"/>
      <c r="DA675" s="717"/>
      <c r="DB675" s="717"/>
      <c r="DC675" s="717"/>
      <c r="DD675" s="717"/>
      <c r="DE675" s="717"/>
      <c r="DF675" s="717"/>
      <c r="DG675" s="717"/>
      <c r="DH675" s="717"/>
      <c r="DI675" s="717"/>
      <c r="DJ675" s="717"/>
      <c r="DM675" s="711"/>
      <c r="DN675" s="711"/>
      <c r="DO675" s="711"/>
      <c r="DP675" s="711"/>
      <c r="DQ675" s="711"/>
      <c r="EB675" s="719"/>
    </row>
    <row r="676" spans="5:132" s="709" customFormat="1" ht="18" hidden="1">
      <c r="E676" s="721"/>
      <c r="H676" s="723">
        <v>151</v>
      </c>
      <c r="I676" s="725"/>
      <c r="J676" s="724"/>
      <c r="K676" s="724"/>
      <c r="L676" s="724"/>
      <c r="M676" s="728"/>
      <c r="N676" s="724"/>
      <c r="O676" s="724"/>
      <c r="P676" s="724"/>
      <c r="Q676" s="724"/>
      <c r="R676" s="724"/>
      <c r="S676" s="724"/>
      <c r="T676" s="724"/>
      <c r="U676" s="724"/>
      <c r="V676" s="724"/>
      <c r="W676" s="724"/>
      <c r="X676" s="724"/>
      <c r="Y676" s="724"/>
      <c r="Z676" s="724"/>
      <c r="AA676" s="724"/>
      <c r="AB676" s="724"/>
      <c r="AC676" s="729"/>
      <c r="AD676" s="724"/>
      <c r="AE676" s="724"/>
      <c r="AF676" s="724"/>
      <c r="AG676" s="724"/>
      <c r="AH676" s="724"/>
      <c r="AI676" s="724"/>
      <c r="AJ676" s="724"/>
      <c r="AU676" s="713"/>
      <c r="AW676" s="712"/>
      <c r="BY676" s="714"/>
      <c r="BZ676" s="715"/>
      <c r="CA676" s="716"/>
      <c r="CB676" s="717"/>
      <c r="CC676" s="717"/>
      <c r="CD676" s="717"/>
      <c r="CE676" s="717"/>
      <c r="CF676" s="717"/>
      <c r="CG676" s="717"/>
      <c r="CH676" s="717"/>
      <c r="CI676" s="717"/>
      <c r="CJ676" s="717"/>
      <c r="CK676" s="717"/>
      <c r="CL676" s="717"/>
      <c r="CM676" s="717"/>
      <c r="CN676" s="717"/>
      <c r="CO676" s="717"/>
      <c r="CP676" s="717"/>
      <c r="CQ676" s="717"/>
      <c r="CR676" s="717"/>
      <c r="CS676" s="717"/>
      <c r="CT676" s="717"/>
      <c r="CU676" s="717"/>
      <c r="CV676" s="717"/>
      <c r="CW676" s="717"/>
      <c r="CX676" s="717"/>
      <c r="CY676" s="717"/>
      <c r="CZ676" s="717"/>
      <c r="DA676" s="717"/>
      <c r="DB676" s="717"/>
      <c r="DC676" s="717"/>
      <c r="DD676" s="717"/>
      <c r="DE676" s="717"/>
      <c r="DF676" s="717"/>
      <c r="DG676" s="717"/>
      <c r="DH676" s="717"/>
      <c r="DI676" s="717"/>
      <c r="DJ676" s="717"/>
      <c r="DM676" s="711"/>
      <c r="DN676" s="711"/>
      <c r="DO676" s="711"/>
      <c r="DP676" s="711"/>
      <c r="DQ676" s="711"/>
      <c r="EB676" s="719"/>
    </row>
    <row r="677" spans="5:132" s="709" customFormat="1" ht="18" hidden="1">
      <c r="E677" s="721"/>
      <c r="H677" s="723">
        <v>152</v>
      </c>
      <c r="I677" s="725"/>
      <c r="J677" s="724"/>
      <c r="K677" s="724"/>
      <c r="L677" s="724"/>
      <c r="M677" s="728"/>
      <c r="N677" s="724"/>
      <c r="O677" s="724"/>
      <c r="P677" s="724"/>
      <c r="Q677" s="724"/>
      <c r="R677" s="724"/>
      <c r="S677" s="724"/>
      <c r="T677" s="724"/>
      <c r="U677" s="724"/>
      <c r="V677" s="724"/>
      <c r="W677" s="724"/>
      <c r="X677" s="724"/>
      <c r="Y677" s="724"/>
      <c r="Z677" s="724"/>
      <c r="AA677" s="724"/>
      <c r="AB677" s="724"/>
      <c r="AC677" s="729"/>
      <c r="AD677" s="724"/>
      <c r="AE677" s="724"/>
      <c r="AF677" s="724"/>
      <c r="AG677" s="724"/>
      <c r="AH677" s="724"/>
      <c r="AI677" s="724"/>
      <c r="AJ677" s="724"/>
      <c r="AU677" s="713"/>
      <c r="AW677" s="712"/>
      <c r="BY677" s="714"/>
      <c r="BZ677" s="715"/>
      <c r="CA677" s="716"/>
      <c r="CB677" s="717"/>
      <c r="CC677" s="717"/>
      <c r="CD677" s="717"/>
      <c r="CE677" s="717"/>
      <c r="CF677" s="717"/>
      <c r="CG677" s="717"/>
      <c r="CH677" s="717"/>
      <c r="CI677" s="717"/>
      <c r="CJ677" s="717"/>
      <c r="CK677" s="717"/>
      <c r="CL677" s="717"/>
      <c r="CM677" s="717"/>
      <c r="CN677" s="717"/>
      <c r="CO677" s="717"/>
      <c r="CP677" s="717"/>
      <c r="CQ677" s="717"/>
      <c r="CR677" s="717"/>
      <c r="CS677" s="717"/>
      <c r="CT677" s="717"/>
      <c r="CU677" s="717"/>
      <c r="CV677" s="717"/>
      <c r="CW677" s="717"/>
      <c r="CX677" s="717"/>
      <c r="CY677" s="717"/>
      <c r="CZ677" s="717"/>
      <c r="DA677" s="717"/>
      <c r="DB677" s="717"/>
      <c r="DC677" s="717"/>
      <c r="DD677" s="717"/>
      <c r="DE677" s="717"/>
      <c r="DF677" s="717"/>
      <c r="DG677" s="717"/>
      <c r="DH677" s="717"/>
      <c r="DI677" s="717"/>
      <c r="DJ677" s="717"/>
      <c r="DM677" s="711"/>
      <c r="DN677" s="711"/>
      <c r="DO677" s="711"/>
      <c r="DP677" s="711"/>
      <c r="DQ677" s="711"/>
      <c r="EB677" s="719"/>
    </row>
    <row r="678" spans="5:132" s="709" customFormat="1" ht="18" hidden="1">
      <c r="E678" s="721"/>
      <c r="H678" s="723">
        <v>153</v>
      </c>
      <c r="I678" s="725"/>
      <c r="J678" s="724"/>
      <c r="K678" s="724"/>
      <c r="L678" s="724"/>
      <c r="M678" s="728"/>
      <c r="N678" s="724"/>
      <c r="O678" s="724"/>
      <c r="P678" s="724"/>
      <c r="Q678" s="724"/>
      <c r="R678" s="724"/>
      <c r="S678" s="724"/>
      <c r="T678" s="724"/>
      <c r="U678" s="724"/>
      <c r="V678" s="724"/>
      <c r="W678" s="724"/>
      <c r="X678" s="724"/>
      <c r="Y678" s="724"/>
      <c r="Z678" s="724"/>
      <c r="AA678" s="724"/>
      <c r="AB678" s="724"/>
      <c r="AC678" s="729"/>
      <c r="AD678" s="724"/>
      <c r="AE678" s="724"/>
      <c r="AF678" s="724"/>
      <c r="AG678" s="724"/>
      <c r="AH678" s="724"/>
      <c r="AI678" s="724"/>
      <c r="AJ678" s="724"/>
      <c r="AU678" s="713"/>
      <c r="AW678" s="712"/>
      <c r="BY678" s="714"/>
      <c r="BZ678" s="715"/>
      <c r="CA678" s="716"/>
      <c r="CB678" s="717"/>
      <c r="CC678" s="717"/>
      <c r="CD678" s="717"/>
      <c r="CE678" s="717"/>
      <c r="CF678" s="717"/>
      <c r="CG678" s="717"/>
      <c r="CH678" s="717"/>
      <c r="CI678" s="717"/>
      <c r="CJ678" s="717"/>
      <c r="CK678" s="717"/>
      <c r="CL678" s="717"/>
      <c r="CM678" s="717"/>
      <c r="CN678" s="717"/>
      <c r="CO678" s="717"/>
      <c r="CP678" s="717"/>
      <c r="CQ678" s="717"/>
      <c r="CR678" s="717"/>
      <c r="CS678" s="717"/>
      <c r="CT678" s="717"/>
      <c r="CU678" s="717"/>
      <c r="CV678" s="717"/>
      <c r="CW678" s="717"/>
      <c r="CX678" s="717"/>
      <c r="CY678" s="717"/>
      <c r="CZ678" s="717"/>
      <c r="DA678" s="717"/>
      <c r="DB678" s="717"/>
      <c r="DC678" s="717"/>
      <c r="DD678" s="717"/>
      <c r="DE678" s="717"/>
      <c r="DF678" s="717"/>
      <c r="DG678" s="717"/>
      <c r="DH678" s="717"/>
      <c r="DI678" s="717"/>
      <c r="DJ678" s="717"/>
      <c r="DM678" s="711"/>
      <c r="DN678" s="711"/>
      <c r="DO678" s="711"/>
      <c r="DP678" s="711"/>
      <c r="DQ678" s="711"/>
      <c r="EB678" s="719"/>
    </row>
    <row r="679" spans="5:132" s="709" customFormat="1" ht="18" hidden="1">
      <c r="E679" s="721"/>
      <c r="H679" s="723">
        <v>154</v>
      </c>
      <c r="I679" s="725"/>
      <c r="J679" s="724"/>
      <c r="K679" s="724"/>
      <c r="L679" s="724"/>
      <c r="M679" s="728"/>
      <c r="N679" s="724"/>
      <c r="O679" s="724"/>
      <c r="P679" s="724"/>
      <c r="Q679" s="724"/>
      <c r="R679" s="724"/>
      <c r="S679" s="724"/>
      <c r="T679" s="724"/>
      <c r="U679" s="724"/>
      <c r="V679" s="724"/>
      <c r="W679" s="724"/>
      <c r="X679" s="724"/>
      <c r="Y679" s="724"/>
      <c r="Z679" s="724"/>
      <c r="AA679" s="724"/>
      <c r="AB679" s="724"/>
      <c r="AC679" s="729"/>
      <c r="AD679" s="724"/>
      <c r="AE679" s="724"/>
      <c r="AF679" s="724"/>
      <c r="AG679" s="724"/>
      <c r="AH679" s="724"/>
      <c r="AI679" s="724"/>
      <c r="AJ679" s="724"/>
      <c r="AU679" s="713"/>
      <c r="AW679" s="712"/>
      <c r="BY679" s="714"/>
      <c r="BZ679" s="715"/>
      <c r="CA679" s="716"/>
      <c r="CB679" s="717"/>
      <c r="CC679" s="717"/>
      <c r="CD679" s="717"/>
      <c r="CE679" s="717"/>
      <c r="CF679" s="717"/>
      <c r="CG679" s="717"/>
      <c r="CH679" s="717"/>
      <c r="CI679" s="717"/>
      <c r="CJ679" s="717"/>
      <c r="CK679" s="717"/>
      <c r="CL679" s="717"/>
      <c r="CM679" s="717"/>
      <c r="CN679" s="717"/>
      <c r="CO679" s="717"/>
      <c r="CP679" s="717"/>
      <c r="CQ679" s="717"/>
      <c r="CR679" s="717"/>
      <c r="CS679" s="717"/>
      <c r="CT679" s="717"/>
      <c r="CU679" s="717"/>
      <c r="CV679" s="717"/>
      <c r="CW679" s="717"/>
      <c r="CX679" s="717"/>
      <c r="CY679" s="717"/>
      <c r="CZ679" s="717"/>
      <c r="DA679" s="717"/>
      <c r="DB679" s="717"/>
      <c r="DC679" s="717"/>
      <c r="DD679" s="717"/>
      <c r="DE679" s="717"/>
      <c r="DF679" s="717"/>
      <c r="DG679" s="717"/>
      <c r="DH679" s="717"/>
      <c r="DI679" s="717"/>
      <c r="DJ679" s="717"/>
      <c r="DM679" s="711"/>
      <c r="DN679" s="711"/>
      <c r="DO679" s="711"/>
      <c r="DP679" s="711"/>
      <c r="DQ679" s="711"/>
      <c r="EB679" s="719"/>
    </row>
    <row r="680" spans="5:132" s="709" customFormat="1" ht="18" hidden="1">
      <c r="E680" s="721"/>
      <c r="H680" s="723">
        <v>155</v>
      </c>
      <c r="I680" s="725"/>
      <c r="J680" s="724"/>
      <c r="K680" s="724"/>
      <c r="L680" s="724"/>
      <c r="M680" s="728"/>
      <c r="N680" s="724"/>
      <c r="O680" s="724"/>
      <c r="P680" s="724"/>
      <c r="Q680" s="724"/>
      <c r="R680" s="724"/>
      <c r="S680" s="724"/>
      <c r="T680" s="724"/>
      <c r="U680" s="724"/>
      <c r="V680" s="724"/>
      <c r="W680" s="724"/>
      <c r="X680" s="724"/>
      <c r="Y680" s="724"/>
      <c r="Z680" s="724"/>
      <c r="AA680" s="724"/>
      <c r="AB680" s="724"/>
      <c r="AC680" s="729"/>
      <c r="AD680" s="724"/>
      <c r="AE680" s="724"/>
      <c r="AF680" s="724"/>
      <c r="AG680" s="724"/>
      <c r="AH680" s="724"/>
      <c r="AI680" s="724"/>
      <c r="AJ680" s="724"/>
      <c r="AU680" s="713"/>
      <c r="AW680" s="712"/>
      <c r="BY680" s="714"/>
      <c r="BZ680" s="715"/>
      <c r="CA680" s="716"/>
      <c r="CB680" s="717"/>
      <c r="CC680" s="717"/>
      <c r="CD680" s="717"/>
      <c r="CE680" s="717"/>
      <c r="CF680" s="717"/>
      <c r="CG680" s="717"/>
      <c r="CH680" s="717"/>
      <c r="CI680" s="717"/>
      <c r="CJ680" s="717"/>
      <c r="CK680" s="717"/>
      <c r="CL680" s="717"/>
      <c r="CM680" s="717"/>
      <c r="CN680" s="717"/>
      <c r="CO680" s="717"/>
      <c r="CP680" s="717"/>
      <c r="CQ680" s="717"/>
      <c r="CR680" s="717"/>
      <c r="CS680" s="717"/>
      <c r="CT680" s="717"/>
      <c r="CU680" s="717"/>
      <c r="CV680" s="717"/>
      <c r="CW680" s="717"/>
      <c r="CX680" s="717"/>
      <c r="CY680" s="717"/>
      <c r="CZ680" s="717"/>
      <c r="DA680" s="717"/>
      <c r="DB680" s="717"/>
      <c r="DC680" s="717"/>
      <c r="DD680" s="717"/>
      <c r="DE680" s="717"/>
      <c r="DF680" s="717"/>
      <c r="DG680" s="717"/>
      <c r="DH680" s="717"/>
      <c r="DI680" s="717"/>
      <c r="DJ680" s="717"/>
      <c r="DM680" s="711"/>
      <c r="DN680" s="711"/>
      <c r="DO680" s="711"/>
      <c r="DP680" s="711"/>
      <c r="DQ680" s="711"/>
      <c r="EB680" s="719"/>
    </row>
    <row r="681" spans="5:132" s="709" customFormat="1" ht="18" hidden="1">
      <c r="E681" s="721"/>
      <c r="H681" s="723">
        <v>156</v>
      </c>
      <c r="I681" s="725"/>
      <c r="J681" s="724"/>
      <c r="K681" s="724"/>
      <c r="L681" s="724"/>
      <c r="M681" s="728"/>
      <c r="N681" s="724"/>
      <c r="O681" s="724"/>
      <c r="P681" s="724"/>
      <c r="Q681" s="724"/>
      <c r="R681" s="724"/>
      <c r="S681" s="724"/>
      <c r="T681" s="724"/>
      <c r="U681" s="724"/>
      <c r="V681" s="724"/>
      <c r="W681" s="724"/>
      <c r="X681" s="724"/>
      <c r="Y681" s="724"/>
      <c r="Z681" s="724"/>
      <c r="AA681" s="724"/>
      <c r="AB681" s="724"/>
      <c r="AC681" s="729"/>
      <c r="AD681" s="724"/>
      <c r="AE681" s="724"/>
      <c r="AF681" s="724"/>
      <c r="AG681" s="724"/>
      <c r="AH681" s="724"/>
      <c r="AI681" s="724"/>
      <c r="AJ681" s="724"/>
      <c r="AU681" s="713"/>
      <c r="AW681" s="712"/>
      <c r="BY681" s="714"/>
      <c r="BZ681" s="715"/>
      <c r="CA681" s="716"/>
      <c r="CB681" s="717"/>
      <c r="CC681" s="717"/>
      <c r="CD681" s="717"/>
      <c r="CE681" s="717"/>
      <c r="CF681" s="717"/>
      <c r="CG681" s="717"/>
      <c r="CH681" s="717"/>
      <c r="CI681" s="717"/>
      <c r="CJ681" s="717"/>
      <c r="CK681" s="717"/>
      <c r="CL681" s="717"/>
      <c r="CM681" s="717"/>
      <c r="CN681" s="717"/>
      <c r="CO681" s="717"/>
      <c r="CP681" s="717"/>
      <c r="CQ681" s="717"/>
      <c r="CR681" s="717"/>
      <c r="CS681" s="717"/>
      <c r="CT681" s="717"/>
      <c r="CU681" s="717"/>
      <c r="CV681" s="717"/>
      <c r="CW681" s="717"/>
      <c r="CX681" s="717"/>
      <c r="CY681" s="717"/>
      <c r="CZ681" s="717"/>
      <c r="DA681" s="717"/>
      <c r="DB681" s="717"/>
      <c r="DC681" s="717"/>
      <c r="DD681" s="717"/>
      <c r="DE681" s="717"/>
      <c r="DF681" s="717"/>
      <c r="DG681" s="717"/>
      <c r="DH681" s="717"/>
      <c r="DI681" s="717"/>
      <c r="DJ681" s="717"/>
      <c r="DM681" s="711"/>
      <c r="DN681" s="711"/>
      <c r="DO681" s="711"/>
      <c r="DP681" s="711"/>
      <c r="DQ681" s="711"/>
      <c r="EB681" s="719"/>
    </row>
    <row r="682" spans="5:132" s="709" customFormat="1" ht="18" hidden="1">
      <c r="E682" s="721"/>
      <c r="H682" s="723">
        <v>157</v>
      </c>
      <c r="I682" s="725"/>
      <c r="J682" s="724"/>
      <c r="K682" s="724"/>
      <c r="L682" s="724"/>
      <c r="M682" s="728"/>
      <c r="N682" s="724"/>
      <c r="O682" s="724"/>
      <c r="P682" s="724"/>
      <c r="Q682" s="724"/>
      <c r="R682" s="724"/>
      <c r="S682" s="724"/>
      <c r="T682" s="724"/>
      <c r="U682" s="724"/>
      <c r="V682" s="724"/>
      <c r="W682" s="724"/>
      <c r="X682" s="724"/>
      <c r="Y682" s="724"/>
      <c r="Z682" s="724"/>
      <c r="AA682" s="724"/>
      <c r="AB682" s="724"/>
      <c r="AC682" s="729"/>
      <c r="AD682" s="724"/>
      <c r="AE682" s="724"/>
      <c r="AF682" s="724"/>
      <c r="AG682" s="724"/>
      <c r="AH682" s="724"/>
      <c r="AI682" s="724"/>
      <c r="AJ682" s="724"/>
      <c r="AU682" s="713"/>
      <c r="AW682" s="712"/>
      <c r="BY682" s="714"/>
      <c r="BZ682" s="715"/>
      <c r="CA682" s="716"/>
      <c r="CB682" s="717"/>
      <c r="CC682" s="717"/>
      <c r="CD682" s="717"/>
      <c r="CE682" s="717"/>
      <c r="CF682" s="717"/>
      <c r="CG682" s="717"/>
      <c r="CH682" s="717"/>
      <c r="CI682" s="717"/>
      <c r="CJ682" s="717"/>
      <c r="CK682" s="717"/>
      <c r="CL682" s="717"/>
      <c r="CM682" s="717"/>
      <c r="CN682" s="717"/>
      <c r="CO682" s="717"/>
      <c r="CP682" s="717"/>
      <c r="CQ682" s="717"/>
      <c r="CR682" s="717"/>
      <c r="CS682" s="717"/>
      <c r="CT682" s="717"/>
      <c r="CU682" s="717"/>
      <c r="CV682" s="717"/>
      <c r="CW682" s="717"/>
      <c r="CX682" s="717"/>
      <c r="CY682" s="717"/>
      <c r="CZ682" s="717"/>
      <c r="DA682" s="717"/>
      <c r="DB682" s="717"/>
      <c r="DC682" s="717"/>
      <c r="DD682" s="717"/>
      <c r="DE682" s="717"/>
      <c r="DF682" s="717"/>
      <c r="DG682" s="717"/>
      <c r="DH682" s="717"/>
      <c r="DI682" s="717"/>
      <c r="DJ682" s="717"/>
      <c r="DM682" s="711"/>
      <c r="DN682" s="711"/>
      <c r="DO682" s="711"/>
      <c r="DP682" s="711"/>
      <c r="DQ682" s="711"/>
      <c r="EB682" s="719"/>
    </row>
    <row r="683" spans="5:132" s="709" customFormat="1" ht="18" hidden="1">
      <c r="E683" s="721"/>
      <c r="H683" s="723">
        <v>161</v>
      </c>
      <c r="I683" s="725"/>
      <c r="J683" s="724"/>
      <c r="K683" s="724"/>
      <c r="L683" s="724"/>
      <c r="M683" s="728"/>
      <c r="N683" s="724"/>
      <c r="O683" s="724"/>
      <c r="P683" s="724"/>
      <c r="Q683" s="724"/>
      <c r="R683" s="724"/>
      <c r="S683" s="724"/>
      <c r="T683" s="724"/>
      <c r="U683" s="724"/>
      <c r="V683" s="724"/>
      <c r="W683" s="724"/>
      <c r="X683" s="724"/>
      <c r="Y683" s="724"/>
      <c r="Z683" s="724"/>
      <c r="AA683" s="724"/>
      <c r="AB683" s="724"/>
      <c r="AC683" s="729"/>
      <c r="AD683" s="724"/>
      <c r="AE683" s="724"/>
      <c r="AF683" s="724"/>
      <c r="AG683" s="724"/>
      <c r="AH683" s="724"/>
      <c r="AI683" s="724"/>
      <c r="AJ683" s="724"/>
      <c r="AU683" s="713"/>
      <c r="AW683" s="712"/>
      <c r="BY683" s="714"/>
      <c r="BZ683" s="715"/>
      <c r="CA683" s="716"/>
      <c r="CB683" s="717"/>
      <c r="CC683" s="717"/>
      <c r="CD683" s="717"/>
      <c r="CE683" s="717"/>
      <c r="CF683" s="717"/>
      <c r="CG683" s="717"/>
      <c r="CH683" s="717"/>
      <c r="CI683" s="717"/>
      <c r="CJ683" s="717"/>
      <c r="CK683" s="717"/>
      <c r="CL683" s="717"/>
      <c r="CM683" s="717"/>
      <c r="CN683" s="717"/>
      <c r="CO683" s="717"/>
      <c r="CP683" s="717"/>
      <c r="CQ683" s="717"/>
      <c r="CR683" s="717"/>
      <c r="CS683" s="717"/>
      <c r="CT683" s="717"/>
      <c r="CU683" s="717"/>
      <c r="CV683" s="717"/>
      <c r="CW683" s="717"/>
      <c r="CX683" s="717"/>
      <c r="CY683" s="717"/>
      <c r="CZ683" s="717"/>
      <c r="DA683" s="717"/>
      <c r="DB683" s="717"/>
      <c r="DC683" s="717"/>
      <c r="DD683" s="717"/>
      <c r="DE683" s="717"/>
      <c r="DF683" s="717"/>
      <c r="DG683" s="717"/>
      <c r="DH683" s="717"/>
      <c r="DI683" s="717"/>
      <c r="DJ683" s="717"/>
      <c r="DM683" s="711"/>
      <c r="DN683" s="711"/>
      <c r="DO683" s="711"/>
      <c r="DP683" s="711"/>
      <c r="DQ683" s="711"/>
      <c r="EB683" s="719"/>
    </row>
    <row r="684" spans="5:132" s="709" customFormat="1" ht="18" hidden="1">
      <c r="E684" s="721"/>
      <c r="H684" s="723">
        <v>162</v>
      </c>
      <c r="I684" s="725"/>
      <c r="J684" s="724"/>
      <c r="K684" s="724"/>
      <c r="L684" s="724"/>
      <c r="M684" s="728"/>
      <c r="N684" s="724"/>
      <c r="O684" s="724"/>
      <c r="P684" s="724"/>
      <c r="Q684" s="724"/>
      <c r="R684" s="724"/>
      <c r="S684" s="724"/>
      <c r="T684" s="724"/>
      <c r="U684" s="724"/>
      <c r="V684" s="724"/>
      <c r="W684" s="724"/>
      <c r="X684" s="724"/>
      <c r="Y684" s="724"/>
      <c r="Z684" s="724"/>
      <c r="AA684" s="724"/>
      <c r="AB684" s="724"/>
      <c r="AC684" s="729"/>
      <c r="AD684" s="724"/>
      <c r="AE684" s="724"/>
      <c r="AF684" s="724"/>
      <c r="AG684" s="724"/>
      <c r="AH684" s="724"/>
      <c r="AI684" s="724"/>
      <c r="AJ684" s="724"/>
      <c r="AU684" s="713"/>
      <c r="AW684" s="712"/>
      <c r="BY684" s="714"/>
      <c r="BZ684" s="715"/>
      <c r="CA684" s="716"/>
      <c r="CB684" s="717"/>
      <c r="CC684" s="717"/>
      <c r="CD684" s="717"/>
      <c r="CE684" s="717"/>
      <c r="CF684" s="717"/>
      <c r="CG684" s="717"/>
      <c r="CH684" s="717"/>
      <c r="CI684" s="717"/>
      <c r="CJ684" s="717"/>
      <c r="CK684" s="717"/>
      <c r="CL684" s="717"/>
      <c r="CM684" s="717"/>
      <c r="CN684" s="717"/>
      <c r="CO684" s="717"/>
      <c r="CP684" s="717"/>
      <c r="CQ684" s="717"/>
      <c r="CR684" s="717"/>
      <c r="CS684" s="717"/>
      <c r="CT684" s="717"/>
      <c r="CU684" s="717"/>
      <c r="CV684" s="717"/>
      <c r="CW684" s="717"/>
      <c r="CX684" s="717"/>
      <c r="CY684" s="717"/>
      <c r="CZ684" s="717"/>
      <c r="DA684" s="717"/>
      <c r="DB684" s="717"/>
      <c r="DC684" s="717"/>
      <c r="DD684" s="717"/>
      <c r="DE684" s="717"/>
      <c r="DF684" s="717"/>
      <c r="DG684" s="717"/>
      <c r="DH684" s="717"/>
      <c r="DI684" s="717"/>
      <c r="DJ684" s="717"/>
      <c r="DM684" s="711"/>
      <c r="DN684" s="711"/>
      <c r="DO684" s="711"/>
      <c r="DP684" s="711"/>
      <c r="DQ684" s="711"/>
      <c r="EB684" s="719"/>
    </row>
    <row r="685" spans="5:132" s="709" customFormat="1" ht="18" hidden="1">
      <c r="E685" s="721"/>
      <c r="H685" s="723">
        <v>163</v>
      </c>
      <c r="I685" s="725"/>
      <c r="J685" s="724"/>
      <c r="K685" s="724"/>
      <c r="L685" s="724"/>
      <c r="M685" s="728"/>
      <c r="N685" s="724"/>
      <c r="O685" s="724"/>
      <c r="P685" s="724"/>
      <c r="Q685" s="724"/>
      <c r="R685" s="724"/>
      <c r="S685" s="724"/>
      <c r="T685" s="724"/>
      <c r="U685" s="724"/>
      <c r="V685" s="724"/>
      <c r="W685" s="724"/>
      <c r="X685" s="724"/>
      <c r="Y685" s="724"/>
      <c r="Z685" s="724"/>
      <c r="AA685" s="724"/>
      <c r="AB685" s="724"/>
      <c r="AC685" s="729"/>
      <c r="AD685" s="724"/>
      <c r="AE685" s="724"/>
      <c r="AF685" s="724"/>
      <c r="AG685" s="724"/>
      <c r="AH685" s="724"/>
      <c r="AI685" s="724"/>
      <c r="AJ685" s="724"/>
      <c r="AU685" s="713"/>
      <c r="AW685" s="712"/>
      <c r="BY685" s="714"/>
      <c r="BZ685" s="715"/>
      <c r="CA685" s="716"/>
      <c r="CB685" s="717"/>
      <c r="CC685" s="717"/>
      <c r="CD685" s="717"/>
      <c r="CE685" s="717"/>
      <c r="CF685" s="717"/>
      <c r="CG685" s="717"/>
      <c r="CH685" s="717"/>
      <c r="CI685" s="717"/>
      <c r="CJ685" s="717"/>
      <c r="CK685" s="717"/>
      <c r="CL685" s="717"/>
      <c r="CM685" s="717"/>
      <c r="CN685" s="717"/>
      <c r="CO685" s="717"/>
      <c r="CP685" s="717"/>
      <c r="CQ685" s="717"/>
      <c r="CR685" s="717"/>
      <c r="CS685" s="717"/>
      <c r="CT685" s="717"/>
      <c r="CU685" s="717"/>
      <c r="CV685" s="717"/>
      <c r="CW685" s="717"/>
      <c r="CX685" s="717"/>
      <c r="CY685" s="717"/>
      <c r="CZ685" s="717"/>
      <c r="DA685" s="717"/>
      <c r="DB685" s="717"/>
      <c r="DC685" s="717"/>
      <c r="DD685" s="717"/>
      <c r="DE685" s="717"/>
      <c r="DF685" s="717"/>
      <c r="DG685" s="717"/>
      <c r="DH685" s="717"/>
      <c r="DI685" s="717"/>
      <c r="DJ685" s="717"/>
      <c r="DM685" s="711"/>
      <c r="DN685" s="711"/>
      <c r="DO685" s="711"/>
      <c r="DP685" s="711"/>
      <c r="DQ685" s="711"/>
      <c r="EB685" s="719"/>
    </row>
    <row r="686" spans="5:132" s="709" customFormat="1" ht="18" hidden="1">
      <c r="E686" s="721"/>
      <c r="H686" s="723">
        <v>164</v>
      </c>
      <c r="I686" s="725"/>
      <c r="J686" s="724"/>
      <c r="K686" s="724"/>
      <c r="L686" s="724"/>
      <c r="M686" s="728"/>
      <c r="N686" s="724"/>
      <c r="O686" s="724"/>
      <c r="P686" s="724"/>
      <c r="Q686" s="724"/>
      <c r="R686" s="724"/>
      <c r="S686" s="724"/>
      <c r="T686" s="724"/>
      <c r="U686" s="724"/>
      <c r="V686" s="724"/>
      <c r="W686" s="724"/>
      <c r="X686" s="724"/>
      <c r="Y686" s="724"/>
      <c r="Z686" s="724"/>
      <c r="AA686" s="724"/>
      <c r="AB686" s="724"/>
      <c r="AC686" s="729"/>
      <c r="AD686" s="724"/>
      <c r="AE686" s="724"/>
      <c r="AF686" s="724"/>
      <c r="AG686" s="724"/>
      <c r="AH686" s="724"/>
      <c r="AI686" s="724"/>
      <c r="AJ686" s="724"/>
      <c r="AU686" s="713"/>
      <c r="AW686" s="712"/>
      <c r="BY686" s="714"/>
      <c r="BZ686" s="715"/>
      <c r="CA686" s="716"/>
      <c r="CB686" s="717"/>
      <c r="CC686" s="717"/>
      <c r="CD686" s="717"/>
      <c r="CE686" s="717"/>
      <c r="CF686" s="717"/>
      <c r="CG686" s="717"/>
      <c r="CH686" s="717"/>
      <c r="CI686" s="717"/>
      <c r="CJ686" s="717"/>
      <c r="CK686" s="717"/>
      <c r="CL686" s="717"/>
      <c r="CM686" s="717"/>
      <c r="CN686" s="717"/>
      <c r="CO686" s="717"/>
      <c r="CP686" s="717"/>
      <c r="CQ686" s="717"/>
      <c r="CR686" s="717"/>
      <c r="CS686" s="717"/>
      <c r="CT686" s="717"/>
      <c r="CU686" s="717"/>
      <c r="CV686" s="717"/>
      <c r="CW686" s="717"/>
      <c r="CX686" s="717"/>
      <c r="CY686" s="717"/>
      <c r="CZ686" s="717"/>
      <c r="DA686" s="717"/>
      <c r="DB686" s="717"/>
      <c r="DC686" s="717"/>
      <c r="DD686" s="717"/>
      <c r="DE686" s="717"/>
      <c r="DF686" s="717"/>
      <c r="DG686" s="717"/>
      <c r="DH686" s="717"/>
      <c r="DI686" s="717"/>
      <c r="DJ686" s="717"/>
      <c r="DM686" s="711"/>
      <c r="DN686" s="711"/>
      <c r="DO686" s="711"/>
      <c r="DP686" s="711"/>
      <c r="DQ686" s="711"/>
      <c r="EB686" s="719"/>
    </row>
    <row r="687" spans="5:132" s="709" customFormat="1" ht="18" hidden="1">
      <c r="E687" s="721"/>
      <c r="H687" s="723">
        <v>165</v>
      </c>
      <c r="I687" s="725"/>
      <c r="J687" s="724"/>
      <c r="K687" s="724"/>
      <c r="L687" s="724"/>
      <c r="M687" s="728"/>
      <c r="N687" s="724"/>
      <c r="O687" s="724"/>
      <c r="P687" s="724"/>
      <c r="Q687" s="724"/>
      <c r="R687" s="724"/>
      <c r="S687" s="724"/>
      <c r="T687" s="724"/>
      <c r="U687" s="724"/>
      <c r="V687" s="724"/>
      <c r="W687" s="724"/>
      <c r="X687" s="724"/>
      <c r="Y687" s="724"/>
      <c r="Z687" s="724"/>
      <c r="AA687" s="724"/>
      <c r="AB687" s="724"/>
      <c r="AC687" s="729"/>
      <c r="AD687" s="724"/>
      <c r="AE687" s="724"/>
      <c r="AF687" s="724"/>
      <c r="AG687" s="724"/>
      <c r="AH687" s="724"/>
      <c r="AI687" s="724"/>
      <c r="AJ687" s="724"/>
      <c r="AU687" s="713"/>
      <c r="AW687" s="712"/>
      <c r="BY687" s="714"/>
      <c r="BZ687" s="715"/>
      <c r="CA687" s="716"/>
      <c r="CB687" s="717"/>
      <c r="CC687" s="717"/>
      <c r="CD687" s="717"/>
      <c r="CE687" s="717"/>
      <c r="CF687" s="717"/>
      <c r="CG687" s="717"/>
      <c r="CH687" s="717"/>
      <c r="CI687" s="717"/>
      <c r="CJ687" s="717"/>
      <c r="CK687" s="717"/>
      <c r="CL687" s="717"/>
      <c r="CM687" s="717"/>
      <c r="CN687" s="717"/>
      <c r="CO687" s="717"/>
      <c r="CP687" s="717"/>
      <c r="CQ687" s="717"/>
      <c r="CR687" s="717"/>
      <c r="CS687" s="717"/>
      <c r="CT687" s="717"/>
      <c r="CU687" s="717"/>
      <c r="CV687" s="717"/>
      <c r="CW687" s="717"/>
      <c r="CX687" s="717"/>
      <c r="CY687" s="717"/>
      <c r="CZ687" s="717"/>
      <c r="DA687" s="717"/>
      <c r="DB687" s="717"/>
      <c r="DC687" s="717"/>
      <c r="DD687" s="717"/>
      <c r="DE687" s="717"/>
      <c r="DF687" s="717"/>
      <c r="DG687" s="717"/>
      <c r="DH687" s="717"/>
      <c r="DI687" s="717"/>
      <c r="DJ687" s="717"/>
      <c r="DM687" s="711"/>
      <c r="DN687" s="711"/>
      <c r="DO687" s="711"/>
      <c r="DP687" s="711"/>
      <c r="DQ687" s="711"/>
      <c r="EB687" s="719"/>
    </row>
    <row r="688" spans="5:132" s="709" customFormat="1" ht="18" hidden="1">
      <c r="E688" s="721"/>
      <c r="H688" s="723">
        <v>166</v>
      </c>
      <c r="I688" s="725"/>
      <c r="J688" s="724"/>
      <c r="K688" s="724"/>
      <c r="L688" s="724"/>
      <c r="M688" s="728"/>
      <c r="N688" s="724"/>
      <c r="O688" s="724"/>
      <c r="P688" s="724"/>
      <c r="Q688" s="724"/>
      <c r="R688" s="724"/>
      <c r="S688" s="724"/>
      <c r="T688" s="724"/>
      <c r="U688" s="724"/>
      <c r="V688" s="724"/>
      <c r="W688" s="724"/>
      <c r="X688" s="724"/>
      <c r="Y688" s="724"/>
      <c r="Z688" s="724"/>
      <c r="AA688" s="724"/>
      <c r="AB688" s="724"/>
      <c r="AC688" s="729"/>
      <c r="AD688" s="724"/>
      <c r="AE688" s="724"/>
      <c r="AF688" s="724"/>
      <c r="AG688" s="724"/>
      <c r="AH688" s="724"/>
      <c r="AI688" s="724"/>
      <c r="AJ688" s="724"/>
      <c r="AU688" s="713"/>
      <c r="AW688" s="712"/>
      <c r="BY688" s="714"/>
      <c r="BZ688" s="715"/>
      <c r="CA688" s="716"/>
      <c r="CB688" s="717"/>
      <c r="CC688" s="717"/>
      <c r="CD688" s="717"/>
      <c r="CE688" s="717"/>
      <c r="CF688" s="717"/>
      <c r="CG688" s="717"/>
      <c r="CH688" s="717"/>
      <c r="CI688" s="717"/>
      <c r="CJ688" s="717"/>
      <c r="CK688" s="717"/>
      <c r="CL688" s="717"/>
      <c r="CM688" s="717"/>
      <c r="CN688" s="717"/>
      <c r="CO688" s="717"/>
      <c r="CP688" s="717"/>
      <c r="CQ688" s="717"/>
      <c r="CR688" s="717"/>
      <c r="CS688" s="717"/>
      <c r="CT688" s="717"/>
      <c r="CU688" s="717"/>
      <c r="CV688" s="717"/>
      <c r="CW688" s="717"/>
      <c r="CX688" s="717"/>
      <c r="CY688" s="717"/>
      <c r="CZ688" s="717"/>
      <c r="DA688" s="717"/>
      <c r="DB688" s="717"/>
      <c r="DC688" s="717"/>
      <c r="DD688" s="717"/>
      <c r="DE688" s="717"/>
      <c r="DF688" s="717"/>
      <c r="DG688" s="717"/>
      <c r="DH688" s="717"/>
      <c r="DI688" s="717"/>
      <c r="DJ688" s="717"/>
      <c r="DM688" s="711"/>
      <c r="DN688" s="711"/>
      <c r="DO688" s="711"/>
      <c r="DP688" s="711"/>
      <c r="DQ688" s="711"/>
      <c r="EB688" s="719"/>
    </row>
    <row r="689" spans="5:132" s="709" customFormat="1" ht="18" hidden="1">
      <c r="E689" s="721"/>
      <c r="H689" s="723">
        <v>167</v>
      </c>
      <c r="I689" s="725"/>
      <c r="J689" s="724"/>
      <c r="K689" s="724"/>
      <c r="L689" s="724"/>
      <c r="M689" s="728"/>
      <c r="N689" s="724"/>
      <c r="O689" s="724"/>
      <c r="P689" s="724"/>
      <c r="Q689" s="724"/>
      <c r="R689" s="724"/>
      <c r="S689" s="724"/>
      <c r="T689" s="724"/>
      <c r="U689" s="724"/>
      <c r="V689" s="724"/>
      <c r="W689" s="724"/>
      <c r="X689" s="724"/>
      <c r="Y689" s="724"/>
      <c r="Z689" s="724"/>
      <c r="AA689" s="724"/>
      <c r="AB689" s="724"/>
      <c r="AC689" s="729"/>
      <c r="AD689" s="724"/>
      <c r="AE689" s="724"/>
      <c r="AF689" s="724"/>
      <c r="AG689" s="724"/>
      <c r="AH689" s="724"/>
      <c r="AI689" s="724"/>
      <c r="AJ689" s="724"/>
      <c r="AU689" s="713"/>
      <c r="AW689" s="712"/>
      <c r="BY689" s="714"/>
      <c r="BZ689" s="715"/>
      <c r="CA689" s="716"/>
      <c r="CB689" s="717"/>
      <c r="CC689" s="717"/>
      <c r="CD689" s="717"/>
      <c r="CE689" s="717"/>
      <c r="CF689" s="717"/>
      <c r="CG689" s="717"/>
      <c r="CH689" s="717"/>
      <c r="CI689" s="717"/>
      <c r="CJ689" s="717"/>
      <c r="CK689" s="717"/>
      <c r="CL689" s="717"/>
      <c r="CM689" s="717"/>
      <c r="CN689" s="717"/>
      <c r="CO689" s="717"/>
      <c r="CP689" s="717"/>
      <c r="CQ689" s="717"/>
      <c r="CR689" s="717"/>
      <c r="CS689" s="717"/>
      <c r="CT689" s="717"/>
      <c r="CU689" s="717"/>
      <c r="CV689" s="717"/>
      <c r="CW689" s="717"/>
      <c r="CX689" s="717"/>
      <c r="CY689" s="717"/>
      <c r="CZ689" s="717"/>
      <c r="DA689" s="717"/>
      <c r="DB689" s="717"/>
      <c r="DC689" s="717"/>
      <c r="DD689" s="717"/>
      <c r="DE689" s="717"/>
      <c r="DF689" s="717"/>
      <c r="DG689" s="717"/>
      <c r="DH689" s="717"/>
      <c r="DI689" s="717"/>
      <c r="DJ689" s="717"/>
      <c r="DM689" s="711"/>
      <c r="DN689" s="711"/>
      <c r="DO689" s="711"/>
      <c r="DP689" s="711"/>
      <c r="DQ689" s="711"/>
      <c r="EB689" s="719"/>
    </row>
    <row r="690" spans="5:132" s="709" customFormat="1" ht="18" hidden="1">
      <c r="E690" s="721"/>
      <c r="H690" s="723">
        <v>168</v>
      </c>
      <c r="I690" s="725"/>
      <c r="J690" s="724"/>
      <c r="K690" s="724"/>
      <c r="L690" s="724"/>
      <c r="M690" s="728"/>
      <c r="N690" s="724"/>
      <c r="O690" s="724"/>
      <c r="P690" s="724"/>
      <c r="Q690" s="724"/>
      <c r="R690" s="724"/>
      <c r="S690" s="724"/>
      <c r="T690" s="724"/>
      <c r="U690" s="724"/>
      <c r="V690" s="724"/>
      <c r="W690" s="724"/>
      <c r="X690" s="724"/>
      <c r="Y690" s="724"/>
      <c r="Z690" s="724"/>
      <c r="AA690" s="724"/>
      <c r="AB690" s="724"/>
      <c r="AC690" s="729"/>
      <c r="AD690" s="724"/>
      <c r="AE690" s="724"/>
      <c r="AF690" s="724"/>
      <c r="AG690" s="724"/>
      <c r="AH690" s="724"/>
      <c r="AI690" s="724"/>
      <c r="AJ690" s="724"/>
      <c r="AU690" s="713"/>
      <c r="AW690" s="712"/>
      <c r="BY690" s="714"/>
      <c r="BZ690" s="715"/>
      <c r="CA690" s="716"/>
      <c r="CB690" s="717"/>
      <c r="CC690" s="717"/>
      <c r="CD690" s="717"/>
      <c r="CE690" s="717"/>
      <c r="CF690" s="717"/>
      <c r="CG690" s="717"/>
      <c r="CH690" s="717"/>
      <c r="CI690" s="717"/>
      <c r="CJ690" s="717"/>
      <c r="CK690" s="717"/>
      <c r="CL690" s="717"/>
      <c r="CM690" s="717"/>
      <c r="CN690" s="717"/>
      <c r="CO690" s="717"/>
      <c r="CP690" s="717"/>
      <c r="CQ690" s="717"/>
      <c r="CR690" s="717"/>
      <c r="CS690" s="717"/>
      <c r="CT690" s="717"/>
      <c r="CU690" s="717"/>
      <c r="CV690" s="717"/>
      <c r="CW690" s="717"/>
      <c r="CX690" s="717"/>
      <c r="CY690" s="717"/>
      <c r="CZ690" s="717"/>
      <c r="DA690" s="717"/>
      <c r="DB690" s="717"/>
      <c r="DC690" s="717"/>
      <c r="DD690" s="717"/>
      <c r="DE690" s="717"/>
      <c r="DF690" s="717"/>
      <c r="DG690" s="717"/>
      <c r="DH690" s="717"/>
      <c r="DI690" s="717"/>
      <c r="DJ690" s="717"/>
      <c r="DM690" s="711"/>
      <c r="DN690" s="711"/>
      <c r="DO690" s="711"/>
      <c r="DP690" s="711"/>
      <c r="DQ690" s="711"/>
      <c r="EB690" s="719"/>
    </row>
    <row r="691" spans="5:132" s="709" customFormat="1" ht="18" hidden="1">
      <c r="E691" s="721"/>
      <c r="H691" s="723">
        <v>169</v>
      </c>
      <c r="I691" s="725"/>
      <c r="J691" s="724"/>
      <c r="K691" s="724"/>
      <c r="L691" s="724"/>
      <c r="M691" s="728"/>
      <c r="N691" s="724"/>
      <c r="O691" s="724"/>
      <c r="P691" s="724"/>
      <c r="Q691" s="724"/>
      <c r="R691" s="724"/>
      <c r="S691" s="724"/>
      <c r="T691" s="724"/>
      <c r="U691" s="724"/>
      <c r="V691" s="724"/>
      <c r="W691" s="724"/>
      <c r="X691" s="724"/>
      <c r="Y691" s="724"/>
      <c r="Z691" s="724"/>
      <c r="AA691" s="724"/>
      <c r="AB691" s="724"/>
      <c r="AC691" s="729"/>
      <c r="AD691" s="724"/>
      <c r="AE691" s="724"/>
      <c r="AF691" s="724"/>
      <c r="AG691" s="724"/>
      <c r="AH691" s="724"/>
      <c r="AI691" s="724"/>
      <c r="AJ691" s="724"/>
      <c r="AU691" s="713"/>
      <c r="AW691" s="712"/>
      <c r="BY691" s="714"/>
      <c r="BZ691" s="715"/>
      <c r="CA691" s="716"/>
      <c r="CB691" s="717"/>
      <c r="CC691" s="717"/>
      <c r="CD691" s="717"/>
      <c r="CE691" s="717"/>
      <c r="CF691" s="717"/>
      <c r="CG691" s="717"/>
      <c r="CH691" s="717"/>
      <c r="CI691" s="717"/>
      <c r="CJ691" s="717"/>
      <c r="CK691" s="717"/>
      <c r="CL691" s="717"/>
      <c r="CM691" s="717"/>
      <c r="CN691" s="717"/>
      <c r="CO691" s="717"/>
      <c r="CP691" s="717"/>
      <c r="CQ691" s="717"/>
      <c r="CR691" s="717"/>
      <c r="CS691" s="717"/>
      <c r="CT691" s="717"/>
      <c r="CU691" s="717"/>
      <c r="CV691" s="717"/>
      <c r="CW691" s="717"/>
      <c r="CX691" s="717"/>
      <c r="CY691" s="717"/>
      <c r="CZ691" s="717"/>
      <c r="DA691" s="717"/>
      <c r="DB691" s="717"/>
      <c r="DC691" s="717"/>
      <c r="DD691" s="717"/>
      <c r="DE691" s="717"/>
      <c r="DF691" s="717"/>
      <c r="DG691" s="717"/>
      <c r="DH691" s="717"/>
      <c r="DI691" s="717"/>
      <c r="DJ691" s="717"/>
      <c r="DM691" s="711"/>
      <c r="DN691" s="711"/>
      <c r="DO691" s="711"/>
      <c r="DP691" s="711"/>
      <c r="DQ691" s="711"/>
      <c r="EB691" s="719"/>
    </row>
    <row r="692" spans="5:132" s="709" customFormat="1" ht="18" hidden="1">
      <c r="E692" s="721"/>
      <c r="H692" s="723">
        <v>170</v>
      </c>
      <c r="I692" s="725"/>
      <c r="J692" s="724"/>
      <c r="K692" s="724"/>
      <c r="L692" s="724"/>
      <c r="M692" s="728"/>
      <c r="N692" s="724"/>
      <c r="O692" s="724"/>
      <c r="P692" s="724"/>
      <c r="Q692" s="724"/>
      <c r="R692" s="724"/>
      <c r="S692" s="724"/>
      <c r="T692" s="724"/>
      <c r="U692" s="724"/>
      <c r="V692" s="724"/>
      <c r="W692" s="724"/>
      <c r="X692" s="724"/>
      <c r="Y692" s="724"/>
      <c r="Z692" s="724"/>
      <c r="AA692" s="724"/>
      <c r="AB692" s="724"/>
      <c r="AC692" s="729"/>
      <c r="AD692" s="724"/>
      <c r="AE692" s="724"/>
      <c r="AF692" s="724"/>
      <c r="AG692" s="724"/>
      <c r="AH692" s="724"/>
      <c r="AI692" s="724"/>
      <c r="AJ692" s="724"/>
      <c r="AU692" s="713"/>
      <c r="AW692" s="712"/>
      <c r="BY692" s="714"/>
      <c r="BZ692" s="715"/>
      <c r="CA692" s="716"/>
      <c r="CB692" s="717"/>
      <c r="CC692" s="717"/>
      <c r="CD692" s="717"/>
      <c r="CE692" s="717"/>
      <c r="CF692" s="717"/>
      <c r="CG692" s="717"/>
      <c r="CH692" s="717"/>
      <c r="CI692" s="717"/>
      <c r="CJ692" s="717"/>
      <c r="CK692" s="717"/>
      <c r="CL692" s="717"/>
      <c r="CM692" s="717"/>
      <c r="CN692" s="717"/>
      <c r="CO692" s="717"/>
      <c r="CP692" s="717"/>
      <c r="CQ692" s="717"/>
      <c r="CR692" s="717"/>
      <c r="CS692" s="717"/>
      <c r="CT692" s="717"/>
      <c r="CU692" s="717"/>
      <c r="CV692" s="717"/>
      <c r="CW692" s="717"/>
      <c r="CX692" s="717"/>
      <c r="CY692" s="717"/>
      <c r="CZ692" s="717"/>
      <c r="DA692" s="717"/>
      <c r="DB692" s="717"/>
      <c r="DC692" s="717"/>
      <c r="DD692" s="717"/>
      <c r="DE692" s="717"/>
      <c r="DF692" s="717"/>
      <c r="DG692" s="717"/>
      <c r="DH692" s="717"/>
      <c r="DI692" s="717"/>
      <c r="DJ692" s="717"/>
      <c r="DM692" s="711"/>
      <c r="DN692" s="711"/>
      <c r="DO692" s="711"/>
      <c r="DP692" s="711"/>
      <c r="DQ692" s="711"/>
      <c r="EB692" s="719"/>
    </row>
    <row r="693" spans="5:132" s="709" customFormat="1" ht="18" hidden="1">
      <c r="E693" s="721"/>
      <c r="H693" s="723">
        <v>171</v>
      </c>
      <c r="I693" s="725"/>
      <c r="J693" s="724"/>
      <c r="K693" s="724"/>
      <c r="L693" s="724"/>
      <c r="M693" s="728"/>
      <c r="N693" s="724"/>
      <c r="O693" s="724"/>
      <c r="P693" s="724"/>
      <c r="Q693" s="724"/>
      <c r="R693" s="724"/>
      <c r="S693" s="724"/>
      <c r="T693" s="724"/>
      <c r="U693" s="724"/>
      <c r="V693" s="724"/>
      <c r="W693" s="724"/>
      <c r="X693" s="724"/>
      <c r="Y693" s="724"/>
      <c r="Z693" s="724"/>
      <c r="AA693" s="724"/>
      <c r="AB693" s="724"/>
      <c r="AC693" s="729"/>
      <c r="AD693" s="724"/>
      <c r="AE693" s="724"/>
      <c r="AF693" s="724"/>
      <c r="AG693" s="724"/>
      <c r="AH693" s="724"/>
      <c r="AI693" s="724"/>
      <c r="AJ693" s="724"/>
      <c r="AU693" s="713"/>
      <c r="AW693" s="712"/>
      <c r="BY693" s="714"/>
      <c r="BZ693" s="715"/>
      <c r="CA693" s="716"/>
      <c r="CB693" s="717"/>
      <c r="CC693" s="717"/>
      <c r="CD693" s="717"/>
      <c r="CE693" s="717"/>
      <c r="CF693" s="717"/>
      <c r="CG693" s="717"/>
      <c r="CH693" s="717"/>
      <c r="CI693" s="717"/>
      <c r="CJ693" s="717"/>
      <c r="CK693" s="717"/>
      <c r="CL693" s="717"/>
      <c r="CM693" s="717"/>
      <c r="CN693" s="717"/>
      <c r="CO693" s="717"/>
      <c r="CP693" s="717"/>
      <c r="CQ693" s="717"/>
      <c r="CR693" s="717"/>
      <c r="CS693" s="717"/>
      <c r="CT693" s="717"/>
      <c r="CU693" s="717"/>
      <c r="CV693" s="717"/>
      <c r="CW693" s="717"/>
      <c r="CX693" s="717"/>
      <c r="CY693" s="717"/>
      <c r="CZ693" s="717"/>
      <c r="DA693" s="717"/>
      <c r="DB693" s="717"/>
      <c r="DC693" s="717"/>
      <c r="DD693" s="717"/>
      <c r="DE693" s="717"/>
      <c r="DF693" s="717"/>
      <c r="DG693" s="717"/>
      <c r="DH693" s="717"/>
      <c r="DI693" s="717"/>
      <c r="DJ693" s="717"/>
      <c r="DM693" s="711"/>
      <c r="DN693" s="711"/>
      <c r="DO693" s="711"/>
      <c r="DP693" s="711"/>
      <c r="DQ693" s="711"/>
      <c r="EB693" s="719"/>
    </row>
    <row r="694" spans="5:132" s="709" customFormat="1" ht="18" hidden="1">
      <c r="E694" s="721"/>
      <c r="H694" s="723">
        <v>172</v>
      </c>
      <c r="I694" s="725"/>
      <c r="J694" s="724"/>
      <c r="K694" s="724"/>
      <c r="L694" s="724"/>
      <c r="M694" s="728"/>
      <c r="N694" s="724"/>
      <c r="O694" s="724"/>
      <c r="P694" s="724"/>
      <c r="Q694" s="724"/>
      <c r="R694" s="724"/>
      <c r="S694" s="724"/>
      <c r="T694" s="724"/>
      <c r="U694" s="724"/>
      <c r="V694" s="724"/>
      <c r="W694" s="724"/>
      <c r="X694" s="724"/>
      <c r="Y694" s="724"/>
      <c r="Z694" s="724"/>
      <c r="AA694" s="724"/>
      <c r="AB694" s="724"/>
      <c r="AC694" s="729"/>
      <c r="AD694" s="724"/>
      <c r="AE694" s="724"/>
      <c r="AF694" s="724"/>
      <c r="AG694" s="724"/>
      <c r="AH694" s="724"/>
      <c r="AI694" s="724"/>
      <c r="AJ694" s="724"/>
      <c r="AU694" s="713"/>
      <c r="AW694" s="712"/>
      <c r="BY694" s="714"/>
      <c r="BZ694" s="715"/>
      <c r="CA694" s="716"/>
      <c r="CB694" s="717"/>
      <c r="CC694" s="717"/>
      <c r="CD694" s="717"/>
      <c r="CE694" s="717"/>
      <c r="CF694" s="717"/>
      <c r="CG694" s="717"/>
      <c r="CH694" s="717"/>
      <c r="CI694" s="717"/>
      <c r="CJ694" s="717"/>
      <c r="CK694" s="717"/>
      <c r="CL694" s="717"/>
      <c r="CM694" s="717"/>
      <c r="CN694" s="717"/>
      <c r="CO694" s="717"/>
      <c r="CP694" s="717"/>
      <c r="CQ694" s="717"/>
      <c r="CR694" s="717"/>
      <c r="CS694" s="717"/>
      <c r="CT694" s="717"/>
      <c r="CU694" s="717"/>
      <c r="CV694" s="717"/>
      <c r="CW694" s="717"/>
      <c r="CX694" s="717"/>
      <c r="CY694" s="717"/>
      <c r="CZ694" s="717"/>
      <c r="DA694" s="717"/>
      <c r="DB694" s="717"/>
      <c r="DC694" s="717"/>
      <c r="DD694" s="717"/>
      <c r="DE694" s="717"/>
      <c r="DF694" s="717"/>
      <c r="DG694" s="717"/>
      <c r="DH694" s="717"/>
      <c r="DI694" s="717"/>
      <c r="DJ694" s="717"/>
      <c r="DM694" s="711"/>
      <c r="DN694" s="711"/>
      <c r="DO694" s="711"/>
      <c r="DP694" s="711"/>
      <c r="DQ694" s="711"/>
      <c r="EB694" s="719"/>
    </row>
    <row r="695" spans="5:132" s="709" customFormat="1" ht="18" hidden="1">
      <c r="E695" s="721"/>
      <c r="H695" s="723">
        <v>173</v>
      </c>
      <c r="I695" s="725"/>
      <c r="J695" s="724"/>
      <c r="K695" s="724"/>
      <c r="L695" s="724"/>
      <c r="M695" s="728"/>
      <c r="N695" s="724"/>
      <c r="O695" s="724"/>
      <c r="P695" s="724"/>
      <c r="Q695" s="724"/>
      <c r="R695" s="724"/>
      <c r="S695" s="724"/>
      <c r="T695" s="724"/>
      <c r="U695" s="724"/>
      <c r="V695" s="724"/>
      <c r="W695" s="724"/>
      <c r="X695" s="724"/>
      <c r="Y695" s="724"/>
      <c r="Z695" s="724"/>
      <c r="AA695" s="724"/>
      <c r="AB695" s="724"/>
      <c r="AC695" s="729"/>
      <c r="AD695" s="724"/>
      <c r="AE695" s="724"/>
      <c r="AF695" s="724"/>
      <c r="AG695" s="724"/>
      <c r="AH695" s="724"/>
      <c r="AI695" s="724"/>
      <c r="AJ695" s="724"/>
      <c r="AU695" s="713"/>
      <c r="AW695" s="712"/>
      <c r="BY695" s="714"/>
      <c r="BZ695" s="715"/>
      <c r="CA695" s="716"/>
      <c r="CB695" s="717"/>
      <c r="CC695" s="717"/>
      <c r="CD695" s="717"/>
      <c r="CE695" s="717"/>
      <c r="CF695" s="717"/>
      <c r="CG695" s="717"/>
      <c r="CH695" s="717"/>
      <c r="CI695" s="717"/>
      <c r="CJ695" s="717"/>
      <c r="CK695" s="717"/>
      <c r="CL695" s="717"/>
      <c r="CM695" s="717"/>
      <c r="CN695" s="717"/>
      <c r="CO695" s="717"/>
      <c r="CP695" s="717"/>
      <c r="CQ695" s="717"/>
      <c r="CR695" s="717"/>
      <c r="CS695" s="717"/>
      <c r="CT695" s="717"/>
      <c r="CU695" s="717"/>
      <c r="CV695" s="717"/>
      <c r="CW695" s="717"/>
      <c r="CX695" s="717"/>
      <c r="CY695" s="717"/>
      <c r="CZ695" s="717"/>
      <c r="DA695" s="717"/>
      <c r="DB695" s="717"/>
      <c r="DC695" s="717"/>
      <c r="DD695" s="717"/>
      <c r="DE695" s="717"/>
      <c r="DF695" s="717"/>
      <c r="DG695" s="717"/>
      <c r="DH695" s="717"/>
      <c r="DI695" s="717"/>
      <c r="DJ695" s="717"/>
      <c r="DM695" s="711"/>
      <c r="DN695" s="711"/>
      <c r="DO695" s="711"/>
      <c r="DP695" s="711"/>
      <c r="DQ695" s="711"/>
      <c r="EB695" s="719"/>
    </row>
    <row r="696" spans="5:132" s="709" customFormat="1" ht="18" hidden="1">
      <c r="E696" s="721"/>
      <c r="H696" s="723">
        <v>174</v>
      </c>
      <c r="I696" s="725"/>
      <c r="J696" s="724"/>
      <c r="K696" s="724"/>
      <c r="L696" s="724"/>
      <c r="M696" s="728"/>
      <c r="N696" s="724"/>
      <c r="O696" s="724"/>
      <c r="P696" s="724"/>
      <c r="Q696" s="724"/>
      <c r="R696" s="724"/>
      <c r="S696" s="724"/>
      <c r="T696" s="724"/>
      <c r="U696" s="724"/>
      <c r="V696" s="724"/>
      <c r="W696" s="724"/>
      <c r="X696" s="724"/>
      <c r="Y696" s="724"/>
      <c r="Z696" s="724"/>
      <c r="AA696" s="724"/>
      <c r="AB696" s="724"/>
      <c r="AC696" s="729"/>
      <c r="AD696" s="724"/>
      <c r="AE696" s="724"/>
      <c r="AF696" s="724"/>
      <c r="AG696" s="724"/>
      <c r="AH696" s="724"/>
      <c r="AI696" s="724"/>
      <c r="AJ696" s="724"/>
      <c r="AU696" s="713"/>
      <c r="AW696" s="712"/>
      <c r="BY696" s="714"/>
      <c r="BZ696" s="715"/>
      <c r="CA696" s="716"/>
      <c r="CB696" s="717"/>
      <c r="CC696" s="717"/>
      <c r="CD696" s="717"/>
      <c r="CE696" s="717"/>
      <c r="CF696" s="717"/>
      <c r="CG696" s="717"/>
      <c r="CH696" s="717"/>
      <c r="CI696" s="717"/>
      <c r="CJ696" s="717"/>
      <c r="CK696" s="717"/>
      <c r="CL696" s="717"/>
      <c r="CM696" s="717"/>
      <c r="CN696" s="717"/>
      <c r="CO696" s="717"/>
      <c r="CP696" s="717"/>
      <c r="CQ696" s="717"/>
      <c r="CR696" s="717"/>
      <c r="CS696" s="717"/>
      <c r="CT696" s="717"/>
      <c r="CU696" s="717"/>
      <c r="CV696" s="717"/>
      <c r="CW696" s="717"/>
      <c r="CX696" s="717"/>
      <c r="CY696" s="717"/>
      <c r="CZ696" s="717"/>
      <c r="DA696" s="717"/>
      <c r="DB696" s="717"/>
      <c r="DC696" s="717"/>
      <c r="DD696" s="717"/>
      <c r="DE696" s="717"/>
      <c r="DF696" s="717"/>
      <c r="DG696" s="717"/>
      <c r="DH696" s="717"/>
      <c r="DI696" s="717"/>
      <c r="DJ696" s="717"/>
      <c r="DM696" s="711"/>
      <c r="DN696" s="711"/>
      <c r="DO696" s="711"/>
      <c r="DP696" s="711"/>
      <c r="DQ696" s="711"/>
      <c r="EB696" s="719"/>
    </row>
    <row r="697" spans="5:132" s="709" customFormat="1" ht="18" hidden="1">
      <c r="E697" s="721"/>
      <c r="H697" s="723">
        <v>175</v>
      </c>
      <c r="I697" s="725"/>
      <c r="J697" s="724"/>
      <c r="K697" s="724"/>
      <c r="L697" s="724"/>
      <c r="M697" s="728"/>
      <c r="N697" s="724"/>
      <c r="O697" s="724"/>
      <c r="P697" s="724"/>
      <c r="Q697" s="724"/>
      <c r="R697" s="724"/>
      <c r="S697" s="724"/>
      <c r="T697" s="724"/>
      <c r="U697" s="724"/>
      <c r="V697" s="724"/>
      <c r="W697" s="724"/>
      <c r="X697" s="724"/>
      <c r="Y697" s="724"/>
      <c r="Z697" s="724"/>
      <c r="AA697" s="724"/>
      <c r="AB697" s="724"/>
      <c r="AC697" s="729"/>
      <c r="AD697" s="724"/>
      <c r="AE697" s="724"/>
      <c r="AF697" s="724"/>
      <c r="AG697" s="724"/>
      <c r="AH697" s="724"/>
      <c r="AI697" s="724"/>
      <c r="AJ697" s="724"/>
      <c r="AU697" s="713"/>
      <c r="AW697" s="712"/>
      <c r="BY697" s="714"/>
      <c r="BZ697" s="715"/>
      <c r="CA697" s="716"/>
      <c r="CB697" s="717"/>
      <c r="CC697" s="717"/>
      <c r="CD697" s="717"/>
      <c r="CE697" s="717"/>
      <c r="CF697" s="717"/>
      <c r="CG697" s="717"/>
      <c r="CH697" s="717"/>
      <c r="CI697" s="717"/>
      <c r="CJ697" s="717"/>
      <c r="CK697" s="717"/>
      <c r="CL697" s="717"/>
      <c r="CM697" s="717"/>
      <c r="CN697" s="717"/>
      <c r="CO697" s="717"/>
      <c r="CP697" s="717"/>
      <c r="CQ697" s="717"/>
      <c r="CR697" s="717"/>
      <c r="CS697" s="717"/>
      <c r="CT697" s="717"/>
      <c r="CU697" s="717"/>
      <c r="CV697" s="717"/>
      <c r="CW697" s="717"/>
      <c r="CX697" s="717"/>
      <c r="CY697" s="717"/>
      <c r="CZ697" s="717"/>
      <c r="DA697" s="717"/>
      <c r="DB697" s="717"/>
      <c r="DC697" s="717"/>
      <c r="DD697" s="717"/>
      <c r="DE697" s="717"/>
      <c r="DF697" s="717"/>
      <c r="DG697" s="717"/>
      <c r="DH697" s="717"/>
      <c r="DI697" s="717"/>
      <c r="DJ697" s="717"/>
      <c r="DM697" s="711"/>
      <c r="DN697" s="711"/>
      <c r="DO697" s="711"/>
      <c r="DP697" s="711"/>
      <c r="DQ697" s="711"/>
      <c r="EB697" s="719"/>
    </row>
    <row r="698" spans="5:132" s="709" customFormat="1" ht="18" hidden="1">
      <c r="E698" s="721"/>
      <c r="H698" s="723">
        <v>176</v>
      </c>
      <c r="I698" s="725"/>
      <c r="J698" s="724"/>
      <c r="K698" s="724"/>
      <c r="L698" s="724"/>
      <c r="M698" s="728"/>
      <c r="N698" s="724"/>
      <c r="O698" s="724"/>
      <c r="P698" s="724"/>
      <c r="Q698" s="724"/>
      <c r="R698" s="724"/>
      <c r="S698" s="724"/>
      <c r="T698" s="724"/>
      <c r="U698" s="724"/>
      <c r="V698" s="724"/>
      <c r="W698" s="724"/>
      <c r="X698" s="724"/>
      <c r="Y698" s="724"/>
      <c r="Z698" s="724"/>
      <c r="AA698" s="724"/>
      <c r="AB698" s="724"/>
      <c r="AC698" s="729"/>
      <c r="AD698" s="724"/>
      <c r="AE698" s="724"/>
      <c r="AF698" s="724"/>
      <c r="AG698" s="724"/>
      <c r="AH698" s="724"/>
      <c r="AI698" s="724"/>
      <c r="AJ698" s="724"/>
      <c r="AU698" s="713"/>
      <c r="AW698" s="712"/>
      <c r="BY698" s="714"/>
      <c r="BZ698" s="715"/>
      <c r="CA698" s="716"/>
      <c r="CB698" s="717"/>
      <c r="CC698" s="717"/>
      <c r="CD698" s="717"/>
      <c r="CE698" s="717"/>
      <c r="CF698" s="717"/>
      <c r="CG698" s="717"/>
      <c r="CH698" s="717"/>
      <c r="CI698" s="717"/>
      <c r="CJ698" s="717"/>
      <c r="CK698" s="717"/>
      <c r="CL698" s="717"/>
      <c r="CM698" s="717"/>
      <c r="CN698" s="717"/>
      <c r="CO698" s="717"/>
      <c r="CP698" s="717"/>
      <c r="CQ698" s="717"/>
      <c r="CR698" s="717"/>
      <c r="CS698" s="717"/>
      <c r="CT698" s="717"/>
      <c r="CU698" s="717"/>
      <c r="CV698" s="717"/>
      <c r="CW698" s="717"/>
      <c r="CX698" s="717"/>
      <c r="CY698" s="717"/>
      <c r="CZ698" s="717"/>
      <c r="DA698" s="717"/>
      <c r="DB698" s="717"/>
      <c r="DC698" s="717"/>
      <c r="DD698" s="717"/>
      <c r="DE698" s="717"/>
      <c r="DF698" s="717"/>
      <c r="DG698" s="717"/>
      <c r="DH698" s="717"/>
      <c r="DI698" s="717"/>
      <c r="DJ698" s="717"/>
      <c r="DM698" s="711"/>
      <c r="DN698" s="711"/>
      <c r="DO698" s="711"/>
      <c r="DP698" s="711"/>
      <c r="DQ698" s="711"/>
      <c r="EB698" s="719"/>
    </row>
    <row r="699" spans="5:132" s="709" customFormat="1" ht="18" hidden="1">
      <c r="E699" s="721"/>
      <c r="H699" s="723">
        <v>180</v>
      </c>
      <c r="I699" s="725"/>
      <c r="J699" s="724"/>
      <c r="K699" s="724"/>
      <c r="L699" s="724"/>
      <c r="M699" s="728"/>
      <c r="N699" s="724"/>
      <c r="O699" s="724"/>
      <c r="P699" s="724"/>
      <c r="Q699" s="724"/>
      <c r="R699" s="724"/>
      <c r="S699" s="724"/>
      <c r="T699" s="724"/>
      <c r="U699" s="724"/>
      <c r="V699" s="724"/>
      <c r="W699" s="724"/>
      <c r="X699" s="724"/>
      <c r="Y699" s="724"/>
      <c r="Z699" s="724"/>
      <c r="AA699" s="724"/>
      <c r="AB699" s="724"/>
      <c r="AC699" s="729"/>
      <c r="AD699" s="724"/>
      <c r="AE699" s="724"/>
      <c r="AF699" s="724"/>
      <c r="AG699" s="724"/>
      <c r="AH699" s="724"/>
      <c r="AI699" s="724"/>
      <c r="AJ699" s="724"/>
      <c r="AU699" s="713"/>
      <c r="AW699" s="712"/>
      <c r="BY699" s="714"/>
      <c r="BZ699" s="715"/>
      <c r="CA699" s="716"/>
      <c r="CB699" s="717"/>
      <c r="CC699" s="717"/>
      <c r="CD699" s="717"/>
      <c r="CE699" s="717"/>
      <c r="CF699" s="717"/>
      <c r="CG699" s="717"/>
      <c r="CH699" s="717"/>
      <c r="CI699" s="717"/>
      <c r="CJ699" s="717"/>
      <c r="CK699" s="717"/>
      <c r="CL699" s="717"/>
      <c r="CM699" s="717"/>
      <c r="CN699" s="717"/>
      <c r="CO699" s="717"/>
      <c r="CP699" s="717"/>
      <c r="CQ699" s="717"/>
      <c r="CR699" s="717"/>
      <c r="CS699" s="717"/>
      <c r="CT699" s="717"/>
      <c r="CU699" s="717"/>
      <c r="CV699" s="717"/>
      <c r="CW699" s="717"/>
      <c r="CX699" s="717"/>
      <c r="CY699" s="717"/>
      <c r="CZ699" s="717"/>
      <c r="DA699" s="717"/>
      <c r="DB699" s="717"/>
      <c r="DC699" s="717"/>
      <c r="DD699" s="717"/>
      <c r="DE699" s="717"/>
      <c r="DF699" s="717"/>
      <c r="DG699" s="717"/>
      <c r="DH699" s="717"/>
      <c r="DI699" s="717"/>
      <c r="DJ699" s="717"/>
      <c r="DM699" s="711"/>
      <c r="DN699" s="711"/>
      <c r="DO699" s="711"/>
      <c r="DP699" s="711"/>
      <c r="DQ699" s="711"/>
      <c r="EB699" s="719"/>
    </row>
    <row r="700" spans="5:132" s="709" customFormat="1" ht="18" hidden="1">
      <c r="E700" s="721"/>
      <c r="H700" s="723">
        <v>181</v>
      </c>
      <c r="I700" s="725"/>
      <c r="J700" s="724"/>
      <c r="K700" s="724"/>
      <c r="L700" s="724"/>
      <c r="M700" s="728"/>
      <c r="N700" s="724"/>
      <c r="O700" s="724"/>
      <c r="P700" s="724"/>
      <c r="Q700" s="724"/>
      <c r="R700" s="724"/>
      <c r="S700" s="724"/>
      <c r="T700" s="724"/>
      <c r="U700" s="724"/>
      <c r="V700" s="724"/>
      <c r="W700" s="724"/>
      <c r="X700" s="724"/>
      <c r="Y700" s="724"/>
      <c r="Z700" s="724"/>
      <c r="AA700" s="724"/>
      <c r="AB700" s="724"/>
      <c r="AC700" s="729"/>
      <c r="AD700" s="724"/>
      <c r="AE700" s="724"/>
      <c r="AF700" s="724"/>
      <c r="AG700" s="724"/>
      <c r="AH700" s="724"/>
      <c r="AI700" s="724"/>
      <c r="AJ700" s="724"/>
      <c r="AU700" s="713"/>
      <c r="AW700" s="712"/>
      <c r="BY700" s="714"/>
      <c r="BZ700" s="715"/>
      <c r="CA700" s="716"/>
      <c r="CB700" s="717"/>
      <c r="CC700" s="717"/>
      <c r="CD700" s="717"/>
      <c r="CE700" s="717"/>
      <c r="CF700" s="717"/>
      <c r="CG700" s="717"/>
      <c r="CH700" s="717"/>
      <c r="CI700" s="717"/>
      <c r="CJ700" s="717"/>
      <c r="CK700" s="717"/>
      <c r="CL700" s="717"/>
      <c r="CM700" s="717"/>
      <c r="CN700" s="717"/>
      <c r="CO700" s="717"/>
      <c r="CP700" s="717"/>
      <c r="CQ700" s="717"/>
      <c r="CR700" s="717"/>
      <c r="CS700" s="717"/>
      <c r="CT700" s="717"/>
      <c r="CU700" s="717"/>
      <c r="CV700" s="717"/>
      <c r="CW700" s="717"/>
      <c r="CX700" s="717"/>
      <c r="CY700" s="717"/>
      <c r="CZ700" s="717"/>
      <c r="DA700" s="717"/>
      <c r="DB700" s="717"/>
      <c r="DC700" s="717"/>
      <c r="DD700" s="717"/>
      <c r="DE700" s="717"/>
      <c r="DF700" s="717"/>
      <c r="DG700" s="717"/>
      <c r="DH700" s="717"/>
      <c r="DI700" s="717"/>
      <c r="DJ700" s="717"/>
      <c r="DM700" s="711"/>
      <c r="DN700" s="711"/>
      <c r="DO700" s="711"/>
      <c r="DP700" s="711"/>
      <c r="DQ700" s="711"/>
      <c r="EB700" s="719"/>
    </row>
    <row r="701" spans="5:132" s="709" customFormat="1" ht="18" hidden="1">
      <c r="E701" s="721"/>
      <c r="H701" s="723">
        <v>182</v>
      </c>
      <c r="I701" s="725"/>
      <c r="J701" s="724"/>
      <c r="K701" s="724"/>
      <c r="L701" s="724"/>
      <c r="M701" s="728"/>
      <c r="N701" s="724"/>
      <c r="O701" s="724"/>
      <c r="P701" s="724"/>
      <c r="Q701" s="724"/>
      <c r="R701" s="724"/>
      <c r="S701" s="724"/>
      <c r="T701" s="724"/>
      <c r="U701" s="724"/>
      <c r="V701" s="724"/>
      <c r="W701" s="724"/>
      <c r="X701" s="724"/>
      <c r="Y701" s="724"/>
      <c r="Z701" s="724"/>
      <c r="AA701" s="724"/>
      <c r="AB701" s="724"/>
      <c r="AC701" s="729"/>
      <c r="AD701" s="724"/>
      <c r="AE701" s="724"/>
      <c r="AF701" s="724"/>
      <c r="AG701" s="724"/>
      <c r="AH701" s="724"/>
      <c r="AI701" s="724"/>
      <c r="AJ701" s="724"/>
      <c r="AU701" s="713"/>
      <c r="AW701" s="712"/>
      <c r="BY701" s="714"/>
      <c r="BZ701" s="715"/>
      <c r="CA701" s="716"/>
      <c r="CB701" s="717"/>
      <c r="CC701" s="717"/>
      <c r="CD701" s="717"/>
      <c r="CE701" s="717"/>
      <c r="CF701" s="717"/>
      <c r="CG701" s="717"/>
      <c r="CH701" s="717"/>
      <c r="CI701" s="717"/>
      <c r="CJ701" s="717"/>
      <c r="CK701" s="717"/>
      <c r="CL701" s="717"/>
      <c r="CM701" s="717"/>
      <c r="CN701" s="717"/>
      <c r="CO701" s="717"/>
      <c r="CP701" s="717"/>
      <c r="CQ701" s="717"/>
      <c r="CR701" s="717"/>
      <c r="CS701" s="717"/>
      <c r="CT701" s="717"/>
      <c r="CU701" s="717"/>
      <c r="CV701" s="717"/>
      <c r="CW701" s="717"/>
      <c r="CX701" s="717"/>
      <c r="CY701" s="717"/>
      <c r="CZ701" s="717"/>
      <c r="DA701" s="717"/>
      <c r="DB701" s="717"/>
      <c r="DC701" s="717"/>
      <c r="DD701" s="717"/>
      <c r="DE701" s="717"/>
      <c r="DF701" s="717"/>
      <c r="DG701" s="717"/>
      <c r="DH701" s="717"/>
      <c r="DI701" s="717"/>
      <c r="DJ701" s="717"/>
      <c r="DM701" s="711"/>
      <c r="DN701" s="711"/>
      <c r="DO701" s="711"/>
      <c r="DP701" s="711"/>
      <c r="DQ701" s="711"/>
      <c r="EB701" s="719"/>
    </row>
    <row r="702" spans="5:132" s="709" customFormat="1" ht="18" hidden="1">
      <c r="E702" s="721"/>
      <c r="H702" s="723">
        <v>183</v>
      </c>
      <c r="I702" s="726"/>
      <c r="J702" s="724"/>
      <c r="K702" s="724"/>
      <c r="L702" s="724"/>
      <c r="M702" s="728"/>
      <c r="N702" s="724"/>
      <c r="O702" s="724"/>
      <c r="P702" s="724"/>
      <c r="Q702" s="724"/>
      <c r="R702" s="724"/>
      <c r="S702" s="724"/>
      <c r="T702" s="724"/>
      <c r="U702" s="724"/>
      <c r="V702" s="724"/>
      <c r="W702" s="724"/>
      <c r="X702" s="724"/>
      <c r="Y702" s="724"/>
      <c r="Z702" s="724"/>
      <c r="AA702" s="724"/>
      <c r="AB702" s="724"/>
      <c r="AC702" s="729"/>
      <c r="AD702" s="724"/>
      <c r="AE702" s="724"/>
      <c r="AF702" s="724"/>
      <c r="AG702" s="724"/>
      <c r="AH702" s="724"/>
      <c r="AI702" s="724"/>
      <c r="AJ702" s="724"/>
      <c r="AU702" s="713"/>
      <c r="AW702" s="712"/>
      <c r="BY702" s="714"/>
      <c r="BZ702" s="715"/>
      <c r="CA702" s="716"/>
      <c r="CB702" s="717"/>
      <c r="CC702" s="717"/>
      <c r="CD702" s="717"/>
      <c r="CE702" s="717"/>
      <c r="CF702" s="717"/>
      <c r="CG702" s="717"/>
      <c r="CH702" s="717"/>
      <c r="CI702" s="717"/>
      <c r="CJ702" s="717"/>
      <c r="CK702" s="717"/>
      <c r="CL702" s="717"/>
      <c r="CM702" s="717"/>
      <c r="CN702" s="717"/>
      <c r="CO702" s="717"/>
      <c r="CP702" s="717"/>
      <c r="CQ702" s="717"/>
      <c r="CR702" s="717"/>
      <c r="CS702" s="717"/>
      <c r="CT702" s="717"/>
      <c r="CU702" s="717"/>
      <c r="CV702" s="717"/>
      <c r="CW702" s="717"/>
      <c r="CX702" s="717"/>
      <c r="CY702" s="717"/>
      <c r="CZ702" s="717"/>
      <c r="DA702" s="717"/>
      <c r="DB702" s="717"/>
      <c r="DC702" s="717"/>
      <c r="DD702" s="717"/>
      <c r="DE702" s="717"/>
      <c r="DF702" s="717"/>
      <c r="DG702" s="717"/>
      <c r="DH702" s="717"/>
      <c r="DI702" s="717"/>
      <c r="DJ702" s="717"/>
      <c r="DM702" s="711"/>
      <c r="DN702" s="711"/>
      <c r="DO702" s="711"/>
      <c r="DP702" s="711"/>
      <c r="DQ702" s="711"/>
      <c r="EB702" s="719"/>
    </row>
    <row r="703" spans="5:132" s="709" customFormat="1" ht="18" hidden="1">
      <c r="E703" s="721"/>
      <c r="H703" s="723">
        <v>184</v>
      </c>
      <c r="I703" s="726"/>
      <c r="J703" s="724"/>
      <c r="K703" s="724"/>
      <c r="L703" s="724"/>
      <c r="M703" s="728"/>
      <c r="N703" s="724"/>
      <c r="O703" s="724"/>
      <c r="P703" s="724"/>
      <c r="Q703" s="724"/>
      <c r="R703" s="724"/>
      <c r="S703" s="724"/>
      <c r="T703" s="724"/>
      <c r="U703" s="724"/>
      <c r="V703" s="724"/>
      <c r="W703" s="724"/>
      <c r="X703" s="724"/>
      <c r="Y703" s="724"/>
      <c r="Z703" s="724"/>
      <c r="AA703" s="724"/>
      <c r="AB703" s="724"/>
      <c r="AC703" s="729"/>
      <c r="AD703" s="724"/>
      <c r="AE703" s="724"/>
      <c r="AF703" s="724"/>
      <c r="AG703" s="724"/>
      <c r="AH703" s="724"/>
      <c r="AI703" s="724"/>
      <c r="AJ703" s="724"/>
      <c r="AU703" s="713"/>
      <c r="AW703" s="712"/>
      <c r="BY703" s="714"/>
      <c r="BZ703" s="715"/>
      <c r="CA703" s="716"/>
      <c r="CB703" s="717"/>
      <c r="CC703" s="717"/>
      <c r="CD703" s="717"/>
      <c r="CE703" s="717"/>
      <c r="CF703" s="717"/>
      <c r="CG703" s="717"/>
      <c r="CH703" s="717"/>
      <c r="CI703" s="717"/>
      <c r="CJ703" s="717"/>
      <c r="CK703" s="717"/>
      <c r="CL703" s="717"/>
      <c r="CM703" s="717"/>
      <c r="CN703" s="717"/>
      <c r="CO703" s="717"/>
      <c r="CP703" s="717"/>
      <c r="CQ703" s="717"/>
      <c r="CR703" s="717"/>
      <c r="CS703" s="717"/>
      <c r="CT703" s="717"/>
      <c r="CU703" s="717"/>
      <c r="CV703" s="717"/>
      <c r="CW703" s="717"/>
      <c r="CX703" s="717"/>
      <c r="CY703" s="717"/>
      <c r="CZ703" s="717"/>
      <c r="DA703" s="717"/>
      <c r="DB703" s="717"/>
      <c r="DC703" s="717"/>
      <c r="DD703" s="717"/>
      <c r="DE703" s="717"/>
      <c r="DF703" s="717"/>
      <c r="DG703" s="717"/>
      <c r="DH703" s="717"/>
      <c r="DI703" s="717"/>
      <c r="DJ703" s="717"/>
      <c r="DM703" s="711"/>
      <c r="DN703" s="711"/>
      <c r="DO703" s="711"/>
      <c r="DP703" s="711"/>
      <c r="DQ703" s="711"/>
      <c r="EB703" s="719"/>
    </row>
    <row r="704" spans="5:132" s="709" customFormat="1" ht="18" hidden="1">
      <c r="E704" s="721"/>
      <c r="H704" s="723">
        <v>185</v>
      </c>
      <c r="I704" s="726"/>
      <c r="J704" s="724"/>
      <c r="K704" s="724"/>
      <c r="L704" s="724"/>
      <c r="M704" s="728"/>
      <c r="N704" s="724"/>
      <c r="O704" s="724"/>
      <c r="P704" s="724"/>
      <c r="Q704" s="724"/>
      <c r="R704" s="724"/>
      <c r="S704" s="724"/>
      <c r="T704" s="724"/>
      <c r="U704" s="724"/>
      <c r="V704" s="724"/>
      <c r="W704" s="724"/>
      <c r="X704" s="724"/>
      <c r="Y704" s="724"/>
      <c r="Z704" s="724"/>
      <c r="AA704" s="724"/>
      <c r="AB704" s="724"/>
      <c r="AC704" s="729"/>
      <c r="AD704" s="724"/>
      <c r="AE704" s="724"/>
      <c r="AF704" s="724"/>
      <c r="AG704" s="724"/>
      <c r="AH704" s="724"/>
      <c r="AI704" s="724"/>
      <c r="AJ704" s="724"/>
      <c r="AU704" s="713"/>
      <c r="AW704" s="712"/>
      <c r="BY704" s="714"/>
      <c r="BZ704" s="715"/>
      <c r="CA704" s="716"/>
      <c r="CB704" s="717"/>
      <c r="CC704" s="717"/>
      <c r="CD704" s="717"/>
      <c r="CE704" s="717"/>
      <c r="CF704" s="717"/>
      <c r="CG704" s="717"/>
      <c r="CH704" s="717"/>
      <c r="CI704" s="717"/>
      <c r="CJ704" s="717"/>
      <c r="CK704" s="717"/>
      <c r="CL704" s="717"/>
      <c r="CM704" s="717"/>
      <c r="CN704" s="717"/>
      <c r="CO704" s="717"/>
      <c r="CP704" s="717"/>
      <c r="CQ704" s="717"/>
      <c r="CR704" s="717"/>
      <c r="CS704" s="717"/>
      <c r="CT704" s="717"/>
      <c r="CU704" s="717"/>
      <c r="CV704" s="717"/>
      <c r="CW704" s="717"/>
      <c r="CX704" s="717"/>
      <c r="CY704" s="717"/>
      <c r="CZ704" s="717"/>
      <c r="DA704" s="717"/>
      <c r="DB704" s="717"/>
      <c r="DC704" s="717"/>
      <c r="DD704" s="717"/>
      <c r="DE704" s="717"/>
      <c r="DF704" s="717"/>
      <c r="DG704" s="717"/>
      <c r="DH704" s="717"/>
      <c r="DI704" s="717"/>
      <c r="DJ704" s="717"/>
      <c r="DM704" s="711"/>
      <c r="DN704" s="711"/>
      <c r="DO704" s="711"/>
      <c r="DP704" s="711"/>
      <c r="DQ704" s="711"/>
      <c r="EB704" s="719"/>
    </row>
    <row r="705" spans="5:132" s="709" customFormat="1" ht="18" hidden="1">
      <c r="E705" s="721"/>
      <c r="H705" s="723">
        <v>186</v>
      </c>
      <c r="I705" s="726"/>
      <c r="J705" s="724"/>
      <c r="K705" s="724"/>
      <c r="L705" s="724"/>
      <c r="M705" s="728"/>
      <c r="N705" s="724"/>
      <c r="O705" s="724"/>
      <c r="P705" s="724"/>
      <c r="Q705" s="724"/>
      <c r="R705" s="724"/>
      <c r="S705" s="724"/>
      <c r="T705" s="724"/>
      <c r="U705" s="724"/>
      <c r="V705" s="724"/>
      <c r="W705" s="724"/>
      <c r="X705" s="724"/>
      <c r="Y705" s="724"/>
      <c r="Z705" s="724"/>
      <c r="AA705" s="724"/>
      <c r="AB705" s="724"/>
      <c r="AC705" s="729"/>
      <c r="AD705" s="724"/>
      <c r="AE705" s="724"/>
      <c r="AF705" s="724"/>
      <c r="AG705" s="724"/>
      <c r="AH705" s="724"/>
      <c r="AI705" s="724"/>
      <c r="AJ705" s="724"/>
      <c r="AU705" s="713"/>
      <c r="AW705" s="712"/>
      <c r="BY705" s="714"/>
      <c r="BZ705" s="715"/>
      <c r="CA705" s="716"/>
      <c r="CB705" s="717"/>
      <c r="CC705" s="717"/>
      <c r="CD705" s="717"/>
      <c r="CE705" s="717"/>
      <c r="CF705" s="717"/>
      <c r="CG705" s="717"/>
      <c r="CH705" s="717"/>
      <c r="CI705" s="717"/>
      <c r="CJ705" s="717"/>
      <c r="CK705" s="717"/>
      <c r="CL705" s="717"/>
      <c r="CM705" s="717"/>
      <c r="CN705" s="717"/>
      <c r="CO705" s="717"/>
      <c r="CP705" s="717"/>
      <c r="CQ705" s="717"/>
      <c r="CR705" s="717"/>
      <c r="CS705" s="717"/>
      <c r="CT705" s="717"/>
      <c r="CU705" s="717"/>
      <c r="CV705" s="717"/>
      <c r="CW705" s="717"/>
      <c r="CX705" s="717"/>
      <c r="CY705" s="717"/>
      <c r="CZ705" s="717"/>
      <c r="DA705" s="717"/>
      <c r="DB705" s="717"/>
      <c r="DC705" s="717"/>
      <c r="DD705" s="717"/>
      <c r="DE705" s="717"/>
      <c r="DF705" s="717"/>
      <c r="DG705" s="717"/>
      <c r="DH705" s="717"/>
      <c r="DI705" s="717"/>
      <c r="DJ705" s="717"/>
      <c r="DM705" s="711"/>
      <c r="DN705" s="711"/>
      <c r="DO705" s="711"/>
      <c r="DP705" s="711"/>
      <c r="DQ705" s="711"/>
      <c r="EB705" s="719"/>
    </row>
    <row r="706" spans="5:132" s="709" customFormat="1" ht="18" hidden="1">
      <c r="E706" s="721"/>
      <c r="H706" s="723">
        <v>187</v>
      </c>
      <c r="I706" s="726"/>
      <c r="J706" s="724"/>
      <c r="K706" s="724"/>
      <c r="L706" s="724"/>
      <c r="M706" s="728"/>
      <c r="N706" s="724"/>
      <c r="O706" s="724"/>
      <c r="P706" s="724"/>
      <c r="Q706" s="724"/>
      <c r="R706" s="724"/>
      <c r="S706" s="724"/>
      <c r="T706" s="724"/>
      <c r="U706" s="724"/>
      <c r="V706" s="724"/>
      <c r="W706" s="724"/>
      <c r="X706" s="724"/>
      <c r="Y706" s="724"/>
      <c r="Z706" s="724"/>
      <c r="AA706" s="724"/>
      <c r="AB706" s="724"/>
      <c r="AC706" s="729"/>
      <c r="AD706" s="724"/>
      <c r="AE706" s="724"/>
      <c r="AF706" s="724"/>
      <c r="AG706" s="724"/>
      <c r="AH706" s="724"/>
      <c r="AI706" s="724"/>
      <c r="AJ706" s="724"/>
      <c r="AU706" s="713"/>
      <c r="AW706" s="712"/>
      <c r="BY706" s="714"/>
      <c r="BZ706" s="715"/>
      <c r="CA706" s="716"/>
      <c r="CB706" s="717"/>
      <c r="CC706" s="717"/>
      <c r="CD706" s="717"/>
      <c r="CE706" s="717"/>
      <c r="CF706" s="717"/>
      <c r="CG706" s="717"/>
      <c r="CH706" s="717"/>
      <c r="CI706" s="717"/>
      <c r="CJ706" s="717"/>
      <c r="CK706" s="717"/>
      <c r="CL706" s="717"/>
      <c r="CM706" s="717"/>
      <c r="CN706" s="717"/>
      <c r="CO706" s="717"/>
      <c r="CP706" s="717"/>
      <c r="CQ706" s="717"/>
      <c r="CR706" s="717"/>
      <c r="CS706" s="717"/>
      <c r="CT706" s="717"/>
      <c r="CU706" s="717"/>
      <c r="CV706" s="717"/>
      <c r="CW706" s="717"/>
      <c r="CX706" s="717"/>
      <c r="CY706" s="717"/>
      <c r="CZ706" s="717"/>
      <c r="DA706" s="717"/>
      <c r="DB706" s="717"/>
      <c r="DC706" s="717"/>
      <c r="DD706" s="717"/>
      <c r="DE706" s="717"/>
      <c r="DF706" s="717"/>
      <c r="DG706" s="717"/>
      <c r="DH706" s="717"/>
      <c r="DI706" s="717"/>
      <c r="DJ706" s="717"/>
      <c r="DM706" s="711"/>
      <c r="DN706" s="711"/>
      <c r="DO706" s="711"/>
      <c r="DP706" s="711"/>
      <c r="DQ706" s="711"/>
      <c r="EB706" s="719"/>
    </row>
    <row r="707" spans="5:132" s="709" customFormat="1" ht="18" hidden="1">
      <c r="E707" s="721"/>
      <c r="H707" s="723">
        <v>188</v>
      </c>
      <c r="I707" s="726"/>
      <c r="J707" s="724"/>
      <c r="K707" s="724"/>
      <c r="L707" s="724"/>
      <c r="M707" s="728"/>
      <c r="N707" s="724"/>
      <c r="O707" s="724"/>
      <c r="P707" s="724"/>
      <c r="Q707" s="724"/>
      <c r="R707" s="724"/>
      <c r="S707" s="724"/>
      <c r="T707" s="724"/>
      <c r="U707" s="724"/>
      <c r="V707" s="724"/>
      <c r="W707" s="724"/>
      <c r="X707" s="724"/>
      <c r="Y707" s="724"/>
      <c r="Z707" s="724"/>
      <c r="AA707" s="724"/>
      <c r="AB707" s="724"/>
      <c r="AC707" s="729"/>
      <c r="AD707" s="724"/>
      <c r="AE707" s="724"/>
      <c r="AF707" s="724"/>
      <c r="AG707" s="724"/>
      <c r="AH707" s="724"/>
      <c r="AI707" s="724"/>
      <c r="AJ707" s="724"/>
      <c r="AU707" s="713"/>
      <c r="AW707" s="712"/>
      <c r="BY707" s="714"/>
      <c r="BZ707" s="715"/>
      <c r="CA707" s="716"/>
      <c r="CB707" s="717"/>
      <c r="CC707" s="717"/>
      <c r="CD707" s="717"/>
      <c r="CE707" s="717"/>
      <c r="CF707" s="717"/>
      <c r="CG707" s="717"/>
      <c r="CH707" s="717"/>
      <c r="CI707" s="717"/>
      <c r="CJ707" s="717"/>
      <c r="CK707" s="717"/>
      <c r="CL707" s="717"/>
      <c r="CM707" s="717"/>
      <c r="CN707" s="717"/>
      <c r="CO707" s="717"/>
      <c r="CP707" s="717"/>
      <c r="CQ707" s="717"/>
      <c r="CR707" s="717"/>
      <c r="CS707" s="717"/>
      <c r="CT707" s="717"/>
      <c r="CU707" s="717"/>
      <c r="CV707" s="717"/>
      <c r="CW707" s="717"/>
      <c r="CX707" s="717"/>
      <c r="CY707" s="717"/>
      <c r="CZ707" s="717"/>
      <c r="DA707" s="717"/>
      <c r="DB707" s="717"/>
      <c r="DC707" s="717"/>
      <c r="DD707" s="717"/>
      <c r="DE707" s="717"/>
      <c r="DF707" s="717"/>
      <c r="DG707" s="717"/>
      <c r="DH707" s="717"/>
      <c r="DI707" s="717"/>
      <c r="DJ707" s="717"/>
      <c r="DM707" s="711"/>
      <c r="DN707" s="711"/>
      <c r="DO707" s="711"/>
      <c r="DP707" s="711"/>
      <c r="DQ707" s="711"/>
      <c r="EB707" s="719"/>
    </row>
    <row r="708" spans="5:132" s="709" customFormat="1" ht="18" hidden="1">
      <c r="E708" s="721"/>
      <c r="H708" s="723">
        <v>189</v>
      </c>
      <c r="I708" s="726"/>
      <c r="J708" s="724"/>
      <c r="K708" s="724"/>
      <c r="L708" s="724"/>
      <c r="M708" s="728"/>
      <c r="N708" s="724"/>
      <c r="O708" s="724"/>
      <c r="P708" s="724"/>
      <c r="Q708" s="724"/>
      <c r="R708" s="724"/>
      <c r="S708" s="724"/>
      <c r="T708" s="724"/>
      <c r="U708" s="724"/>
      <c r="V708" s="724"/>
      <c r="W708" s="724"/>
      <c r="X708" s="724"/>
      <c r="Y708" s="724"/>
      <c r="Z708" s="724"/>
      <c r="AA708" s="724"/>
      <c r="AB708" s="724"/>
      <c r="AC708" s="729"/>
      <c r="AD708" s="724"/>
      <c r="AE708" s="724"/>
      <c r="AF708" s="724"/>
      <c r="AG708" s="724"/>
      <c r="AH708" s="724"/>
      <c r="AI708" s="724"/>
      <c r="AJ708" s="724"/>
      <c r="AU708" s="713"/>
      <c r="AW708" s="712"/>
      <c r="BY708" s="714"/>
      <c r="BZ708" s="715"/>
      <c r="CA708" s="716"/>
      <c r="CB708" s="717"/>
      <c r="CC708" s="717"/>
      <c r="CD708" s="717"/>
      <c r="CE708" s="717"/>
      <c r="CF708" s="717"/>
      <c r="CG708" s="717"/>
      <c r="CH708" s="717"/>
      <c r="CI708" s="717"/>
      <c r="CJ708" s="717"/>
      <c r="CK708" s="717"/>
      <c r="CL708" s="717"/>
      <c r="CM708" s="717"/>
      <c r="CN708" s="717"/>
      <c r="CO708" s="717"/>
      <c r="CP708" s="717"/>
      <c r="CQ708" s="717"/>
      <c r="CR708" s="717"/>
      <c r="CS708" s="717"/>
      <c r="CT708" s="717"/>
      <c r="CU708" s="717"/>
      <c r="CV708" s="717"/>
      <c r="CW708" s="717"/>
      <c r="CX708" s="717"/>
      <c r="CY708" s="717"/>
      <c r="CZ708" s="717"/>
      <c r="DA708" s="717"/>
      <c r="DB708" s="717"/>
      <c r="DC708" s="717"/>
      <c r="DD708" s="717"/>
      <c r="DE708" s="717"/>
      <c r="DF708" s="717"/>
      <c r="DG708" s="717"/>
      <c r="DH708" s="717"/>
      <c r="DI708" s="717"/>
      <c r="DJ708" s="717"/>
      <c r="DM708" s="711"/>
      <c r="DN708" s="711"/>
      <c r="DO708" s="711"/>
      <c r="DP708" s="711"/>
      <c r="DQ708" s="711"/>
      <c r="EB708" s="719"/>
    </row>
    <row r="709" spans="5:132" s="709" customFormat="1" ht="18" hidden="1">
      <c r="E709" s="721"/>
      <c r="H709" s="723">
        <v>190</v>
      </c>
      <c r="I709" s="726"/>
      <c r="J709" s="724"/>
      <c r="K709" s="724"/>
      <c r="L709" s="724"/>
      <c r="M709" s="728"/>
      <c r="N709" s="724"/>
      <c r="O709" s="724"/>
      <c r="P709" s="724"/>
      <c r="Q709" s="724"/>
      <c r="R709" s="724"/>
      <c r="S709" s="724"/>
      <c r="T709" s="724"/>
      <c r="U709" s="724"/>
      <c r="V709" s="724"/>
      <c r="W709" s="724"/>
      <c r="X709" s="724"/>
      <c r="Y709" s="724"/>
      <c r="Z709" s="724"/>
      <c r="AA709" s="724"/>
      <c r="AB709" s="724"/>
      <c r="AC709" s="729"/>
      <c r="AD709" s="724"/>
      <c r="AE709" s="724"/>
      <c r="AF709" s="724"/>
      <c r="AG709" s="724"/>
      <c r="AH709" s="724"/>
      <c r="AI709" s="724"/>
      <c r="AJ709" s="724"/>
      <c r="AU709" s="713"/>
      <c r="AW709" s="712"/>
      <c r="BY709" s="714"/>
      <c r="BZ709" s="715"/>
      <c r="CA709" s="716"/>
      <c r="CB709" s="717"/>
      <c r="CC709" s="717"/>
      <c r="CD709" s="717"/>
      <c r="CE709" s="717"/>
      <c r="CF709" s="717"/>
      <c r="CG709" s="717"/>
      <c r="CH709" s="717"/>
      <c r="CI709" s="717"/>
      <c r="CJ709" s="717"/>
      <c r="CK709" s="717"/>
      <c r="CL709" s="717"/>
      <c r="CM709" s="717"/>
      <c r="CN709" s="717"/>
      <c r="CO709" s="717"/>
      <c r="CP709" s="717"/>
      <c r="CQ709" s="717"/>
      <c r="CR709" s="717"/>
      <c r="CS709" s="717"/>
      <c r="CT709" s="717"/>
      <c r="CU709" s="717"/>
      <c r="CV709" s="717"/>
      <c r="CW709" s="717"/>
      <c r="CX709" s="717"/>
      <c r="CY709" s="717"/>
      <c r="CZ709" s="717"/>
      <c r="DA709" s="717"/>
      <c r="DB709" s="717"/>
      <c r="DC709" s="717"/>
      <c r="DD709" s="717"/>
      <c r="DE709" s="717"/>
      <c r="DF709" s="717"/>
      <c r="DG709" s="717"/>
      <c r="DH709" s="717"/>
      <c r="DI709" s="717"/>
      <c r="DJ709" s="717"/>
      <c r="DM709" s="711"/>
      <c r="DN709" s="711"/>
      <c r="DO709" s="711"/>
      <c r="DP709" s="711"/>
      <c r="DQ709" s="711"/>
      <c r="EB709" s="719"/>
    </row>
    <row r="710" spans="5:132" s="709" customFormat="1" ht="18" hidden="1">
      <c r="E710" s="721"/>
      <c r="H710" s="723">
        <v>191</v>
      </c>
      <c r="I710" s="726"/>
      <c r="J710" s="724"/>
      <c r="K710" s="724"/>
      <c r="L710" s="724"/>
      <c r="M710" s="728"/>
      <c r="N710" s="724"/>
      <c r="O710" s="724"/>
      <c r="P710" s="724"/>
      <c r="Q710" s="724"/>
      <c r="R710" s="724"/>
      <c r="S710" s="724"/>
      <c r="T710" s="724"/>
      <c r="U710" s="724"/>
      <c r="V710" s="724"/>
      <c r="W710" s="724"/>
      <c r="X710" s="724"/>
      <c r="Y710" s="724"/>
      <c r="Z710" s="724"/>
      <c r="AA710" s="724"/>
      <c r="AB710" s="724"/>
      <c r="AC710" s="729"/>
      <c r="AD710" s="724"/>
      <c r="AE710" s="724"/>
      <c r="AF710" s="724"/>
      <c r="AG710" s="724"/>
      <c r="AH710" s="724"/>
      <c r="AI710" s="724"/>
      <c r="AJ710" s="724"/>
      <c r="AU710" s="713"/>
      <c r="AW710" s="712"/>
      <c r="BY710" s="714"/>
      <c r="BZ710" s="715"/>
      <c r="CA710" s="716"/>
      <c r="CB710" s="717"/>
      <c r="CC710" s="717"/>
      <c r="CD710" s="717"/>
      <c r="CE710" s="717"/>
      <c r="CF710" s="717"/>
      <c r="CG710" s="717"/>
      <c r="CH710" s="717"/>
      <c r="CI710" s="717"/>
      <c r="CJ710" s="717"/>
      <c r="CK710" s="717"/>
      <c r="CL710" s="717"/>
      <c r="CM710" s="717"/>
      <c r="CN710" s="717"/>
      <c r="CO710" s="717"/>
      <c r="CP710" s="717"/>
      <c r="CQ710" s="717"/>
      <c r="CR710" s="717"/>
      <c r="CS710" s="717"/>
      <c r="CT710" s="717"/>
      <c r="CU710" s="717"/>
      <c r="CV710" s="717"/>
      <c r="CW710" s="717"/>
      <c r="CX710" s="717"/>
      <c r="CY710" s="717"/>
      <c r="CZ710" s="717"/>
      <c r="DA710" s="717"/>
      <c r="DB710" s="717"/>
      <c r="DC710" s="717"/>
      <c r="DD710" s="717"/>
      <c r="DE710" s="717"/>
      <c r="DF710" s="717"/>
      <c r="DG710" s="717"/>
      <c r="DH710" s="717"/>
      <c r="DI710" s="717"/>
      <c r="DJ710" s="717"/>
      <c r="DM710" s="711"/>
      <c r="DN710" s="711"/>
      <c r="DO710" s="711"/>
      <c r="DP710" s="711"/>
      <c r="DQ710" s="711"/>
      <c r="EB710" s="719"/>
    </row>
    <row r="711" spans="5:132" s="709" customFormat="1" ht="18" hidden="1">
      <c r="E711" s="721"/>
      <c r="H711" s="723">
        <v>192</v>
      </c>
      <c r="I711" s="726"/>
      <c r="J711" s="724"/>
      <c r="K711" s="724"/>
      <c r="L711" s="724"/>
      <c r="M711" s="728"/>
      <c r="N711" s="724"/>
      <c r="O711" s="724"/>
      <c r="P711" s="724"/>
      <c r="Q711" s="724"/>
      <c r="R711" s="724"/>
      <c r="S711" s="724"/>
      <c r="T711" s="724"/>
      <c r="U711" s="724"/>
      <c r="V711" s="724"/>
      <c r="W711" s="724"/>
      <c r="X711" s="724"/>
      <c r="Y711" s="724"/>
      <c r="Z711" s="724"/>
      <c r="AA711" s="724"/>
      <c r="AB711" s="724"/>
      <c r="AC711" s="729"/>
      <c r="AD711" s="724"/>
      <c r="AE711" s="724"/>
      <c r="AF711" s="724"/>
      <c r="AG711" s="724"/>
      <c r="AH711" s="724"/>
      <c r="AI711" s="724"/>
      <c r="AJ711" s="724"/>
      <c r="AU711" s="713"/>
      <c r="AW711" s="712"/>
      <c r="BY711" s="714"/>
      <c r="BZ711" s="715"/>
      <c r="CA711" s="716"/>
      <c r="CB711" s="717"/>
      <c r="CC711" s="717"/>
      <c r="CD711" s="717"/>
      <c r="CE711" s="717"/>
      <c r="CF711" s="717"/>
      <c r="CG711" s="717"/>
      <c r="CH711" s="717"/>
      <c r="CI711" s="717"/>
      <c r="CJ711" s="717"/>
      <c r="CK711" s="717"/>
      <c r="CL711" s="717"/>
      <c r="CM711" s="717"/>
      <c r="CN711" s="717"/>
      <c r="CO711" s="717"/>
      <c r="CP711" s="717"/>
      <c r="CQ711" s="717"/>
      <c r="CR711" s="717"/>
      <c r="CS711" s="717"/>
      <c r="CT711" s="717"/>
      <c r="CU711" s="717"/>
      <c r="CV711" s="717"/>
      <c r="CW711" s="717"/>
      <c r="CX711" s="717"/>
      <c r="CY711" s="717"/>
      <c r="CZ711" s="717"/>
      <c r="DA711" s="717"/>
      <c r="DB711" s="717"/>
      <c r="DC711" s="717"/>
      <c r="DD711" s="717"/>
      <c r="DE711" s="717"/>
      <c r="DF711" s="717"/>
      <c r="DG711" s="717"/>
      <c r="DH711" s="717"/>
      <c r="DI711" s="717"/>
      <c r="DJ711" s="717"/>
      <c r="DM711" s="711"/>
      <c r="DN711" s="711"/>
      <c r="DO711" s="711"/>
      <c r="DP711" s="711"/>
      <c r="DQ711" s="711"/>
      <c r="EB711" s="719"/>
    </row>
    <row r="712" spans="5:132" s="709" customFormat="1" ht="18" hidden="1">
      <c r="E712" s="721"/>
      <c r="H712" s="723">
        <v>193</v>
      </c>
      <c r="I712" s="726"/>
      <c r="J712" s="724"/>
      <c r="K712" s="724"/>
      <c r="L712" s="724"/>
      <c r="M712" s="728"/>
      <c r="N712" s="724"/>
      <c r="O712" s="724"/>
      <c r="P712" s="724"/>
      <c r="Q712" s="724"/>
      <c r="R712" s="724"/>
      <c r="S712" s="724"/>
      <c r="T712" s="724"/>
      <c r="U712" s="724"/>
      <c r="V712" s="724"/>
      <c r="W712" s="724"/>
      <c r="X712" s="724"/>
      <c r="Y712" s="724"/>
      <c r="Z712" s="724"/>
      <c r="AA712" s="724"/>
      <c r="AB712" s="724"/>
      <c r="AC712" s="729"/>
      <c r="AD712" s="724"/>
      <c r="AE712" s="724"/>
      <c r="AF712" s="724"/>
      <c r="AG712" s="724"/>
      <c r="AH712" s="724"/>
      <c r="AI712" s="724"/>
      <c r="AJ712" s="724"/>
      <c r="AU712" s="713"/>
      <c r="AW712" s="712"/>
      <c r="BY712" s="714"/>
      <c r="BZ712" s="715"/>
      <c r="CA712" s="716"/>
      <c r="CB712" s="717"/>
      <c r="CC712" s="717"/>
      <c r="CD712" s="717"/>
      <c r="CE712" s="717"/>
      <c r="CF712" s="717"/>
      <c r="CG712" s="717"/>
      <c r="CH712" s="717"/>
      <c r="CI712" s="717"/>
      <c r="CJ712" s="717"/>
      <c r="CK712" s="717"/>
      <c r="CL712" s="717"/>
      <c r="CM712" s="717"/>
      <c r="CN712" s="717"/>
      <c r="CO712" s="717"/>
      <c r="CP712" s="717"/>
      <c r="CQ712" s="717"/>
      <c r="CR712" s="717"/>
      <c r="CS712" s="717"/>
      <c r="CT712" s="717"/>
      <c r="CU712" s="717"/>
      <c r="CV712" s="717"/>
      <c r="CW712" s="717"/>
      <c r="CX712" s="717"/>
      <c r="CY712" s="717"/>
      <c r="CZ712" s="717"/>
      <c r="DA712" s="717"/>
      <c r="DB712" s="717"/>
      <c r="DC712" s="717"/>
      <c r="DD712" s="717"/>
      <c r="DE712" s="717"/>
      <c r="DF712" s="717"/>
      <c r="DG712" s="717"/>
      <c r="DH712" s="717"/>
      <c r="DI712" s="717"/>
      <c r="DJ712" s="717"/>
      <c r="DM712" s="711"/>
      <c r="DN712" s="711"/>
      <c r="DO712" s="711"/>
      <c r="DP712" s="711"/>
      <c r="DQ712" s="711"/>
      <c r="EB712" s="719"/>
    </row>
    <row r="713" spans="5:132" s="709" customFormat="1" ht="18" hidden="1">
      <c r="E713" s="721"/>
      <c r="H713" s="723">
        <v>194</v>
      </c>
      <c r="I713" s="726"/>
      <c r="J713" s="724"/>
      <c r="K713" s="724"/>
      <c r="L713" s="724"/>
      <c r="M713" s="728"/>
      <c r="N713" s="724"/>
      <c r="O713" s="724"/>
      <c r="P713" s="724"/>
      <c r="Q713" s="724"/>
      <c r="R713" s="724"/>
      <c r="S713" s="724"/>
      <c r="T713" s="724"/>
      <c r="U713" s="724"/>
      <c r="V713" s="724"/>
      <c r="W713" s="724"/>
      <c r="X713" s="724"/>
      <c r="Y713" s="724"/>
      <c r="Z713" s="724"/>
      <c r="AA713" s="724"/>
      <c r="AB713" s="724"/>
      <c r="AC713" s="729"/>
      <c r="AD713" s="724"/>
      <c r="AE713" s="724"/>
      <c r="AF713" s="724"/>
      <c r="AG713" s="724"/>
      <c r="AH713" s="724"/>
      <c r="AI713" s="724"/>
      <c r="AJ713" s="724"/>
      <c r="AU713" s="713"/>
      <c r="AW713" s="712"/>
      <c r="BY713" s="714"/>
      <c r="BZ713" s="715"/>
      <c r="CA713" s="716"/>
      <c r="CB713" s="717"/>
      <c r="CC713" s="717"/>
      <c r="CD713" s="717"/>
      <c r="CE713" s="717"/>
      <c r="CF713" s="717"/>
      <c r="CG713" s="717"/>
      <c r="CH713" s="717"/>
      <c r="CI713" s="717"/>
      <c r="CJ713" s="717"/>
      <c r="CK713" s="717"/>
      <c r="CL713" s="717"/>
      <c r="CM713" s="717"/>
      <c r="CN713" s="717"/>
      <c r="CO713" s="717"/>
      <c r="CP713" s="717"/>
      <c r="CQ713" s="717"/>
      <c r="CR713" s="717"/>
      <c r="CS713" s="717"/>
      <c r="CT713" s="717"/>
      <c r="CU713" s="717"/>
      <c r="CV713" s="717"/>
      <c r="CW713" s="717"/>
      <c r="CX713" s="717"/>
      <c r="CY713" s="717"/>
      <c r="CZ713" s="717"/>
      <c r="DA713" s="717"/>
      <c r="DB713" s="717"/>
      <c r="DC713" s="717"/>
      <c r="DD713" s="717"/>
      <c r="DE713" s="717"/>
      <c r="DF713" s="717"/>
      <c r="DG713" s="717"/>
      <c r="DH713" s="717"/>
      <c r="DI713" s="717"/>
      <c r="DJ713" s="717"/>
      <c r="DM713" s="711"/>
      <c r="DN713" s="711"/>
      <c r="DO713" s="711"/>
      <c r="DP713" s="711"/>
      <c r="DQ713" s="711"/>
      <c r="EB713" s="719"/>
    </row>
    <row r="714" spans="5:132" s="709" customFormat="1" ht="18" hidden="1">
      <c r="E714" s="721"/>
      <c r="H714" s="723">
        <v>195</v>
      </c>
      <c r="I714" s="726"/>
      <c r="J714" s="724"/>
      <c r="K714" s="724"/>
      <c r="L714" s="724"/>
      <c r="M714" s="728"/>
      <c r="N714" s="724"/>
      <c r="O714" s="724"/>
      <c r="P714" s="724"/>
      <c r="Q714" s="724"/>
      <c r="R714" s="724"/>
      <c r="S714" s="724"/>
      <c r="T714" s="724"/>
      <c r="U714" s="724"/>
      <c r="V714" s="724"/>
      <c r="W714" s="724"/>
      <c r="X714" s="724"/>
      <c r="Y714" s="724"/>
      <c r="Z714" s="724"/>
      <c r="AA714" s="724"/>
      <c r="AB714" s="724"/>
      <c r="AC714" s="729"/>
      <c r="AD714" s="724"/>
      <c r="AE714" s="724"/>
      <c r="AF714" s="724"/>
      <c r="AG714" s="724"/>
      <c r="AH714" s="724"/>
      <c r="AI714" s="724"/>
      <c r="AJ714" s="724"/>
      <c r="AU714" s="713"/>
      <c r="AW714" s="712"/>
      <c r="BY714" s="714"/>
      <c r="BZ714" s="715"/>
      <c r="CA714" s="716"/>
      <c r="CB714" s="717"/>
      <c r="CC714" s="717"/>
      <c r="CD714" s="717"/>
      <c r="CE714" s="717"/>
      <c r="CF714" s="717"/>
      <c r="CG714" s="717"/>
      <c r="CH714" s="717"/>
      <c r="CI714" s="717"/>
      <c r="CJ714" s="717"/>
      <c r="CK714" s="717"/>
      <c r="CL714" s="717"/>
      <c r="CM714" s="717"/>
      <c r="CN714" s="717"/>
      <c r="CO714" s="717"/>
      <c r="CP714" s="717"/>
      <c r="CQ714" s="717"/>
      <c r="CR714" s="717"/>
      <c r="CS714" s="717"/>
      <c r="CT714" s="717"/>
      <c r="CU714" s="717"/>
      <c r="CV714" s="717"/>
      <c r="CW714" s="717"/>
      <c r="CX714" s="717"/>
      <c r="CY714" s="717"/>
      <c r="CZ714" s="717"/>
      <c r="DA714" s="717"/>
      <c r="DB714" s="717"/>
      <c r="DC714" s="717"/>
      <c r="DD714" s="717"/>
      <c r="DE714" s="717"/>
      <c r="DF714" s="717"/>
      <c r="DG714" s="717"/>
      <c r="DH714" s="717"/>
      <c r="DI714" s="717"/>
      <c r="DJ714" s="717"/>
      <c r="DM714" s="711"/>
      <c r="DN714" s="711"/>
      <c r="DO714" s="711"/>
      <c r="DP714" s="711"/>
      <c r="DQ714" s="711"/>
      <c r="EB714" s="719"/>
    </row>
    <row r="715" spans="5:132" s="709" customFormat="1" ht="18" hidden="1">
      <c r="E715" s="721"/>
      <c r="H715" s="723">
        <v>196</v>
      </c>
      <c r="I715" s="726"/>
      <c r="J715" s="724"/>
      <c r="K715" s="724"/>
      <c r="L715" s="724"/>
      <c r="M715" s="728"/>
      <c r="N715" s="724"/>
      <c r="O715" s="724"/>
      <c r="P715" s="724"/>
      <c r="Q715" s="724"/>
      <c r="R715" s="724"/>
      <c r="S715" s="724"/>
      <c r="T715" s="724"/>
      <c r="U715" s="724"/>
      <c r="V715" s="724"/>
      <c r="W715" s="724"/>
      <c r="X715" s="724"/>
      <c r="Y715" s="724"/>
      <c r="Z715" s="724"/>
      <c r="AA715" s="724"/>
      <c r="AB715" s="724"/>
      <c r="AC715" s="729"/>
      <c r="AD715" s="724"/>
      <c r="AE715" s="724"/>
      <c r="AF715" s="724"/>
      <c r="AG715" s="724"/>
      <c r="AH715" s="724"/>
      <c r="AI715" s="724"/>
      <c r="AJ715" s="724"/>
      <c r="AU715" s="713"/>
      <c r="AW715" s="712"/>
      <c r="BY715" s="714"/>
      <c r="BZ715" s="715"/>
      <c r="CA715" s="716"/>
      <c r="CB715" s="717"/>
      <c r="CC715" s="717"/>
      <c r="CD715" s="717"/>
      <c r="CE715" s="717"/>
      <c r="CF715" s="717"/>
      <c r="CG715" s="717"/>
      <c r="CH715" s="717"/>
      <c r="CI715" s="717"/>
      <c r="CJ715" s="717"/>
      <c r="CK715" s="717"/>
      <c r="CL715" s="717"/>
      <c r="CM715" s="717"/>
      <c r="CN715" s="717"/>
      <c r="CO715" s="717"/>
      <c r="CP715" s="717"/>
      <c r="CQ715" s="717"/>
      <c r="CR715" s="717"/>
      <c r="CS715" s="717"/>
      <c r="CT715" s="717"/>
      <c r="CU715" s="717"/>
      <c r="CV715" s="717"/>
      <c r="CW715" s="717"/>
      <c r="CX715" s="717"/>
      <c r="CY715" s="717"/>
      <c r="CZ715" s="717"/>
      <c r="DA715" s="717"/>
      <c r="DB715" s="717"/>
      <c r="DC715" s="717"/>
      <c r="DD715" s="717"/>
      <c r="DE715" s="717"/>
      <c r="DF715" s="717"/>
      <c r="DG715" s="717"/>
      <c r="DH715" s="717"/>
      <c r="DI715" s="717"/>
      <c r="DJ715" s="717"/>
      <c r="DM715" s="711"/>
      <c r="DN715" s="711"/>
      <c r="DO715" s="711"/>
      <c r="DP715" s="711"/>
      <c r="DQ715" s="711"/>
      <c r="EB715" s="719"/>
    </row>
    <row r="716" spans="5:132" s="709" customFormat="1" ht="18" hidden="1">
      <c r="E716" s="721"/>
      <c r="H716" s="723">
        <v>197</v>
      </c>
      <c r="I716" s="726"/>
      <c r="J716" s="724"/>
      <c r="K716" s="724"/>
      <c r="L716" s="724"/>
      <c r="M716" s="728"/>
      <c r="N716" s="724"/>
      <c r="O716" s="724"/>
      <c r="P716" s="724"/>
      <c r="Q716" s="724"/>
      <c r="R716" s="724"/>
      <c r="S716" s="724"/>
      <c r="T716" s="724"/>
      <c r="U716" s="724"/>
      <c r="V716" s="724"/>
      <c r="W716" s="724"/>
      <c r="X716" s="724"/>
      <c r="Y716" s="724"/>
      <c r="Z716" s="724"/>
      <c r="AA716" s="724"/>
      <c r="AB716" s="724"/>
      <c r="AC716" s="729"/>
      <c r="AD716" s="724"/>
      <c r="AE716" s="724"/>
      <c r="AF716" s="724"/>
      <c r="AG716" s="724"/>
      <c r="AH716" s="724"/>
      <c r="AI716" s="724"/>
      <c r="AJ716" s="724"/>
      <c r="AU716" s="713"/>
      <c r="AW716" s="712"/>
      <c r="BY716" s="714"/>
      <c r="BZ716" s="715"/>
      <c r="CA716" s="716"/>
      <c r="CB716" s="717"/>
      <c r="CC716" s="717"/>
      <c r="CD716" s="717"/>
      <c r="CE716" s="717"/>
      <c r="CF716" s="717"/>
      <c r="CG716" s="717"/>
      <c r="CH716" s="717"/>
      <c r="CI716" s="717"/>
      <c r="CJ716" s="717"/>
      <c r="CK716" s="717"/>
      <c r="CL716" s="717"/>
      <c r="CM716" s="717"/>
      <c r="CN716" s="717"/>
      <c r="CO716" s="717"/>
      <c r="CP716" s="717"/>
      <c r="CQ716" s="717"/>
      <c r="CR716" s="717"/>
      <c r="CS716" s="717"/>
      <c r="CT716" s="717"/>
      <c r="CU716" s="717"/>
      <c r="CV716" s="717"/>
      <c r="CW716" s="717"/>
      <c r="CX716" s="717"/>
      <c r="CY716" s="717"/>
      <c r="CZ716" s="717"/>
      <c r="DA716" s="717"/>
      <c r="DB716" s="717"/>
      <c r="DC716" s="717"/>
      <c r="DD716" s="717"/>
      <c r="DE716" s="717"/>
      <c r="DF716" s="717"/>
      <c r="DG716" s="717"/>
      <c r="DH716" s="717"/>
      <c r="DI716" s="717"/>
      <c r="DJ716" s="717"/>
      <c r="DM716" s="711"/>
      <c r="DN716" s="711"/>
      <c r="DO716" s="711"/>
      <c r="DP716" s="711"/>
      <c r="DQ716" s="711"/>
      <c r="EB716" s="719"/>
    </row>
    <row r="717" spans="5:132" s="709" customFormat="1" ht="18" hidden="1">
      <c r="E717" s="721"/>
      <c r="H717" s="723">
        <v>198</v>
      </c>
      <c r="I717" s="726"/>
      <c r="J717" s="724"/>
      <c r="K717" s="724"/>
      <c r="L717" s="724"/>
      <c r="M717" s="728"/>
      <c r="N717" s="724"/>
      <c r="O717" s="724"/>
      <c r="P717" s="724"/>
      <c r="Q717" s="724"/>
      <c r="R717" s="724"/>
      <c r="S717" s="724"/>
      <c r="T717" s="724"/>
      <c r="U717" s="724"/>
      <c r="V717" s="724"/>
      <c r="W717" s="724"/>
      <c r="X717" s="724"/>
      <c r="Y717" s="724"/>
      <c r="Z717" s="724"/>
      <c r="AA717" s="724"/>
      <c r="AB717" s="724"/>
      <c r="AC717" s="729"/>
      <c r="AD717" s="724"/>
      <c r="AE717" s="724"/>
      <c r="AF717" s="724"/>
      <c r="AG717" s="724"/>
      <c r="AH717" s="724"/>
      <c r="AI717" s="724"/>
      <c r="AJ717" s="724"/>
      <c r="AU717" s="713"/>
      <c r="AW717" s="712"/>
      <c r="BY717" s="714"/>
      <c r="BZ717" s="715"/>
      <c r="CA717" s="716"/>
      <c r="CB717" s="717"/>
      <c r="CC717" s="717"/>
      <c r="CD717" s="717"/>
      <c r="CE717" s="717"/>
      <c r="CF717" s="717"/>
      <c r="CG717" s="717"/>
      <c r="CH717" s="717"/>
      <c r="CI717" s="717"/>
      <c r="CJ717" s="717"/>
      <c r="CK717" s="717"/>
      <c r="CL717" s="717"/>
      <c r="CM717" s="717"/>
      <c r="CN717" s="717"/>
      <c r="CO717" s="717"/>
      <c r="CP717" s="717"/>
      <c r="CQ717" s="717"/>
      <c r="CR717" s="717"/>
      <c r="CS717" s="717"/>
      <c r="CT717" s="717"/>
      <c r="CU717" s="717"/>
      <c r="CV717" s="717"/>
      <c r="CW717" s="717"/>
      <c r="CX717" s="717"/>
      <c r="CY717" s="717"/>
      <c r="CZ717" s="717"/>
      <c r="DA717" s="717"/>
      <c r="DB717" s="717"/>
      <c r="DC717" s="717"/>
      <c r="DD717" s="717"/>
      <c r="DE717" s="717"/>
      <c r="DF717" s="717"/>
      <c r="DG717" s="717"/>
      <c r="DH717" s="717"/>
      <c r="DI717" s="717"/>
      <c r="DJ717" s="717"/>
      <c r="DM717" s="711"/>
      <c r="DN717" s="711"/>
      <c r="DO717" s="711"/>
      <c r="DP717" s="711"/>
      <c r="DQ717" s="711"/>
      <c r="EB717" s="719"/>
    </row>
    <row r="718" spans="5:132" s="709" customFormat="1" ht="18" hidden="1">
      <c r="E718" s="721"/>
      <c r="H718" s="723">
        <v>204</v>
      </c>
      <c r="I718" s="726"/>
      <c r="J718" s="724"/>
      <c r="K718" s="724"/>
      <c r="L718" s="724"/>
      <c r="M718" s="728"/>
      <c r="N718" s="724"/>
      <c r="O718" s="724"/>
      <c r="P718" s="724"/>
      <c r="Q718" s="724"/>
      <c r="R718" s="724"/>
      <c r="S718" s="724"/>
      <c r="T718" s="724"/>
      <c r="U718" s="724"/>
      <c r="V718" s="724"/>
      <c r="W718" s="724"/>
      <c r="X718" s="724"/>
      <c r="Y718" s="724"/>
      <c r="Z718" s="724"/>
      <c r="AA718" s="724"/>
      <c r="AB718" s="724"/>
      <c r="AC718" s="729"/>
      <c r="AD718" s="724"/>
      <c r="AE718" s="724"/>
      <c r="AF718" s="724"/>
      <c r="AG718" s="724"/>
      <c r="AH718" s="724"/>
      <c r="AI718" s="724"/>
      <c r="AJ718" s="724"/>
      <c r="AU718" s="713"/>
      <c r="AW718" s="712"/>
      <c r="BY718" s="714"/>
      <c r="BZ718" s="715"/>
      <c r="CA718" s="716"/>
      <c r="CB718" s="717"/>
      <c r="CC718" s="717"/>
      <c r="CD718" s="717"/>
      <c r="CE718" s="717"/>
      <c r="CF718" s="717"/>
      <c r="CG718" s="717"/>
      <c r="CH718" s="717"/>
      <c r="CI718" s="717"/>
      <c r="CJ718" s="717"/>
      <c r="CK718" s="717"/>
      <c r="CL718" s="717"/>
      <c r="CM718" s="717"/>
      <c r="CN718" s="717"/>
      <c r="CO718" s="717"/>
      <c r="CP718" s="717"/>
      <c r="CQ718" s="717"/>
      <c r="CR718" s="717"/>
      <c r="CS718" s="717"/>
      <c r="CT718" s="717"/>
      <c r="CU718" s="717"/>
      <c r="CV718" s="717"/>
      <c r="CW718" s="717"/>
      <c r="CX718" s="717"/>
      <c r="CY718" s="717"/>
      <c r="CZ718" s="717"/>
      <c r="DA718" s="717"/>
      <c r="DB718" s="717"/>
      <c r="DC718" s="717"/>
      <c r="DD718" s="717"/>
      <c r="DE718" s="717"/>
      <c r="DF718" s="717"/>
      <c r="DG718" s="717"/>
      <c r="DH718" s="717"/>
      <c r="DI718" s="717"/>
      <c r="DJ718" s="717"/>
      <c r="DM718" s="711"/>
      <c r="DN718" s="711"/>
      <c r="DO718" s="711"/>
      <c r="DP718" s="711"/>
      <c r="DQ718" s="711"/>
      <c r="EB718" s="719"/>
    </row>
    <row r="719" spans="5:132" s="709" customFormat="1" ht="18" hidden="1">
      <c r="E719" s="721"/>
      <c r="H719" s="723">
        <v>205</v>
      </c>
      <c r="I719" s="726"/>
      <c r="J719" s="724"/>
      <c r="K719" s="724"/>
      <c r="L719" s="724"/>
      <c r="M719" s="728"/>
      <c r="N719" s="724"/>
      <c r="O719" s="724"/>
      <c r="P719" s="724"/>
      <c r="Q719" s="724"/>
      <c r="R719" s="724"/>
      <c r="S719" s="724"/>
      <c r="T719" s="724"/>
      <c r="U719" s="724"/>
      <c r="V719" s="724"/>
      <c r="W719" s="724"/>
      <c r="X719" s="724"/>
      <c r="Y719" s="724"/>
      <c r="Z719" s="724"/>
      <c r="AA719" s="724"/>
      <c r="AB719" s="724"/>
      <c r="AC719" s="729"/>
      <c r="AD719" s="724"/>
      <c r="AE719" s="724"/>
      <c r="AF719" s="724"/>
      <c r="AG719" s="724"/>
      <c r="AH719" s="724"/>
      <c r="AI719" s="724"/>
      <c r="AJ719" s="724"/>
      <c r="AU719" s="713"/>
      <c r="AW719" s="712"/>
      <c r="BY719" s="714"/>
      <c r="BZ719" s="715"/>
      <c r="CA719" s="716"/>
      <c r="CB719" s="717"/>
      <c r="CC719" s="717"/>
      <c r="CD719" s="717"/>
      <c r="CE719" s="717"/>
      <c r="CF719" s="717"/>
      <c r="CG719" s="717"/>
      <c r="CH719" s="717"/>
      <c r="CI719" s="717"/>
      <c r="CJ719" s="717"/>
      <c r="CK719" s="717"/>
      <c r="CL719" s="717"/>
      <c r="CM719" s="717"/>
      <c r="CN719" s="717"/>
      <c r="CO719" s="717"/>
      <c r="CP719" s="717"/>
      <c r="CQ719" s="717"/>
      <c r="CR719" s="717"/>
      <c r="CS719" s="717"/>
      <c r="CT719" s="717"/>
      <c r="CU719" s="717"/>
      <c r="CV719" s="717"/>
      <c r="CW719" s="717"/>
      <c r="CX719" s="717"/>
      <c r="CY719" s="717"/>
      <c r="CZ719" s="717"/>
      <c r="DA719" s="717"/>
      <c r="DB719" s="717"/>
      <c r="DC719" s="717"/>
      <c r="DD719" s="717"/>
      <c r="DE719" s="717"/>
      <c r="DF719" s="717"/>
      <c r="DG719" s="717"/>
      <c r="DH719" s="717"/>
      <c r="DI719" s="717"/>
      <c r="DJ719" s="717"/>
      <c r="DM719" s="711"/>
      <c r="DN719" s="711"/>
      <c r="DO719" s="711"/>
      <c r="DP719" s="711"/>
      <c r="DQ719" s="711"/>
      <c r="EB719" s="719"/>
    </row>
    <row r="720" spans="5:132" s="709" customFormat="1" ht="18" hidden="1">
      <c r="E720" s="721"/>
      <c r="H720" s="723">
        <v>206</v>
      </c>
      <c r="I720" s="726"/>
      <c r="J720" s="724"/>
      <c r="K720" s="724"/>
      <c r="L720" s="724"/>
      <c r="M720" s="728"/>
      <c r="N720" s="724"/>
      <c r="O720" s="724"/>
      <c r="P720" s="724"/>
      <c r="Q720" s="724"/>
      <c r="R720" s="724"/>
      <c r="S720" s="724"/>
      <c r="T720" s="724"/>
      <c r="U720" s="724"/>
      <c r="V720" s="724"/>
      <c r="W720" s="724"/>
      <c r="X720" s="724"/>
      <c r="Y720" s="724"/>
      <c r="Z720" s="724"/>
      <c r="AA720" s="724"/>
      <c r="AB720" s="724"/>
      <c r="AC720" s="729"/>
      <c r="AD720" s="724"/>
      <c r="AE720" s="724"/>
      <c r="AF720" s="724"/>
      <c r="AG720" s="724"/>
      <c r="AH720" s="724"/>
      <c r="AI720" s="724"/>
      <c r="AJ720" s="724"/>
      <c r="AU720" s="713"/>
      <c r="AW720" s="712"/>
      <c r="BY720" s="714"/>
      <c r="BZ720" s="715"/>
      <c r="CA720" s="716"/>
      <c r="CB720" s="717"/>
      <c r="CC720" s="717"/>
      <c r="CD720" s="717"/>
      <c r="CE720" s="717"/>
      <c r="CF720" s="717"/>
      <c r="CG720" s="717"/>
      <c r="CH720" s="717"/>
      <c r="CI720" s="717"/>
      <c r="CJ720" s="717"/>
      <c r="CK720" s="717"/>
      <c r="CL720" s="717"/>
      <c r="CM720" s="717"/>
      <c r="CN720" s="717"/>
      <c r="CO720" s="717"/>
      <c r="CP720" s="717"/>
      <c r="CQ720" s="717"/>
      <c r="CR720" s="717"/>
      <c r="CS720" s="717"/>
      <c r="CT720" s="717"/>
      <c r="CU720" s="717"/>
      <c r="CV720" s="717"/>
      <c r="CW720" s="717"/>
      <c r="CX720" s="717"/>
      <c r="CY720" s="717"/>
      <c r="CZ720" s="717"/>
      <c r="DA720" s="717"/>
      <c r="DB720" s="717"/>
      <c r="DC720" s="717"/>
      <c r="DD720" s="717"/>
      <c r="DE720" s="717"/>
      <c r="DF720" s="717"/>
      <c r="DG720" s="717"/>
      <c r="DH720" s="717"/>
      <c r="DI720" s="717"/>
      <c r="DJ720" s="717"/>
      <c r="DM720" s="711"/>
      <c r="DN720" s="711"/>
      <c r="DO720" s="711"/>
      <c r="DP720" s="711"/>
      <c r="DQ720" s="711"/>
      <c r="EB720" s="719"/>
    </row>
    <row r="721" spans="5:132" s="709" customFormat="1" ht="18" hidden="1">
      <c r="E721" s="721"/>
      <c r="H721" s="723">
        <v>207</v>
      </c>
      <c r="I721" s="726"/>
      <c r="J721" s="724"/>
      <c r="K721" s="724"/>
      <c r="L721" s="724"/>
      <c r="M721" s="728"/>
      <c r="N721" s="724"/>
      <c r="O721" s="724"/>
      <c r="P721" s="724"/>
      <c r="Q721" s="724"/>
      <c r="R721" s="724"/>
      <c r="S721" s="724"/>
      <c r="T721" s="724"/>
      <c r="U721" s="724"/>
      <c r="V721" s="724"/>
      <c r="W721" s="724"/>
      <c r="X721" s="724"/>
      <c r="Y721" s="724"/>
      <c r="Z721" s="724"/>
      <c r="AA721" s="724"/>
      <c r="AB721" s="724"/>
      <c r="AC721" s="729"/>
      <c r="AD721" s="724"/>
      <c r="AE721" s="724"/>
      <c r="AF721" s="724"/>
      <c r="AG721" s="724"/>
      <c r="AH721" s="724"/>
      <c r="AI721" s="724"/>
      <c r="AJ721" s="724"/>
      <c r="AU721" s="713"/>
      <c r="AW721" s="712"/>
      <c r="BY721" s="714"/>
      <c r="BZ721" s="715"/>
      <c r="CA721" s="716"/>
      <c r="CB721" s="717"/>
      <c r="CC721" s="717"/>
      <c r="CD721" s="717"/>
      <c r="CE721" s="717"/>
      <c r="CF721" s="717"/>
      <c r="CG721" s="717"/>
      <c r="CH721" s="717"/>
      <c r="CI721" s="717"/>
      <c r="CJ721" s="717"/>
      <c r="CK721" s="717"/>
      <c r="CL721" s="717"/>
      <c r="CM721" s="717"/>
      <c r="CN721" s="717"/>
      <c r="CO721" s="717"/>
      <c r="CP721" s="717"/>
      <c r="CQ721" s="717"/>
      <c r="CR721" s="717"/>
      <c r="CS721" s="717"/>
      <c r="CT721" s="717"/>
      <c r="CU721" s="717"/>
      <c r="CV721" s="717"/>
      <c r="CW721" s="717"/>
      <c r="CX721" s="717"/>
      <c r="CY721" s="717"/>
      <c r="CZ721" s="717"/>
      <c r="DA721" s="717"/>
      <c r="DB721" s="717"/>
      <c r="DC721" s="717"/>
      <c r="DD721" s="717"/>
      <c r="DE721" s="717"/>
      <c r="DF721" s="717"/>
      <c r="DG721" s="717"/>
      <c r="DH721" s="717"/>
      <c r="DI721" s="717"/>
      <c r="DJ721" s="717"/>
      <c r="DM721" s="711"/>
      <c r="DN721" s="711"/>
      <c r="DO721" s="711"/>
      <c r="DP721" s="711"/>
      <c r="DQ721" s="711"/>
      <c r="EB721" s="719"/>
    </row>
    <row r="722" spans="5:132" s="709" customFormat="1" ht="18" hidden="1">
      <c r="E722" s="721"/>
      <c r="H722" s="723">
        <v>208</v>
      </c>
      <c r="I722" s="726"/>
      <c r="J722" s="724"/>
      <c r="K722" s="724"/>
      <c r="L722" s="724"/>
      <c r="M722" s="728"/>
      <c r="N722" s="724"/>
      <c r="O722" s="724"/>
      <c r="P722" s="724"/>
      <c r="Q722" s="724"/>
      <c r="R722" s="724"/>
      <c r="S722" s="724"/>
      <c r="T722" s="724"/>
      <c r="U722" s="724"/>
      <c r="V722" s="724"/>
      <c r="W722" s="724"/>
      <c r="X722" s="724"/>
      <c r="Y722" s="724"/>
      <c r="Z722" s="724"/>
      <c r="AA722" s="724"/>
      <c r="AB722" s="724"/>
      <c r="AC722" s="729"/>
      <c r="AD722" s="724"/>
      <c r="AE722" s="724"/>
      <c r="AF722" s="724"/>
      <c r="AG722" s="724"/>
      <c r="AH722" s="724"/>
      <c r="AI722" s="724"/>
      <c r="AJ722" s="724"/>
      <c r="AU722" s="713"/>
      <c r="AW722" s="712"/>
      <c r="BY722" s="714"/>
      <c r="BZ722" s="715"/>
      <c r="CA722" s="716"/>
      <c r="CB722" s="717"/>
      <c r="CC722" s="717"/>
      <c r="CD722" s="717"/>
      <c r="CE722" s="717"/>
      <c r="CF722" s="717"/>
      <c r="CG722" s="717"/>
      <c r="CH722" s="717"/>
      <c r="CI722" s="717"/>
      <c r="CJ722" s="717"/>
      <c r="CK722" s="717"/>
      <c r="CL722" s="717"/>
      <c r="CM722" s="717"/>
      <c r="CN722" s="717"/>
      <c r="CO722" s="717"/>
      <c r="CP722" s="717"/>
      <c r="CQ722" s="717"/>
      <c r="CR722" s="717"/>
      <c r="CS722" s="717"/>
      <c r="CT722" s="717"/>
      <c r="CU722" s="717"/>
      <c r="CV722" s="717"/>
      <c r="CW722" s="717"/>
      <c r="CX722" s="717"/>
      <c r="CY722" s="717"/>
      <c r="CZ722" s="717"/>
      <c r="DA722" s="717"/>
      <c r="DB722" s="717"/>
      <c r="DC722" s="717"/>
      <c r="DD722" s="717"/>
      <c r="DE722" s="717"/>
      <c r="DF722" s="717"/>
      <c r="DG722" s="717"/>
      <c r="DH722" s="717"/>
      <c r="DI722" s="717"/>
      <c r="DJ722" s="717"/>
      <c r="DM722" s="711"/>
      <c r="DN722" s="711"/>
      <c r="DO722" s="711"/>
      <c r="DP722" s="711"/>
      <c r="DQ722" s="711"/>
      <c r="EB722" s="719"/>
    </row>
    <row r="723" spans="5:132" s="709" customFormat="1" ht="18" hidden="1">
      <c r="E723" s="721"/>
      <c r="H723" s="723">
        <v>209</v>
      </c>
      <c r="I723" s="726"/>
      <c r="J723" s="724"/>
      <c r="K723" s="724"/>
      <c r="L723" s="724"/>
      <c r="M723" s="728"/>
      <c r="N723" s="724"/>
      <c r="O723" s="724"/>
      <c r="P723" s="724"/>
      <c r="Q723" s="724"/>
      <c r="R723" s="724"/>
      <c r="S723" s="724"/>
      <c r="T723" s="724"/>
      <c r="U723" s="724"/>
      <c r="V723" s="724"/>
      <c r="W723" s="724"/>
      <c r="X723" s="724"/>
      <c r="Y723" s="724"/>
      <c r="Z723" s="724"/>
      <c r="AA723" s="724"/>
      <c r="AB723" s="724"/>
      <c r="AC723" s="729"/>
      <c r="AD723" s="724"/>
      <c r="AE723" s="724"/>
      <c r="AF723" s="724"/>
      <c r="AG723" s="724"/>
      <c r="AH723" s="724"/>
      <c r="AI723" s="724"/>
      <c r="AJ723" s="724"/>
      <c r="AU723" s="713"/>
      <c r="AW723" s="712"/>
      <c r="BY723" s="714"/>
      <c r="BZ723" s="715"/>
      <c r="CA723" s="716"/>
      <c r="CB723" s="717"/>
      <c r="CC723" s="717"/>
      <c r="CD723" s="717"/>
      <c r="CE723" s="717"/>
      <c r="CF723" s="717"/>
      <c r="CG723" s="717"/>
      <c r="CH723" s="717"/>
      <c r="CI723" s="717"/>
      <c r="CJ723" s="717"/>
      <c r="CK723" s="717"/>
      <c r="CL723" s="717"/>
      <c r="CM723" s="717"/>
      <c r="CN723" s="717"/>
      <c r="CO723" s="717"/>
      <c r="CP723" s="717"/>
      <c r="CQ723" s="717"/>
      <c r="CR723" s="717"/>
      <c r="CS723" s="717"/>
      <c r="CT723" s="717"/>
      <c r="CU723" s="717"/>
      <c r="CV723" s="717"/>
      <c r="CW723" s="717"/>
      <c r="CX723" s="717"/>
      <c r="CY723" s="717"/>
      <c r="CZ723" s="717"/>
      <c r="DA723" s="717"/>
      <c r="DB723" s="717"/>
      <c r="DC723" s="717"/>
      <c r="DD723" s="717"/>
      <c r="DE723" s="717"/>
      <c r="DF723" s="717"/>
      <c r="DG723" s="717"/>
      <c r="DH723" s="717"/>
      <c r="DI723" s="717"/>
      <c r="DJ723" s="717"/>
      <c r="DM723" s="711"/>
      <c r="DN723" s="711"/>
      <c r="DO723" s="711"/>
      <c r="DP723" s="711"/>
      <c r="DQ723" s="711"/>
      <c r="EB723" s="719"/>
    </row>
    <row r="724" spans="5:132" s="709" customFormat="1" ht="18" hidden="1">
      <c r="E724" s="721"/>
      <c r="H724" s="723">
        <v>210</v>
      </c>
      <c r="I724" s="726"/>
      <c r="J724" s="724"/>
      <c r="K724" s="724"/>
      <c r="L724" s="724"/>
      <c r="M724" s="728"/>
      <c r="N724" s="724"/>
      <c r="O724" s="724"/>
      <c r="P724" s="724"/>
      <c r="Q724" s="724"/>
      <c r="R724" s="724"/>
      <c r="S724" s="724"/>
      <c r="T724" s="724"/>
      <c r="U724" s="724"/>
      <c r="V724" s="724"/>
      <c r="W724" s="724"/>
      <c r="X724" s="724"/>
      <c r="Y724" s="724"/>
      <c r="Z724" s="724"/>
      <c r="AA724" s="724"/>
      <c r="AB724" s="724"/>
      <c r="AC724" s="729"/>
      <c r="AD724" s="724"/>
      <c r="AE724" s="724"/>
      <c r="AF724" s="724"/>
      <c r="AG724" s="724"/>
      <c r="AH724" s="724"/>
      <c r="AI724" s="724"/>
      <c r="AJ724" s="724"/>
      <c r="AU724" s="713"/>
      <c r="AW724" s="712"/>
      <c r="BY724" s="714"/>
      <c r="BZ724" s="715"/>
      <c r="CA724" s="716"/>
      <c r="CB724" s="717"/>
      <c r="CC724" s="717"/>
      <c r="CD724" s="717"/>
      <c r="CE724" s="717"/>
      <c r="CF724" s="717"/>
      <c r="CG724" s="717"/>
      <c r="CH724" s="717"/>
      <c r="CI724" s="717"/>
      <c r="CJ724" s="717"/>
      <c r="CK724" s="717"/>
      <c r="CL724" s="717"/>
      <c r="CM724" s="717"/>
      <c r="CN724" s="717"/>
      <c r="CO724" s="717"/>
      <c r="CP724" s="717"/>
      <c r="CQ724" s="717"/>
      <c r="CR724" s="717"/>
      <c r="CS724" s="717"/>
      <c r="CT724" s="717"/>
      <c r="CU724" s="717"/>
      <c r="CV724" s="717"/>
      <c r="CW724" s="717"/>
      <c r="CX724" s="717"/>
      <c r="CY724" s="717"/>
      <c r="CZ724" s="717"/>
      <c r="DA724" s="717"/>
      <c r="DB724" s="717"/>
      <c r="DC724" s="717"/>
      <c r="DD724" s="717"/>
      <c r="DE724" s="717"/>
      <c r="DF724" s="717"/>
      <c r="DG724" s="717"/>
      <c r="DH724" s="717"/>
      <c r="DI724" s="717"/>
      <c r="DJ724" s="717"/>
      <c r="DM724" s="711"/>
      <c r="DN724" s="711"/>
      <c r="DO724" s="711"/>
      <c r="DP724" s="711"/>
      <c r="DQ724" s="711"/>
      <c r="EB724" s="719"/>
    </row>
    <row r="725" spans="5:132" s="709" customFormat="1" ht="18" hidden="1">
      <c r="E725" s="721"/>
      <c r="H725" s="723">
        <v>211</v>
      </c>
      <c r="I725" s="726"/>
      <c r="J725" s="724"/>
      <c r="K725" s="724"/>
      <c r="L725" s="724"/>
      <c r="M725" s="728"/>
      <c r="N725" s="724"/>
      <c r="O725" s="724"/>
      <c r="P725" s="724"/>
      <c r="Q725" s="724"/>
      <c r="R725" s="724"/>
      <c r="S725" s="724"/>
      <c r="T725" s="724"/>
      <c r="U725" s="724"/>
      <c r="V725" s="724"/>
      <c r="W725" s="724"/>
      <c r="X725" s="724"/>
      <c r="Y725" s="724"/>
      <c r="Z725" s="724"/>
      <c r="AA725" s="724"/>
      <c r="AB725" s="724"/>
      <c r="AC725" s="729"/>
      <c r="AD725" s="724"/>
      <c r="AE725" s="724"/>
      <c r="AF725" s="724"/>
      <c r="AG725" s="724"/>
      <c r="AH725" s="724"/>
      <c r="AI725" s="724"/>
      <c r="AJ725" s="724"/>
      <c r="AU725" s="713"/>
      <c r="AW725" s="712"/>
      <c r="BY725" s="714"/>
      <c r="BZ725" s="715"/>
      <c r="CA725" s="716"/>
      <c r="CB725" s="717"/>
      <c r="CC725" s="717"/>
      <c r="CD725" s="717"/>
      <c r="CE725" s="717"/>
      <c r="CF725" s="717"/>
      <c r="CG725" s="717"/>
      <c r="CH725" s="717"/>
      <c r="CI725" s="717"/>
      <c r="CJ725" s="717"/>
      <c r="CK725" s="717"/>
      <c r="CL725" s="717"/>
      <c r="CM725" s="717"/>
      <c r="CN725" s="717"/>
      <c r="CO725" s="717"/>
      <c r="CP725" s="717"/>
      <c r="CQ725" s="717"/>
      <c r="CR725" s="717"/>
      <c r="CS725" s="717"/>
      <c r="CT725" s="717"/>
      <c r="CU725" s="717"/>
      <c r="CV725" s="717"/>
      <c r="CW725" s="717"/>
      <c r="CX725" s="717"/>
      <c r="CY725" s="717"/>
      <c r="CZ725" s="717"/>
      <c r="DA725" s="717"/>
      <c r="DB725" s="717"/>
      <c r="DC725" s="717"/>
      <c r="DD725" s="717"/>
      <c r="DE725" s="717"/>
      <c r="DF725" s="717"/>
      <c r="DG725" s="717"/>
      <c r="DH725" s="717"/>
      <c r="DI725" s="717"/>
      <c r="DJ725" s="717"/>
      <c r="DM725" s="711"/>
      <c r="DN725" s="711"/>
      <c r="DO725" s="711"/>
      <c r="DP725" s="711"/>
      <c r="DQ725" s="711"/>
      <c r="EB725" s="719"/>
    </row>
    <row r="726" spans="5:132" s="709" customFormat="1" ht="18" hidden="1">
      <c r="E726" s="721"/>
      <c r="H726" s="723">
        <v>212</v>
      </c>
      <c r="I726" s="726"/>
      <c r="J726" s="724"/>
      <c r="K726" s="724"/>
      <c r="L726" s="724"/>
      <c r="M726" s="728"/>
      <c r="N726" s="724"/>
      <c r="O726" s="724"/>
      <c r="P726" s="724"/>
      <c r="Q726" s="724"/>
      <c r="R726" s="724"/>
      <c r="S726" s="724"/>
      <c r="T726" s="724"/>
      <c r="U726" s="724"/>
      <c r="V726" s="724"/>
      <c r="W726" s="724"/>
      <c r="X726" s="724"/>
      <c r="Y726" s="724"/>
      <c r="Z726" s="724"/>
      <c r="AA726" s="724"/>
      <c r="AB726" s="724"/>
      <c r="AC726" s="729"/>
      <c r="AD726" s="724"/>
      <c r="AE726" s="724"/>
      <c r="AF726" s="724"/>
      <c r="AG726" s="724"/>
      <c r="AH726" s="724"/>
      <c r="AI726" s="724"/>
      <c r="AJ726" s="724"/>
      <c r="AU726" s="713"/>
      <c r="AW726" s="712"/>
      <c r="BY726" s="714"/>
      <c r="BZ726" s="715"/>
      <c r="CA726" s="716"/>
      <c r="CB726" s="717"/>
      <c r="CC726" s="717"/>
      <c r="CD726" s="717"/>
      <c r="CE726" s="717"/>
      <c r="CF726" s="717"/>
      <c r="CG726" s="717"/>
      <c r="CH726" s="717"/>
      <c r="CI726" s="717"/>
      <c r="CJ726" s="717"/>
      <c r="CK726" s="717"/>
      <c r="CL726" s="717"/>
      <c r="CM726" s="717"/>
      <c r="CN726" s="717"/>
      <c r="CO726" s="717"/>
      <c r="CP726" s="717"/>
      <c r="CQ726" s="717"/>
      <c r="CR726" s="717"/>
      <c r="CS726" s="717"/>
      <c r="CT726" s="717"/>
      <c r="CU726" s="717"/>
      <c r="CV726" s="717"/>
      <c r="CW726" s="717"/>
      <c r="CX726" s="717"/>
      <c r="CY726" s="717"/>
      <c r="CZ726" s="717"/>
      <c r="DA726" s="717"/>
      <c r="DB726" s="717"/>
      <c r="DC726" s="717"/>
      <c r="DD726" s="717"/>
      <c r="DE726" s="717"/>
      <c r="DF726" s="717"/>
      <c r="DG726" s="717"/>
      <c r="DH726" s="717"/>
      <c r="DI726" s="717"/>
      <c r="DJ726" s="717"/>
      <c r="DM726" s="711"/>
      <c r="DN726" s="711"/>
      <c r="DO726" s="711"/>
      <c r="DP726" s="711"/>
      <c r="DQ726" s="711"/>
      <c r="EB726" s="719"/>
    </row>
    <row r="727" spans="5:132" s="709" customFormat="1" ht="18" hidden="1">
      <c r="E727" s="721"/>
      <c r="H727" s="723">
        <v>213</v>
      </c>
      <c r="I727" s="726"/>
      <c r="J727" s="724"/>
      <c r="K727" s="724"/>
      <c r="L727" s="724"/>
      <c r="M727" s="728"/>
      <c r="N727" s="724"/>
      <c r="O727" s="724"/>
      <c r="P727" s="724"/>
      <c r="Q727" s="724"/>
      <c r="R727" s="724"/>
      <c r="S727" s="724"/>
      <c r="T727" s="724"/>
      <c r="U727" s="724"/>
      <c r="V727" s="724"/>
      <c r="W727" s="724"/>
      <c r="X727" s="724"/>
      <c r="Y727" s="724"/>
      <c r="Z727" s="724"/>
      <c r="AA727" s="724"/>
      <c r="AB727" s="724"/>
      <c r="AC727" s="729"/>
      <c r="AD727" s="724"/>
      <c r="AE727" s="724"/>
      <c r="AF727" s="724"/>
      <c r="AG727" s="724"/>
      <c r="AH727" s="724"/>
      <c r="AI727" s="724"/>
      <c r="AJ727" s="724"/>
      <c r="AU727" s="713"/>
      <c r="AW727" s="712"/>
      <c r="BY727" s="714"/>
      <c r="BZ727" s="715"/>
      <c r="CA727" s="716"/>
      <c r="CB727" s="717"/>
      <c r="CC727" s="717"/>
      <c r="CD727" s="717"/>
      <c r="CE727" s="717"/>
      <c r="CF727" s="717"/>
      <c r="CG727" s="717"/>
      <c r="CH727" s="717"/>
      <c r="CI727" s="717"/>
      <c r="CJ727" s="717"/>
      <c r="CK727" s="717"/>
      <c r="CL727" s="717"/>
      <c r="CM727" s="717"/>
      <c r="CN727" s="717"/>
      <c r="CO727" s="717"/>
      <c r="CP727" s="717"/>
      <c r="CQ727" s="717"/>
      <c r="CR727" s="717"/>
      <c r="CS727" s="717"/>
      <c r="CT727" s="717"/>
      <c r="CU727" s="717"/>
      <c r="CV727" s="717"/>
      <c r="CW727" s="717"/>
      <c r="CX727" s="717"/>
      <c r="CY727" s="717"/>
      <c r="CZ727" s="717"/>
      <c r="DA727" s="717"/>
      <c r="DB727" s="717"/>
      <c r="DC727" s="717"/>
      <c r="DD727" s="717"/>
      <c r="DE727" s="717"/>
      <c r="DF727" s="717"/>
      <c r="DG727" s="717"/>
      <c r="DH727" s="717"/>
      <c r="DI727" s="717"/>
      <c r="DJ727" s="717"/>
      <c r="DM727" s="711"/>
      <c r="DN727" s="711"/>
      <c r="DO727" s="711"/>
      <c r="DP727" s="711"/>
      <c r="DQ727" s="711"/>
      <c r="EB727" s="719"/>
    </row>
    <row r="728" spans="5:132" s="709" customFormat="1" ht="18" hidden="1">
      <c r="E728" s="721"/>
      <c r="H728" s="723">
        <v>214</v>
      </c>
      <c r="I728" s="726"/>
      <c r="J728" s="724"/>
      <c r="K728" s="724"/>
      <c r="L728" s="724"/>
      <c r="M728" s="728"/>
      <c r="N728" s="724"/>
      <c r="O728" s="724"/>
      <c r="P728" s="724"/>
      <c r="Q728" s="724"/>
      <c r="R728" s="724"/>
      <c r="S728" s="724"/>
      <c r="T728" s="724"/>
      <c r="U728" s="724"/>
      <c r="V728" s="724"/>
      <c r="W728" s="724"/>
      <c r="X728" s="724"/>
      <c r="Y728" s="724"/>
      <c r="Z728" s="724"/>
      <c r="AA728" s="724"/>
      <c r="AB728" s="724"/>
      <c r="AC728" s="729"/>
      <c r="AD728" s="724"/>
      <c r="AE728" s="724"/>
      <c r="AF728" s="724"/>
      <c r="AG728" s="724"/>
      <c r="AH728" s="724"/>
      <c r="AI728" s="724"/>
      <c r="AJ728" s="724"/>
      <c r="AU728" s="713"/>
      <c r="AW728" s="712"/>
      <c r="BY728" s="714"/>
      <c r="BZ728" s="715"/>
      <c r="CA728" s="716"/>
      <c r="CB728" s="717"/>
      <c r="CC728" s="717"/>
      <c r="CD728" s="717"/>
      <c r="CE728" s="717"/>
      <c r="CF728" s="717"/>
      <c r="CG728" s="717"/>
      <c r="CH728" s="717"/>
      <c r="CI728" s="717"/>
      <c r="CJ728" s="717"/>
      <c r="CK728" s="717"/>
      <c r="CL728" s="717"/>
      <c r="CM728" s="717"/>
      <c r="CN728" s="717"/>
      <c r="CO728" s="717"/>
      <c r="CP728" s="717"/>
      <c r="CQ728" s="717"/>
      <c r="CR728" s="717"/>
      <c r="CS728" s="717"/>
      <c r="CT728" s="717"/>
      <c r="CU728" s="717"/>
      <c r="CV728" s="717"/>
      <c r="CW728" s="717"/>
      <c r="CX728" s="717"/>
      <c r="CY728" s="717"/>
      <c r="CZ728" s="717"/>
      <c r="DA728" s="717"/>
      <c r="DB728" s="717"/>
      <c r="DC728" s="717"/>
      <c r="DD728" s="717"/>
      <c r="DE728" s="717"/>
      <c r="DF728" s="717"/>
      <c r="DG728" s="717"/>
      <c r="DH728" s="717"/>
      <c r="DI728" s="717"/>
      <c r="DJ728" s="717"/>
      <c r="DM728" s="711"/>
      <c r="DN728" s="711"/>
      <c r="DO728" s="711"/>
      <c r="DP728" s="711"/>
      <c r="DQ728" s="711"/>
      <c r="EB728" s="719"/>
    </row>
    <row r="729" spans="5:132" s="709" customFormat="1" ht="18" hidden="1">
      <c r="E729" s="721"/>
      <c r="H729" s="723">
        <v>215</v>
      </c>
      <c r="I729" s="726"/>
      <c r="J729" s="724"/>
      <c r="K729" s="724"/>
      <c r="L729" s="724"/>
      <c r="M729" s="728"/>
      <c r="N729" s="724"/>
      <c r="O729" s="724"/>
      <c r="P729" s="724"/>
      <c r="Q729" s="724"/>
      <c r="R729" s="724"/>
      <c r="S729" s="724"/>
      <c r="T729" s="724"/>
      <c r="U729" s="724"/>
      <c r="V729" s="724"/>
      <c r="W729" s="724"/>
      <c r="X729" s="724"/>
      <c r="Y729" s="724"/>
      <c r="Z729" s="724"/>
      <c r="AA729" s="724"/>
      <c r="AB729" s="724"/>
      <c r="AC729" s="729"/>
      <c r="AD729" s="724"/>
      <c r="AE729" s="724"/>
      <c r="AF729" s="724"/>
      <c r="AG729" s="724"/>
      <c r="AH729" s="724"/>
      <c r="AI729" s="724"/>
      <c r="AJ729" s="724"/>
      <c r="AU729" s="713"/>
      <c r="AW729" s="712"/>
      <c r="BY729" s="714"/>
      <c r="BZ729" s="715"/>
      <c r="CA729" s="716"/>
      <c r="CB729" s="717"/>
      <c r="CC729" s="717"/>
      <c r="CD729" s="717"/>
      <c r="CE729" s="717"/>
      <c r="CF729" s="717"/>
      <c r="CG729" s="717"/>
      <c r="CH729" s="717"/>
      <c r="CI729" s="717"/>
      <c r="CJ729" s="717"/>
      <c r="CK729" s="717"/>
      <c r="CL729" s="717"/>
      <c r="CM729" s="717"/>
      <c r="CN729" s="717"/>
      <c r="CO729" s="717"/>
      <c r="CP729" s="717"/>
      <c r="CQ729" s="717"/>
      <c r="CR729" s="717"/>
      <c r="CS729" s="717"/>
      <c r="CT729" s="717"/>
      <c r="CU729" s="717"/>
      <c r="CV729" s="717"/>
      <c r="CW729" s="717"/>
      <c r="CX729" s="717"/>
      <c r="CY729" s="717"/>
      <c r="CZ729" s="717"/>
      <c r="DA729" s="717"/>
      <c r="DB729" s="717"/>
      <c r="DC729" s="717"/>
      <c r="DD729" s="717"/>
      <c r="DE729" s="717"/>
      <c r="DF729" s="717"/>
      <c r="DG729" s="717"/>
      <c r="DH729" s="717"/>
      <c r="DI729" s="717"/>
      <c r="DJ729" s="717"/>
      <c r="DM729" s="711"/>
      <c r="DN729" s="711"/>
      <c r="DO729" s="711"/>
      <c r="DP729" s="711"/>
      <c r="DQ729" s="711"/>
      <c r="EB729" s="719"/>
    </row>
    <row r="730" spans="5:132" s="709" customFormat="1" ht="18" hidden="1">
      <c r="E730" s="721"/>
      <c r="H730" s="723">
        <v>216</v>
      </c>
      <c r="I730" s="726"/>
      <c r="J730" s="724"/>
      <c r="K730" s="724"/>
      <c r="L730" s="724"/>
      <c r="M730" s="728"/>
      <c r="N730" s="724"/>
      <c r="O730" s="724"/>
      <c r="P730" s="724"/>
      <c r="Q730" s="724"/>
      <c r="R730" s="724"/>
      <c r="S730" s="724"/>
      <c r="T730" s="724"/>
      <c r="U730" s="724"/>
      <c r="V730" s="724"/>
      <c r="W730" s="724"/>
      <c r="X730" s="724"/>
      <c r="Y730" s="724"/>
      <c r="Z730" s="724"/>
      <c r="AA730" s="724"/>
      <c r="AB730" s="724"/>
      <c r="AC730" s="729"/>
      <c r="AD730" s="724"/>
      <c r="AE730" s="724"/>
      <c r="AF730" s="724"/>
      <c r="AG730" s="724"/>
      <c r="AH730" s="724"/>
      <c r="AI730" s="724"/>
      <c r="AJ730" s="724"/>
      <c r="AU730" s="713"/>
      <c r="AW730" s="712"/>
      <c r="BY730" s="714"/>
      <c r="BZ730" s="715"/>
      <c r="CA730" s="716"/>
      <c r="CB730" s="717"/>
      <c r="CC730" s="717"/>
      <c r="CD730" s="717"/>
      <c r="CE730" s="717"/>
      <c r="CF730" s="717"/>
      <c r="CG730" s="717"/>
      <c r="CH730" s="717"/>
      <c r="CI730" s="717"/>
      <c r="CJ730" s="717"/>
      <c r="CK730" s="717"/>
      <c r="CL730" s="717"/>
      <c r="CM730" s="717"/>
      <c r="CN730" s="717"/>
      <c r="CO730" s="717"/>
      <c r="CP730" s="717"/>
      <c r="CQ730" s="717"/>
      <c r="CR730" s="717"/>
      <c r="CS730" s="717"/>
      <c r="CT730" s="717"/>
      <c r="CU730" s="717"/>
      <c r="CV730" s="717"/>
      <c r="CW730" s="717"/>
      <c r="CX730" s="717"/>
      <c r="CY730" s="717"/>
      <c r="CZ730" s="717"/>
      <c r="DA730" s="717"/>
      <c r="DB730" s="717"/>
      <c r="DC730" s="717"/>
      <c r="DD730" s="717"/>
      <c r="DE730" s="717"/>
      <c r="DF730" s="717"/>
      <c r="DG730" s="717"/>
      <c r="DH730" s="717"/>
      <c r="DI730" s="717"/>
      <c r="DJ730" s="717"/>
      <c r="DM730" s="711"/>
      <c r="DN730" s="711"/>
      <c r="DO730" s="711"/>
      <c r="DP730" s="711"/>
      <c r="DQ730" s="711"/>
      <c r="EB730" s="719"/>
    </row>
    <row r="731" spans="5:132" s="709" customFormat="1" ht="18" hidden="1">
      <c r="E731" s="721"/>
      <c r="H731" s="723">
        <v>217</v>
      </c>
      <c r="I731" s="726"/>
      <c r="J731" s="724"/>
      <c r="K731" s="724"/>
      <c r="L731" s="724"/>
      <c r="M731" s="728"/>
      <c r="N731" s="724"/>
      <c r="O731" s="724"/>
      <c r="P731" s="724"/>
      <c r="Q731" s="724"/>
      <c r="R731" s="724"/>
      <c r="S731" s="724"/>
      <c r="T731" s="724"/>
      <c r="U731" s="724"/>
      <c r="V731" s="724"/>
      <c r="W731" s="724"/>
      <c r="X731" s="724"/>
      <c r="Y731" s="724"/>
      <c r="Z731" s="724"/>
      <c r="AA731" s="724"/>
      <c r="AB731" s="724"/>
      <c r="AC731" s="729"/>
      <c r="AD731" s="724"/>
      <c r="AE731" s="724"/>
      <c r="AF731" s="724"/>
      <c r="AG731" s="724"/>
      <c r="AH731" s="724"/>
      <c r="AI731" s="724"/>
      <c r="AJ731" s="724"/>
      <c r="AU731" s="713"/>
      <c r="AW731" s="712"/>
      <c r="BY731" s="714"/>
      <c r="BZ731" s="715"/>
      <c r="CA731" s="716"/>
      <c r="CB731" s="717"/>
      <c r="CC731" s="717"/>
      <c r="CD731" s="717"/>
      <c r="CE731" s="717"/>
      <c r="CF731" s="717"/>
      <c r="CG731" s="717"/>
      <c r="CH731" s="717"/>
      <c r="CI731" s="717"/>
      <c r="CJ731" s="717"/>
      <c r="CK731" s="717"/>
      <c r="CL731" s="717"/>
      <c r="CM731" s="717"/>
      <c r="CN731" s="717"/>
      <c r="CO731" s="717"/>
      <c r="CP731" s="717"/>
      <c r="CQ731" s="717"/>
      <c r="CR731" s="717"/>
      <c r="CS731" s="717"/>
      <c r="CT731" s="717"/>
      <c r="CU731" s="717"/>
      <c r="CV731" s="717"/>
      <c r="CW731" s="717"/>
      <c r="CX731" s="717"/>
      <c r="CY731" s="717"/>
      <c r="CZ731" s="717"/>
      <c r="DA731" s="717"/>
      <c r="DB731" s="717"/>
      <c r="DC731" s="717"/>
      <c r="DD731" s="717"/>
      <c r="DE731" s="717"/>
      <c r="DF731" s="717"/>
      <c r="DG731" s="717"/>
      <c r="DH731" s="717"/>
      <c r="DI731" s="717"/>
      <c r="DJ731" s="717"/>
      <c r="DM731" s="711"/>
      <c r="DN731" s="711"/>
      <c r="DO731" s="711"/>
      <c r="DP731" s="711"/>
      <c r="DQ731" s="711"/>
      <c r="EB731" s="719"/>
    </row>
    <row r="732" spans="5:132" s="709" customFormat="1" ht="18" hidden="1">
      <c r="E732" s="721"/>
      <c r="H732" s="723">
        <v>218</v>
      </c>
      <c r="I732" s="726"/>
      <c r="J732" s="724"/>
      <c r="K732" s="724"/>
      <c r="L732" s="724"/>
      <c r="M732" s="728"/>
      <c r="N732" s="724"/>
      <c r="O732" s="724"/>
      <c r="P732" s="724"/>
      <c r="Q732" s="724"/>
      <c r="R732" s="724"/>
      <c r="S732" s="724"/>
      <c r="T732" s="724"/>
      <c r="U732" s="724"/>
      <c r="V732" s="724"/>
      <c r="W732" s="724"/>
      <c r="X732" s="724"/>
      <c r="Y732" s="724"/>
      <c r="Z732" s="724"/>
      <c r="AA732" s="724"/>
      <c r="AB732" s="724"/>
      <c r="AC732" s="729"/>
      <c r="AD732" s="724"/>
      <c r="AE732" s="724"/>
      <c r="AF732" s="724"/>
      <c r="AG732" s="724"/>
      <c r="AH732" s="724"/>
      <c r="AI732" s="724"/>
      <c r="AJ732" s="724"/>
      <c r="AU732" s="713"/>
      <c r="AW732" s="712"/>
      <c r="BY732" s="714"/>
      <c r="BZ732" s="715"/>
      <c r="CA732" s="716"/>
      <c r="CB732" s="717"/>
      <c r="CC732" s="717"/>
      <c r="CD732" s="717"/>
      <c r="CE732" s="717"/>
      <c r="CF732" s="717"/>
      <c r="CG732" s="717"/>
      <c r="CH732" s="717"/>
      <c r="CI732" s="717"/>
      <c r="CJ732" s="717"/>
      <c r="CK732" s="717"/>
      <c r="CL732" s="717"/>
      <c r="CM732" s="717"/>
      <c r="CN732" s="717"/>
      <c r="CO732" s="717"/>
      <c r="CP732" s="717"/>
      <c r="CQ732" s="717"/>
      <c r="CR732" s="717"/>
      <c r="CS732" s="717"/>
      <c r="CT732" s="717"/>
      <c r="CU732" s="717"/>
      <c r="CV732" s="717"/>
      <c r="CW732" s="717"/>
      <c r="CX732" s="717"/>
      <c r="CY732" s="717"/>
      <c r="CZ732" s="717"/>
      <c r="DA732" s="717"/>
      <c r="DB732" s="717"/>
      <c r="DC732" s="717"/>
      <c r="DD732" s="717"/>
      <c r="DE732" s="717"/>
      <c r="DF732" s="717"/>
      <c r="DG732" s="717"/>
      <c r="DH732" s="717"/>
      <c r="DI732" s="717"/>
      <c r="DJ732" s="717"/>
      <c r="DM732" s="711"/>
      <c r="DN732" s="711"/>
      <c r="DO732" s="711"/>
      <c r="DP732" s="711"/>
      <c r="DQ732" s="711"/>
      <c r="EB732" s="719"/>
    </row>
    <row r="733" spans="5:132" s="709" customFormat="1" ht="18" hidden="1">
      <c r="E733" s="721"/>
      <c r="H733" s="723">
        <v>219</v>
      </c>
      <c r="I733" s="726"/>
      <c r="J733" s="724"/>
      <c r="K733" s="724"/>
      <c r="L733" s="724"/>
      <c r="M733" s="728"/>
      <c r="N733" s="724"/>
      <c r="O733" s="724"/>
      <c r="P733" s="724"/>
      <c r="Q733" s="724"/>
      <c r="R733" s="724"/>
      <c r="S733" s="724"/>
      <c r="T733" s="724"/>
      <c r="U733" s="724"/>
      <c r="V733" s="724"/>
      <c r="W733" s="724"/>
      <c r="X733" s="724"/>
      <c r="Y733" s="724"/>
      <c r="Z733" s="724"/>
      <c r="AA733" s="724"/>
      <c r="AB733" s="724"/>
      <c r="AC733" s="729"/>
      <c r="AD733" s="724"/>
      <c r="AE733" s="724"/>
      <c r="AF733" s="724"/>
      <c r="AG733" s="724"/>
      <c r="AH733" s="724"/>
      <c r="AI733" s="724"/>
      <c r="AJ733" s="724"/>
      <c r="AU733" s="713"/>
      <c r="AW733" s="712"/>
      <c r="BY733" s="714"/>
      <c r="BZ733" s="715"/>
      <c r="CA733" s="716"/>
      <c r="CB733" s="717"/>
      <c r="CC733" s="717"/>
      <c r="CD733" s="717"/>
      <c r="CE733" s="717"/>
      <c r="CF733" s="717"/>
      <c r="CG733" s="717"/>
      <c r="CH733" s="717"/>
      <c r="CI733" s="717"/>
      <c r="CJ733" s="717"/>
      <c r="CK733" s="717"/>
      <c r="CL733" s="717"/>
      <c r="CM733" s="717"/>
      <c r="CN733" s="717"/>
      <c r="CO733" s="717"/>
      <c r="CP733" s="717"/>
      <c r="CQ733" s="717"/>
      <c r="CR733" s="717"/>
      <c r="CS733" s="717"/>
      <c r="CT733" s="717"/>
      <c r="CU733" s="717"/>
      <c r="CV733" s="717"/>
      <c r="CW733" s="717"/>
      <c r="CX733" s="717"/>
      <c r="CY733" s="717"/>
      <c r="CZ733" s="717"/>
      <c r="DA733" s="717"/>
      <c r="DB733" s="717"/>
      <c r="DC733" s="717"/>
      <c r="DD733" s="717"/>
      <c r="DE733" s="717"/>
      <c r="DF733" s="717"/>
      <c r="DG733" s="717"/>
      <c r="DH733" s="717"/>
      <c r="DI733" s="717"/>
      <c r="DJ733" s="717"/>
      <c r="DM733" s="711"/>
      <c r="DN733" s="711"/>
      <c r="DO733" s="711"/>
      <c r="DP733" s="711"/>
      <c r="DQ733" s="711"/>
      <c r="EB733" s="719"/>
    </row>
    <row r="734" spans="5:132" s="709" customFormat="1" ht="18" hidden="1">
      <c r="E734" s="721"/>
      <c r="H734" s="723">
        <v>220</v>
      </c>
      <c r="I734" s="726"/>
      <c r="J734" s="724"/>
      <c r="K734" s="724"/>
      <c r="L734" s="724"/>
      <c r="M734" s="728"/>
      <c r="N734" s="724"/>
      <c r="O734" s="724"/>
      <c r="P734" s="724"/>
      <c r="Q734" s="724"/>
      <c r="R734" s="724"/>
      <c r="S734" s="724"/>
      <c r="T734" s="724"/>
      <c r="U734" s="724"/>
      <c r="V734" s="724"/>
      <c r="W734" s="724"/>
      <c r="X734" s="724"/>
      <c r="Y734" s="724"/>
      <c r="Z734" s="724"/>
      <c r="AA734" s="724"/>
      <c r="AB734" s="724"/>
      <c r="AC734" s="729"/>
      <c r="AD734" s="724"/>
      <c r="AE734" s="724"/>
      <c r="AF734" s="724"/>
      <c r="AG734" s="724"/>
      <c r="AH734" s="724"/>
      <c r="AI734" s="724"/>
      <c r="AJ734" s="724"/>
      <c r="AU734" s="713"/>
      <c r="AW734" s="712"/>
      <c r="BY734" s="714"/>
      <c r="BZ734" s="715"/>
      <c r="CA734" s="716"/>
      <c r="CB734" s="717"/>
      <c r="CC734" s="717"/>
      <c r="CD734" s="717"/>
      <c r="CE734" s="717"/>
      <c r="CF734" s="717"/>
      <c r="CG734" s="717"/>
      <c r="CH734" s="717"/>
      <c r="CI734" s="717"/>
      <c r="CJ734" s="717"/>
      <c r="CK734" s="717"/>
      <c r="CL734" s="717"/>
      <c r="CM734" s="717"/>
      <c r="CN734" s="717"/>
      <c r="CO734" s="717"/>
      <c r="CP734" s="717"/>
      <c r="CQ734" s="717"/>
      <c r="CR734" s="717"/>
      <c r="CS734" s="717"/>
      <c r="CT734" s="717"/>
      <c r="CU734" s="717"/>
      <c r="CV734" s="717"/>
      <c r="CW734" s="717"/>
      <c r="CX734" s="717"/>
      <c r="CY734" s="717"/>
      <c r="CZ734" s="717"/>
      <c r="DA734" s="717"/>
      <c r="DB734" s="717"/>
      <c r="DC734" s="717"/>
      <c r="DD734" s="717"/>
      <c r="DE734" s="717"/>
      <c r="DF734" s="717"/>
      <c r="DG734" s="717"/>
      <c r="DH734" s="717"/>
      <c r="DI734" s="717"/>
      <c r="DJ734" s="717"/>
      <c r="DM734" s="711"/>
      <c r="DN734" s="711"/>
      <c r="DO734" s="711"/>
      <c r="DP734" s="711"/>
      <c r="DQ734" s="711"/>
      <c r="EB734" s="719"/>
    </row>
    <row r="735" spans="5:132" s="709" customFormat="1" ht="18" hidden="1">
      <c r="E735" s="721"/>
      <c r="H735" s="723">
        <v>221</v>
      </c>
      <c r="I735" s="726"/>
      <c r="J735" s="724"/>
      <c r="K735" s="724"/>
      <c r="L735" s="724"/>
      <c r="M735" s="728"/>
      <c r="N735" s="724"/>
      <c r="O735" s="724"/>
      <c r="P735" s="724"/>
      <c r="Q735" s="724"/>
      <c r="R735" s="724"/>
      <c r="S735" s="724"/>
      <c r="T735" s="724"/>
      <c r="U735" s="724"/>
      <c r="V735" s="724"/>
      <c r="W735" s="724"/>
      <c r="X735" s="724"/>
      <c r="Y735" s="724"/>
      <c r="Z735" s="724"/>
      <c r="AA735" s="724"/>
      <c r="AB735" s="724"/>
      <c r="AC735" s="729"/>
      <c r="AD735" s="724"/>
      <c r="AE735" s="724"/>
      <c r="AF735" s="724"/>
      <c r="AG735" s="724"/>
      <c r="AH735" s="724"/>
      <c r="AI735" s="724"/>
      <c r="AJ735" s="724"/>
      <c r="AU735" s="713"/>
      <c r="AW735" s="712"/>
      <c r="BY735" s="714"/>
      <c r="BZ735" s="715"/>
      <c r="CA735" s="716"/>
      <c r="CB735" s="717"/>
      <c r="CC735" s="717"/>
      <c r="CD735" s="717"/>
      <c r="CE735" s="717"/>
      <c r="CF735" s="717"/>
      <c r="CG735" s="717"/>
      <c r="CH735" s="717"/>
      <c r="CI735" s="717"/>
      <c r="CJ735" s="717"/>
      <c r="CK735" s="717"/>
      <c r="CL735" s="717"/>
      <c r="CM735" s="717"/>
      <c r="CN735" s="717"/>
      <c r="CO735" s="717"/>
      <c r="CP735" s="717"/>
      <c r="CQ735" s="717"/>
      <c r="CR735" s="717"/>
      <c r="CS735" s="717"/>
      <c r="CT735" s="717"/>
      <c r="CU735" s="717"/>
      <c r="CV735" s="717"/>
      <c r="CW735" s="717"/>
      <c r="CX735" s="717"/>
      <c r="CY735" s="717"/>
      <c r="CZ735" s="717"/>
      <c r="DA735" s="717"/>
      <c r="DB735" s="717"/>
      <c r="DC735" s="717"/>
      <c r="DD735" s="717"/>
      <c r="DE735" s="717"/>
      <c r="DF735" s="717"/>
      <c r="DG735" s="717"/>
      <c r="DH735" s="717"/>
      <c r="DI735" s="717"/>
      <c r="DJ735" s="717"/>
      <c r="DM735" s="711"/>
      <c r="DN735" s="711"/>
      <c r="DO735" s="711"/>
      <c r="DP735" s="711"/>
      <c r="DQ735" s="711"/>
      <c r="EB735" s="719"/>
    </row>
    <row r="736" spans="5:132" s="709" customFormat="1" ht="18" hidden="1">
      <c r="E736" s="721"/>
      <c r="H736" s="723">
        <v>222</v>
      </c>
      <c r="I736" s="726"/>
      <c r="J736" s="724"/>
      <c r="K736" s="724"/>
      <c r="L736" s="724"/>
      <c r="M736" s="728"/>
      <c r="N736" s="724"/>
      <c r="O736" s="724"/>
      <c r="P736" s="724"/>
      <c r="Q736" s="724"/>
      <c r="R736" s="724"/>
      <c r="S736" s="724"/>
      <c r="T736" s="724"/>
      <c r="U736" s="724"/>
      <c r="V736" s="724"/>
      <c r="W736" s="724"/>
      <c r="X736" s="724"/>
      <c r="Y736" s="724"/>
      <c r="Z736" s="724"/>
      <c r="AA736" s="724"/>
      <c r="AB736" s="724"/>
      <c r="AC736" s="729"/>
      <c r="AD736" s="724"/>
      <c r="AE736" s="724"/>
      <c r="AF736" s="724"/>
      <c r="AG736" s="724"/>
      <c r="AH736" s="724"/>
      <c r="AI736" s="724"/>
      <c r="AJ736" s="724"/>
      <c r="AU736" s="713"/>
      <c r="AW736" s="712"/>
      <c r="BY736" s="714"/>
      <c r="BZ736" s="715"/>
      <c r="CA736" s="716"/>
      <c r="CB736" s="717"/>
      <c r="CC736" s="717"/>
      <c r="CD736" s="717"/>
      <c r="CE736" s="717"/>
      <c r="CF736" s="717"/>
      <c r="CG736" s="717"/>
      <c r="CH736" s="717"/>
      <c r="CI736" s="717"/>
      <c r="CJ736" s="717"/>
      <c r="CK736" s="717"/>
      <c r="CL736" s="717"/>
      <c r="CM736" s="717"/>
      <c r="CN736" s="717"/>
      <c r="CO736" s="717"/>
      <c r="CP736" s="717"/>
      <c r="CQ736" s="717"/>
      <c r="CR736" s="717"/>
      <c r="CS736" s="717"/>
      <c r="CT736" s="717"/>
      <c r="CU736" s="717"/>
      <c r="CV736" s="717"/>
      <c r="CW736" s="717"/>
      <c r="CX736" s="717"/>
      <c r="CY736" s="717"/>
      <c r="CZ736" s="717"/>
      <c r="DA736" s="717"/>
      <c r="DB736" s="717"/>
      <c r="DC736" s="717"/>
      <c r="DD736" s="717"/>
      <c r="DE736" s="717"/>
      <c r="DF736" s="717"/>
      <c r="DG736" s="717"/>
      <c r="DH736" s="717"/>
      <c r="DI736" s="717"/>
      <c r="DJ736" s="717"/>
      <c r="DM736" s="711"/>
      <c r="DN736" s="711"/>
      <c r="DO736" s="711"/>
      <c r="DP736" s="711"/>
      <c r="DQ736" s="711"/>
      <c r="EB736" s="719"/>
    </row>
    <row r="737" spans="5:132" s="709" customFormat="1" ht="18" hidden="1">
      <c r="E737" s="721"/>
      <c r="H737" s="723">
        <v>223</v>
      </c>
      <c r="I737" s="726"/>
      <c r="J737" s="724"/>
      <c r="K737" s="724"/>
      <c r="L737" s="724"/>
      <c r="M737" s="728"/>
      <c r="N737" s="724"/>
      <c r="O737" s="724"/>
      <c r="P737" s="724"/>
      <c r="Q737" s="724"/>
      <c r="R737" s="724"/>
      <c r="S737" s="724"/>
      <c r="T737" s="724"/>
      <c r="U737" s="724"/>
      <c r="V737" s="724"/>
      <c r="W737" s="724"/>
      <c r="X737" s="724"/>
      <c r="Y737" s="724"/>
      <c r="Z737" s="724"/>
      <c r="AA737" s="724"/>
      <c r="AB737" s="724"/>
      <c r="AC737" s="729"/>
      <c r="AD737" s="724"/>
      <c r="AE737" s="724"/>
      <c r="AF737" s="724"/>
      <c r="AG737" s="724"/>
      <c r="AH737" s="724"/>
      <c r="AI737" s="724"/>
      <c r="AJ737" s="724"/>
      <c r="AU737" s="713"/>
      <c r="AW737" s="712"/>
      <c r="BY737" s="714"/>
      <c r="BZ737" s="715"/>
      <c r="CA737" s="716"/>
      <c r="CB737" s="717"/>
      <c r="CC737" s="717"/>
      <c r="CD737" s="717"/>
      <c r="CE737" s="717"/>
      <c r="CF737" s="717"/>
      <c r="CG737" s="717"/>
      <c r="CH737" s="717"/>
      <c r="CI737" s="717"/>
      <c r="CJ737" s="717"/>
      <c r="CK737" s="717"/>
      <c r="CL737" s="717"/>
      <c r="CM737" s="717"/>
      <c r="CN737" s="717"/>
      <c r="CO737" s="717"/>
      <c r="CP737" s="717"/>
      <c r="CQ737" s="717"/>
      <c r="CR737" s="717"/>
      <c r="CS737" s="717"/>
      <c r="CT737" s="717"/>
      <c r="CU737" s="717"/>
      <c r="CV737" s="717"/>
      <c r="CW737" s="717"/>
      <c r="CX737" s="717"/>
      <c r="CY737" s="717"/>
      <c r="CZ737" s="717"/>
      <c r="DA737" s="717"/>
      <c r="DB737" s="717"/>
      <c r="DC737" s="717"/>
      <c r="DD737" s="717"/>
      <c r="DE737" s="717"/>
      <c r="DF737" s="717"/>
      <c r="DG737" s="717"/>
      <c r="DH737" s="717"/>
      <c r="DI737" s="717"/>
      <c r="DJ737" s="717"/>
      <c r="DM737" s="711"/>
      <c r="DN737" s="711"/>
      <c r="DO737" s="711"/>
      <c r="DP737" s="711"/>
      <c r="DQ737" s="711"/>
      <c r="EB737" s="719"/>
    </row>
    <row r="738" spans="5:132" s="709" customFormat="1" ht="18" hidden="1">
      <c r="E738" s="721"/>
      <c r="H738" s="723">
        <v>224</v>
      </c>
      <c r="I738" s="726"/>
      <c r="J738" s="724"/>
      <c r="K738" s="724"/>
      <c r="L738" s="724"/>
      <c r="M738" s="728"/>
      <c r="N738" s="724"/>
      <c r="O738" s="724"/>
      <c r="P738" s="724"/>
      <c r="Q738" s="724"/>
      <c r="R738" s="724"/>
      <c r="S738" s="724"/>
      <c r="T738" s="724"/>
      <c r="U738" s="724"/>
      <c r="V738" s="724"/>
      <c r="W738" s="724"/>
      <c r="X738" s="724"/>
      <c r="Y738" s="724"/>
      <c r="Z738" s="724"/>
      <c r="AA738" s="724"/>
      <c r="AB738" s="724"/>
      <c r="AC738" s="729"/>
      <c r="AD738" s="724"/>
      <c r="AE738" s="724"/>
      <c r="AF738" s="724"/>
      <c r="AG738" s="724"/>
      <c r="AH738" s="724"/>
      <c r="AI738" s="724"/>
      <c r="AJ738" s="724"/>
      <c r="AU738" s="713"/>
      <c r="AW738" s="712"/>
      <c r="BY738" s="714"/>
      <c r="BZ738" s="715"/>
      <c r="CA738" s="716"/>
      <c r="CB738" s="717"/>
      <c r="CC738" s="717"/>
      <c r="CD738" s="717"/>
      <c r="CE738" s="717"/>
      <c r="CF738" s="717"/>
      <c r="CG738" s="717"/>
      <c r="CH738" s="717"/>
      <c r="CI738" s="717"/>
      <c r="CJ738" s="717"/>
      <c r="CK738" s="717"/>
      <c r="CL738" s="717"/>
      <c r="CM738" s="717"/>
      <c r="CN738" s="717"/>
      <c r="CO738" s="717"/>
      <c r="CP738" s="717"/>
      <c r="CQ738" s="717"/>
      <c r="CR738" s="717"/>
      <c r="CS738" s="717"/>
      <c r="CT738" s="717"/>
      <c r="CU738" s="717"/>
      <c r="CV738" s="717"/>
      <c r="CW738" s="717"/>
      <c r="CX738" s="717"/>
      <c r="CY738" s="717"/>
      <c r="CZ738" s="717"/>
      <c r="DA738" s="717"/>
      <c r="DB738" s="717"/>
      <c r="DC738" s="717"/>
      <c r="DD738" s="717"/>
      <c r="DE738" s="717"/>
      <c r="DF738" s="717"/>
      <c r="DG738" s="717"/>
      <c r="DH738" s="717"/>
      <c r="DI738" s="717"/>
      <c r="DJ738" s="717"/>
      <c r="DM738" s="711"/>
      <c r="DN738" s="711"/>
      <c r="DO738" s="711"/>
      <c r="DP738" s="711"/>
      <c r="DQ738" s="711"/>
      <c r="EB738" s="719"/>
    </row>
    <row r="739" spans="5:132" s="709" customFormat="1" ht="18" hidden="1">
      <c r="E739" s="721"/>
      <c r="H739" s="723">
        <v>225</v>
      </c>
      <c r="I739" s="726"/>
      <c r="J739" s="724"/>
      <c r="K739" s="724"/>
      <c r="L739" s="724"/>
      <c r="M739" s="728"/>
      <c r="N739" s="724"/>
      <c r="O739" s="724"/>
      <c r="P739" s="724"/>
      <c r="Q739" s="724"/>
      <c r="R739" s="724"/>
      <c r="S739" s="724"/>
      <c r="T739" s="724"/>
      <c r="U739" s="724"/>
      <c r="V739" s="724"/>
      <c r="W739" s="724"/>
      <c r="X739" s="724"/>
      <c r="Y739" s="724"/>
      <c r="Z739" s="724"/>
      <c r="AA739" s="724"/>
      <c r="AB739" s="724"/>
      <c r="AC739" s="729"/>
      <c r="AD739" s="724"/>
      <c r="AE739" s="724"/>
      <c r="AF739" s="724"/>
      <c r="AG739" s="724"/>
      <c r="AH739" s="724"/>
      <c r="AI739" s="724"/>
      <c r="AJ739" s="724"/>
      <c r="AU739" s="713"/>
      <c r="AW739" s="712"/>
      <c r="BY739" s="714"/>
      <c r="BZ739" s="715"/>
      <c r="CA739" s="716"/>
      <c r="CB739" s="717"/>
      <c r="CC739" s="717"/>
      <c r="CD739" s="717"/>
      <c r="CE739" s="717"/>
      <c r="CF739" s="717"/>
      <c r="CG739" s="717"/>
      <c r="CH739" s="717"/>
      <c r="CI739" s="717"/>
      <c r="CJ739" s="717"/>
      <c r="CK739" s="717"/>
      <c r="CL739" s="717"/>
      <c r="CM739" s="717"/>
      <c r="CN739" s="717"/>
      <c r="CO739" s="717"/>
      <c r="CP739" s="717"/>
      <c r="CQ739" s="717"/>
      <c r="CR739" s="717"/>
      <c r="CS739" s="717"/>
      <c r="CT739" s="717"/>
      <c r="CU739" s="717"/>
      <c r="CV739" s="717"/>
      <c r="CW739" s="717"/>
      <c r="CX739" s="717"/>
      <c r="CY739" s="717"/>
      <c r="CZ739" s="717"/>
      <c r="DA739" s="717"/>
      <c r="DB739" s="717"/>
      <c r="DC739" s="717"/>
      <c r="DD739" s="717"/>
      <c r="DE739" s="717"/>
      <c r="DF739" s="717"/>
      <c r="DG739" s="717"/>
      <c r="DH739" s="717"/>
      <c r="DI739" s="717"/>
      <c r="DJ739" s="717"/>
      <c r="DM739" s="711"/>
      <c r="DN739" s="711"/>
      <c r="DO739" s="711"/>
      <c r="DP739" s="711"/>
      <c r="DQ739" s="711"/>
      <c r="EB739" s="719"/>
    </row>
    <row r="740" spans="5:132" s="709" customFormat="1" ht="18" hidden="1">
      <c r="E740" s="721"/>
      <c r="H740" s="723">
        <v>226</v>
      </c>
      <c r="I740" s="726"/>
      <c r="J740" s="724"/>
      <c r="K740" s="724"/>
      <c r="L740" s="724"/>
      <c r="M740" s="728"/>
      <c r="N740" s="724"/>
      <c r="O740" s="724"/>
      <c r="P740" s="724"/>
      <c r="Q740" s="724"/>
      <c r="R740" s="724"/>
      <c r="S740" s="724"/>
      <c r="T740" s="724"/>
      <c r="U740" s="724"/>
      <c r="V740" s="724"/>
      <c r="W740" s="724"/>
      <c r="X740" s="724"/>
      <c r="Y740" s="724"/>
      <c r="Z740" s="724"/>
      <c r="AA740" s="724"/>
      <c r="AB740" s="724"/>
      <c r="AC740" s="729"/>
      <c r="AD740" s="724"/>
      <c r="AE740" s="724"/>
      <c r="AF740" s="724"/>
      <c r="AG740" s="724"/>
      <c r="AH740" s="724"/>
      <c r="AI740" s="724"/>
      <c r="AJ740" s="724"/>
      <c r="AU740" s="713"/>
      <c r="AW740" s="712"/>
      <c r="BY740" s="714"/>
      <c r="BZ740" s="715"/>
      <c r="CA740" s="716"/>
      <c r="CB740" s="717"/>
      <c r="CC740" s="717"/>
      <c r="CD740" s="717"/>
      <c r="CE740" s="717"/>
      <c r="CF740" s="717"/>
      <c r="CG740" s="717"/>
      <c r="CH740" s="717"/>
      <c r="CI740" s="717"/>
      <c r="CJ740" s="717"/>
      <c r="CK740" s="717"/>
      <c r="CL740" s="717"/>
      <c r="CM740" s="717"/>
      <c r="CN740" s="717"/>
      <c r="CO740" s="717"/>
      <c r="CP740" s="717"/>
      <c r="CQ740" s="717"/>
      <c r="CR740" s="717"/>
      <c r="CS740" s="717"/>
      <c r="CT740" s="717"/>
      <c r="CU740" s="717"/>
      <c r="CV740" s="717"/>
      <c r="CW740" s="717"/>
      <c r="CX740" s="717"/>
      <c r="CY740" s="717"/>
      <c r="CZ740" s="717"/>
      <c r="DA740" s="717"/>
      <c r="DB740" s="717"/>
      <c r="DC740" s="717"/>
      <c r="DD740" s="717"/>
      <c r="DE740" s="717"/>
      <c r="DF740" s="717"/>
      <c r="DG740" s="717"/>
      <c r="DH740" s="717"/>
      <c r="DI740" s="717"/>
      <c r="DJ740" s="717"/>
      <c r="DM740" s="711"/>
      <c r="DN740" s="711"/>
      <c r="DO740" s="711"/>
      <c r="DP740" s="711"/>
      <c r="DQ740" s="711"/>
      <c r="EB740" s="719"/>
    </row>
    <row r="741" spans="5:132" s="709" customFormat="1" ht="18" hidden="1">
      <c r="E741" s="721"/>
      <c r="H741" s="723">
        <v>227</v>
      </c>
      <c r="I741" s="726"/>
      <c r="J741" s="724"/>
      <c r="K741" s="724"/>
      <c r="L741" s="724"/>
      <c r="M741" s="728"/>
      <c r="N741" s="724"/>
      <c r="O741" s="724"/>
      <c r="P741" s="724"/>
      <c r="Q741" s="724"/>
      <c r="R741" s="724"/>
      <c r="S741" s="724"/>
      <c r="T741" s="724"/>
      <c r="U741" s="724"/>
      <c r="V741" s="724"/>
      <c r="W741" s="724"/>
      <c r="X741" s="724"/>
      <c r="Y741" s="724"/>
      <c r="Z741" s="724"/>
      <c r="AA741" s="724"/>
      <c r="AB741" s="724"/>
      <c r="AC741" s="729"/>
      <c r="AD741" s="724"/>
      <c r="AE741" s="724"/>
      <c r="AF741" s="724"/>
      <c r="AG741" s="724"/>
      <c r="AH741" s="724"/>
      <c r="AI741" s="724"/>
      <c r="AJ741" s="724"/>
      <c r="AU741" s="713"/>
      <c r="AW741" s="712"/>
      <c r="BY741" s="714"/>
      <c r="BZ741" s="715"/>
      <c r="CA741" s="716"/>
      <c r="CB741" s="717"/>
      <c r="CC741" s="717"/>
      <c r="CD741" s="717"/>
      <c r="CE741" s="717"/>
      <c r="CF741" s="717"/>
      <c r="CG741" s="717"/>
      <c r="CH741" s="717"/>
      <c r="CI741" s="717"/>
      <c r="CJ741" s="717"/>
      <c r="CK741" s="717"/>
      <c r="CL741" s="717"/>
      <c r="CM741" s="717"/>
      <c r="CN741" s="717"/>
      <c r="CO741" s="717"/>
      <c r="CP741" s="717"/>
      <c r="CQ741" s="717"/>
      <c r="CR741" s="717"/>
      <c r="CS741" s="717"/>
      <c r="CT741" s="717"/>
      <c r="CU741" s="717"/>
      <c r="CV741" s="717"/>
      <c r="CW741" s="717"/>
      <c r="CX741" s="717"/>
      <c r="CY741" s="717"/>
      <c r="CZ741" s="717"/>
      <c r="DA741" s="717"/>
      <c r="DB741" s="717"/>
      <c r="DC741" s="717"/>
      <c r="DD741" s="717"/>
      <c r="DE741" s="717"/>
      <c r="DF741" s="717"/>
      <c r="DG741" s="717"/>
      <c r="DH741" s="717"/>
      <c r="DI741" s="717"/>
      <c r="DJ741" s="717"/>
      <c r="DM741" s="711"/>
      <c r="DN741" s="711"/>
      <c r="DO741" s="711"/>
      <c r="DP741" s="711"/>
      <c r="DQ741" s="711"/>
      <c r="EB741" s="719"/>
    </row>
    <row r="742" spans="5:132" s="709" customFormat="1" ht="18" hidden="1">
      <c r="E742" s="721"/>
      <c r="H742" s="723">
        <v>228</v>
      </c>
      <c r="I742" s="726"/>
      <c r="J742" s="724"/>
      <c r="K742" s="724"/>
      <c r="L742" s="724"/>
      <c r="M742" s="728"/>
      <c r="N742" s="724"/>
      <c r="O742" s="724"/>
      <c r="P742" s="724"/>
      <c r="Q742" s="724"/>
      <c r="R742" s="724"/>
      <c r="S742" s="724"/>
      <c r="T742" s="724"/>
      <c r="U742" s="724"/>
      <c r="V742" s="724"/>
      <c r="W742" s="724"/>
      <c r="X742" s="724"/>
      <c r="Y742" s="724"/>
      <c r="Z742" s="724"/>
      <c r="AA742" s="724"/>
      <c r="AB742" s="724"/>
      <c r="AC742" s="729"/>
      <c r="AD742" s="724"/>
      <c r="AE742" s="724"/>
      <c r="AF742" s="724"/>
      <c r="AG742" s="724"/>
      <c r="AH742" s="724"/>
      <c r="AI742" s="724"/>
      <c r="AJ742" s="724"/>
      <c r="AU742" s="713"/>
      <c r="AW742" s="712"/>
      <c r="BY742" s="714"/>
      <c r="BZ742" s="715"/>
      <c r="CA742" s="716"/>
      <c r="CB742" s="717"/>
      <c r="CC742" s="717"/>
      <c r="CD742" s="717"/>
      <c r="CE742" s="717"/>
      <c r="CF742" s="717"/>
      <c r="CG742" s="717"/>
      <c r="CH742" s="717"/>
      <c r="CI742" s="717"/>
      <c r="CJ742" s="717"/>
      <c r="CK742" s="717"/>
      <c r="CL742" s="717"/>
      <c r="CM742" s="717"/>
      <c r="CN742" s="717"/>
      <c r="CO742" s="717"/>
      <c r="CP742" s="717"/>
      <c r="CQ742" s="717"/>
      <c r="CR742" s="717"/>
      <c r="CS742" s="717"/>
      <c r="CT742" s="717"/>
      <c r="CU742" s="717"/>
      <c r="CV742" s="717"/>
      <c r="CW742" s="717"/>
      <c r="CX742" s="717"/>
      <c r="CY742" s="717"/>
      <c r="CZ742" s="717"/>
      <c r="DA742" s="717"/>
      <c r="DB742" s="717"/>
      <c r="DC742" s="717"/>
      <c r="DD742" s="717"/>
      <c r="DE742" s="717"/>
      <c r="DF742" s="717"/>
      <c r="DG742" s="717"/>
      <c r="DH742" s="717"/>
      <c r="DI742" s="717"/>
      <c r="DJ742" s="717"/>
      <c r="DM742" s="711"/>
      <c r="DN742" s="711"/>
      <c r="DO742" s="711"/>
      <c r="DP742" s="711"/>
      <c r="DQ742" s="711"/>
      <c r="EB742" s="719"/>
    </row>
    <row r="743" spans="5:132" s="709" customFormat="1" ht="18" hidden="1">
      <c r="E743" s="721"/>
      <c r="H743" s="723">
        <v>229</v>
      </c>
      <c r="I743" s="726"/>
      <c r="J743" s="724"/>
      <c r="K743" s="724"/>
      <c r="L743" s="724"/>
      <c r="M743" s="728"/>
      <c r="N743" s="724"/>
      <c r="O743" s="724"/>
      <c r="P743" s="724"/>
      <c r="Q743" s="724"/>
      <c r="R743" s="724"/>
      <c r="S743" s="724"/>
      <c r="T743" s="724"/>
      <c r="U743" s="724"/>
      <c r="V743" s="724"/>
      <c r="W743" s="724"/>
      <c r="X743" s="724"/>
      <c r="Y743" s="724"/>
      <c r="Z743" s="724"/>
      <c r="AA743" s="724"/>
      <c r="AB743" s="724"/>
      <c r="AC743" s="729"/>
      <c r="AD743" s="724"/>
      <c r="AE743" s="724"/>
      <c r="AF743" s="724"/>
      <c r="AG743" s="724"/>
      <c r="AH743" s="724"/>
      <c r="AI743" s="724"/>
      <c r="AJ743" s="724"/>
      <c r="AU743" s="713"/>
      <c r="AW743" s="712"/>
      <c r="BY743" s="714"/>
      <c r="BZ743" s="715"/>
      <c r="CA743" s="716"/>
      <c r="CB743" s="717"/>
      <c r="CC743" s="717"/>
      <c r="CD743" s="717"/>
      <c r="CE743" s="717"/>
      <c r="CF743" s="717"/>
      <c r="CG743" s="717"/>
      <c r="CH743" s="717"/>
      <c r="CI743" s="717"/>
      <c r="CJ743" s="717"/>
      <c r="CK743" s="717"/>
      <c r="CL743" s="717"/>
      <c r="CM743" s="717"/>
      <c r="CN743" s="717"/>
      <c r="CO743" s="717"/>
      <c r="CP743" s="717"/>
      <c r="CQ743" s="717"/>
      <c r="CR743" s="717"/>
      <c r="CS743" s="717"/>
      <c r="CT743" s="717"/>
      <c r="CU743" s="717"/>
      <c r="CV743" s="717"/>
      <c r="CW743" s="717"/>
      <c r="CX743" s="717"/>
      <c r="CY743" s="717"/>
      <c r="CZ743" s="717"/>
      <c r="DA743" s="717"/>
      <c r="DB743" s="717"/>
      <c r="DC743" s="717"/>
      <c r="DD743" s="717"/>
      <c r="DE743" s="717"/>
      <c r="DF743" s="717"/>
      <c r="DG743" s="717"/>
      <c r="DH743" s="717"/>
      <c r="DI743" s="717"/>
      <c r="DJ743" s="717"/>
      <c r="DM743" s="711"/>
      <c r="DN743" s="711"/>
      <c r="DO743" s="711"/>
      <c r="DP743" s="711"/>
      <c r="DQ743" s="711"/>
      <c r="EB743" s="719"/>
    </row>
    <row r="744" spans="5:132" s="709" customFormat="1" ht="18" hidden="1">
      <c r="E744" s="721"/>
      <c r="H744" s="723">
        <v>230</v>
      </c>
      <c r="I744" s="726"/>
      <c r="J744" s="724"/>
      <c r="K744" s="724"/>
      <c r="L744" s="724"/>
      <c r="M744" s="728"/>
      <c r="N744" s="724"/>
      <c r="O744" s="724"/>
      <c r="P744" s="724"/>
      <c r="Q744" s="724"/>
      <c r="R744" s="724"/>
      <c r="S744" s="724"/>
      <c r="T744" s="724"/>
      <c r="U744" s="724"/>
      <c r="V744" s="724"/>
      <c r="W744" s="724"/>
      <c r="X744" s="724"/>
      <c r="Y744" s="724"/>
      <c r="Z744" s="724"/>
      <c r="AA744" s="724"/>
      <c r="AB744" s="724"/>
      <c r="AC744" s="729"/>
      <c r="AD744" s="724"/>
      <c r="AE744" s="724"/>
      <c r="AF744" s="724"/>
      <c r="AG744" s="724"/>
      <c r="AH744" s="724"/>
      <c r="AI744" s="724"/>
      <c r="AJ744" s="724"/>
      <c r="AU744" s="713"/>
      <c r="AW744" s="712"/>
      <c r="BY744" s="714"/>
      <c r="BZ744" s="715"/>
      <c r="CA744" s="716"/>
      <c r="CB744" s="717"/>
      <c r="CC744" s="717"/>
      <c r="CD744" s="717"/>
      <c r="CE744" s="717"/>
      <c r="CF744" s="717"/>
      <c r="CG744" s="717"/>
      <c r="CH744" s="717"/>
      <c r="CI744" s="717"/>
      <c r="CJ744" s="717"/>
      <c r="CK744" s="717"/>
      <c r="CL744" s="717"/>
      <c r="CM744" s="717"/>
      <c r="CN744" s="717"/>
      <c r="CO744" s="717"/>
      <c r="CP744" s="717"/>
      <c r="CQ744" s="717"/>
      <c r="CR744" s="717"/>
      <c r="CS744" s="717"/>
      <c r="CT744" s="717"/>
      <c r="CU744" s="717"/>
      <c r="CV744" s="717"/>
      <c r="CW744" s="717"/>
      <c r="CX744" s="717"/>
      <c r="CY744" s="717"/>
      <c r="CZ744" s="717"/>
      <c r="DA744" s="717"/>
      <c r="DB744" s="717"/>
      <c r="DC744" s="717"/>
      <c r="DD744" s="717"/>
      <c r="DE744" s="717"/>
      <c r="DF744" s="717"/>
      <c r="DG744" s="717"/>
      <c r="DH744" s="717"/>
      <c r="DI744" s="717"/>
      <c r="DJ744" s="717"/>
      <c r="DM744" s="711"/>
      <c r="DN744" s="711"/>
      <c r="DO744" s="711"/>
      <c r="DP744" s="711"/>
      <c r="DQ744" s="711"/>
      <c r="EB744" s="719"/>
    </row>
    <row r="745" spans="5:132" s="709" customFormat="1" ht="18" hidden="1">
      <c r="E745" s="721"/>
      <c r="H745" s="723">
        <v>231</v>
      </c>
      <c r="I745" s="726"/>
      <c r="J745" s="724"/>
      <c r="K745" s="724"/>
      <c r="L745" s="724"/>
      <c r="M745" s="728"/>
      <c r="N745" s="724"/>
      <c r="O745" s="724"/>
      <c r="P745" s="724"/>
      <c r="Q745" s="724"/>
      <c r="R745" s="724"/>
      <c r="S745" s="724"/>
      <c r="T745" s="724"/>
      <c r="U745" s="724"/>
      <c r="V745" s="724"/>
      <c r="W745" s="724"/>
      <c r="X745" s="724"/>
      <c r="Y745" s="724"/>
      <c r="Z745" s="724"/>
      <c r="AA745" s="724"/>
      <c r="AB745" s="724"/>
      <c r="AC745" s="729"/>
      <c r="AD745" s="724"/>
      <c r="AE745" s="724"/>
      <c r="AF745" s="724"/>
      <c r="AG745" s="724"/>
      <c r="AH745" s="724"/>
      <c r="AI745" s="724"/>
      <c r="AJ745" s="724"/>
      <c r="AU745" s="713"/>
      <c r="AW745" s="712"/>
      <c r="BY745" s="714"/>
      <c r="BZ745" s="715"/>
      <c r="CA745" s="716"/>
      <c r="CB745" s="717"/>
      <c r="CC745" s="717"/>
      <c r="CD745" s="717"/>
      <c r="CE745" s="717"/>
      <c r="CF745" s="717"/>
      <c r="CG745" s="717"/>
      <c r="CH745" s="717"/>
      <c r="CI745" s="717"/>
      <c r="CJ745" s="717"/>
      <c r="CK745" s="717"/>
      <c r="CL745" s="717"/>
      <c r="CM745" s="717"/>
      <c r="CN745" s="717"/>
      <c r="CO745" s="717"/>
      <c r="CP745" s="717"/>
      <c r="CQ745" s="717"/>
      <c r="CR745" s="717"/>
      <c r="CS745" s="717"/>
      <c r="CT745" s="717"/>
      <c r="CU745" s="717"/>
      <c r="CV745" s="717"/>
      <c r="CW745" s="717"/>
      <c r="CX745" s="717"/>
      <c r="CY745" s="717"/>
      <c r="CZ745" s="717"/>
      <c r="DA745" s="717"/>
      <c r="DB745" s="717"/>
      <c r="DC745" s="717"/>
      <c r="DD745" s="717"/>
      <c r="DE745" s="717"/>
      <c r="DF745" s="717"/>
      <c r="DG745" s="717"/>
      <c r="DH745" s="717"/>
      <c r="DI745" s="717"/>
      <c r="DJ745" s="717"/>
      <c r="DM745" s="711"/>
      <c r="DN745" s="711"/>
      <c r="DO745" s="711"/>
      <c r="DP745" s="711"/>
      <c r="DQ745" s="711"/>
      <c r="EB745" s="719"/>
    </row>
    <row r="746" spans="5:132" s="709" customFormat="1" ht="18" hidden="1">
      <c r="E746" s="721"/>
      <c r="H746" s="723">
        <v>232</v>
      </c>
      <c r="I746" s="726"/>
      <c r="J746" s="724"/>
      <c r="K746" s="724"/>
      <c r="L746" s="724"/>
      <c r="M746" s="728"/>
      <c r="N746" s="724"/>
      <c r="O746" s="724"/>
      <c r="P746" s="724"/>
      <c r="Q746" s="724"/>
      <c r="R746" s="724"/>
      <c r="S746" s="724"/>
      <c r="T746" s="724"/>
      <c r="U746" s="724"/>
      <c r="V746" s="724"/>
      <c r="W746" s="724"/>
      <c r="X746" s="724"/>
      <c r="Y746" s="724"/>
      <c r="Z746" s="724"/>
      <c r="AA746" s="724"/>
      <c r="AB746" s="724"/>
      <c r="AC746" s="729"/>
      <c r="AD746" s="724"/>
      <c r="AE746" s="724"/>
      <c r="AF746" s="724"/>
      <c r="AG746" s="724"/>
      <c r="AH746" s="724"/>
      <c r="AI746" s="724"/>
      <c r="AJ746" s="724"/>
      <c r="AU746" s="713"/>
      <c r="AW746" s="712"/>
      <c r="BY746" s="714"/>
      <c r="BZ746" s="715"/>
      <c r="CA746" s="716"/>
      <c r="CB746" s="717"/>
      <c r="CC746" s="717"/>
      <c r="CD746" s="717"/>
      <c r="CE746" s="717"/>
      <c r="CF746" s="717"/>
      <c r="CG746" s="717"/>
      <c r="CH746" s="717"/>
      <c r="CI746" s="717"/>
      <c r="CJ746" s="717"/>
      <c r="CK746" s="717"/>
      <c r="CL746" s="717"/>
      <c r="CM746" s="717"/>
      <c r="CN746" s="717"/>
      <c r="CO746" s="717"/>
      <c r="CP746" s="717"/>
      <c r="CQ746" s="717"/>
      <c r="CR746" s="717"/>
      <c r="CS746" s="717"/>
      <c r="CT746" s="717"/>
      <c r="CU746" s="717"/>
      <c r="CV746" s="717"/>
      <c r="CW746" s="717"/>
      <c r="CX746" s="717"/>
      <c r="CY746" s="717"/>
      <c r="CZ746" s="717"/>
      <c r="DA746" s="717"/>
      <c r="DB746" s="717"/>
      <c r="DC746" s="717"/>
      <c r="DD746" s="717"/>
      <c r="DE746" s="717"/>
      <c r="DF746" s="717"/>
      <c r="DG746" s="717"/>
      <c r="DH746" s="717"/>
      <c r="DI746" s="717"/>
      <c r="DJ746" s="717"/>
      <c r="DM746" s="711"/>
      <c r="DN746" s="711"/>
      <c r="DO746" s="711"/>
      <c r="DP746" s="711"/>
      <c r="DQ746" s="711"/>
      <c r="EB746" s="719"/>
    </row>
    <row r="747" spans="5:132" s="709" customFormat="1" ht="18" hidden="1">
      <c r="E747" s="721"/>
      <c r="H747" s="723">
        <v>233</v>
      </c>
      <c r="I747" s="726"/>
      <c r="J747" s="724"/>
      <c r="K747" s="724"/>
      <c r="L747" s="724"/>
      <c r="M747" s="728"/>
      <c r="N747" s="724"/>
      <c r="O747" s="724"/>
      <c r="P747" s="724"/>
      <c r="Q747" s="724"/>
      <c r="R747" s="724"/>
      <c r="S747" s="724"/>
      <c r="T747" s="724"/>
      <c r="U747" s="724"/>
      <c r="V747" s="724"/>
      <c r="W747" s="724"/>
      <c r="X747" s="724"/>
      <c r="Y747" s="724"/>
      <c r="Z747" s="724"/>
      <c r="AA747" s="724"/>
      <c r="AB747" s="724"/>
      <c r="AC747" s="729"/>
      <c r="AD747" s="724"/>
      <c r="AE747" s="724"/>
      <c r="AF747" s="724"/>
      <c r="AG747" s="724"/>
      <c r="AH747" s="724"/>
      <c r="AI747" s="724"/>
      <c r="AJ747" s="724"/>
      <c r="AU747" s="713"/>
      <c r="AW747" s="712"/>
      <c r="BY747" s="714"/>
      <c r="BZ747" s="715"/>
      <c r="CA747" s="716"/>
      <c r="CB747" s="717"/>
      <c r="CC747" s="717"/>
      <c r="CD747" s="717"/>
      <c r="CE747" s="717"/>
      <c r="CF747" s="717"/>
      <c r="CG747" s="717"/>
      <c r="CH747" s="717"/>
      <c r="CI747" s="717"/>
      <c r="CJ747" s="717"/>
      <c r="CK747" s="717"/>
      <c r="CL747" s="717"/>
      <c r="CM747" s="717"/>
      <c r="CN747" s="717"/>
      <c r="CO747" s="717"/>
      <c r="CP747" s="717"/>
      <c r="CQ747" s="717"/>
      <c r="CR747" s="717"/>
      <c r="CS747" s="717"/>
      <c r="CT747" s="717"/>
      <c r="CU747" s="717"/>
      <c r="CV747" s="717"/>
      <c r="CW747" s="717"/>
      <c r="CX747" s="717"/>
      <c r="CY747" s="717"/>
      <c r="CZ747" s="717"/>
      <c r="DA747" s="717"/>
      <c r="DB747" s="717"/>
      <c r="DC747" s="717"/>
      <c r="DD747" s="717"/>
      <c r="DE747" s="717"/>
      <c r="DF747" s="717"/>
      <c r="DG747" s="717"/>
      <c r="DH747" s="717"/>
      <c r="DI747" s="717"/>
      <c r="DJ747" s="717"/>
      <c r="DM747" s="711"/>
      <c r="DN747" s="711"/>
      <c r="DO747" s="711"/>
      <c r="DP747" s="711"/>
      <c r="DQ747" s="711"/>
      <c r="EB747" s="719"/>
    </row>
    <row r="748" spans="5:132" s="709" customFormat="1" ht="18" hidden="1">
      <c r="E748" s="721"/>
      <c r="H748" s="723">
        <v>234</v>
      </c>
      <c r="I748" s="726"/>
      <c r="J748" s="724"/>
      <c r="K748" s="724"/>
      <c r="L748" s="724"/>
      <c r="M748" s="728"/>
      <c r="N748" s="724"/>
      <c r="O748" s="724"/>
      <c r="P748" s="724"/>
      <c r="Q748" s="724"/>
      <c r="R748" s="724"/>
      <c r="S748" s="724"/>
      <c r="T748" s="724"/>
      <c r="U748" s="724"/>
      <c r="V748" s="724"/>
      <c r="W748" s="724"/>
      <c r="X748" s="724"/>
      <c r="Y748" s="724"/>
      <c r="Z748" s="724"/>
      <c r="AA748" s="724"/>
      <c r="AB748" s="724"/>
      <c r="AC748" s="729"/>
      <c r="AD748" s="724"/>
      <c r="AE748" s="724"/>
      <c r="AF748" s="724"/>
      <c r="AG748" s="724"/>
      <c r="AH748" s="724"/>
      <c r="AI748" s="724"/>
      <c r="AJ748" s="724"/>
      <c r="AU748" s="713"/>
      <c r="AW748" s="712"/>
      <c r="BY748" s="714"/>
      <c r="BZ748" s="715"/>
      <c r="CA748" s="716"/>
      <c r="CB748" s="717"/>
      <c r="CC748" s="717"/>
      <c r="CD748" s="717"/>
      <c r="CE748" s="717"/>
      <c r="CF748" s="717"/>
      <c r="CG748" s="717"/>
      <c r="CH748" s="717"/>
      <c r="CI748" s="717"/>
      <c r="CJ748" s="717"/>
      <c r="CK748" s="717"/>
      <c r="CL748" s="717"/>
      <c r="CM748" s="717"/>
      <c r="CN748" s="717"/>
      <c r="CO748" s="717"/>
      <c r="CP748" s="717"/>
      <c r="CQ748" s="717"/>
      <c r="CR748" s="717"/>
      <c r="CS748" s="717"/>
      <c r="CT748" s="717"/>
      <c r="CU748" s="717"/>
      <c r="CV748" s="717"/>
      <c r="CW748" s="717"/>
      <c r="CX748" s="717"/>
      <c r="CY748" s="717"/>
      <c r="CZ748" s="717"/>
      <c r="DA748" s="717"/>
      <c r="DB748" s="717"/>
      <c r="DC748" s="717"/>
      <c r="DD748" s="717"/>
      <c r="DE748" s="717"/>
      <c r="DF748" s="717"/>
      <c r="DG748" s="717"/>
      <c r="DH748" s="717"/>
      <c r="DI748" s="717"/>
      <c r="DJ748" s="717"/>
      <c r="DM748" s="711"/>
      <c r="DN748" s="711"/>
      <c r="DO748" s="711"/>
      <c r="DP748" s="711"/>
      <c r="DQ748" s="711"/>
      <c r="EB748" s="719"/>
    </row>
    <row r="749" spans="5:132" s="709" customFormat="1" ht="18" hidden="1">
      <c r="E749" s="721"/>
      <c r="H749" s="723">
        <v>235</v>
      </c>
      <c r="I749" s="726"/>
      <c r="J749" s="724"/>
      <c r="K749" s="724"/>
      <c r="L749" s="724"/>
      <c r="M749" s="728"/>
      <c r="N749" s="724"/>
      <c r="O749" s="724"/>
      <c r="P749" s="724"/>
      <c r="Q749" s="724"/>
      <c r="R749" s="724"/>
      <c r="S749" s="724"/>
      <c r="T749" s="724"/>
      <c r="U749" s="724"/>
      <c r="V749" s="724"/>
      <c r="W749" s="724"/>
      <c r="X749" s="724"/>
      <c r="Y749" s="724"/>
      <c r="Z749" s="724"/>
      <c r="AA749" s="724"/>
      <c r="AB749" s="724"/>
      <c r="AC749" s="729"/>
      <c r="AD749" s="724"/>
      <c r="AE749" s="724"/>
      <c r="AF749" s="724"/>
      <c r="AG749" s="724"/>
      <c r="AH749" s="724"/>
      <c r="AI749" s="724"/>
      <c r="AJ749" s="724"/>
      <c r="AU749" s="713"/>
      <c r="AW749" s="712"/>
      <c r="BY749" s="714"/>
      <c r="BZ749" s="715"/>
      <c r="CA749" s="716"/>
      <c r="CB749" s="717"/>
      <c r="CC749" s="717"/>
      <c r="CD749" s="717"/>
      <c r="CE749" s="717"/>
      <c r="CF749" s="717"/>
      <c r="CG749" s="717"/>
      <c r="CH749" s="717"/>
      <c r="CI749" s="717"/>
      <c r="CJ749" s="717"/>
      <c r="CK749" s="717"/>
      <c r="CL749" s="717"/>
      <c r="CM749" s="717"/>
      <c r="CN749" s="717"/>
      <c r="CO749" s="717"/>
      <c r="CP749" s="717"/>
      <c r="CQ749" s="717"/>
      <c r="CR749" s="717"/>
      <c r="CS749" s="717"/>
      <c r="CT749" s="717"/>
      <c r="CU749" s="717"/>
      <c r="CV749" s="717"/>
      <c r="CW749" s="717"/>
      <c r="CX749" s="717"/>
      <c r="CY749" s="717"/>
      <c r="CZ749" s="717"/>
      <c r="DA749" s="717"/>
      <c r="DB749" s="717"/>
      <c r="DC749" s="717"/>
      <c r="DD749" s="717"/>
      <c r="DE749" s="717"/>
      <c r="DF749" s="717"/>
      <c r="DG749" s="717"/>
      <c r="DH749" s="717"/>
      <c r="DI749" s="717"/>
      <c r="DJ749" s="717"/>
      <c r="DM749" s="711"/>
      <c r="DN749" s="711"/>
      <c r="DO749" s="711"/>
      <c r="DP749" s="711"/>
      <c r="DQ749" s="711"/>
      <c r="EB749" s="719"/>
    </row>
    <row r="750" spans="5:132" s="709" customFormat="1" ht="18" hidden="1">
      <c r="E750" s="721"/>
      <c r="H750" s="723">
        <v>236</v>
      </c>
      <c r="I750" s="726"/>
      <c r="J750" s="724"/>
      <c r="K750" s="724"/>
      <c r="L750" s="724"/>
      <c r="M750" s="728"/>
      <c r="N750" s="724"/>
      <c r="O750" s="724"/>
      <c r="P750" s="724"/>
      <c r="Q750" s="724"/>
      <c r="R750" s="724"/>
      <c r="S750" s="724"/>
      <c r="T750" s="724"/>
      <c r="U750" s="724"/>
      <c r="V750" s="724"/>
      <c r="W750" s="724"/>
      <c r="X750" s="724"/>
      <c r="Y750" s="724"/>
      <c r="Z750" s="724"/>
      <c r="AA750" s="724"/>
      <c r="AB750" s="724"/>
      <c r="AC750" s="729"/>
      <c r="AD750" s="724"/>
      <c r="AE750" s="724"/>
      <c r="AF750" s="724"/>
      <c r="AG750" s="724"/>
      <c r="AH750" s="724"/>
      <c r="AI750" s="724"/>
      <c r="AJ750" s="724"/>
      <c r="AU750" s="713"/>
      <c r="AW750" s="712"/>
      <c r="BY750" s="714"/>
      <c r="BZ750" s="715"/>
      <c r="CA750" s="716"/>
      <c r="CB750" s="717"/>
      <c r="CC750" s="717"/>
      <c r="CD750" s="717"/>
      <c r="CE750" s="717"/>
      <c r="CF750" s="717"/>
      <c r="CG750" s="717"/>
      <c r="CH750" s="717"/>
      <c r="CI750" s="717"/>
      <c r="CJ750" s="717"/>
      <c r="CK750" s="717"/>
      <c r="CL750" s="717"/>
      <c r="CM750" s="717"/>
      <c r="CN750" s="717"/>
      <c r="CO750" s="717"/>
      <c r="CP750" s="717"/>
      <c r="CQ750" s="717"/>
      <c r="CR750" s="717"/>
      <c r="CS750" s="717"/>
      <c r="CT750" s="717"/>
      <c r="CU750" s="717"/>
      <c r="CV750" s="717"/>
      <c r="CW750" s="717"/>
      <c r="CX750" s="717"/>
      <c r="CY750" s="717"/>
      <c r="CZ750" s="717"/>
      <c r="DA750" s="717"/>
      <c r="DB750" s="717"/>
      <c r="DC750" s="717"/>
      <c r="DD750" s="717"/>
      <c r="DE750" s="717"/>
      <c r="DF750" s="717"/>
      <c r="DG750" s="717"/>
      <c r="DH750" s="717"/>
      <c r="DI750" s="717"/>
      <c r="DJ750" s="717"/>
      <c r="DM750" s="711"/>
      <c r="DN750" s="711"/>
      <c r="DO750" s="711"/>
      <c r="DP750" s="711"/>
      <c r="DQ750" s="711"/>
      <c r="EB750" s="719"/>
    </row>
    <row r="751" spans="5:132" s="709" customFormat="1" ht="18" hidden="1">
      <c r="E751" s="721"/>
      <c r="H751" s="723">
        <v>237</v>
      </c>
      <c r="I751" s="726"/>
      <c r="J751" s="724"/>
      <c r="K751" s="724"/>
      <c r="L751" s="724"/>
      <c r="M751" s="728"/>
      <c r="N751" s="724"/>
      <c r="O751" s="724"/>
      <c r="P751" s="724"/>
      <c r="Q751" s="724"/>
      <c r="R751" s="724"/>
      <c r="S751" s="724"/>
      <c r="T751" s="724"/>
      <c r="U751" s="724"/>
      <c r="V751" s="724"/>
      <c r="W751" s="724"/>
      <c r="X751" s="724"/>
      <c r="Y751" s="724"/>
      <c r="Z751" s="724"/>
      <c r="AA751" s="724"/>
      <c r="AB751" s="724"/>
      <c r="AC751" s="729"/>
      <c r="AD751" s="724"/>
      <c r="AE751" s="724"/>
      <c r="AF751" s="724"/>
      <c r="AG751" s="724"/>
      <c r="AH751" s="724"/>
      <c r="AI751" s="724"/>
      <c r="AJ751" s="724"/>
      <c r="AU751" s="713"/>
      <c r="AW751" s="712"/>
      <c r="BY751" s="714"/>
      <c r="BZ751" s="715"/>
      <c r="CA751" s="716"/>
      <c r="CB751" s="717"/>
      <c r="CC751" s="717"/>
      <c r="CD751" s="717"/>
      <c r="CE751" s="717"/>
      <c r="CF751" s="717"/>
      <c r="CG751" s="717"/>
      <c r="CH751" s="717"/>
      <c r="CI751" s="717"/>
      <c r="CJ751" s="717"/>
      <c r="CK751" s="717"/>
      <c r="CL751" s="717"/>
      <c r="CM751" s="717"/>
      <c r="CN751" s="717"/>
      <c r="CO751" s="717"/>
      <c r="CP751" s="717"/>
      <c r="CQ751" s="717"/>
      <c r="CR751" s="717"/>
      <c r="CS751" s="717"/>
      <c r="CT751" s="717"/>
      <c r="CU751" s="717"/>
      <c r="CV751" s="717"/>
      <c r="CW751" s="717"/>
      <c r="CX751" s="717"/>
      <c r="CY751" s="717"/>
      <c r="CZ751" s="717"/>
      <c r="DA751" s="717"/>
      <c r="DB751" s="717"/>
      <c r="DC751" s="717"/>
      <c r="DD751" s="717"/>
      <c r="DE751" s="717"/>
      <c r="DF751" s="717"/>
      <c r="DG751" s="717"/>
      <c r="DH751" s="717"/>
      <c r="DI751" s="717"/>
      <c r="DJ751" s="717"/>
      <c r="DM751" s="711"/>
      <c r="DN751" s="711"/>
      <c r="DO751" s="711"/>
      <c r="DP751" s="711"/>
      <c r="DQ751" s="711"/>
      <c r="EB751" s="719"/>
    </row>
    <row r="752" spans="5:132" s="709" customFormat="1" ht="18" hidden="1">
      <c r="E752" s="721"/>
      <c r="H752" s="723">
        <v>238</v>
      </c>
      <c r="I752" s="726"/>
      <c r="J752" s="724"/>
      <c r="K752" s="724"/>
      <c r="L752" s="724"/>
      <c r="M752" s="728"/>
      <c r="N752" s="724"/>
      <c r="O752" s="724"/>
      <c r="P752" s="724"/>
      <c r="Q752" s="724"/>
      <c r="R752" s="724"/>
      <c r="S752" s="724"/>
      <c r="T752" s="724"/>
      <c r="U752" s="724"/>
      <c r="V752" s="724"/>
      <c r="W752" s="724"/>
      <c r="X752" s="724"/>
      <c r="Y752" s="724"/>
      <c r="Z752" s="724"/>
      <c r="AA752" s="724"/>
      <c r="AB752" s="724"/>
      <c r="AC752" s="729"/>
      <c r="AD752" s="724"/>
      <c r="AE752" s="724"/>
      <c r="AF752" s="724"/>
      <c r="AG752" s="724"/>
      <c r="AH752" s="724"/>
      <c r="AI752" s="724"/>
      <c r="AJ752" s="724"/>
      <c r="AU752" s="713"/>
      <c r="AW752" s="712"/>
      <c r="BY752" s="714"/>
      <c r="BZ752" s="715"/>
      <c r="CA752" s="716"/>
      <c r="CB752" s="717"/>
      <c r="CC752" s="717"/>
      <c r="CD752" s="717"/>
      <c r="CE752" s="717"/>
      <c r="CF752" s="717"/>
      <c r="CG752" s="717"/>
      <c r="CH752" s="717"/>
      <c r="CI752" s="717"/>
      <c r="CJ752" s="717"/>
      <c r="CK752" s="717"/>
      <c r="CL752" s="717"/>
      <c r="CM752" s="717"/>
      <c r="CN752" s="717"/>
      <c r="CO752" s="717"/>
      <c r="CP752" s="717"/>
      <c r="CQ752" s="717"/>
      <c r="CR752" s="717"/>
      <c r="CS752" s="717"/>
      <c r="CT752" s="717"/>
      <c r="CU752" s="717"/>
      <c r="CV752" s="717"/>
      <c r="CW752" s="717"/>
      <c r="CX752" s="717"/>
      <c r="CY752" s="717"/>
      <c r="CZ752" s="717"/>
      <c r="DA752" s="717"/>
      <c r="DB752" s="717"/>
      <c r="DC752" s="717"/>
      <c r="DD752" s="717"/>
      <c r="DE752" s="717"/>
      <c r="DF752" s="717"/>
      <c r="DG752" s="717"/>
      <c r="DH752" s="717"/>
      <c r="DI752" s="717"/>
      <c r="DJ752" s="717"/>
      <c r="DM752" s="711"/>
      <c r="DN752" s="711"/>
      <c r="DO752" s="711"/>
      <c r="DP752" s="711"/>
      <c r="DQ752" s="711"/>
      <c r="EB752" s="719"/>
    </row>
    <row r="753" spans="5:132" s="709" customFormat="1" ht="18" hidden="1">
      <c r="E753" s="721"/>
      <c r="H753" s="723">
        <v>239</v>
      </c>
      <c r="I753" s="726"/>
      <c r="J753" s="724"/>
      <c r="K753" s="724"/>
      <c r="L753" s="724"/>
      <c r="M753" s="728"/>
      <c r="N753" s="724"/>
      <c r="O753" s="724"/>
      <c r="P753" s="724"/>
      <c r="Q753" s="724"/>
      <c r="R753" s="724"/>
      <c r="S753" s="724"/>
      <c r="T753" s="724"/>
      <c r="U753" s="724"/>
      <c r="V753" s="724"/>
      <c r="W753" s="724"/>
      <c r="X753" s="724"/>
      <c r="Y753" s="724"/>
      <c r="Z753" s="724"/>
      <c r="AA753" s="724"/>
      <c r="AB753" s="724"/>
      <c r="AC753" s="729"/>
      <c r="AD753" s="724"/>
      <c r="AE753" s="724"/>
      <c r="AF753" s="724"/>
      <c r="AG753" s="724"/>
      <c r="AH753" s="724"/>
      <c r="AI753" s="724"/>
      <c r="AJ753" s="724"/>
      <c r="AU753" s="713"/>
      <c r="AW753" s="712"/>
      <c r="BY753" s="714"/>
      <c r="BZ753" s="715"/>
      <c r="CA753" s="716"/>
      <c r="CB753" s="717"/>
      <c r="CC753" s="717"/>
      <c r="CD753" s="717"/>
      <c r="CE753" s="717"/>
      <c r="CF753" s="717"/>
      <c r="CG753" s="717"/>
      <c r="CH753" s="717"/>
      <c r="CI753" s="717"/>
      <c r="CJ753" s="717"/>
      <c r="CK753" s="717"/>
      <c r="CL753" s="717"/>
      <c r="CM753" s="717"/>
      <c r="CN753" s="717"/>
      <c r="CO753" s="717"/>
      <c r="CP753" s="717"/>
      <c r="CQ753" s="717"/>
      <c r="CR753" s="717"/>
      <c r="CS753" s="717"/>
      <c r="CT753" s="717"/>
      <c r="CU753" s="717"/>
      <c r="CV753" s="717"/>
      <c r="CW753" s="717"/>
      <c r="CX753" s="717"/>
      <c r="CY753" s="717"/>
      <c r="CZ753" s="717"/>
      <c r="DA753" s="717"/>
      <c r="DB753" s="717"/>
      <c r="DC753" s="717"/>
      <c r="DD753" s="717"/>
      <c r="DE753" s="717"/>
      <c r="DF753" s="717"/>
      <c r="DG753" s="717"/>
      <c r="DH753" s="717"/>
      <c r="DI753" s="717"/>
      <c r="DJ753" s="717"/>
      <c r="DM753" s="711"/>
      <c r="DN753" s="711"/>
      <c r="DO753" s="711"/>
      <c r="DP753" s="711"/>
      <c r="DQ753" s="711"/>
      <c r="EB753" s="719"/>
    </row>
    <row r="754" spans="5:132" s="709" customFormat="1" ht="18" hidden="1">
      <c r="E754" s="721"/>
      <c r="H754" s="723">
        <v>240</v>
      </c>
      <c r="I754" s="726"/>
      <c r="J754" s="724"/>
      <c r="K754" s="724"/>
      <c r="L754" s="724"/>
      <c r="M754" s="728"/>
      <c r="N754" s="724"/>
      <c r="O754" s="724"/>
      <c r="P754" s="724"/>
      <c r="Q754" s="724"/>
      <c r="R754" s="724"/>
      <c r="S754" s="724"/>
      <c r="T754" s="724"/>
      <c r="U754" s="724"/>
      <c r="V754" s="724"/>
      <c r="W754" s="724"/>
      <c r="X754" s="724"/>
      <c r="Y754" s="724"/>
      <c r="Z754" s="724"/>
      <c r="AA754" s="724"/>
      <c r="AB754" s="724"/>
      <c r="AC754" s="729"/>
      <c r="AD754" s="724"/>
      <c r="AE754" s="724"/>
      <c r="AF754" s="724"/>
      <c r="AG754" s="724"/>
      <c r="AH754" s="724"/>
      <c r="AI754" s="724"/>
      <c r="AJ754" s="724"/>
      <c r="AU754" s="713"/>
      <c r="AW754" s="712"/>
      <c r="BY754" s="714"/>
      <c r="BZ754" s="715"/>
      <c r="CA754" s="716"/>
      <c r="CB754" s="717"/>
      <c r="CC754" s="717"/>
      <c r="CD754" s="717"/>
      <c r="CE754" s="717"/>
      <c r="CF754" s="717"/>
      <c r="CG754" s="717"/>
      <c r="CH754" s="717"/>
      <c r="CI754" s="717"/>
      <c r="CJ754" s="717"/>
      <c r="CK754" s="717"/>
      <c r="CL754" s="717"/>
      <c r="CM754" s="717"/>
      <c r="CN754" s="717"/>
      <c r="CO754" s="717"/>
      <c r="CP754" s="717"/>
      <c r="CQ754" s="717"/>
      <c r="CR754" s="717"/>
      <c r="CS754" s="717"/>
      <c r="CT754" s="717"/>
      <c r="CU754" s="717"/>
      <c r="CV754" s="717"/>
      <c r="CW754" s="717"/>
      <c r="CX754" s="717"/>
      <c r="CY754" s="717"/>
      <c r="CZ754" s="717"/>
      <c r="DA754" s="717"/>
      <c r="DB754" s="717"/>
      <c r="DC754" s="717"/>
      <c r="DD754" s="717"/>
      <c r="DE754" s="717"/>
      <c r="DF754" s="717"/>
      <c r="DG754" s="717"/>
      <c r="DH754" s="717"/>
      <c r="DI754" s="717"/>
      <c r="DJ754" s="717"/>
      <c r="DM754" s="711"/>
      <c r="DN754" s="711"/>
      <c r="DO754" s="711"/>
      <c r="DP754" s="711"/>
      <c r="DQ754" s="711"/>
      <c r="EB754" s="719"/>
    </row>
    <row r="755" spans="5:132" s="709" customFormat="1" ht="18" hidden="1">
      <c r="E755" s="721"/>
      <c r="H755" s="723">
        <v>241</v>
      </c>
      <c r="I755" s="726"/>
      <c r="J755" s="724"/>
      <c r="K755" s="724"/>
      <c r="L755" s="724"/>
      <c r="M755" s="728"/>
      <c r="N755" s="724"/>
      <c r="O755" s="724"/>
      <c r="P755" s="724"/>
      <c r="Q755" s="724"/>
      <c r="R755" s="724"/>
      <c r="S755" s="724"/>
      <c r="T755" s="724"/>
      <c r="U755" s="724"/>
      <c r="V755" s="724"/>
      <c r="W755" s="724"/>
      <c r="X755" s="724"/>
      <c r="Y755" s="724"/>
      <c r="Z755" s="724"/>
      <c r="AA755" s="724"/>
      <c r="AB755" s="724"/>
      <c r="AC755" s="729"/>
      <c r="AD755" s="724"/>
      <c r="AE755" s="724"/>
      <c r="AF755" s="724"/>
      <c r="AG755" s="724"/>
      <c r="AH755" s="724"/>
      <c r="AI755" s="724"/>
      <c r="AJ755" s="724"/>
      <c r="AU755" s="713"/>
      <c r="AW755" s="712"/>
      <c r="BY755" s="714"/>
      <c r="BZ755" s="715"/>
      <c r="CA755" s="716"/>
      <c r="CB755" s="717"/>
      <c r="CC755" s="717"/>
      <c r="CD755" s="717"/>
      <c r="CE755" s="717"/>
      <c r="CF755" s="717"/>
      <c r="CG755" s="717"/>
      <c r="CH755" s="717"/>
      <c r="CI755" s="717"/>
      <c r="CJ755" s="717"/>
      <c r="CK755" s="717"/>
      <c r="CL755" s="717"/>
      <c r="CM755" s="717"/>
      <c r="CN755" s="717"/>
      <c r="CO755" s="717"/>
      <c r="CP755" s="717"/>
      <c r="CQ755" s="717"/>
      <c r="CR755" s="717"/>
      <c r="CS755" s="717"/>
      <c r="CT755" s="717"/>
      <c r="CU755" s="717"/>
      <c r="CV755" s="717"/>
      <c r="CW755" s="717"/>
      <c r="CX755" s="717"/>
      <c r="CY755" s="717"/>
      <c r="CZ755" s="717"/>
      <c r="DA755" s="717"/>
      <c r="DB755" s="717"/>
      <c r="DC755" s="717"/>
      <c r="DD755" s="717"/>
      <c r="DE755" s="717"/>
      <c r="DF755" s="717"/>
      <c r="DG755" s="717"/>
      <c r="DH755" s="717"/>
      <c r="DI755" s="717"/>
      <c r="DJ755" s="717"/>
      <c r="DM755" s="711"/>
      <c r="DN755" s="711"/>
      <c r="DO755" s="711"/>
      <c r="DP755" s="711"/>
      <c r="DQ755" s="711"/>
      <c r="EB755" s="719"/>
    </row>
    <row r="756" spans="5:132" s="709" customFormat="1" ht="18" hidden="1">
      <c r="E756" s="721"/>
      <c r="H756" s="723">
        <v>242</v>
      </c>
      <c r="I756" s="726"/>
      <c r="J756" s="724"/>
      <c r="K756" s="724"/>
      <c r="L756" s="724"/>
      <c r="M756" s="728"/>
      <c r="N756" s="724"/>
      <c r="O756" s="724"/>
      <c r="P756" s="724"/>
      <c r="Q756" s="724"/>
      <c r="R756" s="724"/>
      <c r="S756" s="724"/>
      <c r="T756" s="724"/>
      <c r="U756" s="724"/>
      <c r="V756" s="724"/>
      <c r="W756" s="724"/>
      <c r="X756" s="724"/>
      <c r="Y756" s="724"/>
      <c r="Z756" s="724"/>
      <c r="AA756" s="724"/>
      <c r="AB756" s="724"/>
      <c r="AC756" s="729"/>
      <c r="AD756" s="724"/>
      <c r="AE756" s="724"/>
      <c r="AF756" s="724"/>
      <c r="AG756" s="724"/>
      <c r="AH756" s="724"/>
      <c r="AI756" s="724"/>
      <c r="AJ756" s="724"/>
      <c r="AU756" s="713"/>
      <c r="AW756" s="712"/>
      <c r="BY756" s="714"/>
      <c r="BZ756" s="715"/>
      <c r="CA756" s="716"/>
      <c r="CB756" s="717"/>
      <c r="CC756" s="717"/>
      <c r="CD756" s="717"/>
      <c r="CE756" s="717"/>
      <c r="CF756" s="717"/>
      <c r="CG756" s="717"/>
      <c r="CH756" s="717"/>
      <c r="CI756" s="717"/>
      <c r="CJ756" s="717"/>
      <c r="CK756" s="717"/>
      <c r="CL756" s="717"/>
      <c r="CM756" s="717"/>
      <c r="CN756" s="717"/>
      <c r="CO756" s="717"/>
      <c r="CP756" s="717"/>
      <c r="CQ756" s="717"/>
      <c r="CR756" s="717"/>
      <c r="CS756" s="717"/>
      <c r="CT756" s="717"/>
      <c r="CU756" s="717"/>
      <c r="CV756" s="717"/>
      <c r="CW756" s="717"/>
      <c r="CX756" s="717"/>
      <c r="CY756" s="717"/>
      <c r="CZ756" s="717"/>
      <c r="DA756" s="717"/>
      <c r="DB756" s="717"/>
      <c r="DC756" s="717"/>
      <c r="DD756" s="717"/>
      <c r="DE756" s="717"/>
      <c r="DF756" s="717"/>
      <c r="DG756" s="717"/>
      <c r="DH756" s="717"/>
      <c r="DI756" s="717"/>
      <c r="DJ756" s="717"/>
      <c r="DM756" s="711"/>
      <c r="DN756" s="711"/>
      <c r="DO756" s="711"/>
      <c r="DP756" s="711"/>
      <c r="DQ756" s="711"/>
      <c r="EB756" s="719"/>
    </row>
    <row r="757" spans="5:132" s="709" customFormat="1" ht="18" hidden="1">
      <c r="E757" s="721"/>
      <c r="H757" s="723">
        <v>243</v>
      </c>
      <c r="I757" s="726"/>
      <c r="J757" s="724"/>
      <c r="K757" s="724"/>
      <c r="L757" s="724"/>
      <c r="M757" s="728"/>
      <c r="N757" s="724"/>
      <c r="O757" s="724"/>
      <c r="P757" s="724"/>
      <c r="Q757" s="724"/>
      <c r="R757" s="724"/>
      <c r="S757" s="724"/>
      <c r="T757" s="724"/>
      <c r="U757" s="724"/>
      <c r="V757" s="724"/>
      <c r="W757" s="724"/>
      <c r="X757" s="724"/>
      <c r="Y757" s="724"/>
      <c r="Z757" s="724"/>
      <c r="AA757" s="724"/>
      <c r="AB757" s="724"/>
      <c r="AC757" s="729"/>
      <c r="AD757" s="724"/>
      <c r="AE757" s="724"/>
      <c r="AF757" s="724"/>
      <c r="AG757" s="724"/>
      <c r="AH757" s="724"/>
      <c r="AI757" s="724"/>
      <c r="AJ757" s="724"/>
      <c r="AU757" s="713"/>
      <c r="AW757" s="712"/>
      <c r="BY757" s="714"/>
      <c r="BZ757" s="715"/>
      <c r="CA757" s="716"/>
      <c r="CB757" s="717"/>
      <c r="CC757" s="717"/>
      <c r="CD757" s="717"/>
      <c r="CE757" s="717"/>
      <c r="CF757" s="717"/>
      <c r="CG757" s="717"/>
      <c r="CH757" s="717"/>
      <c r="CI757" s="717"/>
      <c r="CJ757" s="717"/>
      <c r="CK757" s="717"/>
      <c r="CL757" s="717"/>
      <c r="CM757" s="717"/>
      <c r="CN757" s="717"/>
      <c r="CO757" s="717"/>
      <c r="CP757" s="717"/>
      <c r="CQ757" s="717"/>
      <c r="CR757" s="717"/>
      <c r="CS757" s="717"/>
      <c r="CT757" s="717"/>
      <c r="CU757" s="717"/>
      <c r="CV757" s="717"/>
      <c r="CW757" s="717"/>
      <c r="CX757" s="717"/>
      <c r="CY757" s="717"/>
      <c r="CZ757" s="717"/>
      <c r="DA757" s="717"/>
      <c r="DB757" s="717"/>
      <c r="DC757" s="717"/>
      <c r="DD757" s="717"/>
      <c r="DE757" s="717"/>
      <c r="DF757" s="717"/>
      <c r="DG757" s="717"/>
      <c r="DH757" s="717"/>
      <c r="DI757" s="717"/>
      <c r="DJ757" s="717"/>
      <c r="DM757" s="711"/>
      <c r="DN757" s="711"/>
      <c r="DO757" s="711"/>
      <c r="DP757" s="711"/>
      <c r="DQ757" s="711"/>
      <c r="EB757" s="719"/>
    </row>
    <row r="758" spans="5:132" s="709" customFormat="1" ht="18" hidden="1">
      <c r="E758" s="721"/>
      <c r="H758" s="723">
        <v>244</v>
      </c>
      <c r="I758" s="726"/>
      <c r="J758" s="724"/>
      <c r="K758" s="724"/>
      <c r="L758" s="724"/>
      <c r="M758" s="728"/>
      <c r="N758" s="724"/>
      <c r="O758" s="724"/>
      <c r="P758" s="724"/>
      <c r="Q758" s="724"/>
      <c r="R758" s="724"/>
      <c r="S758" s="724"/>
      <c r="T758" s="724"/>
      <c r="U758" s="724"/>
      <c r="V758" s="724"/>
      <c r="W758" s="724"/>
      <c r="X758" s="724"/>
      <c r="Y758" s="724"/>
      <c r="Z758" s="724"/>
      <c r="AA758" s="724"/>
      <c r="AB758" s="724"/>
      <c r="AC758" s="729"/>
      <c r="AD758" s="724"/>
      <c r="AE758" s="724"/>
      <c r="AF758" s="724"/>
      <c r="AG758" s="724"/>
      <c r="AH758" s="724"/>
      <c r="AI758" s="724"/>
      <c r="AJ758" s="724"/>
      <c r="AU758" s="713"/>
      <c r="AW758" s="712"/>
      <c r="BY758" s="714"/>
      <c r="BZ758" s="715"/>
      <c r="CA758" s="716"/>
      <c r="CB758" s="717"/>
      <c r="CC758" s="717"/>
      <c r="CD758" s="717"/>
      <c r="CE758" s="717"/>
      <c r="CF758" s="717"/>
      <c r="CG758" s="717"/>
      <c r="CH758" s="717"/>
      <c r="CI758" s="717"/>
      <c r="CJ758" s="717"/>
      <c r="CK758" s="717"/>
      <c r="CL758" s="717"/>
      <c r="CM758" s="717"/>
      <c r="CN758" s="717"/>
      <c r="CO758" s="717"/>
      <c r="CP758" s="717"/>
      <c r="CQ758" s="717"/>
      <c r="CR758" s="717"/>
      <c r="CS758" s="717"/>
      <c r="CT758" s="717"/>
      <c r="CU758" s="717"/>
      <c r="CV758" s="717"/>
      <c r="CW758" s="717"/>
      <c r="CX758" s="717"/>
      <c r="CY758" s="717"/>
      <c r="CZ758" s="717"/>
      <c r="DA758" s="717"/>
      <c r="DB758" s="717"/>
      <c r="DC758" s="717"/>
      <c r="DD758" s="717"/>
      <c r="DE758" s="717"/>
      <c r="DF758" s="717"/>
      <c r="DG758" s="717"/>
      <c r="DH758" s="717"/>
      <c r="DI758" s="717"/>
      <c r="DJ758" s="717"/>
      <c r="DM758" s="711"/>
      <c r="DN758" s="711"/>
      <c r="DO758" s="711"/>
      <c r="DP758" s="711"/>
      <c r="DQ758" s="711"/>
      <c r="EB758" s="719"/>
    </row>
    <row r="759" spans="5:132" s="709" customFormat="1" ht="18" hidden="1">
      <c r="E759" s="721"/>
      <c r="H759" s="723">
        <v>245</v>
      </c>
      <c r="I759" s="726"/>
      <c r="J759" s="724"/>
      <c r="K759" s="724"/>
      <c r="L759" s="724"/>
      <c r="M759" s="728"/>
      <c r="N759" s="724"/>
      <c r="O759" s="724"/>
      <c r="P759" s="724"/>
      <c r="Q759" s="724"/>
      <c r="R759" s="724"/>
      <c r="S759" s="724"/>
      <c r="T759" s="724"/>
      <c r="U759" s="724"/>
      <c r="V759" s="724"/>
      <c r="W759" s="724"/>
      <c r="X759" s="724"/>
      <c r="Y759" s="724"/>
      <c r="Z759" s="724"/>
      <c r="AA759" s="724"/>
      <c r="AB759" s="724"/>
      <c r="AC759" s="729"/>
      <c r="AD759" s="724"/>
      <c r="AE759" s="724"/>
      <c r="AF759" s="724"/>
      <c r="AG759" s="724"/>
      <c r="AH759" s="724"/>
      <c r="AI759" s="724"/>
      <c r="AJ759" s="724"/>
      <c r="AU759" s="713"/>
      <c r="AW759" s="712"/>
      <c r="BY759" s="714"/>
      <c r="BZ759" s="715"/>
      <c r="CA759" s="716"/>
      <c r="CB759" s="717"/>
      <c r="CC759" s="717"/>
      <c r="CD759" s="717"/>
      <c r="CE759" s="717"/>
      <c r="CF759" s="717"/>
      <c r="CG759" s="717"/>
      <c r="CH759" s="717"/>
      <c r="CI759" s="717"/>
      <c r="CJ759" s="717"/>
      <c r="CK759" s="717"/>
      <c r="CL759" s="717"/>
      <c r="CM759" s="717"/>
      <c r="CN759" s="717"/>
      <c r="CO759" s="717"/>
      <c r="CP759" s="717"/>
      <c r="CQ759" s="717"/>
      <c r="CR759" s="717"/>
      <c r="CS759" s="717"/>
      <c r="CT759" s="717"/>
      <c r="CU759" s="717"/>
      <c r="CV759" s="717"/>
      <c r="CW759" s="717"/>
      <c r="CX759" s="717"/>
      <c r="CY759" s="717"/>
      <c r="CZ759" s="717"/>
      <c r="DA759" s="717"/>
      <c r="DB759" s="717"/>
      <c r="DC759" s="717"/>
      <c r="DD759" s="717"/>
      <c r="DE759" s="717"/>
      <c r="DF759" s="717"/>
      <c r="DG759" s="717"/>
      <c r="DH759" s="717"/>
      <c r="DI759" s="717"/>
      <c r="DJ759" s="717"/>
      <c r="DM759" s="711"/>
      <c r="DN759" s="711"/>
      <c r="DO759" s="711"/>
      <c r="DP759" s="711"/>
      <c r="DQ759" s="711"/>
      <c r="EB759" s="719"/>
    </row>
    <row r="760" spans="5:132" s="709" customFormat="1" ht="18" hidden="1">
      <c r="E760" s="721"/>
      <c r="H760" s="723">
        <v>246</v>
      </c>
      <c r="I760" s="726"/>
      <c r="J760" s="724"/>
      <c r="K760" s="724"/>
      <c r="L760" s="724"/>
      <c r="M760" s="728"/>
      <c r="N760" s="724"/>
      <c r="O760" s="724"/>
      <c r="P760" s="724"/>
      <c r="Q760" s="724"/>
      <c r="R760" s="724"/>
      <c r="S760" s="724"/>
      <c r="T760" s="724"/>
      <c r="U760" s="724"/>
      <c r="V760" s="724"/>
      <c r="W760" s="724"/>
      <c r="X760" s="724"/>
      <c r="Y760" s="724"/>
      <c r="Z760" s="724"/>
      <c r="AA760" s="724"/>
      <c r="AB760" s="724"/>
      <c r="AC760" s="729"/>
      <c r="AD760" s="724"/>
      <c r="AE760" s="724"/>
      <c r="AF760" s="724"/>
      <c r="AG760" s="724"/>
      <c r="AH760" s="724"/>
      <c r="AI760" s="724"/>
      <c r="AJ760" s="724"/>
      <c r="AU760" s="713"/>
      <c r="AW760" s="712"/>
      <c r="BY760" s="714"/>
      <c r="BZ760" s="715"/>
      <c r="CA760" s="716"/>
      <c r="CB760" s="717"/>
      <c r="CC760" s="717"/>
      <c r="CD760" s="717"/>
      <c r="CE760" s="717"/>
      <c r="CF760" s="717"/>
      <c r="CG760" s="717"/>
      <c r="CH760" s="717"/>
      <c r="CI760" s="717"/>
      <c r="CJ760" s="717"/>
      <c r="CK760" s="717"/>
      <c r="CL760" s="717"/>
      <c r="CM760" s="717"/>
      <c r="CN760" s="717"/>
      <c r="CO760" s="717"/>
      <c r="CP760" s="717"/>
      <c r="CQ760" s="717"/>
      <c r="CR760" s="717"/>
      <c r="CS760" s="717"/>
      <c r="CT760" s="717"/>
      <c r="CU760" s="717"/>
      <c r="CV760" s="717"/>
      <c r="CW760" s="717"/>
      <c r="CX760" s="717"/>
      <c r="CY760" s="717"/>
      <c r="CZ760" s="717"/>
      <c r="DA760" s="717"/>
      <c r="DB760" s="717"/>
      <c r="DC760" s="717"/>
      <c r="DD760" s="717"/>
      <c r="DE760" s="717"/>
      <c r="DF760" s="717"/>
      <c r="DG760" s="717"/>
      <c r="DH760" s="717"/>
      <c r="DI760" s="717"/>
      <c r="DJ760" s="717"/>
      <c r="DM760" s="711"/>
      <c r="DN760" s="711"/>
      <c r="DO760" s="711"/>
      <c r="DP760" s="711"/>
      <c r="DQ760" s="711"/>
      <c r="EB760" s="719"/>
    </row>
    <row r="761" spans="5:132" s="709" customFormat="1" ht="18" hidden="1">
      <c r="E761" s="721"/>
      <c r="H761" s="723">
        <v>248</v>
      </c>
      <c r="I761" s="726"/>
      <c r="J761" s="724"/>
      <c r="K761" s="724"/>
      <c r="L761" s="724"/>
      <c r="M761" s="728"/>
      <c r="N761" s="724"/>
      <c r="O761" s="724"/>
      <c r="P761" s="724"/>
      <c r="Q761" s="724"/>
      <c r="R761" s="724"/>
      <c r="S761" s="724"/>
      <c r="T761" s="724"/>
      <c r="U761" s="724"/>
      <c r="V761" s="724"/>
      <c r="W761" s="724"/>
      <c r="X761" s="724"/>
      <c r="Y761" s="724"/>
      <c r="Z761" s="724"/>
      <c r="AA761" s="724"/>
      <c r="AB761" s="724"/>
      <c r="AC761" s="729"/>
      <c r="AD761" s="724"/>
      <c r="AE761" s="724"/>
      <c r="AF761" s="724"/>
      <c r="AG761" s="724"/>
      <c r="AH761" s="724"/>
      <c r="AI761" s="724"/>
      <c r="AJ761" s="724"/>
      <c r="AU761" s="713"/>
      <c r="AW761" s="712"/>
      <c r="BY761" s="714"/>
      <c r="BZ761" s="715"/>
      <c r="CA761" s="716"/>
      <c r="CB761" s="717"/>
      <c r="CC761" s="717"/>
      <c r="CD761" s="717"/>
      <c r="CE761" s="717"/>
      <c r="CF761" s="717"/>
      <c r="CG761" s="717"/>
      <c r="CH761" s="717"/>
      <c r="CI761" s="717"/>
      <c r="CJ761" s="717"/>
      <c r="CK761" s="717"/>
      <c r="CL761" s="717"/>
      <c r="CM761" s="717"/>
      <c r="CN761" s="717"/>
      <c r="CO761" s="717"/>
      <c r="CP761" s="717"/>
      <c r="CQ761" s="717"/>
      <c r="CR761" s="717"/>
      <c r="CS761" s="717"/>
      <c r="CT761" s="717"/>
      <c r="CU761" s="717"/>
      <c r="CV761" s="717"/>
      <c r="CW761" s="717"/>
      <c r="CX761" s="717"/>
      <c r="CY761" s="717"/>
      <c r="CZ761" s="717"/>
      <c r="DA761" s="717"/>
      <c r="DB761" s="717"/>
      <c r="DC761" s="717"/>
      <c r="DD761" s="717"/>
      <c r="DE761" s="717"/>
      <c r="DF761" s="717"/>
      <c r="DG761" s="717"/>
      <c r="DH761" s="717"/>
      <c r="DI761" s="717"/>
      <c r="DJ761" s="717"/>
      <c r="DM761" s="711"/>
      <c r="DN761" s="711"/>
      <c r="DO761" s="711"/>
      <c r="DP761" s="711"/>
      <c r="DQ761" s="711"/>
      <c r="EB761" s="719"/>
    </row>
    <row r="762" spans="5:132" s="709" customFormat="1" ht="18" hidden="1">
      <c r="E762" s="721"/>
      <c r="H762" s="723">
        <v>249</v>
      </c>
      <c r="I762" s="726"/>
      <c r="J762" s="724"/>
      <c r="K762" s="724"/>
      <c r="L762" s="724"/>
      <c r="M762" s="728"/>
      <c r="N762" s="724"/>
      <c r="O762" s="724"/>
      <c r="P762" s="724"/>
      <c r="Q762" s="724"/>
      <c r="R762" s="724"/>
      <c r="S762" s="724"/>
      <c r="T762" s="724"/>
      <c r="U762" s="724"/>
      <c r="V762" s="724"/>
      <c r="W762" s="724"/>
      <c r="X762" s="724"/>
      <c r="Y762" s="724"/>
      <c r="Z762" s="724"/>
      <c r="AA762" s="724"/>
      <c r="AB762" s="724"/>
      <c r="AC762" s="729"/>
      <c r="AD762" s="724"/>
      <c r="AE762" s="724"/>
      <c r="AF762" s="724"/>
      <c r="AG762" s="724"/>
      <c r="AH762" s="724"/>
      <c r="AI762" s="724"/>
      <c r="AJ762" s="724"/>
      <c r="AU762" s="713"/>
      <c r="AW762" s="712"/>
      <c r="BY762" s="714"/>
      <c r="BZ762" s="715"/>
      <c r="CA762" s="716"/>
      <c r="CB762" s="717"/>
      <c r="CC762" s="717"/>
      <c r="CD762" s="717"/>
      <c r="CE762" s="717"/>
      <c r="CF762" s="717"/>
      <c r="CG762" s="717"/>
      <c r="CH762" s="717"/>
      <c r="CI762" s="717"/>
      <c r="CJ762" s="717"/>
      <c r="CK762" s="717"/>
      <c r="CL762" s="717"/>
      <c r="CM762" s="717"/>
      <c r="CN762" s="717"/>
      <c r="CO762" s="717"/>
      <c r="CP762" s="717"/>
      <c r="CQ762" s="717"/>
      <c r="CR762" s="717"/>
      <c r="CS762" s="717"/>
      <c r="CT762" s="717"/>
      <c r="CU762" s="717"/>
      <c r="CV762" s="717"/>
      <c r="CW762" s="717"/>
      <c r="CX762" s="717"/>
      <c r="CY762" s="717"/>
      <c r="CZ762" s="717"/>
      <c r="DA762" s="717"/>
      <c r="DB762" s="717"/>
      <c r="DC762" s="717"/>
      <c r="DD762" s="717"/>
      <c r="DE762" s="717"/>
      <c r="DF762" s="717"/>
      <c r="DG762" s="717"/>
      <c r="DH762" s="717"/>
      <c r="DI762" s="717"/>
      <c r="DJ762" s="717"/>
      <c r="DM762" s="711"/>
      <c r="DN762" s="711"/>
      <c r="DO762" s="711"/>
      <c r="DP762" s="711"/>
      <c r="DQ762" s="711"/>
      <c r="EB762" s="719"/>
    </row>
    <row r="763" spans="5:132" s="709" customFormat="1" ht="18" hidden="1">
      <c r="E763" s="721"/>
      <c r="H763" s="723">
        <v>250</v>
      </c>
      <c r="I763" s="726"/>
      <c r="J763" s="724"/>
      <c r="K763" s="724"/>
      <c r="L763" s="724"/>
      <c r="M763" s="728"/>
      <c r="N763" s="724"/>
      <c r="O763" s="724"/>
      <c r="P763" s="724"/>
      <c r="Q763" s="724"/>
      <c r="R763" s="724"/>
      <c r="S763" s="724"/>
      <c r="T763" s="724"/>
      <c r="U763" s="724"/>
      <c r="V763" s="724"/>
      <c r="W763" s="724"/>
      <c r="X763" s="724"/>
      <c r="Y763" s="724"/>
      <c r="Z763" s="724"/>
      <c r="AA763" s="724"/>
      <c r="AB763" s="724"/>
      <c r="AC763" s="729"/>
      <c r="AD763" s="724"/>
      <c r="AE763" s="724"/>
      <c r="AF763" s="724"/>
      <c r="AG763" s="724"/>
      <c r="AH763" s="724"/>
      <c r="AI763" s="724"/>
      <c r="AJ763" s="724"/>
      <c r="AU763" s="713"/>
      <c r="AW763" s="712"/>
      <c r="BY763" s="714"/>
      <c r="BZ763" s="715"/>
      <c r="CA763" s="716"/>
      <c r="CB763" s="717"/>
      <c r="CC763" s="717"/>
      <c r="CD763" s="717"/>
      <c r="CE763" s="717"/>
      <c r="CF763" s="717"/>
      <c r="CG763" s="717"/>
      <c r="CH763" s="717"/>
      <c r="CI763" s="717"/>
      <c r="CJ763" s="717"/>
      <c r="CK763" s="717"/>
      <c r="CL763" s="717"/>
      <c r="CM763" s="717"/>
      <c r="CN763" s="717"/>
      <c r="CO763" s="717"/>
      <c r="CP763" s="717"/>
      <c r="CQ763" s="717"/>
      <c r="CR763" s="717"/>
      <c r="CS763" s="717"/>
      <c r="CT763" s="717"/>
      <c r="CU763" s="717"/>
      <c r="CV763" s="717"/>
      <c r="CW763" s="717"/>
      <c r="CX763" s="717"/>
      <c r="CY763" s="717"/>
      <c r="CZ763" s="717"/>
      <c r="DA763" s="717"/>
      <c r="DB763" s="717"/>
      <c r="DC763" s="717"/>
      <c r="DD763" s="717"/>
      <c r="DE763" s="717"/>
      <c r="DF763" s="717"/>
      <c r="DG763" s="717"/>
      <c r="DH763" s="717"/>
      <c r="DI763" s="717"/>
      <c r="DJ763" s="717"/>
      <c r="DM763" s="711"/>
      <c r="DN763" s="711"/>
      <c r="DO763" s="711"/>
      <c r="DP763" s="711"/>
      <c r="DQ763" s="711"/>
      <c r="EB763" s="719"/>
    </row>
    <row r="764" spans="5:132" s="709" customFormat="1" ht="18" hidden="1">
      <c r="E764" s="721"/>
      <c r="H764" s="723">
        <v>251</v>
      </c>
      <c r="I764" s="726"/>
      <c r="J764" s="724"/>
      <c r="K764" s="724"/>
      <c r="L764" s="724"/>
      <c r="M764" s="728"/>
      <c r="N764" s="724"/>
      <c r="O764" s="724"/>
      <c r="P764" s="724"/>
      <c r="Q764" s="724"/>
      <c r="R764" s="724"/>
      <c r="S764" s="724"/>
      <c r="T764" s="724"/>
      <c r="U764" s="724"/>
      <c r="V764" s="724"/>
      <c r="W764" s="724"/>
      <c r="X764" s="724"/>
      <c r="Y764" s="724"/>
      <c r="Z764" s="724"/>
      <c r="AA764" s="724"/>
      <c r="AB764" s="724"/>
      <c r="AC764" s="729"/>
      <c r="AD764" s="724"/>
      <c r="AE764" s="724"/>
      <c r="AF764" s="724"/>
      <c r="AG764" s="724"/>
      <c r="AH764" s="724"/>
      <c r="AI764" s="724"/>
      <c r="AJ764" s="724"/>
      <c r="AU764" s="713"/>
      <c r="AW764" s="712"/>
      <c r="BY764" s="714"/>
      <c r="BZ764" s="715"/>
      <c r="CA764" s="716"/>
      <c r="CB764" s="717"/>
      <c r="CC764" s="717"/>
      <c r="CD764" s="717"/>
      <c r="CE764" s="717"/>
      <c r="CF764" s="717"/>
      <c r="CG764" s="717"/>
      <c r="CH764" s="717"/>
      <c r="CI764" s="717"/>
      <c r="CJ764" s="717"/>
      <c r="CK764" s="717"/>
      <c r="CL764" s="717"/>
      <c r="CM764" s="717"/>
      <c r="CN764" s="717"/>
      <c r="CO764" s="717"/>
      <c r="CP764" s="717"/>
      <c r="CQ764" s="717"/>
      <c r="CR764" s="717"/>
      <c r="CS764" s="717"/>
      <c r="CT764" s="717"/>
      <c r="CU764" s="717"/>
      <c r="CV764" s="717"/>
      <c r="CW764" s="717"/>
      <c r="CX764" s="717"/>
      <c r="CY764" s="717"/>
      <c r="CZ764" s="717"/>
      <c r="DA764" s="717"/>
      <c r="DB764" s="717"/>
      <c r="DC764" s="717"/>
      <c r="DD764" s="717"/>
      <c r="DE764" s="717"/>
      <c r="DF764" s="717"/>
      <c r="DG764" s="717"/>
      <c r="DH764" s="717"/>
      <c r="DI764" s="717"/>
      <c r="DJ764" s="717"/>
      <c r="DM764" s="711"/>
      <c r="DN764" s="711"/>
      <c r="DO764" s="711"/>
      <c r="DP764" s="711"/>
      <c r="DQ764" s="711"/>
      <c r="EB764" s="719"/>
    </row>
    <row r="765" spans="5:132" s="709" customFormat="1" ht="18" hidden="1">
      <c r="E765" s="721"/>
      <c r="H765" s="723">
        <v>252</v>
      </c>
      <c r="I765" s="726"/>
      <c r="J765" s="724"/>
      <c r="K765" s="724"/>
      <c r="L765" s="724"/>
      <c r="M765" s="728"/>
      <c r="N765" s="724"/>
      <c r="O765" s="724"/>
      <c r="P765" s="724"/>
      <c r="Q765" s="724"/>
      <c r="R765" s="724"/>
      <c r="S765" s="724"/>
      <c r="T765" s="724"/>
      <c r="U765" s="724"/>
      <c r="V765" s="724"/>
      <c r="W765" s="724"/>
      <c r="X765" s="724"/>
      <c r="Y765" s="724"/>
      <c r="Z765" s="724"/>
      <c r="AA765" s="724"/>
      <c r="AB765" s="724"/>
      <c r="AC765" s="729"/>
      <c r="AD765" s="724"/>
      <c r="AE765" s="724"/>
      <c r="AF765" s="724"/>
      <c r="AG765" s="724"/>
      <c r="AH765" s="724"/>
      <c r="AI765" s="724"/>
      <c r="AJ765" s="724"/>
      <c r="AU765" s="713"/>
      <c r="AW765" s="712"/>
      <c r="BY765" s="714"/>
      <c r="BZ765" s="715"/>
      <c r="CA765" s="716"/>
      <c r="CB765" s="717"/>
      <c r="CC765" s="717"/>
      <c r="CD765" s="717"/>
      <c r="CE765" s="717"/>
      <c r="CF765" s="717"/>
      <c r="CG765" s="717"/>
      <c r="CH765" s="717"/>
      <c r="CI765" s="717"/>
      <c r="CJ765" s="717"/>
      <c r="CK765" s="717"/>
      <c r="CL765" s="717"/>
      <c r="CM765" s="717"/>
      <c r="CN765" s="717"/>
      <c r="CO765" s="717"/>
      <c r="CP765" s="717"/>
      <c r="CQ765" s="717"/>
      <c r="CR765" s="717"/>
      <c r="CS765" s="717"/>
      <c r="CT765" s="717"/>
      <c r="CU765" s="717"/>
      <c r="CV765" s="717"/>
      <c r="CW765" s="717"/>
      <c r="CX765" s="717"/>
      <c r="CY765" s="717"/>
      <c r="CZ765" s="717"/>
      <c r="DA765" s="717"/>
      <c r="DB765" s="717"/>
      <c r="DC765" s="717"/>
      <c r="DD765" s="717"/>
      <c r="DE765" s="717"/>
      <c r="DF765" s="717"/>
      <c r="DG765" s="717"/>
      <c r="DH765" s="717"/>
      <c r="DI765" s="717"/>
      <c r="DJ765" s="717"/>
      <c r="DM765" s="711"/>
      <c r="DN765" s="711"/>
      <c r="DO765" s="711"/>
      <c r="DP765" s="711"/>
      <c r="DQ765" s="711"/>
      <c r="EB765" s="719"/>
    </row>
    <row r="766" spans="5:132" s="709" customFormat="1" ht="18" hidden="1">
      <c r="E766" s="721"/>
      <c r="H766" s="723">
        <v>253</v>
      </c>
      <c r="I766" s="726"/>
      <c r="J766" s="724"/>
      <c r="K766" s="724"/>
      <c r="L766" s="724"/>
      <c r="M766" s="728"/>
      <c r="N766" s="724"/>
      <c r="O766" s="724"/>
      <c r="P766" s="724"/>
      <c r="Q766" s="724"/>
      <c r="R766" s="724"/>
      <c r="S766" s="724"/>
      <c r="T766" s="724"/>
      <c r="U766" s="724"/>
      <c r="V766" s="724"/>
      <c r="W766" s="724"/>
      <c r="X766" s="724"/>
      <c r="Y766" s="724"/>
      <c r="Z766" s="724"/>
      <c r="AA766" s="724"/>
      <c r="AB766" s="724"/>
      <c r="AC766" s="729"/>
      <c r="AD766" s="724"/>
      <c r="AE766" s="724"/>
      <c r="AF766" s="724"/>
      <c r="AG766" s="724"/>
      <c r="AH766" s="724"/>
      <c r="AI766" s="724"/>
      <c r="AJ766" s="724"/>
      <c r="AU766" s="713"/>
      <c r="AW766" s="712"/>
      <c r="BY766" s="714"/>
      <c r="BZ766" s="715"/>
      <c r="CA766" s="716"/>
      <c r="CB766" s="717"/>
      <c r="CC766" s="717"/>
      <c r="CD766" s="717"/>
      <c r="CE766" s="717"/>
      <c r="CF766" s="717"/>
      <c r="CG766" s="717"/>
      <c r="CH766" s="717"/>
      <c r="CI766" s="717"/>
      <c r="CJ766" s="717"/>
      <c r="CK766" s="717"/>
      <c r="CL766" s="717"/>
      <c r="CM766" s="717"/>
      <c r="CN766" s="717"/>
      <c r="CO766" s="717"/>
      <c r="CP766" s="717"/>
      <c r="CQ766" s="717"/>
      <c r="CR766" s="717"/>
      <c r="CS766" s="717"/>
      <c r="CT766" s="717"/>
      <c r="CU766" s="717"/>
      <c r="CV766" s="717"/>
      <c r="CW766" s="717"/>
      <c r="CX766" s="717"/>
      <c r="CY766" s="717"/>
      <c r="CZ766" s="717"/>
      <c r="DA766" s="717"/>
      <c r="DB766" s="717"/>
      <c r="DC766" s="717"/>
      <c r="DD766" s="717"/>
      <c r="DE766" s="717"/>
      <c r="DF766" s="717"/>
      <c r="DG766" s="717"/>
      <c r="DH766" s="717"/>
      <c r="DI766" s="717"/>
      <c r="DJ766" s="717"/>
      <c r="DM766" s="711"/>
      <c r="DN766" s="711"/>
      <c r="DO766" s="711"/>
      <c r="DP766" s="711"/>
      <c r="DQ766" s="711"/>
      <c r="EB766" s="719"/>
    </row>
    <row r="767" spans="5:132" s="709" customFormat="1" ht="18" hidden="1">
      <c r="E767" s="721"/>
      <c r="H767" s="723">
        <v>254</v>
      </c>
      <c r="I767" s="726"/>
      <c r="J767" s="724"/>
      <c r="K767" s="724"/>
      <c r="L767" s="724"/>
      <c r="M767" s="728"/>
      <c r="N767" s="724"/>
      <c r="O767" s="724"/>
      <c r="P767" s="724"/>
      <c r="Q767" s="724"/>
      <c r="R767" s="724"/>
      <c r="S767" s="724"/>
      <c r="T767" s="724"/>
      <c r="U767" s="724"/>
      <c r="V767" s="724"/>
      <c r="W767" s="724"/>
      <c r="X767" s="724"/>
      <c r="Y767" s="724"/>
      <c r="Z767" s="724"/>
      <c r="AA767" s="724"/>
      <c r="AB767" s="724"/>
      <c r="AC767" s="729"/>
      <c r="AD767" s="724"/>
      <c r="AE767" s="724"/>
      <c r="AF767" s="724"/>
      <c r="AG767" s="724"/>
      <c r="AH767" s="724"/>
      <c r="AI767" s="724"/>
      <c r="AJ767" s="724"/>
      <c r="AU767" s="713"/>
      <c r="AW767" s="712"/>
      <c r="BY767" s="714"/>
      <c r="BZ767" s="715"/>
      <c r="CA767" s="716"/>
      <c r="CB767" s="717"/>
      <c r="CC767" s="717"/>
      <c r="CD767" s="717"/>
      <c r="CE767" s="717"/>
      <c r="CF767" s="717"/>
      <c r="CG767" s="717"/>
      <c r="CH767" s="717"/>
      <c r="CI767" s="717"/>
      <c r="CJ767" s="717"/>
      <c r="CK767" s="717"/>
      <c r="CL767" s="717"/>
      <c r="CM767" s="717"/>
      <c r="CN767" s="717"/>
      <c r="CO767" s="717"/>
      <c r="CP767" s="717"/>
      <c r="CQ767" s="717"/>
      <c r="CR767" s="717"/>
      <c r="CS767" s="717"/>
      <c r="CT767" s="717"/>
      <c r="CU767" s="717"/>
      <c r="CV767" s="717"/>
      <c r="CW767" s="717"/>
      <c r="CX767" s="717"/>
      <c r="CY767" s="717"/>
      <c r="CZ767" s="717"/>
      <c r="DA767" s="717"/>
      <c r="DB767" s="717"/>
      <c r="DC767" s="717"/>
      <c r="DD767" s="717"/>
      <c r="DE767" s="717"/>
      <c r="DF767" s="717"/>
      <c r="DG767" s="717"/>
      <c r="DH767" s="717"/>
      <c r="DI767" s="717"/>
      <c r="DJ767" s="717"/>
      <c r="DM767" s="711"/>
      <c r="DN767" s="711"/>
      <c r="DO767" s="711"/>
      <c r="DP767" s="711"/>
      <c r="DQ767" s="711"/>
      <c r="EB767" s="719"/>
    </row>
    <row r="768" spans="5:132" s="709" customFormat="1" ht="18" hidden="1">
      <c r="E768" s="721"/>
      <c r="H768" s="723">
        <v>255</v>
      </c>
      <c r="I768" s="726"/>
      <c r="J768" s="724"/>
      <c r="K768" s="724"/>
      <c r="L768" s="724"/>
      <c r="M768" s="728"/>
      <c r="N768" s="724"/>
      <c r="O768" s="724"/>
      <c r="P768" s="724"/>
      <c r="Q768" s="724"/>
      <c r="R768" s="724"/>
      <c r="S768" s="724"/>
      <c r="T768" s="724"/>
      <c r="U768" s="724"/>
      <c r="V768" s="724"/>
      <c r="W768" s="724"/>
      <c r="X768" s="724"/>
      <c r="Y768" s="724"/>
      <c r="Z768" s="724"/>
      <c r="AA768" s="724"/>
      <c r="AB768" s="724"/>
      <c r="AC768" s="729"/>
      <c r="AD768" s="724"/>
      <c r="AE768" s="724"/>
      <c r="AF768" s="724"/>
      <c r="AG768" s="724"/>
      <c r="AH768" s="724"/>
      <c r="AI768" s="724"/>
      <c r="AJ768" s="724"/>
      <c r="AU768" s="713"/>
      <c r="AW768" s="712"/>
      <c r="BY768" s="714"/>
      <c r="BZ768" s="715"/>
      <c r="CA768" s="716"/>
      <c r="CB768" s="717"/>
      <c r="CC768" s="717"/>
      <c r="CD768" s="717"/>
      <c r="CE768" s="717"/>
      <c r="CF768" s="717"/>
      <c r="CG768" s="717"/>
      <c r="CH768" s="717"/>
      <c r="CI768" s="717"/>
      <c r="CJ768" s="717"/>
      <c r="CK768" s="717"/>
      <c r="CL768" s="717"/>
      <c r="CM768" s="717"/>
      <c r="CN768" s="717"/>
      <c r="CO768" s="717"/>
      <c r="CP768" s="717"/>
      <c r="CQ768" s="717"/>
      <c r="CR768" s="717"/>
      <c r="CS768" s="717"/>
      <c r="CT768" s="717"/>
      <c r="CU768" s="717"/>
      <c r="CV768" s="717"/>
      <c r="CW768" s="717"/>
      <c r="CX768" s="717"/>
      <c r="CY768" s="717"/>
      <c r="CZ768" s="717"/>
      <c r="DA768" s="717"/>
      <c r="DB768" s="717"/>
      <c r="DC768" s="717"/>
      <c r="DD768" s="717"/>
      <c r="DE768" s="717"/>
      <c r="DF768" s="717"/>
      <c r="DG768" s="717"/>
      <c r="DH768" s="717"/>
      <c r="DI768" s="717"/>
      <c r="DJ768" s="717"/>
      <c r="DM768" s="711"/>
      <c r="DN768" s="711"/>
      <c r="DO768" s="711"/>
      <c r="DP768" s="711"/>
      <c r="DQ768" s="711"/>
      <c r="EB768" s="719"/>
    </row>
    <row r="769" spans="5:132" s="709" customFormat="1" ht="18" hidden="1">
      <c r="E769" s="721"/>
      <c r="H769" s="723">
        <v>256</v>
      </c>
      <c r="I769" s="726"/>
      <c r="J769" s="724"/>
      <c r="K769" s="724"/>
      <c r="L769" s="724"/>
      <c r="M769" s="728"/>
      <c r="N769" s="724"/>
      <c r="O769" s="724"/>
      <c r="P769" s="724"/>
      <c r="Q769" s="724"/>
      <c r="R769" s="724"/>
      <c r="S769" s="724"/>
      <c r="T769" s="724"/>
      <c r="U769" s="724"/>
      <c r="V769" s="724"/>
      <c r="W769" s="724"/>
      <c r="X769" s="724"/>
      <c r="Y769" s="724"/>
      <c r="Z769" s="724"/>
      <c r="AA769" s="724"/>
      <c r="AB769" s="724"/>
      <c r="AC769" s="729"/>
      <c r="AD769" s="724"/>
      <c r="AE769" s="724"/>
      <c r="AF769" s="724"/>
      <c r="AG769" s="724"/>
      <c r="AH769" s="724"/>
      <c r="AI769" s="724"/>
      <c r="AJ769" s="724"/>
      <c r="AU769" s="713"/>
      <c r="AW769" s="712"/>
      <c r="BY769" s="714"/>
      <c r="BZ769" s="715"/>
      <c r="CA769" s="716"/>
      <c r="CB769" s="717"/>
      <c r="CC769" s="717"/>
      <c r="CD769" s="717"/>
      <c r="CE769" s="717"/>
      <c r="CF769" s="717"/>
      <c r="CG769" s="717"/>
      <c r="CH769" s="717"/>
      <c r="CI769" s="717"/>
      <c r="CJ769" s="717"/>
      <c r="CK769" s="717"/>
      <c r="CL769" s="717"/>
      <c r="CM769" s="717"/>
      <c r="CN769" s="717"/>
      <c r="CO769" s="717"/>
      <c r="CP769" s="717"/>
      <c r="CQ769" s="717"/>
      <c r="CR769" s="717"/>
      <c r="CS769" s="717"/>
      <c r="CT769" s="717"/>
      <c r="CU769" s="717"/>
      <c r="CV769" s="717"/>
      <c r="CW769" s="717"/>
      <c r="CX769" s="717"/>
      <c r="CY769" s="717"/>
      <c r="CZ769" s="717"/>
      <c r="DA769" s="717"/>
      <c r="DB769" s="717"/>
      <c r="DC769" s="717"/>
      <c r="DD769" s="717"/>
      <c r="DE769" s="717"/>
      <c r="DF769" s="717"/>
      <c r="DG769" s="717"/>
      <c r="DH769" s="717"/>
      <c r="DI769" s="717"/>
      <c r="DJ769" s="717"/>
      <c r="DM769" s="711"/>
      <c r="DN769" s="711"/>
      <c r="DO769" s="711"/>
      <c r="DP769" s="711"/>
      <c r="DQ769" s="711"/>
      <c r="EB769" s="719"/>
    </row>
    <row r="770" spans="5:132" s="709" customFormat="1" ht="18" hidden="1">
      <c r="E770" s="721"/>
      <c r="H770" s="723">
        <v>258</v>
      </c>
      <c r="I770" s="726"/>
      <c r="J770" s="724"/>
      <c r="K770" s="724"/>
      <c r="L770" s="724"/>
      <c r="M770" s="728"/>
      <c r="N770" s="724"/>
      <c r="O770" s="724"/>
      <c r="P770" s="724"/>
      <c r="Q770" s="724"/>
      <c r="R770" s="724"/>
      <c r="S770" s="724"/>
      <c r="T770" s="724"/>
      <c r="U770" s="724"/>
      <c r="V770" s="724"/>
      <c r="W770" s="724"/>
      <c r="X770" s="724"/>
      <c r="Y770" s="724"/>
      <c r="Z770" s="724"/>
      <c r="AA770" s="724"/>
      <c r="AB770" s="724"/>
      <c r="AC770" s="729"/>
      <c r="AD770" s="724"/>
      <c r="AE770" s="724"/>
      <c r="AF770" s="724"/>
      <c r="AG770" s="724"/>
      <c r="AH770" s="724"/>
      <c r="AI770" s="724"/>
      <c r="AJ770" s="724"/>
      <c r="AU770" s="713"/>
      <c r="AW770" s="712"/>
      <c r="BY770" s="714"/>
      <c r="BZ770" s="715"/>
      <c r="CA770" s="716"/>
      <c r="CB770" s="717"/>
      <c r="CC770" s="717"/>
      <c r="CD770" s="717"/>
      <c r="CE770" s="717"/>
      <c r="CF770" s="717"/>
      <c r="CG770" s="717"/>
      <c r="CH770" s="717"/>
      <c r="CI770" s="717"/>
      <c r="CJ770" s="717"/>
      <c r="CK770" s="717"/>
      <c r="CL770" s="717"/>
      <c r="CM770" s="717"/>
      <c r="CN770" s="717"/>
      <c r="CO770" s="717"/>
      <c r="CP770" s="717"/>
      <c r="CQ770" s="717"/>
      <c r="CR770" s="717"/>
      <c r="CS770" s="717"/>
      <c r="CT770" s="717"/>
      <c r="CU770" s="717"/>
      <c r="CV770" s="717"/>
      <c r="CW770" s="717"/>
      <c r="CX770" s="717"/>
      <c r="CY770" s="717"/>
      <c r="CZ770" s="717"/>
      <c r="DA770" s="717"/>
      <c r="DB770" s="717"/>
      <c r="DC770" s="717"/>
      <c r="DD770" s="717"/>
      <c r="DE770" s="717"/>
      <c r="DF770" s="717"/>
      <c r="DG770" s="717"/>
      <c r="DH770" s="717"/>
      <c r="DI770" s="717"/>
      <c r="DJ770" s="717"/>
      <c r="DM770" s="711"/>
      <c r="DN770" s="711"/>
      <c r="DO770" s="711"/>
      <c r="DP770" s="711"/>
      <c r="DQ770" s="711"/>
      <c r="EB770" s="719"/>
    </row>
    <row r="771" spans="5:132" s="709" customFormat="1" ht="18" hidden="1">
      <c r="E771" s="721"/>
      <c r="H771" s="723">
        <v>259</v>
      </c>
      <c r="I771" s="726"/>
      <c r="J771" s="724"/>
      <c r="K771" s="724"/>
      <c r="L771" s="724"/>
      <c r="M771" s="728"/>
      <c r="N771" s="724"/>
      <c r="O771" s="724"/>
      <c r="P771" s="724"/>
      <c r="Q771" s="724"/>
      <c r="R771" s="724"/>
      <c r="S771" s="724"/>
      <c r="T771" s="724"/>
      <c r="U771" s="724"/>
      <c r="V771" s="724"/>
      <c r="W771" s="724"/>
      <c r="X771" s="724"/>
      <c r="Y771" s="724"/>
      <c r="Z771" s="724"/>
      <c r="AA771" s="724"/>
      <c r="AB771" s="724"/>
      <c r="AC771" s="729"/>
      <c r="AD771" s="724"/>
      <c r="AE771" s="724"/>
      <c r="AF771" s="724"/>
      <c r="AG771" s="724"/>
      <c r="AH771" s="724"/>
      <c r="AI771" s="724"/>
      <c r="AJ771" s="724"/>
      <c r="AU771" s="713"/>
      <c r="AW771" s="712"/>
      <c r="BY771" s="714"/>
      <c r="BZ771" s="715"/>
      <c r="CA771" s="716"/>
      <c r="CB771" s="717"/>
      <c r="CC771" s="717"/>
      <c r="CD771" s="717"/>
      <c r="CE771" s="717"/>
      <c r="CF771" s="717"/>
      <c r="CG771" s="717"/>
      <c r="CH771" s="717"/>
      <c r="CI771" s="717"/>
      <c r="CJ771" s="717"/>
      <c r="CK771" s="717"/>
      <c r="CL771" s="717"/>
      <c r="CM771" s="717"/>
      <c r="CN771" s="717"/>
      <c r="CO771" s="717"/>
      <c r="CP771" s="717"/>
      <c r="CQ771" s="717"/>
      <c r="CR771" s="717"/>
      <c r="CS771" s="717"/>
      <c r="CT771" s="717"/>
      <c r="CU771" s="717"/>
      <c r="CV771" s="717"/>
      <c r="CW771" s="717"/>
      <c r="CX771" s="717"/>
      <c r="CY771" s="717"/>
      <c r="CZ771" s="717"/>
      <c r="DA771" s="717"/>
      <c r="DB771" s="717"/>
      <c r="DC771" s="717"/>
      <c r="DD771" s="717"/>
      <c r="DE771" s="717"/>
      <c r="DF771" s="717"/>
      <c r="DG771" s="717"/>
      <c r="DH771" s="717"/>
      <c r="DI771" s="717"/>
      <c r="DJ771" s="717"/>
      <c r="DM771" s="711"/>
      <c r="DN771" s="711"/>
      <c r="DO771" s="711"/>
      <c r="DP771" s="711"/>
      <c r="DQ771" s="711"/>
      <c r="EB771" s="719"/>
    </row>
    <row r="772" spans="5:132" s="709" customFormat="1" ht="18" hidden="1">
      <c r="E772" s="721"/>
      <c r="H772" s="723">
        <v>261</v>
      </c>
      <c r="I772" s="726"/>
      <c r="J772" s="724"/>
      <c r="K772" s="724"/>
      <c r="L772" s="724"/>
      <c r="M772" s="728"/>
      <c r="N772" s="724"/>
      <c r="O772" s="724"/>
      <c r="P772" s="724"/>
      <c r="Q772" s="724"/>
      <c r="R772" s="724"/>
      <c r="S772" s="724"/>
      <c r="T772" s="724"/>
      <c r="U772" s="724"/>
      <c r="V772" s="724"/>
      <c r="W772" s="724"/>
      <c r="X772" s="724"/>
      <c r="Y772" s="724"/>
      <c r="Z772" s="724"/>
      <c r="AA772" s="724"/>
      <c r="AB772" s="724"/>
      <c r="AC772" s="729"/>
      <c r="AD772" s="724"/>
      <c r="AE772" s="724"/>
      <c r="AF772" s="724"/>
      <c r="AG772" s="724"/>
      <c r="AH772" s="724"/>
      <c r="AI772" s="724"/>
      <c r="AJ772" s="724"/>
      <c r="AU772" s="713"/>
      <c r="AW772" s="712"/>
      <c r="BY772" s="714"/>
      <c r="BZ772" s="715"/>
      <c r="CA772" s="716"/>
      <c r="CB772" s="717"/>
      <c r="CC772" s="717"/>
      <c r="CD772" s="717"/>
      <c r="CE772" s="717"/>
      <c r="CF772" s="717"/>
      <c r="CG772" s="717"/>
      <c r="CH772" s="717"/>
      <c r="CI772" s="717"/>
      <c r="CJ772" s="717"/>
      <c r="CK772" s="717"/>
      <c r="CL772" s="717"/>
      <c r="CM772" s="717"/>
      <c r="CN772" s="717"/>
      <c r="CO772" s="717"/>
      <c r="CP772" s="717"/>
      <c r="CQ772" s="717"/>
      <c r="CR772" s="717"/>
      <c r="CS772" s="717"/>
      <c r="CT772" s="717"/>
      <c r="CU772" s="717"/>
      <c r="CV772" s="717"/>
      <c r="CW772" s="717"/>
      <c r="CX772" s="717"/>
      <c r="CY772" s="717"/>
      <c r="CZ772" s="717"/>
      <c r="DA772" s="717"/>
      <c r="DB772" s="717"/>
      <c r="DC772" s="717"/>
      <c r="DD772" s="717"/>
      <c r="DE772" s="717"/>
      <c r="DF772" s="717"/>
      <c r="DG772" s="717"/>
      <c r="DH772" s="717"/>
      <c r="DI772" s="717"/>
      <c r="DJ772" s="717"/>
      <c r="DM772" s="711"/>
      <c r="DN772" s="711"/>
      <c r="DO772" s="711"/>
      <c r="DP772" s="711"/>
      <c r="DQ772" s="711"/>
      <c r="EB772" s="719"/>
    </row>
    <row r="773" spans="5:132" s="709" customFormat="1" ht="18" hidden="1">
      <c r="E773" s="721"/>
      <c r="H773" s="723">
        <v>262</v>
      </c>
      <c r="I773" s="726"/>
      <c r="J773" s="724"/>
      <c r="K773" s="724"/>
      <c r="L773" s="724"/>
      <c r="M773" s="728"/>
      <c r="N773" s="724"/>
      <c r="O773" s="724"/>
      <c r="P773" s="724"/>
      <c r="Q773" s="724"/>
      <c r="R773" s="724"/>
      <c r="S773" s="724"/>
      <c r="T773" s="724"/>
      <c r="U773" s="724"/>
      <c r="V773" s="724"/>
      <c r="W773" s="724"/>
      <c r="X773" s="724"/>
      <c r="Y773" s="724"/>
      <c r="Z773" s="724"/>
      <c r="AA773" s="724"/>
      <c r="AB773" s="724"/>
      <c r="AC773" s="729"/>
      <c r="AD773" s="724"/>
      <c r="AE773" s="724"/>
      <c r="AF773" s="724"/>
      <c r="AG773" s="724"/>
      <c r="AH773" s="724"/>
      <c r="AI773" s="724"/>
      <c r="AJ773" s="724"/>
      <c r="AU773" s="713"/>
      <c r="AW773" s="712"/>
      <c r="BY773" s="714"/>
      <c r="BZ773" s="715"/>
      <c r="CA773" s="716"/>
      <c r="CB773" s="717"/>
      <c r="CC773" s="717"/>
      <c r="CD773" s="717"/>
      <c r="CE773" s="717"/>
      <c r="CF773" s="717"/>
      <c r="CG773" s="717"/>
      <c r="CH773" s="717"/>
      <c r="CI773" s="717"/>
      <c r="CJ773" s="717"/>
      <c r="CK773" s="717"/>
      <c r="CL773" s="717"/>
      <c r="CM773" s="717"/>
      <c r="CN773" s="717"/>
      <c r="CO773" s="717"/>
      <c r="CP773" s="717"/>
      <c r="CQ773" s="717"/>
      <c r="CR773" s="717"/>
      <c r="CS773" s="717"/>
      <c r="CT773" s="717"/>
      <c r="CU773" s="717"/>
      <c r="CV773" s="717"/>
      <c r="CW773" s="717"/>
      <c r="CX773" s="717"/>
      <c r="CY773" s="717"/>
      <c r="CZ773" s="717"/>
      <c r="DA773" s="717"/>
      <c r="DB773" s="717"/>
      <c r="DC773" s="717"/>
      <c r="DD773" s="717"/>
      <c r="DE773" s="717"/>
      <c r="DF773" s="717"/>
      <c r="DG773" s="717"/>
      <c r="DH773" s="717"/>
      <c r="DI773" s="717"/>
      <c r="DJ773" s="717"/>
      <c r="DM773" s="711"/>
      <c r="DN773" s="711"/>
      <c r="DO773" s="711"/>
      <c r="DP773" s="711"/>
      <c r="DQ773" s="711"/>
      <c r="EB773" s="719"/>
    </row>
    <row r="774" spans="5:132" s="709" customFormat="1" ht="18" hidden="1">
      <c r="E774" s="721"/>
      <c r="H774" s="723">
        <v>263</v>
      </c>
      <c r="I774" s="726"/>
      <c r="J774" s="724"/>
      <c r="K774" s="724"/>
      <c r="L774" s="724"/>
      <c r="M774" s="728"/>
      <c r="N774" s="724"/>
      <c r="O774" s="724"/>
      <c r="P774" s="724"/>
      <c r="Q774" s="724"/>
      <c r="R774" s="724"/>
      <c r="S774" s="724"/>
      <c r="T774" s="724"/>
      <c r="U774" s="724"/>
      <c r="V774" s="724"/>
      <c r="W774" s="724"/>
      <c r="X774" s="724"/>
      <c r="Y774" s="724"/>
      <c r="Z774" s="724"/>
      <c r="AA774" s="724"/>
      <c r="AB774" s="724"/>
      <c r="AC774" s="729"/>
      <c r="AD774" s="724"/>
      <c r="AE774" s="724"/>
      <c r="AF774" s="724"/>
      <c r="AG774" s="724"/>
      <c r="AH774" s="724"/>
      <c r="AI774" s="724"/>
      <c r="AJ774" s="724"/>
      <c r="AU774" s="713"/>
      <c r="AW774" s="712"/>
      <c r="BY774" s="714"/>
      <c r="BZ774" s="715"/>
      <c r="CA774" s="716"/>
      <c r="CB774" s="717"/>
      <c r="CC774" s="717"/>
      <c r="CD774" s="717"/>
      <c r="CE774" s="717"/>
      <c r="CF774" s="717"/>
      <c r="CG774" s="717"/>
      <c r="CH774" s="717"/>
      <c r="CI774" s="717"/>
      <c r="CJ774" s="717"/>
      <c r="CK774" s="717"/>
      <c r="CL774" s="717"/>
      <c r="CM774" s="717"/>
      <c r="CN774" s="717"/>
      <c r="CO774" s="717"/>
      <c r="CP774" s="717"/>
      <c r="CQ774" s="717"/>
      <c r="CR774" s="717"/>
      <c r="CS774" s="717"/>
      <c r="CT774" s="717"/>
      <c r="CU774" s="717"/>
      <c r="CV774" s="717"/>
      <c r="CW774" s="717"/>
      <c r="CX774" s="717"/>
      <c r="CY774" s="717"/>
      <c r="CZ774" s="717"/>
      <c r="DA774" s="717"/>
      <c r="DB774" s="717"/>
      <c r="DC774" s="717"/>
      <c r="DD774" s="717"/>
      <c r="DE774" s="717"/>
      <c r="DF774" s="717"/>
      <c r="DG774" s="717"/>
      <c r="DH774" s="717"/>
      <c r="DI774" s="717"/>
      <c r="DJ774" s="717"/>
      <c r="DM774" s="711"/>
      <c r="DN774" s="711"/>
      <c r="DO774" s="711"/>
      <c r="DP774" s="711"/>
      <c r="DQ774" s="711"/>
      <c r="EB774" s="719"/>
    </row>
    <row r="775" spans="5:132" s="709" customFormat="1" ht="18" hidden="1">
      <c r="E775" s="721"/>
      <c r="H775" s="723">
        <v>264</v>
      </c>
      <c r="I775" s="726"/>
      <c r="J775" s="724"/>
      <c r="K775" s="724"/>
      <c r="L775" s="724"/>
      <c r="M775" s="728"/>
      <c r="N775" s="724"/>
      <c r="O775" s="724"/>
      <c r="P775" s="724"/>
      <c r="Q775" s="724"/>
      <c r="R775" s="724"/>
      <c r="S775" s="724"/>
      <c r="T775" s="724"/>
      <c r="U775" s="724"/>
      <c r="V775" s="724"/>
      <c r="W775" s="724"/>
      <c r="X775" s="724"/>
      <c r="Y775" s="724"/>
      <c r="Z775" s="724"/>
      <c r="AA775" s="724"/>
      <c r="AB775" s="724"/>
      <c r="AC775" s="729"/>
      <c r="AD775" s="724"/>
      <c r="AE775" s="724"/>
      <c r="AF775" s="724"/>
      <c r="AG775" s="724"/>
      <c r="AH775" s="724"/>
      <c r="AI775" s="724"/>
      <c r="AJ775" s="724"/>
      <c r="AU775" s="713"/>
      <c r="AW775" s="712"/>
      <c r="BY775" s="714"/>
      <c r="BZ775" s="715"/>
      <c r="CA775" s="716"/>
      <c r="CB775" s="717"/>
      <c r="CC775" s="717"/>
      <c r="CD775" s="717"/>
      <c r="CE775" s="717"/>
      <c r="CF775" s="717"/>
      <c r="CG775" s="717"/>
      <c r="CH775" s="717"/>
      <c r="CI775" s="717"/>
      <c r="CJ775" s="717"/>
      <c r="CK775" s="717"/>
      <c r="CL775" s="717"/>
      <c r="CM775" s="717"/>
      <c r="CN775" s="717"/>
      <c r="CO775" s="717"/>
      <c r="CP775" s="717"/>
      <c r="CQ775" s="717"/>
      <c r="CR775" s="717"/>
      <c r="CS775" s="717"/>
      <c r="CT775" s="717"/>
      <c r="CU775" s="717"/>
      <c r="CV775" s="717"/>
      <c r="CW775" s="717"/>
      <c r="CX775" s="717"/>
      <c r="CY775" s="717"/>
      <c r="CZ775" s="717"/>
      <c r="DA775" s="717"/>
      <c r="DB775" s="717"/>
      <c r="DC775" s="717"/>
      <c r="DD775" s="717"/>
      <c r="DE775" s="717"/>
      <c r="DF775" s="717"/>
      <c r="DG775" s="717"/>
      <c r="DH775" s="717"/>
      <c r="DI775" s="717"/>
      <c r="DJ775" s="717"/>
      <c r="DM775" s="711"/>
      <c r="DN775" s="711"/>
      <c r="DO775" s="711"/>
      <c r="DP775" s="711"/>
      <c r="DQ775" s="711"/>
      <c r="EB775" s="719"/>
    </row>
    <row r="776" spans="5:132" s="709" customFormat="1" ht="18" hidden="1">
      <c r="E776" s="721"/>
      <c r="H776" s="723">
        <v>265</v>
      </c>
      <c r="I776" s="726"/>
      <c r="J776" s="724"/>
      <c r="K776" s="724"/>
      <c r="L776" s="724"/>
      <c r="M776" s="728"/>
      <c r="N776" s="724"/>
      <c r="O776" s="724"/>
      <c r="P776" s="724"/>
      <c r="Q776" s="724"/>
      <c r="R776" s="724"/>
      <c r="S776" s="724"/>
      <c r="T776" s="724"/>
      <c r="U776" s="724"/>
      <c r="V776" s="724"/>
      <c r="W776" s="724"/>
      <c r="X776" s="724"/>
      <c r="Y776" s="724"/>
      <c r="Z776" s="724"/>
      <c r="AA776" s="724"/>
      <c r="AB776" s="724"/>
      <c r="AC776" s="729"/>
      <c r="AD776" s="724"/>
      <c r="AE776" s="724"/>
      <c r="AF776" s="724"/>
      <c r="AG776" s="724"/>
      <c r="AH776" s="724"/>
      <c r="AI776" s="724"/>
      <c r="AJ776" s="724"/>
      <c r="AU776" s="713"/>
      <c r="AW776" s="712"/>
      <c r="BY776" s="714"/>
      <c r="BZ776" s="715"/>
      <c r="CA776" s="716"/>
      <c r="CB776" s="717"/>
      <c r="CC776" s="717"/>
      <c r="CD776" s="717"/>
      <c r="CE776" s="717"/>
      <c r="CF776" s="717"/>
      <c r="CG776" s="717"/>
      <c r="CH776" s="717"/>
      <c r="CI776" s="717"/>
      <c r="CJ776" s="717"/>
      <c r="CK776" s="717"/>
      <c r="CL776" s="717"/>
      <c r="CM776" s="717"/>
      <c r="CN776" s="717"/>
      <c r="CO776" s="717"/>
      <c r="CP776" s="717"/>
      <c r="CQ776" s="717"/>
      <c r="CR776" s="717"/>
      <c r="CS776" s="717"/>
      <c r="CT776" s="717"/>
      <c r="CU776" s="717"/>
      <c r="CV776" s="717"/>
      <c r="CW776" s="717"/>
      <c r="CX776" s="717"/>
      <c r="CY776" s="717"/>
      <c r="CZ776" s="717"/>
      <c r="DA776" s="717"/>
      <c r="DB776" s="717"/>
      <c r="DC776" s="717"/>
      <c r="DD776" s="717"/>
      <c r="DE776" s="717"/>
      <c r="DF776" s="717"/>
      <c r="DG776" s="717"/>
      <c r="DH776" s="717"/>
      <c r="DI776" s="717"/>
      <c r="DJ776" s="717"/>
      <c r="DM776" s="711"/>
      <c r="DN776" s="711"/>
      <c r="DO776" s="711"/>
      <c r="DP776" s="711"/>
      <c r="DQ776" s="711"/>
      <c r="EB776" s="719"/>
    </row>
    <row r="777" spans="5:132" s="709" customFormat="1" ht="18" hidden="1">
      <c r="E777" s="721"/>
      <c r="H777" s="723">
        <v>266</v>
      </c>
      <c r="I777" s="726"/>
      <c r="J777" s="724"/>
      <c r="K777" s="724"/>
      <c r="L777" s="724"/>
      <c r="M777" s="728"/>
      <c r="N777" s="724"/>
      <c r="O777" s="724"/>
      <c r="P777" s="724"/>
      <c r="Q777" s="724"/>
      <c r="R777" s="724"/>
      <c r="S777" s="724"/>
      <c r="T777" s="724"/>
      <c r="U777" s="724"/>
      <c r="V777" s="724"/>
      <c r="W777" s="724"/>
      <c r="X777" s="724"/>
      <c r="Y777" s="724"/>
      <c r="Z777" s="724"/>
      <c r="AA777" s="724"/>
      <c r="AB777" s="724"/>
      <c r="AC777" s="729"/>
      <c r="AD777" s="724"/>
      <c r="AE777" s="724"/>
      <c r="AF777" s="724"/>
      <c r="AG777" s="724"/>
      <c r="AH777" s="724"/>
      <c r="AI777" s="724"/>
      <c r="AJ777" s="724"/>
      <c r="AU777" s="713"/>
      <c r="AW777" s="712"/>
      <c r="BY777" s="714"/>
      <c r="BZ777" s="715"/>
      <c r="CA777" s="716"/>
      <c r="CB777" s="717"/>
      <c r="CC777" s="717"/>
      <c r="CD777" s="717"/>
      <c r="CE777" s="717"/>
      <c r="CF777" s="717"/>
      <c r="CG777" s="717"/>
      <c r="CH777" s="717"/>
      <c r="CI777" s="717"/>
      <c r="CJ777" s="717"/>
      <c r="CK777" s="717"/>
      <c r="CL777" s="717"/>
      <c r="CM777" s="717"/>
      <c r="CN777" s="717"/>
      <c r="CO777" s="717"/>
      <c r="CP777" s="717"/>
      <c r="CQ777" s="717"/>
      <c r="CR777" s="717"/>
      <c r="CS777" s="717"/>
      <c r="CT777" s="717"/>
      <c r="CU777" s="717"/>
      <c r="CV777" s="717"/>
      <c r="CW777" s="717"/>
      <c r="CX777" s="717"/>
      <c r="CY777" s="717"/>
      <c r="CZ777" s="717"/>
      <c r="DA777" s="717"/>
      <c r="DB777" s="717"/>
      <c r="DC777" s="717"/>
      <c r="DD777" s="717"/>
      <c r="DE777" s="717"/>
      <c r="DF777" s="717"/>
      <c r="DG777" s="717"/>
      <c r="DH777" s="717"/>
      <c r="DI777" s="717"/>
      <c r="DJ777" s="717"/>
      <c r="DM777" s="711"/>
      <c r="DN777" s="711"/>
      <c r="DO777" s="711"/>
      <c r="DP777" s="711"/>
      <c r="DQ777" s="711"/>
      <c r="EB777" s="719"/>
    </row>
    <row r="778" spans="5:132" s="709" customFormat="1" ht="18" hidden="1">
      <c r="E778" s="721"/>
      <c r="H778" s="723">
        <v>267</v>
      </c>
      <c r="I778" s="726"/>
      <c r="J778" s="724"/>
      <c r="K778" s="724"/>
      <c r="L778" s="724"/>
      <c r="M778" s="728"/>
      <c r="N778" s="724"/>
      <c r="O778" s="724"/>
      <c r="P778" s="724"/>
      <c r="Q778" s="724"/>
      <c r="R778" s="724"/>
      <c r="S778" s="724"/>
      <c r="T778" s="724"/>
      <c r="U778" s="724"/>
      <c r="V778" s="724"/>
      <c r="W778" s="724"/>
      <c r="X778" s="724"/>
      <c r="Y778" s="724"/>
      <c r="Z778" s="724"/>
      <c r="AA778" s="724"/>
      <c r="AB778" s="724"/>
      <c r="AC778" s="729"/>
      <c r="AD778" s="724"/>
      <c r="AE778" s="724"/>
      <c r="AF778" s="724"/>
      <c r="AG778" s="724"/>
      <c r="AH778" s="724"/>
      <c r="AI778" s="724"/>
      <c r="AJ778" s="724"/>
      <c r="AU778" s="713"/>
      <c r="AW778" s="712"/>
      <c r="BY778" s="714"/>
      <c r="BZ778" s="715"/>
      <c r="CA778" s="716"/>
      <c r="CB778" s="717"/>
      <c r="CC778" s="717"/>
      <c r="CD778" s="717"/>
      <c r="CE778" s="717"/>
      <c r="CF778" s="717"/>
      <c r="CG778" s="717"/>
      <c r="CH778" s="717"/>
      <c r="CI778" s="717"/>
      <c r="CJ778" s="717"/>
      <c r="CK778" s="717"/>
      <c r="CL778" s="717"/>
      <c r="CM778" s="717"/>
      <c r="CN778" s="717"/>
      <c r="CO778" s="717"/>
      <c r="CP778" s="717"/>
      <c r="CQ778" s="717"/>
      <c r="CR778" s="717"/>
      <c r="CS778" s="717"/>
      <c r="CT778" s="717"/>
      <c r="CU778" s="717"/>
      <c r="CV778" s="717"/>
      <c r="CW778" s="717"/>
      <c r="CX778" s="717"/>
      <c r="CY778" s="717"/>
      <c r="CZ778" s="717"/>
      <c r="DA778" s="717"/>
      <c r="DB778" s="717"/>
      <c r="DC778" s="717"/>
      <c r="DD778" s="717"/>
      <c r="DE778" s="717"/>
      <c r="DF778" s="717"/>
      <c r="DG778" s="717"/>
      <c r="DH778" s="717"/>
      <c r="DI778" s="717"/>
      <c r="DJ778" s="717"/>
      <c r="DM778" s="711"/>
      <c r="DN778" s="711"/>
      <c r="DO778" s="711"/>
      <c r="DP778" s="711"/>
      <c r="DQ778" s="711"/>
      <c r="EB778" s="719"/>
    </row>
    <row r="779" spans="5:132" s="709" customFormat="1" ht="18" hidden="1">
      <c r="E779" s="721"/>
      <c r="H779" s="723">
        <v>268</v>
      </c>
      <c r="I779" s="726"/>
      <c r="J779" s="724"/>
      <c r="K779" s="724"/>
      <c r="L779" s="724"/>
      <c r="M779" s="728"/>
      <c r="N779" s="724"/>
      <c r="O779" s="724"/>
      <c r="P779" s="724"/>
      <c r="Q779" s="724"/>
      <c r="R779" s="724"/>
      <c r="S779" s="724"/>
      <c r="T779" s="724"/>
      <c r="U779" s="724"/>
      <c r="V779" s="724"/>
      <c r="W779" s="724"/>
      <c r="X779" s="724"/>
      <c r="Y779" s="724"/>
      <c r="Z779" s="724"/>
      <c r="AA779" s="724"/>
      <c r="AB779" s="724"/>
      <c r="AC779" s="729"/>
      <c r="AD779" s="724"/>
      <c r="AE779" s="724"/>
      <c r="AF779" s="724"/>
      <c r="AG779" s="724"/>
      <c r="AH779" s="724"/>
      <c r="AI779" s="724"/>
      <c r="AJ779" s="724"/>
      <c r="AU779" s="713"/>
      <c r="AW779" s="712"/>
      <c r="BY779" s="714"/>
      <c r="BZ779" s="715"/>
      <c r="CA779" s="716"/>
      <c r="CB779" s="717"/>
      <c r="CC779" s="717"/>
      <c r="CD779" s="717"/>
      <c r="CE779" s="717"/>
      <c r="CF779" s="717"/>
      <c r="CG779" s="717"/>
      <c r="CH779" s="717"/>
      <c r="CI779" s="717"/>
      <c r="CJ779" s="717"/>
      <c r="CK779" s="717"/>
      <c r="CL779" s="717"/>
      <c r="CM779" s="717"/>
      <c r="CN779" s="717"/>
      <c r="CO779" s="717"/>
      <c r="CP779" s="717"/>
      <c r="CQ779" s="717"/>
      <c r="CR779" s="717"/>
      <c r="CS779" s="717"/>
      <c r="CT779" s="717"/>
      <c r="CU779" s="717"/>
      <c r="CV779" s="717"/>
      <c r="CW779" s="717"/>
      <c r="CX779" s="717"/>
      <c r="CY779" s="717"/>
      <c r="CZ779" s="717"/>
      <c r="DA779" s="717"/>
      <c r="DB779" s="717"/>
      <c r="DC779" s="717"/>
      <c r="DD779" s="717"/>
      <c r="DE779" s="717"/>
      <c r="DF779" s="717"/>
      <c r="DG779" s="717"/>
      <c r="DH779" s="717"/>
      <c r="DI779" s="717"/>
      <c r="DJ779" s="717"/>
      <c r="DM779" s="711"/>
      <c r="DN779" s="711"/>
      <c r="DO779" s="711"/>
      <c r="DP779" s="711"/>
      <c r="DQ779" s="711"/>
      <c r="EB779" s="719"/>
    </row>
    <row r="780" spans="5:132" s="709" customFormat="1" ht="18" hidden="1">
      <c r="E780" s="721"/>
      <c r="H780" s="723">
        <v>270</v>
      </c>
      <c r="I780" s="726"/>
      <c r="J780" s="724"/>
      <c r="K780" s="724"/>
      <c r="L780" s="724"/>
      <c r="M780" s="728"/>
      <c r="N780" s="724"/>
      <c r="O780" s="724"/>
      <c r="P780" s="724"/>
      <c r="Q780" s="724"/>
      <c r="R780" s="724"/>
      <c r="S780" s="724"/>
      <c r="T780" s="724"/>
      <c r="U780" s="724"/>
      <c r="V780" s="724"/>
      <c r="W780" s="724"/>
      <c r="X780" s="724"/>
      <c r="Y780" s="724"/>
      <c r="Z780" s="724"/>
      <c r="AA780" s="724"/>
      <c r="AB780" s="724"/>
      <c r="AC780" s="729"/>
      <c r="AD780" s="724"/>
      <c r="AE780" s="724"/>
      <c r="AF780" s="724"/>
      <c r="AG780" s="724"/>
      <c r="AH780" s="724"/>
      <c r="AI780" s="724"/>
      <c r="AJ780" s="724"/>
      <c r="AU780" s="713"/>
      <c r="AW780" s="712"/>
      <c r="BY780" s="714"/>
      <c r="BZ780" s="715"/>
      <c r="CA780" s="716"/>
      <c r="CB780" s="717"/>
      <c r="CC780" s="717"/>
      <c r="CD780" s="717"/>
      <c r="CE780" s="717"/>
      <c r="CF780" s="717"/>
      <c r="CG780" s="717"/>
      <c r="CH780" s="717"/>
      <c r="CI780" s="717"/>
      <c r="CJ780" s="717"/>
      <c r="CK780" s="717"/>
      <c r="CL780" s="717"/>
      <c r="CM780" s="717"/>
      <c r="CN780" s="717"/>
      <c r="CO780" s="717"/>
      <c r="CP780" s="717"/>
      <c r="CQ780" s="717"/>
      <c r="CR780" s="717"/>
      <c r="CS780" s="717"/>
      <c r="CT780" s="717"/>
      <c r="CU780" s="717"/>
      <c r="CV780" s="717"/>
      <c r="CW780" s="717"/>
      <c r="CX780" s="717"/>
      <c r="CY780" s="717"/>
      <c r="CZ780" s="717"/>
      <c r="DA780" s="717"/>
      <c r="DB780" s="717"/>
      <c r="DC780" s="717"/>
      <c r="DD780" s="717"/>
      <c r="DE780" s="717"/>
      <c r="DF780" s="717"/>
      <c r="DG780" s="717"/>
      <c r="DH780" s="717"/>
      <c r="DI780" s="717"/>
      <c r="DJ780" s="717"/>
      <c r="DM780" s="711"/>
      <c r="DN780" s="711"/>
      <c r="DO780" s="711"/>
      <c r="DP780" s="711"/>
      <c r="DQ780" s="711"/>
      <c r="EB780" s="719"/>
    </row>
    <row r="781" spans="5:132" s="709" customFormat="1" ht="18" hidden="1">
      <c r="E781" s="721"/>
      <c r="H781" s="723">
        <v>271</v>
      </c>
      <c r="I781" s="726"/>
      <c r="J781" s="724"/>
      <c r="K781" s="724"/>
      <c r="L781" s="724"/>
      <c r="M781" s="728"/>
      <c r="N781" s="724"/>
      <c r="O781" s="724"/>
      <c r="P781" s="724"/>
      <c r="Q781" s="724"/>
      <c r="R781" s="724"/>
      <c r="S781" s="724"/>
      <c r="T781" s="724"/>
      <c r="U781" s="724"/>
      <c r="V781" s="724"/>
      <c r="W781" s="724"/>
      <c r="X781" s="724"/>
      <c r="Y781" s="724"/>
      <c r="Z781" s="724"/>
      <c r="AA781" s="724"/>
      <c r="AB781" s="724"/>
      <c r="AC781" s="729"/>
      <c r="AD781" s="724"/>
      <c r="AE781" s="724"/>
      <c r="AF781" s="724"/>
      <c r="AG781" s="724"/>
      <c r="AH781" s="724"/>
      <c r="AI781" s="724"/>
      <c r="AJ781" s="724"/>
      <c r="AU781" s="713"/>
      <c r="AW781" s="712"/>
      <c r="BY781" s="714"/>
      <c r="BZ781" s="715"/>
      <c r="CA781" s="716"/>
      <c r="CB781" s="717"/>
      <c r="CC781" s="717"/>
      <c r="CD781" s="717"/>
      <c r="CE781" s="717"/>
      <c r="CF781" s="717"/>
      <c r="CG781" s="717"/>
      <c r="CH781" s="717"/>
      <c r="CI781" s="717"/>
      <c r="CJ781" s="717"/>
      <c r="CK781" s="717"/>
      <c r="CL781" s="717"/>
      <c r="CM781" s="717"/>
      <c r="CN781" s="717"/>
      <c r="CO781" s="717"/>
      <c r="CP781" s="717"/>
      <c r="CQ781" s="717"/>
      <c r="CR781" s="717"/>
      <c r="CS781" s="717"/>
      <c r="CT781" s="717"/>
      <c r="CU781" s="717"/>
      <c r="CV781" s="717"/>
      <c r="CW781" s="717"/>
      <c r="CX781" s="717"/>
      <c r="CY781" s="717"/>
      <c r="CZ781" s="717"/>
      <c r="DA781" s="717"/>
      <c r="DB781" s="717"/>
      <c r="DC781" s="717"/>
      <c r="DD781" s="717"/>
      <c r="DE781" s="717"/>
      <c r="DF781" s="717"/>
      <c r="DG781" s="717"/>
      <c r="DH781" s="717"/>
      <c r="DI781" s="717"/>
      <c r="DJ781" s="717"/>
      <c r="DM781" s="711"/>
      <c r="DN781" s="711"/>
      <c r="DO781" s="711"/>
      <c r="DP781" s="711"/>
      <c r="DQ781" s="711"/>
      <c r="EB781" s="719"/>
    </row>
    <row r="782" spans="5:132" s="709" customFormat="1" ht="18" hidden="1">
      <c r="E782" s="721"/>
      <c r="H782" s="723">
        <v>272</v>
      </c>
      <c r="I782" s="726"/>
      <c r="J782" s="724"/>
      <c r="K782" s="724"/>
      <c r="L782" s="724"/>
      <c r="M782" s="728"/>
      <c r="N782" s="724"/>
      <c r="O782" s="724"/>
      <c r="P782" s="724"/>
      <c r="Q782" s="724"/>
      <c r="R782" s="724"/>
      <c r="S782" s="724"/>
      <c r="T782" s="724"/>
      <c r="U782" s="724"/>
      <c r="V782" s="724"/>
      <c r="W782" s="724"/>
      <c r="X782" s="724"/>
      <c r="Y782" s="724"/>
      <c r="Z782" s="724"/>
      <c r="AA782" s="724"/>
      <c r="AB782" s="724"/>
      <c r="AC782" s="729"/>
      <c r="AD782" s="724"/>
      <c r="AE782" s="724"/>
      <c r="AF782" s="724"/>
      <c r="AG782" s="724"/>
      <c r="AH782" s="724"/>
      <c r="AI782" s="724"/>
      <c r="AJ782" s="724"/>
      <c r="AU782" s="713"/>
      <c r="AW782" s="712"/>
      <c r="BY782" s="714"/>
      <c r="BZ782" s="715"/>
      <c r="CA782" s="716"/>
      <c r="CB782" s="717"/>
      <c r="CC782" s="717"/>
      <c r="CD782" s="717"/>
      <c r="CE782" s="717"/>
      <c r="CF782" s="717"/>
      <c r="CG782" s="717"/>
      <c r="CH782" s="717"/>
      <c r="CI782" s="717"/>
      <c r="CJ782" s="717"/>
      <c r="CK782" s="717"/>
      <c r="CL782" s="717"/>
      <c r="CM782" s="717"/>
      <c r="CN782" s="717"/>
      <c r="CO782" s="717"/>
      <c r="CP782" s="717"/>
      <c r="CQ782" s="717"/>
      <c r="CR782" s="717"/>
      <c r="CS782" s="717"/>
      <c r="CT782" s="717"/>
      <c r="CU782" s="717"/>
      <c r="CV782" s="717"/>
      <c r="CW782" s="717"/>
      <c r="CX782" s="717"/>
      <c r="CY782" s="717"/>
      <c r="CZ782" s="717"/>
      <c r="DA782" s="717"/>
      <c r="DB782" s="717"/>
      <c r="DC782" s="717"/>
      <c r="DD782" s="717"/>
      <c r="DE782" s="717"/>
      <c r="DF782" s="717"/>
      <c r="DG782" s="717"/>
      <c r="DH782" s="717"/>
      <c r="DI782" s="717"/>
      <c r="DJ782" s="717"/>
      <c r="DM782" s="711"/>
      <c r="DN782" s="711"/>
      <c r="DO782" s="711"/>
      <c r="DP782" s="711"/>
      <c r="DQ782" s="711"/>
      <c r="EB782" s="719"/>
    </row>
    <row r="783" spans="5:132" s="709" customFormat="1" ht="18" hidden="1">
      <c r="E783" s="721"/>
      <c r="H783" s="723">
        <v>273</v>
      </c>
      <c r="I783" s="726"/>
      <c r="J783" s="724"/>
      <c r="K783" s="724"/>
      <c r="L783" s="724"/>
      <c r="M783" s="728"/>
      <c r="N783" s="724"/>
      <c r="O783" s="724"/>
      <c r="P783" s="724"/>
      <c r="Q783" s="724"/>
      <c r="R783" s="724"/>
      <c r="S783" s="724"/>
      <c r="T783" s="724"/>
      <c r="U783" s="724"/>
      <c r="V783" s="724"/>
      <c r="W783" s="724"/>
      <c r="X783" s="724"/>
      <c r="Y783" s="724"/>
      <c r="Z783" s="724"/>
      <c r="AA783" s="724"/>
      <c r="AB783" s="724"/>
      <c r="AC783" s="729"/>
      <c r="AD783" s="724"/>
      <c r="AE783" s="724"/>
      <c r="AF783" s="724"/>
      <c r="AG783" s="724"/>
      <c r="AH783" s="724"/>
      <c r="AI783" s="724"/>
      <c r="AJ783" s="724"/>
      <c r="AU783" s="713"/>
      <c r="AW783" s="712"/>
      <c r="BY783" s="714"/>
      <c r="BZ783" s="715"/>
      <c r="CA783" s="716"/>
      <c r="CB783" s="717"/>
      <c r="CC783" s="717"/>
      <c r="CD783" s="717"/>
      <c r="CE783" s="717"/>
      <c r="CF783" s="717"/>
      <c r="CG783" s="717"/>
      <c r="CH783" s="717"/>
      <c r="CI783" s="717"/>
      <c r="CJ783" s="717"/>
      <c r="CK783" s="717"/>
      <c r="CL783" s="717"/>
      <c r="CM783" s="717"/>
      <c r="CN783" s="717"/>
      <c r="CO783" s="717"/>
      <c r="CP783" s="717"/>
      <c r="CQ783" s="717"/>
      <c r="CR783" s="717"/>
      <c r="CS783" s="717"/>
      <c r="CT783" s="717"/>
      <c r="CU783" s="717"/>
      <c r="CV783" s="717"/>
      <c r="CW783" s="717"/>
      <c r="CX783" s="717"/>
      <c r="CY783" s="717"/>
      <c r="CZ783" s="717"/>
      <c r="DA783" s="717"/>
      <c r="DB783" s="717"/>
      <c r="DC783" s="717"/>
      <c r="DD783" s="717"/>
      <c r="DE783" s="717"/>
      <c r="DF783" s="717"/>
      <c r="DG783" s="717"/>
      <c r="DH783" s="717"/>
      <c r="DI783" s="717"/>
      <c r="DJ783" s="717"/>
      <c r="DM783" s="711"/>
      <c r="DN783" s="711"/>
      <c r="DO783" s="711"/>
      <c r="DP783" s="711"/>
      <c r="DQ783" s="711"/>
      <c r="EB783" s="719"/>
    </row>
    <row r="784" spans="5:132" s="709" customFormat="1" ht="18" hidden="1">
      <c r="E784" s="721"/>
      <c r="H784" s="723">
        <v>274</v>
      </c>
      <c r="I784" s="726"/>
      <c r="J784" s="724"/>
      <c r="K784" s="724"/>
      <c r="L784" s="724"/>
      <c r="M784" s="728"/>
      <c r="N784" s="724"/>
      <c r="O784" s="724"/>
      <c r="P784" s="724"/>
      <c r="Q784" s="724"/>
      <c r="R784" s="724"/>
      <c r="S784" s="724"/>
      <c r="T784" s="724"/>
      <c r="U784" s="724"/>
      <c r="V784" s="724"/>
      <c r="W784" s="724"/>
      <c r="X784" s="724"/>
      <c r="Y784" s="724"/>
      <c r="Z784" s="724"/>
      <c r="AA784" s="724"/>
      <c r="AB784" s="724"/>
      <c r="AC784" s="729"/>
      <c r="AD784" s="724"/>
      <c r="AE784" s="724"/>
      <c r="AF784" s="724"/>
      <c r="AG784" s="724"/>
      <c r="AH784" s="724"/>
      <c r="AI784" s="724"/>
      <c r="AJ784" s="724"/>
      <c r="AU784" s="713"/>
      <c r="AW784" s="712"/>
      <c r="BY784" s="714"/>
      <c r="BZ784" s="715"/>
      <c r="CA784" s="716"/>
      <c r="CB784" s="717"/>
      <c r="CC784" s="717"/>
      <c r="CD784" s="717"/>
      <c r="CE784" s="717"/>
      <c r="CF784" s="717"/>
      <c r="CG784" s="717"/>
      <c r="CH784" s="717"/>
      <c r="CI784" s="717"/>
      <c r="CJ784" s="717"/>
      <c r="CK784" s="717"/>
      <c r="CL784" s="717"/>
      <c r="CM784" s="717"/>
      <c r="CN784" s="717"/>
      <c r="CO784" s="717"/>
      <c r="CP784" s="717"/>
      <c r="CQ784" s="717"/>
      <c r="CR784" s="717"/>
      <c r="CS784" s="717"/>
      <c r="CT784" s="717"/>
      <c r="CU784" s="717"/>
      <c r="CV784" s="717"/>
      <c r="CW784" s="717"/>
      <c r="CX784" s="717"/>
      <c r="CY784" s="717"/>
      <c r="CZ784" s="717"/>
      <c r="DA784" s="717"/>
      <c r="DB784" s="717"/>
      <c r="DC784" s="717"/>
      <c r="DD784" s="717"/>
      <c r="DE784" s="717"/>
      <c r="DF784" s="717"/>
      <c r="DG784" s="717"/>
      <c r="DH784" s="717"/>
      <c r="DI784" s="717"/>
      <c r="DJ784" s="717"/>
      <c r="DM784" s="711"/>
      <c r="DN784" s="711"/>
      <c r="DO784" s="711"/>
      <c r="DP784" s="711"/>
      <c r="DQ784" s="711"/>
      <c r="EB784" s="719"/>
    </row>
    <row r="785" spans="5:132" s="709" customFormat="1" ht="18" hidden="1">
      <c r="E785" s="721"/>
      <c r="H785" s="723">
        <v>275</v>
      </c>
      <c r="I785" s="726"/>
      <c r="J785" s="724"/>
      <c r="K785" s="724"/>
      <c r="L785" s="724"/>
      <c r="M785" s="728"/>
      <c r="N785" s="724"/>
      <c r="O785" s="724"/>
      <c r="P785" s="724"/>
      <c r="Q785" s="724"/>
      <c r="R785" s="724"/>
      <c r="S785" s="724"/>
      <c r="T785" s="724"/>
      <c r="U785" s="724"/>
      <c r="V785" s="724"/>
      <c r="W785" s="724"/>
      <c r="X785" s="724"/>
      <c r="Y785" s="724"/>
      <c r="Z785" s="724"/>
      <c r="AA785" s="724"/>
      <c r="AB785" s="724"/>
      <c r="AC785" s="729"/>
      <c r="AD785" s="724"/>
      <c r="AE785" s="724"/>
      <c r="AF785" s="724"/>
      <c r="AG785" s="724"/>
      <c r="AH785" s="724"/>
      <c r="AI785" s="724"/>
      <c r="AJ785" s="724"/>
      <c r="AU785" s="713"/>
      <c r="AW785" s="712"/>
      <c r="BY785" s="714"/>
      <c r="BZ785" s="715"/>
      <c r="CA785" s="716"/>
      <c r="CB785" s="717"/>
      <c r="CC785" s="717"/>
      <c r="CD785" s="717"/>
      <c r="CE785" s="717"/>
      <c r="CF785" s="717"/>
      <c r="CG785" s="717"/>
      <c r="CH785" s="717"/>
      <c r="CI785" s="717"/>
      <c r="CJ785" s="717"/>
      <c r="CK785" s="717"/>
      <c r="CL785" s="717"/>
      <c r="CM785" s="717"/>
      <c r="CN785" s="717"/>
      <c r="CO785" s="717"/>
      <c r="CP785" s="717"/>
      <c r="CQ785" s="717"/>
      <c r="CR785" s="717"/>
      <c r="CS785" s="717"/>
      <c r="CT785" s="717"/>
      <c r="CU785" s="717"/>
      <c r="CV785" s="717"/>
      <c r="CW785" s="717"/>
      <c r="CX785" s="717"/>
      <c r="CY785" s="717"/>
      <c r="CZ785" s="717"/>
      <c r="DA785" s="717"/>
      <c r="DB785" s="717"/>
      <c r="DC785" s="717"/>
      <c r="DD785" s="717"/>
      <c r="DE785" s="717"/>
      <c r="DF785" s="717"/>
      <c r="DG785" s="717"/>
      <c r="DH785" s="717"/>
      <c r="DI785" s="717"/>
      <c r="DJ785" s="717"/>
      <c r="DM785" s="711"/>
      <c r="DN785" s="711"/>
      <c r="DO785" s="711"/>
      <c r="DP785" s="711"/>
      <c r="DQ785" s="711"/>
      <c r="EB785" s="719"/>
    </row>
    <row r="786" spans="5:132" s="709" customFormat="1" ht="18" hidden="1">
      <c r="E786" s="721"/>
      <c r="H786" s="723">
        <v>276</v>
      </c>
      <c r="I786" s="726"/>
      <c r="J786" s="724"/>
      <c r="K786" s="724"/>
      <c r="L786" s="724"/>
      <c r="M786" s="728"/>
      <c r="N786" s="724"/>
      <c r="O786" s="724"/>
      <c r="P786" s="724"/>
      <c r="Q786" s="724"/>
      <c r="R786" s="724"/>
      <c r="S786" s="724"/>
      <c r="T786" s="724"/>
      <c r="U786" s="724"/>
      <c r="V786" s="724"/>
      <c r="W786" s="724"/>
      <c r="X786" s="724"/>
      <c r="Y786" s="724"/>
      <c r="Z786" s="724"/>
      <c r="AA786" s="724"/>
      <c r="AB786" s="724"/>
      <c r="AC786" s="729"/>
      <c r="AD786" s="724"/>
      <c r="AE786" s="724"/>
      <c r="AF786" s="724"/>
      <c r="AG786" s="724"/>
      <c r="AH786" s="724"/>
      <c r="AI786" s="724"/>
      <c r="AJ786" s="724"/>
      <c r="AU786" s="713"/>
      <c r="AW786" s="712"/>
      <c r="BY786" s="714"/>
      <c r="BZ786" s="715"/>
      <c r="CA786" s="716"/>
      <c r="CB786" s="717"/>
      <c r="CC786" s="717"/>
      <c r="CD786" s="717"/>
      <c r="CE786" s="717"/>
      <c r="CF786" s="717"/>
      <c r="CG786" s="717"/>
      <c r="CH786" s="717"/>
      <c r="CI786" s="717"/>
      <c r="CJ786" s="717"/>
      <c r="CK786" s="717"/>
      <c r="CL786" s="717"/>
      <c r="CM786" s="717"/>
      <c r="CN786" s="717"/>
      <c r="CO786" s="717"/>
      <c r="CP786" s="717"/>
      <c r="CQ786" s="717"/>
      <c r="CR786" s="717"/>
      <c r="CS786" s="717"/>
      <c r="CT786" s="717"/>
      <c r="CU786" s="717"/>
      <c r="CV786" s="717"/>
      <c r="CW786" s="717"/>
      <c r="CX786" s="717"/>
      <c r="CY786" s="717"/>
      <c r="CZ786" s="717"/>
      <c r="DA786" s="717"/>
      <c r="DB786" s="717"/>
      <c r="DC786" s="717"/>
      <c r="DD786" s="717"/>
      <c r="DE786" s="717"/>
      <c r="DF786" s="717"/>
      <c r="DG786" s="717"/>
      <c r="DH786" s="717"/>
      <c r="DI786" s="717"/>
      <c r="DJ786" s="717"/>
      <c r="DM786" s="711"/>
      <c r="DN786" s="711"/>
      <c r="DO786" s="711"/>
      <c r="DP786" s="711"/>
      <c r="DQ786" s="711"/>
      <c r="EB786" s="719"/>
    </row>
    <row r="787" spans="5:132" s="709" customFormat="1" ht="18" hidden="1">
      <c r="E787" s="721"/>
      <c r="H787" s="723">
        <v>277</v>
      </c>
      <c r="I787" s="726"/>
      <c r="J787" s="724"/>
      <c r="K787" s="724"/>
      <c r="L787" s="724"/>
      <c r="M787" s="728"/>
      <c r="N787" s="724"/>
      <c r="O787" s="724"/>
      <c r="P787" s="724"/>
      <c r="Q787" s="724"/>
      <c r="R787" s="724"/>
      <c r="S787" s="724"/>
      <c r="T787" s="724"/>
      <c r="U787" s="724"/>
      <c r="V787" s="724"/>
      <c r="W787" s="724"/>
      <c r="X787" s="724"/>
      <c r="Y787" s="724"/>
      <c r="Z787" s="724"/>
      <c r="AA787" s="724"/>
      <c r="AB787" s="724"/>
      <c r="AC787" s="729"/>
      <c r="AD787" s="724"/>
      <c r="AE787" s="724"/>
      <c r="AF787" s="724"/>
      <c r="AG787" s="724"/>
      <c r="AH787" s="724"/>
      <c r="AI787" s="724"/>
      <c r="AJ787" s="724"/>
      <c r="AU787" s="713"/>
      <c r="AW787" s="712"/>
      <c r="BY787" s="714"/>
      <c r="BZ787" s="715"/>
      <c r="CA787" s="716"/>
      <c r="CB787" s="717"/>
      <c r="CC787" s="717"/>
      <c r="CD787" s="717"/>
      <c r="CE787" s="717"/>
      <c r="CF787" s="717"/>
      <c r="CG787" s="717"/>
      <c r="CH787" s="717"/>
      <c r="CI787" s="717"/>
      <c r="CJ787" s="717"/>
      <c r="CK787" s="717"/>
      <c r="CL787" s="717"/>
      <c r="CM787" s="717"/>
      <c r="CN787" s="717"/>
      <c r="CO787" s="717"/>
      <c r="CP787" s="717"/>
      <c r="CQ787" s="717"/>
      <c r="CR787" s="717"/>
      <c r="CS787" s="717"/>
      <c r="CT787" s="717"/>
      <c r="CU787" s="717"/>
      <c r="CV787" s="717"/>
      <c r="CW787" s="717"/>
      <c r="CX787" s="717"/>
      <c r="CY787" s="717"/>
      <c r="CZ787" s="717"/>
      <c r="DA787" s="717"/>
      <c r="DB787" s="717"/>
      <c r="DC787" s="717"/>
      <c r="DD787" s="717"/>
      <c r="DE787" s="717"/>
      <c r="DF787" s="717"/>
      <c r="DG787" s="717"/>
      <c r="DH787" s="717"/>
      <c r="DI787" s="717"/>
      <c r="DJ787" s="717"/>
      <c r="DM787" s="711"/>
      <c r="DN787" s="711"/>
      <c r="DO787" s="711"/>
      <c r="DP787" s="711"/>
      <c r="DQ787" s="711"/>
      <c r="EB787" s="719"/>
    </row>
    <row r="788" spans="5:132" s="709" customFormat="1" ht="18" hidden="1">
      <c r="E788" s="721"/>
      <c r="H788" s="723">
        <v>278</v>
      </c>
      <c r="I788" s="726"/>
      <c r="J788" s="724"/>
      <c r="K788" s="724"/>
      <c r="L788" s="724"/>
      <c r="M788" s="728"/>
      <c r="N788" s="724"/>
      <c r="O788" s="724"/>
      <c r="P788" s="724"/>
      <c r="Q788" s="724"/>
      <c r="R788" s="724"/>
      <c r="S788" s="724"/>
      <c r="T788" s="724"/>
      <c r="U788" s="724"/>
      <c r="V788" s="724"/>
      <c r="W788" s="724"/>
      <c r="X788" s="724"/>
      <c r="Y788" s="724"/>
      <c r="Z788" s="724"/>
      <c r="AA788" s="724"/>
      <c r="AB788" s="724"/>
      <c r="AC788" s="729"/>
      <c r="AD788" s="724"/>
      <c r="AE788" s="724"/>
      <c r="AF788" s="724"/>
      <c r="AG788" s="724"/>
      <c r="AH788" s="724"/>
      <c r="AI788" s="724"/>
      <c r="AJ788" s="724"/>
      <c r="AU788" s="713"/>
      <c r="AW788" s="712"/>
      <c r="BY788" s="714"/>
      <c r="BZ788" s="715"/>
      <c r="CA788" s="716"/>
      <c r="CB788" s="717"/>
      <c r="CC788" s="717"/>
      <c r="CD788" s="717"/>
      <c r="CE788" s="717"/>
      <c r="CF788" s="717"/>
      <c r="CG788" s="717"/>
      <c r="CH788" s="717"/>
      <c r="CI788" s="717"/>
      <c r="CJ788" s="717"/>
      <c r="CK788" s="717"/>
      <c r="CL788" s="717"/>
      <c r="CM788" s="717"/>
      <c r="CN788" s="717"/>
      <c r="CO788" s="717"/>
      <c r="CP788" s="717"/>
      <c r="CQ788" s="717"/>
      <c r="CR788" s="717"/>
      <c r="CS788" s="717"/>
      <c r="CT788" s="717"/>
      <c r="CU788" s="717"/>
      <c r="CV788" s="717"/>
      <c r="CW788" s="717"/>
      <c r="CX788" s="717"/>
      <c r="CY788" s="717"/>
      <c r="CZ788" s="717"/>
      <c r="DA788" s="717"/>
      <c r="DB788" s="717"/>
      <c r="DC788" s="717"/>
      <c r="DD788" s="717"/>
      <c r="DE788" s="717"/>
      <c r="DF788" s="717"/>
      <c r="DG788" s="717"/>
      <c r="DH788" s="717"/>
      <c r="DI788" s="717"/>
      <c r="DJ788" s="717"/>
      <c r="DM788" s="711"/>
      <c r="DN788" s="711"/>
      <c r="DO788" s="711"/>
      <c r="DP788" s="711"/>
      <c r="DQ788" s="711"/>
      <c r="EB788" s="719"/>
    </row>
    <row r="789" spans="5:132" s="709" customFormat="1" ht="18" hidden="1">
      <c r="E789" s="721"/>
      <c r="H789" s="723">
        <v>279</v>
      </c>
      <c r="I789" s="726"/>
      <c r="J789" s="724"/>
      <c r="K789" s="724"/>
      <c r="L789" s="724"/>
      <c r="M789" s="728"/>
      <c r="N789" s="724"/>
      <c r="O789" s="724"/>
      <c r="P789" s="724"/>
      <c r="Q789" s="724"/>
      <c r="R789" s="724"/>
      <c r="S789" s="724"/>
      <c r="T789" s="724"/>
      <c r="U789" s="724"/>
      <c r="V789" s="724"/>
      <c r="W789" s="724"/>
      <c r="X789" s="724"/>
      <c r="Y789" s="724"/>
      <c r="Z789" s="724"/>
      <c r="AA789" s="724"/>
      <c r="AB789" s="724"/>
      <c r="AC789" s="729"/>
      <c r="AD789" s="724"/>
      <c r="AE789" s="724"/>
      <c r="AF789" s="724"/>
      <c r="AG789" s="724"/>
      <c r="AH789" s="724"/>
      <c r="AI789" s="724"/>
      <c r="AJ789" s="724"/>
      <c r="AU789" s="713"/>
      <c r="AW789" s="712"/>
      <c r="BY789" s="714"/>
      <c r="BZ789" s="715"/>
      <c r="CA789" s="716"/>
      <c r="CB789" s="717"/>
      <c r="CC789" s="717"/>
      <c r="CD789" s="717"/>
      <c r="CE789" s="717"/>
      <c r="CF789" s="717"/>
      <c r="CG789" s="717"/>
      <c r="CH789" s="717"/>
      <c r="CI789" s="717"/>
      <c r="CJ789" s="717"/>
      <c r="CK789" s="717"/>
      <c r="CL789" s="717"/>
      <c r="CM789" s="717"/>
      <c r="CN789" s="717"/>
      <c r="CO789" s="717"/>
      <c r="CP789" s="717"/>
      <c r="CQ789" s="717"/>
      <c r="CR789" s="717"/>
      <c r="CS789" s="717"/>
      <c r="CT789" s="717"/>
      <c r="CU789" s="717"/>
      <c r="CV789" s="717"/>
      <c r="CW789" s="717"/>
      <c r="CX789" s="717"/>
      <c r="CY789" s="717"/>
      <c r="CZ789" s="717"/>
      <c r="DA789" s="717"/>
      <c r="DB789" s="717"/>
      <c r="DC789" s="717"/>
      <c r="DD789" s="717"/>
      <c r="DE789" s="717"/>
      <c r="DF789" s="717"/>
      <c r="DG789" s="717"/>
      <c r="DH789" s="717"/>
      <c r="DI789" s="717"/>
      <c r="DJ789" s="717"/>
      <c r="DM789" s="711"/>
      <c r="DN789" s="711"/>
      <c r="DO789" s="711"/>
      <c r="DP789" s="711"/>
      <c r="DQ789" s="711"/>
      <c r="EB789" s="719"/>
    </row>
    <row r="790" spans="5:132" s="709" customFormat="1" ht="18" hidden="1">
      <c r="E790" s="721"/>
      <c r="H790" s="723">
        <v>280</v>
      </c>
      <c r="I790" s="726"/>
      <c r="J790" s="724"/>
      <c r="K790" s="724"/>
      <c r="L790" s="724"/>
      <c r="M790" s="728"/>
      <c r="N790" s="724"/>
      <c r="O790" s="724"/>
      <c r="P790" s="724"/>
      <c r="Q790" s="724"/>
      <c r="R790" s="724"/>
      <c r="S790" s="724"/>
      <c r="T790" s="724"/>
      <c r="U790" s="724"/>
      <c r="V790" s="724"/>
      <c r="W790" s="724"/>
      <c r="X790" s="724"/>
      <c r="Y790" s="724"/>
      <c r="Z790" s="724"/>
      <c r="AA790" s="724"/>
      <c r="AB790" s="724"/>
      <c r="AC790" s="729"/>
      <c r="AD790" s="724"/>
      <c r="AE790" s="724"/>
      <c r="AF790" s="724"/>
      <c r="AG790" s="724"/>
      <c r="AH790" s="724"/>
      <c r="AI790" s="724"/>
      <c r="AJ790" s="724"/>
      <c r="AU790" s="713"/>
      <c r="AW790" s="712"/>
      <c r="BY790" s="714"/>
      <c r="BZ790" s="715"/>
      <c r="CA790" s="716"/>
      <c r="CB790" s="717"/>
      <c r="CC790" s="717"/>
      <c r="CD790" s="717"/>
      <c r="CE790" s="717"/>
      <c r="CF790" s="717"/>
      <c r="CG790" s="717"/>
      <c r="CH790" s="717"/>
      <c r="CI790" s="717"/>
      <c r="CJ790" s="717"/>
      <c r="CK790" s="717"/>
      <c r="CL790" s="717"/>
      <c r="CM790" s="717"/>
      <c r="CN790" s="717"/>
      <c r="CO790" s="717"/>
      <c r="CP790" s="717"/>
      <c r="CQ790" s="717"/>
      <c r="CR790" s="717"/>
      <c r="CS790" s="717"/>
      <c r="CT790" s="717"/>
      <c r="CU790" s="717"/>
      <c r="CV790" s="717"/>
      <c r="CW790" s="717"/>
      <c r="CX790" s="717"/>
      <c r="CY790" s="717"/>
      <c r="CZ790" s="717"/>
      <c r="DA790" s="717"/>
      <c r="DB790" s="717"/>
      <c r="DC790" s="717"/>
      <c r="DD790" s="717"/>
      <c r="DE790" s="717"/>
      <c r="DF790" s="717"/>
      <c r="DG790" s="717"/>
      <c r="DH790" s="717"/>
      <c r="DI790" s="717"/>
      <c r="DJ790" s="717"/>
      <c r="DM790" s="711"/>
      <c r="DN790" s="711"/>
      <c r="DO790" s="711"/>
      <c r="DP790" s="711"/>
      <c r="DQ790" s="711"/>
      <c r="EB790" s="719"/>
    </row>
    <row r="791" spans="5:132" s="709" customFormat="1" ht="18" hidden="1">
      <c r="E791" s="721"/>
      <c r="H791" s="723">
        <v>281</v>
      </c>
      <c r="I791" s="726"/>
      <c r="J791" s="724"/>
      <c r="K791" s="724"/>
      <c r="L791" s="724"/>
      <c r="M791" s="728"/>
      <c r="N791" s="724"/>
      <c r="O791" s="724"/>
      <c r="P791" s="724"/>
      <c r="Q791" s="724"/>
      <c r="R791" s="724"/>
      <c r="S791" s="724"/>
      <c r="T791" s="724"/>
      <c r="U791" s="724"/>
      <c r="V791" s="724"/>
      <c r="W791" s="724"/>
      <c r="X791" s="724"/>
      <c r="Y791" s="724"/>
      <c r="Z791" s="724"/>
      <c r="AA791" s="724"/>
      <c r="AB791" s="724"/>
      <c r="AC791" s="729"/>
      <c r="AD791" s="724"/>
      <c r="AE791" s="724"/>
      <c r="AF791" s="724"/>
      <c r="AG791" s="724"/>
      <c r="AH791" s="724"/>
      <c r="AI791" s="724"/>
      <c r="AJ791" s="724"/>
      <c r="AU791" s="713"/>
      <c r="AW791" s="712"/>
      <c r="BY791" s="714"/>
      <c r="BZ791" s="715"/>
      <c r="CA791" s="716"/>
      <c r="CB791" s="717"/>
      <c r="CC791" s="717"/>
      <c r="CD791" s="717"/>
      <c r="CE791" s="717"/>
      <c r="CF791" s="717"/>
      <c r="CG791" s="717"/>
      <c r="CH791" s="717"/>
      <c r="CI791" s="717"/>
      <c r="CJ791" s="717"/>
      <c r="CK791" s="717"/>
      <c r="CL791" s="717"/>
      <c r="CM791" s="717"/>
      <c r="CN791" s="717"/>
      <c r="CO791" s="717"/>
      <c r="CP791" s="717"/>
      <c r="CQ791" s="717"/>
      <c r="CR791" s="717"/>
      <c r="CS791" s="717"/>
      <c r="CT791" s="717"/>
      <c r="CU791" s="717"/>
      <c r="CV791" s="717"/>
      <c r="CW791" s="717"/>
      <c r="CX791" s="717"/>
      <c r="CY791" s="717"/>
      <c r="CZ791" s="717"/>
      <c r="DA791" s="717"/>
      <c r="DB791" s="717"/>
      <c r="DC791" s="717"/>
      <c r="DD791" s="717"/>
      <c r="DE791" s="717"/>
      <c r="DF791" s="717"/>
      <c r="DG791" s="717"/>
      <c r="DH791" s="717"/>
      <c r="DI791" s="717"/>
      <c r="DJ791" s="717"/>
      <c r="DM791" s="711"/>
      <c r="DN791" s="711"/>
      <c r="DO791" s="711"/>
      <c r="DP791" s="711"/>
      <c r="DQ791" s="711"/>
      <c r="EB791" s="719"/>
    </row>
    <row r="792" spans="5:132" s="709" customFormat="1" ht="18" hidden="1">
      <c r="E792" s="721"/>
      <c r="H792" s="723">
        <v>282</v>
      </c>
      <c r="I792" s="726"/>
      <c r="J792" s="724"/>
      <c r="K792" s="724"/>
      <c r="L792" s="724"/>
      <c r="M792" s="728"/>
      <c r="N792" s="724"/>
      <c r="O792" s="724"/>
      <c r="P792" s="724"/>
      <c r="Q792" s="724"/>
      <c r="R792" s="724"/>
      <c r="S792" s="724"/>
      <c r="T792" s="724"/>
      <c r="U792" s="724"/>
      <c r="V792" s="724"/>
      <c r="W792" s="724"/>
      <c r="X792" s="724"/>
      <c r="Y792" s="724"/>
      <c r="Z792" s="724"/>
      <c r="AA792" s="724"/>
      <c r="AB792" s="724"/>
      <c r="AC792" s="729"/>
      <c r="AD792" s="724"/>
      <c r="AE792" s="724"/>
      <c r="AF792" s="724"/>
      <c r="AG792" s="724"/>
      <c r="AH792" s="724"/>
      <c r="AI792" s="724"/>
      <c r="AJ792" s="724"/>
      <c r="AU792" s="713"/>
      <c r="AW792" s="712"/>
      <c r="BY792" s="714"/>
      <c r="BZ792" s="715"/>
      <c r="CA792" s="716"/>
      <c r="CB792" s="717"/>
      <c r="CC792" s="717"/>
      <c r="CD792" s="717"/>
      <c r="CE792" s="717"/>
      <c r="CF792" s="717"/>
      <c r="CG792" s="717"/>
      <c r="CH792" s="717"/>
      <c r="CI792" s="717"/>
      <c r="CJ792" s="717"/>
      <c r="CK792" s="717"/>
      <c r="CL792" s="717"/>
      <c r="CM792" s="717"/>
      <c r="CN792" s="717"/>
      <c r="CO792" s="717"/>
      <c r="CP792" s="717"/>
      <c r="CQ792" s="717"/>
      <c r="CR792" s="717"/>
      <c r="CS792" s="717"/>
      <c r="CT792" s="717"/>
      <c r="CU792" s="717"/>
      <c r="CV792" s="717"/>
      <c r="CW792" s="717"/>
      <c r="CX792" s="717"/>
      <c r="CY792" s="717"/>
      <c r="CZ792" s="717"/>
      <c r="DA792" s="717"/>
      <c r="DB792" s="717"/>
      <c r="DC792" s="717"/>
      <c r="DD792" s="717"/>
      <c r="DE792" s="717"/>
      <c r="DF792" s="717"/>
      <c r="DG792" s="717"/>
      <c r="DH792" s="717"/>
      <c r="DI792" s="717"/>
      <c r="DJ792" s="717"/>
      <c r="DM792" s="711"/>
      <c r="DN792" s="711"/>
      <c r="DO792" s="711"/>
      <c r="DP792" s="711"/>
      <c r="DQ792" s="711"/>
      <c r="EB792" s="719"/>
    </row>
    <row r="793" spans="5:132" s="709" customFormat="1" ht="18" hidden="1">
      <c r="E793" s="721"/>
      <c r="H793" s="723">
        <v>283</v>
      </c>
      <c r="I793" s="726"/>
      <c r="J793" s="724"/>
      <c r="K793" s="724"/>
      <c r="L793" s="724"/>
      <c r="M793" s="728"/>
      <c r="N793" s="724"/>
      <c r="O793" s="724"/>
      <c r="P793" s="724"/>
      <c r="Q793" s="724"/>
      <c r="R793" s="724"/>
      <c r="S793" s="724"/>
      <c r="T793" s="724"/>
      <c r="U793" s="724"/>
      <c r="V793" s="724"/>
      <c r="W793" s="724"/>
      <c r="X793" s="724"/>
      <c r="Y793" s="724"/>
      <c r="Z793" s="724"/>
      <c r="AA793" s="724"/>
      <c r="AB793" s="724"/>
      <c r="AC793" s="729"/>
      <c r="AD793" s="724"/>
      <c r="AE793" s="724"/>
      <c r="AF793" s="724"/>
      <c r="AG793" s="724"/>
      <c r="AH793" s="724"/>
      <c r="AI793" s="724"/>
      <c r="AJ793" s="724"/>
      <c r="AU793" s="713"/>
      <c r="AW793" s="712"/>
      <c r="BY793" s="714"/>
      <c r="BZ793" s="715"/>
      <c r="CA793" s="716"/>
      <c r="CB793" s="717"/>
      <c r="CC793" s="717"/>
      <c r="CD793" s="717"/>
      <c r="CE793" s="717"/>
      <c r="CF793" s="717"/>
      <c r="CG793" s="717"/>
      <c r="CH793" s="717"/>
      <c r="CI793" s="717"/>
      <c r="CJ793" s="717"/>
      <c r="CK793" s="717"/>
      <c r="CL793" s="717"/>
      <c r="CM793" s="717"/>
      <c r="CN793" s="717"/>
      <c r="CO793" s="717"/>
      <c r="CP793" s="717"/>
      <c r="CQ793" s="717"/>
      <c r="CR793" s="717"/>
      <c r="CS793" s="717"/>
      <c r="CT793" s="717"/>
      <c r="CU793" s="717"/>
      <c r="CV793" s="717"/>
      <c r="CW793" s="717"/>
      <c r="CX793" s="717"/>
      <c r="CY793" s="717"/>
      <c r="CZ793" s="717"/>
      <c r="DA793" s="717"/>
      <c r="DB793" s="717"/>
      <c r="DC793" s="717"/>
      <c r="DD793" s="717"/>
      <c r="DE793" s="717"/>
      <c r="DF793" s="717"/>
      <c r="DG793" s="717"/>
      <c r="DH793" s="717"/>
      <c r="DI793" s="717"/>
      <c r="DJ793" s="717"/>
      <c r="DM793" s="711"/>
      <c r="DN793" s="711"/>
      <c r="DO793" s="711"/>
      <c r="DP793" s="711"/>
      <c r="DQ793" s="711"/>
      <c r="EB793" s="719"/>
    </row>
    <row r="794" spans="5:132" s="709" customFormat="1" ht="18" hidden="1">
      <c r="E794" s="721"/>
      <c r="H794" s="723">
        <v>284</v>
      </c>
      <c r="I794" s="726"/>
      <c r="J794" s="724"/>
      <c r="K794" s="724"/>
      <c r="L794" s="724"/>
      <c r="M794" s="728"/>
      <c r="N794" s="724"/>
      <c r="O794" s="724"/>
      <c r="P794" s="724"/>
      <c r="Q794" s="724"/>
      <c r="R794" s="724"/>
      <c r="S794" s="724"/>
      <c r="T794" s="724"/>
      <c r="U794" s="724"/>
      <c r="V794" s="724"/>
      <c r="W794" s="724"/>
      <c r="X794" s="724"/>
      <c r="Y794" s="724"/>
      <c r="Z794" s="724"/>
      <c r="AA794" s="724"/>
      <c r="AB794" s="724"/>
      <c r="AC794" s="729"/>
      <c r="AD794" s="724"/>
      <c r="AE794" s="724"/>
      <c r="AF794" s="724"/>
      <c r="AG794" s="724"/>
      <c r="AH794" s="724"/>
      <c r="AI794" s="724"/>
      <c r="AJ794" s="724"/>
      <c r="AU794" s="713"/>
      <c r="AW794" s="712"/>
      <c r="BY794" s="714"/>
      <c r="BZ794" s="715"/>
      <c r="CA794" s="716"/>
      <c r="CB794" s="717"/>
      <c r="CC794" s="717"/>
      <c r="CD794" s="717"/>
      <c r="CE794" s="717"/>
      <c r="CF794" s="717"/>
      <c r="CG794" s="717"/>
      <c r="CH794" s="717"/>
      <c r="CI794" s="717"/>
      <c r="CJ794" s="717"/>
      <c r="CK794" s="717"/>
      <c r="CL794" s="717"/>
      <c r="CM794" s="717"/>
      <c r="CN794" s="717"/>
      <c r="CO794" s="717"/>
      <c r="CP794" s="717"/>
      <c r="CQ794" s="717"/>
      <c r="CR794" s="717"/>
      <c r="CS794" s="717"/>
      <c r="CT794" s="717"/>
      <c r="CU794" s="717"/>
      <c r="CV794" s="717"/>
      <c r="CW794" s="717"/>
      <c r="CX794" s="717"/>
      <c r="CY794" s="717"/>
      <c r="CZ794" s="717"/>
      <c r="DA794" s="717"/>
      <c r="DB794" s="717"/>
      <c r="DC794" s="717"/>
      <c r="DD794" s="717"/>
      <c r="DE794" s="717"/>
      <c r="DF794" s="717"/>
      <c r="DG794" s="717"/>
      <c r="DH794" s="717"/>
      <c r="DI794" s="717"/>
      <c r="DJ794" s="717"/>
      <c r="DM794" s="711"/>
      <c r="DN794" s="711"/>
      <c r="DO794" s="711"/>
      <c r="DP794" s="711"/>
      <c r="DQ794" s="711"/>
      <c r="EB794" s="719"/>
    </row>
    <row r="795" spans="5:132" s="709" customFormat="1" ht="18" hidden="1">
      <c r="E795" s="721"/>
      <c r="H795" s="723">
        <v>285</v>
      </c>
      <c r="I795" s="726"/>
      <c r="J795" s="724"/>
      <c r="K795" s="724"/>
      <c r="L795" s="724"/>
      <c r="M795" s="728"/>
      <c r="N795" s="724"/>
      <c r="O795" s="724"/>
      <c r="P795" s="724"/>
      <c r="Q795" s="724"/>
      <c r="R795" s="724"/>
      <c r="S795" s="724"/>
      <c r="T795" s="724"/>
      <c r="U795" s="724"/>
      <c r="V795" s="724"/>
      <c r="W795" s="724"/>
      <c r="X795" s="724"/>
      <c r="Y795" s="724"/>
      <c r="Z795" s="724"/>
      <c r="AA795" s="724"/>
      <c r="AB795" s="724"/>
      <c r="AC795" s="729"/>
      <c r="AD795" s="724"/>
      <c r="AE795" s="724"/>
      <c r="AF795" s="724"/>
      <c r="AG795" s="724"/>
      <c r="AH795" s="724"/>
      <c r="AI795" s="724"/>
      <c r="AJ795" s="724"/>
      <c r="AU795" s="713"/>
      <c r="AW795" s="712"/>
      <c r="BY795" s="714"/>
      <c r="BZ795" s="715"/>
      <c r="CA795" s="716"/>
      <c r="CB795" s="717"/>
      <c r="CC795" s="717"/>
      <c r="CD795" s="717"/>
      <c r="CE795" s="717"/>
      <c r="CF795" s="717"/>
      <c r="CG795" s="717"/>
      <c r="CH795" s="717"/>
      <c r="CI795" s="717"/>
      <c r="CJ795" s="717"/>
      <c r="CK795" s="717"/>
      <c r="CL795" s="717"/>
      <c r="CM795" s="717"/>
      <c r="CN795" s="717"/>
      <c r="CO795" s="717"/>
      <c r="CP795" s="717"/>
      <c r="CQ795" s="717"/>
      <c r="CR795" s="717"/>
      <c r="CS795" s="717"/>
      <c r="CT795" s="717"/>
      <c r="CU795" s="717"/>
      <c r="CV795" s="717"/>
      <c r="CW795" s="717"/>
      <c r="CX795" s="717"/>
      <c r="CY795" s="717"/>
      <c r="CZ795" s="717"/>
      <c r="DA795" s="717"/>
      <c r="DB795" s="717"/>
      <c r="DC795" s="717"/>
      <c r="DD795" s="717"/>
      <c r="DE795" s="717"/>
      <c r="DF795" s="717"/>
      <c r="DG795" s="717"/>
      <c r="DH795" s="717"/>
      <c r="DI795" s="717"/>
      <c r="DJ795" s="717"/>
      <c r="DM795" s="711"/>
      <c r="DN795" s="711"/>
      <c r="DO795" s="711"/>
      <c r="DP795" s="711"/>
      <c r="DQ795" s="711"/>
      <c r="EB795" s="719"/>
    </row>
    <row r="796" spans="5:132" s="709" customFormat="1" ht="18" hidden="1">
      <c r="E796" s="721"/>
      <c r="H796" s="723">
        <v>286</v>
      </c>
      <c r="I796" s="726"/>
      <c r="J796" s="724"/>
      <c r="K796" s="724"/>
      <c r="L796" s="724"/>
      <c r="M796" s="728"/>
      <c r="N796" s="724"/>
      <c r="O796" s="724"/>
      <c r="P796" s="724"/>
      <c r="Q796" s="724"/>
      <c r="R796" s="724"/>
      <c r="S796" s="724"/>
      <c r="T796" s="724"/>
      <c r="U796" s="724"/>
      <c r="V796" s="724"/>
      <c r="W796" s="724"/>
      <c r="X796" s="724"/>
      <c r="Y796" s="724"/>
      <c r="Z796" s="724"/>
      <c r="AA796" s="724"/>
      <c r="AB796" s="724"/>
      <c r="AC796" s="729"/>
      <c r="AD796" s="724"/>
      <c r="AE796" s="724"/>
      <c r="AF796" s="724"/>
      <c r="AG796" s="724"/>
      <c r="AH796" s="724"/>
      <c r="AI796" s="724"/>
      <c r="AJ796" s="724"/>
      <c r="AU796" s="713"/>
      <c r="AW796" s="712"/>
      <c r="BY796" s="714"/>
      <c r="BZ796" s="715"/>
      <c r="CA796" s="716"/>
      <c r="CB796" s="717"/>
      <c r="CC796" s="717"/>
      <c r="CD796" s="717"/>
      <c r="CE796" s="717"/>
      <c r="CF796" s="717"/>
      <c r="CG796" s="717"/>
      <c r="CH796" s="717"/>
      <c r="CI796" s="717"/>
      <c r="CJ796" s="717"/>
      <c r="CK796" s="717"/>
      <c r="CL796" s="717"/>
      <c r="CM796" s="717"/>
      <c r="CN796" s="717"/>
      <c r="CO796" s="717"/>
      <c r="CP796" s="717"/>
      <c r="CQ796" s="717"/>
      <c r="CR796" s="717"/>
      <c r="CS796" s="717"/>
      <c r="CT796" s="717"/>
      <c r="CU796" s="717"/>
      <c r="CV796" s="717"/>
      <c r="CW796" s="717"/>
      <c r="CX796" s="717"/>
      <c r="CY796" s="717"/>
      <c r="CZ796" s="717"/>
      <c r="DA796" s="717"/>
      <c r="DB796" s="717"/>
      <c r="DC796" s="717"/>
      <c r="DD796" s="717"/>
      <c r="DE796" s="717"/>
      <c r="DF796" s="717"/>
      <c r="DG796" s="717"/>
      <c r="DH796" s="717"/>
      <c r="DI796" s="717"/>
      <c r="DJ796" s="717"/>
      <c r="DM796" s="711"/>
      <c r="DN796" s="711"/>
      <c r="DO796" s="711"/>
      <c r="DP796" s="711"/>
      <c r="DQ796" s="711"/>
      <c r="EB796" s="719"/>
    </row>
    <row r="797" spans="5:132" s="709" customFormat="1" ht="18" hidden="1">
      <c r="E797" s="721"/>
      <c r="H797" s="723">
        <v>287</v>
      </c>
      <c r="I797" s="726"/>
      <c r="J797" s="724"/>
      <c r="K797" s="724"/>
      <c r="L797" s="724"/>
      <c r="M797" s="728"/>
      <c r="N797" s="724"/>
      <c r="O797" s="724"/>
      <c r="P797" s="724"/>
      <c r="Q797" s="724"/>
      <c r="R797" s="724"/>
      <c r="S797" s="724"/>
      <c r="T797" s="724"/>
      <c r="U797" s="724"/>
      <c r="V797" s="724"/>
      <c r="W797" s="724"/>
      <c r="X797" s="724"/>
      <c r="Y797" s="724"/>
      <c r="Z797" s="724"/>
      <c r="AA797" s="724"/>
      <c r="AB797" s="724"/>
      <c r="AC797" s="729"/>
      <c r="AD797" s="724"/>
      <c r="AE797" s="724"/>
      <c r="AF797" s="724"/>
      <c r="AG797" s="724"/>
      <c r="AH797" s="724"/>
      <c r="AI797" s="724"/>
      <c r="AJ797" s="724"/>
      <c r="AU797" s="713"/>
      <c r="AW797" s="712"/>
      <c r="BY797" s="714"/>
      <c r="BZ797" s="715"/>
      <c r="CA797" s="716"/>
      <c r="CB797" s="717"/>
      <c r="CC797" s="717"/>
      <c r="CD797" s="717"/>
      <c r="CE797" s="717"/>
      <c r="CF797" s="717"/>
      <c r="CG797" s="717"/>
      <c r="CH797" s="717"/>
      <c r="CI797" s="717"/>
      <c r="CJ797" s="717"/>
      <c r="CK797" s="717"/>
      <c r="CL797" s="717"/>
      <c r="CM797" s="717"/>
      <c r="CN797" s="717"/>
      <c r="CO797" s="717"/>
      <c r="CP797" s="717"/>
      <c r="CQ797" s="717"/>
      <c r="CR797" s="717"/>
      <c r="CS797" s="717"/>
      <c r="CT797" s="717"/>
      <c r="CU797" s="717"/>
      <c r="CV797" s="717"/>
      <c r="CW797" s="717"/>
      <c r="CX797" s="717"/>
      <c r="CY797" s="717"/>
      <c r="CZ797" s="717"/>
      <c r="DA797" s="717"/>
      <c r="DB797" s="717"/>
      <c r="DC797" s="717"/>
      <c r="DD797" s="717"/>
      <c r="DE797" s="717"/>
      <c r="DF797" s="717"/>
      <c r="DG797" s="717"/>
      <c r="DH797" s="717"/>
      <c r="DI797" s="717"/>
      <c r="DJ797" s="717"/>
      <c r="DM797" s="711"/>
      <c r="DN797" s="711"/>
      <c r="DO797" s="711"/>
      <c r="DP797" s="711"/>
      <c r="DQ797" s="711"/>
      <c r="EB797" s="719"/>
    </row>
    <row r="798" spans="5:132" s="709" customFormat="1" ht="18" hidden="1">
      <c r="E798" s="721"/>
      <c r="H798" s="723">
        <v>288</v>
      </c>
      <c r="I798" s="726"/>
      <c r="J798" s="724"/>
      <c r="K798" s="724"/>
      <c r="L798" s="724"/>
      <c r="M798" s="728"/>
      <c r="N798" s="724"/>
      <c r="O798" s="724"/>
      <c r="P798" s="724"/>
      <c r="Q798" s="724"/>
      <c r="R798" s="724"/>
      <c r="S798" s="724"/>
      <c r="T798" s="724"/>
      <c r="U798" s="724"/>
      <c r="V798" s="724"/>
      <c r="W798" s="724"/>
      <c r="X798" s="724"/>
      <c r="Y798" s="724"/>
      <c r="Z798" s="724"/>
      <c r="AA798" s="724"/>
      <c r="AB798" s="724"/>
      <c r="AC798" s="729"/>
      <c r="AD798" s="724"/>
      <c r="AE798" s="724"/>
      <c r="AF798" s="724"/>
      <c r="AG798" s="724"/>
      <c r="AH798" s="724"/>
      <c r="AI798" s="724"/>
      <c r="AJ798" s="724"/>
      <c r="AU798" s="713"/>
      <c r="AW798" s="712"/>
      <c r="BY798" s="714"/>
      <c r="BZ798" s="715"/>
      <c r="CA798" s="716"/>
      <c r="CB798" s="717"/>
      <c r="CC798" s="717"/>
      <c r="CD798" s="717"/>
      <c r="CE798" s="717"/>
      <c r="CF798" s="717"/>
      <c r="CG798" s="717"/>
      <c r="CH798" s="717"/>
      <c r="CI798" s="717"/>
      <c r="CJ798" s="717"/>
      <c r="CK798" s="717"/>
      <c r="CL798" s="717"/>
      <c r="CM798" s="717"/>
      <c r="CN798" s="717"/>
      <c r="CO798" s="717"/>
      <c r="CP798" s="717"/>
      <c r="CQ798" s="717"/>
      <c r="CR798" s="717"/>
      <c r="CS798" s="717"/>
      <c r="CT798" s="717"/>
      <c r="CU798" s="717"/>
      <c r="CV798" s="717"/>
      <c r="CW798" s="717"/>
      <c r="CX798" s="717"/>
      <c r="CY798" s="717"/>
      <c r="CZ798" s="717"/>
      <c r="DA798" s="717"/>
      <c r="DB798" s="717"/>
      <c r="DC798" s="717"/>
      <c r="DD798" s="717"/>
      <c r="DE798" s="717"/>
      <c r="DF798" s="717"/>
      <c r="DG798" s="717"/>
      <c r="DH798" s="717"/>
      <c r="DI798" s="717"/>
      <c r="DJ798" s="717"/>
      <c r="DM798" s="711"/>
      <c r="DN798" s="711"/>
      <c r="DO798" s="711"/>
      <c r="DP798" s="711"/>
      <c r="DQ798" s="711"/>
      <c r="EB798" s="719"/>
    </row>
    <row r="799" spans="5:132" s="709" customFormat="1" ht="18" hidden="1">
      <c r="E799" s="721"/>
      <c r="H799" s="723">
        <v>289</v>
      </c>
      <c r="I799" s="726"/>
      <c r="J799" s="724"/>
      <c r="K799" s="724"/>
      <c r="L799" s="724"/>
      <c r="M799" s="728"/>
      <c r="N799" s="724"/>
      <c r="O799" s="724"/>
      <c r="P799" s="724"/>
      <c r="Q799" s="724"/>
      <c r="R799" s="724"/>
      <c r="S799" s="724"/>
      <c r="T799" s="724"/>
      <c r="U799" s="724"/>
      <c r="V799" s="724"/>
      <c r="W799" s="724"/>
      <c r="X799" s="724"/>
      <c r="Y799" s="724"/>
      <c r="Z799" s="724"/>
      <c r="AA799" s="724"/>
      <c r="AB799" s="724"/>
      <c r="AC799" s="729"/>
      <c r="AD799" s="724"/>
      <c r="AE799" s="724"/>
      <c r="AF799" s="724"/>
      <c r="AG799" s="724"/>
      <c r="AH799" s="724"/>
      <c r="AI799" s="724"/>
      <c r="AJ799" s="724"/>
      <c r="AU799" s="713"/>
      <c r="AW799" s="712"/>
      <c r="BY799" s="714"/>
      <c r="BZ799" s="715"/>
      <c r="CA799" s="716"/>
      <c r="CB799" s="717"/>
      <c r="CC799" s="717"/>
      <c r="CD799" s="717"/>
      <c r="CE799" s="717"/>
      <c r="CF799" s="717"/>
      <c r="CG799" s="717"/>
      <c r="CH799" s="717"/>
      <c r="CI799" s="717"/>
      <c r="CJ799" s="717"/>
      <c r="CK799" s="717"/>
      <c r="CL799" s="717"/>
      <c r="CM799" s="717"/>
      <c r="CN799" s="717"/>
      <c r="CO799" s="717"/>
      <c r="CP799" s="717"/>
      <c r="CQ799" s="717"/>
      <c r="CR799" s="717"/>
      <c r="CS799" s="717"/>
      <c r="CT799" s="717"/>
      <c r="CU799" s="717"/>
      <c r="CV799" s="717"/>
      <c r="CW799" s="717"/>
      <c r="CX799" s="717"/>
      <c r="CY799" s="717"/>
      <c r="CZ799" s="717"/>
      <c r="DA799" s="717"/>
      <c r="DB799" s="717"/>
      <c r="DC799" s="717"/>
      <c r="DD799" s="717"/>
      <c r="DE799" s="717"/>
      <c r="DF799" s="717"/>
      <c r="DG799" s="717"/>
      <c r="DH799" s="717"/>
      <c r="DI799" s="717"/>
      <c r="DJ799" s="717"/>
      <c r="DM799" s="711"/>
      <c r="DN799" s="711"/>
      <c r="DO799" s="711"/>
      <c r="DP799" s="711"/>
      <c r="DQ799" s="711"/>
      <c r="EB799" s="719"/>
    </row>
    <row r="800" spans="5:132" s="709" customFormat="1" ht="18" hidden="1">
      <c r="E800" s="721"/>
      <c r="H800" s="723">
        <v>290</v>
      </c>
      <c r="I800" s="726"/>
      <c r="J800" s="724"/>
      <c r="K800" s="724"/>
      <c r="L800" s="724"/>
      <c r="M800" s="728"/>
      <c r="N800" s="724"/>
      <c r="O800" s="724"/>
      <c r="P800" s="724"/>
      <c r="Q800" s="724"/>
      <c r="R800" s="724"/>
      <c r="S800" s="724"/>
      <c r="T800" s="724"/>
      <c r="U800" s="724"/>
      <c r="V800" s="724"/>
      <c r="W800" s="724"/>
      <c r="X800" s="724"/>
      <c r="Y800" s="724"/>
      <c r="Z800" s="724"/>
      <c r="AA800" s="724"/>
      <c r="AB800" s="724"/>
      <c r="AC800" s="729"/>
      <c r="AD800" s="724"/>
      <c r="AE800" s="724"/>
      <c r="AF800" s="724"/>
      <c r="AG800" s="724"/>
      <c r="AH800" s="724"/>
      <c r="AI800" s="724"/>
      <c r="AJ800" s="724"/>
      <c r="AU800" s="713"/>
      <c r="AW800" s="712"/>
      <c r="BY800" s="714"/>
      <c r="BZ800" s="715"/>
      <c r="CA800" s="716"/>
      <c r="CB800" s="717"/>
      <c r="CC800" s="717"/>
      <c r="CD800" s="717"/>
      <c r="CE800" s="717"/>
      <c r="CF800" s="717"/>
      <c r="CG800" s="717"/>
      <c r="CH800" s="717"/>
      <c r="CI800" s="717"/>
      <c r="CJ800" s="717"/>
      <c r="CK800" s="717"/>
      <c r="CL800" s="717"/>
      <c r="CM800" s="717"/>
      <c r="CN800" s="717"/>
      <c r="CO800" s="717"/>
      <c r="CP800" s="717"/>
      <c r="CQ800" s="717"/>
      <c r="CR800" s="717"/>
      <c r="CS800" s="717"/>
      <c r="CT800" s="717"/>
      <c r="CU800" s="717"/>
      <c r="CV800" s="717"/>
      <c r="CW800" s="717"/>
      <c r="CX800" s="717"/>
      <c r="CY800" s="717"/>
      <c r="CZ800" s="717"/>
      <c r="DA800" s="717"/>
      <c r="DB800" s="717"/>
      <c r="DC800" s="717"/>
      <c r="DD800" s="717"/>
      <c r="DE800" s="717"/>
      <c r="DF800" s="717"/>
      <c r="DG800" s="717"/>
      <c r="DH800" s="717"/>
      <c r="DI800" s="717"/>
      <c r="DJ800" s="717"/>
      <c r="DM800" s="711"/>
      <c r="DN800" s="711"/>
      <c r="DO800" s="711"/>
      <c r="DP800" s="711"/>
      <c r="DQ800" s="711"/>
      <c r="EB800" s="719"/>
    </row>
    <row r="801" spans="5:132" s="709" customFormat="1" ht="18" hidden="1">
      <c r="E801" s="721"/>
      <c r="H801" s="723">
        <v>291</v>
      </c>
      <c r="I801" s="726"/>
      <c r="J801" s="724"/>
      <c r="K801" s="724"/>
      <c r="L801" s="724"/>
      <c r="M801" s="728"/>
      <c r="N801" s="724"/>
      <c r="O801" s="724"/>
      <c r="P801" s="724"/>
      <c r="Q801" s="724"/>
      <c r="R801" s="724"/>
      <c r="S801" s="724"/>
      <c r="T801" s="724"/>
      <c r="U801" s="724"/>
      <c r="V801" s="724"/>
      <c r="W801" s="724"/>
      <c r="X801" s="724"/>
      <c r="Y801" s="724"/>
      <c r="Z801" s="724"/>
      <c r="AA801" s="724"/>
      <c r="AB801" s="724"/>
      <c r="AC801" s="729"/>
      <c r="AD801" s="724"/>
      <c r="AE801" s="724"/>
      <c r="AF801" s="724"/>
      <c r="AG801" s="724"/>
      <c r="AH801" s="724"/>
      <c r="AI801" s="724"/>
      <c r="AJ801" s="724"/>
      <c r="AU801" s="713"/>
      <c r="AW801" s="712"/>
      <c r="BY801" s="714"/>
      <c r="BZ801" s="715"/>
      <c r="CA801" s="716"/>
      <c r="CB801" s="717"/>
      <c r="CC801" s="717"/>
      <c r="CD801" s="717"/>
      <c r="CE801" s="717"/>
      <c r="CF801" s="717"/>
      <c r="CG801" s="717"/>
      <c r="CH801" s="717"/>
      <c r="CI801" s="717"/>
      <c r="CJ801" s="717"/>
      <c r="CK801" s="717"/>
      <c r="CL801" s="717"/>
      <c r="CM801" s="717"/>
      <c r="CN801" s="717"/>
      <c r="CO801" s="717"/>
      <c r="CP801" s="717"/>
      <c r="CQ801" s="717"/>
      <c r="CR801" s="717"/>
      <c r="CS801" s="717"/>
      <c r="CT801" s="717"/>
      <c r="CU801" s="717"/>
      <c r="CV801" s="717"/>
      <c r="CW801" s="717"/>
      <c r="CX801" s="717"/>
      <c r="CY801" s="717"/>
      <c r="CZ801" s="717"/>
      <c r="DA801" s="717"/>
      <c r="DB801" s="717"/>
      <c r="DC801" s="717"/>
      <c r="DD801" s="717"/>
      <c r="DE801" s="717"/>
      <c r="DF801" s="717"/>
      <c r="DG801" s="717"/>
      <c r="DH801" s="717"/>
      <c r="DI801" s="717"/>
      <c r="DJ801" s="717"/>
      <c r="DM801" s="711"/>
      <c r="DN801" s="711"/>
      <c r="DO801" s="711"/>
      <c r="DP801" s="711"/>
      <c r="DQ801" s="711"/>
      <c r="EB801" s="719"/>
    </row>
    <row r="802" spans="5:132" s="709" customFormat="1" ht="18" hidden="1">
      <c r="E802" s="721"/>
      <c r="H802" s="723">
        <v>292</v>
      </c>
      <c r="I802" s="726"/>
      <c r="J802" s="724"/>
      <c r="K802" s="724"/>
      <c r="L802" s="724"/>
      <c r="M802" s="728"/>
      <c r="N802" s="724"/>
      <c r="O802" s="724"/>
      <c r="P802" s="724"/>
      <c r="Q802" s="724"/>
      <c r="R802" s="724"/>
      <c r="S802" s="724"/>
      <c r="T802" s="724"/>
      <c r="U802" s="724"/>
      <c r="V802" s="724"/>
      <c r="W802" s="724"/>
      <c r="X802" s="724"/>
      <c r="Y802" s="724"/>
      <c r="Z802" s="724"/>
      <c r="AA802" s="724"/>
      <c r="AB802" s="724"/>
      <c r="AC802" s="729"/>
      <c r="AD802" s="724"/>
      <c r="AE802" s="724"/>
      <c r="AF802" s="724"/>
      <c r="AG802" s="724"/>
      <c r="AH802" s="724"/>
      <c r="AI802" s="724"/>
      <c r="AJ802" s="724"/>
      <c r="AU802" s="713"/>
      <c r="AW802" s="712"/>
      <c r="BY802" s="714"/>
      <c r="BZ802" s="715"/>
      <c r="CA802" s="716"/>
      <c r="CB802" s="717"/>
      <c r="CC802" s="717"/>
      <c r="CD802" s="717"/>
      <c r="CE802" s="717"/>
      <c r="CF802" s="717"/>
      <c r="CG802" s="717"/>
      <c r="CH802" s="717"/>
      <c r="CI802" s="717"/>
      <c r="CJ802" s="717"/>
      <c r="CK802" s="717"/>
      <c r="CL802" s="717"/>
      <c r="CM802" s="717"/>
      <c r="CN802" s="717"/>
      <c r="CO802" s="717"/>
      <c r="CP802" s="717"/>
      <c r="CQ802" s="717"/>
      <c r="CR802" s="717"/>
      <c r="CS802" s="717"/>
      <c r="CT802" s="717"/>
      <c r="CU802" s="717"/>
      <c r="CV802" s="717"/>
      <c r="CW802" s="717"/>
      <c r="CX802" s="717"/>
      <c r="CY802" s="717"/>
      <c r="CZ802" s="717"/>
      <c r="DA802" s="717"/>
      <c r="DB802" s="717"/>
      <c r="DC802" s="717"/>
      <c r="DD802" s="717"/>
      <c r="DE802" s="717"/>
      <c r="DF802" s="717"/>
      <c r="DG802" s="717"/>
      <c r="DH802" s="717"/>
      <c r="DI802" s="717"/>
      <c r="DJ802" s="717"/>
      <c r="DM802" s="711"/>
      <c r="DN802" s="711"/>
      <c r="DO802" s="711"/>
      <c r="DP802" s="711"/>
      <c r="DQ802" s="711"/>
      <c r="EB802" s="719"/>
    </row>
    <row r="803" spans="5:132" s="709" customFormat="1" ht="18" hidden="1">
      <c r="E803" s="721"/>
      <c r="H803" s="723">
        <v>293</v>
      </c>
      <c r="I803" s="726"/>
      <c r="J803" s="724"/>
      <c r="K803" s="724"/>
      <c r="L803" s="724"/>
      <c r="M803" s="728"/>
      <c r="N803" s="724"/>
      <c r="O803" s="724"/>
      <c r="P803" s="724"/>
      <c r="Q803" s="724"/>
      <c r="R803" s="724"/>
      <c r="S803" s="724"/>
      <c r="T803" s="724"/>
      <c r="U803" s="724"/>
      <c r="V803" s="724"/>
      <c r="W803" s="724"/>
      <c r="X803" s="724"/>
      <c r="Y803" s="724"/>
      <c r="Z803" s="724"/>
      <c r="AA803" s="724"/>
      <c r="AB803" s="724"/>
      <c r="AC803" s="729"/>
      <c r="AD803" s="724"/>
      <c r="AE803" s="724"/>
      <c r="AF803" s="724"/>
      <c r="AG803" s="724"/>
      <c r="AH803" s="724"/>
      <c r="AI803" s="724"/>
      <c r="AJ803" s="724"/>
      <c r="AU803" s="713"/>
      <c r="AW803" s="712"/>
      <c r="BY803" s="714"/>
      <c r="BZ803" s="715"/>
      <c r="CA803" s="716"/>
      <c r="CB803" s="717"/>
      <c r="CC803" s="717"/>
      <c r="CD803" s="717"/>
      <c r="CE803" s="717"/>
      <c r="CF803" s="717"/>
      <c r="CG803" s="717"/>
      <c r="CH803" s="717"/>
      <c r="CI803" s="717"/>
      <c r="CJ803" s="717"/>
      <c r="CK803" s="717"/>
      <c r="CL803" s="717"/>
      <c r="CM803" s="717"/>
      <c r="CN803" s="717"/>
      <c r="CO803" s="717"/>
      <c r="CP803" s="717"/>
      <c r="CQ803" s="717"/>
      <c r="CR803" s="717"/>
      <c r="CS803" s="717"/>
      <c r="CT803" s="717"/>
      <c r="CU803" s="717"/>
      <c r="CV803" s="717"/>
      <c r="CW803" s="717"/>
      <c r="CX803" s="717"/>
      <c r="CY803" s="717"/>
      <c r="CZ803" s="717"/>
      <c r="DA803" s="717"/>
      <c r="DB803" s="717"/>
      <c r="DC803" s="717"/>
      <c r="DD803" s="717"/>
      <c r="DE803" s="717"/>
      <c r="DF803" s="717"/>
      <c r="DG803" s="717"/>
      <c r="DH803" s="717"/>
      <c r="DI803" s="717"/>
      <c r="DJ803" s="717"/>
      <c r="DM803" s="711"/>
      <c r="DN803" s="711"/>
      <c r="DO803" s="711"/>
      <c r="DP803" s="711"/>
      <c r="DQ803" s="711"/>
      <c r="EB803" s="719"/>
    </row>
    <row r="804" spans="5:132" s="709" customFormat="1" ht="18" hidden="1">
      <c r="E804" s="721"/>
      <c r="H804" s="723">
        <v>294</v>
      </c>
      <c r="I804" s="726"/>
      <c r="J804" s="724"/>
      <c r="K804" s="724"/>
      <c r="L804" s="724"/>
      <c r="M804" s="728"/>
      <c r="N804" s="724"/>
      <c r="O804" s="724"/>
      <c r="P804" s="724"/>
      <c r="Q804" s="724"/>
      <c r="R804" s="724"/>
      <c r="S804" s="724"/>
      <c r="T804" s="724"/>
      <c r="U804" s="724"/>
      <c r="V804" s="724"/>
      <c r="W804" s="724"/>
      <c r="X804" s="724"/>
      <c r="Y804" s="724"/>
      <c r="Z804" s="724"/>
      <c r="AA804" s="724"/>
      <c r="AB804" s="724"/>
      <c r="AC804" s="729"/>
      <c r="AD804" s="724"/>
      <c r="AE804" s="724"/>
      <c r="AF804" s="724"/>
      <c r="AG804" s="724"/>
      <c r="AH804" s="724"/>
      <c r="AI804" s="724"/>
      <c r="AJ804" s="724"/>
      <c r="AU804" s="713"/>
      <c r="AW804" s="712"/>
      <c r="BY804" s="714"/>
      <c r="BZ804" s="715"/>
      <c r="CA804" s="716"/>
      <c r="CB804" s="717"/>
      <c r="CC804" s="717"/>
      <c r="CD804" s="717"/>
      <c r="CE804" s="717"/>
      <c r="CF804" s="717"/>
      <c r="CG804" s="717"/>
      <c r="CH804" s="717"/>
      <c r="CI804" s="717"/>
      <c r="CJ804" s="717"/>
      <c r="CK804" s="717"/>
      <c r="CL804" s="717"/>
      <c r="CM804" s="717"/>
      <c r="CN804" s="717"/>
      <c r="CO804" s="717"/>
      <c r="CP804" s="717"/>
      <c r="CQ804" s="717"/>
      <c r="CR804" s="717"/>
      <c r="CS804" s="717"/>
      <c r="CT804" s="717"/>
      <c r="CU804" s="717"/>
      <c r="CV804" s="717"/>
      <c r="CW804" s="717"/>
      <c r="CX804" s="717"/>
      <c r="CY804" s="717"/>
      <c r="CZ804" s="717"/>
      <c r="DA804" s="717"/>
      <c r="DB804" s="717"/>
      <c r="DC804" s="717"/>
      <c r="DD804" s="717"/>
      <c r="DE804" s="717"/>
      <c r="DF804" s="717"/>
      <c r="DG804" s="717"/>
      <c r="DH804" s="717"/>
      <c r="DI804" s="717"/>
      <c r="DJ804" s="717"/>
      <c r="DM804" s="711"/>
      <c r="DN804" s="711"/>
      <c r="DO804" s="711"/>
      <c r="DP804" s="711"/>
      <c r="DQ804" s="711"/>
      <c r="EB804" s="719"/>
    </row>
    <row r="805" spans="5:132" s="709" customFormat="1" ht="18" hidden="1">
      <c r="E805" s="721"/>
      <c r="H805" s="723">
        <v>295</v>
      </c>
      <c r="I805" s="726"/>
      <c r="J805" s="724"/>
      <c r="K805" s="724"/>
      <c r="L805" s="724"/>
      <c r="M805" s="728"/>
      <c r="N805" s="724"/>
      <c r="O805" s="724"/>
      <c r="P805" s="724"/>
      <c r="Q805" s="724"/>
      <c r="R805" s="724"/>
      <c r="S805" s="724"/>
      <c r="T805" s="724"/>
      <c r="U805" s="724"/>
      <c r="V805" s="724"/>
      <c r="W805" s="724"/>
      <c r="X805" s="724"/>
      <c r="Y805" s="724"/>
      <c r="Z805" s="724"/>
      <c r="AA805" s="724"/>
      <c r="AB805" s="724"/>
      <c r="AC805" s="729"/>
      <c r="AD805" s="724"/>
      <c r="AE805" s="724"/>
      <c r="AF805" s="724"/>
      <c r="AG805" s="724"/>
      <c r="AH805" s="724"/>
      <c r="AI805" s="724"/>
      <c r="AJ805" s="724"/>
      <c r="AU805" s="713"/>
      <c r="AW805" s="712"/>
      <c r="BY805" s="714"/>
      <c r="BZ805" s="715"/>
      <c r="CA805" s="716"/>
      <c r="CB805" s="717"/>
      <c r="CC805" s="717"/>
      <c r="CD805" s="717"/>
      <c r="CE805" s="717"/>
      <c r="CF805" s="717"/>
      <c r="CG805" s="717"/>
      <c r="CH805" s="717"/>
      <c r="CI805" s="717"/>
      <c r="CJ805" s="717"/>
      <c r="CK805" s="717"/>
      <c r="CL805" s="717"/>
      <c r="CM805" s="717"/>
      <c r="CN805" s="717"/>
      <c r="CO805" s="717"/>
      <c r="CP805" s="717"/>
      <c r="CQ805" s="717"/>
      <c r="CR805" s="717"/>
      <c r="CS805" s="717"/>
      <c r="CT805" s="717"/>
      <c r="CU805" s="717"/>
      <c r="CV805" s="717"/>
      <c r="CW805" s="717"/>
      <c r="CX805" s="717"/>
      <c r="CY805" s="717"/>
      <c r="CZ805" s="717"/>
      <c r="DA805" s="717"/>
      <c r="DB805" s="717"/>
      <c r="DC805" s="717"/>
      <c r="DD805" s="717"/>
      <c r="DE805" s="717"/>
      <c r="DF805" s="717"/>
      <c r="DG805" s="717"/>
      <c r="DH805" s="717"/>
      <c r="DI805" s="717"/>
      <c r="DJ805" s="717"/>
      <c r="DM805" s="711"/>
      <c r="DN805" s="711"/>
      <c r="DO805" s="711"/>
      <c r="DP805" s="711"/>
      <c r="DQ805" s="711"/>
      <c r="EB805" s="719"/>
    </row>
    <row r="806" spans="5:132" s="709" customFormat="1" ht="18" hidden="1">
      <c r="E806" s="721"/>
      <c r="H806" s="723">
        <v>296</v>
      </c>
      <c r="I806" s="726"/>
      <c r="J806" s="724"/>
      <c r="K806" s="724"/>
      <c r="L806" s="724"/>
      <c r="M806" s="728"/>
      <c r="N806" s="724"/>
      <c r="O806" s="724"/>
      <c r="P806" s="724"/>
      <c r="Q806" s="724"/>
      <c r="R806" s="724"/>
      <c r="S806" s="724"/>
      <c r="T806" s="724"/>
      <c r="U806" s="724"/>
      <c r="V806" s="724"/>
      <c r="W806" s="724"/>
      <c r="X806" s="724"/>
      <c r="Y806" s="724"/>
      <c r="Z806" s="724"/>
      <c r="AA806" s="724"/>
      <c r="AB806" s="724"/>
      <c r="AC806" s="729"/>
      <c r="AD806" s="724"/>
      <c r="AE806" s="724"/>
      <c r="AF806" s="724"/>
      <c r="AG806" s="724"/>
      <c r="AH806" s="724"/>
      <c r="AI806" s="724"/>
      <c r="AJ806" s="724"/>
      <c r="AU806" s="713"/>
      <c r="AW806" s="712"/>
      <c r="BY806" s="714"/>
      <c r="BZ806" s="715"/>
      <c r="CA806" s="716"/>
      <c r="CB806" s="717"/>
      <c r="CC806" s="717"/>
      <c r="CD806" s="717"/>
      <c r="CE806" s="717"/>
      <c r="CF806" s="717"/>
      <c r="CG806" s="717"/>
      <c r="CH806" s="717"/>
      <c r="CI806" s="717"/>
      <c r="CJ806" s="717"/>
      <c r="CK806" s="717"/>
      <c r="CL806" s="717"/>
      <c r="CM806" s="717"/>
      <c r="CN806" s="717"/>
      <c r="CO806" s="717"/>
      <c r="CP806" s="717"/>
      <c r="CQ806" s="717"/>
      <c r="CR806" s="717"/>
      <c r="CS806" s="717"/>
      <c r="CT806" s="717"/>
      <c r="CU806" s="717"/>
      <c r="CV806" s="717"/>
      <c r="CW806" s="717"/>
      <c r="CX806" s="717"/>
      <c r="CY806" s="717"/>
      <c r="CZ806" s="717"/>
      <c r="DA806" s="717"/>
      <c r="DB806" s="717"/>
      <c r="DC806" s="717"/>
      <c r="DD806" s="717"/>
      <c r="DE806" s="717"/>
      <c r="DF806" s="717"/>
      <c r="DG806" s="717"/>
      <c r="DH806" s="717"/>
      <c r="DI806" s="717"/>
      <c r="DJ806" s="717"/>
      <c r="DM806" s="711"/>
      <c r="DN806" s="711"/>
      <c r="DO806" s="711"/>
      <c r="DP806" s="711"/>
      <c r="DQ806" s="711"/>
      <c r="EB806" s="719"/>
    </row>
    <row r="807" spans="5:132" s="709" customFormat="1" ht="18" hidden="1">
      <c r="E807" s="721"/>
      <c r="H807" s="723">
        <v>297</v>
      </c>
      <c r="I807" s="726"/>
      <c r="J807" s="724"/>
      <c r="K807" s="724"/>
      <c r="L807" s="724"/>
      <c r="M807" s="728"/>
      <c r="N807" s="724"/>
      <c r="O807" s="724"/>
      <c r="P807" s="724"/>
      <c r="Q807" s="724"/>
      <c r="R807" s="724"/>
      <c r="S807" s="724"/>
      <c r="T807" s="724"/>
      <c r="U807" s="724"/>
      <c r="V807" s="724"/>
      <c r="W807" s="724"/>
      <c r="X807" s="724"/>
      <c r="Y807" s="724"/>
      <c r="Z807" s="724"/>
      <c r="AA807" s="724"/>
      <c r="AB807" s="724"/>
      <c r="AC807" s="729"/>
      <c r="AD807" s="724"/>
      <c r="AE807" s="724"/>
      <c r="AF807" s="724"/>
      <c r="AG807" s="724"/>
      <c r="AH807" s="724"/>
      <c r="AI807" s="724"/>
      <c r="AJ807" s="724"/>
      <c r="AU807" s="713"/>
      <c r="AW807" s="712"/>
      <c r="BY807" s="714"/>
      <c r="BZ807" s="715"/>
      <c r="CA807" s="716"/>
      <c r="CB807" s="717"/>
      <c r="CC807" s="717"/>
      <c r="CD807" s="717"/>
      <c r="CE807" s="717"/>
      <c r="CF807" s="717"/>
      <c r="CG807" s="717"/>
      <c r="CH807" s="717"/>
      <c r="CI807" s="717"/>
      <c r="CJ807" s="717"/>
      <c r="CK807" s="717"/>
      <c r="CL807" s="717"/>
      <c r="CM807" s="717"/>
      <c r="CN807" s="717"/>
      <c r="CO807" s="717"/>
      <c r="CP807" s="717"/>
      <c r="CQ807" s="717"/>
      <c r="CR807" s="717"/>
      <c r="CS807" s="717"/>
      <c r="CT807" s="717"/>
      <c r="CU807" s="717"/>
      <c r="CV807" s="717"/>
      <c r="CW807" s="717"/>
      <c r="CX807" s="717"/>
      <c r="CY807" s="717"/>
      <c r="CZ807" s="717"/>
      <c r="DA807" s="717"/>
      <c r="DB807" s="717"/>
      <c r="DC807" s="717"/>
      <c r="DD807" s="717"/>
      <c r="DE807" s="717"/>
      <c r="DF807" s="717"/>
      <c r="DG807" s="717"/>
      <c r="DH807" s="717"/>
      <c r="DI807" s="717"/>
      <c r="DJ807" s="717"/>
      <c r="DM807" s="711"/>
      <c r="DN807" s="711"/>
      <c r="DO807" s="711"/>
      <c r="DP807" s="711"/>
      <c r="DQ807" s="711"/>
      <c r="EB807" s="719"/>
    </row>
    <row r="808" spans="5:132" s="709" customFormat="1" ht="18" hidden="1">
      <c r="E808" s="721"/>
      <c r="H808" s="723">
        <v>298</v>
      </c>
      <c r="I808" s="726"/>
      <c r="J808" s="724"/>
      <c r="K808" s="724"/>
      <c r="L808" s="724"/>
      <c r="M808" s="728"/>
      <c r="N808" s="724"/>
      <c r="O808" s="724"/>
      <c r="P808" s="724"/>
      <c r="Q808" s="724"/>
      <c r="R808" s="724"/>
      <c r="S808" s="724"/>
      <c r="T808" s="724"/>
      <c r="U808" s="724"/>
      <c r="V808" s="724"/>
      <c r="W808" s="724"/>
      <c r="X808" s="724"/>
      <c r="Y808" s="724"/>
      <c r="Z808" s="724"/>
      <c r="AA808" s="724"/>
      <c r="AB808" s="724"/>
      <c r="AC808" s="729"/>
      <c r="AD808" s="724"/>
      <c r="AE808" s="724"/>
      <c r="AF808" s="724"/>
      <c r="AG808" s="724"/>
      <c r="AH808" s="724"/>
      <c r="AI808" s="724"/>
      <c r="AJ808" s="724"/>
      <c r="AU808" s="713"/>
      <c r="AW808" s="712"/>
      <c r="BY808" s="714"/>
      <c r="BZ808" s="715"/>
      <c r="CA808" s="716"/>
      <c r="CB808" s="717"/>
      <c r="CC808" s="717"/>
      <c r="CD808" s="717"/>
      <c r="CE808" s="717"/>
      <c r="CF808" s="717"/>
      <c r="CG808" s="717"/>
      <c r="CH808" s="717"/>
      <c r="CI808" s="717"/>
      <c r="CJ808" s="717"/>
      <c r="CK808" s="717"/>
      <c r="CL808" s="717"/>
      <c r="CM808" s="717"/>
      <c r="CN808" s="717"/>
      <c r="CO808" s="717"/>
      <c r="CP808" s="717"/>
      <c r="CQ808" s="717"/>
      <c r="CR808" s="717"/>
      <c r="CS808" s="717"/>
      <c r="CT808" s="717"/>
      <c r="CU808" s="717"/>
      <c r="CV808" s="717"/>
      <c r="CW808" s="717"/>
      <c r="CX808" s="717"/>
      <c r="CY808" s="717"/>
      <c r="CZ808" s="717"/>
      <c r="DA808" s="717"/>
      <c r="DB808" s="717"/>
      <c r="DC808" s="717"/>
      <c r="DD808" s="717"/>
      <c r="DE808" s="717"/>
      <c r="DF808" s="717"/>
      <c r="DG808" s="717"/>
      <c r="DH808" s="717"/>
      <c r="DI808" s="717"/>
      <c r="DJ808" s="717"/>
      <c r="DM808" s="711"/>
      <c r="DN808" s="711"/>
      <c r="DO808" s="711"/>
      <c r="DP808" s="711"/>
      <c r="DQ808" s="711"/>
      <c r="EB808" s="719"/>
    </row>
    <row r="809" spans="5:132" s="709" customFormat="1" ht="18" hidden="1">
      <c r="E809" s="721"/>
      <c r="H809" s="723">
        <v>299</v>
      </c>
      <c r="I809" s="726"/>
      <c r="J809" s="724"/>
      <c r="K809" s="724"/>
      <c r="L809" s="724"/>
      <c r="M809" s="728"/>
      <c r="N809" s="724"/>
      <c r="O809" s="724"/>
      <c r="P809" s="724"/>
      <c r="Q809" s="724"/>
      <c r="R809" s="724"/>
      <c r="S809" s="724"/>
      <c r="T809" s="724"/>
      <c r="U809" s="724"/>
      <c r="V809" s="724"/>
      <c r="W809" s="724"/>
      <c r="X809" s="724"/>
      <c r="Y809" s="724"/>
      <c r="Z809" s="724"/>
      <c r="AA809" s="724"/>
      <c r="AB809" s="724"/>
      <c r="AC809" s="729"/>
      <c r="AD809" s="724"/>
      <c r="AE809" s="724"/>
      <c r="AF809" s="724"/>
      <c r="AG809" s="724"/>
      <c r="AH809" s="724"/>
      <c r="AI809" s="724"/>
      <c r="AJ809" s="724"/>
      <c r="AU809" s="713"/>
      <c r="AW809" s="712"/>
      <c r="BY809" s="714"/>
      <c r="BZ809" s="715"/>
      <c r="CA809" s="716"/>
      <c r="CB809" s="717"/>
      <c r="CC809" s="717"/>
      <c r="CD809" s="717"/>
      <c r="CE809" s="717"/>
      <c r="CF809" s="717"/>
      <c r="CG809" s="717"/>
      <c r="CH809" s="717"/>
      <c r="CI809" s="717"/>
      <c r="CJ809" s="717"/>
      <c r="CK809" s="717"/>
      <c r="CL809" s="717"/>
      <c r="CM809" s="717"/>
      <c r="CN809" s="717"/>
      <c r="CO809" s="717"/>
      <c r="CP809" s="717"/>
      <c r="CQ809" s="717"/>
      <c r="CR809" s="717"/>
      <c r="CS809" s="717"/>
      <c r="CT809" s="717"/>
      <c r="CU809" s="717"/>
      <c r="CV809" s="717"/>
      <c r="CW809" s="717"/>
      <c r="CX809" s="717"/>
      <c r="CY809" s="717"/>
      <c r="CZ809" s="717"/>
      <c r="DA809" s="717"/>
      <c r="DB809" s="717"/>
      <c r="DC809" s="717"/>
      <c r="DD809" s="717"/>
      <c r="DE809" s="717"/>
      <c r="DF809" s="717"/>
      <c r="DG809" s="717"/>
      <c r="DH809" s="717"/>
      <c r="DI809" s="717"/>
      <c r="DJ809" s="717"/>
      <c r="DM809" s="711"/>
      <c r="DN809" s="711"/>
      <c r="DO809" s="711"/>
      <c r="DP809" s="711"/>
      <c r="DQ809" s="711"/>
      <c r="EB809" s="719"/>
    </row>
    <row r="810" spans="5:132" s="709" customFormat="1" ht="18" hidden="1">
      <c r="E810" s="721"/>
      <c r="H810" s="723">
        <v>300</v>
      </c>
      <c r="I810" s="726"/>
      <c r="J810" s="724"/>
      <c r="K810" s="724"/>
      <c r="L810" s="724"/>
      <c r="M810" s="728"/>
      <c r="N810" s="724"/>
      <c r="O810" s="724"/>
      <c r="P810" s="724"/>
      <c r="Q810" s="724"/>
      <c r="R810" s="724"/>
      <c r="S810" s="724"/>
      <c r="T810" s="724"/>
      <c r="U810" s="724"/>
      <c r="V810" s="724"/>
      <c r="W810" s="724"/>
      <c r="X810" s="724"/>
      <c r="Y810" s="724"/>
      <c r="Z810" s="724"/>
      <c r="AA810" s="724"/>
      <c r="AB810" s="724"/>
      <c r="AC810" s="729"/>
      <c r="AD810" s="724"/>
      <c r="AE810" s="724"/>
      <c r="AF810" s="724"/>
      <c r="AG810" s="724"/>
      <c r="AH810" s="724"/>
      <c r="AI810" s="724"/>
      <c r="AJ810" s="724"/>
      <c r="AU810" s="713"/>
      <c r="AW810" s="712"/>
      <c r="BY810" s="714"/>
      <c r="BZ810" s="715"/>
      <c r="CA810" s="716"/>
      <c r="CB810" s="717"/>
      <c r="CC810" s="717"/>
      <c r="CD810" s="717"/>
      <c r="CE810" s="717"/>
      <c r="CF810" s="717"/>
      <c r="CG810" s="717"/>
      <c r="CH810" s="717"/>
      <c r="CI810" s="717"/>
      <c r="CJ810" s="717"/>
      <c r="CK810" s="717"/>
      <c r="CL810" s="717"/>
      <c r="CM810" s="717"/>
      <c r="CN810" s="717"/>
      <c r="CO810" s="717"/>
      <c r="CP810" s="717"/>
      <c r="CQ810" s="717"/>
      <c r="CR810" s="717"/>
      <c r="CS810" s="717"/>
      <c r="CT810" s="717"/>
      <c r="CU810" s="717"/>
      <c r="CV810" s="717"/>
      <c r="CW810" s="717"/>
      <c r="CX810" s="717"/>
      <c r="CY810" s="717"/>
      <c r="CZ810" s="717"/>
      <c r="DA810" s="717"/>
      <c r="DB810" s="717"/>
      <c r="DC810" s="717"/>
      <c r="DD810" s="717"/>
      <c r="DE810" s="717"/>
      <c r="DF810" s="717"/>
      <c r="DG810" s="717"/>
      <c r="DH810" s="717"/>
      <c r="DI810" s="717"/>
      <c r="DJ810" s="717"/>
      <c r="DM810" s="711"/>
      <c r="DN810" s="711"/>
      <c r="DO810" s="711"/>
      <c r="DP810" s="711"/>
      <c r="DQ810" s="711"/>
      <c r="EB810" s="719"/>
    </row>
    <row r="811" spans="5:132" s="709" customFormat="1" ht="18" hidden="1">
      <c r="E811" s="721"/>
      <c r="H811" s="723">
        <v>301</v>
      </c>
      <c r="I811" s="726"/>
      <c r="J811" s="724"/>
      <c r="K811" s="724"/>
      <c r="L811" s="724"/>
      <c r="M811" s="728"/>
      <c r="N811" s="724"/>
      <c r="O811" s="724"/>
      <c r="P811" s="724"/>
      <c r="Q811" s="724"/>
      <c r="R811" s="724"/>
      <c r="S811" s="724"/>
      <c r="T811" s="724"/>
      <c r="U811" s="724"/>
      <c r="V811" s="724"/>
      <c r="W811" s="724"/>
      <c r="X811" s="724"/>
      <c r="Y811" s="724"/>
      <c r="Z811" s="724"/>
      <c r="AA811" s="724"/>
      <c r="AB811" s="724"/>
      <c r="AC811" s="729"/>
      <c r="AD811" s="724"/>
      <c r="AE811" s="724"/>
      <c r="AF811" s="724"/>
      <c r="AG811" s="724"/>
      <c r="AH811" s="724"/>
      <c r="AI811" s="724"/>
      <c r="AJ811" s="724"/>
      <c r="AU811" s="713"/>
      <c r="AW811" s="712"/>
      <c r="BY811" s="714"/>
      <c r="BZ811" s="715"/>
      <c r="CA811" s="716"/>
      <c r="CB811" s="717"/>
      <c r="CC811" s="717"/>
      <c r="CD811" s="717"/>
      <c r="CE811" s="717"/>
      <c r="CF811" s="717"/>
      <c r="CG811" s="717"/>
      <c r="CH811" s="717"/>
      <c r="CI811" s="717"/>
      <c r="CJ811" s="717"/>
      <c r="CK811" s="717"/>
      <c r="CL811" s="717"/>
      <c r="CM811" s="717"/>
      <c r="CN811" s="717"/>
      <c r="CO811" s="717"/>
      <c r="CP811" s="717"/>
      <c r="CQ811" s="717"/>
      <c r="CR811" s="717"/>
      <c r="CS811" s="717"/>
      <c r="CT811" s="717"/>
      <c r="CU811" s="717"/>
      <c r="CV811" s="717"/>
      <c r="CW811" s="717"/>
      <c r="CX811" s="717"/>
      <c r="CY811" s="717"/>
      <c r="CZ811" s="717"/>
      <c r="DA811" s="717"/>
      <c r="DB811" s="717"/>
      <c r="DC811" s="717"/>
      <c r="DD811" s="717"/>
      <c r="DE811" s="717"/>
      <c r="DF811" s="717"/>
      <c r="DG811" s="717"/>
      <c r="DH811" s="717"/>
      <c r="DI811" s="717"/>
      <c r="DJ811" s="717"/>
      <c r="DM811" s="711"/>
      <c r="DN811" s="711"/>
      <c r="DO811" s="711"/>
      <c r="DP811" s="711"/>
      <c r="DQ811" s="711"/>
      <c r="EB811" s="719"/>
    </row>
    <row r="812" spans="5:132" s="709" customFormat="1" ht="18" hidden="1">
      <c r="E812" s="721"/>
      <c r="H812" s="723">
        <v>302</v>
      </c>
      <c r="I812" s="726"/>
      <c r="J812" s="724"/>
      <c r="K812" s="724"/>
      <c r="L812" s="724"/>
      <c r="M812" s="728"/>
      <c r="N812" s="724"/>
      <c r="O812" s="724"/>
      <c r="P812" s="724"/>
      <c r="Q812" s="724"/>
      <c r="R812" s="724"/>
      <c r="S812" s="724"/>
      <c r="T812" s="724"/>
      <c r="U812" s="724"/>
      <c r="V812" s="724"/>
      <c r="W812" s="724"/>
      <c r="X812" s="724"/>
      <c r="Y812" s="724"/>
      <c r="Z812" s="724"/>
      <c r="AA812" s="724"/>
      <c r="AB812" s="724"/>
      <c r="AC812" s="729"/>
      <c r="AD812" s="724"/>
      <c r="AE812" s="724"/>
      <c r="AF812" s="724"/>
      <c r="AG812" s="724"/>
      <c r="AH812" s="724"/>
      <c r="AI812" s="724"/>
      <c r="AJ812" s="724"/>
      <c r="AU812" s="713"/>
      <c r="AW812" s="712"/>
      <c r="BY812" s="714"/>
      <c r="BZ812" s="715"/>
      <c r="CA812" s="716"/>
      <c r="CB812" s="717"/>
      <c r="CC812" s="717"/>
      <c r="CD812" s="717"/>
      <c r="CE812" s="717"/>
      <c r="CF812" s="717"/>
      <c r="CG812" s="717"/>
      <c r="CH812" s="717"/>
      <c r="CI812" s="717"/>
      <c r="CJ812" s="717"/>
      <c r="CK812" s="717"/>
      <c r="CL812" s="717"/>
      <c r="CM812" s="717"/>
      <c r="CN812" s="717"/>
      <c r="CO812" s="717"/>
      <c r="CP812" s="717"/>
      <c r="CQ812" s="717"/>
      <c r="CR812" s="717"/>
      <c r="CS812" s="717"/>
      <c r="CT812" s="717"/>
      <c r="CU812" s="717"/>
      <c r="CV812" s="717"/>
      <c r="CW812" s="717"/>
      <c r="CX812" s="717"/>
      <c r="CY812" s="717"/>
      <c r="CZ812" s="717"/>
      <c r="DA812" s="717"/>
      <c r="DB812" s="717"/>
      <c r="DC812" s="717"/>
      <c r="DD812" s="717"/>
      <c r="DE812" s="717"/>
      <c r="DF812" s="717"/>
      <c r="DG812" s="717"/>
      <c r="DH812" s="717"/>
      <c r="DI812" s="717"/>
      <c r="DJ812" s="717"/>
      <c r="DM812" s="711"/>
      <c r="DN812" s="711"/>
      <c r="DO812" s="711"/>
      <c r="DP812" s="711"/>
      <c r="DQ812" s="711"/>
      <c r="EB812" s="719"/>
    </row>
    <row r="813" spans="5:132" s="709" customFormat="1" ht="18" hidden="1">
      <c r="E813" s="721"/>
      <c r="H813" s="723">
        <v>303</v>
      </c>
      <c r="I813" s="726"/>
      <c r="J813" s="724"/>
      <c r="K813" s="724"/>
      <c r="L813" s="724"/>
      <c r="M813" s="728"/>
      <c r="N813" s="724"/>
      <c r="O813" s="724"/>
      <c r="P813" s="724"/>
      <c r="Q813" s="724"/>
      <c r="R813" s="724"/>
      <c r="S813" s="724"/>
      <c r="T813" s="724"/>
      <c r="U813" s="724"/>
      <c r="V813" s="724"/>
      <c r="W813" s="724"/>
      <c r="X813" s="724"/>
      <c r="Y813" s="724"/>
      <c r="Z813" s="724"/>
      <c r="AA813" s="724"/>
      <c r="AB813" s="724"/>
      <c r="AC813" s="729"/>
      <c r="AD813" s="724"/>
      <c r="AE813" s="724"/>
      <c r="AF813" s="724"/>
      <c r="AG813" s="724"/>
      <c r="AH813" s="724"/>
      <c r="AI813" s="724"/>
      <c r="AJ813" s="724"/>
      <c r="AU813" s="713"/>
      <c r="AW813" s="712"/>
      <c r="BY813" s="714"/>
      <c r="BZ813" s="715"/>
      <c r="CA813" s="716"/>
      <c r="CB813" s="717"/>
      <c r="CC813" s="717"/>
      <c r="CD813" s="717"/>
      <c r="CE813" s="717"/>
      <c r="CF813" s="717"/>
      <c r="CG813" s="717"/>
      <c r="CH813" s="717"/>
      <c r="CI813" s="717"/>
      <c r="CJ813" s="717"/>
      <c r="CK813" s="717"/>
      <c r="CL813" s="717"/>
      <c r="CM813" s="717"/>
      <c r="CN813" s="717"/>
      <c r="CO813" s="717"/>
      <c r="CP813" s="717"/>
      <c r="CQ813" s="717"/>
      <c r="CR813" s="717"/>
      <c r="CS813" s="717"/>
      <c r="CT813" s="717"/>
      <c r="CU813" s="717"/>
      <c r="CV813" s="717"/>
      <c r="CW813" s="717"/>
      <c r="CX813" s="717"/>
      <c r="CY813" s="717"/>
      <c r="CZ813" s="717"/>
      <c r="DA813" s="717"/>
      <c r="DB813" s="717"/>
      <c r="DC813" s="717"/>
      <c r="DD813" s="717"/>
      <c r="DE813" s="717"/>
      <c r="DF813" s="717"/>
      <c r="DG813" s="717"/>
      <c r="DH813" s="717"/>
      <c r="DI813" s="717"/>
      <c r="DJ813" s="717"/>
      <c r="DM813" s="711"/>
      <c r="DN813" s="711"/>
      <c r="DO813" s="711"/>
      <c r="DP813" s="711"/>
      <c r="DQ813" s="711"/>
      <c r="EB813" s="719"/>
    </row>
    <row r="814" spans="5:132" s="709" customFormat="1" ht="18" hidden="1">
      <c r="E814" s="721"/>
      <c r="H814" s="723">
        <v>304</v>
      </c>
      <c r="I814" s="726"/>
      <c r="J814" s="724"/>
      <c r="K814" s="724"/>
      <c r="L814" s="724"/>
      <c r="M814" s="728"/>
      <c r="N814" s="724"/>
      <c r="O814" s="724"/>
      <c r="P814" s="724"/>
      <c r="Q814" s="724"/>
      <c r="R814" s="724"/>
      <c r="S814" s="724"/>
      <c r="T814" s="724"/>
      <c r="U814" s="724"/>
      <c r="V814" s="724"/>
      <c r="W814" s="724"/>
      <c r="X814" s="724"/>
      <c r="Y814" s="724"/>
      <c r="Z814" s="724"/>
      <c r="AA814" s="724"/>
      <c r="AB814" s="724"/>
      <c r="AC814" s="729"/>
      <c r="AD814" s="724"/>
      <c r="AE814" s="724"/>
      <c r="AF814" s="724"/>
      <c r="AG814" s="724"/>
      <c r="AH814" s="724"/>
      <c r="AI814" s="724"/>
      <c r="AJ814" s="724"/>
      <c r="AU814" s="713"/>
      <c r="AW814" s="712"/>
      <c r="BY814" s="714"/>
      <c r="BZ814" s="715"/>
      <c r="CA814" s="716"/>
      <c r="CB814" s="717"/>
      <c r="CC814" s="717"/>
      <c r="CD814" s="717"/>
      <c r="CE814" s="717"/>
      <c r="CF814" s="717"/>
      <c r="CG814" s="717"/>
      <c r="CH814" s="717"/>
      <c r="CI814" s="717"/>
      <c r="CJ814" s="717"/>
      <c r="CK814" s="717"/>
      <c r="CL814" s="717"/>
      <c r="CM814" s="717"/>
      <c r="CN814" s="717"/>
      <c r="CO814" s="717"/>
      <c r="CP814" s="717"/>
      <c r="CQ814" s="717"/>
      <c r="CR814" s="717"/>
      <c r="CS814" s="717"/>
      <c r="CT814" s="717"/>
      <c r="CU814" s="717"/>
      <c r="CV814" s="717"/>
      <c r="CW814" s="717"/>
      <c r="CX814" s="717"/>
      <c r="CY814" s="717"/>
      <c r="CZ814" s="717"/>
      <c r="DA814" s="717"/>
      <c r="DB814" s="717"/>
      <c r="DC814" s="717"/>
      <c r="DD814" s="717"/>
      <c r="DE814" s="717"/>
      <c r="DF814" s="717"/>
      <c r="DG814" s="717"/>
      <c r="DH814" s="717"/>
      <c r="DI814" s="717"/>
      <c r="DJ814" s="717"/>
      <c r="DM814" s="711"/>
      <c r="DN814" s="711"/>
      <c r="DO814" s="711"/>
      <c r="DP814" s="711"/>
      <c r="DQ814" s="711"/>
      <c r="EB814" s="719"/>
    </row>
    <row r="815" spans="5:132" s="709" customFormat="1" ht="18" hidden="1">
      <c r="E815" s="721"/>
      <c r="H815" s="723">
        <v>305</v>
      </c>
      <c r="I815" s="726"/>
      <c r="J815" s="724"/>
      <c r="K815" s="724"/>
      <c r="L815" s="724"/>
      <c r="M815" s="728"/>
      <c r="N815" s="724"/>
      <c r="O815" s="724"/>
      <c r="P815" s="724"/>
      <c r="Q815" s="724"/>
      <c r="R815" s="724"/>
      <c r="S815" s="724"/>
      <c r="T815" s="724"/>
      <c r="U815" s="724"/>
      <c r="V815" s="724"/>
      <c r="W815" s="724"/>
      <c r="X815" s="724"/>
      <c r="Y815" s="724"/>
      <c r="Z815" s="724"/>
      <c r="AA815" s="724"/>
      <c r="AB815" s="724"/>
      <c r="AC815" s="729"/>
      <c r="AD815" s="724"/>
      <c r="AE815" s="724"/>
      <c r="AF815" s="724"/>
      <c r="AG815" s="724"/>
      <c r="AH815" s="724"/>
      <c r="AI815" s="724"/>
      <c r="AJ815" s="724"/>
      <c r="AU815" s="713"/>
      <c r="AW815" s="712"/>
      <c r="BY815" s="714"/>
      <c r="BZ815" s="715"/>
      <c r="CA815" s="716"/>
      <c r="CB815" s="717"/>
      <c r="CC815" s="717"/>
      <c r="CD815" s="717"/>
      <c r="CE815" s="717"/>
      <c r="CF815" s="717"/>
      <c r="CG815" s="717"/>
      <c r="CH815" s="717"/>
      <c r="CI815" s="717"/>
      <c r="CJ815" s="717"/>
      <c r="CK815" s="717"/>
      <c r="CL815" s="717"/>
      <c r="CM815" s="717"/>
      <c r="CN815" s="717"/>
      <c r="CO815" s="717"/>
      <c r="CP815" s="717"/>
      <c r="CQ815" s="717"/>
      <c r="CR815" s="717"/>
      <c r="CS815" s="717"/>
      <c r="CT815" s="717"/>
      <c r="CU815" s="717"/>
      <c r="CV815" s="717"/>
      <c r="CW815" s="717"/>
      <c r="CX815" s="717"/>
      <c r="CY815" s="717"/>
      <c r="CZ815" s="717"/>
      <c r="DA815" s="717"/>
      <c r="DB815" s="717"/>
      <c r="DC815" s="717"/>
      <c r="DD815" s="717"/>
      <c r="DE815" s="717"/>
      <c r="DF815" s="717"/>
      <c r="DG815" s="717"/>
      <c r="DH815" s="717"/>
      <c r="DI815" s="717"/>
      <c r="DJ815" s="717"/>
      <c r="DM815" s="711"/>
      <c r="DN815" s="711"/>
      <c r="DO815" s="711"/>
      <c r="DP815" s="711"/>
      <c r="DQ815" s="711"/>
      <c r="EB815" s="719"/>
    </row>
    <row r="816" spans="5:132" s="709" customFormat="1" ht="18" hidden="1">
      <c r="E816" s="721"/>
      <c r="H816" s="723">
        <v>306</v>
      </c>
      <c r="I816" s="726"/>
      <c r="J816" s="724"/>
      <c r="K816" s="724"/>
      <c r="L816" s="724"/>
      <c r="M816" s="728"/>
      <c r="N816" s="724"/>
      <c r="O816" s="724"/>
      <c r="P816" s="724"/>
      <c r="Q816" s="724"/>
      <c r="R816" s="724"/>
      <c r="S816" s="724"/>
      <c r="T816" s="724"/>
      <c r="U816" s="724"/>
      <c r="V816" s="724"/>
      <c r="W816" s="724"/>
      <c r="X816" s="724"/>
      <c r="Y816" s="724"/>
      <c r="Z816" s="724"/>
      <c r="AA816" s="724"/>
      <c r="AB816" s="724"/>
      <c r="AC816" s="729"/>
      <c r="AD816" s="724"/>
      <c r="AE816" s="724"/>
      <c r="AF816" s="724"/>
      <c r="AG816" s="724"/>
      <c r="AH816" s="724"/>
      <c r="AI816" s="724"/>
      <c r="AJ816" s="724"/>
      <c r="AU816" s="713"/>
      <c r="AW816" s="712"/>
      <c r="BY816" s="714"/>
      <c r="BZ816" s="715"/>
      <c r="CA816" s="716"/>
      <c r="CB816" s="717"/>
      <c r="CC816" s="717"/>
      <c r="CD816" s="717"/>
      <c r="CE816" s="717"/>
      <c r="CF816" s="717"/>
      <c r="CG816" s="717"/>
      <c r="CH816" s="717"/>
      <c r="CI816" s="717"/>
      <c r="CJ816" s="717"/>
      <c r="CK816" s="717"/>
      <c r="CL816" s="717"/>
      <c r="CM816" s="717"/>
      <c r="CN816" s="717"/>
      <c r="CO816" s="717"/>
      <c r="CP816" s="717"/>
      <c r="CQ816" s="717"/>
      <c r="CR816" s="717"/>
      <c r="CS816" s="717"/>
      <c r="CT816" s="717"/>
      <c r="CU816" s="717"/>
      <c r="CV816" s="717"/>
      <c r="CW816" s="717"/>
      <c r="CX816" s="717"/>
      <c r="CY816" s="717"/>
      <c r="CZ816" s="717"/>
      <c r="DA816" s="717"/>
      <c r="DB816" s="717"/>
      <c r="DC816" s="717"/>
      <c r="DD816" s="717"/>
      <c r="DE816" s="717"/>
      <c r="DF816" s="717"/>
      <c r="DG816" s="717"/>
      <c r="DH816" s="717"/>
      <c r="DI816" s="717"/>
      <c r="DJ816" s="717"/>
      <c r="DM816" s="711"/>
      <c r="DN816" s="711"/>
      <c r="DO816" s="711"/>
      <c r="DP816" s="711"/>
      <c r="DQ816" s="711"/>
      <c r="EB816" s="719"/>
    </row>
    <row r="817" spans="5:132" s="709" customFormat="1" ht="18" hidden="1">
      <c r="E817" s="721"/>
      <c r="H817" s="723">
        <v>307</v>
      </c>
      <c r="I817" s="726"/>
      <c r="J817" s="724"/>
      <c r="K817" s="724"/>
      <c r="L817" s="724"/>
      <c r="M817" s="728"/>
      <c r="N817" s="724"/>
      <c r="O817" s="724"/>
      <c r="P817" s="724"/>
      <c r="Q817" s="724"/>
      <c r="R817" s="724"/>
      <c r="S817" s="724"/>
      <c r="T817" s="724"/>
      <c r="U817" s="724"/>
      <c r="V817" s="724"/>
      <c r="W817" s="724"/>
      <c r="X817" s="724"/>
      <c r="Y817" s="724"/>
      <c r="Z817" s="724"/>
      <c r="AA817" s="724"/>
      <c r="AB817" s="724"/>
      <c r="AC817" s="729"/>
      <c r="AD817" s="724"/>
      <c r="AE817" s="724"/>
      <c r="AF817" s="724"/>
      <c r="AG817" s="724"/>
      <c r="AH817" s="724"/>
      <c r="AI817" s="724"/>
      <c r="AJ817" s="724"/>
      <c r="AU817" s="713"/>
      <c r="AW817" s="712"/>
      <c r="BY817" s="714"/>
      <c r="BZ817" s="715"/>
      <c r="CA817" s="716"/>
      <c r="CB817" s="717"/>
      <c r="CC817" s="717"/>
      <c r="CD817" s="717"/>
      <c r="CE817" s="717"/>
      <c r="CF817" s="717"/>
      <c r="CG817" s="717"/>
      <c r="CH817" s="717"/>
      <c r="CI817" s="717"/>
      <c r="CJ817" s="717"/>
      <c r="CK817" s="717"/>
      <c r="CL817" s="717"/>
      <c r="CM817" s="717"/>
      <c r="CN817" s="717"/>
      <c r="CO817" s="717"/>
      <c r="CP817" s="717"/>
      <c r="CQ817" s="717"/>
      <c r="CR817" s="717"/>
      <c r="CS817" s="717"/>
      <c r="CT817" s="717"/>
      <c r="CU817" s="717"/>
      <c r="CV817" s="717"/>
      <c r="CW817" s="717"/>
      <c r="CX817" s="717"/>
      <c r="CY817" s="717"/>
      <c r="CZ817" s="717"/>
      <c r="DA817" s="717"/>
      <c r="DB817" s="717"/>
      <c r="DC817" s="717"/>
      <c r="DD817" s="717"/>
      <c r="DE817" s="717"/>
      <c r="DF817" s="717"/>
      <c r="DG817" s="717"/>
      <c r="DH817" s="717"/>
      <c r="DI817" s="717"/>
      <c r="DJ817" s="717"/>
      <c r="DM817" s="711"/>
      <c r="DN817" s="711"/>
      <c r="DO817" s="711"/>
      <c r="DP817" s="711"/>
      <c r="DQ817" s="711"/>
      <c r="EB817" s="719"/>
    </row>
    <row r="818" spans="5:132" s="709" customFormat="1" ht="18" hidden="1">
      <c r="E818" s="721"/>
      <c r="H818" s="723">
        <v>308</v>
      </c>
      <c r="I818" s="726"/>
      <c r="J818" s="724"/>
      <c r="K818" s="724"/>
      <c r="L818" s="724"/>
      <c r="M818" s="728"/>
      <c r="N818" s="724"/>
      <c r="O818" s="724"/>
      <c r="P818" s="724"/>
      <c r="Q818" s="724"/>
      <c r="R818" s="724"/>
      <c r="S818" s="724"/>
      <c r="T818" s="724"/>
      <c r="U818" s="724"/>
      <c r="V818" s="724"/>
      <c r="W818" s="724"/>
      <c r="X818" s="724"/>
      <c r="Y818" s="724"/>
      <c r="Z818" s="724"/>
      <c r="AA818" s="724"/>
      <c r="AB818" s="724"/>
      <c r="AC818" s="729"/>
      <c r="AD818" s="724"/>
      <c r="AE818" s="724"/>
      <c r="AF818" s="724"/>
      <c r="AG818" s="724"/>
      <c r="AH818" s="724"/>
      <c r="AI818" s="724"/>
      <c r="AJ818" s="724"/>
      <c r="AU818" s="713"/>
      <c r="AW818" s="712"/>
      <c r="BY818" s="714"/>
      <c r="BZ818" s="715"/>
      <c r="CA818" s="716"/>
      <c r="CB818" s="717"/>
      <c r="CC818" s="717"/>
      <c r="CD818" s="717"/>
      <c r="CE818" s="717"/>
      <c r="CF818" s="717"/>
      <c r="CG818" s="717"/>
      <c r="CH818" s="717"/>
      <c r="CI818" s="717"/>
      <c r="CJ818" s="717"/>
      <c r="CK818" s="717"/>
      <c r="CL818" s="717"/>
      <c r="CM818" s="717"/>
      <c r="CN818" s="717"/>
      <c r="CO818" s="717"/>
      <c r="CP818" s="717"/>
      <c r="CQ818" s="717"/>
      <c r="CR818" s="717"/>
      <c r="CS818" s="717"/>
      <c r="CT818" s="717"/>
      <c r="CU818" s="717"/>
      <c r="CV818" s="717"/>
      <c r="CW818" s="717"/>
      <c r="CX818" s="717"/>
      <c r="CY818" s="717"/>
      <c r="CZ818" s="717"/>
      <c r="DA818" s="717"/>
      <c r="DB818" s="717"/>
      <c r="DC818" s="717"/>
      <c r="DD818" s="717"/>
      <c r="DE818" s="717"/>
      <c r="DF818" s="717"/>
      <c r="DG818" s="717"/>
      <c r="DH818" s="717"/>
      <c r="DI818" s="717"/>
      <c r="DJ818" s="717"/>
      <c r="DM818" s="711"/>
      <c r="DN818" s="711"/>
      <c r="DO818" s="711"/>
      <c r="DP818" s="711"/>
      <c r="DQ818" s="711"/>
      <c r="EB818" s="719"/>
    </row>
    <row r="819" spans="5:132" s="709" customFormat="1" ht="18" hidden="1">
      <c r="E819" s="721"/>
      <c r="H819" s="723">
        <v>309</v>
      </c>
      <c r="I819" s="726"/>
      <c r="J819" s="724"/>
      <c r="K819" s="724"/>
      <c r="L819" s="724"/>
      <c r="M819" s="728"/>
      <c r="N819" s="724"/>
      <c r="O819" s="724"/>
      <c r="P819" s="724"/>
      <c r="Q819" s="724"/>
      <c r="R819" s="724"/>
      <c r="S819" s="724"/>
      <c r="T819" s="724"/>
      <c r="U819" s="724"/>
      <c r="V819" s="724"/>
      <c r="W819" s="724"/>
      <c r="X819" s="724"/>
      <c r="Y819" s="724"/>
      <c r="Z819" s="724"/>
      <c r="AA819" s="724"/>
      <c r="AB819" s="724"/>
      <c r="AC819" s="729"/>
      <c r="AD819" s="724"/>
      <c r="AE819" s="724"/>
      <c r="AF819" s="724"/>
      <c r="AG819" s="724"/>
      <c r="AH819" s="724"/>
      <c r="AI819" s="724"/>
      <c r="AJ819" s="724"/>
      <c r="AU819" s="713"/>
      <c r="AW819" s="712"/>
      <c r="BY819" s="714"/>
      <c r="BZ819" s="715"/>
      <c r="CA819" s="716"/>
      <c r="CB819" s="717"/>
      <c r="CC819" s="717"/>
      <c r="CD819" s="717"/>
      <c r="CE819" s="717"/>
      <c r="CF819" s="717"/>
      <c r="CG819" s="717"/>
      <c r="CH819" s="717"/>
      <c r="CI819" s="717"/>
      <c r="CJ819" s="717"/>
      <c r="CK819" s="717"/>
      <c r="CL819" s="717"/>
      <c r="CM819" s="717"/>
      <c r="CN819" s="717"/>
      <c r="CO819" s="717"/>
      <c r="CP819" s="717"/>
      <c r="CQ819" s="717"/>
      <c r="CR819" s="717"/>
      <c r="CS819" s="717"/>
      <c r="CT819" s="717"/>
      <c r="CU819" s="717"/>
      <c r="CV819" s="717"/>
      <c r="CW819" s="717"/>
      <c r="CX819" s="717"/>
      <c r="CY819" s="717"/>
      <c r="CZ819" s="717"/>
      <c r="DA819" s="717"/>
      <c r="DB819" s="717"/>
      <c r="DC819" s="717"/>
      <c r="DD819" s="717"/>
      <c r="DE819" s="717"/>
      <c r="DF819" s="717"/>
      <c r="DG819" s="717"/>
      <c r="DH819" s="717"/>
      <c r="DI819" s="717"/>
      <c r="DJ819" s="717"/>
      <c r="DM819" s="711"/>
      <c r="DN819" s="711"/>
      <c r="DO819" s="711"/>
      <c r="DP819" s="711"/>
      <c r="DQ819" s="711"/>
      <c r="EB819" s="719"/>
    </row>
    <row r="820" spans="5:132" s="709" customFormat="1" ht="18" hidden="1">
      <c r="E820" s="721"/>
      <c r="H820" s="723">
        <v>310</v>
      </c>
      <c r="I820" s="726"/>
      <c r="J820" s="724"/>
      <c r="K820" s="724"/>
      <c r="L820" s="724"/>
      <c r="M820" s="728"/>
      <c r="N820" s="724"/>
      <c r="O820" s="724"/>
      <c r="P820" s="724"/>
      <c r="Q820" s="724"/>
      <c r="R820" s="724"/>
      <c r="S820" s="724"/>
      <c r="T820" s="724"/>
      <c r="U820" s="724"/>
      <c r="V820" s="724"/>
      <c r="W820" s="724"/>
      <c r="X820" s="724"/>
      <c r="Y820" s="724"/>
      <c r="Z820" s="724"/>
      <c r="AA820" s="724"/>
      <c r="AB820" s="724"/>
      <c r="AC820" s="729"/>
      <c r="AD820" s="724"/>
      <c r="AE820" s="724"/>
      <c r="AF820" s="724"/>
      <c r="AG820" s="724"/>
      <c r="AH820" s="724"/>
      <c r="AI820" s="724"/>
      <c r="AJ820" s="724"/>
      <c r="AU820" s="713"/>
      <c r="AW820" s="712"/>
      <c r="BY820" s="714"/>
      <c r="BZ820" s="715"/>
      <c r="CA820" s="716"/>
      <c r="CB820" s="717"/>
      <c r="CC820" s="717"/>
      <c r="CD820" s="717"/>
      <c r="CE820" s="717"/>
      <c r="CF820" s="717"/>
      <c r="CG820" s="717"/>
      <c r="CH820" s="717"/>
      <c r="CI820" s="717"/>
      <c r="CJ820" s="717"/>
      <c r="CK820" s="717"/>
      <c r="CL820" s="717"/>
      <c r="CM820" s="717"/>
      <c r="CN820" s="717"/>
      <c r="CO820" s="717"/>
      <c r="CP820" s="717"/>
      <c r="CQ820" s="717"/>
      <c r="CR820" s="717"/>
      <c r="CS820" s="717"/>
      <c r="CT820" s="717"/>
      <c r="CU820" s="717"/>
      <c r="CV820" s="717"/>
      <c r="CW820" s="717"/>
      <c r="CX820" s="717"/>
      <c r="CY820" s="717"/>
      <c r="CZ820" s="717"/>
      <c r="DA820" s="717"/>
      <c r="DB820" s="717"/>
      <c r="DC820" s="717"/>
      <c r="DD820" s="717"/>
      <c r="DE820" s="717"/>
      <c r="DF820" s="717"/>
      <c r="DG820" s="717"/>
      <c r="DH820" s="717"/>
      <c r="DI820" s="717"/>
      <c r="DJ820" s="717"/>
      <c r="DM820" s="711"/>
      <c r="DN820" s="711"/>
      <c r="DO820" s="711"/>
      <c r="DP820" s="711"/>
      <c r="DQ820" s="711"/>
      <c r="EB820" s="719"/>
    </row>
    <row r="821" spans="5:132" s="709" customFormat="1" ht="18" hidden="1">
      <c r="E821" s="721"/>
      <c r="H821" s="723">
        <v>311</v>
      </c>
      <c r="I821" s="726"/>
      <c r="J821" s="724"/>
      <c r="K821" s="724"/>
      <c r="L821" s="724"/>
      <c r="M821" s="728"/>
      <c r="N821" s="724"/>
      <c r="O821" s="724"/>
      <c r="P821" s="724"/>
      <c r="Q821" s="724"/>
      <c r="R821" s="724"/>
      <c r="S821" s="724"/>
      <c r="T821" s="724"/>
      <c r="U821" s="724"/>
      <c r="V821" s="724"/>
      <c r="W821" s="724"/>
      <c r="X821" s="724"/>
      <c r="Y821" s="724"/>
      <c r="Z821" s="724"/>
      <c r="AA821" s="724"/>
      <c r="AB821" s="724"/>
      <c r="AC821" s="729"/>
      <c r="AD821" s="724"/>
      <c r="AE821" s="724"/>
      <c r="AF821" s="724"/>
      <c r="AG821" s="724"/>
      <c r="AH821" s="724"/>
      <c r="AI821" s="724"/>
      <c r="AJ821" s="724"/>
      <c r="AU821" s="713"/>
      <c r="AW821" s="712"/>
      <c r="BY821" s="714"/>
      <c r="BZ821" s="715"/>
      <c r="CA821" s="716"/>
      <c r="CB821" s="717"/>
      <c r="CC821" s="717"/>
      <c r="CD821" s="717"/>
      <c r="CE821" s="717"/>
      <c r="CF821" s="717"/>
      <c r="CG821" s="717"/>
      <c r="CH821" s="717"/>
      <c r="CI821" s="717"/>
      <c r="CJ821" s="717"/>
      <c r="CK821" s="717"/>
      <c r="CL821" s="717"/>
      <c r="CM821" s="717"/>
      <c r="CN821" s="717"/>
      <c r="CO821" s="717"/>
      <c r="CP821" s="717"/>
      <c r="CQ821" s="717"/>
      <c r="CR821" s="717"/>
      <c r="CS821" s="717"/>
      <c r="CT821" s="717"/>
      <c r="CU821" s="717"/>
      <c r="CV821" s="717"/>
      <c r="CW821" s="717"/>
      <c r="CX821" s="717"/>
      <c r="CY821" s="717"/>
      <c r="CZ821" s="717"/>
      <c r="DA821" s="717"/>
      <c r="DB821" s="717"/>
      <c r="DC821" s="717"/>
      <c r="DD821" s="717"/>
      <c r="DE821" s="717"/>
      <c r="DF821" s="717"/>
      <c r="DG821" s="717"/>
      <c r="DH821" s="717"/>
      <c r="DI821" s="717"/>
      <c r="DJ821" s="717"/>
      <c r="DM821" s="711"/>
      <c r="DN821" s="711"/>
      <c r="DO821" s="711"/>
      <c r="DP821" s="711"/>
      <c r="DQ821" s="711"/>
      <c r="EB821" s="719"/>
    </row>
    <row r="822" spans="5:132" s="709" customFormat="1" ht="18" hidden="1">
      <c r="E822" s="721"/>
      <c r="H822" s="723">
        <v>312</v>
      </c>
      <c r="I822" s="726"/>
      <c r="J822" s="724"/>
      <c r="K822" s="724"/>
      <c r="L822" s="724"/>
      <c r="M822" s="728"/>
      <c r="N822" s="724"/>
      <c r="O822" s="724"/>
      <c r="P822" s="724"/>
      <c r="Q822" s="724"/>
      <c r="R822" s="724"/>
      <c r="S822" s="724"/>
      <c r="T822" s="724"/>
      <c r="U822" s="724"/>
      <c r="V822" s="724"/>
      <c r="W822" s="724"/>
      <c r="X822" s="724"/>
      <c r="Y822" s="724"/>
      <c r="Z822" s="724"/>
      <c r="AA822" s="724"/>
      <c r="AB822" s="724"/>
      <c r="AC822" s="729"/>
      <c r="AD822" s="724"/>
      <c r="AE822" s="724"/>
      <c r="AF822" s="724"/>
      <c r="AG822" s="724"/>
      <c r="AH822" s="724"/>
      <c r="AI822" s="724"/>
      <c r="AJ822" s="724"/>
      <c r="AU822" s="713"/>
      <c r="AW822" s="712"/>
      <c r="BY822" s="714"/>
      <c r="BZ822" s="715"/>
      <c r="CA822" s="716"/>
      <c r="CB822" s="717"/>
      <c r="CC822" s="717"/>
      <c r="CD822" s="717"/>
      <c r="CE822" s="717"/>
      <c r="CF822" s="717"/>
      <c r="CG822" s="717"/>
      <c r="CH822" s="717"/>
      <c r="CI822" s="717"/>
      <c r="CJ822" s="717"/>
      <c r="CK822" s="717"/>
      <c r="CL822" s="717"/>
      <c r="CM822" s="717"/>
      <c r="CN822" s="717"/>
      <c r="CO822" s="717"/>
      <c r="CP822" s="717"/>
      <c r="CQ822" s="717"/>
      <c r="CR822" s="717"/>
      <c r="CS822" s="717"/>
      <c r="CT822" s="717"/>
      <c r="CU822" s="717"/>
      <c r="CV822" s="717"/>
      <c r="CW822" s="717"/>
      <c r="CX822" s="717"/>
      <c r="CY822" s="717"/>
      <c r="CZ822" s="717"/>
      <c r="DA822" s="717"/>
      <c r="DB822" s="717"/>
      <c r="DC822" s="717"/>
      <c r="DD822" s="717"/>
      <c r="DE822" s="717"/>
      <c r="DF822" s="717"/>
      <c r="DG822" s="717"/>
      <c r="DH822" s="717"/>
      <c r="DI822" s="717"/>
      <c r="DJ822" s="717"/>
      <c r="DM822" s="711"/>
      <c r="DN822" s="711"/>
      <c r="DO822" s="711"/>
      <c r="DP822" s="711"/>
      <c r="DQ822" s="711"/>
      <c r="EB822" s="719"/>
    </row>
    <row r="823" spans="5:132" s="709" customFormat="1" ht="18" hidden="1">
      <c r="E823" s="721"/>
      <c r="H823" s="723">
        <v>313</v>
      </c>
      <c r="I823" s="726"/>
      <c r="J823" s="724"/>
      <c r="K823" s="724"/>
      <c r="L823" s="724"/>
      <c r="M823" s="728"/>
      <c r="N823" s="724"/>
      <c r="O823" s="724"/>
      <c r="P823" s="724"/>
      <c r="Q823" s="724"/>
      <c r="R823" s="724"/>
      <c r="S823" s="724"/>
      <c r="T823" s="724"/>
      <c r="U823" s="724"/>
      <c r="V823" s="724"/>
      <c r="W823" s="724"/>
      <c r="X823" s="724"/>
      <c r="Y823" s="724"/>
      <c r="Z823" s="724"/>
      <c r="AA823" s="724"/>
      <c r="AB823" s="724"/>
      <c r="AC823" s="729"/>
      <c r="AD823" s="724"/>
      <c r="AE823" s="724"/>
      <c r="AF823" s="724"/>
      <c r="AG823" s="724"/>
      <c r="AH823" s="724"/>
      <c r="AI823" s="724"/>
      <c r="AJ823" s="724"/>
      <c r="AU823" s="713"/>
      <c r="AW823" s="712"/>
      <c r="BY823" s="714"/>
      <c r="BZ823" s="715"/>
      <c r="CA823" s="716"/>
      <c r="CB823" s="717"/>
      <c r="CC823" s="717"/>
      <c r="CD823" s="717"/>
      <c r="CE823" s="717"/>
      <c r="CF823" s="717"/>
      <c r="CG823" s="717"/>
      <c r="CH823" s="717"/>
      <c r="CI823" s="717"/>
      <c r="CJ823" s="717"/>
      <c r="CK823" s="717"/>
      <c r="CL823" s="717"/>
      <c r="CM823" s="717"/>
      <c r="CN823" s="717"/>
      <c r="CO823" s="717"/>
      <c r="CP823" s="717"/>
      <c r="CQ823" s="717"/>
      <c r="CR823" s="717"/>
      <c r="CS823" s="717"/>
      <c r="CT823" s="717"/>
      <c r="CU823" s="717"/>
      <c r="CV823" s="717"/>
      <c r="CW823" s="717"/>
      <c r="CX823" s="717"/>
      <c r="CY823" s="717"/>
      <c r="CZ823" s="717"/>
      <c r="DA823" s="717"/>
      <c r="DB823" s="717"/>
      <c r="DC823" s="717"/>
      <c r="DD823" s="717"/>
      <c r="DE823" s="717"/>
      <c r="DF823" s="717"/>
      <c r="DG823" s="717"/>
      <c r="DH823" s="717"/>
      <c r="DI823" s="717"/>
      <c r="DJ823" s="717"/>
      <c r="DM823" s="711"/>
      <c r="DN823" s="711"/>
      <c r="DO823" s="711"/>
      <c r="DP823" s="711"/>
      <c r="DQ823" s="711"/>
      <c r="EB823" s="719"/>
    </row>
    <row r="824" spans="5:132" s="709" customFormat="1" ht="18" hidden="1">
      <c r="E824" s="721"/>
      <c r="H824" s="723">
        <v>314</v>
      </c>
      <c r="I824" s="726"/>
      <c r="J824" s="724"/>
      <c r="K824" s="724"/>
      <c r="L824" s="724"/>
      <c r="M824" s="728"/>
      <c r="N824" s="724"/>
      <c r="O824" s="724"/>
      <c r="P824" s="724"/>
      <c r="Q824" s="724"/>
      <c r="R824" s="724"/>
      <c r="S824" s="724"/>
      <c r="T824" s="724"/>
      <c r="U824" s="724"/>
      <c r="V824" s="724"/>
      <c r="W824" s="724"/>
      <c r="X824" s="724"/>
      <c r="Y824" s="724"/>
      <c r="Z824" s="724"/>
      <c r="AA824" s="724"/>
      <c r="AB824" s="724"/>
      <c r="AC824" s="729"/>
      <c r="AD824" s="724"/>
      <c r="AE824" s="724"/>
      <c r="AF824" s="724"/>
      <c r="AG824" s="724"/>
      <c r="AH824" s="724"/>
      <c r="AI824" s="724"/>
      <c r="AJ824" s="724"/>
      <c r="AU824" s="713"/>
      <c r="AW824" s="712"/>
      <c r="BY824" s="714"/>
      <c r="BZ824" s="715"/>
      <c r="CA824" s="716"/>
      <c r="CB824" s="717"/>
      <c r="CC824" s="717"/>
      <c r="CD824" s="717"/>
      <c r="CE824" s="717"/>
      <c r="CF824" s="717"/>
      <c r="CG824" s="717"/>
      <c r="CH824" s="717"/>
      <c r="CI824" s="717"/>
      <c r="CJ824" s="717"/>
      <c r="CK824" s="717"/>
      <c r="CL824" s="717"/>
      <c r="CM824" s="717"/>
      <c r="CN824" s="717"/>
      <c r="CO824" s="717"/>
      <c r="CP824" s="717"/>
      <c r="CQ824" s="717"/>
      <c r="CR824" s="717"/>
      <c r="CS824" s="717"/>
      <c r="CT824" s="717"/>
      <c r="CU824" s="717"/>
      <c r="CV824" s="717"/>
      <c r="CW824" s="717"/>
      <c r="CX824" s="717"/>
      <c r="CY824" s="717"/>
      <c r="CZ824" s="717"/>
      <c r="DA824" s="717"/>
      <c r="DB824" s="717"/>
      <c r="DC824" s="717"/>
      <c r="DD824" s="717"/>
      <c r="DE824" s="717"/>
      <c r="DF824" s="717"/>
      <c r="DG824" s="717"/>
      <c r="DH824" s="717"/>
      <c r="DI824" s="717"/>
      <c r="DJ824" s="717"/>
      <c r="DM824" s="711"/>
      <c r="DN824" s="711"/>
      <c r="DO824" s="711"/>
      <c r="DP824" s="711"/>
      <c r="DQ824" s="711"/>
      <c r="EB824" s="719"/>
    </row>
    <row r="825" spans="5:132" s="709" customFormat="1" ht="18" hidden="1">
      <c r="E825" s="721"/>
      <c r="H825" s="723">
        <v>315</v>
      </c>
      <c r="I825" s="726"/>
      <c r="J825" s="724"/>
      <c r="K825" s="724"/>
      <c r="L825" s="724"/>
      <c r="M825" s="728"/>
      <c r="N825" s="724"/>
      <c r="O825" s="724"/>
      <c r="P825" s="724"/>
      <c r="Q825" s="724"/>
      <c r="R825" s="724"/>
      <c r="S825" s="724"/>
      <c r="T825" s="724"/>
      <c r="U825" s="724"/>
      <c r="V825" s="724"/>
      <c r="W825" s="724"/>
      <c r="X825" s="724"/>
      <c r="Y825" s="724"/>
      <c r="Z825" s="724"/>
      <c r="AA825" s="724"/>
      <c r="AB825" s="724"/>
      <c r="AC825" s="729"/>
      <c r="AD825" s="724"/>
      <c r="AE825" s="724"/>
      <c r="AF825" s="724"/>
      <c r="AG825" s="724"/>
      <c r="AH825" s="724"/>
      <c r="AI825" s="724"/>
      <c r="AJ825" s="724"/>
      <c r="AU825" s="713"/>
      <c r="AW825" s="712"/>
      <c r="BY825" s="714"/>
      <c r="BZ825" s="715"/>
      <c r="CA825" s="716"/>
      <c r="CB825" s="717"/>
      <c r="CC825" s="717"/>
      <c r="CD825" s="717"/>
      <c r="CE825" s="717"/>
      <c r="CF825" s="717"/>
      <c r="CG825" s="717"/>
      <c r="CH825" s="717"/>
      <c r="CI825" s="717"/>
      <c r="CJ825" s="717"/>
      <c r="CK825" s="717"/>
      <c r="CL825" s="717"/>
      <c r="CM825" s="717"/>
      <c r="CN825" s="717"/>
      <c r="CO825" s="717"/>
      <c r="CP825" s="717"/>
      <c r="CQ825" s="717"/>
      <c r="CR825" s="717"/>
      <c r="CS825" s="717"/>
      <c r="CT825" s="717"/>
      <c r="CU825" s="717"/>
      <c r="CV825" s="717"/>
      <c r="CW825" s="717"/>
      <c r="CX825" s="717"/>
      <c r="CY825" s="717"/>
      <c r="CZ825" s="717"/>
      <c r="DA825" s="717"/>
      <c r="DB825" s="717"/>
      <c r="DC825" s="717"/>
      <c r="DD825" s="717"/>
      <c r="DE825" s="717"/>
      <c r="DF825" s="717"/>
      <c r="DG825" s="717"/>
      <c r="DH825" s="717"/>
      <c r="DI825" s="717"/>
      <c r="DJ825" s="717"/>
      <c r="DM825" s="711"/>
      <c r="DN825" s="711"/>
      <c r="DO825" s="711"/>
      <c r="DP825" s="711"/>
      <c r="DQ825" s="711"/>
      <c r="EB825" s="719"/>
    </row>
    <row r="826" spans="5:132" s="709" customFormat="1" ht="18" hidden="1">
      <c r="E826" s="721"/>
      <c r="H826" s="723">
        <v>316</v>
      </c>
      <c r="I826" s="726"/>
      <c r="J826" s="724"/>
      <c r="K826" s="724"/>
      <c r="L826" s="724"/>
      <c r="M826" s="728"/>
      <c r="N826" s="724"/>
      <c r="O826" s="724"/>
      <c r="P826" s="724"/>
      <c r="Q826" s="724"/>
      <c r="R826" s="724"/>
      <c r="S826" s="724"/>
      <c r="T826" s="724"/>
      <c r="U826" s="724"/>
      <c r="V826" s="724"/>
      <c r="W826" s="724"/>
      <c r="X826" s="724"/>
      <c r="Y826" s="724"/>
      <c r="Z826" s="724"/>
      <c r="AA826" s="724"/>
      <c r="AB826" s="724"/>
      <c r="AC826" s="729"/>
      <c r="AD826" s="724"/>
      <c r="AE826" s="724"/>
      <c r="AF826" s="724"/>
      <c r="AG826" s="724"/>
      <c r="AH826" s="724"/>
      <c r="AI826" s="724"/>
      <c r="AJ826" s="724"/>
      <c r="AU826" s="713"/>
      <c r="AW826" s="712"/>
      <c r="BY826" s="714"/>
      <c r="BZ826" s="715"/>
      <c r="CA826" s="716"/>
      <c r="CB826" s="717"/>
      <c r="CC826" s="717"/>
      <c r="CD826" s="717"/>
      <c r="CE826" s="717"/>
      <c r="CF826" s="717"/>
      <c r="CG826" s="717"/>
      <c r="CH826" s="717"/>
      <c r="CI826" s="717"/>
      <c r="CJ826" s="717"/>
      <c r="CK826" s="717"/>
      <c r="CL826" s="717"/>
      <c r="CM826" s="717"/>
      <c r="CN826" s="717"/>
      <c r="CO826" s="717"/>
      <c r="CP826" s="717"/>
      <c r="CQ826" s="717"/>
      <c r="CR826" s="717"/>
      <c r="CS826" s="717"/>
      <c r="CT826" s="717"/>
      <c r="CU826" s="717"/>
      <c r="CV826" s="717"/>
      <c r="CW826" s="717"/>
      <c r="CX826" s="717"/>
      <c r="CY826" s="717"/>
      <c r="CZ826" s="717"/>
      <c r="DA826" s="717"/>
      <c r="DB826" s="717"/>
      <c r="DC826" s="717"/>
      <c r="DD826" s="717"/>
      <c r="DE826" s="717"/>
      <c r="DF826" s="717"/>
      <c r="DG826" s="717"/>
      <c r="DH826" s="717"/>
      <c r="DI826" s="717"/>
      <c r="DJ826" s="717"/>
      <c r="DM826" s="711"/>
      <c r="DN826" s="711"/>
      <c r="DO826" s="711"/>
      <c r="DP826" s="711"/>
      <c r="DQ826" s="711"/>
      <c r="EB826" s="719"/>
    </row>
    <row r="827" spans="5:132" s="709" customFormat="1" ht="18" hidden="1">
      <c r="E827" s="721"/>
      <c r="H827" s="723">
        <v>317</v>
      </c>
      <c r="I827" s="726"/>
      <c r="J827" s="724"/>
      <c r="K827" s="724"/>
      <c r="L827" s="724"/>
      <c r="M827" s="728"/>
      <c r="N827" s="724"/>
      <c r="O827" s="724"/>
      <c r="P827" s="724"/>
      <c r="Q827" s="724"/>
      <c r="R827" s="724"/>
      <c r="S827" s="724"/>
      <c r="T827" s="724"/>
      <c r="U827" s="724"/>
      <c r="V827" s="724"/>
      <c r="W827" s="724"/>
      <c r="X827" s="724"/>
      <c r="Y827" s="724"/>
      <c r="Z827" s="724"/>
      <c r="AA827" s="724"/>
      <c r="AB827" s="724"/>
      <c r="AC827" s="729"/>
      <c r="AD827" s="724"/>
      <c r="AE827" s="724"/>
      <c r="AF827" s="724"/>
      <c r="AG827" s="724"/>
      <c r="AH827" s="724"/>
      <c r="AI827" s="724"/>
      <c r="AJ827" s="724"/>
      <c r="AU827" s="713"/>
      <c r="AW827" s="712"/>
      <c r="BY827" s="714"/>
      <c r="BZ827" s="715"/>
      <c r="CA827" s="716"/>
      <c r="CB827" s="717"/>
      <c r="CC827" s="717"/>
      <c r="CD827" s="717"/>
      <c r="CE827" s="717"/>
      <c r="CF827" s="717"/>
      <c r="CG827" s="717"/>
      <c r="CH827" s="717"/>
      <c r="CI827" s="717"/>
      <c r="CJ827" s="717"/>
      <c r="CK827" s="717"/>
      <c r="CL827" s="717"/>
      <c r="CM827" s="717"/>
      <c r="CN827" s="717"/>
      <c r="CO827" s="717"/>
      <c r="CP827" s="717"/>
      <c r="CQ827" s="717"/>
      <c r="CR827" s="717"/>
      <c r="CS827" s="717"/>
      <c r="CT827" s="717"/>
      <c r="CU827" s="717"/>
      <c r="CV827" s="717"/>
      <c r="CW827" s="717"/>
      <c r="CX827" s="717"/>
      <c r="CY827" s="717"/>
      <c r="CZ827" s="717"/>
      <c r="DA827" s="717"/>
      <c r="DB827" s="717"/>
      <c r="DC827" s="717"/>
      <c r="DD827" s="717"/>
      <c r="DE827" s="717"/>
      <c r="DF827" s="717"/>
      <c r="DG827" s="717"/>
      <c r="DH827" s="717"/>
      <c r="DI827" s="717"/>
      <c r="DJ827" s="717"/>
      <c r="DM827" s="711"/>
      <c r="DN827" s="711"/>
      <c r="DO827" s="711"/>
      <c r="DP827" s="711"/>
      <c r="DQ827" s="711"/>
      <c r="EB827" s="719"/>
    </row>
    <row r="828" spans="5:132" s="709" customFormat="1" ht="18" hidden="1">
      <c r="E828" s="721"/>
      <c r="H828" s="723">
        <v>318</v>
      </c>
      <c r="I828" s="726"/>
      <c r="J828" s="724"/>
      <c r="K828" s="724"/>
      <c r="L828" s="724"/>
      <c r="M828" s="728"/>
      <c r="N828" s="724"/>
      <c r="O828" s="724"/>
      <c r="P828" s="724"/>
      <c r="Q828" s="724"/>
      <c r="R828" s="724"/>
      <c r="S828" s="724"/>
      <c r="T828" s="724"/>
      <c r="U828" s="724"/>
      <c r="V828" s="724"/>
      <c r="W828" s="724"/>
      <c r="X828" s="724"/>
      <c r="Y828" s="724"/>
      <c r="Z828" s="724"/>
      <c r="AA828" s="724"/>
      <c r="AB828" s="724"/>
      <c r="AC828" s="729"/>
      <c r="AD828" s="724"/>
      <c r="AE828" s="724"/>
      <c r="AF828" s="724"/>
      <c r="AG828" s="724"/>
      <c r="AH828" s="724"/>
      <c r="AI828" s="724"/>
      <c r="AJ828" s="724"/>
      <c r="AU828" s="713"/>
      <c r="AW828" s="712"/>
      <c r="BY828" s="714"/>
      <c r="BZ828" s="715"/>
      <c r="CA828" s="716"/>
      <c r="CB828" s="717"/>
      <c r="CC828" s="717"/>
      <c r="CD828" s="717"/>
      <c r="CE828" s="717"/>
      <c r="CF828" s="717"/>
      <c r="CG828" s="717"/>
      <c r="CH828" s="717"/>
      <c r="CI828" s="717"/>
      <c r="CJ828" s="717"/>
      <c r="CK828" s="717"/>
      <c r="CL828" s="717"/>
      <c r="CM828" s="717"/>
      <c r="CN828" s="717"/>
      <c r="CO828" s="717"/>
      <c r="CP828" s="717"/>
      <c r="CQ828" s="717"/>
      <c r="CR828" s="717"/>
      <c r="CS828" s="717"/>
      <c r="CT828" s="717"/>
      <c r="CU828" s="717"/>
      <c r="CV828" s="717"/>
      <c r="CW828" s="717"/>
      <c r="CX828" s="717"/>
      <c r="CY828" s="717"/>
      <c r="CZ828" s="717"/>
      <c r="DA828" s="717"/>
      <c r="DB828" s="717"/>
      <c r="DC828" s="717"/>
      <c r="DD828" s="717"/>
      <c r="DE828" s="717"/>
      <c r="DF828" s="717"/>
      <c r="DG828" s="717"/>
      <c r="DH828" s="717"/>
      <c r="DI828" s="717"/>
      <c r="DJ828" s="717"/>
      <c r="DM828" s="711"/>
      <c r="DN828" s="711"/>
      <c r="DO828" s="711"/>
      <c r="DP828" s="711"/>
      <c r="DQ828" s="711"/>
      <c r="EB828" s="719"/>
    </row>
    <row r="829" spans="5:132" s="709" customFormat="1" ht="18" hidden="1">
      <c r="E829" s="721"/>
      <c r="H829" s="723">
        <v>319</v>
      </c>
      <c r="I829" s="726"/>
      <c r="J829" s="724"/>
      <c r="K829" s="724"/>
      <c r="L829" s="724"/>
      <c r="M829" s="728"/>
      <c r="N829" s="724"/>
      <c r="O829" s="724"/>
      <c r="P829" s="724"/>
      <c r="Q829" s="724"/>
      <c r="R829" s="724"/>
      <c r="S829" s="724"/>
      <c r="T829" s="724"/>
      <c r="U829" s="724"/>
      <c r="V829" s="724"/>
      <c r="W829" s="724"/>
      <c r="X829" s="724"/>
      <c r="Y829" s="724"/>
      <c r="Z829" s="724"/>
      <c r="AA829" s="724"/>
      <c r="AB829" s="724"/>
      <c r="AC829" s="729"/>
      <c r="AD829" s="724"/>
      <c r="AE829" s="724"/>
      <c r="AF829" s="724"/>
      <c r="AG829" s="724"/>
      <c r="AH829" s="724"/>
      <c r="AI829" s="724"/>
      <c r="AJ829" s="724"/>
      <c r="AU829" s="713"/>
      <c r="AW829" s="712"/>
      <c r="BY829" s="714"/>
      <c r="BZ829" s="715"/>
      <c r="CA829" s="716"/>
      <c r="CB829" s="717"/>
      <c r="CC829" s="717"/>
      <c r="CD829" s="717"/>
      <c r="CE829" s="717"/>
      <c r="CF829" s="717"/>
      <c r="CG829" s="717"/>
      <c r="CH829" s="717"/>
      <c r="CI829" s="717"/>
      <c r="CJ829" s="717"/>
      <c r="CK829" s="717"/>
      <c r="CL829" s="717"/>
      <c r="CM829" s="717"/>
      <c r="CN829" s="717"/>
      <c r="CO829" s="717"/>
      <c r="CP829" s="717"/>
      <c r="CQ829" s="717"/>
      <c r="CR829" s="717"/>
      <c r="CS829" s="717"/>
      <c r="CT829" s="717"/>
      <c r="CU829" s="717"/>
      <c r="CV829" s="717"/>
      <c r="CW829" s="717"/>
      <c r="CX829" s="717"/>
      <c r="CY829" s="717"/>
      <c r="CZ829" s="717"/>
      <c r="DA829" s="717"/>
      <c r="DB829" s="717"/>
      <c r="DC829" s="717"/>
      <c r="DD829" s="717"/>
      <c r="DE829" s="717"/>
      <c r="DF829" s="717"/>
      <c r="DG829" s="717"/>
      <c r="DH829" s="717"/>
      <c r="DI829" s="717"/>
      <c r="DJ829" s="717"/>
      <c r="DM829" s="711"/>
      <c r="DN829" s="711"/>
      <c r="DO829" s="711"/>
      <c r="DP829" s="711"/>
      <c r="DQ829" s="711"/>
      <c r="EB829" s="719"/>
    </row>
    <row r="830" spans="5:132" s="709" customFormat="1" ht="18" hidden="1">
      <c r="E830" s="721"/>
      <c r="H830" s="723">
        <v>320</v>
      </c>
      <c r="I830" s="726"/>
      <c r="J830" s="724"/>
      <c r="K830" s="724"/>
      <c r="L830" s="724"/>
      <c r="M830" s="728"/>
      <c r="N830" s="724"/>
      <c r="O830" s="724"/>
      <c r="P830" s="724"/>
      <c r="Q830" s="724"/>
      <c r="R830" s="724"/>
      <c r="S830" s="724"/>
      <c r="T830" s="724"/>
      <c r="U830" s="724"/>
      <c r="V830" s="724"/>
      <c r="W830" s="724"/>
      <c r="X830" s="724"/>
      <c r="Y830" s="724"/>
      <c r="Z830" s="724"/>
      <c r="AA830" s="724"/>
      <c r="AB830" s="724"/>
      <c r="AC830" s="729"/>
      <c r="AD830" s="724"/>
      <c r="AE830" s="724"/>
      <c r="AF830" s="724"/>
      <c r="AG830" s="724"/>
      <c r="AH830" s="724"/>
      <c r="AI830" s="724"/>
      <c r="AJ830" s="724"/>
      <c r="AU830" s="713"/>
      <c r="AW830" s="712"/>
      <c r="BY830" s="714"/>
      <c r="BZ830" s="715"/>
      <c r="CA830" s="716"/>
      <c r="CB830" s="717"/>
      <c r="CC830" s="717"/>
      <c r="CD830" s="717"/>
      <c r="CE830" s="717"/>
      <c r="CF830" s="717"/>
      <c r="CG830" s="717"/>
      <c r="CH830" s="717"/>
      <c r="CI830" s="717"/>
      <c r="CJ830" s="717"/>
      <c r="CK830" s="717"/>
      <c r="CL830" s="717"/>
      <c r="CM830" s="717"/>
      <c r="CN830" s="717"/>
      <c r="CO830" s="717"/>
      <c r="CP830" s="717"/>
      <c r="CQ830" s="717"/>
      <c r="CR830" s="717"/>
      <c r="CS830" s="717"/>
      <c r="CT830" s="717"/>
      <c r="CU830" s="717"/>
      <c r="CV830" s="717"/>
      <c r="CW830" s="717"/>
      <c r="CX830" s="717"/>
      <c r="CY830" s="717"/>
      <c r="CZ830" s="717"/>
      <c r="DA830" s="717"/>
      <c r="DB830" s="717"/>
      <c r="DC830" s="717"/>
      <c r="DD830" s="717"/>
      <c r="DE830" s="717"/>
      <c r="DF830" s="717"/>
      <c r="DG830" s="717"/>
      <c r="DH830" s="717"/>
      <c r="DI830" s="717"/>
      <c r="DJ830" s="717"/>
      <c r="DM830" s="711"/>
      <c r="DN830" s="711"/>
      <c r="DO830" s="711"/>
      <c r="DP830" s="711"/>
      <c r="DQ830" s="711"/>
      <c r="EB830" s="719"/>
    </row>
    <row r="831" spans="5:132" s="709" customFormat="1" ht="18" hidden="1">
      <c r="E831" s="721"/>
      <c r="H831" s="723">
        <v>321</v>
      </c>
      <c r="I831" s="726"/>
      <c r="J831" s="724"/>
      <c r="K831" s="724"/>
      <c r="L831" s="724"/>
      <c r="M831" s="728"/>
      <c r="N831" s="724"/>
      <c r="O831" s="724"/>
      <c r="P831" s="724"/>
      <c r="Q831" s="724"/>
      <c r="R831" s="724"/>
      <c r="S831" s="724"/>
      <c r="T831" s="724"/>
      <c r="U831" s="724"/>
      <c r="V831" s="724"/>
      <c r="W831" s="724"/>
      <c r="X831" s="724"/>
      <c r="Y831" s="724"/>
      <c r="Z831" s="724"/>
      <c r="AA831" s="724"/>
      <c r="AB831" s="724"/>
      <c r="AC831" s="729"/>
      <c r="AD831" s="724"/>
      <c r="AE831" s="724"/>
      <c r="AF831" s="724"/>
      <c r="AG831" s="724"/>
      <c r="AH831" s="724"/>
      <c r="AI831" s="724"/>
      <c r="AJ831" s="724"/>
      <c r="AU831" s="713"/>
      <c r="AW831" s="712"/>
      <c r="BY831" s="714"/>
      <c r="BZ831" s="715"/>
      <c r="CA831" s="716"/>
      <c r="CB831" s="717"/>
      <c r="CC831" s="717"/>
      <c r="CD831" s="717"/>
      <c r="CE831" s="717"/>
      <c r="CF831" s="717"/>
      <c r="CG831" s="717"/>
      <c r="CH831" s="717"/>
      <c r="CI831" s="717"/>
      <c r="CJ831" s="717"/>
      <c r="CK831" s="717"/>
      <c r="CL831" s="717"/>
      <c r="CM831" s="717"/>
      <c r="CN831" s="717"/>
      <c r="CO831" s="717"/>
      <c r="CP831" s="717"/>
      <c r="CQ831" s="717"/>
      <c r="CR831" s="717"/>
      <c r="CS831" s="717"/>
      <c r="CT831" s="717"/>
      <c r="CU831" s="717"/>
      <c r="CV831" s="717"/>
      <c r="CW831" s="717"/>
      <c r="CX831" s="717"/>
      <c r="CY831" s="717"/>
      <c r="CZ831" s="717"/>
      <c r="DA831" s="717"/>
      <c r="DB831" s="717"/>
      <c r="DC831" s="717"/>
      <c r="DD831" s="717"/>
      <c r="DE831" s="717"/>
      <c r="DF831" s="717"/>
      <c r="DG831" s="717"/>
      <c r="DH831" s="717"/>
      <c r="DI831" s="717"/>
      <c r="DJ831" s="717"/>
      <c r="DM831" s="711"/>
      <c r="DN831" s="711"/>
      <c r="DO831" s="711"/>
      <c r="DP831" s="711"/>
      <c r="DQ831" s="711"/>
      <c r="EB831" s="719"/>
    </row>
    <row r="832" spans="5:132" s="709" customFormat="1" ht="18" hidden="1">
      <c r="E832" s="721"/>
      <c r="H832" s="723">
        <v>322</v>
      </c>
      <c r="I832" s="726"/>
      <c r="J832" s="724"/>
      <c r="K832" s="724"/>
      <c r="L832" s="724"/>
      <c r="M832" s="728"/>
      <c r="N832" s="724"/>
      <c r="O832" s="724"/>
      <c r="P832" s="724"/>
      <c r="Q832" s="724"/>
      <c r="R832" s="724"/>
      <c r="S832" s="724"/>
      <c r="T832" s="724"/>
      <c r="U832" s="724"/>
      <c r="V832" s="724"/>
      <c r="W832" s="724"/>
      <c r="X832" s="724"/>
      <c r="Y832" s="724"/>
      <c r="Z832" s="724"/>
      <c r="AA832" s="724"/>
      <c r="AB832" s="724"/>
      <c r="AC832" s="729"/>
      <c r="AD832" s="724"/>
      <c r="AE832" s="724"/>
      <c r="AF832" s="724"/>
      <c r="AG832" s="724"/>
      <c r="AH832" s="724"/>
      <c r="AI832" s="724"/>
      <c r="AJ832" s="724"/>
      <c r="AU832" s="713"/>
      <c r="AW832" s="712"/>
      <c r="BY832" s="714"/>
      <c r="BZ832" s="715"/>
      <c r="CA832" s="716"/>
      <c r="CB832" s="717"/>
      <c r="CC832" s="717"/>
      <c r="CD832" s="717"/>
      <c r="CE832" s="717"/>
      <c r="CF832" s="717"/>
      <c r="CG832" s="717"/>
      <c r="CH832" s="717"/>
      <c r="CI832" s="717"/>
      <c r="CJ832" s="717"/>
      <c r="CK832" s="717"/>
      <c r="CL832" s="717"/>
      <c r="CM832" s="717"/>
      <c r="CN832" s="717"/>
      <c r="CO832" s="717"/>
      <c r="CP832" s="717"/>
      <c r="CQ832" s="717"/>
      <c r="CR832" s="717"/>
      <c r="CS832" s="717"/>
      <c r="CT832" s="717"/>
      <c r="CU832" s="717"/>
      <c r="CV832" s="717"/>
      <c r="CW832" s="717"/>
      <c r="CX832" s="717"/>
      <c r="CY832" s="717"/>
      <c r="CZ832" s="717"/>
      <c r="DA832" s="717"/>
      <c r="DB832" s="717"/>
      <c r="DC832" s="717"/>
      <c r="DD832" s="717"/>
      <c r="DE832" s="717"/>
      <c r="DF832" s="717"/>
      <c r="DG832" s="717"/>
      <c r="DH832" s="717"/>
      <c r="DI832" s="717"/>
      <c r="DJ832" s="717"/>
      <c r="DM832" s="711"/>
      <c r="DN832" s="711"/>
      <c r="DO832" s="711"/>
      <c r="DP832" s="711"/>
      <c r="DQ832" s="711"/>
      <c r="EB832" s="719"/>
    </row>
    <row r="833" spans="5:132" s="709" customFormat="1" ht="18" hidden="1">
      <c r="E833" s="721"/>
      <c r="H833" s="723">
        <v>323</v>
      </c>
      <c r="I833" s="726"/>
      <c r="J833" s="724"/>
      <c r="K833" s="724"/>
      <c r="L833" s="724"/>
      <c r="M833" s="728"/>
      <c r="N833" s="724"/>
      <c r="O833" s="724"/>
      <c r="P833" s="724"/>
      <c r="Q833" s="724"/>
      <c r="R833" s="724"/>
      <c r="S833" s="724"/>
      <c r="T833" s="724"/>
      <c r="U833" s="724"/>
      <c r="V833" s="724"/>
      <c r="W833" s="724"/>
      <c r="X833" s="724"/>
      <c r="Y833" s="724"/>
      <c r="Z833" s="724"/>
      <c r="AA833" s="724"/>
      <c r="AB833" s="724"/>
      <c r="AC833" s="729"/>
      <c r="AD833" s="724"/>
      <c r="AE833" s="724"/>
      <c r="AF833" s="724"/>
      <c r="AG833" s="724"/>
      <c r="AH833" s="724"/>
      <c r="AI833" s="724"/>
      <c r="AJ833" s="724"/>
      <c r="AU833" s="713"/>
      <c r="AW833" s="712"/>
      <c r="BY833" s="714"/>
      <c r="BZ833" s="715"/>
      <c r="CA833" s="716"/>
      <c r="CB833" s="717"/>
      <c r="CC833" s="717"/>
      <c r="CD833" s="717"/>
      <c r="CE833" s="717"/>
      <c r="CF833" s="717"/>
      <c r="CG833" s="717"/>
      <c r="CH833" s="717"/>
      <c r="CI833" s="717"/>
      <c r="CJ833" s="717"/>
      <c r="CK833" s="717"/>
      <c r="CL833" s="717"/>
      <c r="CM833" s="717"/>
      <c r="CN833" s="717"/>
      <c r="CO833" s="717"/>
      <c r="CP833" s="717"/>
      <c r="CQ833" s="717"/>
      <c r="CR833" s="717"/>
      <c r="CS833" s="717"/>
      <c r="CT833" s="717"/>
      <c r="CU833" s="717"/>
      <c r="CV833" s="717"/>
      <c r="CW833" s="717"/>
      <c r="CX833" s="717"/>
      <c r="CY833" s="717"/>
      <c r="CZ833" s="717"/>
      <c r="DA833" s="717"/>
      <c r="DB833" s="717"/>
      <c r="DC833" s="717"/>
      <c r="DD833" s="717"/>
      <c r="DE833" s="717"/>
      <c r="DF833" s="717"/>
      <c r="DG833" s="717"/>
      <c r="DH833" s="717"/>
      <c r="DI833" s="717"/>
      <c r="DJ833" s="717"/>
      <c r="DM833" s="711"/>
      <c r="DN833" s="711"/>
      <c r="DO833" s="711"/>
      <c r="DP833" s="711"/>
      <c r="DQ833" s="711"/>
      <c r="EB833" s="719"/>
    </row>
    <row r="834" spans="5:132" s="709" customFormat="1" ht="18" hidden="1">
      <c r="E834" s="721"/>
      <c r="H834" s="723">
        <v>324</v>
      </c>
      <c r="I834" s="726"/>
      <c r="J834" s="724"/>
      <c r="K834" s="724"/>
      <c r="L834" s="724"/>
      <c r="M834" s="728"/>
      <c r="N834" s="724"/>
      <c r="O834" s="724"/>
      <c r="P834" s="724"/>
      <c r="Q834" s="724"/>
      <c r="R834" s="724"/>
      <c r="S834" s="724"/>
      <c r="T834" s="724"/>
      <c r="U834" s="724"/>
      <c r="V834" s="724"/>
      <c r="W834" s="724"/>
      <c r="X834" s="724"/>
      <c r="Y834" s="724"/>
      <c r="Z834" s="724"/>
      <c r="AA834" s="724"/>
      <c r="AB834" s="724"/>
      <c r="AC834" s="729"/>
      <c r="AD834" s="724"/>
      <c r="AE834" s="724"/>
      <c r="AF834" s="724"/>
      <c r="AG834" s="724"/>
      <c r="AH834" s="724"/>
      <c r="AI834" s="724"/>
      <c r="AJ834" s="724"/>
      <c r="AU834" s="713"/>
      <c r="AW834" s="712"/>
      <c r="BY834" s="714"/>
      <c r="BZ834" s="715"/>
      <c r="CA834" s="716"/>
      <c r="CB834" s="717"/>
      <c r="CC834" s="717"/>
      <c r="CD834" s="717"/>
      <c r="CE834" s="717"/>
      <c r="CF834" s="717"/>
      <c r="CG834" s="717"/>
      <c r="CH834" s="717"/>
      <c r="CI834" s="717"/>
      <c r="CJ834" s="717"/>
      <c r="CK834" s="717"/>
      <c r="CL834" s="717"/>
      <c r="CM834" s="717"/>
      <c r="CN834" s="717"/>
      <c r="CO834" s="717"/>
      <c r="CP834" s="717"/>
      <c r="CQ834" s="717"/>
      <c r="CR834" s="717"/>
      <c r="CS834" s="717"/>
      <c r="CT834" s="717"/>
      <c r="CU834" s="717"/>
      <c r="CV834" s="717"/>
      <c r="CW834" s="717"/>
      <c r="CX834" s="717"/>
      <c r="CY834" s="717"/>
      <c r="CZ834" s="717"/>
      <c r="DA834" s="717"/>
      <c r="DB834" s="717"/>
      <c r="DC834" s="717"/>
      <c r="DD834" s="717"/>
      <c r="DE834" s="717"/>
      <c r="DF834" s="717"/>
      <c r="DG834" s="717"/>
      <c r="DH834" s="717"/>
      <c r="DI834" s="717"/>
      <c r="DJ834" s="717"/>
      <c r="DM834" s="711"/>
      <c r="DN834" s="711"/>
      <c r="DO834" s="711"/>
      <c r="DP834" s="711"/>
      <c r="DQ834" s="711"/>
      <c r="EB834" s="719"/>
    </row>
    <row r="835" spans="5:132" s="709" customFormat="1" ht="18" hidden="1">
      <c r="E835" s="721"/>
      <c r="H835" s="723">
        <v>325</v>
      </c>
      <c r="I835" s="726"/>
      <c r="J835" s="724"/>
      <c r="K835" s="724"/>
      <c r="L835" s="724"/>
      <c r="M835" s="728"/>
      <c r="N835" s="724"/>
      <c r="O835" s="724"/>
      <c r="P835" s="724"/>
      <c r="Q835" s="724"/>
      <c r="R835" s="724"/>
      <c r="S835" s="724"/>
      <c r="T835" s="724"/>
      <c r="U835" s="724"/>
      <c r="V835" s="724"/>
      <c r="W835" s="724"/>
      <c r="X835" s="724"/>
      <c r="Y835" s="724"/>
      <c r="Z835" s="724"/>
      <c r="AA835" s="724"/>
      <c r="AB835" s="724"/>
      <c r="AC835" s="729"/>
      <c r="AD835" s="724"/>
      <c r="AE835" s="724"/>
      <c r="AF835" s="724"/>
      <c r="AG835" s="724"/>
      <c r="AH835" s="724"/>
      <c r="AI835" s="724"/>
      <c r="AJ835" s="724"/>
      <c r="AU835" s="713"/>
      <c r="AW835" s="712"/>
      <c r="BY835" s="714"/>
      <c r="BZ835" s="715"/>
      <c r="CA835" s="716"/>
      <c r="CB835" s="717"/>
      <c r="CC835" s="717"/>
      <c r="CD835" s="717"/>
      <c r="CE835" s="717"/>
      <c r="CF835" s="717"/>
      <c r="CG835" s="717"/>
      <c r="CH835" s="717"/>
      <c r="CI835" s="717"/>
      <c r="CJ835" s="717"/>
      <c r="CK835" s="717"/>
      <c r="CL835" s="717"/>
      <c r="CM835" s="717"/>
      <c r="CN835" s="717"/>
      <c r="CO835" s="717"/>
      <c r="CP835" s="717"/>
      <c r="CQ835" s="717"/>
      <c r="CR835" s="717"/>
      <c r="CS835" s="717"/>
      <c r="CT835" s="717"/>
      <c r="CU835" s="717"/>
      <c r="CV835" s="717"/>
      <c r="CW835" s="717"/>
      <c r="CX835" s="717"/>
      <c r="CY835" s="717"/>
      <c r="CZ835" s="717"/>
      <c r="DA835" s="717"/>
      <c r="DB835" s="717"/>
      <c r="DC835" s="717"/>
      <c r="DD835" s="717"/>
      <c r="DE835" s="717"/>
      <c r="DF835" s="717"/>
      <c r="DG835" s="717"/>
      <c r="DH835" s="717"/>
      <c r="DI835" s="717"/>
      <c r="DJ835" s="717"/>
      <c r="DM835" s="711"/>
      <c r="DN835" s="711"/>
      <c r="DO835" s="711"/>
      <c r="DP835" s="711"/>
      <c r="DQ835" s="711"/>
      <c r="EB835" s="719"/>
    </row>
    <row r="836" spans="5:132" s="709" customFormat="1" ht="18" hidden="1">
      <c r="E836" s="721"/>
      <c r="H836" s="723">
        <v>326</v>
      </c>
      <c r="I836" s="726"/>
      <c r="J836" s="724"/>
      <c r="K836" s="724"/>
      <c r="L836" s="724"/>
      <c r="M836" s="728"/>
      <c r="N836" s="724"/>
      <c r="O836" s="724"/>
      <c r="P836" s="724"/>
      <c r="Q836" s="724"/>
      <c r="R836" s="724"/>
      <c r="S836" s="724"/>
      <c r="T836" s="724"/>
      <c r="U836" s="724"/>
      <c r="V836" s="724"/>
      <c r="W836" s="724"/>
      <c r="X836" s="724"/>
      <c r="Y836" s="724"/>
      <c r="Z836" s="724"/>
      <c r="AA836" s="724"/>
      <c r="AB836" s="724"/>
      <c r="AC836" s="729"/>
      <c r="AD836" s="724"/>
      <c r="AE836" s="724"/>
      <c r="AF836" s="724"/>
      <c r="AG836" s="724"/>
      <c r="AH836" s="724"/>
      <c r="AI836" s="724"/>
      <c r="AJ836" s="724"/>
      <c r="AU836" s="713"/>
      <c r="AW836" s="712"/>
      <c r="BY836" s="714"/>
      <c r="BZ836" s="715"/>
      <c r="CA836" s="716"/>
      <c r="CB836" s="717"/>
      <c r="CC836" s="717"/>
      <c r="CD836" s="717"/>
      <c r="CE836" s="717"/>
      <c r="CF836" s="717"/>
      <c r="CG836" s="717"/>
      <c r="CH836" s="717"/>
      <c r="CI836" s="717"/>
      <c r="CJ836" s="717"/>
      <c r="CK836" s="717"/>
      <c r="CL836" s="717"/>
      <c r="CM836" s="717"/>
      <c r="CN836" s="717"/>
      <c r="CO836" s="717"/>
      <c r="CP836" s="717"/>
      <c r="CQ836" s="717"/>
      <c r="CR836" s="717"/>
      <c r="CS836" s="717"/>
      <c r="CT836" s="717"/>
      <c r="CU836" s="717"/>
      <c r="CV836" s="717"/>
      <c r="CW836" s="717"/>
      <c r="CX836" s="717"/>
      <c r="CY836" s="717"/>
      <c r="CZ836" s="717"/>
      <c r="DA836" s="717"/>
      <c r="DB836" s="717"/>
      <c r="DC836" s="717"/>
      <c r="DD836" s="717"/>
      <c r="DE836" s="717"/>
      <c r="DF836" s="717"/>
      <c r="DG836" s="717"/>
      <c r="DH836" s="717"/>
      <c r="DI836" s="717"/>
      <c r="DJ836" s="717"/>
      <c r="DM836" s="711"/>
      <c r="DN836" s="711"/>
      <c r="DO836" s="711"/>
      <c r="DP836" s="711"/>
      <c r="DQ836" s="711"/>
      <c r="EB836" s="719"/>
    </row>
    <row r="837" spans="5:132" s="709" customFormat="1" ht="18" hidden="1">
      <c r="E837" s="721"/>
      <c r="H837" s="723">
        <v>328</v>
      </c>
      <c r="I837" s="726"/>
      <c r="J837" s="724"/>
      <c r="K837" s="724"/>
      <c r="L837" s="724"/>
      <c r="M837" s="728"/>
      <c r="N837" s="724"/>
      <c r="O837" s="724"/>
      <c r="P837" s="724"/>
      <c r="Q837" s="724"/>
      <c r="R837" s="724"/>
      <c r="S837" s="724"/>
      <c r="T837" s="724"/>
      <c r="U837" s="724"/>
      <c r="V837" s="724"/>
      <c r="W837" s="724"/>
      <c r="X837" s="724"/>
      <c r="Y837" s="724"/>
      <c r="Z837" s="724"/>
      <c r="AA837" s="724"/>
      <c r="AB837" s="724"/>
      <c r="AC837" s="729"/>
      <c r="AD837" s="724"/>
      <c r="AE837" s="724"/>
      <c r="AF837" s="724"/>
      <c r="AG837" s="724"/>
      <c r="AH837" s="724"/>
      <c r="AI837" s="724"/>
      <c r="AJ837" s="724"/>
      <c r="AU837" s="713"/>
      <c r="AW837" s="712"/>
      <c r="BY837" s="714"/>
      <c r="BZ837" s="715"/>
      <c r="CA837" s="716"/>
      <c r="CB837" s="717"/>
      <c r="CC837" s="717"/>
      <c r="CD837" s="717"/>
      <c r="CE837" s="717"/>
      <c r="CF837" s="717"/>
      <c r="CG837" s="717"/>
      <c r="CH837" s="717"/>
      <c r="CI837" s="717"/>
      <c r="CJ837" s="717"/>
      <c r="CK837" s="717"/>
      <c r="CL837" s="717"/>
      <c r="CM837" s="717"/>
      <c r="CN837" s="717"/>
      <c r="CO837" s="717"/>
      <c r="CP837" s="717"/>
      <c r="CQ837" s="717"/>
      <c r="CR837" s="717"/>
      <c r="CS837" s="717"/>
      <c r="CT837" s="717"/>
      <c r="CU837" s="717"/>
      <c r="CV837" s="717"/>
      <c r="CW837" s="717"/>
      <c r="CX837" s="717"/>
      <c r="CY837" s="717"/>
      <c r="CZ837" s="717"/>
      <c r="DA837" s="717"/>
      <c r="DB837" s="717"/>
      <c r="DC837" s="717"/>
      <c r="DD837" s="717"/>
      <c r="DE837" s="717"/>
      <c r="DF837" s="717"/>
      <c r="DG837" s="717"/>
      <c r="DH837" s="717"/>
      <c r="DI837" s="717"/>
      <c r="DJ837" s="717"/>
      <c r="DM837" s="711"/>
      <c r="DN837" s="711"/>
      <c r="DO837" s="711"/>
      <c r="DP837" s="711"/>
      <c r="DQ837" s="711"/>
      <c r="EB837" s="719"/>
    </row>
    <row r="838" spans="5:132" s="709" customFormat="1" ht="18" hidden="1">
      <c r="E838" s="721"/>
      <c r="H838" s="723">
        <v>329</v>
      </c>
      <c r="I838" s="726"/>
      <c r="J838" s="724"/>
      <c r="K838" s="724"/>
      <c r="L838" s="724"/>
      <c r="M838" s="728"/>
      <c r="N838" s="724"/>
      <c r="O838" s="724"/>
      <c r="P838" s="724"/>
      <c r="Q838" s="724"/>
      <c r="R838" s="724"/>
      <c r="S838" s="724"/>
      <c r="T838" s="724"/>
      <c r="U838" s="724"/>
      <c r="V838" s="724"/>
      <c r="W838" s="724"/>
      <c r="X838" s="724"/>
      <c r="Y838" s="724"/>
      <c r="Z838" s="724"/>
      <c r="AA838" s="724"/>
      <c r="AB838" s="724"/>
      <c r="AC838" s="729"/>
      <c r="AD838" s="724"/>
      <c r="AE838" s="724"/>
      <c r="AF838" s="724"/>
      <c r="AG838" s="724"/>
      <c r="AH838" s="724"/>
      <c r="AI838" s="724"/>
      <c r="AJ838" s="724"/>
      <c r="AU838" s="713"/>
      <c r="AW838" s="712"/>
      <c r="BY838" s="714"/>
      <c r="BZ838" s="715"/>
      <c r="CA838" s="716"/>
      <c r="CB838" s="717"/>
      <c r="CC838" s="717"/>
      <c r="CD838" s="717"/>
      <c r="CE838" s="717"/>
      <c r="CF838" s="717"/>
      <c r="CG838" s="717"/>
      <c r="CH838" s="717"/>
      <c r="CI838" s="717"/>
      <c r="CJ838" s="717"/>
      <c r="CK838" s="717"/>
      <c r="CL838" s="717"/>
      <c r="CM838" s="717"/>
      <c r="CN838" s="717"/>
      <c r="CO838" s="717"/>
      <c r="CP838" s="717"/>
      <c r="CQ838" s="717"/>
      <c r="CR838" s="717"/>
      <c r="CS838" s="717"/>
      <c r="CT838" s="717"/>
      <c r="CU838" s="717"/>
      <c r="CV838" s="717"/>
      <c r="CW838" s="717"/>
      <c r="CX838" s="717"/>
      <c r="CY838" s="717"/>
      <c r="CZ838" s="717"/>
      <c r="DA838" s="717"/>
      <c r="DB838" s="717"/>
      <c r="DC838" s="717"/>
      <c r="DD838" s="717"/>
      <c r="DE838" s="717"/>
      <c r="DF838" s="717"/>
      <c r="DG838" s="717"/>
      <c r="DH838" s="717"/>
      <c r="DI838" s="717"/>
      <c r="DJ838" s="717"/>
      <c r="DM838" s="711"/>
      <c r="DN838" s="711"/>
      <c r="DO838" s="711"/>
      <c r="DP838" s="711"/>
      <c r="DQ838" s="711"/>
      <c r="EB838" s="719"/>
    </row>
    <row r="839" spans="5:132" s="709" customFormat="1" ht="18" hidden="1">
      <c r="E839" s="721"/>
      <c r="H839" s="723">
        <v>330</v>
      </c>
      <c r="I839" s="726"/>
      <c r="J839" s="724"/>
      <c r="K839" s="724"/>
      <c r="L839" s="724"/>
      <c r="M839" s="728"/>
      <c r="N839" s="724"/>
      <c r="O839" s="724"/>
      <c r="P839" s="724"/>
      <c r="Q839" s="724"/>
      <c r="R839" s="724"/>
      <c r="S839" s="724"/>
      <c r="T839" s="724"/>
      <c r="U839" s="724"/>
      <c r="V839" s="724"/>
      <c r="W839" s="724"/>
      <c r="X839" s="724"/>
      <c r="Y839" s="724"/>
      <c r="Z839" s="724"/>
      <c r="AA839" s="724"/>
      <c r="AB839" s="724"/>
      <c r="AC839" s="729"/>
      <c r="AD839" s="724"/>
      <c r="AE839" s="724"/>
      <c r="AF839" s="724"/>
      <c r="AG839" s="724"/>
      <c r="AH839" s="724"/>
      <c r="AI839" s="724"/>
      <c r="AJ839" s="724"/>
      <c r="AU839" s="713"/>
      <c r="AW839" s="712"/>
      <c r="BY839" s="714"/>
      <c r="BZ839" s="715"/>
      <c r="CA839" s="716"/>
      <c r="CB839" s="717"/>
      <c r="CC839" s="717"/>
      <c r="CD839" s="717"/>
      <c r="CE839" s="717"/>
      <c r="CF839" s="717"/>
      <c r="CG839" s="717"/>
      <c r="CH839" s="717"/>
      <c r="CI839" s="717"/>
      <c r="CJ839" s="717"/>
      <c r="CK839" s="717"/>
      <c r="CL839" s="717"/>
      <c r="CM839" s="717"/>
      <c r="CN839" s="717"/>
      <c r="CO839" s="717"/>
      <c r="CP839" s="717"/>
      <c r="CQ839" s="717"/>
      <c r="CR839" s="717"/>
      <c r="CS839" s="717"/>
      <c r="CT839" s="717"/>
      <c r="CU839" s="717"/>
      <c r="CV839" s="717"/>
      <c r="CW839" s="717"/>
      <c r="CX839" s="717"/>
      <c r="CY839" s="717"/>
      <c r="CZ839" s="717"/>
      <c r="DA839" s="717"/>
      <c r="DB839" s="717"/>
      <c r="DC839" s="717"/>
      <c r="DD839" s="717"/>
      <c r="DE839" s="717"/>
      <c r="DF839" s="717"/>
      <c r="DG839" s="717"/>
      <c r="DH839" s="717"/>
      <c r="DI839" s="717"/>
      <c r="DJ839" s="717"/>
      <c r="DM839" s="711"/>
      <c r="DN839" s="711"/>
      <c r="DO839" s="711"/>
      <c r="DP839" s="711"/>
      <c r="DQ839" s="711"/>
      <c r="EB839" s="719"/>
    </row>
    <row r="840" spans="5:132" s="709" customFormat="1" ht="18" hidden="1">
      <c r="E840" s="721"/>
      <c r="H840" s="723">
        <v>331</v>
      </c>
      <c r="I840" s="726"/>
      <c r="J840" s="724"/>
      <c r="K840" s="724"/>
      <c r="L840" s="724"/>
      <c r="M840" s="728"/>
      <c r="N840" s="724"/>
      <c r="O840" s="724"/>
      <c r="P840" s="724"/>
      <c r="Q840" s="724"/>
      <c r="R840" s="724"/>
      <c r="S840" s="724"/>
      <c r="T840" s="724"/>
      <c r="U840" s="724"/>
      <c r="V840" s="724"/>
      <c r="W840" s="724"/>
      <c r="X840" s="724"/>
      <c r="Y840" s="724"/>
      <c r="Z840" s="724"/>
      <c r="AA840" s="724"/>
      <c r="AB840" s="724"/>
      <c r="AC840" s="729"/>
      <c r="AD840" s="724"/>
      <c r="AE840" s="724"/>
      <c r="AF840" s="724"/>
      <c r="AG840" s="724"/>
      <c r="AH840" s="724"/>
      <c r="AI840" s="724"/>
      <c r="AJ840" s="724"/>
      <c r="AU840" s="713"/>
      <c r="AW840" s="712"/>
      <c r="BY840" s="714"/>
      <c r="BZ840" s="715"/>
      <c r="CA840" s="716"/>
      <c r="CB840" s="717"/>
      <c r="CC840" s="717"/>
      <c r="CD840" s="717"/>
      <c r="CE840" s="717"/>
      <c r="CF840" s="717"/>
      <c r="CG840" s="717"/>
      <c r="CH840" s="717"/>
      <c r="CI840" s="717"/>
      <c r="CJ840" s="717"/>
      <c r="CK840" s="717"/>
      <c r="CL840" s="717"/>
      <c r="CM840" s="717"/>
      <c r="CN840" s="717"/>
      <c r="CO840" s="717"/>
      <c r="CP840" s="717"/>
      <c r="CQ840" s="717"/>
      <c r="CR840" s="717"/>
      <c r="CS840" s="717"/>
      <c r="CT840" s="717"/>
      <c r="CU840" s="717"/>
      <c r="CV840" s="717"/>
      <c r="CW840" s="717"/>
      <c r="CX840" s="717"/>
      <c r="CY840" s="717"/>
      <c r="CZ840" s="717"/>
      <c r="DA840" s="717"/>
      <c r="DB840" s="717"/>
      <c r="DC840" s="717"/>
      <c r="DD840" s="717"/>
      <c r="DE840" s="717"/>
      <c r="DF840" s="717"/>
      <c r="DG840" s="717"/>
      <c r="DH840" s="717"/>
      <c r="DI840" s="717"/>
      <c r="DJ840" s="717"/>
      <c r="DM840" s="711"/>
      <c r="DN840" s="711"/>
      <c r="DO840" s="711"/>
      <c r="DP840" s="711"/>
      <c r="DQ840" s="711"/>
      <c r="EB840" s="719"/>
    </row>
    <row r="841" spans="5:132" s="709" customFormat="1" ht="18" hidden="1">
      <c r="E841" s="721"/>
      <c r="H841" s="723">
        <v>332</v>
      </c>
      <c r="I841" s="726"/>
      <c r="J841" s="724"/>
      <c r="K841" s="724"/>
      <c r="L841" s="724"/>
      <c r="M841" s="728"/>
      <c r="N841" s="724"/>
      <c r="O841" s="724"/>
      <c r="P841" s="724"/>
      <c r="Q841" s="724"/>
      <c r="R841" s="724"/>
      <c r="S841" s="724"/>
      <c r="T841" s="724"/>
      <c r="U841" s="724"/>
      <c r="V841" s="724"/>
      <c r="W841" s="724"/>
      <c r="X841" s="724"/>
      <c r="Y841" s="724"/>
      <c r="Z841" s="724"/>
      <c r="AA841" s="724"/>
      <c r="AB841" s="724"/>
      <c r="AC841" s="729"/>
      <c r="AD841" s="724"/>
      <c r="AE841" s="724"/>
      <c r="AF841" s="724"/>
      <c r="AG841" s="724"/>
      <c r="AH841" s="724"/>
      <c r="AI841" s="724"/>
      <c r="AJ841" s="724"/>
      <c r="AU841" s="713"/>
      <c r="AW841" s="712"/>
      <c r="BY841" s="714"/>
      <c r="BZ841" s="715"/>
      <c r="CA841" s="716"/>
      <c r="CB841" s="717"/>
      <c r="CC841" s="717"/>
      <c r="CD841" s="717"/>
      <c r="CE841" s="717"/>
      <c r="CF841" s="717"/>
      <c r="CG841" s="717"/>
      <c r="CH841" s="717"/>
      <c r="CI841" s="717"/>
      <c r="CJ841" s="717"/>
      <c r="CK841" s="717"/>
      <c r="CL841" s="717"/>
      <c r="CM841" s="717"/>
      <c r="CN841" s="717"/>
      <c r="CO841" s="717"/>
      <c r="CP841" s="717"/>
      <c r="CQ841" s="717"/>
      <c r="CR841" s="717"/>
      <c r="CS841" s="717"/>
      <c r="CT841" s="717"/>
      <c r="CU841" s="717"/>
      <c r="CV841" s="717"/>
      <c r="CW841" s="717"/>
      <c r="CX841" s="717"/>
      <c r="CY841" s="717"/>
      <c r="CZ841" s="717"/>
      <c r="DA841" s="717"/>
      <c r="DB841" s="717"/>
      <c r="DC841" s="717"/>
      <c r="DD841" s="717"/>
      <c r="DE841" s="717"/>
      <c r="DF841" s="717"/>
      <c r="DG841" s="717"/>
      <c r="DH841" s="717"/>
      <c r="DI841" s="717"/>
      <c r="DJ841" s="717"/>
      <c r="DM841" s="711"/>
      <c r="DN841" s="711"/>
      <c r="DO841" s="711"/>
      <c r="DP841" s="711"/>
      <c r="DQ841" s="711"/>
      <c r="EB841" s="719"/>
    </row>
    <row r="842" spans="5:132" s="709" customFormat="1" ht="18" hidden="1">
      <c r="E842" s="721"/>
      <c r="H842" s="723">
        <v>336</v>
      </c>
      <c r="I842" s="726"/>
      <c r="J842" s="724"/>
      <c r="K842" s="724"/>
      <c r="L842" s="724"/>
      <c r="M842" s="728"/>
      <c r="N842" s="724"/>
      <c r="O842" s="724"/>
      <c r="P842" s="724"/>
      <c r="Q842" s="724"/>
      <c r="R842" s="724"/>
      <c r="S842" s="724"/>
      <c r="T842" s="724"/>
      <c r="U842" s="724"/>
      <c r="V842" s="724"/>
      <c r="W842" s="724"/>
      <c r="X842" s="724"/>
      <c r="Y842" s="724"/>
      <c r="Z842" s="724"/>
      <c r="AA842" s="724"/>
      <c r="AB842" s="724"/>
      <c r="AC842" s="729"/>
      <c r="AD842" s="724"/>
      <c r="AE842" s="724"/>
      <c r="AF842" s="724"/>
      <c r="AG842" s="724"/>
      <c r="AH842" s="724"/>
      <c r="AI842" s="724"/>
      <c r="AJ842" s="724"/>
      <c r="AU842" s="713"/>
      <c r="AW842" s="712"/>
      <c r="BY842" s="714"/>
      <c r="BZ842" s="715"/>
      <c r="CA842" s="716"/>
      <c r="CB842" s="717"/>
      <c r="CC842" s="717"/>
      <c r="CD842" s="717"/>
      <c r="CE842" s="717"/>
      <c r="CF842" s="717"/>
      <c r="CG842" s="717"/>
      <c r="CH842" s="717"/>
      <c r="CI842" s="717"/>
      <c r="CJ842" s="717"/>
      <c r="CK842" s="717"/>
      <c r="CL842" s="717"/>
      <c r="CM842" s="717"/>
      <c r="CN842" s="717"/>
      <c r="CO842" s="717"/>
      <c r="CP842" s="717"/>
      <c r="CQ842" s="717"/>
      <c r="CR842" s="717"/>
      <c r="CS842" s="717"/>
      <c r="CT842" s="717"/>
      <c r="CU842" s="717"/>
      <c r="CV842" s="717"/>
      <c r="CW842" s="717"/>
      <c r="CX842" s="717"/>
      <c r="CY842" s="717"/>
      <c r="CZ842" s="717"/>
      <c r="DA842" s="717"/>
      <c r="DB842" s="717"/>
      <c r="DC842" s="717"/>
      <c r="DD842" s="717"/>
      <c r="DE842" s="717"/>
      <c r="DF842" s="717"/>
      <c r="DG842" s="717"/>
      <c r="DH842" s="717"/>
      <c r="DI842" s="717"/>
      <c r="DJ842" s="717"/>
      <c r="DM842" s="711"/>
      <c r="DN842" s="711"/>
      <c r="DO842" s="711"/>
      <c r="DP842" s="711"/>
      <c r="DQ842" s="711"/>
      <c r="EB842" s="719"/>
    </row>
    <row r="843" spans="5:132" s="709" customFormat="1" ht="18" hidden="1">
      <c r="E843" s="721"/>
      <c r="H843" s="723">
        <v>337</v>
      </c>
      <c r="I843" s="726"/>
      <c r="J843" s="724"/>
      <c r="K843" s="724"/>
      <c r="L843" s="724"/>
      <c r="M843" s="728"/>
      <c r="N843" s="724"/>
      <c r="O843" s="724"/>
      <c r="P843" s="724"/>
      <c r="Q843" s="724"/>
      <c r="R843" s="724"/>
      <c r="S843" s="724"/>
      <c r="T843" s="724"/>
      <c r="U843" s="724"/>
      <c r="V843" s="724"/>
      <c r="W843" s="724"/>
      <c r="X843" s="724"/>
      <c r="Y843" s="724"/>
      <c r="Z843" s="724"/>
      <c r="AA843" s="724"/>
      <c r="AB843" s="724"/>
      <c r="AC843" s="729"/>
      <c r="AD843" s="724"/>
      <c r="AE843" s="724"/>
      <c r="AF843" s="724"/>
      <c r="AG843" s="724"/>
      <c r="AH843" s="724"/>
      <c r="AI843" s="724"/>
      <c r="AJ843" s="724"/>
      <c r="AU843" s="713"/>
      <c r="AW843" s="712"/>
      <c r="BY843" s="714"/>
      <c r="BZ843" s="715"/>
      <c r="CA843" s="716"/>
      <c r="CB843" s="717"/>
      <c r="CC843" s="717"/>
      <c r="CD843" s="717"/>
      <c r="CE843" s="717"/>
      <c r="CF843" s="717"/>
      <c r="CG843" s="717"/>
      <c r="CH843" s="717"/>
      <c r="CI843" s="717"/>
      <c r="CJ843" s="717"/>
      <c r="CK843" s="717"/>
      <c r="CL843" s="717"/>
      <c r="CM843" s="717"/>
      <c r="CN843" s="717"/>
      <c r="CO843" s="717"/>
      <c r="CP843" s="717"/>
      <c r="CQ843" s="717"/>
      <c r="CR843" s="717"/>
      <c r="CS843" s="717"/>
      <c r="CT843" s="717"/>
      <c r="CU843" s="717"/>
      <c r="CV843" s="717"/>
      <c r="CW843" s="717"/>
      <c r="CX843" s="717"/>
      <c r="CY843" s="717"/>
      <c r="CZ843" s="717"/>
      <c r="DA843" s="717"/>
      <c r="DB843" s="717"/>
      <c r="DC843" s="717"/>
      <c r="DD843" s="717"/>
      <c r="DE843" s="717"/>
      <c r="DF843" s="717"/>
      <c r="DG843" s="717"/>
      <c r="DH843" s="717"/>
      <c r="DI843" s="717"/>
      <c r="DJ843" s="717"/>
      <c r="DM843" s="711"/>
      <c r="DN843" s="711"/>
      <c r="DO843" s="711"/>
      <c r="DP843" s="711"/>
      <c r="DQ843" s="711"/>
      <c r="EB843" s="719"/>
    </row>
    <row r="844" spans="5:132" s="709" customFormat="1" ht="18" hidden="1">
      <c r="E844" s="721"/>
      <c r="H844" s="723">
        <v>338</v>
      </c>
      <c r="I844" s="726"/>
      <c r="J844" s="724"/>
      <c r="K844" s="724"/>
      <c r="L844" s="724"/>
      <c r="M844" s="728"/>
      <c r="N844" s="724"/>
      <c r="O844" s="724"/>
      <c r="P844" s="724"/>
      <c r="Q844" s="724"/>
      <c r="R844" s="724"/>
      <c r="S844" s="724"/>
      <c r="T844" s="724"/>
      <c r="U844" s="724"/>
      <c r="V844" s="724"/>
      <c r="W844" s="724"/>
      <c r="X844" s="724"/>
      <c r="Y844" s="724"/>
      <c r="Z844" s="724"/>
      <c r="AA844" s="724"/>
      <c r="AB844" s="724"/>
      <c r="AC844" s="729"/>
      <c r="AD844" s="724"/>
      <c r="AE844" s="724"/>
      <c r="AF844" s="724"/>
      <c r="AG844" s="724"/>
      <c r="AH844" s="724"/>
      <c r="AI844" s="724"/>
      <c r="AJ844" s="724"/>
      <c r="AU844" s="713"/>
      <c r="AW844" s="712"/>
      <c r="BY844" s="714"/>
      <c r="BZ844" s="715"/>
      <c r="CA844" s="716"/>
      <c r="CB844" s="717"/>
      <c r="CC844" s="717"/>
      <c r="CD844" s="717"/>
      <c r="CE844" s="717"/>
      <c r="CF844" s="717"/>
      <c r="CG844" s="717"/>
      <c r="CH844" s="717"/>
      <c r="CI844" s="717"/>
      <c r="CJ844" s="717"/>
      <c r="CK844" s="717"/>
      <c r="CL844" s="717"/>
      <c r="CM844" s="717"/>
      <c r="CN844" s="717"/>
      <c r="CO844" s="717"/>
      <c r="CP844" s="717"/>
      <c r="CQ844" s="717"/>
      <c r="CR844" s="717"/>
      <c r="CS844" s="717"/>
      <c r="CT844" s="717"/>
      <c r="CU844" s="717"/>
      <c r="CV844" s="717"/>
      <c r="CW844" s="717"/>
      <c r="CX844" s="717"/>
      <c r="CY844" s="717"/>
      <c r="CZ844" s="717"/>
      <c r="DA844" s="717"/>
      <c r="DB844" s="717"/>
      <c r="DC844" s="717"/>
      <c r="DD844" s="717"/>
      <c r="DE844" s="717"/>
      <c r="DF844" s="717"/>
      <c r="DG844" s="717"/>
      <c r="DH844" s="717"/>
      <c r="DI844" s="717"/>
      <c r="DJ844" s="717"/>
      <c r="DM844" s="711"/>
      <c r="DN844" s="711"/>
      <c r="DO844" s="711"/>
      <c r="DP844" s="711"/>
      <c r="DQ844" s="711"/>
      <c r="EB844" s="719"/>
    </row>
    <row r="845" spans="5:132" s="709" customFormat="1" ht="18" hidden="1">
      <c r="E845" s="721"/>
      <c r="H845" s="723">
        <v>339</v>
      </c>
      <c r="I845" s="726"/>
      <c r="J845" s="724"/>
      <c r="K845" s="724"/>
      <c r="L845" s="724"/>
      <c r="M845" s="728"/>
      <c r="N845" s="724"/>
      <c r="O845" s="724"/>
      <c r="P845" s="724"/>
      <c r="Q845" s="724"/>
      <c r="R845" s="724"/>
      <c r="S845" s="724"/>
      <c r="T845" s="724"/>
      <c r="U845" s="724"/>
      <c r="V845" s="724"/>
      <c r="W845" s="724"/>
      <c r="X845" s="724"/>
      <c r="Y845" s="724"/>
      <c r="Z845" s="724"/>
      <c r="AA845" s="724"/>
      <c r="AB845" s="724"/>
      <c r="AC845" s="729"/>
      <c r="AD845" s="724"/>
      <c r="AE845" s="724"/>
      <c r="AF845" s="724"/>
      <c r="AG845" s="724"/>
      <c r="AH845" s="724"/>
      <c r="AI845" s="724"/>
      <c r="AJ845" s="724"/>
      <c r="AU845" s="713"/>
      <c r="AW845" s="712"/>
      <c r="BY845" s="714"/>
      <c r="BZ845" s="715"/>
      <c r="CA845" s="716"/>
      <c r="CB845" s="717"/>
      <c r="CC845" s="717"/>
      <c r="CD845" s="717"/>
      <c r="CE845" s="717"/>
      <c r="CF845" s="717"/>
      <c r="CG845" s="717"/>
      <c r="CH845" s="717"/>
      <c r="CI845" s="717"/>
      <c r="CJ845" s="717"/>
      <c r="CK845" s="717"/>
      <c r="CL845" s="717"/>
      <c r="CM845" s="717"/>
      <c r="CN845" s="717"/>
      <c r="CO845" s="717"/>
      <c r="CP845" s="717"/>
      <c r="CQ845" s="717"/>
      <c r="CR845" s="717"/>
      <c r="CS845" s="717"/>
      <c r="CT845" s="717"/>
      <c r="CU845" s="717"/>
      <c r="CV845" s="717"/>
      <c r="CW845" s="717"/>
      <c r="CX845" s="717"/>
      <c r="CY845" s="717"/>
      <c r="CZ845" s="717"/>
      <c r="DA845" s="717"/>
      <c r="DB845" s="717"/>
      <c r="DC845" s="717"/>
      <c r="DD845" s="717"/>
      <c r="DE845" s="717"/>
      <c r="DF845" s="717"/>
      <c r="DG845" s="717"/>
      <c r="DH845" s="717"/>
      <c r="DI845" s="717"/>
      <c r="DJ845" s="717"/>
      <c r="DM845" s="711"/>
      <c r="DN845" s="711"/>
      <c r="DO845" s="711"/>
      <c r="DP845" s="711"/>
      <c r="DQ845" s="711"/>
      <c r="EB845" s="719"/>
    </row>
    <row r="846" spans="5:132" s="709" customFormat="1" ht="18" hidden="1">
      <c r="E846" s="721"/>
      <c r="H846" s="723">
        <v>340</v>
      </c>
      <c r="I846" s="726"/>
      <c r="J846" s="724"/>
      <c r="K846" s="724"/>
      <c r="L846" s="724"/>
      <c r="M846" s="728"/>
      <c r="N846" s="724"/>
      <c r="O846" s="724"/>
      <c r="P846" s="724"/>
      <c r="Q846" s="724"/>
      <c r="R846" s="724"/>
      <c r="S846" s="724"/>
      <c r="T846" s="724"/>
      <c r="U846" s="724"/>
      <c r="V846" s="724"/>
      <c r="W846" s="724"/>
      <c r="X846" s="724"/>
      <c r="Y846" s="724"/>
      <c r="Z846" s="724"/>
      <c r="AA846" s="724"/>
      <c r="AB846" s="724"/>
      <c r="AC846" s="729"/>
      <c r="AD846" s="724"/>
      <c r="AE846" s="724"/>
      <c r="AF846" s="724"/>
      <c r="AG846" s="724"/>
      <c r="AH846" s="724"/>
      <c r="AI846" s="724"/>
      <c r="AJ846" s="724"/>
      <c r="AU846" s="713"/>
      <c r="AW846" s="712"/>
      <c r="BY846" s="714"/>
      <c r="BZ846" s="715"/>
      <c r="CA846" s="716"/>
      <c r="CB846" s="717"/>
      <c r="CC846" s="717"/>
      <c r="CD846" s="717"/>
      <c r="CE846" s="717"/>
      <c r="CF846" s="717"/>
      <c r="CG846" s="717"/>
      <c r="CH846" s="717"/>
      <c r="CI846" s="717"/>
      <c r="CJ846" s="717"/>
      <c r="CK846" s="717"/>
      <c r="CL846" s="717"/>
      <c r="CM846" s="717"/>
      <c r="CN846" s="717"/>
      <c r="CO846" s="717"/>
      <c r="CP846" s="717"/>
      <c r="CQ846" s="717"/>
      <c r="CR846" s="717"/>
      <c r="CS846" s="717"/>
      <c r="CT846" s="717"/>
      <c r="CU846" s="717"/>
      <c r="CV846" s="717"/>
      <c r="CW846" s="717"/>
      <c r="CX846" s="717"/>
      <c r="CY846" s="717"/>
      <c r="CZ846" s="717"/>
      <c r="DA846" s="717"/>
      <c r="DB846" s="717"/>
      <c r="DC846" s="717"/>
      <c r="DD846" s="717"/>
      <c r="DE846" s="717"/>
      <c r="DF846" s="717"/>
      <c r="DG846" s="717"/>
      <c r="DH846" s="717"/>
      <c r="DI846" s="717"/>
      <c r="DJ846" s="717"/>
      <c r="DM846" s="711"/>
      <c r="DN846" s="711"/>
      <c r="DO846" s="711"/>
      <c r="DP846" s="711"/>
      <c r="DQ846" s="711"/>
      <c r="EB846" s="719"/>
    </row>
    <row r="847" spans="5:132" s="709" customFormat="1" ht="18" hidden="1">
      <c r="E847" s="721"/>
      <c r="H847" s="723">
        <v>341</v>
      </c>
      <c r="I847" s="726"/>
      <c r="J847" s="724"/>
      <c r="K847" s="724"/>
      <c r="L847" s="724"/>
      <c r="M847" s="728"/>
      <c r="N847" s="724"/>
      <c r="O847" s="724"/>
      <c r="P847" s="724"/>
      <c r="Q847" s="724"/>
      <c r="R847" s="724"/>
      <c r="S847" s="724"/>
      <c r="T847" s="724"/>
      <c r="U847" s="724"/>
      <c r="V847" s="724"/>
      <c r="W847" s="724"/>
      <c r="X847" s="724"/>
      <c r="Y847" s="724"/>
      <c r="Z847" s="724"/>
      <c r="AA847" s="724"/>
      <c r="AB847" s="724"/>
      <c r="AC847" s="729"/>
      <c r="AD847" s="724"/>
      <c r="AE847" s="724"/>
      <c r="AF847" s="724"/>
      <c r="AG847" s="724"/>
      <c r="AH847" s="724"/>
      <c r="AI847" s="724"/>
      <c r="AJ847" s="724"/>
      <c r="AU847" s="713"/>
      <c r="AW847" s="712"/>
      <c r="BY847" s="714"/>
      <c r="BZ847" s="715"/>
      <c r="CA847" s="716"/>
      <c r="CB847" s="717"/>
      <c r="CC847" s="717"/>
      <c r="CD847" s="717"/>
      <c r="CE847" s="717"/>
      <c r="CF847" s="717"/>
      <c r="CG847" s="717"/>
      <c r="CH847" s="717"/>
      <c r="CI847" s="717"/>
      <c r="CJ847" s="717"/>
      <c r="CK847" s="717"/>
      <c r="CL847" s="717"/>
      <c r="CM847" s="717"/>
      <c r="CN847" s="717"/>
      <c r="CO847" s="717"/>
      <c r="CP847" s="717"/>
      <c r="CQ847" s="717"/>
      <c r="CR847" s="717"/>
      <c r="CS847" s="717"/>
      <c r="CT847" s="717"/>
      <c r="CU847" s="717"/>
      <c r="CV847" s="717"/>
      <c r="CW847" s="717"/>
      <c r="CX847" s="717"/>
      <c r="CY847" s="717"/>
      <c r="CZ847" s="717"/>
      <c r="DA847" s="717"/>
      <c r="DB847" s="717"/>
      <c r="DC847" s="717"/>
      <c r="DD847" s="717"/>
      <c r="DE847" s="717"/>
      <c r="DF847" s="717"/>
      <c r="DG847" s="717"/>
      <c r="DH847" s="717"/>
      <c r="DI847" s="717"/>
      <c r="DJ847" s="717"/>
      <c r="DM847" s="711"/>
      <c r="DN847" s="711"/>
      <c r="DO847" s="711"/>
      <c r="DP847" s="711"/>
      <c r="DQ847" s="711"/>
      <c r="EB847" s="719"/>
    </row>
    <row r="848" spans="5:132" s="709" customFormat="1" ht="18" hidden="1">
      <c r="E848" s="721"/>
      <c r="H848" s="723">
        <v>342</v>
      </c>
      <c r="I848" s="726"/>
      <c r="J848" s="724"/>
      <c r="K848" s="724"/>
      <c r="L848" s="724"/>
      <c r="M848" s="728"/>
      <c r="N848" s="724"/>
      <c r="O848" s="724"/>
      <c r="P848" s="724"/>
      <c r="Q848" s="724"/>
      <c r="R848" s="724"/>
      <c r="S848" s="724"/>
      <c r="T848" s="724"/>
      <c r="U848" s="724"/>
      <c r="V848" s="724"/>
      <c r="W848" s="724"/>
      <c r="X848" s="724"/>
      <c r="Y848" s="724"/>
      <c r="Z848" s="724"/>
      <c r="AA848" s="724"/>
      <c r="AB848" s="724"/>
      <c r="AC848" s="729"/>
      <c r="AD848" s="724"/>
      <c r="AE848" s="724"/>
      <c r="AF848" s="724"/>
      <c r="AG848" s="724"/>
      <c r="AH848" s="724"/>
      <c r="AI848" s="724"/>
      <c r="AJ848" s="724"/>
      <c r="AU848" s="713"/>
      <c r="AW848" s="712"/>
      <c r="BY848" s="714"/>
      <c r="BZ848" s="715"/>
      <c r="CA848" s="716"/>
      <c r="CB848" s="717"/>
      <c r="CC848" s="717"/>
      <c r="CD848" s="717"/>
      <c r="CE848" s="717"/>
      <c r="CF848" s="717"/>
      <c r="CG848" s="717"/>
      <c r="CH848" s="717"/>
      <c r="CI848" s="717"/>
      <c r="CJ848" s="717"/>
      <c r="CK848" s="717"/>
      <c r="CL848" s="717"/>
      <c r="CM848" s="717"/>
      <c r="CN848" s="717"/>
      <c r="CO848" s="717"/>
      <c r="CP848" s="717"/>
      <c r="CQ848" s="717"/>
      <c r="CR848" s="717"/>
      <c r="CS848" s="717"/>
      <c r="CT848" s="717"/>
      <c r="CU848" s="717"/>
      <c r="CV848" s="717"/>
      <c r="CW848" s="717"/>
      <c r="CX848" s="717"/>
      <c r="CY848" s="717"/>
      <c r="CZ848" s="717"/>
      <c r="DA848" s="717"/>
      <c r="DB848" s="717"/>
      <c r="DC848" s="717"/>
      <c r="DD848" s="717"/>
      <c r="DE848" s="717"/>
      <c r="DF848" s="717"/>
      <c r="DG848" s="717"/>
      <c r="DH848" s="717"/>
      <c r="DI848" s="717"/>
      <c r="DJ848" s="717"/>
      <c r="DM848" s="711"/>
      <c r="DN848" s="711"/>
      <c r="DO848" s="711"/>
      <c r="DP848" s="711"/>
      <c r="DQ848" s="711"/>
      <c r="EB848" s="719"/>
    </row>
    <row r="849" spans="5:132" s="709" customFormat="1" ht="18" hidden="1">
      <c r="E849" s="721"/>
      <c r="H849" s="723">
        <v>343</v>
      </c>
      <c r="I849" s="726"/>
      <c r="J849" s="724"/>
      <c r="K849" s="724"/>
      <c r="L849" s="724"/>
      <c r="M849" s="728"/>
      <c r="N849" s="724"/>
      <c r="O849" s="724"/>
      <c r="P849" s="724"/>
      <c r="Q849" s="724"/>
      <c r="R849" s="724"/>
      <c r="S849" s="724"/>
      <c r="T849" s="724"/>
      <c r="U849" s="724"/>
      <c r="V849" s="724"/>
      <c r="W849" s="724"/>
      <c r="X849" s="724"/>
      <c r="Y849" s="724"/>
      <c r="Z849" s="724"/>
      <c r="AA849" s="724"/>
      <c r="AB849" s="724"/>
      <c r="AC849" s="729"/>
      <c r="AD849" s="724"/>
      <c r="AE849" s="724"/>
      <c r="AF849" s="724"/>
      <c r="AG849" s="724"/>
      <c r="AH849" s="724"/>
      <c r="AI849" s="724"/>
      <c r="AJ849" s="724"/>
      <c r="AU849" s="713"/>
      <c r="AW849" s="712"/>
      <c r="BY849" s="714"/>
      <c r="BZ849" s="715"/>
      <c r="CA849" s="716"/>
      <c r="CB849" s="717"/>
      <c r="CC849" s="717"/>
      <c r="CD849" s="717"/>
      <c r="CE849" s="717"/>
      <c r="CF849" s="717"/>
      <c r="CG849" s="717"/>
      <c r="CH849" s="717"/>
      <c r="CI849" s="717"/>
      <c r="CJ849" s="717"/>
      <c r="CK849" s="717"/>
      <c r="CL849" s="717"/>
      <c r="CM849" s="717"/>
      <c r="CN849" s="717"/>
      <c r="CO849" s="717"/>
      <c r="CP849" s="717"/>
      <c r="CQ849" s="717"/>
      <c r="CR849" s="717"/>
      <c r="CS849" s="717"/>
      <c r="CT849" s="717"/>
      <c r="CU849" s="717"/>
      <c r="CV849" s="717"/>
      <c r="CW849" s="717"/>
      <c r="CX849" s="717"/>
      <c r="CY849" s="717"/>
      <c r="CZ849" s="717"/>
      <c r="DA849" s="717"/>
      <c r="DB849" s="717"/>
      <c r="DC849" s="717"/>
      <c r="DD849" s="717"/>
      <c r="DE849" s="717"/>
      <c r="DF849" s="717"/>
      <c r="DG849" s="717"/>
      <c r="DH849" s="717"/>
      <c r="DI849" s="717"/>
      <c r="DJ849" s="717"/>
      <c r="DM849" s="711"/>
      <c r="DN849" s="711"/>
      <c r="DO849" s="711"/>
      <c r="DP849" s="711"/>
      <c r="DQ849" s="711"/>
      <c r="EB849" s="719"/>
    </row>
    <row r="850" spans="5:132" s="709" customFormat="1" ht="18" hidden="1">
      <c r="E850" s="721"/>
      <c r="H850" s="723">
        <v>344</v>
      </c>
      <c r="I850" s="726"/>
      <c r="J850" s="724"/>
      <c r="K850" s="724"/>
      <c r="L850" s="724"/>
      <c r="M850" s="728"/>
      <c r="N850" s="724"/>
      <c r="O850" s="724"/>
      <c r="P850" s="724"/>
      <c r="Q850" s="724"/>
      <c r="R850" s="724"/>
      <c r="S850" s="724"/>
      <c r="T850" s="724"/>
      <c r="U850" s="724"/>
      <c r="V850" s="724"/>
      <c r="W850" s="724"/>
      <c r="X850" s="724"/>
      <c r="Y850" s="724"/>
      <c r="Z850" s="724"/>
      <c r="AA850" s="724"/>
      <c r="AB850" s="724"/>
      <c r="AC850" s="729"/>
      <c r="AD850" s="724"/>
      <c r="AE850" s="724"/>
      <c r="AF850" s="724"/>
      <c r="AG850" s="724"/>
      <c r="AH850" s="724"/>
      <c r="AI850" s="724"/>
      <c r="AJ850" s="724"/>
      <c r="AU850" s="713"/>
      <c r="AW850" s="712"/>
      <c r="BY850" s="714"/>
      <c r="BZ850" s="715"/>
      <c r="CA850" s="716"/>
      <c r="CB850" s="717"/>
      <c r="CC850" s="717"/>
      <c r="CD850" s="717"/>
      <c r="CE850" s="717"/>
      <c r="CF850" s="717"/>
      <c r="CG850" s="717"/>
      <c r="CH850" s="717"/>
      <c r="CI850" s="717"/>
      <c r="CJ850" s="717"/>
      <c r="CK850" s="717"/>
      <c r="CL850" s="717"/>
      <c r="CM850" s="717"/>
      <c r="CN850" s="717"/>
      <c r="CO850" s="717"/>
      <c r="CP850" s="717"/>
      <c r="CQ850" s="717"/>
      <c r="CR850" s="717"/>
      <c r="CS850" s="717"/>
      <c r="CT850" s="717"/>
      <c r="CU850" s="717"/>
      <c r="CV850" s="717"/>
      <c r="CW850" s="717"/>
      <c r="CX850" s="717"/>
      <c r="CY850" s="717"/>
      <c r="CZ850" s="717"/>
      <c r="DA850" s="717"/>
      <c r="DB850" s="717"/>
      <c r="DC850" s="717"/>
      <c r="DD850" s="717"/>
      <c r="DE850" s="717"/>
      <c r="DF850" s="717"/>
      <c r="DG850" s="717"/>
      <c r="DH850" s="717"/>
      <c r="DI850" s="717"/>
      <c r="DJ850" s="717"/>
      <c r="DM850" s="711"/>
      <c r="DN850" s="711"/>
      <c r="DO850" s="711"/>
      <c r="DP850" s="711"/>
      <c r="DQ850" s="711"/>
      <c r="EB850" s="719"/>
    </row>
    <row r="851" spans="5:132" s="709" customFormat="1" ht="18" hidden="1">
      <c r="E851" s="721"/>
      <c r="H851" s="723">
        <v>345</v>
      </c>
      <c r="I851" s="726"/>
      <c r="J851" s="724"/>
      <c r="K851" s="724"/>
      <c r="L851" s="724"/>
      <c r="M851" s="728"/>
      <c r="N851" s="724"/>
      <c r="O851" s="724"/>
      <c r="P851" s="724"/>
      <c r="Q851" s="724"/>
      <c r="R851" s="724"/>
      <c r="S851" s="724"/>
      <c r="T851" s="724"/>
      <c r="U851" s="724"/>
      <c r="V851" s="724"/>
      <c r="W851" s="724"/>
      <c r="X851" s="724"/>
      <c r="Y851" s="724"/>
      <c r="Z851" s="724"/>
      <c r="AA851" s="724"/>
      <c r="AB851" s="724"/>
      <c r="AC851" s="729"/>
      <c r="AD851" s="724"/>
      <c r="AE851" s="724"/>
      <c r="AF851" s="724"/>
      <c r="AG851" s="724"/>
      <c r="AH851" s="724"/>
      <c r="AI851" s="724"/>
      <c r="AJ851" s="724"/>
      <c r="AU851" s="713"/>
      <c r="AW851" s="712"/>
      <c r="BY851" s="714"/>
      <c r="BZ851" s="715"/>
      <c r="CA851" s="716"/>
      <c r="CB851" s="717"/>
      <c r="CC851" s="717"/>
      <c r="CD851" s="717"/>
      <c r="CE851" s="717"/>
      <c r="CF851" s="717"/>
      <c r="CG851" s="717"/>
      <c r="CH851" s="717"/>
      <c r="CI851" s="717"/>
      <c r="CJ851" s="717"/>
      <c r="CK851" s="717"/>
      <c r="CL851" s="717"/>
      <c r="CM851" s="717"/>
      <c r="CN851" s="717"/>
      <c r="CO851" s="717"/>
      <c r="CP851" s="717"/>
      <c r="CQ851" s="717"/>
      <c r="CR851" s="717"/>
      <c r="CS851" s="717"/>
      <c r="CT851" s="717"/>
      <c r="CU851" s="717"/>
      <c r="CV851" s="717"/>
      <c r="CW851" s="717"/>
      <c r="CX851" s="717"/>
      <c r="CY851" s="717"/>
      <c r="CZ851" s="717"/>
      <c r="DA851" s="717"/>
      <c r="DB851" s="717"/>
      <c r="DC851" s="717"/>
      <c r="DD851" s="717"/>
      <c r="DE851" s="717"/>
      <c r="DF851" s="717"/>
      <c r="DG851" s="717"/>
      <c r="DH851" s="717"/>
      <c r="DI851" s="717"/>
      <c r="DJ851" s="717"/>
      <c r="DM851" s="711"/>
      <c r="DN851" s="711"/>
      <c r="DO851" s="711"/>
      <c r="DP851" s="711"/>
      <c r="DQ851" s="711"/>
      <c r="EB851" s="719"/>
    </row>
    <row r="852" spans="5:132" s="709" customFormat="1" ht="18" hidden="1">
      <c r="E852" s="721"/>
      <c r="H852" s="723">
        <v>346</v>
      </c>
      <c r="I852" s="726"/>
      <c r="J852" s="724"/>
      <c r="K852" s="724"/>
      <c r="L852" s="724"/>
      <c r="M852" s="728"/>
      <c r="N852" s="724"/>
      <c r="O852" s="724"/>
      <c r="P852" s="724"/>
      <c r="Q852" s="724"/>
      <c r="R852" s="724"/>
      <c r="S852" s="724"/>
      <c r="T852" s="724"/>
      <c r="U852" s="724"/>
      <c r="V852" s="724"/>
      <c r="W852" s="724"/>
      <c r="X852" s="724"/>
      <c r="Y852" s="724"/>
      <c r="Z852" s="724"/>
      <c r="AA852" s="724"/>
      <c r="AB852" s="724"/>
      <c r="AC852" s="729"/>
      <c r="AD852" s="724"/>
      <c r="AE852" s="724"/>
      <c r="AF852" s="724"/>
      <c r="AG852" s="724"/>
      <c r="AH852" s="724"/>
      <c r="AI852" s="724"/>
      <c r="AJ852" s="724"/>
      <c r="AU852" s="713"/>
      <c r="AW852" s="712"/>
      <c r="BY852" s="714"/>
      <c r="BZ852" s="715"/>
      <c r="CA852" s="716"/>
      <c r="CB852" s="717"/>
      <c r="CC852" s="717"/>
      <c r="CD852" s="717"/>
      <c r="CE852" s="717"/>
      <c r="CF852" s="717"/>
      <c r="CG852" s="717"/>
      <c r="CH852" s="717"/>
      <c r="CI852" s="717"/>
      <c r="CJ852" s="717"/>
      <c r="CK852" s="717"/>
      <c r="CL852" s="717"/>
      <c r="CM852" s="717"/>
      <c r="CN852" s="717"/>
      <c r="CO852" s="717"/>
      <c r="CP852" s="717"/>
      <c r="CQ852" s="717"/>
      <c r="CR852" s="717"/>
      <c r="CS852" s="717"/>
      <c r="CT852" s="717"/>
      <c r="CU852" s="717"/>
      <c r="CV852" s="717"/>
      <c r="CW852" s="717"/>
      <c r="CX852" s="717"/>
      <c r="CY852" s="717"/>
      <c r="CZ852" s="717"/>
      <c r="DA852" s="717"/>
      <c r="DB852" s="717"/>
      <c r="DC852" s="717"/>
      <c r="DD852" s="717"/>
      <c r="DE852" s="717"/>
      <c r="DF852" s="717"/>
      <c r="DG852" s="717"/>
      <c r="DH852" s="717"/>
      <c r="DI852" s="717"/>
      <c r="DJ852" s="717"/>
      <c r="DM852" s="711"/>
      <c r="DN852" s="711"/>
      <c r="DO852" s="711"/>
      <c r="DP852" s="711"/>
      <c r="DQ852" s="711"/>
      <c r="EB852" s="719"/>
    </row>
    <row r="853" spans="5:132" s="709" customFormat="1" ht="18" hidden="1">
      <c r="E853" s="721"/>
      <c r="H853" s="723">
        <v>349</v>
      </c>
      <c r="I853" s="726"/>
      <c r="J853" s="724"/>
      <c r="K853" s="724"/>
      <c r="L853" s="724"/>
      <c r="M853" s="728"/>
      <c r="N853" s="724"/>
      <c r="O853" s="724"/>
      <c r="P853" s="724"/>
      <c r="Q853" s="724"/>
      <c r="R853" s="724"/>
      <c r="S853" s="724"/>
      <c r="T853" s="724"/>
      <c r="U853" s="724"/>
      <c r="V853" s="724"/>
      <c r="W853" s="724"/>
      <c r="X853" s="724"/>
      <c r="Y853" s="724"/>
      <c r="Z853" s="724"/>
      <c r="AA853" s="724"/>
      <c r="AB853" s="724"/>
      <c r="AC853" s="729"/>
      <c r="AD853" s="724"/>
      <c r="AE853" s="724"/>
      <c r="AF853" s="724"/>
      <c r="AG853" s="724"/>
      <c r="AH853" s="724"/>
      <c r="AI853" s="724"/>
      <c r="AJ853" s="724"/>
      <c r="AU853" s="713"/>
      <c r="AW853" s="712"/>
      <c r="BY853" s="714"/>
      <c r="BZ853" s="715"/>
      <c r="CA853" s="716"/>
      <c r="CB853" s="717"/>
      <c r="CC853" s="717"/>
      <c r="CD853" s="717"/>
      <c r="CE853" s="717"/>
      <c r="CF853" s="717"/>
      <c r="CG853" s="717"/>
      <c r="CH853" s="717"/>
      <c r="CI853" s="717"/>
      <c r="CJ853" s="717"/>
      <c r="CK853" s="717"/>
      <c r="CL853" s="717"/>
      <c r="CM853" s="717"/>
      <c r="CN853" s="717"/>
      <c r="CO853" s="717"/>
      <c r="CP853" s="717"/>
      <c r="CQ853" s="717"/>
      <c r="CR853" s="717"/>
      <c r="CS853" s="717"/>
      <c r="CT853" s="717"/>
      <c r="CU853" s="717"/>
      <c r="CV853" s="717"/>
      <c r="CW853" s="717"/>
      <c r="CX853" s="717"/>
      <c r="CY853" s="717"/>
      <c r="CZ853" s="717"/>
      <c r="DA853" s="717"/>
      <c r="DB853" s="717"/>
      <c r="DC853" s="717"/>
      <c r="DD853" s="717"/>
      <c r="DE853" s="717"/>
      <c r="DF853" s="717"/>
      <c r="DG853" s="717"/>
      <c r="DH853" s="717"/>
      <c r="DI853" s="717"/>
      <c r="DJ853" s="717"/>
      <c r="DM853" s="711"/>
      <c r="DN853" s="711"/>
      <c r="DO853" s="711"/>
      <c r="DP853" s="711"/>
      <c r="DQ853" s="711"/>
      <c r="EB853" s="719"/>
    </row>
    <row r="854" spans="5:132" s="709" customFormat="1" ht="18" hidden="1">
      <c r="E854" s="721"/>
      <c r="H854" s="723">
        <v>350</v>
      </c>
      <c r="I854" s="726"/>
      <c r="J854" s="724"/>
      <c r="K854" s="724"/>
      <c r="L854" s="724"/>
      <c r="M854" s="728"/>
      <c r="N854" s="724"/>
      <c r="O854" s="724"/>
      <c r="P854" s="724"/>
      <c r="Q854" s="724"/>
      <c r="R854" s="724"/>
      <c r="S854" s="724"/>
      <c r="T854" s="724"/>
      <c r="U854" s="724"/>
      <c r="V854" s="724"/>
      <c r="W854" s="724"/>
      <c r="X854" s="724"/>
      <c r="Y854" s="724"/>
      <c r="Z854" s="724"/>
      <c r="AA854" s="724"/>
      <c r="AB854" s="724"/>
      <c r="AC854" s="729"/>
      <c r="AD854" s="724"/>
      <c r="AE854" s="724"/>
      <c r="AF854" s="724"/>
      <c r="AG854" s="724"/>
      <c r="AH854" s="724"/>
      <c r="AI854" s="724"/>
      <c r="AJ854" s="724"/>
      <c r="AU854" s="713"/>
      <c r="AW854" s="712"/>
      <c r="BY854" s="714"/>
      <c r="BZ854" s="715"/>
      <c r="CA854" s="716"/>
      <c r="CB854" s="717"/>
      <c r="CC854" s="717"/>
      <c r="CD854" s="717"/>
      <c r="CE854" s="717"/>
      <c r="CF854" s="717"/>
      <c r="CG854" s="717"/>
      <c r="CH854" s="717"/>
      <c r="CI854" s="717"/>
      <c r="CJ854" s="717"/>
      <c r="CK854" s="717"/>
      <c r="CL854" s="717"/>
      <c r="CM854" s="717"/>
      <c r="CN854" s="717"/>
      <c r="CO854" s="717"/>
      <c r="CP854" s="717"/>
      <c r="CQ854" s="717"/>
      <c r="CR854" s="717"/>
      <c r="CS854" s="717"/>
      <c r="CT854" s="717"/>
      <c r="CU854" s="717"/>
      <c r="CV854" s="717"/>
      <c r="CW854" s="717"/>
      <c r="CX854" s="717"/>
      <c r="CY854" s="717"/>
      <c r="CZ854" s="717"/>
      <c r="DA854" s="717"/>
      <c r="DB854" s="717"/>
      <c r="DC854" s="717"/>
      <c r="DD854" s="717"/>
      <c r="DE854" s="717"/>
      <c r="DF854" s="717"/>
      <c r="DG854" s="717"/>
      <c r="DH854" s="717"/>
      <c r="DI854" s="717"/>
      <c r="DJ854" s="717"/>
      <c r="DM854" s="711"/>
      <c r="DN854" s="711"/>
      <c r="DO854" s="711"/>
      <c r="DP854" s="711"/>
      <c r="DQ854" s="711"/>
      <c r="EB854" s="719"/>
    </row>
    <row r="855" spans="5:132" s="709" customFormat="1" ht="18" hidden="1">
      <c r="E855" s="721"/>
      <c r="H855" s="723">
        <v>351</v>
      </c>
      <c r="I855" s="726"/>
      <c r="J855" s="724"/>
      <c r="K855" s="724"/>
      <c r="L855" s="724"/>
      <c r="M855" s="728"/>
      <c r="N855" s="724"/>
      <c r="O855" s="724"/>
      <c r="P855" s="724"/>
      <c r="Q855" s="724"/>
      <c r="R855" s="724"/>
      <c r="S855" s="724"/>
      <c r="T855" s="724"/>
      <c r="U855" s="724"/>
      <c r="V855" s="724"/>
      <c r="W855" s="724"/>
      <c r="X855" s="724"/>
      <c r="Y855" s="724"/>
      <c r="Z855" s="724"/>
      <c r="AA855" s="724"/>
      <c r="AB855" s="724"/>
      <c r="AC855" s="729"/>
      <c r="AD855" s="724"/>
      <c r="AE855" s="724"/>
      <c r="AF855" s="724"/>
      <c r="AG855" s="724"/>
      <c r="AH855" s="724"/>
      <c r="AI855" s="724"/>
      <c r="AJ855" s="724"/>
      <c r="AU855" s="713"/>
      <c r="AW855" s="712"/>
      <c r="BY855" s="714"/>
      <c r="BZ855" s="715"/>
      <c r="CA855" s="716"/>
      <c r="CB855" s="717"/>
      <c r="CC855" s="717"/>
      <c r="CD855" s="717"/>
      <c r="CE855" s="717"/>
      <c r="CF855" s="717"/>
      <c r="CG855" s="717"/>
      <c r="CH855" s="717"/>
      <c r="CI855" s="717"/>
      <c r="CJ855" s="717"/>
      <c r="CK855" s="717"/>
      <c r="CL855" s="717"/>
      <c r="CM855" s="717"/>
      <c r="CN855" s="717"/>
      <c r="CO855" s="717"/>
      <c r="CP855" s="717"/>
      <c r="CQ855" s="717"/>
      <c r="CR855" s="717"/>
      <c r="CS855" s="717"/>
      <c r="CT855" s="717"/>
      <c r="CU855" s="717"/>
      <c r="CV855" s="717"/>
      <c r="CW855" s="717"/>
      <c r="CX855" s="717"/>
      <c r="CY855" s="717"/>
      <c r="CZ855" s="717"/>
      <c r="DA855" s="717"/>
      <c r="DB855" s="717"/>
      <c r="DC855" s="717"/>
      <c r="DD855" s="717"/>
      <c r="DE855" s="717"/>
      <c r="DF855" s="717"/>
      <c r="DG855" s="717"/>
      <c r="DH855" s="717"/>
      <c r="DI855" s="717"/>
      <c r="DJ855" s="717"/>
      <c r="DM855" s="711"/>
      <c r="DN855" s="711"/>
      <c r="DO855" s="711"/>
      <c r="DP855" s="711"/>
      <c r="DQ855" s="711"/>
      <c r="EB855" s="719"/>
    </row>
    <row r="856" spans="5:132" s="709" customFormat="1" ht="18" hidden="1">
      <c r="E856" s="721"/>
      <c r="H856" s="723">
        <v>352</v>
      </c>
      <c r="I856" s="726"/>
      <c r="J856" s="724"/>
      <c r="K856" s="724"/>
      <c r="L856" s="724"/>
      <c r="M856" s="728"/>
      <c r="N856" s="724"/>
      <c r="O856" s="724"/>
      <c r="P856" s="724"/>
      <c r="Q856" s="724"/>
      <c r="R856" s="724"/>
      <c r="S856" s="724"/>
      <c r="T856" s="724"/>
      <c r="U856" s="724"/>
      <c r="V856" s="724"/>
      <c r="W856" s="724"/>
      <c r="X856" s="724"/>
      <c r="Y856" s="724"/>
      <c r="Z856" s="724"/>
      <c r="AA856" s="724"/>
      <c r="AB856" s="724"/>
      <c r="AC856" s="729"/>
      <c r="AD856" s="724"/>
      <c r="AE856" s="724"/>
      <c r="AF856" s="724"/>
      <c r="AG856" s="724"/>
      <c r="AH856" s="724"/>
      <c r="AI856" s="724"/>
      <c r="AJ856" s="724"/>
      <c r="AU856" s="713"/>
      <c r="AW856" s="712"/>
      <c r="BY856" s="714"/>
      <c r="BZ856" s="715"/>
      <c r="CA856" s="716"/>
      <c r="CB856" s="717"/>
      <c r="CC856" s="717"/>
      <c r="CD856" s="717"/>
      <c r="CE856" s="717"/>
      <c r="CF856" s="717"/>
      <c r="CG856" s="717"/>
      <c r="CH856" s="717"/>
      <c r="CI856" s="717"/>
      <c r="CJ856" s="717"/>
      <c r="CK856" s="717"/>
      <c r="CL856" s="717"/>
      <c r="CM856" s="717"/>
      <c r="CN856" s="717"/>
      <c r="CO856" s="717"/>
      <c r="CP856" s="717"/>
      <c r="CQ856" s="717"/>
      <c r="CR856" s="717"/>
      <c r="CS856" s="717"/>
      <c r="CT856" s="717"/>
      <c r="CU856" s="717"/>
      <c r="CV856" s="717"/>
      <c r="CW856" s="717"/>
      <c r="CX856" s="717"/>
      <c r="CY856" s="717"/>
      <c r="CZ856" s="717"/>
      <c r="DA856" s="717"/>
      <c r="DB856" s="717"/>
      <c r="DC856" s="717"/>
      <c r="DD856" s="717"/>
      <c r="DE856" s="717"/>
      <c r="DF856" s="717"/>
      <c r="DG856" s="717"/>
      <c r="DH856" s="717"/>
      <c r="DI856" s="717"/>
      <c r="DJ856" s="717"/>
      <c r="DM856" s="711"/>
      <c r="DN856" s="711"/>
      <c r="DO856" s="711"/>
      <c r="DP856" s="711"/>
      <c r="DQ856" s="711"/>
      <c r="EB856" s="719"/>
    </row>
    <row r="857" spans="5:132" s="709" customFormat="1" ht="18" hidden="1">
      <c r="E857" s="721"/>
      <c r="H857" s="723">
        <v>353</v>
      </c>
      <c r="I857" s="726"/>
      <c r="J857" s="724"/>
      <c r="K857" s="724"/>
      <c r="L857" s="724"/>
      <c r="M857" s="728"/>
      <c r="N857" s="724"/>
      <c r="O857" s="724"/>
      <c r="P857" s="724"/>
      <c r="Q857" s="724"/>
      <c r="R857" s="724"/>
      <c r="S857" s="724"/>
      <c r="T857" s="724"/>
      <c r="U857" s="724"/>
      <c r="V857" s="724"/>
      <c r="W857" s="724"/>
      <c r="X857" s="724"/>
      <c r="Y857" s="724"/>
      <c r="Z857" s="724"/>
      <c r="AA857" s="724"/>
      <c r="AB857" s="724"/>
      <c r="AC857" s="729"/>
      <c r="AD857" s="724"/>
      <c r="AE857" s="724"/>
      <c r="AF857" s="724"/>
      <c r="AG857" s="724"/>
      <c r="AH857" s="724"/>
      <c r="AI857" s="724"/>
      <c r="AJ857" s="724"/>
      <c r="AU857" s="713"/>
      <c r="AW857" s="712"/>
      <c r="BY857" s="714"/>
      <c r="BZ857" s="715"/>
      <c r="CA857" s="716"/>
      <c r="CB857" s="717"/>
      <c r="CC857" s="717"/>
      <c r="CD857" s="717"/>
      <c r="CE857" s="717"/>
      <c r="CF857" s="717"/>
      <c r="CG857" s="717"/>
      <c r="CH857" s="717"/>
      <c r="CI857" s="717"/>
      <c r="CJ857" s="717"/>
      <c r="CK857" s="717"/>
      <c r="CL857" s="717"/>
      <c r="CM857" s="717"/>
      <c r="CN857" s="717"/>
      <c r="CO857" s="717"/>
      <c r="CP857" s="717"/>
      <c r="CQ857" s="717"/>
      <c r="CR857" s="717"/>
      <c r="CS857" s="717"/>
      <c r="CT857" s="717"/>
      <c r="CU857" s="717"/>
      <c r="CV857" s="717"/>
      <c r="CW857" s="717"/>
      <c r="CX857" s="717"/>
      <c r="CY857" s="717"/>
      <c r="CZ857" s="717"/>
      <c r="DA857" s="717"/>
      <c r="DB857" s="717"/>
      <c r="DC857" s="717"/>
      <c r="DD857" s="717"/>
      <c r="DE857" s="717"/>
      <c r="DF857" s="717"/>
      <c r="DG857" s="717"/>
      <c r="DH857" s="717"/>
      <c r="DI857" s="717"/>
      <c r="DJ857" s="717"/>
      <c r="DM857" s="711"/>
      <c r="DN857" s="711"/>
      <c r="DO857" s="711"/>
      <c r="DP857" s="711"/>
      <c r="DQ857" s="711"/>
      <c r="EB857" s="719"/>
    </row>
    <row r="858" spans="5:132" s="709" customFormat="1" ht="18" hidden="1">
      <c r="E858" s="721"/>
      <c r="H858" s="723">
        <v>354</v>
      </c>
      <c r="I858" s="726"/>
      <c r="J858" s="724"/>
      <c r="K858" s="724"/>
      <c r="L858" s="724"/>
      <c r="M858" s="728"/>
      <c r="N858" s="724"/>
      <c r="O858" s="724"/>
      <c r="P858" s="724"/>
      <c r="Q858" s="724"/>
      <c r="R858" s="724"/>
      <c r="S858" s="724"/>
      <c r="T858" s="724"/>
      <c r="U858" s="724"/>
      <c r="V858" s="724"/>
      <c r="W858" s="724"/>
      <c r="X858" s="724"/>
      <c r="Y858" s="724"/>
      <c r="Z858" s="724"/>
      <c r="AA858" s="724"/>
      <c r="AB858" s="724"/>
      <c r="AC858" s="729"/>
      <c r="AD858" s="724"/>
      <c r="AE858" s="724"/>
      <c r="AF858" s="724"/>
      <c r="AG858" s="724"/>
      <c r="AH858" s="724"/>
      <c r="AI858" s="724"/>
      <c r="AJ858" s="724"/>
      <c r="AU858" s="713"/>
      <c r="AW858" s="712"/>
      <c r="BY858" s="714"/>
      <c r="BZ858" s="715"/>
      <c r="CA858" s="716"/>
      <c r="CB858" s="717"/>
      <c r="CC858" s="717"/>
      <c r="CD858" s="717"/>
      <c r="CE858" s="717"/>
      <c r="CF858" s="717"/>
      <c r="CG858" s="717"/>
      <c r="CH858" s="717"/>
      <c r="CI858" s="717"/>
      <c r="CJ858" s="717"/>
      <c r="CK858" s="717"/>
      <c r="CL858" s="717"/>
      <c r="CM858" s="717"/>
      <c r="CN858" s="717"/>
      <c r="CO858" s="717"/>
      <c r="CP858" s="717"/>
      <c r="CQ858" s="717"/>
      <c r="CR858" s="717"/>
      <c r="CS858" s="717"/>
      <c r="CT858" s="717"/>
      <c r="CU858" s="717"/>
      <c r="CV858" s="717"/>
      <c r="CW858" s="717"/>
      <c r="CX858" s="717"/>
      <c r="CY858" s="717"/>
      <c r="CZ858" s="717"/>
      <c r="DA858" s="717"/>
      <c r="DB858" s="717"/>
      <c r="DC858" s="717"/>
      <c r="DD858" s="717"/>
      <c r="DE858" s="717"/>
      <c r="DF858" s="717"/>
      <c r="DG858" s="717"/>
      <c r="DH858" s="717"/>
      <c r="DI858" s="717"/>
      <c r="DJ858" s="717"/>
      <c r="DM858" s="711"/>
      <c r="DN858" s="711"/>
      <c r="DO858" s="711"/>
      <c r="DP858" s="711"/>
      <c r="DQ858" s="711"/>
      <c r="EB858" s="719"/>
    </row>
    <row r="859" spans="5:132" s="709" customFormat="1" ht="18" hidden="1">
      <c r="E859" s="721"/>
      <c r="H859" s="723">
        <v>355</v>
      </c>
      <c r="I859" s="726"/>
      <c r="J859" s="724"/>
      <c r="K859" s="724"/>
      <c r="L859" s="724"/>
      <c r="M859" s="728"/>
      <c r="N859" s="724"/>
      <c r="O859" s="724"/>
      <c r="P859" s="724"/>
      <c r="Q859" s="724"/>
      <c r="R859" s="724"/>
      <c r="S859" s="724"/>
      <c r="T859" s="724"/>
      <c r="U859" s="724"/>
      <c r="V859" s="724"/>
      <c r="W859" s="724"/>
      <c r="X859" s="724"/>
      <c r="Y859" s="724"/>
      <c r="Z859" s="724"/>
      <c r="AA859" s="724"/>
      <c r="AB859" s="724"/>
      <c r="AC859" s="729"/>
      <c r="AD859" s="724"/>
      <c r="AE859" s="724"/>
      <c r="AF859" s="724"/>
      <c r="AG859" s="724"/>
      <c r="AH859" s="724"/>
      <c r="AI859" s="724"/>
      <c r="AJ859" s="724"/>
      <c r="AU859" s="713"/>
      <c r="AW859" s="712"/>
      <c r="BY859" s="714"/>
      <c r="BZ859" s="715"/>
      <c r="CA859" s="716"/>
      <c r="CB859" s="717"/>
      <c r="CC859" s="717"/>
      <c r="CD859" s="717"/>
      <c r="CE859" s="717"/>
      <c r="CF859" s="717"/>
      <c r="CG859" s="717"/>
      <c r="CH859" s="717"/>
      <c r="CI859" s="717"/>
      <c r="CJ859" s="717"/>
      <c r="CK859" s="717"/>
      <c r="CL859" s="717"/>
      <c r="CM859" s="717"/>
      <c r="CN859" s="717"/>
      <c r="CO859" s="717"/>
      <c r="CP859" s="717"/>
      <c r="CQ859" s="717"/>
      <c r="CR859" s="717"/>
      <c r="CS859" s="717"/>
      <c r="CT859" s="717"/>
      <c r="CU859" s="717"/>
      <c r="CV859" s="717"/>
      <c r="CW859" s="717"/>
      <c r="CX859" s="717"/>
      <c r="CY859" s="717"/>
      <c r="CZ859" s="717"/>
      <c r="DA859" s="717"/>
      <c r="DB859" s="717"/>
      <c r="DC859" s="717"/>
      <c r="DD859" s="717"/>
      <c r="DE859" s="717"/>
      <c r="DF859" s="717"/>
      <c r="DG859" s="717"/>
      <c r="DH859" s="717"/>
      <c r="DI859" s="717"/>
      <c r="DJ859" s="717"/>
      <c r="DM859" s="711"/>
      <c r="DN859" s="711"/>
      <c r="DO859" s="711"/>
      <c r="DP859" s="711"/>
      <c r="DQ859" s="711"/>
      <c r="EB859" s="719"/>
    </row>
    <row r="860" spans="5:132" s="709" customFormat="1" ht="18" hidden="1">
      <c r="E860" s="721"/>
      <c r="H860" s="723">
        <v>356</v>
      </c>
      <c r="I860" s="726"/>
      <c r="J860" s="724"/>
      <c r="K860" s="724"/>
      <c r="L860" s="724"/>
      <c r="M860" s="728"/>
      <c r="N860" s="724"/>
      <c r="O860" s="724"/>
      <c r="P860" s="724"/>
      <c r="Q860" s="724"/>
      <c r="R860" s="724"/>
      <c r="S860" s="724"/>
      <c r="T860" s="724"/>
      <c r="U860" s="724"/>
      <c r="V860" s="724"/>
      <c r="W860" s="724"/>
      <c r="X860" s="724"/>
      <c r="Y860" s="724"/>
      <c r="Z860" s="724"/>
      <c r="AA860" s="724"/>
      <c r="AB860" s="724"/>
      <c r="AC860" s="729"/>
      <c r="AD860" s="724"/>
      <c r="AE860" s="724"/>
      <c r="AF860" s="724"/>
      <c r="AG860" s="724"/>
      <c r="AH860" s="724"/>
      <c r="AI860" s="724"/>
      <c r="AJ860" s="724"/>
      <c r="AU860" s="713"/>
      <c r="AW860" s="712"/>
      <c r="BY860" s="714"/>
      <c r="BZ860" s="715"/>
      <c r="CA860" s="716"/>
      <c r="CB860" s="717"/>
      <c r="CC860" s="717"/>
      <c r="CD860" s="717"/>
      <c r="CE860" s="717"/>
      <c r="CF860" s="717"/>
      <c r="CG860" s="717"/>
      <c r="CH860" s="717"/>
      <c r="CI860" s="717"/>
      <c r="CJ860" s="717"/>
      <c r="CK860" s="717"/>
      <c r="CL860" s="717"/>
      <c r="CM860" s="717"/>
      <c r="CN860" s="717"/>
      <c r="CO860" s="717"/>
      <c r="CP860" s="717"/>
      <c r="CQ860" s="717"/>
      <c r="CR860" s="717"/>
      <c r="CS860" s="717"/>
      <c r="CT860" s="717"/>
      <c r="CU860" s="717"/>
      <c r="CV860" s="717"/>
      <c r="CW860" s="717"/>
      <c r="CX860" s="717"/>
      <c r="CY860" s="717"/>
      <c r="CZ860" s="717"/>
      <c r="DA860" s="717"/>
      <c r="DB860" s="717"/>
      <c r="DC860" s="717"/>
      <c r="DD860" s="717"/>
      <c r="DE860" s="717"/>
      <c r="DF860" s="717"/>
      <c r="DG860" s="717"/>
      <c r="DH860" s="717"/>
      <c r="DI860" s="717"/>
      <c r="DJ860" s="717"/>
      <c r="DM860" s="711"/>
      <c r="DN860" s="711"/>
      <c r="DO860" s="711"/>
      <c r="DP860" s="711"/>
      <c r="DQ860" s="711"/>
      <c r="EB860" s="719"/>
    </row>
    <row r="861" spans="5:132" s="709" customFormat="1" ht="18" hidden="1">
      <c r="E861" s="721"/>
      <c r="H861" s="723">
        <v>357</v>
      </c>
      <c r="I861" s="726"/>
      <c r="J861" s="724"/>
      <c r="K861" s="724"/>
      <c r="L861" s="724"/>
      <c r="M861" s="728"/>
      <c r="N861" s="724"/>
      <c r="O861" s="724"/>
      <c r="P861" s="724"/>
      <c r="Q861" s="724"/>
      <c r="R861" s="724"/>
      <c r="S861" s="724"/>
      <c r="T861" s="724"/>
      <c r="U861" s="724"/>
      <c r="V861" s="724"/>
      <c r="W861" s="724"/>
      <c r="X861" s="724"/>
      <c r="Y861" s="724"/>
      <c r="Z861" s="724"/>
      <c r="AA861" s="724"/>
      <c r="AB861" s="724"/>
      <c r="AC861" s="729"/>
      <c r="AD861" s="724"/>
      <c r="AE861" s="724"/>
      <c r="AF861" s="724"/>
      <c r="AG861" s="724"/>
      <c r="AH861" s="724"/>
      <c r="AI861" s="724"/>
      <c r="AJ861" s="724"/>
      <c r="AU861" s="713"/>
      <c r="AW861" s="712"/>
      <c r="BY861" s="714"/>
      <c r="BZ861" s="715"/>
      <c r="CA861" s="716"/>
      <c r="CB861" s="717"/>
      <c r="CC861" s="717"/>
      <c r="CD861" s="717"/>
      <c r="CE861" s="717"/>
      <c r="CF861" s="717"/>
      <c r="CG861" s="717"/>
      <c r="CH861" s="717"/>
      <c r="CI861" s="717"/>
      <c r="CJ861" s="717"/>
      <c r="CK861" s="717"/>
      <c r="CL861" s="717"/>
      <c r="CM861" s="717"/>
      <c r="CN861" s="717"/>
      <c r="CO861" s="717"/>
      <c r="CP861" s="717"/>
      <c r="CQ861" s="717"/>
      <c r="CR861" s="717"/>
      <c r="CS861" s="717"/>
      <c r="CT861" s="717"/>
      <c r="CU861" s="717"/>
      <c r="CV861" s="717"/>
      <c r="CW861" s="717"/>
      <c r="CX861" s="717"/>
      <c r="CY861" s="717"/>
      <c r="CZ861" s="717"/>
      <c r="DA861" s="717"/>
      <c r="DB861" s="717"/>
      <c r="DC861" s="717"/>
      <c r="DD861" s="717"/>
      <c r="DE861" s="717"/>
      <c r="DF861" s="717"/>
      <c r="DG861" s="717"/>
      <c r="DH861" s="717"/>
      <c r="DI861" s="717"/>
      <c r="DJ861" s="717"/>
      <c r="DM861" s="711"/>
      <c r="DN861" s="711"/>
      <c r="DO861" s="711"/>
      <c r="DP861" s="711"/>
      <c r="DQ861" s="711"/>
      <c r="EB861" s="719"/>
    </row>
    <row r="862" spans="5:132" s="709" customFormat="1" ht="18" hidden="1">
      <c r="E862" s="721"/>
      <c r="H862" s="723">
        <v>358</v>
      </c>
      <c r="I862" s="726"/>
      <c r="J862" s="724"/>
      <c r="K862" s="724"/>
      <c r="L862" s="724"/>
      <c r="M862" s="728"/>
      <c r="N862" s="724"/>
      <c r="O862" s="724"/>
      <c r="P862" s="724"/>
      <c r="Q862" s="724"/>
      <c r="R862" s="724"/>
      <c r="S862" s="724"/>
      <c r="T862" s="724"/>
      <c r="U862" s="724"/>
      <c r="V862" s="724"/>
      <c r="W862" s="724"/>
      <c r="X862" s="724"/>
      <c r="Y862" s="724"/>
      <c r="Z862" s="724"/>
      <c r="AA862" s="724"/>
      <c r="AB862" s="724"/>
      <c r="AC862" s="729"/>
      <c r="AD862" s="724"/>
      <c r="AE862" s="724"/>
      <c r="AF862" s="724"/>
      <c r="AG862" s="724"/>
      <c r="AH862" s="724"/>
      <c r="AI862" s="724"/>
      <c r="AJ862" s="724"/>
      <c r="AU862" s="713"/>
      <c r="AW862" s="712"/>
      <c r="BY862" s="714"/>
      <c r="BZ862" s="715"/>
      <c r="CA862" s="716"/>
      <c r="CB862" s="717"/>
      <c r="CC862" s="717"/>
      <c r="CD862" s="717"/>
      <c r="CE862" s="717"/>
      <c r="CF862" s="717"/>
      <c r="CG862" s="717"/>
      <c r="CH862" s="717"/>
      <c r="CI862" s="717"/>
      <c r="CJ862" s="717"/>
      <c r="CK862" s="717"/>
      <c r="CL862" s="717"/>
      <c r="CM862" s="717"/>
      <c r="CN862" s="717"/>
      <c r="CO862" s="717"/>
      <c r="CP862" s="717"/>
      <c r="CQ862" s="717"/>
      <c r="CR862" s="717"/>
      <c r="CS862" s="717"/>
      <c r="CT862" s="717"/>
      <c r="CU862" s="717"/>
      <c r="CV862" s="717"/>
      <c r="CW862" s="717"/>
      <c r="CX862" s="717"/>
      <c r="CY862" s="717"/>
      <c r="CZ862" s="717"/>
      <c r="DA862" s="717"/>
      <c r="DB862" s="717"/>
      <c r="DC862" s="717"/>
      <c r="DD862" s="717"/>
      <c r="DE862" s="717"/>
      <c r="DF862" s="717"/>
      <c r="DG862" s="717"/>
      <c r="DH862" s="717"/>
      <c r="DI862" s="717"/>
      <c r="DJ862" s="717"/>
      <c r="DM862" s="711"/>
      <c r="DN862" s="711"/>
      <c r="DO862" s="711"/>
      <c r="DP862" s="711"/>
      <c r="DQ862" s="711"/>
      <c r="EB862" s="719"/>
    </row>
    <row r="863" spans="5:132" s="709" customFormat="1" ht="18" hidden="1">
      <c r="E863" s="721"/>
      <c r="H863" s="723">
        <v>361</v>
      </c>
      <c r="I863" s="726"/>
      <c r="J863" s="724"/>
      <c r="K863" s="724"/>
      <c r="L863" s="724"/>
      <c r="M863" s="728"/>
      <c r="N863" s="724"/>
      <c r="O863" s="724"/>
      <c r="P863" s="724"/>
      <c r="Q863" s="724"/>
      <c r="R863" s="724"/>
      <c r="S863" s="724"/>
      <c r="T863" s="724"/>
      <c r="U863" s="724"/>
      <c r="V863" s="724"/>
      <c r="W863" s="724"/>
      <c r="X863" s="724"/>
      <c r="Y863" s="724"/>
      <c r="Z863" s="724"/>
      <c r="AA863" s="724"/>
      <c r="AB863" s="724"/>
      <c r="AC863" s="729"/>
      <c r="AD863" s="724"/>
      <c r="AE863" s="724"/>
      <c r="AF863" s="724"/>
      <c r="AG863" s="724"/>
      <c r="AH863" s="724"/>
      <c r="AI863" s="724"/>
      <c r="AJ863" s="724"/>
      <c r="AU863" s="713"/>
      <c r="AW863" s="712"/>
      <c r="BY863" s="714"/>
      <c r="BZ863" s="715"/>
      <c r="CA863" s="716"/>
      <c r="CB863" s="717"/>
      <c r="CC863" s="717"/>
      <c r="CD863" s="717"/>
      <c r="CE863" s="717"/>
      <c r="CF863" s="717"/>
      <c r="CG863" s="717"/>
      <c r="CH863" s="717"/>
      <c r="CI863" s="717"/>
      <c r="CJ863" s="717"/>
      <c r="CK863" s="717"/>
      <c r="CL863" s="717"/>
      <c r="CM863" s="717"/>
      <c r="CN863" s="717"/>
      <c r="CO863" s="717"/>
      <c r="CP863" s="717"/>
      <c r="CQ863" s="717"/>
      <c r="CR863" s="717"/>
      <c r="CS863" s="717"/>
      <c r="CT863" s="717"/>
      <c r="CU863" s="717"/>
      <c r="CV863" s="717"/>
      <c r="CW863" s="717"/>
      <c r="CX863" s="717"/>
      <c r="CY863" s="717"/>
      <c r="CZ863" s="717"/>
      <c r="DA863" s="717"/>
      <c r="DB863" s="717"/>
      <c r="DC863" s="717"/>
      <c r="DD863" s="717"/>
      <c r="DE863" s="717"/>
      <c r="DF863" s="717"/>
      <c r="DG863" s="717"/>
      <c r="DH863" s="717"/>
      <c r="DI863" s="717"/>
      <c r="DJ863" s="717"/>
      <c r="DM863" s="711"/>
      <c r="DN863" s="711"/>
      <c r="DO863" s="711"/>
      <c r="DP863" s="711"/>
      <c r="DQ863" s="711"/>
      <c r="EB863" s="719"/>
    </row>
    <row r="864" spans="5:132" s="709" customFormat="1" ht="18" hidden="1">
      <c r="E864" s="721"/>
      <c r="H864" s="723">
        <v>362</v>
      </c>
      <c r="I864" s="726"/>
      <c r="J864" s="724"/>
      <c r="K864" s="724"/>
      <c r="L864" s="724"/>
      <c r="M864" s="728"/>
      <c r="N864" s="724"/>
      <c r="O864" s="724"/>
      <c r="P864" s="724"/>
      <c r="Q864" s="724"/>
      <c r="R864" s="724"/>
      <c r="S864" s="724"/>
      <c r="T864" s="724"/>
      <c r="U864" s="724"/>
      <c r="V864" s="724"/>
      <c r="W864" s="724"/>
      <c r="X864" s="724"/>
      <c r="Y864" s="724"/>
      <c r="Z864" s="724"/>
      <c r="AA864" s="724"/>
      <c r="AB864" s="724"/>
      <c r="AC864" s="729"/>
      <c r="AD864" s="724"/>
      <c r="AE864" s="724"/>
      <c r="AF864" s="724"/>
      <c r="AG864" s="724"/>
      <c r="AH864" s="724"/>
      <c r="AI864" s="724"/>
      <c r="AJ864" s="724"/>
      <c r="AU864" s="713"/>
      <c r="AW864" s="712"/>
      <c r="BY864" s="714"/>
      <c r="BZ864" s="715"/>
      <c r="CA864" s="716"/>
      <c r="CB864" s="717"/>
      <c r="CC864" s="717"/>
      <c r="CD864" s="717"/>
      <c r="CE864" s="717"/>
      <c r="CF864" s="717"/>
      <c r="CG864" s="717"/>
      <c r="CH864" s="717"/>
      <c r="CI864" s="717"/>
      <c r="CJ864" s="717"/>
      <c r="CK864" s="717"/>
      <c r="CL864" s="717"/>
      <c r="CM864" s="717"/>
      <c r="CN864" s="717"/>
      <c r="CO864" s="717"/>
      <c r="CP864" s="717"/>
      <c r="CQ864" s="717"/>
      <c r="CR864" s="717"/>
      <c r="CS864" s="717"/>
      <c r="CT864" s="717"/>
      <c r="CU864" s="717"/>
      <c r="CV864" s="717"/>
      <c r="CW864" s="717"/>
      <c r="CX864" s="717"/>
      <c r="CY864" s="717"/>
      <c r="CZ864" s="717"/>
      <c r="DA864" s="717"/>
      <c r="DB864" s="717"/>
      <c r="DC864" s="717"/>
      <c r="DD864" s="717"/>
      <c r="DE864" s="717"/>
      <c r="DF864" s="717"/>
      <c r="DG864" s="717"/>
      <c r="DH864" s="717"/>
      <c r="DI864" s="717"/>
      <c r="DJ864" s="717"/>
      <c r="DM864" s="711"/>
      <c r="DN864" s="711"/>
      <c r="DO864" s="711"/>
      <c r="DP864" s="711"/>
      <c r="DQ864" s="711"/>
      <c r="EB864" s="719"/>
    </row>
    <row r="865" spans="5:132" s="709" customFormat="1" ht="18" hidden="1">
      <c r="E865" s="721"/>
      <c r="H865" s="723">
        <v>363</v>
      </c>
      <c r="I865" s="726"/>
      <c r="J865" s="724"/>
      <c r="K865" s="724"/>
      <c r="L865" s="724"/>
      <c r="M865" s="728"/>
      <c r="N865" s="724"/>
      <c r="O865" s="724"/>
      <c r="P865" s="724"/>
      <c r="Q865" s="724"/>
      <c r="R865" s="724"/>
      <c r="S865" s="724"/>
      <c r="T865" s="724"/>
      <c r="U865" s="724"/>
      <c r="V865" s="724"/>
      <c r="W865" s="724"/>
      <c r="X865" s="724"/>
      <c r="Y865" s="724"/>
      <c r="Z865" s="724"/>
      <c r="AA865" s="724"/>
      <c r="AB865" s="724"/>
      <c r="AC865" s="729"/>
      <c r="AD865" s="724"/>
      <c r="AE865" s="724"/>
      <c r="AF865" s="724"/>
      <c r="AG865" s="724"/>
      <c r="AH865" s="724"/>
      <c r="AI865" s="724"/>
      <c r="AJ865" s="724"/>
      <c r="AU865" s="713"/>
      <c r="AW865" s="712"/>
      <c r="BY865" s="714"/>
      <c r="BZ865" s="715"/>
      <c r="CA865" s="716"/>
      <c r="CB865" s="717"/>
      <c r="CC865" s="717"/>
      <c r="CD865" s="717"/>
      <c r="CE865" s="717"/>
      <c r="CF865" s="717"/>
      <c r="CG865" s="717"/>
      <c r="CH865" s="717"/>
      <c r="CI865" s="717"/>
      <c r="CJ865" s="717"/>
      <c r="CK865" s="717"/>
      <c r="CL865" s="717"/>
      <c r="CM865" s="717"/>
      <c r="CN865" s="717"/>
      <c r="CO865" s="717"/>
      <c r="CP865" s="717"/>
      <c r="CQ865" s="717"/>
      <c r="CR865" s="717"/>
      <c r="CS865" s="717"/>
      <c r="CT865" s="717"/>
      <c r="CU865" s="717"/>
      <c r="CV865" s="717"/>
      <c r="CW865" s="717"/>
      <c r="CX865" s="717"/>
      <c r="CY865" s="717"/>
      <c r="CZ865" s="717"/>
      <c r="DA865" s="717"/>
      <c r="DB865" s="717"/>
      <c r="DC865" s="717"/>
      <c r="DD865" s="717"/>
      <c r="DE865" s="717"/>
      <c r="DF865" s="717"/>
      <c r="DG865" s="717"/>
      <c r="DH865" s="717"/>
      <c r="DI865" s="717"/>
      <c r="DJ865" s="717"/>
      <c r="DM865" s="711"/>
      <c r="DN865" s="711"/>
      <c r="DO865" s="711"/>
      <c r="DP865" s="711"/>
      <c r="DQ865" s="711"/>
      <c r="EB865" s="719"/>
    </row>
    <row r="866" spans="5:132" s="709" customFormat="1" ht="18" hidden="1">
      <c r="E866" s="721"/>
      <c r="H866" s="723">
        <v>364</v>
      </c>
      <c r="I866" s="726"/>
      <c r="J866" s="724"/>
      <c r="K866" s="724"/>
      <c r="L866" s="724"/>
      <c r="M866" s="728"/>
      <c r="N866" s="724"/>
      <c r="O866" s="724"/>
      <c r="P866" s="724"/>
      <c r="Q866" s="724"/>
      <c r="R866" s="724"/>
      <c r="S866" s="724"/>
      <c r="T866" s="724"/>
      <c r="U866" s="724"/>
      <c r="V866" s="724"/>
      <c r="W866" s="724"/>
      <c r="X866" s="724"/>
      <c r="Y866" s="724"/>
      <c r="Z866" s="724"/>
      <c r="AA866" s="724"/>
      <c r="AB866" s="724"/>
      <c r="AC866" s="729"/>
      <c r="AD866" s="724"/>
      <c r="AE866" s="724"/>
      <c r="AF866" s="724"/>
      <c r="AG866" s="724"/>
      <c r="AH866" s="724"/>
      <c r="AI866" s="724"/>
      <c r="AJ866" s="724"/>
      <c r="AU866" s="713"/>
      <c r="AW866" s="712"/>
      <c r="BY866" s="714"/>
      <c r="BZ866" s="715"/>
      <c r="CA866" s="716"/>
      <c r="CB866" s="717"/>
      <c r="CC866" s="717"/>
      <c r="CD866" s="717"/>
      <c r="CE866" s="717"/>
      <c r="CF866" s="717"/>
      <c r="CG866" s="717"/>
      <c r="CH866" s="717"/>
      <c r="CI866" s="717"/>
      <c r="CJ866" s="717"/>
      <c r="CK866" s="717"/>
      <c r="CL866" s="717"/>
      <c r="CM866" s="717"/>
      <c r="CN866" s="717"/>
      <c r="CO866" s="717"/>
      <c r="CP866" s="717"/>
      <c r="CQ866" s="717"/>
      <c r="CR866" s="717"/>
      <c r="CS866" s="717"/>
      <c r="CT866" s="717"/>
      <c r="CU866" s="717"/>
      <c r="CV866" s="717"/>
      <c r="CW866" s="717"/>
      <c r="CX866" s="717"/>
      <c r="CY866" s="717"/>
      <c r="CZ866" s="717"/>
      <c r="DA866" s="717"/>
      <c r="DB866" s="717"/>
      <c r="DC866" s="717"/>
      <c r="DD866" s="717"/>
      <c r="DE866" s="717"/>
      <c r="DF866" s="717"/>
      <c r="DG866" s="717"/>
      <c r="DH866" s="717"/>
      <c r="DI866" s="717"/>
      <c r="DJ866" s="717"/>
      <c r="DM866" s="711"/>
      <c r="DN866" s="711"/>
      <c r="DO866" s="711"/>
      <c r="DP866" s="711"/>
      <c r="DQ866" s="711"/>
      <c r="EB866" s="719"/>
    </row>
    <row r="867" spans="5:132" s="709" customFormat="1" ht="18" hidden="1">
      <c r="E867" s="721"/>
      <c r="H867" s="723">
        <v>365</v>
      </c>
      <c r="I867" s="726"/>
      <c r="J867" s="724"/>
      <c r="K867" s="724"/>
      <c r="L867" s="724"/>
      <c r="M867" s="728"/>
      <c r="N867" s="724"/>
      <c r="O867" s="724"/>
      <c r="P867" s="724"/>
      <c r="Q867" s="724"/>
      <c r="R867" s="724"/>
      <c r="S867" s="724"/>
      <c r="T867" s="724"/>
      <c r="U867" s="724"/>
      <c r="V867" s="724"/>
      <c r="W867" s="724"/>
      <c r="X867" s="724"/>
      <c r="Y867" s="724"/>
      <c r="Z867" s="724"/>
      <c r="AA867" s="724"/>
      <c r="AB867" s="724"/>
      <c r="AC867" s="729"/>
      <c r="AD867" s="724"/>
      <c r="AE867" s="724"/>
      <c r="AF867" s="724"/>
      <c r="AG867" s="724"/>
      <c r="AH867" s="724"/>
      <c r="AI867" s="724"/>
      <c r="AJ867" s="724"/>
      <c r="AU867" s="713"/>
      <c r="AW867" s="712"/>
      <c r="BY867" s="714"/>
      <c r="BZ867" s="715"/>
      <c r="CA867" s="716"/>
      <c r="CB867" s="717"/>
      <c r="CC867" s="717"/>
      <c r="CD867" s="717"/>
      <c r="CE867" s="717"/>
      <c r="CF867" s="717"/>
      <c r="CG867" s="717"/>
      <c r="CH867" s="717"/>
      <c r="CI867" s="717"/>
      <c r="CJ867" s="717"/>
      <c r="CK867" s="717"/>
      <c r="CL867" s="717"/>
      <c r="CM867" s="717"/>
      <c r="CN867" s="717"/>
      <c r="CO867" s="717"/>
      <c r="CP867" s="717"/>
      <c r="CQ867" s="717"/>
      <c r="CR867" s="717"/>
      <c r="CS867" s="717"/>
      <c r="CT867" s="717"/>
      <c r="CU867" s="717"/>
      <c r="CV867" s="717"/>
      <c r="CW867" s="717"/>
      <c r="CX867" s="717"/>
      <c r="CY867" s="717"/>
      <c r="CZ867" s="717"/>
      <c r="DA867" s="717"/>
      <c r="DB867" s="717"/>
      <c r="DC867" s="717"/>
      <c r="DD867" s="717"/>
      <c r="DE867" s="717"/>
      <c r="DF867" s="717"/>
      <c r="DG867" s="717"/>
      <c r="DH867" s="717"/>
      <c r="DI867" s="717"/>
      <c r="DJ867" s="717"/>
      <c r="DM867" s="711"/>
      <c r="DN867" s="711"/>
      <c r="DO867" s="711"/>
      <c r="DP867" s="711"/>
      <c r="DQ867" s="711"/>
      <c r="EB867" s="719"/>
    </row>
    <row r="868" spans="5:132" s="709" customFormat="1" ht="18" hidden="1">
      <c r="E868" s="721"/>
      <c r="H868" s="723">
        <v>366</v>
      </c>
      <c r="I868" s="726"/>
      <c r="J868" s="724"/>
      <c r="K868" s="724"/>
      <c r="L868" s="724"/>
      <c r="M868" s="728"/>
      <c r="N868" s="724"/>
      <c r="O868" s="724"/>
      <c r="P868" s="724"/>
      <c r="Q868" s="724"/>
      <c r="R868" s="724"/>
      <c r="S868" s="724"/>
      <c r="T868" s="724"/>
      <c r="U868" s="724"/>
      <c r="V868" s="724"/>
      <c r="W868" s="724"/>
      <c r="X868" s="724"/>
      <c r="Y868" s="724"/>
      <c r="Z868" s="724"/>
      <c r="AA868" s="724"/>
      <c r="AB868" s="724"/>
      <c r="AC868" s="729"/>
      <c r="AD868" s="724"/>
      <c r="AE868" s="724"/>
      <c r="AF868" s="724"/>
      <c r="AG868" s="724"/>
      <c r="AH868" s="724"/>
      <c r="AI868" s="724"/>
      <c r="AJ868" s="724"/>
      <c r="AU868" s="713"/>
      <c r="AW868" s="712"/>
      <c r="BY868" s="714"/>
      <c r="BZ868" s="715"/>
      <c r="CA868" s="716"/>
      <c r="CB868" s="717"/>
      <c r="CC868" s="717"/>
      <c r="CD868" s="717"/>
      <c r="CE868" s="717"/>
      <c r="CF868" s="717"/>
      <c r="CG868" s="717"/>
      <c r="CH868" s="717"/>
      <c r="CI868" s="717"/>
      <c r="CJ868" s="717"/>
      <c r="CK868" s="717"/>
      <c r="CL868" s="717"/>
      <c r="CM868" s="717"/>
      <c r="CN868" s="717"/>
      <c r="CO868" s="717"/>
      <c r="CP868" s="717"/>
      <c r="CQ868" s="717"/>
      <c r="CR868" s="717"/>
      <c r="CS868" s="717"/>
      <c r="CT868" s="717"/>
      <c r="CU868" s="717"/>
      <c r="CV868" s="717"/>
      <c r="CW868" s="717"/>
      <c r="CX868" s="717"/>
      <c r="CY868" s="717"/>
      <c r="CZ868" s="717"/>
      <c r="DA868" s="717"/>
      <c r="DB868" s="717"/>
      <c r="DC868" s="717"/>
      <c r="DD868" s="717"/>
      <c r="DE868" s="717"/>
      <c r="DF868" s="717"/>
      <c r="DG868" s="717"/>
      <c r="DH868" s="717"/>
      <c r="DI868" s="717"/>
      <c r="DJ868" s="717"/>
      <c r="DM868" s="711"/>
      <c r="DN868" s="711"/>
      <c r="DO868" s="711"/>
      <c r="DP868" s="711"/>
      <c r="DQ868" s="711"/>
      <c r="EB868" s="719"/>
    </row>
    <row r="869" spans="5:132" s="709" customFormat="1" ht="18" hidden="1">
      <c r="E869" s="721"/>
      <c r="H869" s="723">
        <v>367</v>
      </c>
      <c r="I869" s="726"/>
      <c r="J869" s="724"/>
      <c r="K869" s="724"/>
      <c r="L869" s="724"/>
      <c r="M869" s="728"/>
      <c r="N869" s="724"/>
      <c r="O869" s="724"/>
      <c r="P869" s="724"/>
      <c r="Q869" s="724"/>
      <c r="R869" s="724"/>
      <c r="S869" s="724"/>
      <c r="T869" s="724"/>
      <c r="U869" s="724"/>
      <c r="V869" s="724"/>
      <c r="W869" s="724"/>
      <c r="X869" s="724"/>
      <c r="Y869" s="724"/>
      <c r="Z869" s="724"/>
      <c r="AA869" s="724"/>
      <c r="AB869" s="724"/>
      <c r="AC869" s="729"/>
      <c r="AD869" s="724"/>
      <c r="AE869" s="724"/>
      <c r="AF869" s="724"/>
      <c r="AG869" s="724"/>
      <c r="AH869" s="724"/>
      <c r="AI869" s="724"/>
      <c r="AJ869" s="724"/>
      <c r="AU869" s="713"/>
      <c r="AW869" s="712"/>
      <c r="BY869" s="714"/>
      <c r="BZ869" s="715"/>
      <c r="CA869" s="716"/>
      <c r="CB869" s="717"/>
      <c r="CC869" s="717"/>
      <c r="CD869" s="717"/>
      <c r="CE869" s="717"/>
      <c r="CF869" s="717"/>
      <c r="CG869" s="717"/>
      <c r="CH869" s="717"/>
      <c r="CI869" s="717"/>
      <c r="CJ869" s="717"/>
      <c r="CK869" s="717"/>
      <c r="CL869" s="717"/>
      <c r="CM869" s="717"/>
      <c r="CN869" s="717"/>
      <c r="CO869" s="717"/>
      <c r="CP869" s="717"/>
      <c r="CQ869" s="717"/>
      <c r="CR869" s="717"/>
      <c r="CS869" s="717"/>
      <c r="CT869" s="717"/>
      <c r="CU869" s="717"/>
      <c r="CV869" s="717"/>
      <c r="CW869" s="717"/>
      <c r="CX869" s="717"/>
      <c r="CY869" s="717"/>
      <c r="CZ869" s="717"/>
      <c r="DA869" s="717"/>
      <c r="DB869" s="717"/>
      <c r="DC869" s="717"/>
      <c r="DD869" s="717"/>
      <c r="DE869" s="717"/>
      <c r="DF869" s="717"/>
      <c r="DG869" s="717"/>
      <c r="DH869" s="717"/>
      <c r="DI869" s="717"/>
      <c r="DJ869" s="717"/>
      <c r="DM869" s="711"/>
      <c r="DN869" s="711"/>
      <c r="DO869" s="711"/>
      <c r="DP869" s="711"/>
      <c r="DQ869" s="711"/>
      <c r="EB869" s="719"/>
    </row>
    <row r="870" spans="5:132" s="709" customFormat="1" ht="18" hidden="1">
      <c r="E870" s="721"/>
      <c r="H870" s="723">
        <v>368</v>
      </c>
      <c r="I870" s="726"/>
      <c r="J870" s="724"/>
      <c r="K870" s="724"/>
      <c r="L870" s="724"/>
      <c r="M870" s="728"/>
      <c r="N870" s="724"/>
      <c r="O870" s="724"/>
      <c r="P870" s="724"/>
      <c r="Q870" s="724"/>
      <c r="R870" s="724"/>
      <c r="S870" s="724"/>
      <c r="T870" s="724"/>
      <c r="U870" s="724"/>
      <c r="V870" s="724"/>
      <c r="W870" s="724"/>
      <c r="X870" s="724"/>
      <c r="Y870" s="724"/>
      <c r="Z870" s="724"/>
      <c r="AA870" s="724"/>
      <c r="AB870" s="724"/>
      <c r="AC870" s="729"/>
      <c r="AD870" s="724"/>
      <c r="AE870" s="724"/>
      <c r="AF870" s="724"/>
      <c r="AG870" s="724"/>
      <c r="AH870" s="724"/>
      <c r="AI870" s="724"/>
      <c r="AJ870" s="724"/>
      <c r="AU870" s="713"/>
      <c r="AW870" s="712"/>
      <c r="BY870" s="714"/>
      <c r="BZ870" s="715"/>
      <c r="CA870" s="716"/>
      <c r="CB870" s="717"/>
      <c r="CC870" s="717"/>
      <c r="CD870" s="717"/>
      <c r="CE870" s="717"/>
      <c r="CF870" s="717"/>
      <c r="CG870" s="717"/>
      <c r="CH870" s="717"/>
      <c r="CI870" s="717"/>
      <c r="CJ870" s="717"/>
      <c r="CK870" s="717"/>
      <c r="CL870" s="717"/>
      <c r="CM870" s="717"/>
      <c r="CN870" s="717"/>
      <c r="CO870" s="717"/>
      <c r="CP870" s="717"/>
      <c r="CQ870" s="717"/>
      <c r="CR870" s="717"/>
      <c r="CS870" s="717"/>
      <c r="CT870" s="717"/>
      <c r="CU870" s="717"/>
      <c r="CV870" s="717"/>
      <c r="CW870" s="717"/>
      <c r="CX870" s="717"/>
      <c r="CY870" s="717"/>
      <c r="CZ870" s="717"/>
      <c r="DA870" s="717"/>
      <c r="DB870" s="717"/>
      <c r="DC870" s="717"/>
      <c r="DD870" s="717"/>
      <c r="DE870" s="717"/>
      <c r="DF870" s="717"/>
      <c r="DG870" s="717"/>
      <c r="DH870" s="717"/>
      <c r="DI870" s="717"/>
      <c r="DJ870" s="717"/>
      <c r="DM870" s="711"/>
      <c r="DN870" s="711"/>
      <c r="DO870" s="711"/>
      <c r="DP870" s="711"/>
      <c r="DQ870" s="711"/>
      <c r="EB870" s="719"/>
    </row>
    <row r="871" spans="5:132" s="709" customFormat="1" ht="18" hidden="1">
      <c r="E871" s="721"/>
      <c r="H871" s="723">
        <v>369</v>
      </c>
      <c r="I871" s="726"/>
      <c r="J871" s="724"/>
      <c r="K871" s="724"/>
      <c r="L871" s="724"/>
      <c r="M871" s="728"/>
      <c r="N871" s="724"/>
      <c r="O871" s="724"/>
      <c r="P871" s="724"/>
      <c r="Q871" s="724"/>
      <c r="R871" s="724"/>
      <c r="S871" s="724"/>
      <c r="T871" s="724"/>
      <c r="U871" s="724"/>
      <c r="V871" s="724"/>
      <c r="W871" s="724"/>
      <c r="X871" s="724"/>
      <c r="Y871" s="724"/>
      <c r="Z871" s="724"/>
      <c r="AA871" s="724"/>
      <c r="AB871" s="724"/>
      <c r="AC871" s="729"/>
      <c r="AD871" s="724"/>
      <c r="AE871" s="724"/>
      <c r="AF871" s="724"/>
      <c r="AG871" s="724"/>
      <c r="AH871" s="724"/>
      <c r="AI871" s="724"/>
      <c r="AJ871" s="724"/>
      <c r="AU871" s="713"/>
      <c r="AW871" s="712"/>
      <c r="BY871" s="714"/>
      <c r="BZ871" s="715"/>
      <c r="CA871" s="716"/>
      <c r="CB871" s="717"/>
      <c r="CC871" s="717"/>
      <c r="CD871" s="717"/>
      <c r="CE871" s="717"/>
      <c r="CF871" s="717"/>
      <c r="CG871" s="717"/>
      <c r="CH871" s="717"/>
      <c r="CI871" s="717"/>
      <c r="CJ871" s="717"/>
      <c r="CK871" s="717"/>
      <c r="CL871" s="717"/>
      <c r="CM871" s="717"/>
      <c r="CN871" s="717"/>
      <c r="CO871" s="717"/>
      <c r="CP871" s="717"/>
      <c r="CQ871" s="717"/>
      <c r="CR871" s="717"/>
      <c r="CS871" s="717"/>
      <c r="CT871" s="717"/>
      <c r="CU871" s="717"/>
      <c r="CV871" s="717"/>
      <c r="CW871" s="717"/>
      <c r="CX871" s="717"/>
      <c r="CY871" s="717"/>
      <c r="CZ871" s="717"/>
      <c r="DA871" s="717"/>
      <c r="DB871" s="717"/>
      <c r="DC871" s="717"/>
      <c r="DD871" s="717"/>
      <c r="DE871" s="717"/>
      <c r="DF871" s="717"/>
      <c r="DG871" s="717"/>
      <c r="DH871" s="717"/>
      <c r="DI871" s="717"/>
      <c r="DJ871" s="717"/>
      <c r="DM871" s="711"/>
      <c r="DN871" s="711"/>
      <c r="DO871" s="711"/>
      <c r="DP871" s="711"/>
      <c r="DQ871" s="711"/>
      <c r="EB871" s="719"/>
    </row>
    <row r="872" spans="5:132" s="709" customFormat="1" ht="18" hidden="1">
      <c r="E872" s="721"/>
      <c r="H872" s="723">
        <v>370</v>
      </c>
      <c r="I872" s="726"/>
      <c r="J872" s="724"/>
      <c r="K872" s="724"/>
      <c r="L872" s="724"/>
      <c r="M872" s="728"/>
      <c r="N872" s="724"/>
      <c r="O872" s="724"/>
      <c r="P872" s="724"/>
      <c r="Q872" s="724"/>
      <c r="R872" s="724"/>
      <c r="S872" s="724"/>
      <c r="T872" s="724"/>
      <c r="U872" s="724"/>
      <c r="V872" s="724"/>
      <c r="W872" s="724"/>
      <c r="X872" s="724"/>
      <c r="Y872" s="724"/>
      <c r="Z872" s="724"/>
      <c r="AA872" s="724"/>
      <c r="AB872" s="724"/>
      <c r="AC872" s="729"/>
      <c r="AD872" s="724"/>
      <c r="AE872" s="724"/>
      <c r="AF872" s="724"/>
      <c r="AG872" s="724"/>
      <c r="AH872" s="724"/>
      <c r="AI872" s="724"/>
      <c r="AJ872" s="724"/>
      <c r="AU872" s="713"/>
      <c r="AW872" s="712"/>
      <c r="BY872" s="714"/>
      <c r="BZ872" s="715"/>
      <c r="CA872" s="716"/>
      <c r="CB872" s="717"/>
      <c r="CC872" s="717"/>
      <c r="CD872" s="717"/>
      <c r="CE872" s="717"/>
      <c r="CF872" s="717"/>
      <c r="CG872" s="717"/>
      <c r="CH872" s="717"/>
      <c r="CI872" s="717"/>
      <c r="CJ872" s="717"/>
      <c r="CK872" s="717"/>
      <c r="CL872" s="717"/>
      <c r="CM872" s="717"/>
      <c r="CN872" s="717"/>
      <c r="CO872" s="717"/>
      <c r="CP872" s="717"/>
      <c r="CQ872" s="717"/>
      <c r="CR872" s="717"/>
      <c r="CS872" s="717"/>
      <c r="CT872" s="717"/>
      <c r="CU872" s="717"/>
      <c r="CV872" s="717"/>
      <c r="CW872" s="717"/>
      <c r="CX872" s="717"/>
      <c r="CY872" s="717"/>
      <c r="CZ872" s="717"/>
      <c r="DA872" s="717"/>
      <c r="DB872" s="717"/>
      <c r="DC872" s="717"/>
      <c r="DD872" s="717"/>
      <c r="DE872" s="717"/>
      <c r="DF872" s="717"/>
      <c r="DG872" s="717"/>
      <c r="DH872" s="717"/>
      <c r="DI872" s="717"/>
      <c r="DJ872" s="717"/>
      <c r="DM872" s="711"/>
      <c r="DN872" s="711"/>
      <c r="DO872" s="711"/>
      <c r="DP872" s="711"/>
      <c r="DQ872" s="711"/>
      <c r="EB872" s="719"/>
    </row>
    <row r="873" spans="5:132" s="709" customFormat="1" ht="18" hidden="1">
      <c r="E873" s="721"/>
      <c r="H873" s="723">
        <v>371</v>
      </c>
      <c r="I873" s="726"/>
      <c r="J873" s="724"/>
      <c r="K873" s="724"/>
      <c r="L873" s="724"/>
      <c r="M873" s="728"/>
      <c r="N873" s="724"/>
      <c r="O873" s="724"/>
      <c r="P873" s="724"/>
      <c r="Q873" s="724"/>
      <c r="R873" s="724"/>
      <c r="S873" s="724"/>
      <c r="T873" s="724"/>
      <c r="U873" s="724"/>
      <c r="V873" s="724"/>
      <c r="W873" s="724"/>
      <c r="X873" s="724"/>
      <c r="Y873" s="724"/>
      <c r="Z873" s="724"/>
      <c r="AA873" s="724"/>
      <c r="AB873" s="724"/>
      <c r="AC873" s="729"/>
      <c r="AD873" s="724"/>
      <c r="AE873" s="724"/>
      <c r="AF873" s="724"/>
      <c r="AG873" s="724"/>
      <c r="AH873" s="724"/>
      <c r="AI873" s="724"/>
      <c r="AJ873" s="724"/>
      <c r="AU873" s="713"/>
      <c r="AW873" s="712"/>
      <c r="BY873" s="714"/>
      <c r="BZ873" s="715"/>
      <c r="CA873" s="716"/>
      <c r="CB873" s="717"/>
      <c r="CC873" s="717"/>
      <c r="CD873" s="717"/>
      <c r="CE873" s="717"/>
      <c r="CF873" s="717"/>
      <c r="CG873" s="717"/>
      <c r="CH873" s="717"/>
      <c r="CI873" s="717"/>
      <c r="CJ873" s="717"/>
      <c r="CK873" s="717"/>
      <c r="CL873" s="717"/>
      <c r="CM873" s="717"/>
      <c r="CN873" s="717"/>
      <c r="CO873" s="717"/>
      <c r="CP873" s="717"/>
      <c r="CQ873" s="717"/>
      <c r="CR873" s="717"/>
      <c r="CS873" s="717"/>
      <c r="CT873" s="717"/>
      <c r="CU873" s="717"/>
      <c r="CV873" s="717"/>
      <c r="CW873" s="717"/>
      <c r="CX873" s="717"/>
      <c r="CY873" s="717"/>
      <c r="CZ873" s="717"/>
      <c r="DA873" s="717"/>
      <c r="DB873" s="717"/>
      <c r="DC873" s="717"/>
      <c r="DD873" s="717"/>
      <c r="DE873" s="717"/>
      <c r="DF873" s="717"/>
      <c r="DG873" s="717"/>
      <c r="DH873" s="717"/>
      <c r="DI873" s="717"/>
      <c r="DJ873" s="717"/>
      <c r="DM873" s="711"/>
      <c r="DN873" s="711"/>
      <c r="DO873" s="711"/>
      <c r="DP873" s="711"/>
      <c r="DQ873" s="711"/>
      <c r="EB873" s="719"/>
    </row>
    <row r="874" spans="5:132" s="709" customFormat="1" ht="18" hidden="1">
      <c r="E874" s="721"/>
      <c r="H874" s="723">
        <v>372</v>
      </c>
      <c r="I874" s="726"/>
      <c r="J874" s="724"/>
      <c r="K874" s="724"/>
      <c r="L874" s="724"/>
      <c r="M874" s="728"/>
      <c r="N874" s="724"/>
      <c r="O874" s="724"/>
      <c r="P874" s="724"/>
      <c r="Q874" s="724"/>
      <c r="R874" s="724"/>
      <c r="S874" s="724"/>
      <c r="T874" s="724"/>
      <c r="U874" s="724"/>
      <c r="V874" s="724"/>
      <c r="W874" s="724"/>
      <c r="X874" s="724"/>
      <c r="Y874" s="724"/>
      <c r="Z874" s="724"/>
      <c r="AA874" s="724"/>
      <c r="AB874" s="724"/>
      <c r="AC874" s="729"/>
      <c r="AD874" s="724"/>
      <c r="AE874" s="724"/>
      <c r="AF874" s="724"/>
      <c r="AG874" s="724"/>
      <c r="AH874" s="724"/>
      <c r="AI874" s="724"/>
      <c r="AJ874" s="724"/>
      <c r="AU874" s="713"/>
      <c r="AW874" s="712"/>
      <c r="BY874" s="714"/>
      <c r="BZ874" s="715"/>
      <c r="CA874" s="716"/>
      <c r="CB874" s="717"/>
      <c r="CC874" s="717"/>
      <c r="CD874" s="717"/>
      <c r="CE874" s="717"/>
      <c r="CF874" s="717"/>
      <c r="CG874" s="717"/>
      <c r="CH874" s="717"/>
      <c r="CI874" s="717"/>
      <c r="CJ874" s="717"/>
      <c r="CK874" s="717"/>
      <c r="CL874" s="717"/>
      <c r="CM874" s="717"/>
      <c r="CN874" s="717"/>
      <c r="CO874" s="717"/>
      <c r="CP874" s="717"/>
      <c r="CQ874" s="717"/>
      <c r="CR874" s="717"/>
      <c r="CS874" s="717"/>
      <c r="CT874" s="717"/>
      <c r="CU874" s="717"/>
      <c r="CV874" s="717"/>
      <c r="CW874" s="717"/>
      <c r="CX874" s="717"/>
      <c r="CY874" s="717"/>
      <c r="CZ874" s="717"/>
      <c r="DA874" s="717"/>
      <c r="DB874" s="717"/>
      <c r="DC874" s="717"/>
      <c r="DD874" s="717"/>
      <c r="DE874" s="717"/>
      <c r="DF874" s="717"/>
      <c r="DG874" s="717"/>
      <c r="DH874" s="717"/>
      <c r="DI874" s="717"/>
      <c r="DJ874" s="717"/>
      <c r="DM874" s="711"/>
      <c r="DN874" s="711"/>
      <c r="DO874" s="711"/>
      <c r="DP874" s="711"/>
      <c r="DQ874" s="711"/>
      <c r="EB874" s="719"/>
    </row>
    <row r="875" spans="5:132" s="709" customFormat="1" ht="18" hidden="1">
      <c r="E875" s="721"/>
      <c r="H875" s="723">
        <v>373</v>
      </c>
      <c r="I875" s="726"/>
      <c r="J875" s="724"/>
      <c r="K875" s="724"/>
      <c r="L875" s="724"/>
      <c r="M875" s="728"/>
      <c r="N875" s="724"/>
      <c r="O875" s="724"/>
      <c r="P875" s="724"/>
      <c r="Q875" s="724"/>
      <c r="R875" s="724"/>
      <c r="S875" s="724"/>
      <c r="T875" s="724"/>
      <c r="U875" s="724"/>
      <c r="V875" s="724"/>
      <c r="W875" s="724"/>
      <c r="X875" s="724"/>
      <c r="Y875" s="724"/>
      <c r="Z875" s="724"/>
      <c r="AA875" s="724"/>
      <c r="AB875" s="724"/>
      <c r="AC875" s="729"/>
      <c r="AD875" s="724"/>
      <c r="AE875" s="724"/>
      <c r="AF875" s="724"/>
      <c r="AG875" s="724"/>
      <c r="AH875" s="724"/>
      <c r="AI875" s="724"/>
      <c r="AJ875" s="724"/>
      <c r="AU875" s="713"/>
      <c r="AW875" s="712"/>
      <c r="BY875" s="714"/>
      <c r="BZ875" s="715"/>
      <c r="CA875" s="716"/>
      <c r="CB875" s="717"/>
      <c r="CC875" s="717"/>
      <c r="CD875" s="717"/>
      <c r="CE875" s="717"/>
      <c r="CF875" s="717"/>
      <c r="CG875" s="717"/>
      <c r="CH875" s="717"/>
      <c r="CI875" s="717"/>
      <c r="CJ875" s="717"/>
      <c r="CK875" s="717"/>
      <c r="CL875" s="717"/>
      <c r="CM875" s="717"/>
      <c r="CN875" s="717"/>
      <c r="CO875" s="717"/>
      <c r="CP875" s="717"/>
      <c r="CQ875" s="717"/>
      <c r="CR875" s="717"/>
      <c r="CS875" s="717"/>
      <c r="CT875" s="717"/>
      <c r="CU875" s="717"/>
      <c r="CV875" s="717"/>
      <c r="CW875" s="717"/>
      <c r="CX875" s="717"/>
      <c r="CY875" s="717"/>
      <c r="CZ875" s="717"/>
      <c r="DA875" s="717"/>
      <c r="DB875" s="717"/>
      <c r="DC875" s="717"/>
      <c r="DD875" s="717"/>
      <c r="DE875" s="717"/>
      <c r="DF875" s="717"/>
      <c r="DG875" s="717"/>
      <c r="DH875" s="717"/>
      <c r="DI875" s="717"/>
      <c r="DJ875" s="717"/>
      <c r="DM875" s="711"/>
      <c r="DN875" s="711"/>
      <c r="DO875" s="711"/>
      <c r="DP875" s="711"/>
      <c r="DQ875" s="711"/>
      <c r="EB875" s="719"/>
    </row>
    <row r="876" spans="5:132" s="709" customFormat="1" ht="18" hidden="1">
      <c r="E876" s="721"/>
      <c r="H876" s="723">
        <v>374</v>
      </c>
      <c r="I876" s="726"/>
      <c r="J876" s="724"/>
      <c r="K876" s="724"/>
      <c r="L876" s="724"/>
      <c r="M876" s="728"/>
      <c r="N876" s="724"/>
      <c r="O876" s="724"/>
      <c r="P876" s="724"/>
      <c r="Q876" s="724"/>
      <c r="R876" s="724"/>
      <c r="S876" s="724"/>
      <c r="T876" s="724"/>
      <c r="U876" s="724"/>
      <c r="V876" s="724"/>
      <c r="W876" s="724"/>
      <c r="X876" s="724"/>
      <c r="Y876" s="724"/>
      <c r="Z876" s="724"/>
      <c r="AA876" s="724"/>
      <c r="AB876" s="724"/>
      <c r="AC876" s="729"/>
      <c r="AD876" s="724"/>
      <c r="AE876" s="724"/>
      <c r="AF876" s="724"/>
      <c r="AG876" s="724"/>
      <c r="AH876" s="724"/>
      <c r="AI876" s="724"/>
      <c r="AJ876" s="724"/>
      <c r="AU876" s="713"/>
      <c r="AW876" s="712"/>
      <c r="BY876" s="714"/>
      <c r="BZ876" s="715"/>
      <c r="CA876" s="716"/>
      <c r="CB876" s="717"/>
      <c r="CC876" s="717"/>
      <c r="CD876" s="717"/>
      <c r="CE876" s="717"/>
      <c r="CF876" s="717"/>
      <c r="CG876" s="717"/>
      <c r="CH876" s="717"/>
      <c r="CI876" s="717"/>
      <c r="CJ876" s="717"/>
      <c r="CK876" s="717"/>
      <c r="CL876" s="717"/>
      <c r="CM876" s="717"/>
      <c r="CN876" s="717"/>
      <c r="CO876" s="717"/>
      <c r="CP876" s="717"/>
      <c r="CQ876" s="717"/>
      <c r="CR876" s="717"/>
      <c r="CS876" s="717"/>
      <c r="CT876" s="717"/>
      <c r="CU876" s="717"/>
      <c r="CV876" s="717"/>
      <c r="CW876" s="717"/>
      <c r="CX876" s="717"/>
      <c r="CY876" s="717"/>
      <c r="CZ876" s="717"/>
      <c r="DA876" s="717"/>
      <c r="DB876" s="717"/>
      <c r="DC876" s="717"/>
      <c r="DD876" s="717"/>
      <c r="DE876" s="717"/>
      <c r="DF876" s="717"/>
      <c r="DG876" s="717"/>
      <c r="DH876" s="717"/>
      <c r="DI876" s="717"/>
      <c r="DJ876" s="717"/>
      <c r="DM876" s="711"/>
      <c r="DN876" s="711"/>
      <c r="DO876" s="711"/>
      <c r="DP876" s="711"/>
      <c r="DQ876" s="711"/>
      <c r="EB876" s="719"/>
    </row>
    <row r="877" spans="5:132" s="709" customFormat="1" ht="18" hidden="1">
      <c r="E877" s="721"/>
      <c r="H877" s="723">
        <v>376</v>
      </c>
      <c r="I877" s="726"/>
      <c r="J877" s="724"/>
      <c r="K877" s="724"/>
      <c r="L877" s="724"/>
      <c r="M877" s="728"/>
      <c r="N877" s="724"/>
      <c r="O877" s="724"/>
      <c r="P877" s="724"/>
      <c r="Q877" s="724"/>
      <c r="R877" s="724"/>
      <c r="S877" s="724"/>
      <c r="T877" s="724"/>
      <c r="U877" s="724"/>
      <c r="V877" s="724"/>
      <c r="W877" s="724"/>
      <c r="X877" s="724"/>
      <c r="Y877" s="724"/>
      <c r="Z877" s="724"/>
      <c r="AA877" s="724"/>
      <c r="AB877" s="724"/>
      <c r="AC877" s="729"/>
      <c r="AD877" s="724"/>
      <c r="AE877" s="724"/>
      <c r="AF877" s="724"/>
      <c r="AG877" s="724"/>
      <c r="AH877" s="724"/>
      <c r="AI877" s="724"/>
      <c r="AJ877" s="724"/>
      <c r="AU877" s="713"/>
      <c r="AW877" s="712"/>
      <c r="BY877" s="714"/>
      <c r="BZ877" s="715"/>
      <c r="CA877" s="716"/>
      <c r="CB877" s="717"/>
      <c r="CC877" s="717"/>
      <c r="CD877" s="717"/>
      <c r="CE877" s="717"/>
      <c r="CF877" s="717"/>
      <c r="CG877" s="717"/>
      <c r="CH877" s="717"/>
      <c r="CI877" s="717"/>
      <c r="CJ877" s="717"/>
      <c r="CK877" s="717"/>
      <c r="CL877" s="717"/>
      <c r="CM877" s="717"/>
      <c r="CN877" s="717"/>
      <c r="CO877" s="717"/>
      <c r="CP877" s="717"/>
      <c r="CQ877" s="717"/>
      <c r="CR877" s="717"/>
      <c r="CS877" s="717"/>
      <c r="CT877" s="717"/>
      <c r="CU877" s="717"/>
      <c r="CV877" s="717"/>
      <c r="CW877" s="717"/>
      <c r="CX877" s="717"/>
      <c r="CY877" s="717"/>
      <c r="CZ877" s="717"/>
      <c r="DA877" s="717"/>
      <c r="DB877" s="717"/>
      <c r="DC877" s="717"/>
      <c r="DD877" s="717"/>
      <c r="DE877" s="717"/>
      <c r="DF877" s="717"/>
      <c r="DG877" s="717"/>
      <c r="DH877" s="717"/>
      <c r="DI877" s="717"/>
      <c r="DJ877" s="717"/>
      <c r="DM877" s="711"/>
      <c r="DN877" s="711"/>
      <c r="DO877" s="711"/>
      <c r="DP877" s="711"/>
      <c r="DQ877" s="711"/>
      <c r="EB877" s="719"/>
    </row>
    <row r="878" spans="5:132" s="709" customFormat="1" ht="18" hidden="1">
      <c r="E878" s="721"/>
      <c r="H878" s="723">
        <v>377</v>
      </c>
      <c r="I878" s="726"/>
      <c r="J878" s="724"/>
      <c r="K878" s="724"/>
      <c r="L878" s="724"/>
      <c r="M878" s="728"/>
      <c r="N878" s="724"/>
      <c r="O878" s="724"/>
      <c r="P878" s="724"/>
      <c r="Q878" s="724"/>
      <c r="R878" s="724"/>
      <c r="S878" s="724"/>
      <c r="T878" s="724"/>
      <c r="U878" s="724"/>
      <c r="V878" s="724"/>
      <c r="W878" s="724"/>
      <c r="X878" s="724"/>
      <c r="Y878" s="724"/>
      <c r="Z878" s="724"/>
      <c r="AA878" s="724"/>
      <c r="AB878" s="724"/>
      <c r="AC878" s="729"/>
      <c r="AD878" s="724"/>
      <c r="AE878" s="724"/>
      <c r="AF878" s="724"/>
      <c r="AG878" s="724"/>
      <c r="AH878" s="724"/>
      <c r="AI878" s="724"/>
      <c r="AJ878" s="724"/>
      <c r="AU878" s="713"/>
      <c r="AW878" s="712"/>
      <c r="BY878" s="714"/>
      <c r="BZ878" s="715"/>
      <c r="CA878" s="716"/>
      <c r="CB878" s="717"/>
      <c r="CC878" s="717"/>
      <c r="CD878" s="717"/>
      <c r="CE878" s="717"/>
      <c r="CF878" s="717"/>
      <c r="CG878" s="717"/>
      <c r="CH878" s="717"/>
      <c r="CI878" s="717"/>
      <c r="CJ878" s="717"/>
      <c r="CK878" s="717"/>
      <c r="CL878" s="717"/>
      <c r="CM878" s="717"/>
      <c r="CN878" s="717"/>
      <c r="CO878" s="717"/>
      <c r="CP878" s="717"/>
      <c r="CQ878" s="717"/>
      <c r="CR878" s="717"/>
      <c r="CS878" s="717"/>
      <c r="CT878" s="717"/>
      <c r="CU878" s="717"/>
      <c r="CV878" s="717"/>
      <c r="CW878" s="717"/>
      <c r="CX878" s="717"/>
      <c r="CY878" s="717"/>
      <c r="CZ878" s="717"/>
      <c r="DA878" s="717"/>
      <c r="DB878" s="717"/>
      <c r="DC878" s="717"/>
      <c r="DD878" s="717"/>
      <c r="DE878" s="717"/>
      <c r="DF878" s="717"/>
      <c r="DG878" s="717"/>
      <c r="DH878" s="717"/>
      <c r="DI878" s="717"/>
      <c r="DJ878" s="717"/>
      <c r="DM878" s="711"/>
      <c r="DN878" s="711"/>
      <c r="DO878" s="711"/>
      <c r="DP878" s="711"/>
      <c r="DQ878" s="711"/>
      <c r="EB878" s="719"/>
    </row>
    <row r="879" spans="5:132" s="709" customFormat="1" ht="18" hidden="1">
      <c r="E879" s="721"/>
      <c r="H879" s="723">
        <v>378</v>
      </c>
      <c r="I879" s="726"/>
      <c r="J879" s="724"/>
      <c r="K879" s="724"/>
      <c r="L879" s="724"/>
      <c r="M879" s="728"/>
      <c r="N879" s="724"/>
      <c r="O879" s="724"/>
      <c r="P879" s="724"/>
      <c r="Q879" s="724"/>
      <c r="R879" s="724"/>
      <c r="S879" s="724"/>
      <c r="T879" s="724"/>
      <c r="U879" s="724"/>
      <c r="V879" s="724"/>
      <c r="W879" s="724"/>
      <c r="X879" s="724"/>
      <c r="Y879" s="724"/>
      <c r="Z879" s="724"/>
      <c r="AA879" s="724"/>
      <c r="AB879" s="724"/>
      <c r="AC879" s="729"/>
      <c r="AD879" s="724"/>
      <c r="AE879" s="724"/>
      <c r="AF879" s="724"/>
      <c r="AG879" s="724"/>
      <c r="AH879" s="724"/>
      <c r="AI879" s="724"/>
      <c r="AJ879" s="724"/>
      <c r="AU879" s="713"/>
      <c r="AW879" s="712"/>
      <c r="BY879" s="714"/>
      <c r="BZ879" s="715"/>
      <c r="CA879" s="716"/>
      <c r="CB879" s="717"/>
      <c r="CC879" s="717"/>
      <c r="CD879" s="717"/>
      <c r="CE879" s="717"/>
      <c r="CF879" s="717"/>
      <c r="CG879" s="717"/>
      <c r="CH879" s="717"/>
      <c r="CI879" s="717"/>
      <c r="CJ879" s="717"/>
      <c r="CK879" s="717"/>
      <c r="CL879" s="717"/>
      <c r="CM879" s="717"/>
      <c r="CN879" s="717"/>
      <c r="CO879" s="717"/>
      <c r="CP879" s="717"/>
      <c r="CQ879" s="717"/>
      <c r="CR879" s="717"/>
      <c r="CS879" s="717"/>
      <c r="CT879" s="717"/>
      <c r="CU879" s="717"/>
      <c r="CV879" s="717"/>
      <c r="CW879" s="717"/>
      <c r="CX879" s="717"/>
      <c r="CY879" s="717"/>
      <c r="CZ879" s="717"/>
      <c r="DA879" s="717"/>
      <c r="DB879" s="717"/>
      <c r="DC879" s="717"/>
      <c r="DD879" s="717"/>
      <c r="DE879" s="717"/>
      <c r="DF879" s="717"/>
      <c r="DG879" s="717"/>
      <c r="DH879" s="717"/>
      <c r="DI879" s="717"/>
      <c r="DJ879" s="717"/>
      <c r="DM879" s="711"/>
      <c r="DN879" s="711"/>
      <c r="DO879" s="711"/>
      <c r="DP879" s="711"/>
      <c r="DQ879" s="711"/>
      <c r="EB879" s="719"/>
    </row>
    <row r="880" spans="5:132" s="709" customFormat="1" ht="18" hidden="1">
      <c r="E880" s="721"/>
      <c r="H880" s="723">
        <v>379</v>
      </c>
      <c r="I880" s="726"/>
      <c r="J880" s="724"/>
      <c r="K880" s="724"/>
      <c r="L880" s="724"/>
      <c r="M880" s="728"/>
      <c r="N880" s="724"/>
      <c r="O880" s="724"/>
      <c r="P880" s="724"/>
      <c r="Q880" s="724"/>
      <c r="R880" s="724"/>
      <c r="S880" s="724"/>
      <c r="T880" s="724"/>
      <c r="U880" s="724"/>
      <c r="V880" s="724"/>
      <c r="W880" s="724"/>
      <c r="X880" s="724"/>
      <c r="Y880" s="724"/>
      <c r="Z880" s="724"/>
      <c r="AA880" s="724"/>
      <c r="AB880" s="724"/>
      <c r="AC880" s="729"/>
      <c r="AD880" s="724"/>
      <c r="AE880" s="724"/>
      <c r="AF880" s="724"/>
      <c r="AG880" s="724"/>
      <c r="AH880" s="724"/>
      <c r="AI880" s="724"/>
      <c r="AJ880" s="724"/>
      <c r="AU880" s="713"/>
      <c r="AW880" s="712"/>
      <c r="BY880" s="714"/>
      <c r="BZ880" s="715"/>
      <c r="CA880" s="716"/>
      <c r="CB880" s="717"/>
      <c r="CC880" s="717"/>
      <c r="CD880" s="717"/>
      <c r="CE880" s="717"/>
      <c r="CF880" s="717"/>
      <c r="CG880" s="717"/>
      <c r="CH880" s="717"/>
      <c r="CI880" s="717"/>
      <c r="CJ880" s="717"/>
      <c r="CK880" s="717"/>
      <c r="CL880" s="717"/>
      <c r="CM880" s="717"/>
      <c r="CN880" s="717"/>
      <c r="CO880" s="717"/>
      <c r="CP880" s="717"/>
      <c r="CQ880" s="717"/>
      <c r="CR880" s="717"/>
      <c r="CS880" s="717"/>
      <c r="CT880" s="717"/>
      <c r="CU880" s="717"/>
      <c r="CV880" s="717"/>
      <c r="CW880" s="717"/>
      <c r="CX880" s="717"/>
      <c r="CY880" s="717"/>
      <c r="CZ880" s="717"/>
      <c r="DA880" s="717"/>
      <c r="DB880" s="717"/>
      <c r="DC880" s="717"/>
      <c r="DD880" s="717"/>
      <c r="DE880" s="717"/>
      <c r="DF880" s="717"/>
      <c r="DG880" s="717"/>
      <c r="DH880" s="717"/>
      <c r="DI880" s="717"/>
      <c r="DJ880" s="717"/>
      <c r="DM880" s="711"/>
      <c r="DN880" s="711"/>
      <c r="DO880" s="711"/>
      <c r="DP880" s="711"/>
      <c r="DQ880" s="711"/>
      <c r="EB880" s="719"/>
    </row>
    <row r="881" spans="5:132" s="709" customFormat="1" ht="18" hidden="1">
      <c r="E881" s="721"/>
      <c r="H881" s="723">
        <v>380</v>
      </c>
      <c r="I881" s="726"/>
      <c r="J881" s="724"/>
      <c r="K881" s="724"/>
      <c r="L881" s="724"/>
      <c r="M881" s="728"/>
      <c r="N881" s="724"/>
      <c r="O881" s="724"/>
      <c r="P881" s="724"/>
      <c r="Q881" s="724"/>
      <c r="R881" s="724"/>
      <c r="S881" s="724"/>
      <c r="T881" s="724"/>
      <c r="U881" s="724"/>
      <c r="V881" s="724"/>
      <c r="W881" s="724"/>
      <c r="X881" s="724"/>
      <c r="Y881" s="724"/>
      <c r="Z881" s="724"/>
      <c r="AA881" s="724"/>
      <c r="AB881" s="724"/>
      <c r="AC881" s="729"/>
      <c r="AD881" s="724"/>
      <c r="AE881" s="724"/>
      <c r="AF881" s="724"/>
      <c r="AG881" s="724"/>
      <c r="AH881" s="724"/>
      <c r="AI881" s="724"/>
      <c r="AJ881" s="724"/>
      <c r="AU881" s="713"/>
      <c r="AW881" s="712"/>
      <c r="BY881" s="714"/>
      <c r="BZ881" s="715"/>
      <c r="CA881" s="716"/>
      <c r="CB881" s="717"/>
      <c r="CC881" s="717"/>
      <c r="CD881" s="717"/>
      <c r="CE881" s="717"/>
      <c r="CF881" s="717"/>
      <c r="CG881" s="717"/>
      <c r="CH881" s="717"/>
      <c r="CI881" s="717"/>
      <c r="CJ881" s="717"/>
      <c r="CK881" s="717"/>
      <c r="CL881" s="717"/>
      <c r="CM881" s="717"/>
      <c r="CN881" s="717"/>
      <c r="CO881" s="717"/>
      <c r="CP881" s="717"/>
      <c r="CQ881" s="717"/>
      <c r="CR881" s="717"/>
      <c r="CS881" s="717"/>
      <c r="CT881" s="717"/>
      <c r="CU881" s="717"/>
      <c r="CV881" s="717"/>
      <c r="CW881" s="717"/>
      <c r="CX881" s="717"/>
      <c r="CY881" s="717"/>
      <c r="CZ881" s="717"/>
      <c r="DA881" s="717"/>
      <c r="DB881" s="717"/>
      <c r="DC881" s="717"/>
      <c r="DD881" s="717"/>
      <c r="DE881" s="717"/>
      <c r="DF881" s="717"/>
      <c r="DG881" s="717"/>
      <c r="DH881" s="717"/>
      <c r="DI881" s="717"/>
      <c r="DJ881" s="717"/>
      <c r="DM881" s="711"/>
      <c r="DN881" s="711"/>
      <c r="DO881" s="711"/>
      <c r="DP881" s="711"/>
      <c r="DQ881" s="711"/>
      <c r="EB881" s="719"/>
    </row>
    <row r="882" spans="5:132" s="709" customFormat="1" ht="18" hidden="1">
      <c r="E882" s="721"/>
      <c r="H882" s="723">
        <v>381</v>
      </c>
      <c r="I882" s="726"/>
      <c r="J882" s="724"/>
      <c r="K882" s="724"/>
      <c r="L882" s="724"/>
      <c r="M882" s="728"/>
      <c r="N882" s="724"/>
      <c r="O882" s="724"/>
      <c r="P882" s="724"/>
      <c r="Q882" s="724"/>
      <c r="R882" s="724"/>
      <c r="S882" s="724"/>
      <c r="T882" s="724"/>
      <c r="U882" s="724"/>
      <c r="V882" s="724"/>
      <c r="W882" s="724"/>
      <c r="X882" s="724"/>
      <c r="Y882" s="724"/>
      <c r="Z882" s="724"/>
      <c r="AA882" s="724"/>
      <c r="AB882" s="724"/>
      <c r="AC882" s="729"/>
      <c r="AD882" s="724"/>
      <c r="AE882" s="724"/>
      <c r="AF882" s="724"/>
      <c r="AG882" s="724"/>
      <c r="AH882" s="724"/>
      <c r="AI882" s="724"/>
      <c r="AJ882" s="724"/>
      <c r="AU882" s="713"/>
      <c r="AW882" s="712"/>
      <c r="BY882" s="714"/>
      <c r="BZ882" s="715"/>
      <c r="CA882" s="716"/>
      <c r="CB882" s="717"/>
      <c r="CC882" s="717"/>
      <c r="CD882" s="717"/>
      <c r="CE882" s="717"/>
      <c r="CF882" s="717"/>
      <c r="CG882" s="717"/>
      <c r="CH882" s="717"/>
      <c r="CI882" s="717"/>
      <c r="CJ882" s="717"/>
      <c r="CK882" s="717"/>
      <c r="CL882" s="717"/>
      <c r="CM882" s="717"/>
      <c r="CN882" s="717"/>
      <c r="CO882" s="717"/>
      <c r="CP882" s="717"/>
      <c r="CQ882" s="717"/>
      <c r="CR882" s="717"/>
      <c r="CS882" s="717"/>
      <c r="CT882" s="717"/>
      <c r="CU882" s="717"/>
      <c r="CV882" s="717"/>
      <c r="CW882" s="717"/>
      <c r="CX882" s="717"/>
      <c r="CY882" s="717"/>
      <c r="CZ882" s="717"/>
      <c r="DA882" s="717"/>
      <c r="DB882" s="717"/>
      <c r="DC882" s="717"/>
      <c r="DD882" s="717"/>
      <c r="DE882" s="717"/>
      <c r="DF882" s="717"/>
      <c r="DG882" s="717"/>
      <c r="DH882" s="717"/>
      <c r="DI882" s="717"/>
      <c r="DJ882" s="717"/>
      <c r="DM882" s="711"/>
      <c r="DN882" s="711"/>
      <c r="DO882" s="711"/>
      <c r="DP882" s="711"/>
      <c r="DQ882" s="711"/>
      <c r="EB882" s="719"/>
    </row>
    <row r="883" spans="5:132" s="709" customFormat="1" ht="18" hidden="1">
      <c r="E883" s="721"/>
      <c r="H883" s="723">
        <v>382</v>
      </c>
      <c r="I883" s="726"/>
      <c r="J883" s="724"/>
      <c r="K883" s="724"/>
      <c r="L883" s="724"/>
      <c r="M883" s="728"/>
      <c r="N883" s="724"/>
      <c r="O883" s="724"/>
      <c r="P883" s="724"/>
      <c r="Q883" s="724"/>
      <c r="R883" s="724"/>
      <c r="S883" s="724"/>
      <c r="T883" s="724"/>
      <c r="U883" s="724"/>
      <c r="V883" s="724"/>
      <c r="W883" s="724"/>
      <c r="X883" s="724"/>
      <c r="Y883" s="724"/>
      <c r="Z883" s="724"/>
      <c r="AA883" s="724"/>
      <c r="AB883" s="724"/>
      <c r="AC883" s="729"/>
      <c r="AD883" s="724"/>
      <c r="AE883" s="724"/>
      <c r="AF883" s="724"/>
      <c r="AG883" s="724"/>
      <c r="AH883" s="724"/>
      <c r="AI883" s="724"/>
      <c r="AJ883" s="724"/>
      <c r="AU883" s="713"/>
      <c r="AW883" s="712"/>
      <c r="BY883" s="714"/>
      <c r="BZ883" s="715"/>
      <c r="CA883" s="716"/>
      <c r="CB883" s="717"/>
      <c r="CC883" s="717"/>
      <c r="CD883" s="717"/>
      <c r="CE883" s="717"/>
      <c r="CF883" s="717"/>
      <c r="CG883" s="717"/>
      <c r="CH883" s="717"/>
      <c r="CI883" s="717"/>
      <c r="CJ883" s="717"/>
      <c r="CK883" s="717"/>
      <c r="CL883" s="717"/>
      <c r="CM883" s="717"/>
      <c r="CN883" s="717"/>
      <c r="CO883" s="717"/>
      <c r="CP883" s="717"/>
      <c r="CQ883" s="717"/>
      <c r="CR883" s="717"/>
      <c r="CS883" s="717"/>
      <c r="CT883" s="717"/>
      <c r="CU883" s="717"/>
      <c r="CV883" s="717"/>
      <c r="CW883" s="717"/>
      <c r="CX883" s="717"/>
      <c r="CY883" s="717"/>
      <c r="CZ883" s="717"/>
      <c r="DA883" s="717"/>
      <c r="DB883" s="717"/>
      <c r="DC883" s="717"/>
      <c r="DD883" s="717"/>
      <c r="DE883" s="717"/>
      <c r="DF883" s="717"/>
      <c r="DG883" s="717"/>
      <c r="DH883" s="717"/>
      <c r="DI883" s="717"/>
      <c r="DJ883" s="717"/>
      <c r="DM883" s="711"/>
      <c r="DN883" s="711"/>
      <c r="DO883" s="711"/>
      <c r="DP883" s="711"/>
      <c r="DQ883" s="711"/>
      <c r="EB883" s="719"/>
    </row>
    <row r="884" spans="5:132" s="709" customFormat="1" ht="18" hidden="1">
      <c r="E884" s="721"/>
      <c r="H884" s="723">
        <v>383</v>
      </c>
      <c r="I884" s="726"/>
      <c r="J884" s="724"/>
      <c r="K884" s="724"/>
      <c r="L884" s="724"/>
      <c r="M884" s="728"/>
      <c r="N884" s="724"/>
      <c r="O884" s="724"/>
      <c r="P884" s="724"/>
      <c r="Q884" s="724"/>
      <c r="R884" s="724"/>
      <c r="S884" s="724"/>
      <c r="T884" s="724"/>
      <c r="U884" s="724"/>
      <c r="V884" s="724"/>
      <c r="W884" s="724"/>
      <c r="X884" s="724"/>
      <c r="Y884" s="724"/>
      <c r="Z884" s="724"/>
      <c r="AA884" s="724"/>
      <c r="AB884" s="724"/>
      <c r="AC884" s="729"/>
      <c r="AD884" s="724"/>
      <c r="AE884" s="724"/>
      <c r="AF884" s="724"/>
      <c r="AG884" s="724"/>
      <c r="AH884" s="724"/>
      <c r="AI884" s="724"/>
      <c r="AJ884" s="724"/>
      <c r="AU884" s="713"/>
      <c r="AW884" s="712"/>
      <c r="BY884" s="714"/>
      <c r="BZ884" s="715"/>
      <c r="CA884" s="716"/>
      <c r="CB884" s="717"/>
      <c r="CC884" s="717"/>
      <c r="CD884" s="717"/>
      <c r="CE884" s="717"/>
      <c r="CF884" s="717"/>
      <c r="CG884" s="717"/>
      <c r="CH884" s="717"/>
      <c r="CI884" s="717"/>
      <c r="CJ884" s="717"/>
      <c r="CK884" s="717"/>
      <c r="CL884" s="717"/>
      <c r="CM884" s="717"/>
      <c r="CN884" s="717"/>
      <c r="CO884" s="717"/>
      <c r="CP884" s="717"/>
      <c r="CQ884" s="717"/>
      <c r="CR884" s="717"/>
      <c r="CS884" s="717"/>
      <c r="CT884" s="717"/>
      <c r="CU884" s="717"/>
      <c r="CV884" s="717"/>
      <c r="CW884" s="717"/>
      <c r="CX884" s="717"/>
      <c r="CY884" s="717"/>
      <c r="CZ884" s="717"/>
      <c r="DA884" s="717"/>
      <c r="DB884" s="717"/>
      <c r="DC884" s="717"/>
      <c r="DD884" s="717"/>
      <c r="DE884" s="717"/>
      <c r="DF884" s="717"/>
      <c r="DG884" s="717"/>
      <c r="DH884" s="717"/>
      <c r="DI884" s="717"/>
      <c r="DJ884" s="717"/>
      <c r="DM884" s="711"/>
      <c r="DN884" s="711"/>
      <c r="DO884" s="711"/>
      <c r="DP884" s="711"/>
      <c r="DQ884" s="711"/>
      <c r="EB884" s="719"/>
    </row>
    <row r="885" spans="5:132" s="709" customFormat="1" ht="18" hidden="1">
      <c r="E885" s="721"/>
      <c r="H885" s="723">
        <v>384</v>
      </c>
      <c r="I885" s="726"/>
      <c r="J885" s="724"/>
      <c r="K885" s="724"/>
      <c r="L885" s="724"/>
      <c r="M885" s="728"/>
      <c r="N885" s="724"/>
      <c r="O885" s="724"/>
      <c r="P885" s="724"/>
      <c r="Q885" s="724"/>
      <c r="R885" s="724"/>
      <c r="S885" s="724"/>
      <c r="T885" s="724"/>
      <c r="U885" s="724"/>
      <c r="V885" s="724"/>
      <c r="W885" s="724"/>
      <c r="X885" s="724"/>
      <c r="Y885" s="724"/>
      <c r="Z885" s="724"/>
      <c r="AA885" s="724"/>
      <c r="AB885" s="724"/>
      <c r="AC885" s="729"/>
      <c r="AD885" s="724"/>
      <c r="AE885" s="724"/>
      <c r="AF885" s="724"/>
      <c r="AG885" s="724"/>
      <c r="AH885" s="724"/>
      <c r="AI885" s="724"/>
      <c r="AJ885" s="724"/>
      <c r="AU885" s="713"/>
      <c r="AW885" s="712"/>
      <c r="BY885" s="714"/>
      <c r="BZ885" s="715"/>
      <c r="CA885" s="716"/>
      <c r="CB885" s="717"/>
      <c r="CC885" s="717"/>
      <c r="CD885" s="717"/>
      <c r="CE885" s="717"/>
      <c r="CF885" s="717"/>
      <c r="CG885" s="717"/>
      <c r="CH885" s="717"/>
      <c r="CI885" s="717"/>
      <c r="CJ885" s="717"/>
      <c r="CK885" s="717"/>
      <c r="CL885" s="717"/>
      <c r="CM885" s="717"/>
      <c r="CN885" s="717"/>
      <c r="CO885" s="717"/>
      <c r="CP885" s="717"/>
      <c r="CQ885" s="717"/>
      <c r="CR885" s="717"/>
      <c r="CS885" s="717"/>
      <c r="CT885" s="717"/>
      <c r="CU885" s="717"/>
      <c r="CV885" s="717"/>
      <c r="CW885" s="717"/>
      <c r="CX885" s="717"/>
      <c r="CY885" s="717"/>
      <c r="CZ885" s="717"/>
      <c r="DA885" s="717"/>
      <c r="DB885" s="717"/>
      <c r="DC885" s="717"/>
      <c r="DD885" s="717"/>
      <c r="DE885" s="717"/>
      <c r="DF885" s="717"/>
      <c r="DG885" s="717"/>
      <c r="DH885" s="717"/>
      <c r="DI885" s="717"/>
      <c r="DJ885" s="717"/>
      <c r="DM885" s="711"/>
      <c r="DN885" s="711"/>
      <c r="DO885" s="711"/>
      <c r="DP885" s="711"/>
      <c r="DQ885" s="711"/>
      <c r="EB885" s="719"/>
    </row>
    <row r="886" spans="5:132" s="709" customFormat="1" ht="18" hidden="1">
      <c r="E886" s="721"/>
      <c r="H886" s="723">
        <v>385</v>
      </c>
      <c r="I886" s="726"/>
      <c r="J886" s="724"/>
      <c r="K886" s="724"/>
      <c r="L886" s="724"/>
      <c r="M886" s="728"/>
      <c r="N886" s="724"/>
      <c r="O886" s="724"/>
      <c r="P886" s="724"/>
      <c r="Q886" s="724"/>
      <c r="R886" s="724"/>
      <c r="S886" s="724"/>
      <c r="T886" s="724"/>
      <c r="U886" s="724"/>
      <c r="V886" s="724"/>
      <c r="W886" s="724"/>
      <c r="X886" s="724"/>
      <c r="Y886" s="724"/>
      <c r="Z886" s="724"/>
      <c r="AA886" s="724"/>
      <c r="AB886" s="724"/>
      <c r="AC886" s="729"/>
      <c r="AD886" s="724"/>
      <c r="AE886" s="724"/>
      <c r="AF886" s="724"/>
      <c r="AG886" s="724"/>
      <c r="AH886" s="724"/>
      <c r="AI886" s="724"/>
      <c r="AJ886" s="724"/>
      <c r="AU886" s="713"/>
      <c r="AW886" s="712"/>
      <c r="BY886" s="714"/>
      <c r="BZ886" s="715"/>
      <c r="CA886" s="716"/>
      <c r="CB886" s="717"/>
      <c r="CC886" s="717"/>
      <c r="CD886" s="717"/>
      <c r="CE886" s="717"/>
      <c r="CF886" s="717"/>
      <c r="CG886" s="717"/>
      <c r="CH886" s="717"/>
      <c r="CI886" s="717"/>
      <c r="CJ886" s="717"/>
      <c r="CK886" s="717"/>
      <c r="CL886" s="717"/>
      <c r="CM886" s="717"/>
      <c r="CN886" s="717"/>
      <c r="CO886" s="717"/>
      <c r="CP886" s="717"/>
      <c r="CQ886" s="717"/>
      <c r="CR886" s="717"/>
      <c r="CS886" s="717"/>
      <c r="CT886" s="717"/>
      <c r="CU886" s="717"/>
      <c r="CV886" s="717"/>
      <c r="CW886" s="717"/>
      <c r="CX886" s="717"/>
      <c r="CY886" s="717"/>
      <c r="CZ886" s="717"/>
      <c r="DA886" s="717"/>
      <c r="DB886" s="717"/>
      <c r="DC886" s="717"/>
      <c r="DD886" s="717"/>
      <c r="DE886" s="717"/>
      <c r="DF886" s="717"/>
      <c r="DG886" s="717"/>
      <c r="DH886" s="717"/>
      <c r="DI886" s="717"/>
      <c r="DJ886" s="717"/>
      <c r="DM886" s="711"/>
      <c r="DN886" s="711"/>
      <c r="DO886" s="711"/>
      <c r="DP886" s="711"/>
      <c r="DQ886" s="711"/>
      <c r="EB886" s="719"/>
    </row>
    <row r="887" spans="5:132" s="709" customFormat="1" ht="18" hidden="1">
      <c r="E887" s="721"/>
      <c r="H887" s="723">
        <v>386</v>
      </c>
      <c r="I887" s="726"/>
      <c r="J887" s="724"/>
      <c r="K887" s="724"/>
      <c r="L887" s="724"/>
      <c r="M887" s="728"/>
      <c r="N887" s="724"/>
      <c r="O887" s="724"/>
      <c r="P887" s="724"/>
      <c r="Q887" s="724"/>
      <c r="R887" s="724"/>
      <c r="S887" s="724"/>
      <c r="T887" s="724"/>
      <c r="U887" s="724"/>
      <c r="V887" s="724"/>
      <c r="W887" s="724"/>
      <c r="X887" s="724"/>
      <c r="Y887" s="724"/>
      <c r="Z887" s="724"/>
      <c r="AA887" s="724"/>
      <c r="AB887" s="724"/>
      <c r="AC887" s="729"/>
      <c r="AD887" s="724"/>
      <c r="AE887" s="724"/>
      <c r="AF887" s="724"/>
      <c r="AG887" s="724"/>
      <c r="AH887" s="724"/>
      <c r="AI887" s="724"/>
      <c r="AJ887" s="724"/>
      <c r="AU887" s="713"/>
      <c r="AW887" s="712"/>
      <c r="BY887" s="714"/>
      <c r="BZ887" s="715"/>
      <c r="CA887" s="716"/>
      <c r="CB887" s="717"/>
      <c r="CC887" s="717"/>
      <c r="CD887" s="717"/>
      <c r="CE887" s="717"/>
      <c r="CF887" s="717"/>
      <c r="CG887" s="717"/>
      <c r="CH887" s="717"/>
      <c r="CI887" s="717"/>
      <c r="CJ887" s="717"/>
      <c r="CK887" s="717"/>
      <c r="CL887" s="717"/>
      <c r="CM887" s="717"/>
      <c r="CN887" s="717"/>
      <c r="CO887" s="717"/>
      <c r="CP887" s="717"/>
      <c r="CQ887" s="717"/>
      <c r="CR887" s="717"/>
      <c r="CS887" s="717"/>
      <c r="CT887" s="717"/>
      <c r="CU887" s="717"/>
      <c r="CV887" s="717"/>
      <c r="CW887" s="717"/>
      <c r="CX887" s="717"/>
      <c r="CY887" s="717"/>
      <c r="CZ887" s="717"/>
      <c r="DA887" s="717"/>
      <c r="DB887" s="717"/>
      <c r="DC887" s="717"/>
      <c r="DD887" s="717"/>
      <c r="DE887" s="717"/>
      <c r="DF887" s="717"/>
      <c r="DG887" s="717"/>
      <c r="DH887" s="717"/>
      <c r="DI887" s="717"/>
      <c r="DJ887" s="717"/>
      <c r="DM887" s="711"/>
      <c r="DN887" s="711"/>
      <c r="DO887" s="711"/>
      <c r="DP887" s="711"/>
      <c r="DQ887" s="711"/>
      <c r="EB887" s="719"/>
    </row>
    <row r="888" spans="5:132" s="709" customFormat="1" ht="18" hidden="1">
      <c r="E888" s="721"/>
      <c r="H888" s="723">
        <v>387</v>
      </c>
      <c r="I888" s="726"/>
      <c r="J888" s="724"/>
      <c r="K888" s="724"/>
      <c r="L888" s="724"/>
      <c r="M888" s="728"/>
      <c r="N888" s="724"/>
      <c r="O888" s="724"/>
      <c r="P888" s="724"/>
      <c r="Q888" s="724"/>
      <c r="R888" s="724"/>
      <c r="S888" s="724"/>
      <c r="T888" s="724"/>
      <c r="U888" s="724"/>
      <c r="V888" s="724"/>
      <c r="W888" s="724"/>
      <c r="X888" s="724"/>
      <c r="Y888" s="724"/>
      <c r="Z888" s="724"/>
      <c r="AA888" s="724"/>
      <c r="AB888" s="724"/>
      <c r="AC888" s="729"/>
      <c r="AD888" s="724"/>
      <c r="AE888" s="724"/>
      <c r="AF888" s="724"/>
      <c r="AG888" s="724"/>
      <c r="AH888" s="724"/>
      <c r="AI888" s="724"/>
      <c r="AJ888" s="724"/>
      <c r="AU888" s="713"/>
      <c r="AW888" s="712"/>
      <c r="BY888" s="714"/>
      <c r="BZ888" s="715"/>
      <c r="CA888" s="716"/>
      <c r="CB888" s="717"/>
      <c r="CC888" s="717"/>
      <c r="CD888" s="717"/>
      <c r="CE888" s="717"/>
      <c r="CF888" s="717"/>
      <c r="CG888" s="717"/>
      <c r="CH888" s="717"/>
      <c r="CI888" s="717"/>
      <c r="CJ888" s="717"/>
      <c r="CK888" s="717"/>
      <c r="CL888" s="717"/>
      <c r="CM888" s="717"/>
      <c r="CN888" s="717"/>
      <c r="CO888" s="717"/>
      <c r="CP888" s="717"/>
      <c r="CQ888" s="717"/>
      <c r="CR888" s="717"/>
      <c r="CS888" s="717"/>
      <c r="CT888" s="717"/>
      <c r="CU888" s="717"/>
      <c r="CV888" s="717"/>
      <c r="CW888" s="717"/>
      <c r="CX888" s="717"/>
      <c r="CY888" s="717"/>
      <c r="CZ888" s="717"/>
      <c r="DA888" s="717"/>
      <c r="DB888" s="717"/>
      <c r="DC888" s="717"/>
      <c r="DD888" s="717"/>
      <c r="DE888" s="717"/>
      <c r="DF888" s="717"/>
      <c r="DG888" s="717"/>
      <c r="DH888" s="717"/>
      <c r="DI888" s="717"/>
      <c r="DJ888" s="717"/>
      <c r="DM888" s="711"/>
      <c r="DN888" s="711"/>
      <c r="DO888" s="711"/>
      <c r="DP888" s="711"/>
      <c r="DQ888" s="711"/>
      <c r="EB888" s="719"/>
    </row>
    <row r="889" spans="5:132" s="709" customFormat="1" ht="18" hidden="1">
      <c r="E889" s="721"/>
      <c r="H889" s="723">
        <v>389</v>
      </c>
      <c r="I889" s="726"/>
      <c r="J889" s="724"/>
      <c r="K889" s="724"/>
      <c r="L889" s="724"/>
      <c r="M889" s="728"/>
      <c r="N889" s="724"/>
      <c r="O889" s="724"/>
      <c r="P889" s="724"/>
      <c r="Q889" s="724"/>
      <c r="R889" s="724"/>
      <c r="S889" s="724"/>
      <c r="T889" s="724"/>
      <c r="U889" s="724"/>
      <c r="V889" s="724"/>
      <c r="W889" s="724"/>
      <c r="X889" s="724"/>
      <c r="Y889" s="724"/>
      <c r="Z889" s="724"/>
      <c r="AA889" s="724"/>
      <c r="AB889" s="724"/>
      <c r="AC889" s="729"/>
      <c r="AD889" s="724"/>
      <c r="AE889" s="724"/>
      <c r="AF889" s="724"/>
      <c r="AG889" s="724"/>
      <c r="AH889" s="724"/>
      <c r="AI889" s="724"/>
      <c r="AJ889" s="724"/>
      <c r="AU889" s="713"/>
      <c r="AW889" s="712"/>
      <c r="BY889" s="714"/>
      <c r="BZ889" s="715"/>
      <c r="CA889" s="716"/>
      <c r="CB889" s="717"/>
      <c r="CC889" s="717"/>
      <c r="CD889" s="717"/>
      <c r="CE889" s="717"/>
      <c r="CF889" s="717"/>
      <c r="CG889" s="717"/>
      <c r="CH889" s="717"/>
      <c r="CI889" s="717"/>
      <c r="CJ889" s="717"/>
      <c r="CK889" s="717"/>
      <c r="CL889" s="717"/>
      <c r="CM889" s="717"/>
      <c r="CN889" s="717"/>
      <c r="CO889" s="717"/>
      <c r="CP889" s="717"/>
      <c r="CQ889" s="717"/>
      <c r="CR889" s="717"/>
      <c r="CS889" s="717"/>
      <c r="CT889" s="717"/>
      <c r="CU889" s="717"/>
      <c r="CV889" s="717"/>
      <c r="CW889" s="717"/>
      <c r="CX889" s="717"/>
      <c r="CY889" s="717"/>
      <c r="CZ889" s="717"/>
      <c r="DA889" s="717"/>
      <c r="DB889" s="717"/>
      <c r="DC889" s="717"/>
      <c r="DD889" s="717"/>
      <c r="DE889" s="717"/>
      <c r="DF889" s="717"/>
      <c r="DG889" s="717"/>
      <c r="DH889" s="717"/>
      <c r="DI889" s="717"/>
      <c r="DJ889" s="717"/>
      <c r="DM889" s="711"/>
      <c r="DN889" s="711"/>
      <c r="DO889" s="711"/>
      <c r="DP889" s="711"/>
      <c r="DQ889" s="711"/>
      <c r="EB889" s="719"/>
    </row>
    <row r="890" spans="5:132" s="709" customFormat="1" ht="18" hidden="1">
      <c r="E890" s="721"/>
      <c r="H890" s="723">
        <v>390</v>
      </c>
      <c r="I890" s="726"/>
      <c r="J890" s="724"/>
      <c r="K890" s="724"/>
      <c r="L890" s="724"/>
      <c r="M890" s="728"/>
      <c r="N890" s="724"/>
      <c r="O890" s="724"/>
      <c r="P890" s="724"/>
      <c r="Q890" s="724"/>
      <c r="R890" s="724"/>
      <c r="S890" s="724"/>
      <c r="T890" s="724"/>
      <c r="U890" s="724"/>
      <c r="V890" s="724"/>
      <c r="W890" s="724"/>
      <c r="X890" s="724"/>
      <c r="Y890" s="724"/>
      <c r="Z890" s="724"/>
      <c r="AA890" s="724"/>
      <c r="AB890" s="724"/>
      <c r="AC890" s="729"/>
      <c r="AD890" s="724"/>
      <c r="AE890" s="724"/>
      <c r="AF890" s="724"/>
      <c r="AG890" s="724"/>
      <c r="AH890" s="724"/>
      <c r="AI890" s="724"/>
      <c r="AJ890" s="724"/>
      <c r="AU890" s="713"/>
      <c r="AW890" s="712"/>
      <c r="BY890" s="714"/>
      <c r="BZ890" s="715"/>
      <c r="CA890" s="716"/>
      <c r="CB890" s="717"/>
      <c r="CC890" s="717"/>
      <c r="CD890" s="717"/>
      <c r="CE890" s="717"/>
      <c r="CF890" s="717"/>
      <c r="CG890" s="717"/>
      <c r="CH890" s="717"/>
      <c r="CI890" s="717"/>
      <c r="CJ890" s="717"/>
      <c r="CK890" s="717"/>
      <c r="CL890" s="717"/>
      <c r="CM890" s="717"/>
      <c r="CN890" s="717"/>
      <c r="CO890" s="717"/>
      <c r="CP890" s="717"/>
      <c r="CQ890" s="717"/>
      <c r="CR890" s="717"/>
      <c r="CS890" s="717"/>
      <c r="CT890" s="717"/>
      <c r="CU890" s="717"/>
      <c r="CV890" s="717"/>
      <c r="CW890" s="717"/>
      <c r="CX890" s="717"/>
      <c r="CY890" s="717"/>
      <c r="CZ890" s="717"/>
      <c r="DA890" s="717"/>
      <c r="DB890" s="717"/>
      <c r="DC890" s="717"/>
      <c r="DD890" s="717"/>
      <c r="DE890" s="717"/>
      <c r="DF890" s="717"/>
      <c r="DG890" s="717"/>
      <c r="DH890" s="717"/>
      <c r="DI890" s="717"/>
      <c r="DJ890" s="717"/>
      <c r="DM890" s="711"/>
      <c r="DN890" s="711"/>
      <c r="DO890" s="711"/>
      <c r="DP890" s="711"/>
      <c r="DQ890" s="711"/>
      <c r="EB890" s="719"/>
    </row>
    <row r="891" spans="5:132" s="709" customFormat="1" ht="18" hidden="1">
      <c r="E891" s="721"/>
      <c r="H891" s="723">
        <v>391</v>
      </c>
      <c r="I891" s="726"/>
      <c r="J891" s="724"/>
      <c r="K891" s="724"/>
      <c r="L891" s="724"/>
      <c r="M891" s="728"/>
      <c r="N891" s="724"/>
      <c r="O891" s="724"/>
      <c r="P891" s="724"/>
      <c r="Q891" s="724"/>
      <c r="R891" s="724"/>
      <c r="S891" s="724"/>
      <c r="T891" s="724"/>
      <c r="U891" s="724"/>
      <c r="V891" s="724"/>
      <c r="W891" s="724"/>
      <c r="X891" s="724"/>
      <c r="Y891" s="724"/>
      <c r="Z891" s="724"/>
      <c r="AA891" s="724"/>
      <c r="AB891" s="724"/>
      <c r="AC891" s="729"/>
      <c r="AD891" s="724"/>
      <c r="AE891" s="724"/>
      <c r="AF891" s="724"/>
      <c r="AG891" s="724"/>
      <c r="AH891" s="724"/>
      <c r="AI891" s="724"/>
      <c r="AJ891" s="724"/>
      <c r="AU891" s="713"/>
      <c r="AW891" s="712"/>
      <c r="BY891" s="714"/>
      <c r="BZ891" s="715"/>
      <c r="CA891" s="716"/>
      <c r="CB891" s="717"/>
      <c r="CC891" s="717"/>
      <c r="CD891" s="717"/>
      <c r="CE891" s="717"/>
      <c r="CF891" s="717"/>
      <c r="CG891" s="717"/>
      <c r="CH891" s="717"/>
      <c r="CI891" s="717"/>
      <c r="CJ891" s="717"/>
      <c r="CK891" s="717"/>
      <c r="CL891" s="717"/>
      <c r="CM891" s="717"/>
      <c r="CN891" s="717"/>
      <c r="CO891" s="717"/>
      <c r="CP891" s="717"/>
      <c r="CQ891" s="717"/>
      <c r="CR891" s="717"/>
      <c r="CS891" s="717"/>
      <c r="CT891" s="717"/>
      <c r="CU891" s="717"/>
      <c r="CV891" s="717"/>
      <c r="CW891" s="717"/>
      <c r="CX891" s="717"/>
      <c r="CY891" s="717"/>
      <c r="CZ891" s="717"/>
      <c r="DA891" s="717"/>
      <c r="DB891" s="717"/>
      <c r="DC891" s="717"/>
      <c r="DD891" s="717"/>
      <c r="DE891" s="717"/>
      <c r="DF891" s="717"/>
      <c r="DG891" s="717"/>
      <c r="DH891" s="717"/>
      <c r="DI891" s="717"/>
      <c r="DJ891" s="717"/>
      <c r="DM891" s="711"/>
      <c r="DN891" s="711"/>
      <c r="DO891" s="711"/>
      <c r="DP891" s="711"/>
      <c r="DQ891" s="711"/>
      <c r="EB891" s="719"/>
    </row>
    <row r="892" spans="5:132" s="709" customFormat="1" ht="18" hidden="1">
      <c r="E892" s="721"/>
      <c r="H892" s="723">
        <v>392</v>
      </c>
      <c r="I892" s="726"/>
      <c r="J892" s="724"/>
      <c r="K892" s="724"/>
      <c r="L892" s="724"/>
      <c r="M892" s="728"/>
      <c r="N892" s="724"/>
      <c r="O892" s="724"/>
      <c r="P892" s="724"/>
      <c r="Q892" s="724"/>
      <c r="R892" s="724"/>
      <c r="S892" s="724"/>
      <c r="T892" s="724"/>
      <c r="U892" s="724"/>
      <c r="V892" s="724"/>
      <c r="W892" s="724"/>
      <c r="X892" s="724"/>
      <c r="Y892" s="724"/>
      <c r="Z892" s="724"/>
      <c r="AA892" s="724"/>
      <c r="AB892" s="724"/>
      <c r="AC892" s="729"/>
      <c r="AD892" s="724"/>
      <c r="AE892" s="724"/>
      <c r="AF892" s="724"/>
      <c r="AG892" s="724"/>
      <c r="AH892" s="724"/>
      <c r="AI892" s="724"/>
      <c r="AJ892" s="724"/>
      <c r="AU892" s="713"/>
      <c r="AW892" s="712"/>
      <c r="BY892" s="714"/>
      <c r="BZ892" s="715"/>
      <c r="CA892" s="716"/>
      <c r="CB892" s="717"/>
      <c r="CC892" s="717"/>
      <c r="CD892" s="717"/>
      <c r="CE892" s="717"/>
      <c r="CF892" s="717"/>
      <c r="CG892" s="717"/>
      <c r="CH892" s="717"/>
      <c r="CI892" s="717"/>
      <c r="CJ892" s="717"/>
      <c r="CK892" s="717"/>
      <c r="CL892" s="717"/>
      <c r="CM892" s="717"/>
      <c r="CN892" s="717"/>
      <c r="CO892" s="717"/>
      <c r="CP892" s="717"/>
      <c r="CQ892" s="717"/>
      <c r="CR892" s="717"/>
      <c r="CS892" s="717"/>
      <c r="CT892" s="717"/>
      <c r="CU892" s="717"/>
      <c r="CV892" s="717"/>
      <c r="CW892" s="717"/>
      <c r="CX892" s="717"/>
      <c r="CY892" s="717"/>
      <c r="CZ892" s="717"/>
      <c r="DA892" s="717"/>
      <c r="DB892" s="717"/>
      <c r="DC892" s="717"/>
      <c r="DD892" s="717"/>
      <c r="DE892" s="717"/>
      <c r="DF892" s="717"/>
      <c r="DG892" s="717"/>
      <c r="DH892" s="717"/>
      <c r="DI892" s="717"/>
      <c r="DJ892" s="717"/>
      <c r="DM892" s="711"/>
      <c r="DN892" s="711"/>
      <c r="DO892" s="711"/>
      <c r="DP892" s="711"/>
      <c r="DQ892" s="711"/>
      <c r="EB892" s="719"/>
    </row>
    <row r="893" spans="5:132" s="709" customFormat="1" ht="18" hidden="1">
      <c r="E893" s="721"/>
      <c r="H893" s="723">
        <v>393</v>
      </c>
      <c r="I893" s="726"/>
      <c r="J893" s="724"/>
      <c r="K893" s="724"/>
      <c r="L893" s="724"/>
      <c r="M893" s="728"/>
      <c r="N893" s="724"/>
      <c r="O893" s="724"/>
      <c r="P893" s="724"/>
      <c r="Q893" s="724"/>
      <c r="R893" s="724"/>
      <c r="S893" s="724"/>
      <c r="T893" s="724"/>
      <c r="U893" s="724"/>
      <c r="V893" s="724"/>
      <c r="W893" s="724"/>
      <c r="X893" s="724"/>
      <c r="Y893" s="724"/>
      <c r="Z893" s="724"/>
      <c r="AA893" s="724"/>
      <c r="AB893" s="724"/>
      <c r="AC893" s="729"/>
      <c r="AD893" s="724"/>
      <c r="AE893" s="724"/>
      <c r="AF893" s="724"/>
      <c r="AG893" s="724"/>
      <c r="AH893" s="724"/>
      <c r="AI893" s="724"/>
      <c r="AJ893" s="724"/>
      <c r="AU893" s="713"/>
      <c r="AW893" s="712"/>
      <c r="BY893" s="714"/>
      <c r="BZ893" s="715"/>
      <c r="CA893" s="716"/>
      <c r="CB893" s="717"/>
      <c r="CC893" s="717"/>
      <c r="CD893" s="717"/>
      <c r="CE893" s="717"/>
      <c r="CF893" s="717"/>
      <c r="CG893" s="717"/>
      <c r="CH893" s="717"/>
      <c r="CI893" s="717"/>
      <c r="CJ893" s="717"/>
      <c r="CK893" s="717"/>
      <c r="CL893" s="717"/>
      <c r="CM893" s="717"/>
      <c r="CN893" s="717"/>
      <c r="CO893" s="717"/>
      <c r="CP893" s="717"/>
      <c r="CQ893" s="717"/>
      <c r="CR893" s="717"/>
      <c r="CS893" s="717"/>
      <c r="CT893" s="717"/>
      <c r="CU893" s="717"/>
      <c r="CV893" s="717"/>
      <c r="CW893" s="717"/>
      <c r="CX893" s="717"/>
      <c r="CY893" s="717"/>
      <c r="CZ893" s="717"/>
      <c r="DA893" s="717"/>
      <c r="DB893" s="717"/>
      <c r="DC893" s="717"/>
      <c r="DD893" s="717"/>
      <c r="DE893" s="717"/>
      <c r="DF893" s="717"/>
      <c r="DG893" s="717"/>
      <c r="DH893" s="717"/>
      <c r="DI893" s="717"/>
      <c r="DJ893" s="717"/>
      <c r="DM893" s="711"/>
      <c r="DN893" s="711"/>
      <c r="DO893" s="711"/>
      <c r="DP893" s="711"/>
      <c r="DQ893" s="711"/>
      <c r="EB893" s="719"/>
    </row>
    <row r="894" spans="5:132" s="709" customFormat="1" ht="18" hidden="1">
      <c r="E894" s="721"/>
      <c r="H894" s="723">
        <v>394</v>
      </c>
      <c r="I894" s="726"/>
      <c r="J894" s="724"/>
      <c r="K894" s="724"/>
      <c r="L894" s="724"/>
      <c r="M894" s="728"/>
      <c r="N894" s="724"/>
      <c r="O894" s="724"/>
      <c r="P894" s="724"/>
      <c r="Q894" s="724"/>
      <c r="R894" s="724"/>
      <c r="S894" s="724"/>
      <c r="T894" s="724"/>
      <c r="U894" s="724"/>
      <c r="V894" s="724"/>
      <c r="W894" s="724"/>
      <c r="X894" s="724"/>
      <c r="Y894" s="724"/>
      <c r="Z894" s="724"/>
      <c r="AA894" s="724"/>
      <c r="AB894" s="724"/>
      <c r="AC894" s="729"/>
      <c r="AD894" s="724"/>
      <c r="AE894" s="724"/>
      <c r="AF894" s="724"/>
      <c r="AG894" s="724"/>
      <c r="AH894" s="724"/>
      <c r="AI894" s="724"/>
      <c r="AJ894" s="724"/>
      <c r="AU894" s="713"/>
      <c r="AW894" s="712"/>
      <c r="BY894" s="714"/>
      <c r="BZ894" s="715"/>
      <c r="CA894" s="716"/>
      <c r="CB894" s="717"/>
      <c r="CC894" s="717"/>
      <c r="CD894" s="717"/>
      <c r="CE894" s="717"/>
      <c r="CF894" s="717"/>
      <c r="CG894" s="717"/>
      <c r="CH894" s="717"/>
      <c r="CI894" s="717"/>
      <c r="CJ894" s="717"/>
      <c r="CK894" s="717"/>
      <c r="CL894" s="717"/>
      <c r="CM894" s="717"/>
      <c r="CN894" s="717"/>
      <c r="CO894" s="717"/>
      <c r="CP894" s="717"/>
      <c r="CQ894" s="717"/>
      <c r="CR894" s="717"/>
      <c r="CS894" s="717"/>
      <c r="CT894" s="717"/>
      <c r="CU894" s="717"/>
      <c r="CV894" s="717"/>
      <c r="CW894" s="717"/>
      <c r="CX894" s="717"/>
      <c r="CY894" s="717"/>
      <c r="CZ894" s="717"/>
      <c r="DA894" s="717"/>
      <c r="DB894" s="717"/>
      <c r="DC894" s="717"/>
      <c r="DD894" s="717"/>
      <c r="DE894" s="717"/>
      <c r="DF894" s="717"/>
      <c r="DG894" s="717"/>
      <c r="DH894" s="717"/>
      <c r="DI894" s="717"/>
      <c r="DJ894" s="717"/>
      <c r="DM894" s="711"/>
      <c r="DN894" s="711"/>
      <c r="DO894" s="711"/>
      <c r="DP894" s="711"/>
      <c r="DQ894" s="711"/>
      <c r="EB894" s="719"/>
    </row>
    <row r="895" spans="5:132" s="709" customFormat="1" ht="18" hidden="1">
      <c r="E895" s="721"/>
      <c r="H895" s="723">
        <v>395</v>
      </c>
      <c r="I895" s="726"/>
      <c r="J895" s="724"/>
      <c r="K895" s="724"/>
      <c r="L895" s="724"/>
      <c r="M895" s="728"/>
      <c r="N895" s="724"/>
      <c r="O895" s="724"/>
      <c r="P895" s="724"/>
      <c r="Q895" s="724"/>
      <c r="R895" s="724"/>
      <c r="S895" s="724"/>
      <c r="T895" s="724"/>
      <c r="U895" s="724"/>
      <c r="V895" s="724"/>
      <c r="W895" s="724"/>
      <c r="X895" s="724"/>
      <c r="Y895" s="724"/>
      <c r="Z895" s="724"/>
      <c r="AA895" s="724"/>
      <c r="AB895" s="724"/>
      <c r="AC895" s="729"/>
      <c r="AD895" s="724"/>
      <c r="AE895" s="724"/>
      <c r="AF895" s="724"/>
      <c r="AG895" s="724"/>
      <c r="AH895" s="724"/>
      <c r="AI895" s="724"/>
      <c r="AJ895" s="724"/>
      <c r="AU895" s="713"/>
      <c r="AW895" s="712"/>
      <c r="BY895" s="714"/>
      <c r="BZ895" s="715"/>
      <c r="CA895" s="716"/>
      <c r="CB895" s="717"/>
      <c r="CC895" s="717"/>
      <c r="CD895" s="717"/>
      <c r="CE895" s="717"/>
      <c r="CF895" s="717"/>
      <c r="CG895" s="717"/>
      <c r="CH895" s="717"/>
      <c r="CI895" s="717"/>
      <c r="CJ895" s="717"/>
      <c r="CK895" s="717"/>
      <c r="CL895" s="717"/>
      <c r="CM895" s="717"/>
      <c r="CN895" s="717"/>
      <c r="CO895" s="717"/>
      <c r="CP895" s="717"/>
      <c r="CQ895" s="717"/>
      <c r="CR895" s="717"/>
      <c r="CS895" s="717"/>
      <c r="CT895" s="717"/>
      <c r="CU895" s="717"/>
      <c r="CV895" s="717"/>
      <c r="CW895" s="717"/>
      <c r="CX895" s="717"/>
      <c r="CY895" s="717"/>
      <c r="CZ895" s="717"/>
      <c r="DA895" s="717"/>
      <c r="DB895" s="717"/>
      <c r="DC895" s="717"/>
      <c r="DD895" s="717"/>
      <c r="DE895" s="717"/>
      <c r="DF895" s="717"/>
      <c r="DG895" s="717"/>
      <c r="DH895" s="717"/>
      <c r="DI895" s="717"/>
      <c r="DJ895" s="717"/>
      <c r="DM895" s="711"/>
      <c r="DN895" s="711"/>
      <c r="DO895" s="711"/>
      <c r="DP895" s="711"/>
      <c r="DQ895" s="711"/>
      <c r="EB895" s="719"/>
    </row>
    <row r="896" spans="5:132" s="709" customFormat="1" ht="18" hidden="1">
      <c r="E896" s="721"/>
      <c r="H896" s="723">
        <v>396</v>
      </c>
      <c r="I896" s="726"/>
      <c r="J896" s="724"/>
      <c r="K896" s="724"/>
      <c r="L896" s="724"/>
      <c r="M896" s="728"/>
      <c r="N896" s="724"/>
      <c r="O896" s="724"/>
      <c r="P896" s="724"/>
      <c r="Q896" s="724"/>
      <c r="R896" s="724"/>
      <c r="S896" s="724"/>
      <c r="T896" s="724"/>
      <c r="U896" s="724"/>
      <c r="V896" s="724"/>
      <c r="W896" s="724"/>
      <c r="X896" s="724"/>
      <c r="Y896" s="724"/>
      <c r="Z896" s="724"/>
      <c r="AA896" s="724"/>
      <c r="AB896" s="724"/>
      <c r="AC896" s="729"/>
      <c r="AD896" s="724"/>
      <c r="AE896" s="724"/>
      <c r="AF896" s="724"/>
      <c r="AG896" s="724"/>
      <c r="AH896" s="724"/>
      <c r="AI896" s="724"/>
      <c r="AJ896" s="724"/>
      <c r="AU896" s="713"/>
      <c r="AW896" s="712"/>
      <c r="BY896" s="714"/>
      <c r="BZ896" s="715"/>
      <c r="CA896" s="716"/>
      <c r="CB896" s="717"/>
      <c r="CC896" s="717"/>
      <c r="CD896" s="717"/>
      <c r="CE896" s="717"/>
      <c r="CF896" s="717"/>
      <c r="CG896" s="717"/>
      <c r="CH896" s="717"/>
      <c r="CI896" s="717"/>
      <c r="CJ896" s="717"/>
      <c r="CK896" s="717"/>
      <c r="CL896" s="717"/>
      <c r="CM896" s="717"/>
      <c r="CN896" s="717"/>
      <c r="CO896" s="717"/>
      <c r="CP896" s="717"/>
      <c r="CQ896" s="717"/>
      <c r="CR896" s="717"/>
      <c r="CS896" s="717"/>
      <c r="CT896" s="717"/>
      <c r="CU896" s="717"/>
      <c r="CV896" s="717"/>
      <c r="CW896" s="717"/>
      <c r="CX896" s="717"/>
      <c r="CY896" s="717"/>
      <c r="CZ896" s="717"/>
      <c r="DA896" s="717"/>
      <c r="DB896" s="717"/>
      <c r="DC896" s="717"/>
      <c r="DD896" s="717"/>
      <c r="DE896" s="717"/>
      <c r="DF896" s="717"/>
      <c r="DG896" s="717"/>
      <c r="DH896" s="717"/>
      <c r="DI896" s="717"/>
      <c r="DJ896" s="717"/>
      <c r="DM896" s="711"/>
      <c r="DN896" s="711"/>
      <c r="DO896" s="711"/>
      <c r="DP896" s="711"/>
      <c r="DQ896" s="711"/>
      <c r="EB896" s="719"/>
    </row>
    <row r="897" spans="5:132" s="709" customFormat="1" ht="18" hidden="1">
      <c r="E897" s="721"/>
      <c r="H897" s="723">
        <v>399</v>
      </c>
      <c r="I897" s="726"/>
      <c r="J897" s="724"/>
      <c r="K897" s="724"/>
      <c r="L897" s="724"/>
      <c r="M897" s="728"/>
      <c r="N897" s="724"/>
      <c r="O897" s="724"/>
      <c r="P897" s="724"/>
      <c r="Q897" s="724"/>
      <c r="R897" s="724"/>
      <c r="S897" s="724"/>
      <c r="T897" s="724"/>
      <c r="U897" s="724"/>
      <c r="V897" s="724"/>
      <c r="W897" s="724"/>
      <c r="X897" s="724"/>
      <c r="Y897" s="724"/>
      <c r="Z897" s="724"/>
      <c r="AA897" s="724"/>
      <c r="AB897" s="724"/>
      <c r="AC897" s="729"/>
      <c r="AD897" s="724"/>
      <c r="AE897" s="724"/>
      <c r="AF897" s="724"/>
      <c r="AG897" s="724"/>
      <c r="AH897" s="724"/>
      <c r="AI897" s="724"/>
      <c r="AJ897" s="724"/>
      <c r="AU897" s="713"/>
      <c r="AW897" s="712"/>
      <c r="BY897" s="714"/>
      <c r="BZ897" s="715"/>
      <c r="CA897" s="716"/>
      <c r="CB897" s="717"/>
      <c r="CC897" s="717"/>
      <c r="CD897" s="717"/>
      <c r="CE897" s="717"/>
      <c r="CF897" s="717"/>
      <c r="CG897" s="717"/>
      <c r="CH897" s="717"/>
      <c r="CI897" s="717"/>
      <c r="CJ897" s="717"/>
      <c r="CK897" s="717"/>
      <c r="CL897" s="717"/>
      <c r="CM897" s="717"/>
      <c r="CN897" s="717"/>
      <c r="CO897" s="717"/>
      <c r="CP897" s="717"/>
      <c r="CQ897" s="717"/>
      <c r="CR897" s="717"/>
      <c r="CS897" s="717"/>
      <c r="CT897" s="717"/>
      <c r="CU897" s="717"/>
      <c r="CV897" s="717"/>
      <c r="CW897" s="717"/>
      <c r="CX897" s="717"/>
      <c r="CY897" s="717"/>
      <c r="CZ897" s="717"/>
      <c r="DA897" s="717"/>
      <c r="DB897" s="717"/>
      <c r="DC897" s="717"/>
      <c r="DD897" s="717"/>
      <c r="DE897" s="717"/>
      <c r="DF897" s="717"/>
      <c r="DG897" s="717"/>
      <c r="DH897" s="717"/>
      <c r="DI897" s="717"/>
      <c r="DJ897" s="717"/>
      <c r="DM897" s="711"/>
      <c r="DN897" s="711"/>
      <c r="DO897" s="711"/>
      <c r="DP897" s="711"/>
      <c r="DQ897" s="711"/>
      <c r="EB897" s="719"/>
    </row>
    <row r="898" spans="5:132" s="709" customFormat="1" ht="18" hidden="1">
      <c r="E898" s="721"/>
      <c r="H898" s="723">
        <v>400</v>
      </c>
      <c r="I898" s="726"/>
      <c r="J898" s="724"/>
      <c r="K898" s="724"/>
      <c r="L898" s="724"/>
      <c r="M898" s="728"/>
      <c r="N898" s="724"/>
      <c r="O898" s="724"/>
      <c r="P898" s="724"/>
      <c r="Q898" s="724"/>
      <c r="R898" s="724"/>
      <c r="S898" s="724"/>
      <c r="T898" s="724"/>
      <c r="U898" s="724"/>
      <c r="V898" s="724"/>
      <c r="W898" s="724"/>
      <c r="X898" s="724"/>
      <c r="Y898" s="724"/>
      <c r="Z898" s="724"/>
      <c r="AA898" s="724"/>
      <c r="AB898" s="724"/>
      <c r="AC898" s="729"/>
      <c r="AD898" s="724"/>
      <c r="AE898" s="724"/>
      <c r="AF898" s="724"/>
      <c r="AG898" s="724"/>
      <c r="AH898" s="724"/>
      <c r="AI898" s="724"/>
      <c r="AJ898" s="724"/>
      <c r="AU898" s="713"/>
      <c r="AW898" s="712"/>
      <c r="BY898" s="714"/>
      <c r="BZ898" s="715"/>
      <c r="CA898" s="716"/>
      <c r="CB898" s="717"/>
      <c r="CC898" s="717"/>
      <c r="CD898" s="717"/>
      <c r="CE898" s="717"/>
      <c r="CF898" s="717"/>
      <c r="CG898" s="717"/>
      <c r="CH898" s="717"/>
      <c r="CI898" s="717"/>
      <c r="CJ898" s="717"/>
      <c r="CK898" s="717"/>
      <c r="CL898" s="717"/>
      <c r="CM898" s="717"/>
      <c r="CN898" s="717"/>
      <c r="CO898" s="717"/>
      <c r="CP898" s="717"/>
      <c r="CQ898" s="717"/>
      <c r="CR898" s="717"/>
      <c r="CS898" s="717"/>
      <c r="CT898" s="717"/>
      <c r="CU898" s="717"/>
      <c r="CV898" s="717"/>
      <c r="CW898" s="717"/>
      <c r="CX898" s="717"/>
      <c r="CY898" s="717"/>
      <c r="CZ898" s="717"/>
      <c r="DA898" s="717"/>
      <c r="DB898" s="717"/>
      <c r="DC898" s="717"/>
      <c r="DD898" s="717"/>
      <c r="DE898" s="717"/>
      <c r="DF898" s="717"/>
      <c r="DG898" s="717"/>
      <c r="DH898" s="717"/>
      <c r="DI898" s="717"/>
      <c r="DJ898" s="717"/>
      <c r="DM898" s="711"/>
      <c r="DN898" s="711"/>
      <c r="DO898" s="711"/>
      <c r="DP898" s="711"/>
      <c r="DQ898" s="711"/>
      <c r="EB898" s="719"/>
    </row>
    <row r="899" spans="5:132" s="709" customFormat="1" ht="18" hidden="1">
      <c r="E899" s="721"/>
      <c r="H899" s="723">
        <v>401</v>
      </c>
      <c r="I899" s="726"/>
      <c r="J899" s="724"/>
      <c r="K899" s="724"/>
      <c r="L899" s="724"/>
      <c r="M899" s="728"/>
      <c r="N899" s="724"/>
      <c r="O899" s="724"/>
      <c r="P899" s="724"/>
      <c r="Q899" s="724"/>
      <c r="R899" s="724"/>
      <c r="S899" s="724"/>
      <c r="T899" s="724"/>
      <c r="U899" s="724"/>
      <c r="V899" s="724"/>
      <c r="W899" s="724"/>
      <c r="X899" s="724"/>
      <c r="Y899" s="724"/>
      <c r="Z899" s="724"/>
      <c r="AA899" s="724"/>
      <c r="AB899" s="724"/>
      <c r="AC899" s="729"/>
      <c r="AD899" s="724"/>
      <c r="AE899" s="724"/>
      <c r="AF899" s="724"/>
      <c r="AG899" s="724"/>
      <c r="AH899" s="724"/>
      <c r="AI899" s="724"/>
      <c r="AJ899" s="724"/>
      <c r="AU899" s="713"/>
      <c r="AW899" s="712"/>
      <c r="BY899" s="714"/>
      <c r="BZ899" s="715"/>
      <c r="CA899" s="716"/>
      <c r="CB899" s="717"/>
      <c r="CC899" s="717"/>
      <c r="CD899" s="717"/>
      <c r="CE899" s="717"/>
      <c r="CF899" s="717"/>
      <c r="CG899" s="717"/>
      <c r="CH899" s="717"/>
      <c r="CI899" s="717"/>
      <c r="CJ899" s="717"/>
      <c r="CK899" s="717"/>
      <c r="CL899" s="717"/>
      <c r="CM899" s="717"/>
      <c r="CN899" s="717"/>
      <c r="CO899" s="717"/>
      <c r="CP899" s="717"/>
      <c r="CQ899" s="717"/>
      <c r="CR899" s="717"/>
      <c r="CS899" s="717"/>
      <c r="CT899" s="717"/>
      <c r="CU899" s="717"/>
      <c r="CV899" s="717"/>
      <c r="CW899" s="717"/>
      <c r="CX899" s="717"/>
      <c r="CY899" s="717"/>
      <c r="CZ899" s="717"/>
      <c r="DA899" s="717"/>
      <c r="DB899" s="717"/>
      <c r="DC899" s="717"/>
      <c r="DD899" s="717"/>
      <c r="DE899" s="717"/>
      <c r="DF899" s="717"/>
      <c r="DG899" s="717"/>
      <c r="DH899" s="717"/>
      <c r="DI899" s="717"/>
      <c r="DJ899" s="717"/>
      <c r="DM899" s="711"/>
      <c r="DN899" s="711"/>
      <c r="DO899" s="711"/>
      <c r="DP899" s="711"/>
      <c r="DQ899" s="711"/>
      <c r="EB899" s="719"/>
    </row>
    <row r="900" spans="5:132" s="709" customFormat="1" ht="18" hidden="1">
      <c r="E900" s="721"/>
      <c r="H900" s="723">
        <v>402</v>
      </c>
      <c r="I900" s="726"/>
      <c r="J900" s="724"/>
      <c r="K900" s="724"/>
      <c r="L900" s="724"/>
      <c r="M900" s="728"/>
      <c r="N900" s="724"/>
      <c r="O900" s="724"/>
      <c r="P900" s="724"/>
      <c r="Q900" s="724"/>
      <c r="R900" s="724"/>
      <c r="S900" s="724"/>
      <c r="T900" s="724"/>
      <c r="U900" s="724"/>
      <c r="V900" s="724"/>
      <c r="W900" s="724"/>
      <c r="X900" s="724"/>
      <c r="Y900" s="724"/>
      <c r="Z900" s="724"/>
      <c r="AA900" s="724"/>
      <c r="AB900" s="724"/>
      <c r="AC900" s="729"/>
      <c r="AD900" s="724"/>
      <c r="AE900" s="724"/>
      <c r="AF900" s="724"/>
      <c r="AG900" s="724"/>
      <c r="AH900" s="724"/>
      <c r="AI900" s="724"/>
      <c r="AJ900" s="724"/>
      <c r="AU900" s="713"/>
      <c r="AW900" s="712"/>
      <c r="BY900" s="714"/>
      <c r="BZ900" s="715"/>
      <c r="CA900" s="716"/>
      <c r="CB900" s="717"/>
      <c r="CC900" s="717"/>
      <c r="CD900" s="717"/>
      <c r="CE900" s="717"/>
      <c r="CF900" s="717"/>
      <c r="CG900" s="717"/>
      <c r="CH900" s="717"/>
      <c r="CI900" s="717"/>
      <c r="CJ900" s="717"/>
      <c r="CK900" s="717"/>
      <c r="CL900" s="717"/>
      <c r="CM900" s="717"/>
      <c r="CN900" s="717"/>
      <c r="CO900" s="717"/>
      <c r="CP900" s="717"/>
      <c r="CQ900" s="717"/>
      <c r="CR900" s="717"/>
      <c r="CS900" s="717"/>
      <c r="CT900" s="717"/>
      <c r="CU900" s="717"/>
      <c r="CV900" s="717"/>
      <c r="CW900" s="717"/>
      <c r="CX900" s="717"/>
      <c r="CY900" s="717"/>
      <c r="CZ900" s="717"/>
      <c r="DA900" s="717"/>
      <c r="DB900" s="717"/>
      <c r="DC900" s="717"/>
      <c r="DD900" s="717"/>
      <c r="DE900" s="717"/>
      <c r="DF900" s="717"/>
      <c r="DG900" s="717"/>
      <c r="DH900" s="717"/>
      <c r="DI900" s="717"/>
      <c r="DJ900" s="717"/>
      <c r="DM900" s="711"/>
      <c r="DN900" s="711"/>
      <c r="DO900" s="711"/>
      <c r="DP900" s="711"/>
      <c r="DQ900" s="711"/>
      <c r="EB900" s="719"/>
    </row>
    <row r="901" spans="5:132" s="709" customFormat="1" ht="18" hidden="1">
      <c r="E901" s="721"/>
      <c r="H901" s="723">
        <v>403</v>
      </c>
      <c r="I901" s="726"/>
      <c r="J901" s="724"/>
      <c r="K901" s="724"/>
      <c r="L901" s="724"/>
      <c r="M901" s="728"/>
      <c r="N901" s="724"/>
      <c r="O901" s="724"/>
      <c r="P901" s="724"/>
      <c r="Q901" s="724"/>
      <c r="R901" s="724"/>
      <c r="S901" s="724"/>
      <c r="T901" s="724"/>
      <c r="U901" s="724"/>
      <c r="V901" s="724"/>
      <c r="W901" s="724"/>
      <c r="X901" s="724"/>
      <c r="Y901" s="724"/>
      <c r="Z901" s="724"/>
      <c r="AA901" s="724"/>
      <c r="AB901" s="724"/>
      <c r="AC901" s="729"/>
      <c r="AD901" s="724"/>
      <c r="AE901" s="724"/>
      <c r="AF901" s="724"/>
      <c r="AG901" s="724"/>
      <c r="AH901" s="724"/>
      <c r="AI901" s="724"/>
      <c r="AJ901" s="724"/>
      <c r="AU901" s="713"/>
      <c r="AW901" s="712"/>
      <c r="BY901" s="714"/>
      <c r="BZ901" s="715"/>
      <c r="CA901" s="716"/>
      <c r="CB901" s="717"/>
      <c r="CC901" s="717"/>
      <c r="CD901" s="717"/>
      <c r="CE901" s="717"/>
      <c r="CF901" s="717"/>
      <c r="CG901" s="717"/>
      <c r="CH901" s="717"/>
      <c r="CI901" s="717"/>
      <c r="CJ901" s="717"/>
      <c r="CK901" s="717"/>
      <c r="CL901" s="717"/>
      <c r="CM901" s="717"/>
      <c r="CN901" s="717"/>
      <c r="CO901" s="717"/>
      <c r="CP901" s="717"/>
      <c r="CQ901" s="717"/>
      <c r="CR901" s="717"/>
      <c r="CS901" s="717"/>
      <c r="CT901" s="717"/>
      <c r="CU901" s="717"/>
      <c r="CV901" s="717"/>
      <c r="CW901" s="717"/>
      <c r="CX901" s="717"/>
      <c r="CY901" s="717"/>
      <c r="CZ901" s="717"/>
      <c r="DA901" s="717"/>
      <c r="DB901" s="717"/>
      <c r="DC901" s="717"/>
      <c r="DD901" s="717"/>
      <c r="DE901" s="717"/>
      <c r="DF901" s="717"/>
      <c r="DG901" s="717"/>
      <c r="DH901" s="717"/>
      <c r="DI901" s="717"/>
      <c r="DJ901" s="717"/>
      <c r="DM901" s="711"/>
      <c r="DN901" s="711"/>
      <c r="DO901" s="711"/>
      <c r="DP901" s="711"/>
      <c r="DQ901" s="711"/>
      <c r="EB901" s="719"/>
    </row>
    <row r="902" spans="5:132" s="709" customFormat="1" ht="18" hidden="1">
      <c r="E902" s="721"/>
      <c r="H902" s="723">
        <v>404</v>
      </c>
      <c r="I902" s="726"/>
      <c r="J902" s="724"/>
      <c r="K902" s="724"/>
      <c r="L902" s="724"/>
      <c r="M902" s="728"/>
      <c r="N902" s="724"/>
      <c r="O902" s="724"/>
      <c r="P902" s="724"/>
      <c r="Q902" s="724"/>
      <c r="R902" s="724"/>
      <c r="S902" s="724"/>
      <c r="T902" s="724"/>
      <c r="U902" s="724"/>
      <c r="V902" s="724"/>
      <c r="W902" s="724"/>
      <c r="X902" s="724"/>
      <c r="Y902" s="724"/>
      <c r="Z902" s="724"/>
      <c r="AA902" s="724"/>
      <c r="AB902" s="724"/>
      <c r="AC902" s="729"/>
      <c r="AD902" s="724"/>
      <c r="AE902" s="724"/>
      <c r="AF902" s="724"/>
      <c r="AG902" s="724"/>
      <c r="AH902" s="724"/>
      <c r="AI902" s="724"/>
      <c r="AJ902" s="724"/>
      <c r="AU902" s="713"/>
      <c r="AW902" s="712"/>
      <c r="BY902" s="714"/>
      <c r="BZ902" s="715"/>
      <c r="CA902" s="716"/>
      <c r="CB902" s="717"/>
      <c r="CC902" s="717"/>
      <c r="CD902" s="717"/>
      <c r="CE902" s="717"/>
      <c r="CF902" s="717"/>
      <c r="CG902" s="717"/>
      <c r="CH902" s="717"/>
      <c r="CI902" s="717"/>
      <c r="CJ902" s="717"/>
      <c r="CK902" s="717"/>
      <c r="CL902" s="717"/>
      <c r="CM902" s="717"/>
      <c r="CN902" s="717"/>
      <c r="CO902" s="717"/>
      <c r="CP902" s="717"/>
      <c r="CQ902" s="717"/>
      <c r="CR902" s="717"/>
      <c r="CS902" s="717"/>
      <c r="CT902" s="717"/>
      <c r="CU902" s="717"/>
      <c r="CV902" s="717"/>
      <c r="CW902" s="717"/>
      <c r="CX902" s="717"/>
      <c r="CY902" s="717"/>
      <c r="CZ902" s="717"/>
      <c r="DA902" s="717"/>
      <c r="DB902" s="717"/>
      <c r="DC902" s="717"/>
      <c r="DD902" s="717"/>
      <c r="DE902" s="717"/>
      <c r="DF902" s="717"/>
      <c r="DG902" s="717"/>
      <c r="DH902" s="717"/>
      <c r="DI902" s="717"/>
      <c r="DJ902" s="717"/>
      <c r="DM902" s="711"/>
      <c r="DN902" s="711"/>
      <c r="DO902" s="711"/>
      <c r="DP902" s="711"/>
      <c r="DQ902" s="711"/>
      <c r="EB902" s="719"/>
    </row>
    <row r="903" spans="5:132" s="709" customFormat="1" ht="18" hidden="1">
      <c r="E903" s="721"/>
      <c r="H903" s="723">
        <v>405</v>
      </c>
      <c r="I903" s="726"/>
      <c r="J903" s="724"/>
      <c r="K903" s="724"/>
      <c r="L903" s="724"/>
      <c r="M903" s="728"/>
      <c r="N903" s="724"/>
      <c r="O903" s="724"/>
      <c r="P903" s="724"/>
      <c r="Q903" s="724"/>
      <c r="R903" s="724"/>
      <c r="S903" s="724"/>
      <c r="T903" s="724"/>
      <c r="U903" s="724"/>
      <c r="V903" s="724"/>
      <c r="W903" s="724"/>
      <c r="X903" s="724"/>
      <c r="Y903" s="724"/>
      <c r="Z903" s="724"/>
      <c r="AA903" s="724"/>
      <c r="AB903" s="724"/>
      <c r="AC903" s="729"/>
      <c r="AD903" s="724"/>
      <c r="AE903" s="724"/>
      <c r="AF903" s="724"/>
      <c r="AG903" s="724"/>
      <c r="AH903" s="724"/>
      <c r="AI903" s="724"/>
      <c r="AJ903" s="724"/>
      <c r="AU903" s="713"/>
      <c r="AW903" s="712"/>
      <c r="BY903" s="714"/>
      <c r="BZ903" s="715"/>
      <c r="CA903" s="716"/>
      <c r="CB903" s="717"/>
      <c r="CC903" s="717"/>
      <c r="CD903" s="717"/>
      <c r="CE903" s="717"/>
      <c r="CF903" s="717"/>
      <c r="CG903" s="717"/>
      <c r="CH903" s="717"/>
      <c r="CI903" s="717"/>
      <c r="CJ903" s="717"/>
      <c r="CK903" s="717"/>
      <c r="CL903" s="717"/>
      <c r="CM903" s="717"/>
      <c r="CN903" s="717"/>
      <c r="CO903" s="717"/>
      <c r="CP903" s="717"/>
      <c r="CQ903" s="717"/>
      <c r="CR903" s="717"/>
      <c r="CS903" s="717"/>
      <c r="CT903" s="717"/>
      <c r="CU903" s="717"/>
      <c r="CV903" s="717"/>
      <c r="CW903" s="717"/>
      <c r="CX903" s="717"/>
      <c r="CY903" s="717"/>
      <c r="CZ903" s="717"/>
      <c r="DA903" s="717"/>
      <c r="DB903" s="717"/>
      <c r="DC903" s="717"/>
      <c r="DD903" s="717"/>
      <c r="DE903" s="717"/>
      <c r="DF903" s="717"/>
      <c r="DG903" s="717"/>
      <c r="DH903" s="717"/>
      <c r="DI903" s="717"/>
      <c r="DJ903" s="717"/>
      <c r="DM903" s="711"/>
      <c r="DN903" s="711"/>
      <c r="DO903" s="711"/>
      <c r="DP903" s="711"/>
      <c r="DQ903" s="711"/>
      <c r="EB903" s="719"/>
    </row>
    <row r="904" spans="5:132" s="709" customFormat="1" ht="18" hidden="1">
      <c r="E904" s="721"/>
      <c r="H904" s="723">
        <v>406</v>
      </c>
      <c r="I904" s="726"/>
      <c r="J904" s="724"/>
      <c r="K904" s="724"/>
      <c r="L904" s="724"/>
      <c r="M904" s="728"/>
      <c r="N904" s="724"/>
      <c r="O904" s="724"/>
      <c r="P904" s="724"/>
      <c r="Q904" s="724"/>
      <c r="R904" s="724"/>
      <c r="S904" s="724"/>
      <c r="T904" s="724"/>
      <c r="U904" s="724"/>
      <c r="V904" s="724"/>
      <c r="W904" s="724"/>
      <c r="X904" s="724"/>
      <c r="Y904" s="724"/>
      <c r="Z904" s="724"/>
      <c r="AA904" s="724"/>
      <c r="AB904" s="724"/>
      <c r="AC904" s="729"/>
      <c r="AD904" s="724"/>
      <c r="AE904" s="724"/>
      <c r="AF904" s="724"/>
      <c r="AG904" s="724"/>
      <c r="AH904" s="724"/>
      <c r="AI904" s="724"/>
      <c r="AJ904" s="724"/>
      <c r="AU904" s="713"/>
      <c r="AW904" s="712"/>
      <c r="BY904" s="714"/>
      <c r="BZ904" s="715"/>
      <c r="CA904" s="716"/>
      <c r="CB904" s="717"/>
      <c r="CC904" s="717"/>
      <c r="CD904" s="717"/>
      <c r="CE904" s="717"/>
      <c r="CF904" s="717"/>
      <c r="CG904" s="717"/>
      <c r="CH904" s="717"/>
      <c r="CI904" s="717"/>
      <c r="CJ904" s="717"/>
      <c r="CK904" s="717"/>
      <c r="CL904" s="717"/>
      <c r="CM904" s="717"/>
      <c r="CN904" s="717"/>
      <c r="CO904" s="717"/>
      <c r="CP904" s="717"/>
      <c r="CQ904" s="717"/>
      <c r="CR904" s="717"/>
      <c r="CS904" s="717"/>
      <c r="CT904" s="717"/>
      <c r="CU904" s="717"/>
      <c r="CV904" s="717"/>
      <c r="CW904" s="717"/>
      <c r="CX904" s="717"/>
      <c r="CY904" s="717"/>
      <c r="CZ904" s="717"/>
      <c r="DA904" s="717"/>
      <c r="DB904" s="717"/>
      <c r="DC904" s="717"/>
      <c r="DD904" s="717"/>
      <c r="DE904" s="717"/>
      <c r="DF904" s="717"/>
      <c r="DG904" s="717"/>
      <c r="DH904" s="717"/>
      <c r="DI904" s="717"/>
      <c r="DJ904" s="717"/>
      <c r="DM904" s="711"/>
      <c r="DN904" s="711"/>
      <c r="DO904" s="711"/>
      <c r="DP904" s="711"/>
      <c r="DQ904" s="711"/>
      <c r="EB904" s="719"/>
    </row>
    <row r="905" spans="5:132" s="709" customFormat="1" ht="18" hidden="1">
      <c r="E905" s="721"/>
      <c r="H905" s="723">
        <v>407</v>
      </c>
      <c r="I905" s="726"/>
      <c r="J905" s="724"/>
      <c r="K905" s="724"/>
      <c r="L905" s="724"/>
      <c r="M905" s="728"/>
      <c r="N905" s="724"/>
      <c r="O905" s="724"/>
      <c r="P905" s="724"/>
      <c r="Q905" s="724"/>
      <c r="R905" s="724"/>
      <c r="S905" s="724"/>
      <c r="T905" s="724"/>
      <c r="U905" s="724"/>
      <c r="V905" s="724"/>
      <c r="W905" s="724"/>
      <c r="X905" s="724"/>
      <c r="Y905" s="724"/>
      <c r="Z905" s="724"/>
      <c r="AA905" s="724"/>
      <c r="AB905" s="724"/>
      <c r="AC905" s="729"/>
      <c r="AD905" s="724"/>
      <c r="AE905" s="724"/>
      <c r="AF905" s="724"/>
      <c r="AG905" s="724"/>
      <c r="AH905" s="724"/>
      <c r="AI905" s="724"/>
      <c r="AJ905" s="724"/>
      <c r="AU905" s="713"/>
      <c r="AW905" s="712"/>
      <c r="BY905" s="714"/>
      <c r="BZ905" s="715"/>
      <c r="CA905" s="716"/>
      <c r="CB905" s="717"/>
      <c r="CC905" s="717"/>
      <c r="CD905" s="717"/>
      <c r="CE905" s="717"/>
      <c r="CF905" s="717"/>
      <c r="CG905" s="717"/>
      <c r="CH905" s="717"/>
      <c r="CI905" s="717"/>
      <c r="CJ905" s="717"/>
      <c r="CK905" s="717"/>
      <c r="CL905" s="717"/>
      <c r="CM905" s="717"/>
      <c r="CN905" s="717"/>
      <c r="CO905" s="717"/>
      <c r="CP905" s="717"/>
      <c r="CQ905" s="717"/>
      <c r="CR905" s="717"/>
      <c r="CS905" s="717"/>
      <c r="CT905" s="717"/>
      <c r="CU905" s="717"/>
      <c r="CV905" s="717"/>
      <c r="CW905" s="717"/>
      <c r="CX905" s="717"/>
      <c r="CY905" s="717"/>
      <c r="CZ905" s="717"/>
      <c r="DA905" s="717"/>
      <c r="DB905" s="717"/>
      <c r="DC905" s="717"/>
      <c r="DD905" s="717"/>
      <c r="DE905" s="717"/>
      <c r="DF905" s="717"/>
      <c r="DG905" s="717"/>
      <c r="DH905" s="717"/>
      <c r="DI905" s="717"/>
      <c r="DJ905" s="717"/>
      <c r="DM905" s="711"/>
      <c r="DN905" s="711"/>
      <c r="DO905" s="711"/>
      <c r="DP905" s="711"/>
      <c r="DQ905" s="711"/>
      <c r="EB905" s="719"/>
    </row>
    <row r="906" spans="5:132" s="709" customFormat="1" ht="18" hidden="1">
      <c r="E906" s="721"/>
      <c r="H906" s="723">
        <v>408</v>
      </c>
      <c r="I906" s="726"/>
      <c r="J906" s="724"/>
      <c r="K906" s="724"/>
      <c r="L906" s="724"/>
      <c r="M906" s="728"/>
      <c r="N906" s="724"/>
      <c r="O906" s="724"/>
      <c r="P906" s="724"/>
      <c r="Q906" s="724"/>
      <c r="R906" s="724"/>
      <c r="S906" s="724"/>
      <c r="T906" s="724"/>
      <c r="U906" s="724"/>
      <c r="V906" s="724"/>
      <c r="W906" s="724"/>
      <c r="X906" s="724"/>
      <c r="Y906" s="724"/>
      <c r="Z906" s="724"/>
      <c r="AA906" s="724"/>
      <c r="AB906" s="724"/>
      <c r="AC906" s="729"/>
      <c r="AD906" s="724"/>
      <c r="AE906" s="724"/>
      <c r="AF906" s="724"/>
      <c r="AG906" s="724"/>
      <c r="AH906" s="724"/>
      <c r="AI906" s="724"/>
      <c r="AJ906" s="724"/>
      <c r="AU906" s="713"/>
      <c r="AW906" s="712"/>
      <c r="BY906" s="714"/>
      <c r="BZ906" s="715"/>
      <c r="CA906" s="716"/>
      <c r="CB906" s="717"/>
      <c r="CC906" s="717"/>
      <c r="CD906" s="717"/>
      <c r="CE906" s="717"/>
      <c r="CF906" s="717"/>
      <c r="CG906" s="717"/>
      <c r="CH906" s="717"/>
      <c r="CI906" s="717"/>
      <c r="CJ906" s="717"/>
      <c r="CK906" s="717"/>
      <c r="CL906" s="717"/>
      <c r="CM906" s="717"/>
      <c r="CN906" s="717"/>
      <c r="CO906" s="717"/>
      <c r="CP906" s="717"/>
      <c r="CQ906" s="717"/>
      <c r="CR906" s="717"/>
      <c r="CS906" s="717"/>
      <c r="CT906" s="717"/>
      <c r="CU906" s="717"/>
      <c r="CV906" s="717"/>
      <c r="CW906" s="717"/>
      <c r="CX906" s="717"/>
      <c r="CY906" s="717"/>
      <c r="CZ906" s="717"/>
      <c r="DA906" s="717"/>
      <c r="DB906" s="717"/>
      <c r="DC906" s="717"/>
      <c r="DD906" s="717"/>
      <c r="DE906" s="717"/>
      <c r="DF906" s="717"/>
      <c r="DG906" s="717"/>
      <c r="DH906" s="717"/>
      <c r="DI906" s="717"/>
      <c r="DJ906" s="717"/>
      <c r="DM906" s="711"/>
      <c r="DN906" s="711"/>
      <c r="DO906" s="711"/>
      <c r="DP906" s="711"/>
      <c r="DQ906" s="711"/>
      <c r="EB906" s="719"/>
    </row>
    <row r="907" spans="5:132" s="709" customFormat="1" ht="18" hidden="1">
      <c r="E907" s="721"/>
      <c r="H907" s="723">
        <v>409</v>
      </c>
      <c r="I907" s="726"/>
      <c r="J907" s="724"/>
      <c r="K907" s="724"/>
      <c r="L907" s="724"/>
      <c r="M907" s="728"/>
      <c r="N907" s="724"/>
      <c r="O907" s="724"/>
      <c r="P907" s="724"/>
      <c r="Q907" s="724"/>
      <c r="R907" s="724"/>
      <c r="S907" s="724"/>
      <c r="T907" s="724"/>
      <c r="U907" s="724"/>
      <c r="V907" s="724"/>
      <c r="W907" s="724"/>
      <c r="X907" s="724"/>
      <c r="Y907" s="724"/>
      <c r="Z907" s="724"/>
      <c r="AA907" s="724"/>
      <c r="AB907" s="724"/>
      <c r="AC907" s="729"/>
      <c r="AD907" s="724"/>
      <c r="AE907" s="724"/>
      <c r="AF907" s="724"/>
      <c r="AG907" s="724"/>
      <c r="AH907" s="724"/>
      <c r="AI907" s="724"/>
      <c r="AJ907" s="724"/>
      <c r="AU907" s="713"/>
      <c r="AW907" s="712"/>
      <c r="BY907" s="714"/>
      <c r="BZ907" s="715"/>
      <c r="CA907" s="716"/>
      <c r="CB907" s="717"/>
      <c r="CC907" s="717"/>
      <c r="CD907" s="717"/>
      <c r="CE907" s="717"/>
      <c r="CF907" s="717"/>
      <c r="CG907" s="717"/>
      <c r="CH907" s="717"/>
      <c r="CI907" s="717"/>
      <c r="CJ907" s="717"/>
      <c r="CK907" s="717"/>
      <c r="CL907" s="717"/>
      <c r="CM907" s="717"/>
      <c r="CN907" s="717"/>
      <c r="CO907" s="717"/>
      <c r="CP907" s="717"/>
      <c r="CQ907" s="717"/>
      <c r="CR907" s="717"/>
      <c r="CS907" s="717"/>
      <c r="CT907" s="717"/>
      <c r="CU907" s="717"/>
      <c r="CV907" s="717"/>
      <c r="CW907" s="717"/>
      <c r="CX907" s="717"/>
      <c r="CY907" s="717"/>
      <c r="CZ907" s="717"/>
      <c r="DA907" s="717"/>
      <c r="DB907" s="717"/>
      <c r="DC907" s="717"/>
      <c r="DD907" s="717"/>
      <c r="DE907" s="717"/>
      <c r="DF907" s="717"/>
      <c r="DG907" s="717"/>
      <c r="DH907" s="717"/>
      <c r="DI907" s="717"/>
      <c r="DJ907" s="717"/>
      <c r="DM907" s="711"/>
      <c r="DN907" s="711"/>
      <c r="DO907" s="711"/>
      <c r="DP907" s="711"/>
      <c r="DQ907" s="711"/>
      <c r="EB907" s="719"/>
    </row>
    <row r="908" spans="5:132" s="709" customFormat="1" ht="18" hidden="1">
      <c r="E908" s="721"/>
      <c r="H908" s="723">
        <v>410</v>
      </c>
      <c r="I908" s="726"/>
      <c r="J908" s="724"/>
      <c r="K908" s="724"/>
      <c r="L908" s="724"/>
      <c r="M908" s="728"/>
      <c r="N908" s="724"/>
      <c r="O908" s="724"/>
      <c r="P908" s="724"/>
      <c r="Q908" s="724"/>
      <c r="R908" s="724"/>
      <c r="S908" s="724"/>
      <c r="T908" s="724"/>
      <c r="U908" s="724"/>
      <c r="V908" s="724"/>
      <c r="W908" s="724"/>
      <c r="X908" s="724"/>
      <c r="Y908" s="724"/>
      <c r="Z908" s="724"/>
      <c r="AA908" s="724"/>
      <c r="AB908" s="724"/>
      <c r="AC908" s="729"/>
      <c r="AD908" s="724"/>
      <c r="AE908" s="724"/>
      <c r="AF908" s="724"/>
      <c r="AG908" s="724"/>
      <c r="AH908" s="724"/>
      <c r="AI908" s="724"/>
      <c r="AJ908" s="724"/>
      <c r="AU908" s="713"/>
      <c r="AW908" s="712"/>
      <c r="BY908" s="714"/>
      <c r="BZ908" s="715"/>
      <c r="CA908" s="716"/>
      <c r="CB908" s="717"/>
      <c r="CC908" s="717"/>
      <c r="CD908" s="717"/>
      <c r="CE908" s="717"/>
      <c r="CF908" s="717"/>
      <c r="CG908" s="717"/>
      <c r="CH908" s="717"/>
      <c r="CI908" s="717"/>
      <c r="CJ908" s="717"/>
      <c r="CK908" s="717"/>
      <c r="CL908" s="717"/>
      <c r="CM908" s="717"/>
      <c r="CN908" s="717"/>
      <c r="CO908" s="717"/>
      <c r="CP908" s="717"/>
      <c r="CQ908" s="717"/>
      <c r="CR908" s="717"/>
      <c r="CS908" s="717"/>
      <c r="CT908" s="717"/>
      <c r="CU908" s="717"/>
      <c r="CV908" s="717"/>
      <c r="CW908" s="717"/>
      <c r="CX908" s="717"/>
      <c r="CY908" s="717"/>
      <c r="CZ908" s="717"/>
      <c r="DA908" s="717"/>
      <c r="DB908" s="717"/>
      <c r="DC908" s="717"/>
      <c r="DD908" s="717"/>
      <c r="DE908" s="717"/>
      <c r="DF908" s="717"/>
      <c r="DG908" s="717"/>
      <c r="DH908" s="717"/>
      <c r="DI908" s="717"/>
      <c r="DJ908" s="717"/>
      <c r="DM908" s="711"/>
      <c r="DN908" s="711"/>
      <c r="DO908" s="711"/>
      <c r="DP908" s="711"/>
      <c r="DQ908" s="711"/>
      <c r="EB908" s="719"/>
    </row>
    <row r="909" spans="5:132" s="709" customFormat="1" ht="18" hidden="1">
      <c r="E909" s="721"/>
      <c r="H909" s="723">
        <v>412</v>
      </c>
      <c r="I909" s="726"/>
      <c r="J909" s="724"/>
      <c r="K909" s="724"/>
      <c r="L909" s="724"/>
      <c r="M909" s="728"/>
      <c r="N909" s="724"/>
      <c r="O909" s="724"/>
      <c r="P909" s="724"/>
      <c r="Q909" s="724"/>
      <c r="R909" s="724"/>
      <c r="S909" s="724"/>
      <c r="T909" s="724"/>
      <c r="U909" s="724"/>
      <c r="V909" s="724"/>
      <c r="W909" s="724"/>
      <c r="X909" s="724"/>
      <c r="Y909" s="724"/>
      <c r="Z909" s="724"/>
      <c r="AA909" s="724"/>
      <c r="AB909" s="724"/>
      <c r="AC909" s="729"/>
      <c r="AD909" s="724"/>
      <c r="AE909" s="724"/>
      <c r="AF909" s="724"/>
      <c r="AG909" s="724"/>
      <c r="AH909" s="724"/>
      <c r="AI909" s="724"/>
      <c r="AJ909" s="724"/>
      <c r="AU909" s="713"/>
      <c r="AW909" s="712"/>
      <c r="BY909" s="714"/>
      <c r="BZ909" s="715"/>
      <c r="CA909" s="716"/>
      <c r="CB909" s="717"/>
      <c r="CC909" s="717"/>
      <c r="CD909" s="717"/>
      <c r="CE909" s="717"/>
      <c r="CF909" s="717"/>
      <c r="CG909" s="717"/>
      <c r="CH909" s="717"/>
      <c r="CI909" s="717"/>
      <c r="CJ909" s="717"/>
      <c r="CK909" s="717"/>
      <c r="CL909" s="717"/>
      <c r="CM909" s="717"/>
      <c r="CN909" s="717"/>
      <c r="CO909" s="717"/>
      <c r="CP909" s="717"/>
      <c r="CQ909" s="717"/>
      <c r="CR909" s="717"/>
      <c r="CS909" s="717"/>
      <c r="CT909" s="717"/>
      <c r="CU909" s="717"/>
      <c r="CV909" s="717"/>
      <c r="CW909" s="717"/>
      <c r="CX909" s="717"/>
      <c r="CY909" s="717"/>
      <c r="CZ909" s="717"/>
      <c r="DA909" s="717"/>
      <c r="DB909" s="717"/>
      <c r="DC909" s="717"/>
      <c r="DD909" s="717"/>
      <c r="DE909" s="717"/>
      <c r="DF909" s="717"/>
      <c r="DG909" s="717"/>
      <c r="DH909" s="717"/>
      <c r="DI909" s="717"/>
      <c r="DJ909" s="717"/>
      <c r="DM909" s="711"/>
      <c r="DN909" s="711"/>
      <c r="DO909" s="711"/>
      <c r="DP909" s="711"/>
      <c r="DQ909" s="711"/>
      <c r="EB909" s="719"/>
    </row>
    <row r="910" spans="5:132" s="709" customFormat="1" ht="18" hidden="1">
      <c r="E910" s="721"/>
      <c r="H910" s="723">
        <v>413</v>
      </c>
      <c r="I910" s="726"/>
      <c r="J910" s="724"/>
      <c r="K910" s="724"/>
      <c r="L910" s="724"/>
      <c r="M910" s="728"/>
      <c r="N910" s="724"/>
      <c r="O910" s="724"/>
      <c r="P910" s="724"/>
      <c r="Q910" s="724"/>
      <c r="R910" s="724"/>
      <c r="S910" s="724"/>
      <c r="T910" s="724"/>
      <c r="U910" s="724"/>
      <c r="V910" s="724"/>
      <c r="W910" s="724"/>
      <c r="X910" s="724"/>
      <c r="Y910" s="724"/>
      <c r="Z910" s="724"/>
      <c r="AA910" s="724"/>
      <c r="AB910" s="724"/>
      <c r="AC910" s="729"/>
      <c r="AD910" s="724"/>
      <c r="AE910" s="724"/>
      <c r="AF910" s="724"/>
      <c r="AG910" s="724"/>
      <c r="AH910" s="724"/>
      <c r="AI910" s="724"/>
      <c r="AJ910" s="724"/>
      <c r="AU910" s="713"/>
      <c r="AW910" s="712"/>
      <c r="BY910" s="714"/>
      <c r="BZ910" s="715"/>
      <c r="CA910" s="716"/>
      <c r="CB910" s="717"/>
      <c r="CC910" s="717"/>
      <c r="CD910" s="717"/>
      <c r="CE910" s="717"/>
      <c r="CF910" s="717"/>
      <c r="CG910" s="717"/>
      <c r="CH910" s="717"/>
      <c r="CI910" s="717"/>
      <c r="CJ910" s="717"/>
      <c r="CK910" s="717"/>
      <c r="CL910" s="717"/>
      <c r="CM910" s="717"/>
      <c r="CN910" s="717"/>
      <c r="CO910" s="717"/>
      <c r="CP910" s="717"/>
      <c r="CQ910" s="717"/>
      <c r="CR910" s="717"/>
      <c r="CS910" s="717"/>
      <c r="CT910" s="717"/>
      <c r="CU910" s="717"/>
      <c r="CV910" s="717"/>
      <c r="CW910" s="717"/>
      <c r="CX910" s="717"/>
      <c r="CY910" s="717"/>
      <c r="CZ910" s="717"/>
      <c r="DA910" s="717"/>
      <c r="DB910" s="717"/>
      <c r="DC910" s="717"/>
      <c r="DD910" s="717"/>
      <c r="DE910" s="717"/>
      <c r="DF910" s="717"/>
      <c r="DG910" s="717"/>
      <c r="DH910" s="717"/>
      <c r="DI910" s="717"/>
      <c r="DJ910" s="717"/>
      <c r="DM910" s="711"/>
      <c r="DN910" s="711"/>
      <c r="DO910" s="711"/>
      <c r="DP910" s="711"/>
      <c r="DQ910" s="711"/>
      <c r="EB910" s="719"/>
    </row>
    <row r="911" spans="5:132" s="709" customFormat="1" ht="18" hidden="1">
      <c r="E911" s="721"/>
      <c r="H911" s="723">
        <v>414</v>
      </c>
      <c r="I911" s="726"/>
      <c r="J911" s="724"/>
      <c r="K911" s="724"/>
      <c r="L911" s="724"/>
      <c r="M911" s="728"/>
      <c r="N911" s="724"/>
      <c r="O911" s="724"/>
      <c r="P911" s="724"/>
      <c r="Q911" s="724"/>
      <c r="R911" s="724"/>
      <c r="S911" s="724"/>
      <c r="T911" s="724"/>
      <c r="U911" s="724"/>
      <c r="V911" s="724"/>
      <c r="W911" s="724"/>
      <c r="X911" s="724"/>
      <c r="Y911" s="724"/>
      <c r="Z911" s="724"/>
      <c r="AA911" s="724"/>
      <c r="AB911" s="724"/>
      <c r="AC911" s="729"/>
      <c r="AD911" s="724"/>
      <c r="AE911" s="724"/>
      <c r="AF911" s="724"/>
      <c r="AG911" s="724"/>
      <c r="AH911" s="724"/>
      <c r="AI911" s="724"/>
      <c r="AJ911" s="724"/>
      <c r="AU911" s="713"/>
      <c r="AW911" s="712"/>
      <c r="BY911" s="714"/>
      <c r="BZ911" s="715"/>
      <c r="CA911" s="716"/>
      <c r="CB911" s="717"/>
      <c r="CC911" s="717"/>
      <c r="CD911" s="717"/>
      <c r="CE911" s="717"/>
      <c r="CF911" s="717"/>
      <c r="CG911" s="717"/>
      <c r="CH911" s="717"/>
      <c r="CI911" s="717"/>
      <c r="CJ911" s="717"/>
      <c r="CK911" s="717"/>
      <c r="CL911" s="717"/>
      <c r="CM911" s="717"/>
      <c r="CN911" s="717"/>
      <c r="CO911" s="717"/>
      <c r="CP911" s="717"/>
      <c r="CQ911" s="717"/>
      <c r="CR911" s="717"/>
      <c r="CS911" s="717"/>
      <c r="CT911" s="717"/>
      <c r="CU911" s="717"/>
      <c r="CV911" s="717"/>
      <c r="CW911" s="717"/>
      <c r="CX911" s="717"/>
      <c r="CY911" s="717"/>
      <c r="CZ911" s="717"/>
      <c r="DA911" s="717"/>
      <c r="DB911" s="717"/>
      <c r="DC911" s="717"/>
      <c r="DD911" s="717"/>
      <c r="DE911" s="717"/>
      <c r="DF911" s="717"/>
      <c r="DG911" s="717"/>
      <c r="DH911" s="717"/>
      <c r="DI911" s="717"/>
      <c r="DJ911" s="717"/>
      <c r="DM911" s="711"/>
      <c r="DN911" s="711"/>
      <c r="DO911" s="711"/>
      <c r="DP911" s="711"/>
      <c r="DQ911" s="711"/>
      <c r="EB911" s="719"/>
    </row>
    <row r="912" spans="5:132" s="709" customFormat="1" ht="18" hidden="1">
      <c r="E912" s="721"/>
      <c r="H912" s="723">
        <v>415</v>
      </c>
      <c r="I912" s="726"/>
      <c r="J912" s="724"/>
      <c r="K912" s="724"/>
      <c r="L912" s="724"/>
      <c r="M912" s="728"/>
      <c r="N912" s="724"/>
      <c r="O912" s="724"/>
      <c r="P912" s="724"/>
      <c r="Q912" s="724"/>
      <c r="R912" s="724"/>
      <c r="S912" s="724"/>
      <c r="T912" s="724"/>
      <c r="U912" s="724"/>
      <c r="V912" s="724"/>
      <c r="W912" s="724"/>
      <c r="X912" s="724"/>
      <c r="Y912" s="724"/>
      <c r="Z912" s="724"/>
      <c r="AA912" s="724"/>
      <c r="AB912" s="724"/>
      <c r="AC912" s="729"/>
      <c r="AD912" s="724"/>
      <c r="AE912" s="724"/>
      <c r="AF912" s="724"/>
      <c r="AG912" s="724"/>
      <c r="AH912" s="724"/>
      <c r="AI912" s="724"/>
      <c r="AJ912" s="724"/>
      <c r="AU912" s="713"/>
      <c r="AW912" s="712"/>
      <c r="BY912" s="714"/>
      <c r="BZ912" s="715"/>
      <c r="CA912" s="716"/>
      <c r="CB912" s="717"/>
      <c r="CC912" s="717"/>
      <c r="CD912" s="717"/>
      <c r="CE912" s="717"/>
      <c r="CF912" s="717"/>
      <c r="CG912" s="717"/>
      <c r="CH912" s="717"/>
      <c r="CI912" s="717"/>
      <c r="CJ912" s="717"/>
      <c r="CK912" s="717"/>
      <c r="CL912" s="717"/>
      <c r="CM912" s="717"/>
      <c r="CN912" s="717"/>
      <c r="CO912" s="717"/>
      <c r="CP912" s="717"/>
      <c r="CQ912" s="717"/>
      <c r="CR912" s="717"/>
      <c r="CS912" s="717"/>
      <c r="CT912" s="717"/>
      <c r="CU912" s="717"/>
      <c r="CV912" s="717"/>
      <c r="CW912" s="717"/>
      <c r="CX912" s="717"/>
      <c r="CY912" s="717"/>
      <c r="CZ912" s="717"/>
      <c r="DA912" s="717"/>
      <c r="DB912" s="717"/>
      <c r="DC912" s="717"/>
      <c r="DD912" s="717"/>
      <c r="DE912" s="717"/>
      <c r="DF912" s="717"/>
      <c r="DG912" s="717"/>
      <c r="DH912" s="717"/>
      <c r="DI912" s="717"/>
      <c r="DJ912" s="717"/>
      <c r="DM912" s="711"/>
      <c r="DN912" s="711"/>
      <c r="DO912" s="711"/>
      <c r="DP912" s="711"/>
      <c r="DQ912" s="711"/>
      <c r="EB912" s="719"/>
    </row>
    <row r="913" spans="5:132" s="709" customFormat="1" ht="18" hidden="1">
      <c r="E913" s="721"/>
      <c r="H913" s="723">
        <v>416</v>
      </c>
      <c r="I913" s="726"/>
      <c r="J913" s="724"/>
      <c r="K913" s="724"/>
      <c r="L913" s="724"/>
      <c r="M913" s="728"/>
      <c r="N913" s="724"/>
      <c r="O913" s="724"/>
      <c r="P913" s="724"/>
      <c r="Q913" s="724"/>
      <c r="R913" s="724"/>
      <c r="S913" s="724"/>
      <c r="T913" s="724"/>
      <c r="U913" s="724"/>
      <c r="V913" s="724"/>
      <c r="W913" s="724"/>
      <c r="X913" s="724"/>
      <c r="Y913" s="724"/>
      <c r="Z913" s="724"/>
      <c r="AA913" s="724"/>
      <c r="AB913" s="724"/>
      <c r="AC913" s="729"/>
      <c r="AD913" s="724"/>
      <c r="AE913" s="724"/>
      <c r="AF913" s="724"/>
      <c r="AG913" s="724"/>
      <c r="AH913" s="724"/>
      <c r="AI913" s="724"/>
      <c r="AJ913" s="724"/>
      <c r="AU913" s="713"/>
      <c r="AW913" s="712"/>
      <c r="BY913" s="714"/>
      <c r="BZ913" s="715"/>
      <c r="CA913" s="716"/>
      <c r="CB913" s="717"/>
      <c r="CC913" s="717"/>
      <c r="CD913" s="717"/>
      <c r="CE913" s="717"/>
      <c r="CF913" s="717"/>
      <c r="CG913" s="717"/>
      <c r="CH913" s="717"/>
      <c r="CI913" s="717"/>
      <c r="CJ913" s="717"/>
      <c r="CK913" s="717"/>
      <c r="CL913" s="717"/>
      <c r="CM913" s="717"/>
      <c r="CN913" s="717"/>
      <c r="CO913" s="717"/>
      <c r="CP913" s="717"/>
      <c r="CQ913" s="717"/>
      <c r="CR913" s="717"/>
      <c r="CS913" s="717"/>
      <c r="CT913" s="717"/>
      <c r="CU913" s="717"/>
      <c r="CV913" s="717"/>
      <c r="CW913" s="717"/>
      <c r="CX913" s="717"/>
      <c r="CY913" s="717"/>
      <c r="CZ913" s="717"/>
      <c r="DA913" s="717"/>
      <c r="DB913" s="717"/>
      <c r="DC913" s="717"/>
      <c r="DD913" s="717"/>
      <c r="DE913" s="717"/>
      <c r="DF913" s="717"/>
      <c r="DG913" s="717"/>
      <c r="DH913" s="717"/>
      <c r="DI913" s="717"/>
      <c r="DJ913" s="717"/>
      <c r="DM913" s="711"/>
      <c r="DN913" s="711"/>
      <c r="DO913" s="711"/>
      <c r="DP913" s="711"/>
      <c r="DQ913" s="711"/>
      <c r="EB913" s="719"/>
    </row>
    <row r="914" spans="5:132" s="709" customFormat="1" ht="18" hidden="1">
      <c r="E914" s="721"/>
      <c r="H914" s="723">
        <v>417</v>
      </c>
      <c r="I914" s="726"/>
      <c r="J914" s="724"/>
      <c r="K914" s="724"/>
      <c r="L914" s="724"/>
      <c r="M914" s="728"/>
      <c r="N914" s="724"/>
      <c r="O914" s="724"/>
      <c r="P914" s="724"/>
      <c r="Q914" s="724"/>
      <c r="R914" s="724"/>
      <c r="S914" s="724"/>
      <c r="T914" s="724"/>
      <c r="U914" s="724"/>
      <c r="V914" s="724"/>
      <c r="W914" s="724"/>
      <c r="X914" s="724"/>
      <c r="Y914" s="724"/>
      <c r="Z914" s="724"/>
      <c r="AA914" s="724"/>
      <c r="AB914" s="724"/>
      <c r="AC914" s="729"/>
      <c r="AD914" s="724"/>
      <c r="AE914" s="724"/>
      <c r="AF914" s="724"/>
      <c r="AG914" s="724"/>
      <c r="AH914" s="724"/>
      <c r="AI914" s="724"/>
      <c r="AJ914" s="724"/>
      <c r="AU914" s="713"/>
      <c r="AW914" s="712"/>
      <c r="BY914" s="714"/>
      <c r="BZ914" s="715"/>
      <c r="CA914" s="716"/>
      <c r="CB914" s="717"/>
      <c r="CC914" s="717"/>
      <c r="CD914" s="717"/>
      <c r="CE914" s="717"/>
      <c r="CF914" s="717"/>
      <c r="CG914" s="717"/>
      <c r="CH914" s="717"/>
      <c r="CI914" s="717"/>
      <c r="CJ914" s="717"/>
      <c r="CK914" s="717"/>
      <c r="CL914" s="717"/>
      <c r="CM914" s="717"/>
      <c r="CN914" s="717"/>
      <c r="CO914" s="717"/>
      <c r="CP914" s="717"/>
      <c r="CQ914" s="717"/>
      <c r="CR914" s="717"/>
      <c r="CS914" s="717"/>
      <c r="CT914" s="717"/>
      <c r="CU914" s="717"/>
      <c r="CV914" s="717"/>
      <c r="CW914" s="717"/>
      <c r="CX914" s="717"/>
      <c r="CY914" s="717"/>
      <c r="CZ914" s="717"/>
      <c r="DA914" s="717"/>
      <c r="DB914" s="717"/>
      <c r="DC914" s="717"/>
      <c r="DD914" s="717"/>
      <c r="DE914" s="717"/>
      <c r="DF914" s="717"/>
      <c r="DG914" s="717"/>
      <c r="DH914" s="717"/>
      <c r="DI914" s="717"/>
      <c r="DJ914" s="717"/>
      <c r="DM914" s="711"/>
      <c r="DN914" s="711"/>
      <c r="DO914" s="711"/>
      <c r="DP914" s="711"/>
      <c r="DQ914" s="711"/>
      <c r="EB914" s="719"/>
    </row>
    <row r="915" spans="5:132" s="709" customFormat="1" ht="18" hidden="1">
      <c r="E915" s="721"/>
      <c r="H915" s="723">
        <v>418</v>
      </c>
      <c r="I915" s="726"/>
      <c r="J915" s="724"/>
      <c r="K915" s="724"/>
      <c r="L915" s="724"/>
      <c r="M915" s="728"/>
      <c r="N915" s="724"/>
      <c r="O915" s="724"/>
      <c r="P915" s="724"/>
      <c r="Q915" s="724"/>
      <c r="R915" s="724"/>
      <c r="S915" s="724"/>
      <c r="T915" s="724"/>
      <c r="U915" s="724"/>
      <c r="V915" s="724"/>
      <c r="W915" s="724"/>
      <c r="X915" s="724"/>
      <c r="Y915" s="724"/>
      <c r="Z915" s="724"/>
      <c r="AA915" s="724"/>
      <c r="AB915" s="724"/>
      <c r="AC915" s="729"/>
      <c r="AD915" s="724"/>
      <c r="AE915" s="724"/>
      <c r="AF915" s="724"/>
      <c r="AG915" s="724"/>
      <c r="AH915" s="724"/>
      <c r="AI915" s="724"/>
      <c r="AJ915" s="724"/>
      <c r="AU915" s="713"/>
      <c r="AW915" s="712"/>
      <c r="BY915" s="714"/>
      <c r="BZ915" s="715"/>
      <c r="CA915" s="716"/>
      <c r="CB915" s="717"/>
      <c r="CC915" s="717"/>
      <c r="CD915" s="717"/>
      <c r="CE915" s="717"/>
      <c r="CF915" s="717"/>
      <c r="CG915" s="717"/>
      <c r="CH915" s="717"/>
      <c r="CI915" s="717"/>
      <c r="CJ915" s="717"/>
      <c r="CK915" s="717"/>
      <c r="CL915" s="717"/>
      <c r="CM915" s="717"/>
      <c r="CN915" s="717"/>
      <c r="CO915" s="717"/>
      <c r="CP915" s="717"/>
      <c r="CQ915" s="717"/>
      <c r="CR915" s="717"/>
      <c r="CS915" s="717"/>
      <c r="CT915" s="717"/>
      <c r="CU915" s="717"/>
      <c r="CV915" s="717"/>
      <c r="CW915" s="717"/>
      <c r="CX915" s="717"/>
      <c r="CY915" s="717"/>
      <c r="CZ915" s="717"/>
      <c r="DA915" s="717"/>
      <c r="DB915" s="717"/>
      <c r="DC915" s="717"/>
      <c r="DD915" s="717"/>
      <c r="DE915" s="717"/>
      <c r="DF915" s="717"/>
      <c r="DG915" s="717"/>
      <c r="DH915" s="717"/>
      <c r="DI915" s="717"/>
      <c r="DJ915" s="717"/>
      <c r="DM915" s="711"/>
      <c r="DN915" s="711"/>
      <c r="DO915" s="711"/>
      <c r="DP915" s="711"/>
      <c r="DQ915" s="711"/>
      <c r="EB915" s="719"/>
    </row>
    <row r="916" spans="5:132" s="709" customFormat="1" ht="18" hidden="1">
      <c r="E916" s="721"/>
      <c r="H916" s="723">
        <v>419</v>
      </c>
      <c r="I916" s="726"/>
      <c r="J916" s="724"/>
      <c r="K916" s="724"/>
      <c r="L916" s="724"/>
      <c r="M916" s="728"/>
      <c r="N916" s="724"/>
      <c r="O916" s="724"/>
      <c r="P916" s="724"/>
      <c r="Q916" s="724"/>
      <c r="R916" s="724"/>
      <c r="S916" s="724"/>
      <c r="T916" s="724"/>
      <c r="U916" s="724"/>
      <c r="V916" s="724"/>
      <c r="W916" s="724"/>
      <c r="X916" s="724"/>
      <c r="Y916" s="724"/>
      <c r="Z916" s="724"/>
      <c r="AA916" s="724"/>
      <c r="AB916" s="724"/>
      <c r="AC916" s="729"/>
      <c r="AD916" s="724"/>
      <c r="AE916" s="724"/>
      <c r="AF916" s="724"/>
      <c r="AG916" s="724"/>
      <c r="AH916" s="724"/>
      <c r="AI916" s="724"/>
      <c r="AJ916" s="724"/>
      <c r="AU916" s="713"/>
      <c r="AW916" s="712"/>
      <c r="BY916" s="714"/>
      <c r="BZ916" s="715"/>
      <c r="CA916" s="716"/>
      <c r="CB916" s="717"/>
      <c r="CC916" s="717"/>
      <c r="CD916" s="717"/>
      <c r="CE916" s="717"/>
      <c r="CF916" s="717"/>
      <c r="CG916" s="717"/>
      <c r="CH916" s="717"/>
      <c r="CI916" s="717"/>
      <c r="CJ916" s="717"/>
      <c r="CK916" s="717"/>
      <c r="CL916" s="717"/>
      <c r="CM916" s="717"/>
      <c r="CN916" s="717"/>
      <c r="CO916" s="717"/>
      <c r="CP916" s="717"/>
      <c r="CQ916" s="717"/>
      <c r="CR916" s="717"/>
      <c r="CS916" s="717"/>
      <c r="CT916" s="717"/>
      <c r="CU916" s="717"/>
      <c r="CV916" s="717"/>
      <c r="CW916" s="717"/>
      <c r="CX916" s="717"/>
      <c r="CY916" s="717"/>
      <c r="CZ916" s="717"/>
      <c r="DA916" s="717"/>
      <c r="DB916" s="717"/>
      <c r="DC916" s="717"/>
      <c r="DD916" s="717"/>
      <c r="DE916" s="717"/>
      <c r="DF916" s="717"/>
      <c r="DG916" s="717"/>
      <c r="DH916" s="717"/>
      <c r="DI916" s="717"/>
      <c r="DJ916" s="717"/>
      <c r="DM916" s="711"/>
      <c r="DN916" s="711"/>
      <c r="DO916" s="711"/>
      <c r="DP916" s="711"/>
      <c r="DQ916" s="711"/>
      <c r="EB916" s="719"/>
    </row>
    <row r="917" spans="5:132" s="709" customFormat="1" ht="18" hidden="1">
      <c r="E917" s="721"/>
      <c r="H917" s="723">
        <v>420</v>
      </c>
      <c r="I917" s="726"/>
      <c r="J917" s="724"/>
      <c r="K917" s="724"/>
      <c r="L917" s="724"/>
      <c r="M917" s="728"/>
      <c r="N917" s="724"/>
      <c r="O917" s="724"/>
      <c r="P917" s="724"/>
      <c r="Q917" s="724"/>
      <c r="R917" s="724"/>
      <c r="S917" s="724"/>
      <c r="T917" s="724"/>
      <c r="U917" s="724"/>
      <c r="V917" s="724"/>
      <c r="W917" s="724"/>
      <c r="X917" s="724"/>
      <c r="Y917" s="724"/>
      <c r="Z917" s="724"/>
      <c r="AA917" s="724"/>
      <c r="AB917" s="724"/>
      <c r="AC917" s="729"/>
      <c r="AD917" s="724"/>
      <c r="AE917" s="724"/>
      <c r="AF917" s="724"/>
      <c r="AG917" s="724"/>
      <c r="AH917" s="724"/>
      <c r="AI917" s="724"/>
      <c r="AJ917" s="724"/>
      <c r="AU917" s="713"/>
      <c r="AW917" s="712"/>
      <c r="BY917" s="714"/>
      <c r="BZ917" s="715"/>
      <c r="CA917" s="716"/>
      <c r="CB917" s="717"/>
      <c r="CC917" s="717"/>
      <c r="CD917" s="717"/>
      <c r="CE917" s="717"/>
      <c r="CF917" s="717"/>
      <c r="CG917" s="717"/>
      <c r="CH917" s="717"/>
      <c r="CI917" s="717"/>
      <c r="CJ917" s="717"/>
      <c r="CK917" s="717"/>
      <c r="CL917" s="717"/>
      <c r="CM917" s="717"/>
      <c r="CN917" s="717"/>
      <c r="CO917" s="717"/>
      <c r="CP917" s="717"/>
      <c r="CQ917" s="717"/>
      <c r="CR917" s="717"/>
      <c r="CS917" s="717"/>
      <c r="CT917" s="717"/>
      <c r="CU917" s="717"/>
      <c r="CV917" s="717"/>
      <c r="CW917" s="717"/>
      <c r="CX917" s="717"/>
      <c r="CY917" s="717"/>
      <c r="CZ917" s="717"/>
      <c r="DA917" s="717"/>
      <c r="DB917" s="717"/>
      <c r="DC917" s="717"/>
      <c r="DD917" s="717"/>
      <c r="DE917" s="717"/>
      <c r="DF917" s="717"/>
      <c r="DG917" s="717"/>
      <c r="DH917" s="717"/>
      <c r="DI917" s="717"/>
      <c r="DJ917" s="717"/>
      <c r="DM917" s="711"/>
      <c r="DN917" s="711"/>
      <c r="DO917" s="711"/>
      <c r="DP917" s="711"/>
      <c r="DQ917" s="711"/>
      <c r="EB917" s="719"/>
    </row>
    <row r="918" spans="5:132" s="709" customFormat="1" ht="18" hidden="1">
      <c r="E918" s="721"/>
      <c r="H918" s="723">
        <v>421</v>
      </c>
      <c r="I918" s="726"/>
      <c r="J918" s="724"/>
      <c r="K918" s="724"/>
      <c r="L918" s="724"/>
      <c r="M918" s="728"/>
      <c r="N918" s="724"/>
      <c r="O918" s="724"/>
      <c r="P918" s="724"/>
      <c r="Q918" s="724"/>
      <c r="R918" s="724"/>
      <c r="S918" s="724"/>
      <c r="T918" s="724"/>
      <c r="U918" s="724"/>
      <c r="V918" s="724"/>
      <c r="W918" s="724"/>
      <c r="X918" s="724"/>
      <c r="Y918" s="724"/>
      <c r="Z918" s="724"/>
      <c r="AA918" s="724"/>
      <c r="AB918" s="724"/>
      <c r="AC918" s="729"/>
      <c r="AD918" s="724"/>
      <c r="AE918" s="724"/>
      <c r="AF918" s="724"/>
      <c r="AG918" s="724"/>
      <c r="AH918" s="724"/>
      <c r="AI918" s="724"/>
      <c r="AJ918" s="724"/>
      <c r="AU918" s="713"/>
      <c r="AW918" s="712"/>
      <c r="BY918" s="714"/>
      <c r="BZ918" s="715"/>
      <c r="CA918" s="716"/>
      <c r="CB918" s="717"/>
      <c r="CC918" s="717"/>
      <c r="CD918" s="717"/>
      <c r="CE918" s="717"/>
      <c r="CF918" s="717"/>
      <c r="CG918" s="717"/>
      <c r="CH918" s="717"/>
      <c r="CI918" s="717"/>
      <c r="CJ918" s="717"/>
      <c r="CK918" s="717"/>
      <c r="CL918" s="717"/>
      <c r="CM918" s="717"/>
      <c r="CN918" s="717"/>
      <c r="CO918" s="717"/>
      <c r="CP918" s="717"/>
      <c r="CQ918" s="717"/>
      <c r="CR918" s="717"/>
      <c r="CS918" s="717"/>
      <c r="CT918" s="717"/>
      <c r="CU918" s="717"/>
      <c r="CV918" s="717"/>
      <c r="CW918" s="717"/>
      <c r="CX918" s="717"/>
      <c r="CY918" s="717"/>
      <c r="CZ918" s="717"/>
      <c r="DA918" s="717"/>
      <c r="DB918" s="717"/>
      <c r="DC918" s="717"/>
      <c r="DD918" s="717"/>
      <c r="DE918" s="717"/>
      <c r="DF918" s="717"/>
      <c r="DG918" s="717"/>
      <c r="DH918" s="717"/>
      <c r="DI918" s="717"/>
      <c r="DJ918" s="717"/>
      <c r="DM918" s="711"/>
      <c r="DN918" s="711"/>
      <c r="DO918" s="711"/>
      <c r="DP918" s="711"/>
      <c r="DQ918" s="711"/>
      <c r="EB918" s="719"/>
    </row>
    <row r="919" spans="5:132" s="709" customFormat="1" ht="18" hidden="1">
      <c r="E919" s="721"/>
      <c r="H919" s="723">
        <v>423</v>
      </c>
      <c r="I919" s="726"/>
      <c r="J919" s="724"/>
      <c r="K919" s="724"/>
      <c r="L919" s="724"/>
      <c r="M919" s="728"/>
      <c r="N919" s="724"/>
      <c r="O919" s="724"/>
      <c r="P919" s="724"/>
      <c r="Q919" s="724"/>
      <c r="R919" s="724"/>
      <c r="S919" s="724"/>
      <c r="T919" s="724"/>
      <c r="U919" s="724"/>
      <c r="V919" s="724"/>
      <c r="W919" s="724"/>
      <c r="X919" s="724"/>
      <c r="Y919" s="724"/>
      <c r="Z919" s="724"/>
      <c r="AA919" s="724"/>
      <c r="AB919" s="724"/>
      <c r="AC919" s="729"/>
      <c r="AD919" s="724"/>
      <c r="AE919" s="724"/>
      <c r="AF919" s="724"/>
      <c r="AG919" s="724"/>
      <c r="AH919" s="724"/>
      <c r="AI919" s="724"/>
      <c r="AJ919" s="724"/>
      <c r="AU919" s="713"/>
      <c r="AW919" s="712"/>
      <c r="BY919" s="714"/>
      <c r="BZ919" s="715"/>
      <c r="CA919" s="716"/>
      <c r="CB919" s="717"/>
      <c r="CC919" s="717"/>
      <c r="CD919" s="717"/>
      <c r="CE919" s="717"/>
      <c r="CF919" s="717"/>
      <c r="CG919" s="717"/>
      <c r="CH919" s="717"/>
      <c r="CI919" s="717"/>
      <c r="CJ919" s="717"/>
      <c r="CK919" s="717"/>
      <c r="CL919" s="717"/>
      <c r="CM919" s="717"/>
      <c r="CN919" s="717"/>
      <c r="CO919" s="717"/>
      <c r="CP919" s="717"/>
      <c r="CQ919" s="717"/>
      <c r="CR919" s="717"/>
      <c r="CS919" s="717"/>
      <c r="CT919" s="717"/>
      <c r="CU919" s="717"/>
      <c r="CV919" s="717"/>
      <c r="CW919" s="717"/>
      <c r="CX919" s="717"/>
      <c r="CY919" s="717"/>
      <c r="CZ919" s="717"/>
      <c r="DA919" s="717"/>
      <c r="DB919" s="717"/>
      <c r="DC919" s="717"/>
      <c r="DD919" s="717"/>
      <c r="DE919" s="717"/>
      <c r="DF919" s="717"/>
      <c r="DG919" s="717"/>
      <c r="DH919" s="717"/>
      <c r="DI919" s="717"/>
      <c r="DJ919" s="717"/>
      <c r="DM919" s="711"/>
      <c r="DN919" s="711"/>
      <c r="DO919" s="711"/>
      <c r="DP919" s="711"/>
      <c r="DQ919" s="711"/>
      <c r="EB919" s="719"/>
    </row>
    <row r="920" spans="5:132" s="709" customFormat="1" ht="18" hidden="1">
      <c r="E920" s="721"/>
      <c r="H920" s="723">
        <v>424</v>
      </c>
      <c r="I920" s="726"/>
      <c r="J920" s="724"/>
      <c r="K920" s="724"/>
      <c r="L920" s="724"/>
      <c r="M920" s="728"/>
      <c r="N920" s="724"/>
      <c r="O920" s="724"/>
      <c r="P920" s="724"/>
      <c r="Q920" s="724"/>
      <c r="R920" s="724"/>
      <c r="S920" s="724"/>
      <c r="T920" s="724"/>
      <c r="U920" s="724"/>
      <c r="V920" s="724"/>
      <c r="W920" s="724"/>
      <c r="X920" s="724"/>
      <c r="Y920" s="724"/>
      <c r="Z920" s="724"/>
      <c r="AA920" s="724"/>
      <c r="AB920" s="724"/>
      <c r="AC920" s="729"/>
      <c r="AD920" s="724"/>
      <c r="AE920" s="724"/>
      <c r="AF920" s="724"/>
      <c r="AG920" s="724"/>
      <c r="AH920" s="724"/>
      <c r="AI920" s="724"/>
      <c r="AJ920" s="724"/>
      <c r="AU920" s="713"/>
      <c r="AW920" s="712"/>
      <c r="BY920" s="714"/>
      <c r="BZ920" s="715"/>
      <c r="CA920" s="716"/>
      <c r="CB920" s="717"/>
      <c r="CC920" s="717"/>
      <c r="CD920" s="717"/>
      <c r="CE920" s="717"/>
      <c r="CF920" s="717"/>
      <c r="CG920" s="717"/>
      <c r="CH920" s="717"/>
      <c r="CI920" s="717"/>
      <c r="CJ920" s="717"/>
      <c r="CK920" s="717"/>
      <c r="CL920" s="717"/>
      <c r="CM920" s="717"/>
      <c r="CN920" s="717"/>
      <c r="CO920" s="717"/>
      <c r="CP920" s="717"/>
      <c r="CQ920" s="717"/>
      <c r="CR920" s="717"/>
      <c r="CS920" s="717"/>
      <c r="CT920" s="717"/>
      <c r="CU920" s="717"/>
      <c r="CV920" s="717"/>
      <c r="CW920" s="717"/>
      <c r="CX920" s="717"/>
      <c r="CY920" s="717"/>
      <c r="CZ920" s="717"/>
      <c r="DA920" s="717"/>
      <c r="DB920" s="717"/>
      <c r="DC920" s="717"/>
      <c r="DD920" s="717"/>
      <c r="DE920" s="717"/>
      <c r="DF920" s="717"/>
      <c r="DG920" s="717"/>
      <c r="DH920" s="717"/>
      <c r="DI920" s="717"/>
      <c r="DJ920" s="717"/>
      <c r="DM920" s="711"/>
      <c r="DN920" s="711"/>
      <c r="DO920" s="711"/>
      <c r="DP920" s="711"/>
      <c r="DQ920" s="711"/>
      <c r="EB920" s="719"/>
    </row>
    <row r="921" spans="5:132" s="709" customFormat="1" ht="18" hidden="1">
      <c r="E921" s="721"/>
      <c r="H921" s="723">
        <v>425</v>
      </c>
      <c r="I921" s="726"/>
      <c r="J921" s="724"/>
      <c r="K921" s="724"/>
      <c r="L921" s="724"/>
      <c r="M921" s="728"/>
      <c r="N921" s="724"/>
      <c r="O921" s="724"/>
      <c r="P921" s="724"/>
      <c r="Q921" s="724"/>
      <c r="R921" s="724"/>
      <c r="S921" s="724"/>
      <c r="T921" s="724"/>
      <c r="U921" s="724"/>
      <c r="V921" s="724"/>
      <c r="W921" s="724"/>
      <c r="X921" s="724"/>
      <c r="Y921" s="724"/>
      <c r="Z921" s="724"/>
      <c r="AA921" s="724"/>
      <c r="AB921" s="724"/>
      <c r="AC921" s="729"/>
      <c r="AD921" s="724"/>
      <c r="AE921" s="724"/>
      <c r="AF921" s="724"/>
      <c r="AG921" s="724"/>
      <c r="AH921" s="724"/>
      <c r="AI921" s="724"/>
      <c r="AJ921" s="724"/>
      <c r="AU921" s="713"/>
      <c r="AW921" s="712"/>
      <c r="BY921" s="714"/>
      <c r="BZ921" s="715"/>
      <c r="CA921" s="716"/>
      <c r="CB921" s="717"/>
      <c r="CC921" s="717"/>
      <c r="CD921" s="717"/>
      <c r="CE921" s="717"/>
      <c r="CF921" s="717"/>
      <c r="CG921" s="717"/>
      <c r="CH921" s="717"/>
      <c r="CI921" s="717"/>
      <c r="CJ921" s="717"/>
      <c r="CK921" s="717"/>
      <c r="CL921" s="717"/>
      <c r="CM921" s="717"/>
      <c r="CN921" s="717"/>
      <c r="CO921" s="717"/>
      <c r="CP921" s="717"/>
      <c r="CQ921" s="717"/>
      <c r="CR921" s="717"/>
      <c r="CS921" s="717"/>
      <c r="CT921" s="717"/>
      <c r="CU921" s="717"/>
      <c r="CV921" s="717"/>
      <c r="CW921" s="717"/>
      <c r="CX921" s="717"/>
      <c r="CY921" s="717"/>
      <c r="CZ921" s="717"/>
      <c r="DA921" s="717"/>
      <c r="DB921" s="717"/>
      <c r="DC921" s="717"/>
      <c r="DD921" s="717"/>
      <c r="DE921" s="717"/>
      <c r="DF921" s="717"/>
      <c r="DG921" s="717"/>
      <c r="DH921" s="717"/>
      <c r="DI921" s="717"/>
      <c r="DJ921" s="717"/>
      <c r="DM921" s="711"/>
      <c r="DN921" s="711"/>
      <c r="DO921" s="711"/>
      <c r="DP921" s="711"/>
      <c r="DQ921" s="711"/>
      <c r="EB921" s="719"/>
    </row>
    <row r="922" spans="5:132" s="709" customFormat="1" ht="18" hidden="1">
      <c r="E922" s="721"/>
      <c r="H922" s="723">
        <v>426</v>
      </c>
      <c r="I922" s="726"/>
      <c r="J922" s="724"/>
      <c r="K922" s="724"/>
      <c r="L922" s="724"/>
      <c r="M922" s="728"/>
      <c r="N922" s="724"/>
      <c r="O922" s="724"/>
      <c r="P922" s="724"/>
      <c r="Q922" s="724"/>
      <c r="R922" s="724"/>
      <c r="S922" s="724"/>
      <c r="T922" s="724"/>
      <c r="U922" s="724"/>
      <c r="V922" s="724"/>
      <c r="W922" s="724"/>
      <c r="X922" s="724"/>
      <c r="Y922" s="724"/>
      <c r="Z922" s="724"/>
      <c r="AA922" s="724"/>
      <c r="AB922" s="724"/>
      <c r="AC922" s="729"/>
      <c r="AD922" s="724"/>
      <c r="AE922" s="724"/>
      <c r="AF922" s="724"/>
      <c r="AG922" s="724"/>
      <c r="AH922" s="724"/>
      <c r="AI922" s="724"/>
      <c r="AJ922" s="724"/>
      <c r="AU922" s="713"/>
      <c r="AW922" s="712"/>
      <c r="BY922" s="714"/>
      <c r="BZ922" s="715"/>
      <c r="CA922" s="716"/>
      <c r="CB922" s="717"/>
      <c r="CC922" s="717"/>
      <c r="CD922" s="717"/>
      <c r="CE922" s="717"/>
      <c r="CF922" s="717"/>
      <c r="CG922" s="717"/>
      <c r="CH922" s="717"/>
      <c r="CI922" s="717"/>
      <c r="CJ922" s="717"/>
      <c r="CK922" s="717"/>
      <c r="CL922" s="717"/>
      <c r="CM922" s="717"/>
      <c r="CN922" s="717"/>
      <c r="CO922" s="717"/>
      <c r="CP922" s="717"/>
      <c r="CQ922" s="717"/>
      <c r="CR922" s="717"/>
      <c r="CS922" s="717"/>
      <c r="CT922" s="717"/>
      <c r="CU922" s="717"/>
      <c r="CV922" s="717"/>
      <c r="CW922" s="717"/>
      <c r="CX922" s="717"/>
      <c r="CY922" s="717"/>
      <c r="CZ922" s="717"/>
      <c r="DA922" s="717"/>
      <c r="DB922" s="717"/>
      <c r="DC922" s="717"/>
      <c r="DD922" s="717"/>
      <c r="DE922" s="717"/>
      <c r="DF922" s="717"/>
      <c r="DG922" s="717"/>
      <c r="DH922" s="717"/>
      <c r="DI922" s="717"/>
      <c r="DJ922" s="717"/>
      <c r="DM922" s="711"/>
      <c r="DN922" s="711"/>
      <c r="DO922" s="711"/>
      <c r="DP922" s="711"/>
      <c r="DQ922" s="711"/>
      <c r="EB922" s="719"/>
    </row>
    <row r="923" spans="5:132" s="709" customFormat="1" ht="18" hidden="1">
      <c r="E923" s="721"/>
      <c r="H923" s="723">
        <v>427</v>
      </c>
      <c r="I923" s="726"/>
      <c r="J923" s="724"/>
      <c r="K923" s="724"/>
      <c r="L923" s="724"/>
      <c r="M923" s="728"/>
      <c r="N923" s="724"/>
      <c r="O923" s="724"/>
      <c r="P923" s="724"/>
      <c r="Q923" s="724"/>
      <c r="R923" s="724"/>
      <c r="S923" s="724"/>
      <c r="T923" s="724"/>
      <c r="U923" s="724"/>
      <c r="V923" s="724"/>
      <c r="W923" s="724"/>
      <c r="X923" s="724"/>
      <c r="Y923" s="724"/>
      <c r="Z923" s="724"/>
      <c r="AA923" s="724"/>
      <c r="AB923" s="724"/>
      <c r="AC923" s="729"/>
      <c r="AD923" s="724"/>
      <c r="AE923" s="724"/>
      <c r="AF923" s="724"/>
      <c r="AG923" s="724"/>
      <c r="AH923" s="724"/>
      <c r="AI923" s="724"/>
      <c r="AJ923" s="724"/>
      <c r="AU923" s="713"/>
      <c r="AW923" s="712"/>
      <c r="BY923" s="714"/>
      <c r="BZ923" s="715"/>
      <c r="CA923" s="716"/>
      <c r="CB923" s="717"/>
      <c r="CC923" s="717"/>
      <c r="CD923" s="717"/>
      <c r="CE923" s="717"/>
      <c r="CF923" s="717"/>
      <c r="CG923" s="717"/>
      <c r="CH923" s="717"/>
      <c r="CI923" s="717"/>
      <c r="CJ923" s="717"/>
      <c r="CK923" s="717"/>
      <c r="CL923" s="717"/>
      <c r="CM923" s="717"/>
      <c r="CN923" s="717"/>
      <c r="CO923" s="717"/>
      <c r="CP923" s="717"/>
      <c r="CQ923" s="717"/>
      <c r="CR923" s="717"/>
      <c r="CS923" s="717"/>
      <c r="CT923" s="717"/>
      <c r="CU923" s="717"/>
      <c r="CV923" s="717"/>
      <c r="CW923" s="717"/>
      <c r="CX923" s="717"/>
      <c r="CY923" s="717"/>
      <c r="CZ923" s="717"/>
      <c r="DA923" s="717"/>
      <c r="DB923" s="717"/>
      <c r="DC923" s="717"/>
      <c r="DD923" s="717"/>
      <c r="DE923" s="717"/>
      <c r="DF923" s="717"/>
      <c r="DG923" s="717"/>
      <c r="DH923" s="717"/>
      <c r="DI923" s="717"/>
      <c r="DJ923" s="717"/>
      <c r="DM923" s="711"/>
      <c r="DN923" s="711"/>
      <c r="DO923" s="711"/>
      <c r="DP923" s="711"/>
      <c r="DQ923" s="711"/>
      <c r="EB923" s="719"/>
    </row>
    <row r="924" spans="5:132" s="709" customFormat="1" ht="18" hidden="1">
      <c r="E924" s="721"/>
      <c r="H924" s="723">
        <v>428</v>
      </c>
      <c r="I924" s="726"/>
      <c r="J924" s="724"/>
      <c r="K924" s="724"/>
      <c r="L924" s="724"/>
      <c r="M924" s="728"/>
      <c r="N924" s="724"/>
      <c r="O924" s="724"/>
      <c r="P924" s="724"/>
      <c r="Q924" s="724"/>
      <c r="R924" s="724"/>
      <c r="S924" s="724"/>
      <c r="T924" s="724"/>
      <c r="U924" s="724"/>
      <c r="V924" s="724"/>
      <c r="W924" s="724"/>
      <c r="X924" s="724"/>
      <c r="Y924" s="724"/>
      <c r="Z924" s="724"/>
      <c r="AA924" s="724"/>
      <c r="AB924" s="724"/>
      <c r="AC924" s="729"/>
      <c r="AD924" s="724"/>
      <c r="AE924" s="724"/>
      <c r="AF924" s="724"/>
      <c r="AG924" s="724"/>
      <c r="AH924" s="724"/>
      <c r="AI924" s="724"/>
      <c r="AJ924" s="724"/>
      <c r="AU924" s="713"/>
      <c r="AW924" s="712"/>
      <c r="BY924" s="714"/>
      <c r="BZ924" s="715"/>
      <c r="CA924" s="716"/>
      <c r="CB924" s="717"/>
      <c r="CC924" s="717"/>
      <c r="CD924" s="717"/>
      <c r="CE924" s="717"/>
      <c r="CF924" s="717"/>
      <c r="CG924" s="717"/>
      <c r="CH924" s="717"/>
      <c r="CI924" s="717"/>
      <c r="CJ924" s="717"/>
      <c r="CK924" s="717"/>
      <c r="CL924" s="717"/>
      <c r="CM924" s="717"/>
      <c r="CN924" s="717"/>
      <c r="CO924" s="717"/>
      <c r="CP924" s="717"/>
      <c r="CQ924" s="717"/>
      <c r="CR924" s="717"/>
      <c r="CS924" s="717"/>
      <c r="CT924" s="717"/>
      <c r="CU924" s="717"/>
      <c r="CV924" s="717"/>
      <c r="CW924" s="717"/>
      <c r="CX924" s="717"/>
      <c r="CY924" s="717"/>
      <c r="CZ924" s="717"/>
      <c r="DA924" s="717"/>
      <c r="DB924" s="717"/>
      <c r="DC924" s="717"/>
      <c r="DD924" s="717"/>
      <c r="DE924" s="717"/>
      <c r="DF924" s="717"/>
      <c r="DG924" s="717"/>
      <c r="DH924" s="717"/>
      <c r="DI924" s="717"/>
      <c r="DJ924" s="717"/>
      <c r="DM924" s="711"/>
      <c r="DN924" s="711"/>
      <c r="DO924" s="711"/>
      <c r="DP924" s="711"/>
      <c r="DQ924" s="711"/>
      <c r="EB924" s="719"/>
    </row>
    <row r="925" spans="5:132" s="709" customFormat="1" ht="18" hidden="1">
      <c r="E925" s="721"/>
      <c r="H925" s="723">
        <v>429</v>
      </c>
      <c r="I925" s="726"/>
      <c r="J925" s="724"/>
      <c r="K925" s="724"/>
      <c r="L925" s="724"/>
      <c r="M925" s="728"/>
      <c r="N925" s="724"/>
      <c r="O925" s="724"/>
      <c r="P925" s="724"/>
      <c r="Q925" s="724"/>
      <c r="R925" s="724"/>
      <c r="S925" s="724"/>
      <c r="T925" s="724"/>
      <c r="U925" s="724"/>
      <c r="V925" s="724"/>
      <c r="W925" s="724"/>
      <c r="X925" s="724"/>
      <c r="Y925" s="724"/>
      <c r="Z925" s="724"/>
      <c r="AA925" s="724"/>
      <c r="AB925" s="724"/>
      <c r="AC925" s="729"/>
      <c r="AD925" s="724"/>
      <c r="AE925" s="724"/>
      <c r="AF925" s="724"/>
      <c r="AG925" s="724"/>
      <c r="AH925" s="724"/>
      <c r="AI925" s="724"/>
      <c r="AJ925" s="724"/>
      <c r="AU925" s="713"/>
      <c r="AW925" s="712"/>
      <c r="BY925" s="714"/>
      <c r="BZ925" s="715"/>
      <c r="CA925" s="716"/>
      <c r="CB925" s="717"/>
      <c r="CC925" s="717"/>
      <c r="CD925" s="717"/>
      <c r="CE925" s="717"/>
      <c r="CF925" s="717"/>
      <c r="CG925" s="717"/>
      <c r="CH925" s="717"/>
      <c r="CI925" s="717"/>
      <c r="CJ925" s="717"/>
      <c r="CK925" s="717"/>
      <c r="CL925" s="717"/>
      <c r="CM925" s="717"/>
      <c r="CN925" s="717"/>
      <c r="CO925" s="717"/>
      <c r="CP925" s="717"/>
      <c r="CQ925" s="717"/>
      <c r="CR925" s="717"/>
      <c r="CS925" s="717"/>
      <c r="CT925" s="717"/>
      <c r="CU925" s="717"/>
      <c r="CV925" s="717"/>
      <c r="CW925" s="717"/>
      <c r="CX925" s="717"/>
      <c r="CY925" s="717"/>
      <c r="CZ925" s="717"/>
      <c r="DA925" s="717"/>
      <c r="DB925" s="717"/>
      <c r="DC925" s="717"/>
      <c r="DD925" s="717"/>
      <c r="DE925" s="717"/>
      <c r="DF925" s="717"/>
      <c r="DG925" s="717"/>
      <c r="DH925" s="717"/>
      <c r="DI925" s="717"/>
      <c r="DJ925" s="717"/>
      <c r="DM925" s="711"/>
      <c r="DN925" s="711"/>
      <c r="DO925" s="711"/>
      <c r="DP925" s="711"/>
      <c r="DQ925" s="711"/>
      <c r="EB925" s="719"/>
    </row>
    <row r="926" spans="5:132" s="709" customFormat="1" ht="18" hidden="1">
      <c r="E926" s="721"/>
      <c r="H926" s="723">
        <v>430</v>
      </c>
      <c r="I926" s="726"/>
      <c r="J926" s="724"/>
      <c r="K926" s="724"/>
      <c r="L926" s="724"/>
      <c r="M926" s="728"/>
      <c r="N926" s="724"/>
      <c r="O926" s="724"/>
      <c r="P926" s="724"/>
      <c r="Q926" s="724"/>
      <c r="R926" s="724"/>
      <c r="S926" s="724"/>
      <c r="T926" s="724"/>
      <c r="U926" s="724"/>
      <c r="V926" s="724"/>
      <c r="W926" s="724"/>
      <c r="X926" s="724"/>
      <c r="Y926" s="724"/>
      <c r="Z926" s="724"/>
      <c r="AA926" s="724"/>
      <c r="AB926" s="724"/>
      <c r="AC926" s="729"/>
      <c r="AD926" s="724"/>
      <c r="AE926" s="724"/>
      <c r="AF926" s="724"/>
      <c r="AG926" s="724"/>
      <c r="AH926" s="724"/>
      <c r="AI926" s="724"/>
      <c r="AJ926" s="724"/>
      <c r="AU926" s="713"/>
      <c r="AW926" s="712"/>
      <c r="BY926" s="714"/>
      <c r="BZ926" s="715"/>
      <c r="CA926" s="716"/>
      <c r="CB926" s="717"/>
      <c r="CC926" s="717"/>
      <c r="CD926" s="717"/>
      <c r="CE926" s="717"/>
      <c r="CF926" s="717"/>
      <c r="CG926" s="717"/>
      <c r="CH926" s="717"/>
      <c r="CI926" s="717"/>
      <c r="CJ926" s="717"/>
      <c r="CK926" s="717"/>
      <c r="CL926" s="717"/>
      <c r="CM926" s="717"/>
      <c r="CN926" s="717"/>
      <c r="CO926" s="717"/>
      <c r="CP926" s="717"/>
      <c r="CQ926" s="717"/>
      <c r="CR926" s="717"/>
      <c r="CS926" s="717"/>
      <c r="CT926" s="717"/>
      <c r="CU926" s="717"/>
      <c r="CV926" s="717"/>
      <c r="CW926" s="717"/>
      <c r="CX926" s="717"/>
      <c r="CY926" s="717"/>
      <c r="CZ926" s="717"/>
      <c r="DA926" s="717"/>
      <c r="DB926" s="717"/>
      <c r="DC926" s="717"/>
      <c r="DD926" s="717"/>
      <c r="DE926" s="717"/>
      <c r="DF926" s="717"/>
      <c r="DG926" s="717"/>
      <c r="DH926" s="717"/>
      <c r="DI926" s="717"/>
      <c r="DJ926" s="717"/>
      <c r="DM926" s="711"/>
      <c r="DN926" s="711"/>
      <c r="DO926" s="711"/>
      <c r="DP926" s="711"/>
      <c r="DQ926" s="711"/>
      <c r="EB926" s="719"/>
    </row>
    <row r="927" spans="5:132" s="709" customFormat="1" ht="18" hidden="1">
      <c r="E927" s="721"/>
      <c r="H927" s="723">
        <v>431</v>
      </c>
      <c r="I927" s="726"/>
      <c r="J927" s="724"/>
      <c r="K927" s="724"/>
      <c r="L927" s="724"/>
      <c r="M927" s="728"/>
      <c r="N927" s="724"/>
      <c r="O927" s="724"/>
      <c r="P927" s="724"/>
      <c r="Q927" s="724"/>
      <c r="R927" s="724"/>
      <c r="S927" s="724"/>
      <c r="T927" s="724"/>
      <c r="U927" s="724"/>
      <c r="V927" s="724"/>
      <c r="W927" s="724"/>
      <c r="X927" s="724"/>
      <c r="Y927" s="724"/>
      <c r="Z927" s="724"/>
      <c r="AA927" s="724"/>
      <c r="AB927" s="724"/>
      <c r="AC927" s="729"/>
      <c r="AD927" s="724"/>
      <c r="AE927" s="724"/>
      <c r="AF927" s="724"/>
      <c r="AG927" s="724"/>
      <c r="AH927" s="724"/>
      <c r="AI927" s="724"/>
      <c r="AJ927" s="724"/>
      <c r="AU927" s="713"/>
      <c r="AW927" s="712"/>
      <c r="BY927" s="714"/>
      <c r="BZ927" s="715"/>
      <c r="CA927" s="716"/>
      <c r="CB927" s="717"/>
      <c r="CC927" s="717"/>
      <c r="CD927" s="717"/>
      <c r="CE927" s="717"/>
      <c r="CF927" s="717"/>
      <c r="CG927" s="717"/>
      <c r="CH927" s="717"/>
      <c r="CI927" s="717"/>
      <c r="CJ927" s="717"/>
      <c r="CK927" s="717"/>
      <c r="CL927" s="717"/>
      <c r="CM927" s="717"/>
      <c r="CN927" s="717"/>
      <c r="CO927" s="717"/>
      <c r="CP927" s="717"/>
      <c r="CQ927" s="717"/>
      <c r="CR927" s="717"/>
      <c r="CS927" s="717"/>
      <c r="CT927" s="717"/>
      <c r="CU927" s="717"/>
      <c r="CV927" s="717"/>
      <c r="CW927" s="717"/>
      <c r="CX927" s="717"/>
      <c r="CY927" s="717"/>
      <c r="CZ927" s="717"/>
      <c r="DA927" s="717"/>
      <c r="DB927" s="717"/>
      <c r="DC927" s="717"/>
      <c r="DD927" s="717"/>
      <c r="DE927" s="717"/>
      <c r="DF927" s="717"/>
      <c r="DG927" s="717"/>
      <c r="DH927" s="717"/>
      <c r="DI927" s="717"/>
      <c r="DJ927" s="717"/>
      <c r="DM927" s="711"/>
      <c r="DN927" s="711"/>
      <c r="DO927" s="711"/>
      <c r="DP927" s="711"/>
      <c r="DQ927" s="711"/>
      <c r="EB927" s="719"/>
    </row>
    <row r="928" spans="5:132" s="709" customFormat="1" ht="18" hidden="1">
      <c r="E928" s="721"/>
      <c r="H928" s="723">
        <v>432</v>
      </c>
      <c r="I928" s="726"/>
      <c r="J928" s="724"/>
      <c r="K928" s="724"/>
      <c r="L928" s="724"/>
      <c r="M928" s="728"/>
      <c r="N928" s="724"/>
      <c r="O928" s="724"/>
      <c r="P928" s="724"/>
      <c r="Q928" s="724"/>
      <c r="R928" s="724"/>
      <c r="S928" s="724"/>
      <c r="T928" s="724"/>
      <c r="U928" s="724"/>
      <c r="V928" s="724"/>
      <c r="W928" s="724"/>
      <c r="X928" s="724"/>
      <c r="Y928" s="724"/>
      <c r="Z928" s="724"/>
      <c r="AA928" s="724"/>
      <c r="AB928" s="724"/>
      <c r="AC928" s="729"/>
      <c r="AD928" s="724"/>
      <c r="AE928" s="724"/>
      <c r="AF928" s="724"/>
      <c r="AG928" s="724"/>
      <c r="AH928" s="724"/>
      <c r="AI928" s="724"/>
      <c r="AJ928" s="724"/>
      <c r="AU928" s="713"/>
      <c r="AW928" s="712"/>
      <c r="BY928" s="714"/>
      <c r="BZ928" s="715"/>
      <c r="CA928" s="716"/>
      <c r="CB928" s="717"/>
      <c r="CC928" s="717"/>
      <c r="CD928" s="717"/>
      <c r="CE928" s="717"/>
      <c r="CF928" s="717"/>
      <c r="CG928" s="717"/>
      <c r="CH928" s="717"/>
      <c r="CI928" s="717"/>
      <c r="CJ928" s="717"/>
      <c r="CK928" s="717"/>
      <c r="CL928" s="717"/>
      <c r="CM928" s="717"/>
      <c r="CN928" s="717"/>
      <c r="CO928" s="717"/>
      <c r="CP928" s="717"/>
      <c r="CQ928" s="717"/>
      <c r="CR928" s="717"/>
      <c r="CS928" s="717"/>
      <c r="CT928" s="717"/>
      <c r="CU928" s="717"/>
      <c r="CV928" s="717"/>
      <c r="CW928" s="717"/>
      <c r="CX928" s="717"/>
      <c r="CY928" s="717"/>
      <c r="CZ928" s="717"/>
      <c r="DA928" s="717"/>
      <c r="DB928" s="717"/>
      <c r="DC928" s="717"/>
      <c r="DD928" s="717"/>
      <c r="DE928" s="717"/>
      <c r="DF928" s="717"/>
      <c r="DG928" s="717"/>
      <c r="DH928" s="717"/>
      <c r="DI928" s="717"/>
      <c r="DJ928" s="717"/>
      <c r="DM928" s="711"/>
      <c r="DN928" s="711"/>
      <c r="DO928" s="711"/>
      <c r="DP928" s="711"/>
      <c r="DQ928" s="711"/>
      <c r="EB928" s="719"/>
    </row>
    <row r="929" spans="5:132" s="709" customFormat="1" ht="18" hidden="1">
      <c r="E929" s="721"/>
      <c r="H929" s="723">
        <v>433</v>
      </c>
      <c r="I929" s="726"/>
      <c r="J929" s="724"/>
      <c r="K929" s="724"/>
      <c r="L929" s="724"/>
      <c r="M929" s="728"/>
      <c r="N929" s="724"/>
      <c r="O929" s="724"/>
      <c r="P929" s="724"/>
      <c r="Q929" s="724"/>
      <c r="R929" s="724"/>
      <c r="S929" s="724"/>
      <c r="T929" s="724"/>
      <c r="U929" s="724"/>
      <c r="V929" s="724"/>
      <c r="W929" s="724"/>
      <c r="X929" s="724"/>
      <c r="Y929" s="724"/>
      <c r="Z929" s="724"/>
      <c r="AA929" s="724"/>
      <c r="AB929" s="724"/>
      <c r="AC929" s="729"/>
      <c r="AD929" s="724"/>
      <c r="AE929" s="724"/>
      <c r="AF929" s="724"/>
      <c r="AG929" s="724"/>
      <c r="AH929" s="724"/>
      <c r="AI929" s="724"/>
      <c r="AJ929" s="724"/>
      <c r="AU929" s="713"/>
      <c r="AW929" s="712"/>
      <c r="BY929" s="714"/>
      <c r="BZ929" s="715"/>
      <c r="CA929" s="716"/>
      <c r="CB929" s="717"/>
      <c r="CC929" s="717"/>
      <c r="CD929" s="717"/>
      <c r="CE929" s="717"/>
      <c r="CF929" s="717"/>
      <c r="CG929" s="717"/>
      <c r="CH929" s="717"/>
      <c r="CI929" s="717"/>
      <c r="CJ929" s="717"/>
      <c r="CK929" s="717"/>
      <c r="CL929" s="717"/>
      <c r="CM929" s="717"/>
      <c r="CN929" s="717"/>
      <c r="CO929" s="717"/>
      <c r="CP929" s="717"/>
      <c r="CQ929" s="717"/>
      <c r="CR929" s="717"/>
      <c r="CS929" s="717"/>
      <c r="CT929" s="717"/>
      <c r="CU929" s="717"/>
      <c r="CV929" s="717"/>
      <c r="CW929" s="717"/>
      <c r="CX929" s="717"/>
      <c r="CY929" s="717"/>
      <c r="CZ929" s="717"/>
      <c r="DA929" s="717"/>
      <c r="DB929" s="717"/>
      <c r="DC929" s="717"/>
      <c r="DD929" s="717"/>
      <c r="DE929" s="717"/>
      <c r="DF929" s="717"/>
      <c r="DG929" s="717"/>
      <c r="DH929" s="717"/>
      <c r="DI929" s="717"/>
      <c r="DJ929" s="717"/>
      <c r="DM929" s="711"/>
      <c r="DN929" s="711"/>
      <c r="DO929" s="711"/>
      <c r="DP929" s="711"/>
      <c r="DQ929" s="711"/>
      <c r="EB929" s="719"/>
    </row>
    <row r="930" spans="5:132" s="709" customFormat="1" ht="18" hidden="1">
      <c r="E930" s="721"/>
      <c r="H930" s="723">
        <v>435</v>
      </c>
      <c r="I930" s="726"/>
      <c r="J930" s="724"/>
      <c r="K930" s="724"/>
      <c r="L930" s="724"/>
      <c r="M930" s="728"/>
      <c r="N930" s="724"/>
      <c r="O930" s="724"/>
      <c r="P930" s="724"/>
      <c r="Q930" s="724"/>
      <c r="R930" s="724"/>
      <c r="S930" s="724"/>
      <c r="T930" s="724"/>
      <c r="U930" s="724"/>
      <c r="V930" s="724"/>
      <c r="W930" s="724"/>
      <c r="X930" s="724"/>
      <c r="Y930" s="724"/>
      <c r="Z930" s="724"/>
      <c r="AA930" s="724"/>
      <c r="AB930" s="724"/>
      <c r="AC930" s="729"/>
      <c r="AD930" s="724"/>
      <c r="AE930" s="724"/>
      <c r="AF930" s="724"/>
      <c r="AG930" s="724"/>
      <c r="AH930" s="724"/>
      <c r="AI930" s="724"/>
      <c r="AJ930" s="724"/>
      <c r="AU930" s="713"/>
      <c r="AW930" s="712"/>
      <c r="BY930" s="714"/>
      <c r="BZ930" s="715"/>
      <c r="CA930" s="716"/>
      <c r="CB930" s="717"/>
      <c r="CC930" s="717"/>
      <c r="CD930" s="717"/>
      <c r="CE930" s="717"/>
      <c r="CF930" s="717"/>
      <c r="CG930" s="717"/>
      <c r="CH930" s="717"/>
      <c r="CI930" s="717"/>
      <c r="CJ930" s="717"/>
      <c r="CK930" s="717"/>
      <c r="CL930" s="717"/>
      <c r="CM930" s="717"/>
      <c r="CN930" s="717"/>
      <c r="CO930" s="717"/>
      <c r="CP930" s="717"/>
      <c r="CQ930" s="717"/>
      <c r="CR930" s="717"/>
      <c r="CS930" s="717"/>
      <c r="CT930" s="717"/>
      <c r="CU930" s="717"/>
      <c r="CV930" s="717"/>
      <c r="CW930" s="717"/>
      <c r="CX930" s="717"/>
      <c r="CY930" s="717"/>
      <c r="CZ930" s="717"/>
      <c r="DA930" s="717"/>
      <c r="DB930" s="717"/>
      <c r="DC930" s="717"/>
      <c r="DD930" s="717"/>
      <c r="DE930" s="717"/>
      <c r="DF930" s="717"/>
      <c r="DG930" s="717"/>
      <c r="DH930" s="717"/>
      <c r="DI930" s="717"/>
      <c r="DJ930" s="717"/>
      <c r="DM930" s="711"/>
      <c r="DN930" s="711"/>
      <c r="DO930" s="711"/>
      <c r="DP930" s="711"/>
      <c r="DQ930" s="711"/>
      <c r="EB930" s="719"/>
    </row>
    <row r="931" spans="5:132" s="709" customFormat="1" ht="18" hidden="1">
      <c r="E931" s="721"/>
      <c r="H931" s="723">
        <v>436</v>
      </c>
      <c r="I931" s="726"/>
      <c r="J931" s="724"/>
      <c r="K931" s="724"/>
      <c r="L931" s="724"/>
      <c r="M931" s="728"/>
      <c r="N931" s="724"/>
      <c r="O931" s="724"/>
      <c r="P931" s="724"/>
      <c r="Q931" s="724"/>
      <c r="R931" s="724"/>
      <c r="S931" s="724"/>
      <c r="T931" s="724"/>
      <c r="U931" s="724"/>
      <c r="V931" s="724"/>
      <c r="W931" s="724"/>
      <c r="X931" s="724"/>
      <c r="Y931" s="724"/>
      <c r="Z931" s="724"/>
      <c r="AA931" s="724"/>
      <c r="AB931" s="724"/>
      <c r="AC931" s="729"/>
      <c r="AD931" s="724"/>
      <c r="AE931" s="724"/>
      <c r="AF931" s="724"/>
      <c r="AG931" s="724"/>
      <c r="AH931" s="724"/>
      <c r="AI931" s="724"/>
      <c r="AJ931" s="724"/>
      <c r="AU931" s="713"/>
      <c r="AW931" s="712"/>
      <c r="BY931" s="714"/>
      <c r="BZ931" s="715"/>
      <c r="CA931" s="716"/>
      <c r="CB931" s="717"/>
      <c r="CC931" s="717"/>
      <c r="CD931" s="717"/>
      <c r="CE931" s="717"/>
      <c r="CF931" s="717"/>
      <c r="CG931" s="717"/>
      <c r="CH931" s="717"/>
      <c r="CI931" s="717"/>
      <c r="CJ931" s="717"/>
      <c r="CK931" s="717"/>
      <c r="CL931" s="717"/>
      <c r="CM931" s="717"/>
      <c r="CN931" s="717"/>
      <c r="CO931" s="717"/>
      <c r="CP931" s="717"/>
      <c r="CQ931" s="717"/>
      <c r="CR931" s="717"/>
      <c r="CS931" s="717"/>
      <c r="CT931" s="717"/>
      <c r="CU931" s="717"/>
      <c r="CV931" s="717"/>
      <c r="CW931" s="717"/>
      <c r="CX931" s="717"/>
      <c r="CY931" s="717"/>
      <c r="CZ931" s="717"/>
      <c r="DA931" s="717"/>
      <c r="DB931" s="717"/>
      <c r="DC931" s="717"/>
      <c r="DD931" s="717"/>
      <c r="DE931" s="717"/>
      <c r="DF931" s="717"/>
      <c r="DG931" s="717"/>
      <c r="DH931" s="717"/>
      <c r="DI931" s="717"/>
      <c r="DJ931" s="717"/>
      <c r="DM931" s="711"/>
      <c r="DN931" s="711"/>
      <c r="DO931" s="711"/>
      <c r="DP931" s="711"/>
      <c r="DQ931" s="711"/>
      <c r="EB931" s="719"/>
    </row>
    <row r="932" spans="5:132" s="709" customFormat="1" ht="18" hidden="1">
      <c r="E932" s="721"/>
      <c r="H932" s="723">
        <v>437</v>
      </c>
      <c r="I932" s="726"/>
      <c r="J932" s="724"/>
      <c r="K932" s="724"/>
      <c r="L932" s="724"/>
      <c r="M932" s="728"/>
      <c r="N932" s="724"/>
      <c r="O932" s="724"/>
      <c r="P932" s="724"/>
      <c r="Q932" s="724"/>
      <c r="R932" s="724"/>
      <c r="S932" s="724"/>
      <c r="T932" s="724"/>
      <c r="U932" s="724"/>
      <c r="V932" s="724"/>
      <c r="W932" s="724"/>
      <c r="X932" s="724"/>
      <c r="Y932" s="724"/>
      <c r="Z932" s="724"/>
      <c r="AA932" s="724"/>
      <c r="AB932" s="724"/>
      <c r="AC932" s="729"/>
      <c r="AD932" s="724"/>
      <c r="AE932" s="724"/>
      <c r="AF932" s="724"/>
      <c r="AG932" s="724"/>
      <c r="AH932" s="724"/>
      <c r="AI932" s="724"/>
      <c r="AJ932" s="724"/>
      <c r="AU932" s="713"/>
      <c r="AW932" s="712"/>
      <c r="BY932" s="714"/>
      <c r="BZ932" s="715"/>
      <c r="CA932" s="716"/>
      <c r="CB932" s="717"/>
      <c r="CC932" s="717"/>
      <c r="CD932" s="717"/>
      <c r="CE932" s="717"/>
      <c r="CF932" s="717"/>
      <c r="CG932" s="717"/>
      <c r="CH932" s="717"/>
      <c r="CI932" s="717"/>
      <c r="CJ932" s="717"/>
      <c r="CK932" s="717"/>
      <c r="CL932" s="717"/>
      <c r="CM932" s="717"/>
      <c r="CN932" s="717"/>
      <c r="CO932" s="717"/>
      <c r="CP932" s="717"/>
      <c r="CQ932" s="717"/>
      <c r="CR932" s="717"/>
      <c r="CS932" s="717"/>
      <c r="CT932" s="717"/>
      <c r="CU932" s="717"/>
      <c r="CV932" s="717"/>
      <c r="CW932" s="717"/>
      <c r="CX932" s="717"/>
      <c r="CY932" s="717"/>
      <c r="CZ932" s="717"/>
      <c r="DA932" s="717"/>
      <c r="DB932" s="717"/>
      <c r="DC932" s="717"/>
      <c r="DD932" s="717"/>
      <c r="DE932" s="717"/>
      <c r="DF932" s="717"/>
      <c r="DG932" s="717"/>
      <c r="DH932" s="717"/>
      <c r="DI932" s="717"/>
      <c r="DJ932" s="717"/>
      <c r="DM932" s="711"/>
      <c r="DN932" s="711"/>
      <c r="DO932" s="711"/>
      <c r="DP932" s="711"/>
      <c r="DQ932" s="711"/>
      <c r="EB932" s="719"/>
    </row>
    <row r="933" spans="5:132" s="709" customFormat="1" ht="18" hidden="1">
      <c r="E933" s="721"/>
      <c r="H933" s="723">
        <v>438</v>
      </c>
      <c r="I933" s="726"/>
      <c r="J933" s="724"/>
      <c r="K933" s="724"/>
      <c r="L933" s="724"/>
      <c r="M933" s="728"/>
      <c r="N933" s="724"/>
      <c r="O933" s="724"/>
      <c r="P933" s="724"/>
      <c r="Q933" s="724"/>
      <c r="R933" s="724"/>
      <c r="S933" s="724"/>
      <c r="T933" s="724"/>
      <c r="U933" s="724"/>
      <c r="V933" s="724"/>
      <c r="W933" s="724"/>
      <c r="X933" s="724"/>
      <c r="Y933" s="724"/>
      <c r="Z933" s="724"/>
      <c r="AA933" s="724"/>
      <c r="AB933" s="724"/>
      <c r="AC933" s="729"/>
      <c r="AD933" s="724"/>
      <c r="AE933" s="724"/>
      <c r="AF933" s="724"/>
      <c r="AG933" s="724"/>
      <c r="AH933" s="724"/>
      <c r="AI933" s="724"/>
      <c r="AJ933" s="724"/>
      <c r="AU933" s="713"/>
      <c r="AW933" s="712"/>
      <c r="BY933" s="714"/>
      <c r="BZ933" s="715"/>
      <c r="CA933" s="716"/>
      <c r="CB933" s="717"/>
      <c r="CC933" s="717"/>
      <c r="CD933" s="717"/>
      <c r="CE933" s="717"/>
      <c r="CF933" s="717"/>
      <c r="CG933" s="717"/>
      <c r="CH933" s="717"/>
      <c r="CI933" s="717"/>
      <c r="CJ933" s="717"/>
      <c r="CK933" s="717"/>
      <c r="CL933" s="717"/>
      <c r="CM933" s="717"/>
      <c r="CN933" s="717"/>
      <c r="CO933" s="717"/>
      <c r="CP933" s="717"/>
      <c r="CQ933" s="717"/>
      <c r="CR933" s="717"/>
      <c r="CS933" s="717"/>
      <c r="CT933" s="717"/>
      <c r="CU933" s="717"/>
      <c r="CV933" s="717"/>
      <c r="CW933" s="717"/>
      <c r="CX933" s="717"/>
      <c r="CY933" s="717"/>
      <c r="CZ933" s="717"/>
      <c r="DA933" s="717"/>
      <c r="DB933" s="717"/>
      <c r="DC933" s="717"/>
      <c r="DD933" s="717"/>
      <c r="DE933" s="717"/>
      <c r="DF933" s="717"/>
      <c r="DG933" s="717"/>
      <c r="DH933" s="717"/>
      <c r="DI933" s="717"/>
      <c r="DJ933" s="717"/>
      <c r="DM933" s="711"/>
      <c r="DN933" s="711"/>
      <c r="DO933" s="711"/>
      <c r="DP933" s="711"/>
      <c r="DQ933" s="711"/>
      <c r="EB933" s="719"/>
    </row>
    <row r="934" spans="5:132" s="709" customFormat="1" ht="18" hidden="1">
      <c r="E934" s="721"/>
      <c r="H934" s="723">
        <v>439</v>
      </c>
      <c r="I934" s="726"/>
      <c r="J934" s="724"/>
      <c r="K934" s="724"/>
      <c r="L934" s="724"/>
      <c r="M934" s="728"/>
      <c r="N934" s="724"/>
      <c r="O934" s="724"/>
      <c r="P934" s="724"/>
      <c r="Q934" s="724"/>
      <c r="R934" s="724"/>
      <c r="S934" s="724"/>
      <c r="T934" s="724"/>
      <c r="U934" s="724"/>
      <c r="V934" s="724"/>
      <c r="W934" s="724"/>
      <c r="X934" s="724"/>
      <c r="Y934" s="724"/>
      <c r="Z934" s="724"/>
      <c r="AA934" s="724"/>
      <c r="AB934" s="724"/>
      <c r="AC934" s="729"/>
      <c r="AD934" s="724"/>
      <c r="AE934" s="724"/>
      <c r="AF934" s="724"/>
      <c r="AG934" s="724"/>
      <c r="AH934" s="724"/>
      <c r="AI934" s="724"/>
      <c r="AJ934" s="724"/>
      <c r="AU934" s="713"/>
      <c r="AW934" s="712"/>
      <c r="BY934" s="714"/>
      <c r="BZ934" s="715"/>
      <c r="CA934" s="716"/>
      <c r="CB934" s="717"/>
      <c r="CC934" s="717"/>
      <c r="CD934" s="717"/>
      <c r="CE934" s="717"/>
      <c r="CF934" s="717"/>
      <c r="CG934" s="717"/>
      <c r="CH934" s="717"/>
      <c r="CI934" s="717"/>
      <c r="CJ934" s="717"/>
      <c r="CK934" s="717"/>
      <c r="CL934" s="717"/>
      <c r="CM934" s="717"/>
      <c r="CN934" s="717"/>
      <c r="CO934" s="717"/>
      <c r="CP934" s="717"/>
      <c r="CQ934" s="717"/>
      <c r="CR934" s="717"/>
      <c r="CS934" s="717"/>
      <c r="CT934" s="717"/>
      <c r="CU934" s="717"/>
      <c r="CV934" s="717"/>
      <c r="CW934" s="717"/>
      <c r="CX934" s="717"/>
      <c r="CY934" s="717"/>
      <c r="CZ934" s="717"/>
      <c r="DA934" s="717"/>
      <c r="DB934" s="717"/>
      <c r="DC934" s="717"/>
      <c r="DD934" s="717"/>
      <c r="DE934" s="717"/>
      <c r="DF934" s="717"/>
      <c r="DG934" s="717"/>
      <c r="DH934" s="717"/>
      <c r="DI934" s="717"/>
      <c r="DJ934" s="717"/>
      <c r="DM934" s="711"/>
      <c r="DN934" s="711"/>
      <c r="DO934" s="711"/>
      <c r="DP934" s="711"/>
      <c r="DQ934" s="711"/>
      <c r="EB934" s="719"/>
    </row>
    <row r="935" spans="5:132" s="709" customFormat="1" ht="18" hidden="1">
      <c r="E935" s="721"/>
      <c r="H935" s="723">
        <v>443</v>
      </c>
      <c r="I935" s="726"/>
      <c r="J935" s="724"/>
      <c r="K935" s="724"/>
      <c r="L935" s="724"/>
      <c r="M935" s="728"/>
      <c r="N935" s="724"/>
      <c r="O935" s="724"/>
      <c r="P935" s="724"/>
      <c r="Q935" s="724"/>
      <c r="R935" s="724"/>
      <c r="S935" s="724"/>
      <c r="T935" s="724"/>
      <c r="U935" s="724"/>
      <c r="V935" s="724"/>
      <c r="W935" s="724"/>
      <c r="X935" s="724"/>
      <c r="Y935" s="724"/>
      <c r="Z935" s="724"/>
      <c r="AA935" s="724"/>
      <c r="AB935" s="724"/>
      <c r="AC935" s="729"/>
      <c r="AD935" s="724"/>
      <c r="AE935" s="724"/>
      <c r="AF935" s="724"/>
      <c r="AG935" s="724"/>
      <c r="AH935" s="724"/>
      <c r="AI935" s="724"/>
      <c r="AJ935" s="724"/>
      <c r="AU935" s="713"/>
      <c r="AW935" s="712"/>
      <c r="BY935" s="714"/>
      <c r="BZ935" s="715"/>
      <c r="CA935" s="716"/>
      <c r="CB935" s="717"/>
      <c r="CC935" s="717"/>
      <c r="CD935" s="717"/>
      <c r="CE935" s="717"/>
      <c r="CF935" s="717"/>
      <c r="CG935" s="717"/>
      <c r="CH935" s="717"/>
      <c r="CI935" s="717"/>
      <c r="CJ935" s="717"/>
      <c r="CK935" s="717"/>
      <c r="CL935" s="717"/>
      <c r="CM935" s="717"/>
      <c r="CN935" s="717"/>
      <c r="CO935" s="717"/>
      <c r="CP935" s="717"/>
      <c r="CQ935" s="717"/>
      <c r="CR935" s="717"/>
      <c r="CS935" s="717"/>
      <c r="CT935" s="717"/>
      <c r="CU935" s="717"/>
      <c r="CV935" s="717"/>
      <c r="CW935" s="717"/>
      <c r="CX935" s="717"/>
      <c r="CY935" s="717"/>
      <c r="CZ935" s="717"/>
      <c r="DA935" s="717"/>
      <c r="DB935" s="717"/>
      <c r="DC935" s="717"/>
      <c r="DD935" s="717"/>
      <c r="DE935" s="717"/>
      <c r="DF935" s="717"/>
      <c r="DG935" s="717"/>
      <c r="DH935" s="717"/>
      <c r="DI935" s="717"/>
      <c r="DJ935" s="717"/>
      <c r="DM935" s="711"/>
      <c r="DN935" s="711"/>
      <c r="DO935" s="711"/>
      <c r="DP935" s="711"/>
      <c r="DQ935" s="711"/>
      <c r="EB935" s="719"/>
    </row>
    <row r="936" spans="5:132" s="709" customFormat="1" ht="18" hidden="1">
      <c r="E936" s="721"/>
      <c r="H936" s="723">
        <v>444</v>
      </c>
      <c r="I936" s="726"/>
      <c r="J936" s="724"/>
      <c r="K936" s="724"/>
      <c r="L936" s="724"/>
      <c r="M936" s="728"/>
      <c r="N936" s="724"/>
      <c r="O936" s="724"/>
      <c r="P936" s="724"/>
      <c r="Q936" s="724"/>
      <c r="R936" s="724"/>
      <c r="S936" s="724"/>
      <c r="T936" s="724"/>
      <c r="U936" s="724"/>
      <c r="V936" s="724"/>
      <c r="W936" s="724"/>
      <c r="X936" s="724"/>
      <c r="Y936" s="724"/>
      <c r="Z936" s="724"/>
      <c r="AA936" s="724"/>
      <c r="AB936" s="724"/>
      <c r="AC936" s="729"/>
      <c r="AD936" s="724"/>
      <c r="AE936" s="724"/>
      <c r="AF936" s="724"/>
      <c r="AG936" s="724"/>
      <c r="AH936" s="724"/>
      <c r="AI936" s="724"/>
      <c r="AJ936" s="724"/>
      <c r="AU936" s="713"/>
      <c r="AW936" s="712"/>
      <c r="BY936" s="714"/>
      <c r="BZ936" s="715"/>
      <c r="CA936" s="716"/>
      <c r="CB936" s="717"/>
      <c r="CC936" s="717"/>
      <c r="CD936" s="717"/>
      <c r="CE936" s="717"/>
      <c r="CF936" s="717"/>
      <c r="CG936" s="717"/>
      <c r="CH936" s="717"/>
      <c r="CI936" s="717"/>
      <c r="CJ936" s="717"/>
      <c r="CK936" s="717"/>
      <c r="CL936" s="717"/>
      <c r="CM936" s="717"/>
      <c r="CN936" s="717"/>
      <c r="CO936" s="717"/>
      <c r="CP936" s="717"/>
      <c r="CQ936" s="717"/>
      <c r="CR936" s="717"/>
      <c r="CS936" s="717"/>
      <c r="CT936" s="717"/>
      <c r="CU936" s="717"/>
      <c r="CV936" s="717"/>
      <c r="CW936" s="717"/>
      <c r="CX936" s="717"/>
      <c r="CY936" s="717"/>
      <c r="CZ936" s="717"/>
      <c r="DA936" s="717"/>
      <c r="DB936" s="717"/>
      <c r="DC936" s="717"/>
      <c r="DD936" s="717"/>
      <c r="DE936" s="717"/>
      <c r="DF936" s="717"/>
      <c r="DG936" s="717"/>
      <c r="DH936" s="717"/>
      <c r="DI936" s="717"/>
      <c r="DJ936" s="717"/>
      <c r="DM936" s="711"/>
      <c r="DN936" s="711"/>
      <c r="DO936" s="711"/>
      <c r="DP936" s="711"/>
      <c r="DQ936" s="711"/>
      <c r="EB936" s="719"/>
    </row>
    <row r="937" spans="5:132" s="709" customFormat="1" ht="18" hidden="1">
      <c r="E937" s="721"/>
      <c r="H937" s="723">
        <v>445</v>
      </c>
      <c r="I937" s="726"/>
      <c r="J937" s="724"/>
      <c r="K937" s="724"/>
      <c r="L937" s="724"/>
      <c r="M937" s="728"/>
      <c r="N937" s="724"/>
      <c r="O937" s="724"/>
      <c r="P937" s="724"/>
      <c r="Q937" s="724"/>
      <c r="R937" s="724"/>
      <c r="S937" s="724"/>
      <c r="T937" s="724"/>
      <c r="U937" s="724"/>
      <c r="V937" s="724"/>
      <c r="W937" s="724"/>
      <c r="X937" s="724"/>
      <c r="Y937" s="724"/>
      <c r="Z937" s="724"/>
      <c r="AA937" s="724"/>
      <c r="AB937" s="724"/>
      <c r="AC937" s="729"/>
      <c r="AD937" s="724"/>
      <c r="AE937" s="724"/>
      <c r="AF937" s="724"/>
      <c r="AG937" s="724"/>
      <c r="AH937" s="724"/>
      <c r="AI937" s="724"/>
      <c r="AJ937" s="724"/>
      <c r="AU937" s="713"/>
      <c r="AW937" s="712"/>
      <c r="BY937" s="714"/>
      <c r="BZ937" s="715"/>
      <c r="CA937" s="716"/>
      <c r="CB937" s="717"/>
      <c r="CC937" s="717"/>
      <c r="CD937" s="717"/>
      <c r="CE937" s="717"/>
      <c r="CF937" s="717"/>
      <c r="CG937" s="717"/>
      <c r="CH937" s="717"/>
      <c r="CI937" s="717"/>
      <c r="CJ937" s="717"/>
      <c r="CK937" s="717"/>
      <c r="CL937" s="717"/>
      <c r="CM937" s="717"/>
      <c r="CN937" s="717"/>
      <c r="CO937" s="717"/>
      <c r="CP937" s="717"/>
      <c r="CQ937" s="717"/>
      <c r="CR937" s="717"/>
      <c r="CS937" s="717"/>
      <c r="CT937" s="717"/>
      <c r="CU937" s="717"/>
      <c r="CV937" s="717"/>
      <c r="CW937" s="717"/>
      <c r="CX937" s="717"/>
      <c r="CY937" s="717"/>
      <c r="CZ937" s="717"/>
      <c r="DA937" s="717"/>
      <c r="DB937" s="717"/>
      <c r="DC937" s="717"/>
      <c r="DD937" s="717"/>
      <c r="DE937" s="717"/>
      <c r="DF937" s="717"/>
      <c r="DG937" s="717"/>
      <c r="DH937" s="717"/>
      <c r="DI937" s="717"/>
      <c r="DJ937" s="717"/>
      <c r="DM937" s="711"/>
      <c r="DN937" s="711"/>
      <c r="DO937" s="711"/>
      <c r="DP937" s="711"/>
      <c r="DQ937" s="711"/>
      <c r="EB937" s="719"/>
    </row>
    <row r="938" spans="5:132" s="709" customFormat="1" ht="18" hidden="1">
      <c r="E938" s="721"/>
      <c r="H938" s="723">
        <v>446</v>
      </c>
      <c r="I938" s="726"/>
      <c r="J938" s="724"/>
      <c r="K938" s="724"/>
      <c r="L938" s="724"/>
      <c r="M938" s="728"/>
      <c r="N938" s="724"/>
      <c r="O938" s="724"/>
      <c r="P938" s="724"/>
      <c r="Q938" s="724"/>
      <c r="R938" s="724"/>
      <c r="S938" s="724"/>
      <c r="T938" s="724"/>
      <c r="U938" s="724"/>
      <c r="V938" s="724"/>
      <c r="W938" s="724"/>
      <c r="X938" s="724"/>
      <c r="Y938" s="724"/>
      <c r="Z938" s="724"/>
      <c r="AA938" s="724"/>
      <c r="AB938" s="724"/>
      <c r="AC938" s="729"/>
      <c r="AD938" s="724"/>
      <c r="AE938" s="724"/>
      <c r="AF938" s="724"/>
      <c r="AG938" s="724"/>
      <c r="AH938" s="724"/>
      <c r="AI938" s="724"/>
      <c r="AJ938" s="724"/>
      <c r="AU938" s="713"/>
      <c r="AW938" s="712"/>
      <c r="BY938" s="714"/>
      <c r="BZ938" s="715"/>
      <c r="CA938" s="716"/>
      <c r="CB938" s="717"/>
      <c r="CC938" s="717"/>
      <c r="CD938" s="717"/>
      <c r="CE938" s="717"/>
      <c r="CF938" s="717"/>
      <c r="CG938" s="717"/>
      <c r="CH938" s="717"/>
      <c r="CI938" s="717"/>
      <c r="CJ938" s="717"/>
      <c r="CK938" s="717"/>
      <c r="CL938" s="717"/>
      <c r="CM938" s="717"/>
      <c r="CN938" s="717"/>
      <c r="CO938" s="717"/>
      <c r="CP938" s="717"/>
      <c r="CQ938" s="717"/>
      <c r="CR938" s="717"/>
      <c r="CS938" s="717"/>
      <c r="CT938" s="717"/>
      <c r="CU938" s="717"/>
      <c r="CV938" s="717"/>
      <c r="CW938" s="717"/>
      <c r="CX938" s="717"/>
      <c r="CY938" s="717"/>
      <c r="CZ938" s="717"/>
      <c r="DA938" s="717"/>
      <c r="DB938" s="717"/>
      <c r="DC938" s="717"/>
      <c r="DD938" s="717"/>
      <c r="DE938" s="717"/>
      <c r="DF938" s="717"/>
      <c r="DG938" s="717"/>
      <c r="DH938" s="717"/>
      <c r="DI938" s="717"/>
      <c r="DJ938" s="717"/>
      <c r="DM938" s="711"/>
      <c r="DN938" s="711"/>
      <c r="DO938" s="711"/>
      <c r="DP938" s="711"/>
      <c r="DQ938" s="711"/>
      <c r="EB938" s="719"/>
    </row>
    <row r="939" spans="5:132" s="709" customFormat="1" ht="18" hidden="1">
      <c r="E939" s="721"/>
      <c r="H939" s="723">
        <v>447</v>
      </c>
      <c r="I939" s="726"/>
      <c r="J939" s="724"/>
      <c r="K939" s="724"/>
      <c r="L939" s="724"/>
      <c r="M939" s="728"/>
      <c r="N939" s="724"/>
      <c r="O939" s="724"/>
      <c r="P939" s="724"/>
      <c r="Q939" s="724"/>
      <c r="R939" s="724"/>
      <c r="S939" s="724"/>
      <c r="T939" s="724"/>
      <c r="U939" s="724"/>
      <c r="V939" s="724"/>
      <c r="W939" s="724"/>
      <c r="X939" s="724"/>
      <c r="Y939" s="724"/>
      <c r="Z939" s="724"/>
      <c r="AA939" s="724"/>
      <c r="AB939" s="724"/>
      <c r="AC939" s="729"/>
      <c r="AD939" s="724"/>
      <c r="AE939" s="724"/>
      <c r="AF939" s="724"/>
      <c r="AG939" s="724"/>
      <c r="AH939" s="724"/>
      <c r="AI939" s="724"/>
      <c r="AJ939" s="724"/>
      <c r="AU939" s="713"/>
      <c r="AW939" s="712"/>
      <c r="BY939" s="714"/>
      <c r="BZ939" s="715"/>
      <c r="CA939" s="716"/>
      <c r="CB939" s="717"/>
      <c r="CC939" s="717"/>
      <c r="CD939" s="717"/>
      <c r="CE939" s="717"/>
      <c r="CF939" s="717"/>
      <c r="CG939" s="717"/>
      <c r="CH939" s="717"/>
      <c r="CI939" s="717"/>
      <c r="CJ939" s="717"/>
      <c r="CK939" s="717"/>
      <c r="CL939" s="717"/>
      <c r="CM939" s="717"/>
      <c r="CN939" s="717"/>
      <c r="CO939" s="717"/>
      <c r="CP939" s="717"/>
      <c r="CQ939" s="717"/>
      <c r="CR939" s="717"/>
      <c r="CS939" s="717"/>
      <c r="CT939" s="717"/>
      <c r="CU939" s="717"/>
      <c r="CV939" s="717"/>
      <c r="CW939" s="717"/>
      <c r="CX939" s="717"/>
      <c r="CY939" s="717"/>
      <c r="CZ939" s="717"/>
      <c r="DA939" s="717"/>
      <c r="DB939" s="717"/>
      <c r="DC939" s="717"/>
      <c r="DD939" s="717"/>
      <c r="DE939" s="717"/>
      <c r="DF939" s="717"/>
      <c r="DG939" s="717"/>
      <c r="DH939" s="717"/>
      <c r="DI939" s="717"/>
      <c r="DJ939" s="717"/>
      <c r="DM939" s="711"/>
      <c r="DN939" s="711"/>
      <c r="DO939" s="711"/>
      <c r="DP939" s="711"/>
      <c r="DQ939" s="711"/>
      <c r="EB939" s="719"/>
    </row>
    <row r="940" spans="5:132" s="709" customFormat="1" ht="18" hidden="1">
      <c r="E940" s="721"/>
      <c r="H940" s="723">
        <v>448</v>
      </c>
      <c r="I940" s="726"/>
      <c r="J940" s="724"/>
      <c r="K940" s="724"/>
      <c r="L940" s="724"/>
      <c r="M940" s="728"/>
      <c r="N940" s="724"/>
      <c r="O940" s="724"/>
      <c r="P940" s="724"/>
      <c r="Q940" s="724"/>
      <c r="R940" s="724"/>
      <c r="S940" s="724"/>
      <c r="T940" s="724"/>
      <c r="U940" s="724"/>
      <c r="V940" s="724"/>
      <c r="W940" s="724"/>
      <c r="X940" s="724"/>
      <c r="Y940" s="724"/>
      <c r="Z940" s="724"/>
      <c r="AA940" s="724"/>
      <c r="AB940" s="724"/>
      <c r="AC940" s="729"/>
      <c r="AD940" s="724"/>
      <c r="AE940" s="724"/>
      <c r="AF940" s="724"/>
      <c r="AG940" s="724"/>
      <c r="AH940" s="724"/>
      <c r="AI940" s="724"/>
      <c r="AJ940" s="724"/>
      <c r="AU940" s="713"/>
      <c r="AW940" s="712"/>
      <c r="BY940" s="714"/>
      <c r="BZ940" s="715"/>
      <c r="CA940" s="716"/>
      <c r="CB940" s="717"/>
      <c r="CC940" s="717"/>
      <c r="CD940" s="717"/>
      <c r="CE940" s="717"/>
      <c r="CF940" s="717"/>
      <c r="CG940" s="717"/>
      <c r="CH940" s="717"/>
      <c r="CI940" s="717"/>
      <c r="CJ940" s="717"/>
      <c r="CK940" s="717"/>
      <c r="CL940" s="717"/>
      <c r="CM940" s="717"/>
      <c r="CN940" s="717"/>
      <c r="CO940" s="717"/>
      <c r="CP940" s="717"/>
      <c r="CQ940" s="717"/>
      <c r="CR940" s="717"/>
      <c r="CS940" s="717"/>
      <c r="CT940" s="717"/>
      <c r="CU940" s="717"/>
      <c r="CV940" s="717"/>
      <c r="CW940" s="717"/>
      <c r="CX940" s="717"/>
      <c r="CY940" s="717"/>
      <c r="CZ940" s="717"/>
      <c r="DA940" s="717"/>
      <c r="DB940" s="717"/>
      <c r="DC940" s="717"/>
      <c r="DD940" s="717"/>
      <c r="DE940" s="717"/>
      <c r="DF940" s="717"/>
      <c r="DG940" s="717"/>
      <c r="DH940" s="717"/>
      <c r="DI940" s="717"/>
      <c r="DJ940" s="717"/>
      <c r="DM940" s="711"/>
      <c r="DN940" s="711"/>
      <c r="DO940" s="711"/>
      <c r="DP940" s="711"/>
      <c r="DQ940" s="711"/>
      <c r="EB940" s="719"/>
    </row>
    <row r="941" spans="5:132" s="709" customFormat="1" ht="18" hidden="1">
      <c r="E941" s="721"/>
      <c r="H941" s="723">
        <v>451</v>
      </c>
      <c r="I941" s="726"/>
      <c r="J941" s="724"/>
      <c r="K941" s="724"/>
      <c r="L941" s="724"/>
      <c r="M941" s="728"/>
      <c r="N941" s="724"/>
      <c r="O941" s="724"/>
      <c r="P941" s="724"/>
      <c r="Q941" s="724"/>
      <c r="R941" s="724"/>
      <c r="S941" s="724"/>
      <c r="T941" s="724"/>
      <c r="U941" s="724"/>
      <c r="V941" s="724"/>
      <c r="W941" s="724"/>
      <c r="X941" s="724"/>
      <c r="Y941" s="724"/>
      <c r="Z941" s="724"/>
      <c r="AA941" s="724"/>
      <c r="AB941" s="724"/>
      <c r="AC941" s="729"/>
      <c r="AD941" s="724"/>
      <c r="AE941" s="724"/>
      <c r="AF941" s="724"/>
      <c r="AG941" s="724"/>
      <c r="AH941" s="724"/>
      <c r="AI941" s="724"/>
      <c r="AJ941" s="724"/>
      <c r="AU941" s="713"/>
      <c r="AW941" s="712"/>
      <c r="BY941" s="714"/>
      <c r="BZ941" s="715"/>
      <c r="CA941" s="716"/>
      <c r="CB941" s="717"/>
      <c r="CC941" s="717"/>
      <c r="CD941" s="717"/>
      <c r="CE941" s="717"/>
      <c r="CF941" s="717"/>
      <c r="CG941" s="717"/>
      <c r="CH941" s="717"/>
      <c r="CI941" s="717"/>
      <c r="CJ941" s="717"/>
      <c r="CK941" s="717"/>
      <c r="CL941" s="717"/>
      <c r="CM941" s="717"/>
      <c r="CN941" s="717"/>
      <c r="CO941" s="717"/>
      <c r="CP941" s="717"/>
      <c r="CQ941" s="717"/>
      <c r="CR941" s="717"/>
      <c r="CS941" s="717"/>
      <c r="CT941" s="717"/>
      <c r="CU941" s="717"/>
      <c r="CV941" s="717"/>
      <c r="CW941" s="717"/>
      <c r="CX941" s="717"/>
      <c r="CY941" s="717"/>
      <c r="CZ941" s="717"/>
      <c r="DA941" s="717"/>
      <c r="DB941" s="717"/>
      <c r="DC941" s="717"/>
      <c r="DD941" s="717"/>
      <c r="DE941" s="717"/>
      <c r="DF941" s="717"/>
      <c r="DG941" s="717"/>
      <c r="DH941" s="717"/>
      <c r="DI941" s="717"/>
      <c r="DJ941" s="717"/>
      <c r="DM941" s="711"/>
      <c r="DN941" s="711"/>
      <c r="DO941" s="711"/>
      <c r="DP941" s="711"/>
      <c r="DQ941" s="711"/>
      <c r="EB941" s="719"/>
    </row>
    <row r="942" spans="5:132" s="709" customFormat="1" ht="18" hidden="1">
      <c r="E942" s="721"/>
      <c r="H942" s="723">
        <v>452</v>
      </c>
      <c r="I942" s="726"/>
      <c r="J942" s="724"/>
      <c r="K942" s="724"/>
      <c r="L942" s="724"/>
      <c r="M942" s="728"/>
      <c r="N942" s="724"/>
      <c r="O942" s="724"/>
      <c r="P942" s="724"/>
      <c r="Q942" s="724"/>
      <c r="R942" s="724"/>
      <c r="S942" s="724"/>
      <c r="T942" s="724"/>
      <c r="U942" s="724"/>
      <c r="V942" s="724"/>
      <c r="W942" s="724"/>
      <c r="X942" s="724"/>
      <c r="Y942" s="724"/>
      <c r="Z942" s="724"/>
      <c r="AA942" s="724"/>
      <c r="AB942" s="724"/>
      <c r="AC942" s="729"/>
      <c r="AD942" s="724"/>
      <c r="AE942" s="724"/>
      <c r="AF942" s="724"/>
      <c r="AG942" s="724"/>
      <c r="AH942" s="724"/>
      <c r="AI942" s="724"/>
      <c r="AJ942" s="724"/>
      <c r="AU942" s="713"/>
      <c r="AW942" s="712"/>
      <c r="BY942" s="714"/>
      <c r="BZ942" s="715"/>
      <c r="CA942" s="716"/>
      <c r="CB942" s="717"/>
      <c r="CC942" s="717"/>
      <c r="CD942" s="717"/>
      <c r="CE942" s="717"/>
      <c r="CF942" s="717"/>
      <c r="CG942" s="717"/>
      <c r="CH942" s="717"/>
      <c r="CI942" s="717"/>
      <c r="CJ942" s="717"/>
      <c r="CK942" s="717"/>
      <c r="CL942" s="717"/>
      <c r="CM942" s="717"/>
      <c r="CN942" s="717"/>
      <c r="CO942" s="717"/>
      <c r="CP942" s="717"/>
      <c r="CQ942" s="717"/>
      <c r="CR942" s="717"/>
      <c r="CS942" s="717"/>
      <c r="CT942" s="717"/>
      <c r="CU942" s="717"/>
      <c r="CV942" s="717"/>
      <c r="CW942" s="717"/>
      <c r="CX942" s="717"/>
      <c r="CY942" s="717"/>
      <c r="CZ942" s="717"/>
      <c r="DA942" s="717"/>
      <c r="DB942" s="717"/>
      <c r="DC942" s="717"/>
      <c r="DD942" s="717"/>
      <c r="DE942" s="717"/>
      <c r="DF942" s="717"/>
      <c r="DG942" s="717"/>
      <c r="DH942" s="717"/>
      <c r="DI942" s="717"/>
      <c r="DJ942" s="717"/>
      <c r="DM942" s="711"/>
      <c r="DN942" s="711"/>
      <c r="DO942" s="711"/>
      <c r="DP942" s="711"/>
      <c r="DQ942" s="711"/>
      <c r="EB942" s="719"/>
    </row>
    <row r="943" spans="5:132" s="709" customFormat="1" ht="18" hidden="1">
      <c r="E943" s="721"/>
      <c r="H943" s="723">
        <v>453</v>
      </c>
      <c r="I943" s="726"/>
      <c r="J943" s="724"/>
      <c r="K943" s="724"/>
      <c r="L943" s="724"/>
      <c r="M943" s="728"/>
      <c r="N943" s="724"/>
      <c r="O943" s="724"/>
      <c r="P943" s="724"/>
      <c r="Q943" s="724"/>
      <c r="R943" s="724"/>
      <c r="S943" s="724"/>
      <c r="T943" s="724"/>
      <c r="U943" s="724"/>
      <c r="V943" s="724"/>
      <c r="W943" s="724"/>
      <c r="X943" s="724"/>
      <c r="Y943" s="724"/>
      <c r="Z943" s="724"/>
      <c r="AA943" s="724"/>
      <c r="AB943" s="724"/>
      <c r="AC943" s="729"/>
      <c r="AD943" s="724"/>
      <c r="AE943" s="724"/>
      <c r="AF943" s="724"/>
      <c r="AG943" s="724"/>
      <c r="AH943" s="724"/>
      <c r="AI943" s="724"/>
      <c r="AJ943" s="724"/>
      <c r="AU943" s="713"/>
      <c r="AW943" s="712"/>
      <c r="BY943" s="714"/>
      <c r="BZ943" s="715"/>
      <c r="CA943" s="716"/>
      <c r="CB943" s="717"/>
      <c r="CC943" s="717"/>
      <c r="CD943" s="717"/>
      <c r="CE943" s="717"/>
      <c r="CF943" s="717"/>
      <c r="CG943" s="717"/>
      <c r="CH943" s="717"/>
      <c r="CI943" s="717"/>
      <c r="CJ943" s="717"/>
      <c r="CK943" s="717"/>
      <c r="CL943" s="717"/>
      <c r="CM943" s="717"/>
      <c r="CN943" s="717"/>
      <c r="CO943" s="717"/>
      <c r="CP943" s="717"/>
      <c r="CQ943" s="717"/>
      <c r="CR943" s="717"/>
      <c r="CS943" s="717"/>
      <c r="CT943" s="717"/>
      <c r="CU943" s="717"/>
      <c r="CV943" s="717"/>
      <c r="CW943" s="717"/>
      <c r="CX943" s="717"/>
      <c r="CY943" s="717"/>
      <c r="CZ943" s="717"/>
      <c r="DA943" s="717"/>
      <c r="DB943" s="717"/>
      <c r="DC943" s="717"/>
      <c r="DD943" s="717"/>
      <c r="DE943" s="717"/>
      <c r="DF943" s="717"/>
      <c r="DG943" s="717"/>
      <c r="DH943" s="717"/>
      <c r="DI943" s="717"/>
      <c r="DJ943" s="717"/>
      <c r="DM943" s="711"/>
      <c r="DN943" s="711"/>
      <c r="DO943" s="711"/>
      <c r="DP943" s="711"/>
      <c r="DQ943" s="711"/>
      <c r="EB943" s="719"/>
    </row>
    <row r="944" spans="5:132" s="709" customFormat="1" ht="18" hidden="1">
      <c r="E944" s="721"/>
      <c r="H944" s="723">
        <v>454</v>
      </c>
      <c r="I944" s="726"/>
      <c r="J944" s="724"/>
      <c r="K944" s="724"/>
      <c r="L944" s="724"/>
      <c r="M944" s="728"/>
      <c r="N944" s="724"/>
      <c r="O944" s="724"/>
      <c r="P944" s="724"/>
      <c r="Q944" s="724"/>
      <c r="R944" s="724"/>
      <c r="S944" s="724"/>
      <c r="T944" s="724"/>
      <c r="U944" s="724"/>
      <c r="V944" s="724"/>
      <c r="W944" s="724"/>
      <c r="X944" s="724"/>
      <c r="Y944" s="724"/>
      <c r="Z944" s="724"/>
      <c r="AA944" s="724"/>
      <c r="AB944" s="724"/>
      <c r="AC944" s="729"/>
      <c r="AD944" s="724"/>
      <c r="AE944" s="724"/>
      <c r="AF944" s="724"/>
      <c r="AG944" s="724"/>
      <c r="AH944" s="724"/>
      <c r="AI944" s="724"/>
      <c r="AJ944" s="724"/>
      <c r="AU944" s="713"/>
      <c r="AW944" s="712"/>
      <c r="BY944" s="714"/>
      <c r="BZ944" s="715"/>
      <c r="CA944" s="716"/>
      <c r="CB944" s="717"/>
      <c r="CC944" s="717"/>
      <c r="CD944" s="717"/>
      <c r="CE944" s="717"/>
      <c r="CF944" s="717"/>
      <c r="CG944" s="717"/>
      <c r="CH944" s="717"/>
      <c r="CI944" s="717"/>
      <c r="CJ944" s="717"/>
      <c r="CK944" s="717"/>
      <c r="CL944" s="717"/>
      <c r="CM944" s="717"/>
      <c r="CN944" s="717"/>
      <c r="CO944" s="717"/>
      <c r="CP944" s="717"/>
      <c r="CQ944" s="717"/>
      <c r="CR944" s="717"/>
      <c r="CS944" s="717"/>
      <c r="CT944" s="717"/>
      <c r="CU944" s="717"/>
      <c r="CV944" s="717"/>
      <c r="CW944" s="717"/>
      <c r="CX944" s="717"/>
      <c r="CY944" s="717"/>
      <c r="CZ944" s="717"/>
      <c r="DA944" s="717"/>
      <c r="DB944" s="717"/>
      <c r="DC944" s="717"/>
      <c r="DD944" s="717"/>
      <c r="DE944" s="717"/>
      <c r="DF944" s="717"/>
      <c r="DG944" s="717"/>
      <c r="DH944" s="717"/>
      <c r="DI944" s="717"/>
      <c r="DJ944" s="717"/>
      <c r="DM944" s="711"/>
      <c r="DN944" s="711"/>
      <c r="DO944" s="711"/>
      <c r="DP944" s="711"/>
      <c r="DQ944" s="711"/>
      <c r="EB944" s="719"/>
    </row>
    <row r="945" spans="5:132" s="709" customFormat="1" ht="18" hidden="1">
      <c r="E945" s="721"/>
      <c r="H945" s="723">
        <v>455</v>
      </c>
      <c r="I945" s="726"/>
      <c r="J945" s="724"/>
      <c r="K945" s="724"/>
      <c r="L945" s="724"/>
      <c r="M945" s="728"/>
      <c r="N945" s="724"/>
      <c r="O945" s="724"/>
      <c r="P945" s="724"/>
      <c r="Q945" s="724"/>
      <c r="R945" s="724"/>
      <c r="S945" s="724"/>
      <c r="T945" s="724"/>
      <c r="U945" s="724"/>
      <c r="V945" s="724"/>
      <c r="W945" s="724"/>
      <c r="X945" s="724"/>
      <c r="Y945" s="724"/>
      <c r="Z945" s="724"/>
      <c r="AA945" s="724"/>
      <c r="AB945" s="724"/>
      <c r="AC945" s="729"/>
      <c r="AD945" s="724"/>
      <c r="AE945" s="724"/>
      <c r="AF945" s="724"/>
      <c r="AG945" s="724"/>
      <c r="AH945" s="724"/>
      <c r="AI945" s="724"/>
      <c r="AJ945" s="724"/>
      <c r="AU945" s="713"/>
      <c r="AW945" s="712"/>
      <c r="BY945" s="714"/>
      <c r="BZ945" s="715"/>
      <c r="CA945" s="716"/>
      <c r="CB945" s="717"/>
      <c r="CC945" s="717"/>
      <c r="CD945" s="717"/>
      <c r="CE945" s="717"/>
      <c r="CF945" s="717"/>
      <c r="CG945" s="717"/>
      <c r="CH945" s="717"/>
      <c r="CI945" s="717"/>
      <c r="CJ945" s="717"/>
      <c r="CK945" s="717"/>
      <c r="CL945" s="717"/>
      <c r="CM945" s="717"/>
      <c r="CN945" s="717"/>
      <c r="CO945" s="717"/>
      <c r="CP945" s="717"/>
      <c r="CQ945" s="717"/>
      <c r="CR945" s="717"/>
      <c r="CS945" s="717"/>
      <c r="CT945" s="717"/>
      <c r="CU945" s="717"/>
      <c r="CV945" s="717"/>
      <c r="CW945" s="717"/>
      <c r="CX945" s="717"/>
      <c r="CY945" s="717"/>
      <c r="CZ945" s="717"/>
      <c r="DA945" s="717"/>
      <c r="DB945" s="717"/>
      <c r="DC945" s="717"/>
      <c r="DD945" s="717"/>
      <c r="DE945" s="717"/>
      <c r="DF945" s="717"/>
      <c r="DG945" s="717"/>
      <c r="DH945" s="717"/>
      <c r="DI945" s="717"/>
      <c r="DJ945" s="717"/>
      <c r="DM945" s="711"/>
      <c r="DN945" s="711"/>
      <c r="DO945" s="711"/>
      <c r="DP945" s="711"/>
      <c r="DQ945" s="711"/>
      <c r="EB945" s="719"/>
    </row>
    <row r="946" spans="5:132" s="709" customFormat="1" ht="18" hidden="1">
      <c r="E946" s="721"/>
      <c r="H946" s="723">
        <v>456</v>
      </c>
      <c r="I946" s="726"/>
      <c r="J946" s="724"/>
      <c r="K946" s="724"/>
      <c r="L946" s="724"/>
      <c r="M946" s="728"/>
      <c r="N946" s="724"/>
      <c r="O946" s="724"/>
      <c r="P946" s="724"/>
      <c r="Q946" s="724"/>
      <c r="R946" s="724"/>
      <c r="S946" s="724"/>
      <c r="T946" s="724"/>
      <c r="U946" s="724"/>
      <c r="V946" s="724"/>
      <c r="W946" s="724"/>
      <c r="X946" s="724"/>
      <c r="Y946" s="724"/>
      <c r="Z946" s="724"/>
      <c r="AA946" s="724"/>
      <c r="AB946" s="724"/>
      <c r="AC946" s="729"/>
      <c r="AD946" s="724"/>
      <c r="AE946" s="724"/>
      <c r="AF946" s="724"/>
      <c r="AG946" s="724"/>
      <c r="AH946" s="724"/>
      <c r="AI946" s="724"/>
      <c r="AJ946" s="724"/>
      <c r="AU946" s="713"/>
      <c r="AW946" s="712"/>
      <c r="BY946" s="714"/>
      <c r="BZ946" s="715"/>
      <c r="CA946" s="716"/>
      <c r="CB946" s="717"/>
      <c r="CC946" s="717"/>
      <c r="CD946" s="717"/>
      <c r="CE946" s="717"/>
      <c r="CF946" s="717"/>
      <c r="CG946" s="717"/>
      <c r="CH946" s="717"/>
      <c r="CI946" s="717"/>
      <c r="CJ946" s="717"/>
      <c r="CK946" s="717"/>
      <c r="CL946" s="717"/>
      <c r="CM946" s="717"/>
      <c r="CN946" s="717"/>
      <c r="CO946" s="717"/>
      <c r="CP946" s="717"/>
      <c r="CQ946" s="717"/>
      <c r="CR946" s="717"/>
      <c r="CS946" s="717"/>
      <c r="CT946" s="717"/>
      <c r="CU946" s="717"/>
      <c r="CV946" s="717"/>
      <c r="CW946" s="717"/>
      <c r="CX946" s="717"/>
      <c r="CY946" s="717"/>
      <c r="CZ946" s="717"/>
      <c r="DA946" s="717"/>
      <c r="DB946" s="717"/>
      <c r="DC946" s="717"/>
      <c r="DD946" s="717"/>
      <c r="DE946" s="717"/>
      <c r="DF946" s="717"/>
      <c r="DG946" s="717"/>
      <c r="DH946" s="717"/>
      <c r="DI946" s="717"/>
      <c r="DJ946" s="717"/>
      <c r="DM946" s="711"/>
      <c r="DN946" s="711"/>
      <c r="DO946" s="711"/>
      <c r="DP946" s="711"/>
      <c r="DQ946" s="711"/>
      <c r="EB946" s="719"/>
    </row>
    <row r="947" spans="5:132" s="709" customFormat="1" ht="18" hidden="1">
      <c r="E947" s="721"/>
      <c r="H947" s="723">
        <v>457</v>
      </c>
      <c r="I947" s="726"/>
      <c r="J947" s="724"/>
      <c r="K947" s="724"/>
      <c r="L947" s="724"/>
      <c r="M947" s="728"/>
      <c r="N947" s="724"/>
      <c r="O947" s="724"/>
      <c r="P947" s="724"/>
      <c r="Q947" s="724"/>
      <c r="R947" s="724"/>
      <c r="S947" s="724"/>
      <c r="T947" s="724"/>
      <c r="U947" s="724"/>
      <c r="V947" s="724"/>
      <c r="W947" s="724"/>
      <c r="X947" s="724"/>
      <c r="Y947" s="724"/>
      <c r="Z947" s="724"/>
      <c r="AA947" s="724"/>
      <c r="AB947" s="724"/>
      <c r="AC947" s="729"/>
      <c r="AD947" s="724"/>
      <c r="AE947" s="724"/>
      <c r="AF947" s="724"/>
      <c r="AG947" s="724"/>
      <c r="AH947" s="724"/>
      <c r="AI947" s="724"/>
      <c r="AJ947" s="724"/>
      <c r="AU947" s="713"/>
      <c r="AW947" s="712"/>
      <c r="BY947" s="714"/>
      <c r="BZ947" s="715"/>
      <c r="CA947" s="716"/>
      <c r="CB947" s="717"/>
      <c r="CC947" s="717"/>
      <c r="CD947" s="717"/>
      <c r="CE947" s="717"/>
      <c r="CF947" s="717"/>
      <c r="CG947" s="717"/>
      <c r="CH947" s="717"/>
      <c r="CI947" s="717"/>
      <c r="CJ947" s="717"/>
      <c r="CK947" s="717"/>
      <c r="CL947" s="717"/>
      <c r="CM947" s="717"/>
      <c r="CN947" s="717"/>
      <c r="CO947" s="717"/>
      <c r="CP947" s="717"/>
      <c r="CQ947" s="717"/>
      <c r="CR947" s="717"/>
      <c r="CS947" s="717"/>
      <c r="CT947" s="717"/>
      <c r="CU947" s="717"/>
      <c r="CV947" s="717"/>
      <c r="CW947" s="717"/>
      <c r="CX947" s="717"/>
      <c r="CY947" s="717"/>
      <c r="CZ947" s="717"/>
      <c r="DA947" s="717"/>
      <c r="DB947" s="717"/>
      <c r="DC947" s="717"/>
      <c r="DD947" s="717"/>
      <c r="DE947" s="717"/>
      <c r="DF947" s="717"/>
      <c r="DG947" s="717"/>
      <c r="DH947" s="717"/>
      <c r="DI947" s="717"/>
      <c r="DJ947" s="717"/>
      <c r="DM947" s="711"/>
      <c r="DN947" s="711"/>
      <c r="DO947" s="711"/>
      <c r="DP947" s="711"/>
      <c r="DQ947" s="711"/>
      <c r="EB947" s="719"/>
    </row>
    <row r="948" spans="5:132" s="709" customFormat="1" ht="18" hidden="1">
      <c r="E948" s="721"/>
      <c r="H948" s="723">
        <v>458</v>
      </c>
      <c r="I948" s="726"/>
      <c r="J948" s="724"/>
      <c r="K948" s="724"/>
      <c r="L948" s="724"/>
      <c r="M948" s="728"/>
      <c r="N948" s="724"/>
      <c r="O948" s="724"/>
      <c r="P948" s="724"/>
      <c r="Q948" s="724"/>
      <c r="R948" s="724"/>
      <c r="S948" s="724"/>
      <c r="T948" s="724"/>
      <c r="U948" s="724"/>
      <c r="V948" s="724"/>
      <c r="W948" s="724"/>
      <c r="X948" s="724"/>
      <c r="Y948" s="724"/>
      <c r="Z948" s="724"/>
      <c r="AA948" s="724"/>
      <c r="AB948" s="724"/>
      <c r="AC948" s="729"/>
      <c r="AD948" s="724"/>
      <c r="AE948" s="724"/>
      <c r="AF948" s="724"/>
      <c r="AG948" s="724"/>
      <c r="AH948" s="724"/>
      <c r="AI948" s="724"/>
      <c r="AJ948" s="724"/>
      <c r="AU948" s="713"/>
      <c r="AW948" s="712"/>
      <c r="BY948" s="714"/>
      <c r="BZ948" s="715"/>
      <c r="CA948" s="716"/>
      <c r="CB948" s="717"/>
      <c r="CC948" s="717"/>
      <c r="CD948" s="717"/>
      <c r="CE948" s="717"/>
      <c r="CF948" s="717"/>
      <c r="CG948" s="717"/>
      <c r="CH948" s="717"/>
      <c r="CI948" s="717"/>
      <c r="CJ948" s="717"/>
      <c r="CK948" s="717"/>
      <c r="CL948" s="717"/>
      <c r="CM948" s="717"/>
      <c r="CN948" s="717"/>
      <c r="CO948" s="717"/>
      <c r="CP948" s="717"/>
      <c r="CQ948" s="717"/>
      <c r="CR948" s="717"/>
      <c r="CS948" s="717"/>
      <c r="CT948" s="717"/>
      <c r="CU948" s="717"/>
      <c r="CV948" s="717"/>
      <c r="CW948" s="717"/>
      <c r="CX948" s="717"/>
      <c r="CY948" s="717"/>
      <c r="CZ948" s="717"/>
      <c r="DA948" s="717"/>
      <c r="DB948" s="717"/>
      <c r="DC948" s="717"/>
      <c r="DD948" s="717"/>
      <c r="DE948" s="717"/>
      <c r="DF948" s="717"/>
      <c r="DG948" s="717"/>
      <c r="DH948" s="717"/>
      <c r="DI948" s="717"/>
      <c r="DJ948" s="717"/>
      <c r="DM948" s="711"/>
      <c r="DN948" s="711"/>
      <c r="DO948" s="711"/>
      <c r="DP948" s="711"/>
      <c r="DQ948" s="711"/>
      <c r="EB948" s="719"/>
    </row>
    <row r="949" spans="5:132" s="709" customFormat="1" ht="18" hidden="1">
      <c r="E949" s="721"/>
      <c r="H949" s="723">
        <v>459</v>
      </c>
      <c r="I949" s="726"/>
      <c r="J949" s="724"/>
      <c r="K949" s="724"/>
      <c r="L949" s="724"/>
      <c r="M949" s="728"/>
      <c r="N949" s="724"/>
      <c r="O949" s="724"/>
      <c r="P949" s="724"/>
      <c r="Q949" s="724"/>
      <c r="R949" s="724"/>
      <c r="S949" s="724"/>
      <c r="T949" s="724"/>
      <c r="U949" s="724"/>
      <c r="V949" s="724"/>
      <c r="W949" s="724"/>
      <c r="X949" s="724"/>
      <c r="Y949" s="724"/>
      <c r="Z949" s="724"/>
      <c r="AA949" s="724"/>
      <c r="AB949" s="724"/>
      <c r="AC949" s="729"/>
      <c r="AD949" s="724"/>
      <c r="AE949" s="724"/>
      <c r="AF949" s="724"/>
      <c r="AG949" s="724"/>
      <c r="AH949" s="724"/>
      <c r="AI949" s="724"/>
      <c r="AJ949" s="724"/>
      <c r="AU949" s="713"/>
      <c r="AW949" s="712"/>
      <c r="BY949" s="714"/>
      <c r="BZ949" s="715"/>
      <c r="CA949" s="716"/>
      <c r="CB949" s="717"/>
      <c r="CC949" s="717"/>
      <c r="CD949" s="717"/>
      <c r="CE949" s="717"/>
      <c r="CF949" s="717"/>
      <c r="CG949" s="717"/>
      <c r="CH949" s="717"/>
      <c r="CI949" s="717"/>
      <c r="CJ949" s="717"/>
      <c r="CK949" s="717"/>
      <c r="CL949" s="717"/>
      <c r="CM949" s="717"/>
      <c r="CN949" s="717"/>
      <c r="CO949" s="717"/>
      <c r="CP949" s="717"/>
      <c r="CQ949" s="717"/>
      <c r="CR949" s="717"/>
      <c r="CS949" s="717"/>
      <c r="CT949" s="717"/>
      <c r="CU949" s="717"/>
      <c r="CV949" s="717"/>
      <c r="CW949" s="717"/>
      <c r="CX949" s="717"/>
      <c r="CY949" s="717"/>
      <c r="CZ949" s="717"/>
      <c r="DA949" s="717"/>
      <c r="DB949" s="717"/>
      <c r="DC949" s="717"/>
      <c r="DD949" s="717"/>
      <c r="DE949" s="717"/>
      <c r="DF949" s="717"/>
      <c r="DG949" s="717"/>
      <c r="DH949" s="717"/>
      <c r="DI949" s="717"/>
      <c r="DJ949" s="717"/>
      <c r="DM949" s="711"/>
      <c r="DN949" s="711"/>
      <c r="DO949" s="711"/>
      <c r="DP949" s="711"/>
      <c r="DQ949" s="711"/>
      <c r="EB949" s="719"/>
    </row>
    <row r="950" spans="5:132" s="709" customFormat="1" ht="18" hidden="1">
      <c r="E950" s="721"/>
      <c r="H950" s="723">
        <v>460</v>
      </c>
      <c r="I950" s="726"/>
      <c r="J950" s="724"/>
      <c r="K950" s="724"/>
      <c r="L950" s="724"/>
      <c r="M950" s="728"/>
      <c r="N950" s="724"/>
      <c r="O950" s="724"/>
      <c r="P950" s="724"/>
      <c r="Q950" s="724"/>
      <c r="R950" s="724"/>
      <c r="S950" s="724"/>
      <c r="T950" s="724"/>
      <c r="U950" s="724"/>
      <c r="V950" s="724"/>
      <c r="W950" s="724"/>
      <c r="X950" s="724"/>
      <c r="Y950" s="724"/>
      <c r="Z950" s="724"/>
      <c r="AA950" s="724"/>
      <c r="AB950" s="724"/>
      <c r="AC950" s="729"/>
      <c r="AD950" s="724"/>
      <c r="AE950" s="724"/>
      <c r="AF950" s="724"/>
      <c r="AG950" s="724"/>
      <c r="AH950" s="724"/>
      <c r="AI950" s="724"/>
      <c r="AJ950" s="724"/>
      <c r="AU950" s="713"/>
      <c r="AW950" s="712"/>
      <c r="BY950" s="714"/>
      <c r="BZ950" s="715"/>
      <c r="CA950" s="716"/>
      <c r="CB950" s="717"/>
      <c r="CC950" s="717"/>
      <c r="CD950" s="717"/>
      <c r="CE950" s="717"/>
      <c r="CF950" s="717"/>
      <c r="CG950" s="717"/>
      <c r="CH950" s="717"/>
      <c r="CI950" s="717"/>
      <c r="CJ950" s="717"/>
      <c r="CK950" s="717"/>
      <c r="CL950" s="717"/>
      <c r="CM950" s="717"/>
      <c r="CN950" s="717"/>
      <c r="CO950" s="717"/>
      <c r="CP950" s="717"/>
      <c r="CQ950" s="717"/>
      <c r="CR950" s="717"/>
      <c r="CS950" s="717"/>
      <c r="CT950" s="717"/>
      <c r="CU950" s="717"/>
      <c r="CV950" s="717"/>
      <c r="CW950" s="717"/>
      <c r="CX950" s="717"/>
      <c r="CY950" s="717"/>
      <c r="CZ950" s="717"/>
      <c r="DA950" s="717"/>
      <c r="DB950" s="717"/>
      <c r="DC950" s="717"/>
      <c r="DD950" s="717"/>
      <c r="DE950" s="717"/>
      <c r="DF950" s="717"/>
      <c r="DG950" s="717"/>
      <c r="DH950" s="717"/>
      <c r="DI950" s="717"/>
      <c r="DJ950" s="717"/>
      <c r="DM950" s="711"/>
      <c r="DN950" s="711"/>
      <c r="DO950" s="711"/>
      <c r="DP950" s="711"/>
      <c r="DQ950" s="711"/>
      <c r="EB950" s="719"/>
    </row>
    <row r="951" spans="5:132" s="709" customFormat="1" ht="18" hidden="1">
      <c r="E951" s="721"/>
      <c r="H951" s="723">
        <v>461</v>
      </c>
      <c r="I951" s="726"/>
      <c r="J951" s="724"/>
      <c r="K951" s="724"/>
      <c r="L951" s="724"/>
      <c r="M951" s="728"/>
      <c r="N951" s="724"/>
      <c r="O951" s="724"/>
      <c r="P951" s="724"/>
      <c r="Q951" s="724"/>
      <c r="R951" s="724"/>
      <c r="S951" s="724"/>
      <c r="T951" s="724"/>
      <c r="U951" s="724"/>
      <c r="V951" s="724"/>
      <c r="W951" s="724"/>
      <c r="X951" s="724"/>
      <c r="Y951" s="724"/>
      <c r="Z951" s="724"/>
      <c r="AA951" s="724"/>
      <c r="AB951" s="724"/>
      <c r="AC951" s="729"/>
      <c r="AD951" s="724"/>
      <c r="AE951" s="724"/>
      <c r="AF951" s="724"/>
      <c r="AG951" s="724"/>
      <c r="AH951" s="724"/>
      <c r="AI951" s="724"/>
      <c r="AJ951" s="724"/>
      <c r="AU951" s="713"/>
      <c r="AW951" s="712"/>
      <c r="BY951" s="714"/>
      <c r="BZ951" s="715"/>
      <c r="CA951" s="716"/>
      <c r="CB951" s="717"/>
      <c r="CC951" s="717"/>
      <c r="CD951" s="717"/>
      <c r="CE951" s="717"/>
      <c r="CF951" s="717"/>
      <c r="CG951" s="717"/>
      <c r="CH951" s="717"/>
      <c r="CI951" s="717"/>
      <c r="CJ951" s="717"/>
      <c r="CK951" s="717"/>
      <c r="CL951" s="717"/>
      <c r="CM951" s="717"/>
      <c r="CN951" s="717"/>
      <c r="CO951" s="717"/>
      <c r="CP951" s="717"/>
      <c r="CQ951" s="717"/>
      <c r="CR951" s="717"/>
      <c r="CS951" s="717"/>
      <c r="CT951" s="717"/>
      <c r="CU951" s="717"/>
      <c r="CV951" s="717"/>
      <c r="CW951" s="717"/>
      <c r="CX951" s="717"/>
      <c r="CY951" s="717"/>
      <c r="CZ951" s="717"/>
      <c r="DA951" s="717"/>
      <c r="DB951" s="717"/>
      <c r="DC951" s="717"/>
      <c r="DD951" s="717"/>
      <c r="DE951" s="717"/>
      <c r="DF951" s="717"/>
      <c r="DG951" s="717"/>
      <c r="DH951" s="717"/>
      <c r="DI951" s="717"/>
      <c r="DJ951" s="717"/>
      <c r="DM951" s="711"/>
      <c r="DN951" s="711"/>
      <c r="DO951" s="711"/>
      <c r="DP951" s="711"/>
      <c r="DQ951" s="711"/>
      <c r="EB951" s="719"/>
    </row>
    <row r="952" spans="5:132" s="709" customFormat="1" ht="18" hidden="1">
      <c r="E952" s="721"/>
      <c r="H952" s="723">
        <v>462</v>
      </c>
      <c r="I952" s="726"/>
      <c r="J952" s="724"/>
      <c r="K952" s="724"/>
      <c r="L952" s="724"/>
      <c r="M952" s="728"/>
      <c r="N952" s="724"/>
      <c r="O952" s="724"/>
      <c r="P952" s="724"/>
      <c r="Q952" s="724"/>
      <c r="R952" s="724"/>
      <c r="S952" s="724"/>
      <c r="T952" s="724"/>
      <c r="U952" s="724"/>
      <c r="V952" s="724"/>
      <c r="W952" s="724"/>
      <c r="X952" s="724"/>
      <c r="Y952" s="724"/>
      <c r="Z952" s="724"/>
      <c r="AA952" s="724"/>
      <c r="AB952" s="724"/>
      <c r="AC952" s="729"/>
      <c r="AD952" s="724"/>
      <c r="AE952" s="724"/>
      <c r="AF952" s="724"/>
      <c r="AG952" s="724"/>
      <c r="AH952" s="724"/>
      <c r="AI952" s="724"/>
      <c r="AJ952" s="724"/>
      <c r="AU952" s="713"/>
      <c r="AW952" s="712"/>
      <c r="BY952" s="714"/>
      <c r="BZ952" s="715"/>
      <c r="CA952" s="716"/>
      <c r="CB952" s="717"/>
      <c r="CC952" s="717"/>
      <c r="CD952" s="717"/>
      <c r="CE952" s="717"/>
      <c r="CF952" s="717"/>
      <c r="CG952" s="717"/>
      <c r="CH952" s="717"/>
      <c r="CI952" s="717"/>
      <c r="CJ952" s="717"/>
      <c r="CK952" s="717"/>
      <c r="CL952" s="717"/>
      <c r="CM952" s="717"/>
      <c r="CN952" s="717"/>
      <c r="CO952" s="717"/>
      <c r="CP952" s="717"/>
      <c r="CQ952" s="717"/>
      <c r="CR952" s="717"/>
      <c r="CS952" s="717"/>
      <c r="CT952" s="717"/>
      <c r="CU952" s="717"/>
      <c r="CV952" s="717"/>
      <c r="CW952" s="717"/>
      <c r="CX952" s="717"/>
      <c r="CY952" s="717"/>
      <c r="CZ952" s="717"/>
      <c r="DA952" s="717"/>
      <c r="DB952" s="717"/>
      <c r="DC952" s="717"/>
      <c r="DD952" s="717"/>
      <c r="DE952" s="717"/>
      <c r="DF952" s="717"/>
      <c r="DG952" s="717"/>
      <c r="DH952" s="717"/>
      <c r="DI952" s="717"/>
      <c r="DJ952" s="717"/>
      <c r="DM952" s="711"/>
      <c r="DN952" s="711"/>
      <c r="DO952" s="711"/>
      <c r="DP952" s="711"/>
      <c r="DQ952" s="711"/>
      <c r="EB952" s="719"/>
    </row>
    <row r="953" spans="5:132" s="709" customFormat="1" ht="18" hidden="1">
      <c r="E953" s="721"/>
      <c r="H953" s="723">
        <v>463</v>
      </c>
      <c r="I953" s="726"/>
      <c r="J953" s="724"/>
      <c r="K953" s="724"/>
      <c r="L953" s="724"/>
      <c r="M953" s="728"/>
      <c r="N953" s="724"/>
      <c r="O953" s="724"/>
      <c r="P953" s="724"/>
      <c r="Q953" s="724"/>
      <c r="R953" s="724"/>
      <c r="S953" s="724"/>
      <c r="T953" s="724"/>
      <c r="U953" s="724"/>
      <c r="V953" s="724"/>
      <c r="W953" s="724"/>
      <c r="X953" s="724"/>
      <c r="Y953" s="724"/>
      <c r="Z953" s="724"/>
      <c r="AA953" s="724"/>
      <c r="AB953" s="724"/>
      <c r="AC953" s="729"/>
      <c r="AD953" s="724"/>
      <c r="AE953" s="724"/>
      <c r="AF953" s="724"/>
      <c r="AG953" s="724"/>
      <c r="AH953" s="724"/>
      <c r="AI953" s="724"/>
      <c r="AJ953" s="724"/>
      <c r="AU953" s="713"/>
      <c r="AW953" s="712"/>
      <c r="BY953" s="714"/>
      <c r="BZ953" s="715"/>
      <c r="CA953" s="716"/>
      <c r="CB953" s="717"/>
      <c r="CC953" s="717"/>
      <c r="CD953" s="717"/>
      <c r="CE953" s="717"/>
      <c r="CF953" s="717"/>
      <c r="CG953" s="717"/>
      <c r="CH953" s="717"/>
      <c r="CI953" s="717"/>
      <c r="CJ953" s="717"/>
      <c r="CK953" s="717"/>
      <c r="CL953" s="717"/>
      <c r="CM953" s="717"/>
      <c r="CN953" s="717"/>
      <c r="CO953" s="717"/>
      <c r="CP953" s="717"/>
      <c r="CQ953" s="717"/>
      <c r="CR953" s="717"/>
      <c r="CS953" s="717"/>
      <c r="CT953" s="717"/>
      <c r="CU953" s="717"/>
      <c r="CV953" s="717"/>
      <c r="CW953" s="717"/>
      <c r="CX953" s="717"/>
      <c r="CY953" s="717"/>
      <c r="CZ953" s="717"/>
      <c r="DA953" s="717"/>
      <c r="DB953" s="717"/>
      <c r="DC953" s="717"/>
      <c r="DD953" s="717"/>
      <c r="DE953" s="717"/>
      <c r="DF953" s="717"/>
      <c r="DG953" s="717"/>
      <c r="DH953" s="717"/>
      <c r="DI953" s="717"/>
      <c r="DJ953" s="717"/>
      <c r="DM953" s="711"/>
      <c r="DN953" s="711"/>
      <c r="DO953" s="711"/>
      <c r="DP953" s="711"/>
      <c r="DQ953" s="711"/>
      <c r="EB953" s="719"/>
    </row>
    <row r="954" spans="5:132" s="709" customFormat="1" ht="18" hidden="1">
      <c r="E954" s="721"/>
      <c r="H954" s="723">
        <v>464</v>
      </c>
      <c r="I954" s="726"/>
      <c r="J954" s="724"/>
      <c r="K954" s="724"/>
      <c r="L954" s="724"/>
      <c r="M954" s="728"/>
      <c r="N954" s="724"/>
      <c r="O954" s="724"/>
      <c r="P954" s="724"/>
      <c r="Q954" s="724"/>
      <c r="R954" s="724"/>
      <c r="S954" s="724"/>
      <c r="T954" s="724"/>
      <c r="U954" s="724"/>
      <c r="V954" s="724"/>
      <c r="W954" s="724"/>
      <c r="X954" s="724"/>
      <c r="Y954" s="724"/>
      <c r="Z954" s="724"/>
      <c r="AA954" s="724"/>
      <c r="AB954" s="724"/>
      <c r="AC954" s="729"/>
      <c r="AD954" s="724"/>
      <c r="AE954" s="724"/>
      <c r="AF954" s="724"/>
      <c r="AG954" s="724"/>
      <c r="AH954" s="724"/>
      <c r="AI954" s="724"/>
      <c r="AJ954" s="724"/>
      <c r="AU954" s="713"/>
      <c r="AW954" s="712"/>
      <c r="BY954" s="714"/>
      <c r="BZ954" s="715"/>
      <c r="CA954" s="716"/>
      <c r="CB954" s="717"/>
      <c r="CC954" s="717"/>
      <c r="CD954" s="717"/>
      <c r="CE954" s="717"/>
      <c r="CF954" s="717"/>
      <c r="CG954" s="717"/>
      <c r="CH954" s="717"/>
      <c r="CI954" s="717"/>
      <c r="CJ954" s="717"/>
      <c r="CK954" s="717"/>
      <c r="CL954" s="717"/>
      <c r="CM954" s="717"/>
      <c r="CN954" s="717"/>
      <c r="CO954" s="717"/>
      <c r="CP954" s="717"/>
      <c r="CQ954" s="717"/>
      <c r="CR954" s="717"/>
      <c r="CS954" s="717"/>
      <c r="CT954" s="717"/>
      <c r="CU954" s="717"/>
      <c r="CV954" s="717"/>
      <c r="CW954" s="717"/>
      <c r="CX954" s="717"/>
      <c r="CY954" s="717"/>
      <c r="CZ954" s="717"/>
      <c r="DA954" s="717"/>
      <c r="DB954" s="717"/>
      <c r="DC954" s="717"/>
      <c r="DD954" s="717"/>
      <c r="DE954" s="717"/>
      <c r="DF954" s="717"/>
      <c r="DG954" s="717"/>
      <c r="DH954" s="717"/>
      <c r="DI954" s="717"/>
      <c r="DJ954" s="717"/>
      <c r="DM954" s="711"/>
      <c r="DN954" s="711"/>
      <c r="DO954" s="711"/>
      <c r="DP954" s="711"/>
      <c r="DQ954" s="711"/>
      <c r="EB954" s="719"/>
    </row>
    <row r="955" spans="5:132" s="709" customFormat="1" ht="18" hidden="1">
      <c r="E955" s="721"/>
      <c r="H955" s="723">
        <v>465</v>
      </c>
      <c r="I955" s="726"/>
      <c r="J955" s="724"/>
      <c r="K955" s="724"/>
      <c r="L955" s="724"/>
      <c r="M955" s="728"/>
      <c r="N955" s="724"/>
      <c r="O955" s="724"/>
      <c r="P955" s="724"/>
      <c r="Q955" s="724"/>
      <c r="R955" s="724"/>
      <c r="S955" s="724"/>
      <c r="T955" s="724"/>
      <c r="U955" s="724"/>
      <c r="V955" s="724"/>
      <c r="W955" s="724"/>
      <c r="X955" s="724"/>
      <c r="Y955" s="724"/>
      <c r="Z955" s="724"/>
      <c r="AA955" s="724"/>
      <c r="AB955" s="724"/>
      <c r="AC955" s="729"/>
      <c r="AD955" s="724"/>
      <c r="AE955" s="724"/>
      <c r="AF955" s="724"/>
      <c r="AG955" s="724"/>
      <c r="AH955" s="724"/>
      <c r="AI955" s="724"/>
      <c r="AJ955" s="724"/>
      <c r="AU955" s="713"/>
      <c r="AW955" s="712"/>
      <c r="BY955" s="714"/>
      <c r="BZ955" s="715"/>
      <c r="CA955" s="716"/>
      <c r="CB955" s="717"/>
      <c r="CC955" s="717"/>
      <c r="CD955" s="717"/>
      <c r="CE955" s="717"/>
      <c r="CF955" s="717"/>
      <c r="CG955" s="717"/>
      <c r="CH955" s="717"/>
      <c r="CI955" s="717"/>
      <c r="CJ955" s="717"/>
      <c r="CK955" s="717"/>
      <c r="CL955" s="717"/>
      <c r="CM955" s="717"/>
      <c r="CN955" s="717"/>
      <c r="CO955" s="717"/>
      <c r="CP955" s="717"/>
      <c r="CQ955" s="717"/>
      <c r="CR955" s="717"/>
      <c r="CS955" s="717"/>
      <c r="CT955" s="717"/>
      <c r="CU955" s="717"/>
      <c r="CV955" s="717"/>
      <c r="CW955" s="717"/>
      <c r="CX955" s="717"/>
      <c r="CY955" s="717"/>
      <c r="CZ955" s="717"/>
      <c r="DA955" s="717"/>
      <c r="DB955" s="717"/>
      <c r="DC955" s="717"/>
      <c r="DD955" s="717"/>
      <c r="DE955" s="717"/>
      <c r="DF955" s="717"/>
      <c r="DG955" s="717"/>
      <c r="DH955" s="717"/>
      <c r="DI955" s="717"/>
      <c r="DJ955" s="717"/>
      <c r="DM955" s="711"/>
      <c r="DN955" s="711"/>
      <c r="DO955" s="711"/>
      <c r="DP955" s="711"/>
      <c r="DQ955" s="711"/>
      <c r="EB955" s="719"/>
    </row>
    <row r="956" spans="5:132" s="709" customFormat="1" ht="18" hidden="1">
      <c r="E956" s="721"/>
      <c r="H956" s="723">
        <v>466</v>
      </c>
      <c r="I956" s="726"/>
      <c r="J956" s="724"/>
      <c r="K956" s="724"/>
      <c r="L956" s="724"/>
      <c r="M956" s="728"/>
      <c r="N956" s="724"/>
      <c r="O956" s="724"/>
      <c r="P956" s="724"/>
      <c r="Q956" s="724"/>
      <c r="R956" s="724"/>
      <c r="S956" s="724"/>
      <c r="T956" s="724"/>
      <c r="U956" s="724"/>
      <c r="V956" s="724"/>
      <c r="W956" s="724"/>
      <c r="X956" s="724"/>
      <c r="Y956" s="724"/>
      <c r="Z956" s="724"/>
      <c r="AA956" s="724"/>
      <c r="AB956" s="724"/>
      <c r="AC956" s="729"/>
      <c r="AD956" s="724"/>
      <c r="AE956" s="724"/>
      <c r="AF956" s="724"/>
      <c r="AG956" s="724"/>
      <c r="AH956" s="724"/>
      <c r="AI956" s="724"/>
      <c r="AJ956" s="724"/>
      <c r="AU956" s="713"/>
      <c r="AW956" s="712"/>
      <c r="BY956" s="714"/>
      <c r="BZ956" s="715"/>
      <c r="CA956" s="716"/>
      <c r="CB956" s="717"/>
      <c r="CC956" s="717"/>
      <c r="CD956" s="717"/>
      <c r="CE956" s="717"/>
      <c r="CF956" s="717"/>
      <c r="CG956" s="717"/>
      <c r="CH956" s="717"/>
      <c r="CI956" s="717"/>
      <c r="CJ956" s="717"/>
      <c r="CK956" s="717"/>
      <c r="CL956" s="717"/>
      <c r="CM956" s="717"/>
      <c r="CN956" s="717"/>
      <c r="CO956" s="717"/>
      <c r="CP956" s="717"/>
      <c r="CQ956" s="717"/>
      <c r="CR956" s="717"/>
      <c r="CS956" s="717"/>
      <c r="CT956" s="717"/>
      <c r="CU956" s="717"/>
      <c r="CV956" s="717"/>
      <c r="CW956" s="717"/>
      <c r="CX956" s="717"/>
      <c r="CY956" s="717"/>
      <c r="CZ956" s="717"/>
      <c r="DA956" s="717"/>
      <c r="DB956" s="717"/>
      <c r="DC956" s="717"/>
      <c r="DD956" s="717"/>
      <c r="DE956" s="717"/>
      <c r="DF956" s="717"/>
      <c r="DG956" s="717"/>
      <c r="DH956" s="717"/>
      <c r="DI956" s="717"/>
      <c r="DJ956" s="717"/>
      <c r="DM956" s="711"/>
      <c r="DN956" s="711"/>
      <c r="DO956" s="711"/>
      <c r="DP956" s="711"/>
      <c r="DQ956" s="711"/>
      <c r="EB956" s="719"/>
    </row>
    <row r="957" spans="5:132" s="709" customFormat="1" ht="18" hidden="1">
      <c r="E957" s="727"/>
      <c r="H957" s="723">
        <v>467</v>
      </c>
      <c r="I957" s="726"/>
      <c r="J957" s="724"/>
      <c r="K957" s="724"/>
      <c r="L957" s="724"/>
      <c r="M957" s="728"/>
      <c r="N957" s="724"/>
      <c r="O957" s="724"/>
      <c r="P957" s="724"/>
      <c r="Q957" s="724"/>
      <c r="R957" s="724"/>
      <c r="S957" s="724"/>
      <c r="T957" s="724"/>
      <c r="U957" s="724"/>
      <c r="V957" s="724"/>
      <c r="W957" s="724"/>
      <c r="X957" s="724"/>
      <c r="Y957" s="724"/>
      <c r="Z957" s="724"/>
      <c r="AA957" s="724"/>
      <c r="AB957" s="724"/>
      <c r="AC957" s="729"/>
      <c r="AD957" s="724"/>
      <c r="AE957" s="724"/>
      <c r="AF957" s="724"/>
      <c r="AG957" s="724"/>
      <c r="AH957" s="724"/>
      <c r="AI957" s="724"/>
      <c r="AJ957" s="724"/>
      <c r="AU957" s="713"/>
      <c r="AW957" s="712"/>
      <c r="BY957" s="714"/>
      <c r="BZ957" s="715"/>
      <c r="CA957" s="716"/>
      <c r="CB957" s="717"/>
      <c r="CC957" s="717"/>
      <c r="CD957" s="717"/>
      <c r="CE957" s="717"/>
      <c r="CF957" s="717"/>
      <c r="CG957" s="717"/>
      <c r="CH957" s="717"/>
      <c r="CI957" s="717"/>
      <c r="CJ957" s="717"/>
      <c r="CK957" s="717"/>
      <c r="CL957" s="717"/>
      <c r="CM957" s="717"/>
      <c r="CN957" s="717"/>
      <c r="CO957" s="717"/>
      <c r="CP957" s="717"/>
      <c r="CQ957" s="717"/>
      <c r="CR957" s="717"/>
      <c r="CS957" s="717"/>
      <c r="CT957" s="717"/>
      <c r="CU957" s="717"/>
      <c r="CV957" s="717"/>
      <c r="CW957" s="717"/>
      <c r="CX957" s="717"/>
      <c r="CY957" s="717"/>
      <c r="CZ957" s="717"/>
      <c r="DA957" s="717"/>
      <c r="DB957" s="717"/>
      <c r="DC957" s="717"/>
      <c r="DD957" s="717"/>
      <c r="DE957" s="717"/>
      <c r="DF957" s="717"/>
      <c r="DG957" s="717"/>
      <c r="DH957" s="717"/>
      <c r="DI957" s="717"/>
      <c r="DJ957" s="717"/>
      <c r="DM957" s="711"/>
      <c r="DN957" s="711"/>
      <c r="DO957" s="711"/>
      <c r="DP957" s="711"/>
      <c r="DQ957" s="711"/>
      <c r="EB957" s="719"/>
    </row>
    <row r="958" spans="5:132" s="709" customFormat="1" ht="18" hidden="1">
      <c r="E958" s="721"/>
      <c r="H958" s="723">
        <v>469</v>
      </c>
      <c r="I958" s="726"/>
      <c r="J958" s="724"/>
      <c r="K958" s="724"/>
      <c r="L958" s="724"/>
      <c r="M958" s="728"/>
      <c r="N958" s="724"/>
      <c r="O958" s="724"/>
      <c r="P958" s="724"/>
      <c r="Q958" s="724"/>
      <c r="R958" s="724"/>
      <c r="S958" s="724"/>
      <c r="T958" s="724"/>
      <c r="U958" s="724"/>
      <c r="V958" s="724"/>
      <c r="W958" s="724"/>
      <c r="X958" s="724"/>
      <c r="Y958" s="724"/>
      <c r="Z958" s="724"/>
      <c r="AA958" s="724"/>
      <c r="AB958" s="724"/>
      <c r="AC958" s="729"/>
      <c r="AD958" s="724"/>
      <c r="AE958" s="724"/>
      <c r="AF958" s="724"/>
      <c r="AG958" s="724"/>
      <c r="AH958" s="724"/>
      <c r="AI958" s="724"/>
      <c r="AJ958" s="724"/>
      <c r="AU958" s="713"/>
      <c r="AW958" s="712"/>
      <c r="BY958" s="714"/>
      <c r="BZ958" s="715"/>
      <c r="CA958" s="716"/>
      <c r="CB958" s="717"/>
      <c r="CC958" s="717"/>
      <c r="CD958" s="717"/>
      <c r="CE958" s="717"/>
      <c r="CF958" s="717"/>
      <c r="CG958" s="717"/>
      <c r="CH958" s="717"/>
      <c r="CI958" s="717"/>
      <c r="CJ958" s="717"/>
      <c r="CK958" s="717"/>
      <c r="CL958" s="717"/>
      <c r="CM958" s="717"/>
      <c r="CN958" s="717"/>
      <c r="CO958" s="717"/>
      <c r="CP958" s="717"/>
      <c r="CQ958" s="717"/>
      <c r="CR958" s="717"/>
      <c r="CS958" s="717"/>
      <c r="CT958" s="717"/>
      <c r="CU958" s="717"/>
      <c r="CV958" s="717"/>
      <c r="CW958" s="717"/>
      <c r="CX958" s="717"/>
      <c r="CY958" s="717"/>
      <c r="CZ958" s="717"/>
      <c r="DA958" s="717"/>
      <c r="DB958" s="717"/>
      <c r="DC958" s="717"/>
      <c r="DD958" s="717"/>
      <c r="DE958" s="717"/>
      <c r="DF958" s="717"/>
      <c r="DG958" s="717"/>
      <c r="DH958" s="717"/>
      <c r="DI958" s="717"/>
      <c r="DJ958" s="717"/>
      <c r="DM958" s="711"/>
      <c r="DN958" s="711"/>
      <c r="DO958" s="711"/>
      <c r="DP958" s="711"/>
      <c r="DQ958" s="711"/>
      <c r="EB958" s="719"/>
    </row>
    <row r="959" spans="5:132" s="709" customFormat="1" ht="18" hidden="1">
      <c r="E959" s="721"/>
      <c r="H959" s="723">
        <v>470</v>
      </c>
      <c r="I959" s="726"/>
      <c r="J959" s="724"/>
      <c r="K959" s="724"/>
      <c r="L959" s="724"/>
      <c r="M959" s="728"/>
      <c r="N959" s="724"/>
      <c r="O959" s="724"/>
      <c r="P959" s="724"/>
      <c r="Q959" s="724"/>
      <c r="R959" s="724"/>
      <c r="S959" s="724"/>
      <c r="T959" s="724"/>
      <c r="U959" s="724"/>
      <c r="V959" s="724"/>
      <c r="W959" s="724"/>
      <c r="X959" s="724"/>
      <c r="Y959" s="724"/>
      <c r="Z959" s="724"/>
      <c r="AA959" s="724"/>
      <c r="AB959" s="724"/>
      <c r="AC959" s="729"/>
      <c r="AD959" s="724"/>
      <c r="AE959" s="724"/>
      <c r="AF959" s="724"/>
      <c r="AG959" s="724"/>
      <c r="AH959" s="724"/>
      <c r="AI959" s="724"/>
      <c r="AJ959" s="724"/>
      <c r="AU959" s="713"/>
      <c r="AW959" s="712"/>
      <c r="BY959" s="714"/>
      <c r="BZ959" s="715"/>
      <c r="CA959" s="716"/>
      <c r="CB959" s="717"/>
      <c r="CC959" s="717"/>
      <c r="CD959" s="717"/>
      <c r="CE959" s="717"/>
      <c r="CF959" s="717"/>
      <c r="CG959" s="717"/>
      <c r="CH959" s="717"/>
      <c r="CI959" s="717"/>
      <c r="CJ959" s="717"/>
      <c r="CK959" s="717"/>
      <c r="CL959" s="717"/>
      <c r="CM959" s="717"/>
      <c r="CN959" s="717"/>
      <c r="CO959" s="717"/>
      <c r="CP959" s="717"/>
      <c r="CQ959" s="717"/>
      <c r="CR959" s="717"/>
      <c r="CS959" s="717"/>
      <c r="CT959" s="717"/>
      <c r="CU959" s="717"/>
      <c r="CV959" s="717"/>
      <c r="CW959" s="717"/>
      <c r="CX959" s="717"/>
      <c r="CY959" s="717"/>
      <c r="CZ959" s="717"/>
      <c r="DA959" s="717"/>
      <c r="DB959" s="717"/>
      <c r="DC959" s="717"/>
      <c r="DD959" s="717"/>
      <c r="DE959" s="717"/>
      <c r="DF959" s="717"/>
      <c r="DG959" s="717"/>
      <c r="DH959" s="717"/>
      <c r="DI959" s="717"/>
      <c r="DJ959" s="717"/>
      <c r="DM959" s="711"/>
      <c r="DN959" s="711"/>
      <c r="DO959" s="711"/>
      <c r="DP959" s="711"/>
      <c r="DQ959" s="711"/>
      <c r="EB959" s="719"/>
    </row>
    <row r="960" spans="5:132" s="709" customFormat="1" ht="18" hidden="1">
      <c r="E960" s="721"/>
      <c r="H960" s="723">
        <v>471</v>
      </c>
      <c r="I960" s="726"/>
      <c r="J960" s="724"/>
      <c r="K960" s="724"/>
      <c r="L960" s="724"/>
      <c r="M960" s="728"/>
      <c r="N960" s="724"/>
      <c r="O960" s="724"/>
      <c r="P960" s="724"/>
      <c r="Q960" s="724"/>
      <c r="R960" s="724"/>
      <c r="S960" s="724"/>
      <c r="T960" s="724"/>
      <c r="U960" s="724"/>
      <c r="V960" s="724"/>
      <c r="W960" s="724"/>
      <c r="X960" s="724"/>
      <c r="Y960" s="724"/>
      <c r="Z960" s="724"/>
      <c r="AA960" s="724"/>
      <c r="AB960" s="724"/>
      <c r="AC960" s="729"/>
      <c r="AD960" s="724"/>
      <c r="AE960" s="724"/>
      <c r="AF960" s="724"/>
      <c r="AG960" s="724"/>
      <c r="AH960" s="724"/>
      <c r="AI960" s="724"/>
      <c r="AJ960" s="724"/>
      <c r="AU960" s="713"/>
      <c r="AW960" s="712"/>
      <c r="BY960" s="714"/>
      <c r="BZ960" s="715"/>
      <c r="CA960" s="716"/>
      <c r="CB960" s="717"/>
      <c r="CC960" s="717"/>
      <c r="CD960" s="717"/>
      <c r="CE960" s="717"/>
      <c r="CF960" s="717"/>
      <c r="CG960" s="717"/>
      <c r="CH960" s="717"/>
      <c r="CI960" s="717"/>
      <c r="CJ960" s="717"/>
      <c r="CK960" s="717"/>
      <c r="CL960" s="717"/>
      <c r="CM960" s="717"/>
      <c r="CN960" s="717"/>
      <c r="CO960" s="717"/>
      <c r="CP960" s="717"/>
      <c r="CQ960" s="717"/>
      <c r="CR960" s="717"/>
      <c r="CS960" s="717"/>
      <c r="CT960" s="717"/>
      <c r="CU960" s="717"/>
      <c r="CV960" s="717"/>
      <c r="CW960" s="717"/>
      <c r="CX960" s="717"/>
      <c r="CY960" s="717"/>
      <c r="CZ960" s="717"/>
      <c r="DA960" s="717"/>
      <c r="DB960" s="717"/>
      <c r="DC960" s="717"/>
      <c r="DD960" s="717"/>
      <c r="DE960" s="717"/>
      <c r="DF960" s="717"/>
      <c r="DG960" s="717"/>
      <c r="DH960" s="717"/>
      <c r="DI960" s="717"/>
      <c r="DJ960" s="717"/>
      <c r="DM960" s="711"/>
      <c r="DN960" s="711"/>
      <c r="DO960" s="711"/>
      <c r="DP960" s="711"/>
      <c r="DQ960" s="711"/>
      <c r="EB960" s="719"/>
    </row>
    <row r="961" spans="5:132" s="709" customFormat="1" ht="18" hidden="1">
      <c r="E961" s="721"/>
      <c r="H961" s="723">
        <v>472</v>
      </c>
      <c r="I961" s="726"/>
      <c r="J961" s="724"/>
      <c r="K961" s="724"/>
      <c r="L961" s="724"/>
      <c r="M961" s="728"/>
      <c r="N961" s="724"/>
      <c r="O961" s="724"/>
      <c r="P961" s="724"/>
      <c r="Q961" s="724"/>
      <c r="R961" s="724"/>
      <c r="S961" s="724"/>
      <c r="T961" s="724"/>
      <c r="U961" s="724"/>
      <c r="V961" s="724"/>
      <c r="W961" s="724"/>
      <c r="X961" s="724"/>
      <c r="Y961" s="724"/>
      <c r="Z961" s="724"/>
      <c r="AA961" s="724"/>
      <c r="AB961" s="724"/>
      <c r="AC961" s="729"/>
      <c r="AD961" s="724"/>
      <c r="AE961" s="724"/>
      <c r="AF961" s="724"/>
      <c r="AG961" s="724"/>
      <c r="AH961" s="724"/>
      <c r="AI961" s="724"/>
      <c r="AJ961" s="724"/>
      <c r="AU961" s="713"/>
      <c r="AW961" s="712"/>
      <c r="BY961" s="714"/>
      <c r="BZ961" s="715"/>
      <c r="CA961" s="716"/>
      <c r="CB961" s="717"/>
      <c r="CC961" s="717"/>
      <c r="CD961" s="717"/>
      <c r="CE961" s="717"/>
      <c r="CF961" s="717"/>
      <c r="CG961" s="717"/>
      <c r="CH961" s="717"/>
      <c r="CI961" s="717"/>
      <c r="CJ961" s="717"/>
      <c r="CK961" s="717"/>
      <c r="CL961" s="717"/>
      <c r="CM961" s="717"/>
      <c r="CN961" s="717"/>
      <c r="CO961" s="717"/>
      <c r="CP961" s="717"/>
      <c r="CQ961" s="717"/>
      <c r="CR961" s="717"/>
      <c r="CS961" s="717"/>
      <c r="CT961" s="717"/>
      <c r="CU961" s="717"/>
      <c r="CV961" s="717"/>
      <c r="CW961" s="717"/>
      <c r="CX961" s="717"/>
      <c r="CY961" s="717"/>
      <c r="CZ961" s="717"/>
      <c r="DA961" s="717"/>
      <c r="DB961" s="717"/>
      <c r="DC961" s="717"/>
      <c r="DD961" s="717"/>
      <c r="DE961" s="717"/>
      <c r="DF961" s="717"/>
      <c r="DG961" s="717"/>
      <c r="DH961" s="717"/>
      <c r="DI961" s="717"/>
      <c r="DJ961" s="717"/>
      <c r="DM961" s="711"/>
      <c r="DN961" s="711"/>
      <c r="DO961" s="711"/>
      <c r="DP961" s="711"/>
      <c r="DQ961" s="711"/>
      <c r="EB961" s="719"/>
    </row>
    <row r="962" spans="5:132" s="709" customFormat="1" ht="18" hidden="1">
      <c r="E962" s="721"/>
      <c r="H962" s="723">
        <v>473</v>
      </c>
      <c r="I962" s="726"/>
      <c r="J962" s="724"/>
      <c r="K962" s="724"/>
      <c r="L962" s="724"/>
      <c r="M962" s="728"/>
      <c r="N962" s="724"/>
      <c r="O962" s="724"/>
      <c r="P962" s="724"/>
      <c r="Q962" s="724"/>
      <c r="R962" s="724"/>
      <c r="S962" s="724"/>
      <c r="T962" s="724"/>
      <c r="U962" s="724"/>
      <c r="V962" s="724"/>
      <c r="W962" s="724"/>
      <c r="X962" s="724"/>
      <c r="Y962" s="724"/>
      <c r="Z962" s="724"/>
      <c r="AA962" s="724"/>
      <c r="AB962" s="724"/>
      <c r="AC962" s="729"/>
      <c r="AD962" s="724"/>
      <c r="AE962" s="724"/>
      <c r="AF962" s="724"/>
      <c r="AG962" s="724"/>
      <c r="AH962" s="724"/>
      <c r="AI962" s="724"/>
      <c r="AJ962" s="724"/>
      <c r="AU962" s="713"/>
      <c r="AW962" s="712"/>
      <c r="BY962" s="714"/>
      <c r="BZ962" s="715"/>
      <c r="CA962" s="716"/>
      <c r="CB962" s="717"/>
      <c r="CC962" s="717"/>
      <c r="CD962" s="717"/>
      <c r="CE962" s="717"/>
      <c r="CF962" s="717"/>
      <c r="CG962" s="717"/>
      <c r="CH962" s="717"/>
      <c r="CI962" s="717"/>
      <c r="CJ962" s="717"/>
      <c r="CK962" s="717"/>
      <c r="CL962" s="717"/>
      <c r="CM962" s="717"/>
      <c r="CN962" s="717"/>
      <c r="CO962" s="717"/>
      <c r="CP962" s="717"/>
      <c r="CQ962" s="717"/>
      <c r="CR962" s="717"/>
      <c r="CS962" s="717"/>
      <c r="CT962" s="717"/>
      <c r="CU962" s="717"/>
      <c r="CV962" s="717"/>
      <c r="CW962" s="717"/>
      <c r="CX962" s="717"/>
      <c r="CY962" s="717"/>
      <c r="CZ962" s="717"/>
      <c r="DA962" s="717"/>
      <c r="DB962" s="717"/>
      <c r="DC962" s="717"/>
      <c r="DD962" s="717"/>
      <c r="DE962" s="717"/>
      <c r="DF962" s="717"/>
      <c r="DG962" s="717"/>
      <c r="DH962" s="717"/>
      <c r="DI962" s="717"/>
      <c r="DJ962" s="717"/>
      <c r="DM962" s="711"/>
      <c r="DN962" s="711"/>
      <c r="DO962" s="711"/>
      <c r="DP962" s="711"/>
      <c r="DQ962" s="711"/>
      <c r="EB962" s="719"/>
    </row>
    <row r="963" spans="5:132" s="709" customFormat="1" ht="18" hidden="1">
      <c r="E963" s="721"/>
      <c r="H963" s="730">
        <v>474</v>
      </c>
      <c r="I963" s="726"/>
      <c r="J963" s="724"/>
      <c r="K963" s="724"/>
      <c r="L963" s="724"/>
      <c r="M963" s="728"/>
      <c r="N963" s="724"/>
      <c r="O963" s="724"/>
      <c r="P963" s="724"/>
      <c r="Q963" s="724"/>
      <c r="R963" s="724"/>
      <c r="S963" s="724"/>
      <c r="T963" s="724"/>
      <c r="U963" s="724"/>
      <c r="V963" s="724"/>
      <c r="W963" s="724"/>
      <c r="X963" s="724"/>
      <c r="Y963" s="724"/>
      <c r="Z963" s="724"/>
      <c r="AA963" s="724"/>
      <c r="AB963" s="724"/>
      <c r="AC963" s="729"/>
      <c r="AD963" s="724"/>
      <c r="AE963" s="724"/>
      <c r="AF963" s="724"/>
      <c r="AG963" s="724"/>
      <c r="AH963" s="724"/>
      <c r="AI963" s="724"/>
      <c r="AJ963" s="724"/>
      <c r="AU963" s="713"/>
      <c r="AW963" s="712"/>
      <c r="BY963" s="714"/>
      <c r="BZ963" s="715"/>
      <c r="CA963" s="716"/>
      <c r="CB963" s="717"/>
      <c r="CC963" s="717"/>
      <c r="CD963" s="717"/>
      <c r="CE963" s="717"/>
      <c r="CF963" s="717"/>
      <c r="CG963" s="717"/>
      <c r="CH963" s="717"/>
      <c r="CI963" s="717"/>
      <c r="CJ963" s="717"/>
      <c r="CK963" s="717"/>
      <c r="CL963" s="717"/>
      <c r="CM963" s="717"/>
      <c r="CN963" s="717"/>
      <c r="CO963" s="717"/>
      <c r="CP963" s="717"/>
      <c r="CQ963" s="717"/>
      <c r="CR963" s="717"/>
      <c r="CS963" s="717"/>
      <c r="CT963" s="717"/>
      <c r="CU963" s="717"/>
      <c r="CV963" s="717"/>
      <c r="CW963" s="717"/>
      <c r="CX963" s="717"/>
      <c r="CY963" s="717"/>
      <c r="CZ963" s="717"/>
      <c r="DA963" s="717"/>
      <c r="DB963" s="717"/>
      <c r="DC963" s="717"/>
      <c r="DD963" s="717"/>
      <c r="DE963" s="717"/>
      <c r="DF963" s="717"/>
      <c r="DG963" s="717"/>
      <c r="DH963" s="717"/>
      <c r="DI963" s="717"/>
      <c r="DJ963" s="717"/>
      <c r="DM963" s="711"/>
      <c r="DN963" s="711"/>
      <c r="DO963" s="711"/>
      <c r="DP963" s="711"/>
      <c r="DQ963" s="711"/>
      <c r="EB963" s="719"/>
    </row>
    <row r="964" spans="5:132" s="709" customFormat="1" ht="18" hidden="1">
      <c r="E964" s="721"/>
      <c r="H964" s="723">
        <v>475</v>
      </c>
      <c r="I964" s="726"/>
      <c r="J964" s="724"/>
      <c r="K964" s="724"/>
      <c r="L964" s="724"/>
      <c r="M964" s="728"/>
      <c r="N964" s="724"/>
      <c r="O964" s="724"/>
      <c r="P964" s="724"/>
      <c r="Q964" s="724"/>
      <c r="R964" s="724"/>
      <c r="S964" s="724"/>
      <c r="T964" s="724"/>
      <c r="U964" s="724"/>
      <c r="V964" s="724"/>
      <c r="W964" s="724"/>
      <c r="X964" s="724"/>
      <c r="Y964" s="724"/>
      <c r="Z964" s="724"/>
      <c r="AA964" s="724"/>
      <c r="AB964" s="724"/>
      <c r="AC964" s="729"/>
      <c r="AD964" s="724"/>
      <c r="AE964" s="724"/>
      <c r="AF964" s="724"/>
      <c r="AG964" s="724"/>
      <c r="AH964" s="724"/>
      <c r="AI964" s="724"/>
      <c r="AJ964" s="724"/>
      <c r="AU964" s="713"/>
      <c r="AW964" s="712"/>
      <c r="BY964" s="714"/>
      <c r="BZ964" s="715"/>
      <c r="CA964" s="716"/>
      <c r="CB964" s="717"/>
      <c r="CC964" s="717"/>
      <c r="CD964" s="717"/>
      <c r="CE964" s="717"/>
      <c r="CF964" s="717"/>
      <c r="CG964" s="717"/>
      <c r="CH964" s="717"/>
      <c r="CI964" s="717"/>
      <c r="CJ964" s="717"/>
      <c r="CK964" s="717"/>
      <c r="CL964" s="717"/>
      <c r="CM964" s="717"/>
      <c r="CN964" s="717"/>
      <c r="CO964" s="717"/>
      <c r="CP964" s="717"/>
      <c r="CQ964" s="717"/>
      <c r="CR964" s="717"/>
      <c r="CS964" s="717"/>
      <c r="CT964" s="717"/>
      <c r="CU964" s="717"/>
      <c r="CV964" s="717"/>
      <c r="CW964" s="717"/>
      <c r="CX964" s="717"/>
      <c r="CY964" s="717"/>
      <c r="CZ964" s="717"/>
      <c r="DA964" s="717"/>
      <c r="DB964" s="717"/>
      <c r="DC964" s="717"/>
      <c r="DD964" s="717"/>
      <c r="DE964" s="717"/>
      <c r="DF964" s="717"/>
      <c r="DG964" s="717"/>
      <c r="DH964" s="717"/>
      <c r="DI964" s="717"/>
      <c r="DJ964" s="717"/>
      <c r="DM964" s="711"/>
      <c r="DN964" s="711"/>
      <c r="DO964" s="711"/>
      <c r="DP964" s="711"/>
      <c r="DQ964" s="711"/>
      <c r="EB964" s="719"/>
    </row>
    <row r="965" spans="5:132" s="709" customFormat="1" ht="18" hidden="1">
      <c r="E965" s="721"/>
      <c r="H965" s="723">
        <v>476</v>
      </c>
      <c r="I965" s="726"/>
      <c r="J965" s="724"/>
      <c r="K965" s="724"/>
      <c r="L965" s="724"/>
      <c r="M965" s="728"/>
      <c r="N965" s="724"/>
      <c r="O965" s="724"/>
      <c r="P965" s="724"/>
      <c r="Q965" s="724"/>
      <c r="R965" s="724"/>
      <c r="S965" s="724"/>
      <c r="T965" s="724"/>
      <c r="U965" s="724"/>
      <c r="V965" s="724"/>
      <c r="W965" s="724"/>
      <c r="X965" s="724"/>
      <c r="Y965" s="724"/>
      <c r="Z965" s="724"/>
      <c r="AA965" s="724"/>
      <c r="AB965" s="724"/>
      <c r="AC965" s="729"/>
      <c r="AD965" s="724"/>
      <c r="AE965" s="724"/>
      <c r="AF965" s="724"/>
      <c r="AG965" s="724"/>
      <c r="AH965" s="724"/>
      <c r="AI965" s="724"/>
      <c r="AJ965" s="724"/>
      <c r="AU965" s="713"/>
      <c r="AW965" s="712"/>
      <c r="BY965" s="714"/>
      <c r="BZ965" s="715"/>
      <c r="CA965" s="716"/>
      <c r="CB965" s="717"/>
      <c r="CC965" s="717"/>
      <c r="CD965" s="717"/>
      <c r="CE965" s="717"/>
      <c r="CF965" s="717"/>
      <c r="CG965" s="717"/>
      <c r="CH965" s="717"/>
      <c r="CI965" s="717"/>
      <c r="CJ965" s="717"/>
      <c r="CK965" s="717"/>
      <c r="CL965" s="717"/>
      <c r="CM965" s="717"/>
      <c r="CN965" s="717"/>
      <c r="CO965" s="717"/>
      <c r="CP965" s="717"/>
      <c r="CQ965" s="717"/>
      <c r="CR965" s="717"/>
      <c r="CS965" s="717"/>
      <c r="CT965" s="717"/>
      <c r="CU965" s="717"/>
      <c r="CV965" s="717"/>
      <c r="CW965" s="717"/>
      <c r="CX965" s="717"/>
      <c r="CY965" s="717"/>
      <c r="CZ965" s="717"/>
      <c r="DA965" s="717"/>
      <c r="DB965" s="717"/>
      <c r="DC965" s="717"/>
      <c r="DD965" s="717"/>
      <c r="DE965" s="717"/>
      <c r="DF965" s="717"/>
      <c r="DG965" s="717"/>
      <c r="DH965" s="717"/>
      <c r="DI965" s="717"/>
      <c r="DJ965" s="717"/>
      <c r="DM965" s="711"/>
      <c r="DN965" s="711"/>
      <c r="DO965" s="711"/>
      <c r="DP965" s="711"/>
      <c r="DQ965" s="711"/>
      <c r="EB965" s="719"/>
    </row>
    <row r="966" spans="5:132" s="709" customFormat="1" ht="18" hidden="1">
      <c r="E966" s="721"/>
      <c r="H966" s="723">
        <v>477</v>
      </c>
      <c r="I966" s="726"/>
      <c r="J966" s="724"/>
      <c r="K966" s="724"/>
      <c r="L966" s="724"/>
      <c r="M966" s="728"/>
      <c r="N966" s="724"/>
      <c r="O966" s="724"/>
      <c r="P966" s="724"/>
      <c r="Q966" s="724"/>
      <c r="R966" s="724"/>
      <c r="S966" s="724"/>
      <c r="T966" s="724"/>
      <c r="U966" s="724"/>
      <c r="V966" s="724"/>
      <c r="W966" s="724"/>
      <c r="X966" s="724"/>
      <c r="Y966" s="724"/>
      <c r="Z966" s="724"/>
      <c r="AA966" s="724"/>
      <c r="AB966" s="724"/>
      <c r="AC966" s="729"/>
      <c r="AD966" s="724"/>
      <c r="AE966" s="724"/>
      <c r="AF966" s="724"/>
      <c r="AG966" s="724"/>
      <c r="AH966" s="724"/>
      <c r="AI966" s="724"/>
      <c r="AJ966" s="724"/>
      <c r="AU966" s="713"/>
      <c r="AW966" s="712"/>
      <c r="BY966" s="714"/>
      <c r="BZ966" s="715"/>
      <c r="CA966" s="716"/>
      <c r="CB966" s="717"/>
      <c r="CC966" s="717"/>
      <c r="CD966" s="717"/>
      <c r="CE966" s="717"/>
      <c r="CF966" s="717"/>
      <c r="CG966" s="717"/>
      <c r="CH966" s="717"/>
      <c r="CI966" s="717"/>
      <c r="CJ966" s="717"/>
      <c r="CK966" s="717"/>
      <c r="CL966" s="717"/>
      <c r="CM966" s="717"/>
      <c r="CN966" s="717"/>
      <c r="CO966" s="717"/>
      <c r="CP966" s="717"/>
      <c r="CQ966" s="717"/>
      <c r="CR966" s="717"/>
      <c r="CS966" s="717"/>
      <c r="CT966" s="717"/>
      <c r="CU966" s="717"/>
      <c r="CV966" s="717"/>
      <c r="CW966" s="717"/>
      <c r="CX966" s="717"/>
      <c r="CY966" s="717"/>
      <c r="CZ966" s="717"/>
      <c r="DA966" s="717"/>
      <c r="DB966" s="717"/>
      <c r="DC966" s="717"/>
      <c r="DD966" s="717"/>
      <c r="DE966" s="717"/>
      <c r="DF966" s="717"/>
      <c r="DG966" s="717"/>
      <c r="DH966" s="717"/>
      <c r="DI966" s="717"/>
      <c r="DJ966" s="717"/>
      <c r="DM966" s="711"/>
      <c r="DN966" s="711"/>
      <c r="DO966" s="711"/>
      <c r="DP966" s="711"/>
      <c r="DQ966" s="711"/>
      <c r="EB966" s="719"/>
    </row>
    <row r="967" spans="5:132" s="709" customFormat="1" ht="18" hidden="1">
      <c r="E967" s="721"/>
      <c r="H967" s="723">
        <v>478</v>
      </c>
      <c r="I967" s="726"/>
      <c r="J967" s="724"/>
      <c r="K967" s="724"/>
      <c r="L967" s="724"/>
      <c r="M967" s="728"/>
      <c r="N967" s="724"/>
      <c r="O967" s="724"/>
      <c r="P967" s="724"/>
      <c r="Q967" s="724"/>
      <c r="R967" s="724"/>
      <c r="S967" s="724"/>
      <c r="T967" s="724"/>
      <c r="U967" s="724"/>
      <c r="V967" s="724"/>
      <c r="W967" s="724"/>
      <c r="X967" s="724"/>
      <c r="Y967" s="724"/>
      <c r="Z967" s="724"/>
      <c r="AA967" s="724"/>
      <c r="AB967" s="724"/>
      <c r="AC967" s="729"/>
      <c r="AD967" s="724"/>
      <c r="AE967" s="724"/>
      <c r="AF967" s="724"/>
      <c r="AG967" s="724"/>
      <c r="AH967" s="724"/>
      <c r="AI967" s="724"/>
      <c r="AJ967" s="724"/>
      <c r="AU967" s="713"/>
      <c r="AW967" s="712"/>
      <c r="BY967" s="714"/>
      <c r="BZ967" s="715"/>
      <c r="CA967" s="716"/>
      <c r="CB967" s="717"/>
      <c r="CC967" s="717"/>
      <c r="CD967" s="717"/>
      <c r="CE967" s="717"/>
      <c r="CF967" s="717"/>
      <c r="CG967" s="717"/>
      <c r="CH967" s="717"/>
      <c r="CI967" s="717"/>
      <c r="CJ967" s="717"/>
      <c r="CK967" s="717"/>
      <c r="CL967" s="717"/>
      <c r="CM967" s="717"/>
      <c r="CN967" s="717"/>
      <c r="CO967" s="717"/>
      <c r="CP967" s="717"/>
      <c r="CQ967" s="717"/>
      <c r="CR967" s="717"/>
      <c r="CS967" s="717"/>
      <c r="CT967" s="717"/>
      <c r="CU967" s="717"/>
      <c r="CV967" s="717"/>
      <c r="CW967" s="717"/>
      <c r="CX967" s="717"/>
      <c r="CY967" s="717"/>
      <c r="CZ967" s="717"/>
      <c r="DA967" s="717"/>
      <c r="DB967" s="717"/>
      <c r="DC967" s="717"/>
      <c r="DD967" s="717"/>
      <c r="DE967" s="717"/>
      <c r="DF967" s="717"/>
      <c r="DG967" s="717"/>
      <c r="DH967" s="717"/>
      <c r="DI967" s="717"/>
      <c r="DJ967" s="717"/>
      <c r="DM967" s="711"/>
      <c r="DN967" s="711"/>
      <c r="DO967" s="711"/>
      <c r="DP967" s="711"/>
      <c r="DQ967" s="711"/>
      <c r="EB967" s="719"/>
    </row>
    <row r="968" spans="5:132" s="709" customFormat="1" ht="18" hidden="1">
      <c r="E968" s="721"/>
      <c r="H968" s="723">
        <v>479</v>
      </c>
      <c r="I968" s="726"/>
      <c r="J968" s="724"/>
      <c r="K968" s="724"/>
      <c r="L968" s="724"/>
      <c r="M968" s="728"/>
      <c r="N968" s="724"/>
      <c r="O968" s="724"/>
      <c r="P968" s="724"/>
      <c r="Q968" s="724"/>
      <c r="R968" s="724"/>
      <c r="S968" s="724"/>
      <c r="T968" s="724"/>
      <c r="U968" s="724"/>
      <c r="V968" s="724"/>
      <c r="W968" s="724"/>
      <c r="X968" s="724"/>
      <c r="Y968" s="724"/>
      <c r="Z968" s="724"/>
      <c r="AA968" s="724"/>
      <c r="AB968" s="724"/>
      <c r="AC968" s="729"/>
      <c r="AD968" s="724"/>
      <c r="AE968" s="724"/>
      <c r="AF968" s="724"/>
      <c r="AG968" s="724"/>
      <c r="AH968" s="724"/>
      <c r="AI968" s="724"/>
      <c r="AJ968" s="724"/>
      <c r="AU968" s="713"/>
      <c r="AW968" s="712"/>
      <c r="BY968" s="714"/>
      <c r="BZ968" s="715"/>
      <c r="CA968" s="716"/>
      <c r="CB968" s="717"/>
      <c r="CC968" s="717"/>
      <c r="CD968" s="717"/>
      <c r="CE968" s="717"/>
      <c r="CF968" s="717"/>
      <c r="CG968" s="717"/>
      <c r="CH968" s="717"/>
      <c r="CI968" s="717"/>
      <c r="CJ968" s="717"/>
      <c r="CK968" s="717"/>
      <c r="CL968" s="717"/>
      <c r="CM968" s="717"/>
      <c r="CN968" s="717"/>
      <c r="CO968" s="717"/>
      <c r="CP968" s="717"/>
      <c r="CQ968" s="717"/>
      <c r="CR968" s="717"/>
      <c r="CS968" s="717"/>
      <c r="CT968" s="717"/>
      <c r="CU968" s="717"/>
      <c r="CV968" s="717"/>
      <c r="CW968" s="717"/>
      <c r="CX968" s="717"/>
      <c r="CY968" s="717"/>
      <c r="CZ968" s="717"/>
      <c r="DA968" s="717"/>
      <c r="DB968" s="717"/>
      <c r="DC968" s="717"/>
      <c r="DD968" s="717"/>
      <c r="DE968" s="717"/>
      <c r="DF968" s="717"/>
      <c r="DG968" s="717"/>
      <c r="DH968" s="717"/>
      <c r="DI968" s="717"/>
      <c r="DJ968" s="717"/>
      <c r="DM968" s="711"/>
      <c r="DN968" s="711"/>
      <c r="DO968" s="711"/>
      <c r="DP968" s="711"/>
      <c r="DQ968" s="711"/>
      <c r="EB968" s="719"/>
    </row>
    <row r="969" spans="5:132" s="709" customFormat="1" ht="18" hidden="1">
      <c r="E969" s="721"/>
      <c r="H969" s="723">
        <v>480</v>
      </c>
      <c r="I969" s="726"/>
      <c r="J969" s="724"/>
      <c r="K969" s="724"/>
      <c r="L969" s="724"/>
      <c r="M969" s="728"/>
      <c r="N969" s="724"/>
      <c r="O969" s="724"/>
      <c r="P969" s="724"/>
      <c r="Q969" s="724"/>
      <c r="R969" s="724"/>
      <c r="S969" s="724"/>
      <c r="T969" s="724"/>
      <c r="U969" s="724"/>
      <c r="V969" s="724"/>
      <c r="W969" s="724"/>
      <c r="X969" s="724"/>
      <c r="Y969" s="724"/>
      <c r="Z969" s="724"/>
      <c r="AA969" s="724"/>
      <c r="AB969" s="724"/>
      <c r="AC969" s="729"/>
      <c r="AD969" s="724"/>
      <c r="AE969" s="724"/>
      <c r="AF969" s="724"/>
      <c r="AG969" s="724"/>
      <c r="AH969" s="724"/>
      <c r="AI969" s="724"/>
      <c r="AJ969" s="724"/>
      <c r="AU969" s="713"/>
      <c r="AW969" s="712"/>
      <c r="BY969" s="714"/>
      <c r="BZ969" s="715"/>
      <c r="CA969" s="716"/>
      <c r="CB969" s="717"/>
      <c r="CC969" s="717"/>
      <c r="CD969" s="717"/>
      <c r="CE969" s="717"/>
      <c r="CF969" s="717"/>
      <c r="CG969" s="717"/>
      <c r="CH969" s="717"/>
      <c r="CI969" s="717"/>
      <c r="CJ969" s="717"/>
      <c r="CK969" s="717"/>
      <c r="CL969" s="717"/>
      <c r="CM969" s="717"/>
      <c r="CN969" s="717"/>
      <c r="CO969" s="717"/>
      <c r="CP969" s="717"/>
      <c r="CQ969" s="717"/>
      <c r="CR969" s="717"/>
      <c r="CS969" s="717"/>
      <c r="CT969" s="717"/>
      <c r="CU969" s="717"/>
      <c r="CV969" s="717"/>
      <c r="CW969" s="717"/>
      <c r="CX969" s="717"/>
      <c r="CY969" s="717"/>
      <c r="CZ969" s="717"/>
      <c r="DA969" s="717"/>
      <c r="DB969" s="717"/>
      <c r="DC969" s="717"/>
      <c r="DD969" s="717"/>
      <c r="DE969" s="717"/>
      <c r="DF969" s="717"/>
      <c r="DG969" s="717"/>
      <c r="DH969" s="717"/>
      <c r="DI969" s="717"/>
      <c r="DJ969" s="717"/>
      <c r="DM969" s="711"/>
      <c r="DN969" s="711"/>
      <c r="DO969" s="711"/>
      <c r="DP969" s="711"/>
      <c r="DQ969" s="711"/>
      <c r="EB969" s="719"/>
    </row>
    <row r="970" spans="5:132" s="709" customFormat="1" ht="18" hidden="1">
      <c r="E970" s="721"/>
      <c r="H970" s="723">
        <v>481</v>
      </c>
      <c r="I970" s="726"/>
      <c r="J970" s="724"/>
      <c r="K970" s="724"/>
      <c r="L970" s="724"/>
      <c r="M970" s="728"/>
      <c r="N970" s="724"/>
      <c r="O970" s="724"/>
      <c r="P970" s="724"/>
      <c r="Q970" s="724"/>
      <c r="R970" s="724"/>
      <c r="S970" s="724"/>
      <c r="T970" s="724"/>
      <c r="U970" s="724"/>
      <c r="V970" s="724"/>
      <c r="W970" s="724"/>
      <c r="X970" s="724"/>
      <c r="Y970" s="724"/>
      <c r="Z970" s="724"/>
      <c r="AA970" s="724"/>
      <c r="AB970" s="724"/>
      <c r="AC970" s="729"/>
      <c r="AD970" s="724"/>
      <c r="AE970" s="724"/>
      <c r="AF970" s="724"/>
      <c r="AG970" s="724"/>
      <c r="AH970" s="724"/>
      <c r="AI970" s="724"/>
      <c r="AJ970" s="724"/>
      <c r="AU970" s="713"/>
      <c r="AW970" s="712"/>
      <c r="BY970" s="714"/>
      <c r="BZ970" s="715"/>
      <c r="CA970" s="716"/>
      <c r="CB970" s="717"/>
      <c r="CC970" s="717"/>
      <c r="CD970" s="717"/>
      <c r="CE970" s="717"/>
      <c r="CF970" s="717"/>
      <c r="CG970" s="717"/>
      <c r="CH970" s="717"/>
      <c r="CI970" s="717"/>
      <c r="CJ970" s="717"/>
      <c r="CK970" s="717"/>
      <c r="CL970" s="717"/>
      <c r="CM970" s="717"/>
      <c r="CN970" s="717"/>
      <c r="CO970" s="717"/>
      <c r="CP970" s="717"/>
      <c r="CQ970" s="717"/>
      <c r="CR970" s="717"/>
      <c r="CS970" s="717"/>
      <c r="CT970" s="717"/>
      <c r="CU970" s="717"/>
      <c r="CV970" s="717"/>
      <c r="CW970" s="717"/>
      <c r="CX970" s="717"/>
      <c r="CY970" s="717"/>
      <c r="CZ970" s="717"/>
      <c r="DA970" s="717"/>
      <c r="DB970" s="717"/>
      <c r="DC970" s="717"/>
      <c r="DD970" s="717"/>
      <c r="DE970" s="717"/>
      <c r="DF970" s="717"/>
      <c r="DG970" s="717"/>
      <c r="DH970" s="717"/>
      <c r="DI970" s="717"/>
      <c r="DJ970" s="717"/>
      <c r="DM970" s="711"/>
      <c r="DN970" s="711"/>
      <c r="DO970" s="711"/>
      <c r="DP970" s="711"/>
      <c r="DQ970" s="711"/>
      <c r="EB970" s="719"/>
    </row>
    <row r="971" spans="5:132" s="709" customFormat="1" ht="18" hidden="1">
      <c r="E971" s="721"/>
      <c r="H971" s="723">
        <v>482</v>
      </c>
      <c r="I971" s="726"/>
      <c r="J971" s="724"/>
      <c r="K971" s="724"/>
      <c r="L971" s="724"/>
      <c r="M971" s="728"/>
      <c r="N971" s="724"/>
      <c r="O971" s="724"/>
      <c r="P971" s="724"/>
      <c r="Q971" s="724"/>
      <c r="R971" s="724"/>
      <c r="S971" s="724"/>
      <c r="T971" s="724"/>
      <c r="U971" s="724"/>
      <c r="V971" s="724"/>
      <c r="W971" s="724"/>
      <c r="X971" s="724"/>
      <c r="Y971" s="724"/>
      <c r="Z971" s="724"/>
      <c r="AA971" s="724"/>
      <c r="AB971" s="724"/>
      <c r="AC971" s="729"/>
      <c r="AD971" s="724"/>
      <c r="AE971" s="724"/>
      <c r="AF971" s="724"/>
      <c r="AG971" s="724"/>
      <c r="AH971" s="724"/>
      <c r="AI971" s="724"/>
      <c r="AJ971" s="724"/>
      <c r="AU971" s="713"/>
      <c r="AW971" s="712"/>
      <c r="BY971" s="714"/>
      <c r="BZ971" s="715"/>
      <c r="CA971" s="716"/>
      <c r="CB971" s="717"/>
      <c r="CC971" s="717"/>
      <c r="CD971" s="717"/>
      <c r="CE971" s="717"/>
      <c r="CF971" s="717"/>
      <c r="CG971" s="717"/>
      <c r="CH971" s="717"/>
      <c r="CI971" s="717"/>
      <c r="CJ971" s="717"/>
      <c r="CK971" s="717"/>
      <c r="CL971" s="717"/>
      <c r="CM971" s="717"/>
      <c r="CN971" s="717"/>
      <c r="CO971" s="717"/>
      <c r="CP971" s="717"/>
      <c r="CQ971" s="717"/>
      <c r="CR971" s="717"/>
      <c r="CS971" s="717"/>
      <c r="CT971" s="717"/>
      <c r="CU971" s="717"/>
      <c r="CV971" s="717"/>
      <c r="CW971" s="717"/>
      <c r="CX971" s="717"/>
      <c r="CY971" s="717"/>
      <c r="CZ971" s="717"/>
      <c r="DA971" s="717"/>
      <c r="DB971" s="717"/>
      <c r="DC971" s="717"/>
      <c r="DD971" s="717"/>
      <c r="DE971" s="717"/>
      <c r="DF971" s="717"/>
      <c r="DG971" s="717"/>
      <c r="DH971" s="717"/>
      <c r="DI971" s="717"/>
      <c r="DJ971" s="717"/>
      <c r="DM971" s="711"/>
      <c r="DN971" s="711"/>
      <c r="DO971" s="711"/>
      <c r="DP971" s="711"/>
      <c r="DQ971" s="711"/>
      <c r="EB971" s="719"/>
    </row>
    <row r="972" spans="5:132" s="709" customFormat="1" ht="18" hidden="1">
      <c r="E972" s="721"/>
      <c r="H972" s="723">
        <v>483</v>
      </c>
      <c r="I972" s="726"/>
      <c r="J972" s="724"/>
      <c r="K972" s="724"/>
      <c r="L972" s="724"/>
      <c r="M972" s="728"/>
      <c r="N972" s="724"/>
      <c r="O972" s="724"/>
      <c r="P972" s="724"/>
      <c r="Q972" s="724"/>
      <c r="R972" s="724"/>
      <c r="S972" s="724"/>
      <c r="T972" s="724"/>
      <c r="U972" s="724"/>
      <c r="V972" s="724"/>
      <c r="W972" s="724"/>
      <c r="X972" s="724"/>
      <c r="Y972" s="724"/>
      <c r="Z972" s="724"/>
      <c r="AA972" s="724"/>
      <c r="AB972" s="724"/>
      <c r="AC972" s="729"/>
      <c r="AD972" s="724"/>
      <c r="AE972" s="724"/>
      <c r="AF972" s="724"/>
      <c r="AG972" s="724"/>
      <c r="AH972" s="724"/>
      <c r="AI972" s="724"/>
      <c r="AJ972" s="724"/>
      <c r="AU972" s="713"/>
      <c r="AW972" s="712"/>
      <c r="BY972" s="714"/>
      <c r="BZ972" s="715"/>
      <c r="CA972" s="716"/>
      <c r="CB972" s="717"/>
      <c r="CC972" s="717"/>
      <c r="CD972" s="717"/>
      <c r="CE972" s="717"/>
      <c r="CF972" s="717"/>
      <c r="CG972" s="717"/>
      <c r="CH972" s="717"/>
      <c r="CI972" s="717"/>
      <c r="CJ972" s="717"/>
      <c r="CK972" s="717"/>
      <c r="CL972" s="717"/>
      <c r="CM972" s="717"/>
      <c r="CN972" s="717"/>
      <c r="CO972" s="717"/>
      <c r="CP972" s="717"/>
      <c r="CQ972" s="717"/>
      <c r="CR972" s="717"/>
      <c r="CS972" s="717"/>
      <c r="CT972" s="717"/>
      <c r="CU972" s="717"/>
      <c r="CV972" s="717"/>
      <c r="CW972" s="717"/>
      <c r="CX972" s="717"/>
      <c r="CY972" s="717"/>
      <c r="CZ972" s="717"/>
      <c r="DA972" s="717"/>
      <c r="DB972" s="717"/>
      <c r="DC972" s="717"/>
      <c r="DD972" s="717"/>
      <c r="DE972" s="717"/>
      <c r="DF972" s="717"/>
      <c r="DG972" s="717"/>
      <c r="DH972" s="717"/>
      <c r="DI972" s="717"/>
      <c r="DJ972" s="717"/>
      <c r="DM972" s="711"/>
      <c r="DN972" s="711"/>
      <c r="DO972" s="711"/>
      <c r="DP972" s="711"/>
      <c r="DQ972" s="711"/>
      <c r="EB972" s="719"/>
    </row>
    <row r="973" spans="5:132" s="709" customFormat="1" ht="18" hidden="1">
      <c r="E973" s="721"/>
      <c r="H973" s="723">
        <v>484</v>
      </c>
      <c r="I973" s="726"/>
      <c r="J973" s="724"/>
      <c r="K973" s="724"/>
      <c r="L973" s="724"/>
      <c r="M973" s="728"/>
      <c r="N973" s="724"/>
      <c r="O973" s="724"/>
      <c r="P973" s="724"/>
      <c r="Q973" s="724"/>
      <c r="R973" s="724"/>
      <c r="S973" s="724"/>
      <c r="T973" s="724"/>
      <c r="U973" s="724"/>
      <c r="V973" s="724"/>
      <c r="W973" s="724"/>
      <c r="X973" s="724"/>
      <c r="Y973" s="724"/>
      <c r="Z973" s="724"/>
      <c r="AA973" s="724"/>
      <c r="AB973" s="724"/>
      <c r="AC973" s="729"/>
      <c r="AD973" s="724"/>
      <c r="AE973" s="724"/>
      <c r="AF973" s="724"/>
      <c r="AG973" s="724"/>
      <c r="AH973" s="724"/>
      <c r="AI973" s="724"/>
      <c r="AJ973" s="724"/>
      <c r="AU973" s="713"/>
      <c r="AW973" s="712"/>
      <c r="BY973" s="714"/>
      <c r="BZ973" s="715"/>
      <c r="CA973" s="716"/>
      <c r="CB973" s="717"/>
      <c r="CC973" s="717"/>
      <c r="CD973" s="717"/>
      <c r="CE973" s="717"/>
      <c r="CF973" s="717"/>
      <c r="CG973" s="717"/>
      <c r="CH973" s="717"/>
      <c r="CI973" s="717"/>
      <c r="CJ973" s="717"/>
      <c r="CK973" s="717"/>
      <c r="CL973" s="717"/>
      <c r="CM973" s="717"/>
      <c r="CN973" s="717"/>
      <c r="CO973" s="717"/>
      <c r="CP973" s="717"/>
      <c r="CQ973" s="717"/>
      <c r="CR973" s="717"/>
      <c r="CS973" s="717"/>
      <c r="CT973" s="717"/>
      <c r="CU973" s="717"/>
      <c r="CV973" s="717"/>
      <c r="CW973" s="717"/>
      <c r="CX973" s="717"/>
      <c r="CY973" s="717"/>
      <c r="CZ973" s="717"/>
      <c r="DA973" s="717"/>
      <c r="DB973" s="717"/>
      <c r="DC973" s="717"/>
      <c r="DD973" s="717"/>
      <c r="DE973" s="717"/>
      <c r="DF973" s="717"/>
      <c r="DG973" s="717"/>
      <c r="DH973" s="717"/>
      <c r="DI973" s="717"/>
      <c r="DJ973" s="717"/>
      <c r="DM973" s="711"/>
      <c r="DN973" s="711"/>
      <c r="DO973" s="711"/>
      <c r="DP973" s="711"/>
      <c r="DQ973" s="711"/>
      <c r="EB973" s="719"/>
    </row>
    <row r="974" spans="5:132" s="709" customFormat="1" ht="18" hidden="1">
      <c r="E974" s="721"/>
      <c r="H974" s="723">
        <v>485</v>
      </c>
      <c r="I974" s="726"/>
      <c r="J974" s="724"/>
      <c r="K974" s="724"/>
      <c r="L974" s="724"/>
      <c r="M974" s="728"/>
      <c r="N974" s="724"/>
      <c r="O974" s="724"/>
      <c r="P974" s="724"/>
      <c r="Q974" s="724"/>
      <c r="R974" s="724"/>
      <c r="S974" s="724"/>
      <c r="T974" s="724"/>
      <c r="U974" s="724"/>
      <c r="V974" s="724"/>
      <c r="W974" s="724"/>
      <c r="X974" s="724"/>
      <c r="Y974" s="724"/>
      <c r="Z974" s="724"/>
      <c r="AA974" s="724"/>
      <c r="AB974" s="724"/>
      <c r="AC974" s="729"/>
      <c r="AD974" s="724"/>
      <c r="AE974" s="724"/>
      <c r="AF974" s="724"/>
      <c r="AG974" s="724"/>
      <c r="AH974" s="724"/>
      <c r="AI974" s="724"/>
      <c r="AJ974" s="724"/>
      <c r="AU974" s="713"/>
      <c r="AW974" s="712"/>
      <c r="BY974" s="714"/>
      <c r="BZ974" s="715"/>
      <c r="CA974" s="716"/>
      <c r="CB974" s="717"/>
      <c r="CC974" s="717"/>
      <c r="CD974" s="717"/>
      <c r="CE974" s="717"/>
      <c r="CF974" s="717"/>
      <c r="CG974" s="717"/>
      <c r="CH974" s="717"/>
      <c r="CI974" s="717"/>
      <c r="CJ974" s="717"/>
      <c r="CK974" s="717"/>
      <c r="CL974" s="717"/>
      <c r="CM974" s="717"/>
      <c r="CN974" s="717"/>
      <c r="CO974" s="717"/>
      <c r="CP974" s="717"/>
      <c r="CQ974" s="717"/>
      <c r="CR974" s="717"/>
      <c r="CS974" s="717"/>
      <c r="CT974" s="717"/>
      <c r="CU974" s="717"/>
      <c r="CV974" s="717"/>
      <c r="CW974" s="717"/>
      <c r="CX974" s="717"/>
      <c r="CY974" s="717"/>
      <c r="CZ974" s="717"/>
      <c r="DA974" s="717"/>
      <c r="DB974" s="717"/>
      <c r="DC974" s="717"/>
      <c r="DD974" s="717"/>
      <c r="DE974" s="717"/>
      <c r="DF974" s="717"/>
      <c r="DG974" s="717"/>
      <c r="DH974" s="717"/>
      <c r="DI974" s="717"/>
      <c r="DJ974" s="717"/>
      <c r="DM974" s="711"/>
      <c r="DN974" s="711"/>
      <c r="DO974" s="711"/>
      <c r="DP974" s="711"/>
      <c r="DQ974" s="711"/>
      <c r="EB974" s="719"/>
    </row>
    <row r="975" spans="5:132" s="709" customFormat="1" ht="18" hidden="1">
      <c r="E975" s="721"/>
      <c r="H975" s="723">
        <v>487</v>
      </c>
      <c r="I975" s="726"/>
      <c r="J975" s="724"/>
      <c r="K975" s="724"/>
      <c r="L975" s="724"/>
      <c r="M975" s="728"/>
      <c r="N975" s="724"/>
      <c r="O975" s="724"/>
      <c r="P975" s="724"/>
      <c r="Q975" s="724"/>
      <c r="R975" s="724"/>
      <c r="S975" s="724"/>
      <c r="T975" s="724"/>
      <c r="U975" s="724"/>
      <c r="V975" s="724"/>
      <c r="W975" s="724"/>
      <c r="X975" s="724"/>
      <c r="Y975" s="724"/>
      <c r="Z975" s="724"/>
      <c r="AA975" s="724"/>
      <c r="AB975" s="724"/>
      <c r="AC975" s="729"/>
      <c r="AD975" s="724"/>
      <c r="AE975" s="724"/>
      <c r="AF975" s="724"/>
      <c r="AG975" s="724"/>
      <c r="AH975" s="724"/>
      <c r="AI975" s="724"/>
      <c r="AJ975" s="724"/>
      <c r="AU975" s="713"/>
      <c r="AW975" s="712"/>
      <c r="BY975" s="714"/>
      <c r="BZ975" s="715"/>
      <c r="CA975" s="716"/>
      <c r="CB975" s="717"/>
      <c r="CC975" s="717"/>
      <c r="CD975" s="717"/>
      <c r="CE975" s="717"/>
      <c r="CF975" s="717"/>
      <c r="CG975" s="717"/>
      <c r="CH975" s="717"/>
      <c r="CI975" s="717"/>
      <c r="CJ975" s="717"/>
      <c r="CK975" s="717"/>
      <c r="CL975" s="717"/>
      <c r="CM975" s="717"/>
      <c r="CN975" s="717"/>
      <c r="CO975" s="717"/>
      <c r="CP975" s="717"/>
      <c r="CQ975" s="717"/>
      <c r="CR975" s="717"/>
      <c r="CS975" s="717"/>
      <c r="CT975" s="717"/>
      <c r="CU975" s="717"/>
      <c r="CV975" s="717"/>
      <c r="CW975" s="717"/>
      <c r="CX975" s="717"/>
      <c r="CY975" s="717"/>
      <c r="CZ975" s="717"/>
      <c r="DA975" s="717"/>
      <c r="DB975" s="717"/>
      <c r="DC975" s="717"/>
      <c r="DD975" s="717"/>
      <c r="DE975" s="717"/>
      <c r="DF975" s="717"/>
      <c r="DG975" s="717"/>
      <c r="DH975" s="717"/>
      <c r="DI975" s="717"/>
      <c r="DJ975" s="717"/>
      <c r="DM975" s="711"/>
      <c r="DN975" s="711"/>
      <c r="DO975" s="711"/>
      <c r="DP975" s="711"/>
      <c r="DQ975" s="711"/>
      <c r="EB975" s="719"/>
    </row>
    <row r="976" spans="5:132" s="709" customFormat="1" ht="18" hidden="1">
      <c r="E976" s="721"/>
      <c r="H976" s="723">
        <v>488</v>
      </c>
      <c r="I976" s="726"/>
      <c r="J976" s="724"/>
      <c r="K976" s="724"/>
      <c r="L976" s="724"/>
      <c r="M976" s="728"/>
      <c r="N976" s="724"/>
      <c r="O976" s="724"/>
      <c r="P976" s="724"/>
      <c r="Q976" s="724"/>
      <c r="R976" s="724"/>
      <c r="S976" s="724"/>
      <c r="T976" s="724"/>
      <c r="U976" s="724"/>
      <c r="V976" s="724"/>
      <c r="W976" s="724"/>
      <c r="X976" s="724"/>
      <c r="Y976" s="724"/>
      <c r="Z976" s="724"/>
      <c r="AA976" s="724"/>
      <c r="AB976" s="724"/>
      <c r="AC976" s="729"/>
      <c r="AD976" s="724"/>
      <c r="AE976" s="724"/>
      <c r="AF976" s="724"/>
      <c r="AG976" s="724"/>
      <c r="AH976" s="724"/>
      <c r="AI976" s="724"/>
      <c r="AJ976" s="724"/>
      <c r="AU976" s="713"/>
      <c r="AW976" s="712"/>
      <c r="BY976" s="714"/>
      <c r="BZ976" s="715"/>
      <c r="CA976" s="716"/>
      <c r="CB976" s="717"/>
      <c r="CC976" s="717"/>
      <c r="CD976" s="717"/>
      <c r="CE976" s="717"/>
      <c r="CF976" s="717"/>
      <c r="CG976" s="717"/>
      <c r="CH976" s="717"/>
      <c r="CI976" s="717"/>
      <c r="CJ976" s="717"/>
      <c r="CK976" s="717"/>
      <c r="CL976" s="717"/>
      <c r="CM976" s="717"/>
      <c r="CN976" s="717"/>
      <c r="CO976" s="717"/>
      <c r="CP976" s="717"/>
      <c r="CQ976" s="717"/>
      <c r="CR976" s="717"/>
      <c r="CS976" s="717"/>
      <c r="CT976" s="717"/>
      <c r="CU976" s="717"/>
      <c r="CV976" s="717"/>
      <c r="CW976" s="717"/>
      <c r="CX976" s="717"/>
      <c r="CY976" s="717"/>
      <c r="CZ976" s="717"/>
      <c r="DA976" s="717"/>
      <c r="DB976" s="717"/>
      <c r="DC976" s="717"/>
      <c r="DD976" s="717"/>
      <c r="DE976" s="717"/>
      <c r="DF976" s="717"/>
      <c r="DG976" s="717"/>
      <c r="DH976" s="717"/>
      <c r="DI976" s="717"/>
      <c r="DJ976" s="717"/>
      <c r="DM976" s="711"/>
      <c r="DN976" s="711"/>
      <c r="DO976" s="711"/>
      <c r="DP976" s="711"/>
      <c r="DQ976" s="711"/>
      <c r="EB976" s="719"/>
    </row>
    <row r="977" spans="5:132" s="709" customFormat="1" ht="18" hidden="1">
      <c r="E977" s="721"/>
      <c r="H977" s="723">
        <v>489</v>
      </c>
      <c r="I977" s="726"/>
      <c r="J977" s="724"/>
      <c r="K977" s="724"/>
      <c r="L977" s="724"/>
      <c r="M977" s="728"/>
      <c r="N977" s="724"/>
      <c r="O977" s="724"/>
      <c r="P977" s="724"/>
      <c r="Q977" s="724"/>
      <c r="R977" s="724"/>
      <c r="S977" s="724"/>
      <c r="T977" s="724"/>
      <c r="U977" s="724"/>
      <c r="V977" s="724"/>
      <c r="W977" s="724"/>
      <c r="X977" s="724"/>
      <c r="Y977" s="724"/>
      <c r="Z977" s="724"/>
      <c r="AA977" s="724"/>
      <c r="AB977" s="724"/>
      <c r="AC977" s="729"/>
      <c r="AD977" s="724"/>
      <c r="AE977" s="724"/>
      <c r="AF977" s="724"/>
      <c r="AG977" s="724"/>
      <c r="AH977" s="724"/>
      <c r="AI977" s="724"/>
      <c r="AJ977" s="724"/>
      <c r="AU977" s="713"/>
      <c r="AW977" s="712"/>
      <c r="BY977" s="714"/>
      <c r="BZ977" s="715"/>
      <c r="CA977" s="716"/>
      <c r="CB977" s="717"/>
      <c r="CC977" s="717"/>
      <c r="CD977" s="717"/>
      <c r="CE977" s="717"/>
      <c r="CF977" s="717"/>
      <c r="CG977" s="717"/>
      <c r="CH977" s="717"/>
      <c r="CI977" s="717"/>
      <c r="CJ977" s="717"/>
      <c r="CK977" s="717"/>
      <c r="CL977" s="717"/>
      <c r="CM977" s="717"/>
      <c r="CN977" s="717"/>
      <c r="CO977" s="717"/>
      <c r="CP977" s="717"/>
      <c r="CQ977" s="717"/>
      <c r="CR977" s="717"/>
      <c r="CS977" s="717"/>
      <c r="CT977" s="717"/>
      <c r="CU977" s="717"/>
      <c r="CV977" s="717"/>
      <c r="CW977" s="717"/>
      <c r="CX977" s="717"/>
      <c r="CY977" s="717"/>
      <c r="CZ977" s="717"/>
      <c r="DA977" s="717"/>
      <c r="DB977" s="717"/>
      <c r="DC977" s="717"/>
      <c r="DD977" s="717"/>
      <c r="DE977" s="717"/>
      <c r="DF977" s="717"/>
      <c r="DG977" s="717"/>
      <c r="DH977" s="717"/>
      <c r="DI977" s="717"/>
      <c r="DJ977" s="717"/>
      <c r="DM977" s="711"/>
      <c r="DN977" s="711"/>
      <c r="DO977" s="711"/>
      <c r="DP977" s="711"/>
      <c r="DQ977" s="711"/>
      <c r="EB977" s="719"/>
    </row>
    <row r="978" spans="5:132" s="709" customFormat="1" ht="18" hidden="1">
      <c r="E978" s="721"/>
      <c r="H978" s="723">
        <v>490</v>
      </c>
      <c r="I978" s="726"/>
      <c r="J978" s="724"/>
      <c r="K978" s="724"/>
      <c r="L978" s="724"/>
      <c r="M978" s="728"/>
      <c r="N978" s="724"/>
      <c r="O978" s="724"/>
      <c r="P978" s="724"/>
      <c r="Q978" s="724"/>
      <c r="R978" s="724"/>
      <c r="S978" s="724"/>
      <c r="T978" s="724"/>
      <c r="U978" s="724"/>
      <c r="V978" s="724"/>
      <c r="W978" s="724"/>
      <c r="X978" s="724"/>
      <c r="Y978" s="724"/>
      <c r="Z978" s="724"/>
      <c r="AA978" s="724"/>
      <c r="AB978" s="724"/>
      <c r="AC978" s="729"/>
      <c r="AD978" s="724"/>
      <c r="AE978" s="724"/>
      <c r="AF978" s="724"/>
      <c r="AG978" s="724"/>
      <c r="AH978" s="724"/>
      <c r="AI978" s="724"/>
      <c r="AJ978" s="724"/>
      <c r="AU978" s="713"/>
      <c r="AW978" s="712"/>
      <c r="BY978" s="714"/>
      <c r="BZ978" s="715"/>
      <c r="CA978" s="716"/>
      <c r="CB978" s="717"/>
      <c r="CC978" s="717"/>
      <c r="CD978" s="717"/>
      <c r="CE978" s="717"/>
      <c r="CF978" s="717"/>
      <c r="CG978" s="717"/>
      <c r="CH978" s="717"/>
      <c r="CI978" s="717"/>
      <c r="CJ978" s="717"/>
      <c r="CK978" s="717"/>
      <c r="CL978" s="717"/>
      <c r="CM978" s="717"/>
      <c r="CN978" s="717"/>
      <c r="CO978" s="717"/>
      <c r="CP978" s="717"/>
      <c r="CQ978" s="717"/>
      <c r="CR978" s="717"/>
      <c r="CS978" s="717"/>
      <c r="CT978" s="717"/>
      <c r="CU978" s="717"/>
      <c r="CV978" s="717"/>
      <c r="CW978" s="717"/>
      <c r="CX978" s="717"/>
      <c r="CY978" s="717"/>
      <c r="CZ978" s="717"/>
      <c r="DA978" s="717"/>
      <c r="DB978" s="717"/>
      <c r="DC978" s="717"/>
      <c r="DD978" s="717"/>
      <c r="DE978" s="717"/>
      <c r="DF978" s="717"/>
      <c r="DG978" s="717"/>
      <c r="DH978" s="717"/>
      <c r="DI978" s="717"/>
      <c r="DJ978" s="717"/>
      <c r="DM978" s="711"/>
      <c r="DN978" s="711"/>
      <c r="DO978" s="711"/>
      <c r="DP978" s="711"/>
      <c r="DQ978" s="711"/>
      <c r="EB978" s="719"/>
    </row>
    <row r="979" spans="5:132" s="709" customFormat="1" ht="18" hidden="1">
      <c r="E979" s="721"/>
      <c r="H979" s="723">
        <v>491</v>
      </c>
      <c r="I979" s="726"/>
      <c r="J979" s="724"/>
      <c r="K979" s="724"/>
      <c r="L979" s="724"/>
      <c r="M979" s="728"/>
      <c r="N979" s="724"/>
      <c r="O979" s="724"/>
      <c r="P979" s="724"/>
      <c r="Q979" s="724"/>
      <c r="R979" s="724"/>
      <c r="S979" s="724"/>
      <c r="T979" s="724"/>
      <c r="U979" s="724"/>
      <c r="V979" s="724"/>
      <c r="W979" s="724"/>
      <c r="X979" s="724"/>
      <c r="Y979" s="724"/>
      <c r="Z979" s="724"/>
      <c r="AA979" s="724"/>
      <c r="AB979" s="724"/>
      <c r="AC979" s="729"/>
      <c r="AD979" s="724"/>
      <c r="AE979" s="724"/>
      <c r="AF979" s="724"/>
      <c r="AG979" s="724"/>
      <c r="AH979" s="724"/>
      <c r="AI979" s="724"/>
      <c r="AJ979" s="724"/>
      <c r="AU979" s="713"/>
      <c r="AW979" s="712"/>
      <c r="BY979" s="714"/>
      <c r="BZ979" s="715"/>
      <c r="CA979" s="716"/>
      <c r="CB979" s="717"/>
      <c r="CC979" s="717"/>
      <c r="CD979" s="717"/>
      <c r="CE979" s="717"/>
      <c r="CF979" s="717"/>
      <c r="CG979" s="717"/>
      <c r="CH979" s="717"/>
      <c r="CI979" s="717"/>
      <c r="CJ979" s="717"/>
      <c r="CK979" s="717"/>
      <c r="CL979" s="717"/>
      <c r="CM979" s="717"/>
      <c r="CN979" s="717"/>
      <c r="CO979" s="717"/>
      <c r="CP979" s="717"/>
      <c r="CQ979" s="717"/>
      <c r="CR979" s="717"/>
      <c r="CS979" s="717"/>
      <c r="CT979" s="717"/>
      <c r="CU979" s="717"/>
      <c r="CV979" s="717"/>
      <c r="CW979" s="717"/>
      <c r="CX979" s="717"/>
      <c r="CY979" s="717"/>
      <c r="CZ979" s="717"/>
      <c r="DA979" s="717"/>
      <c r="DB979" s="717"/>
      <c r="DC979" s="717"/>
      <c r="DD979" s="717"/>
      <c r="DE979" s="717"/>
      <c r="DF979" s="717"/>
      <c r="DG979" s="717"/>
      <c r="DH979" s="717"/>
      <c r="DI979" s="717"/>
      <c r="DJ979" s="717"/>
      <c r="DM979" s="711"/>
      <c r="DN979" s="711"/>
      <c r="DO979" s="711"/>
      <c r="DP979" s="711"/>
      <c r="DQ979" s="711"/>
      <c r="EB979" s="719"/>
    </row>
    <row r="980" spans="5:132" s="709" customFormat="1" ht="18" hidden="1">
      <c r="E980" s="721"/>
      <c r="H980" s="723">
        <v>492</v>
      </c>
      <c r="I980" s="726"/>
      <c r="J980" s="724"/>
      <c r="K980" s="724"/>
      <c r="L980" s="724"/>
      <c r="M980" s="728"/>
      <c r="N980" s="724"/>
      <c r="O980" s="724"/>
      <c r="P980" s="724"/>
      <c r="Q980" s="724"/>
      <c r="R980" s="724"/>
      <c r="S980" s="724"/>
      <c r="T980" s="724"/>
      <c r="U980" s="724"/>
      <c r="V980" s="724"/>
      <c r="W980" s="724"/>
      <c r="X980" s="724"/>
      <c r="Y980" s="724"/>
      <c r="Z980" s="724"/>
      <c r="AA980" s="724"/>
      <c r="AB980" s="724"/>
      <c r="AC980" s="729"/>
      <c r="AD980" s="724"/>
      <c r="AE980" s="724"/>
      <c r="AF980" s="724"/>
      <c r="AG980" s="724"/>
      <c r="AH980" s="724"/>
      <c r="AI980" s="724"/>
      <c r="AJ980" s="724"/>
      <c r="AU980" s="713"/>
      <c r="AW980" s="712"/>
      <c r="BY980" s="714"/>
      <c r="BZ980" s="715"/>
      <c r="CA980" s="716"/>
      <c r="CB980" s="717"/>
      <c r="CC980" s="717"/>
      <c r="CD980" s="717"/>
      <c r="CE980" s="717"/>
      <c r="CF980" s="717"/>
      <c r="CG980" s="717"/>
      <c r="CH980" s="717"/>
      <c r="CI980" s="717"/>
      <c r="CJ980" s="717"/>
      <c r="CK980" s="717"/>
      <c r="CL980" s="717"/>
      <c r="CM980" s="717"/>
      <c r="CN980" s="717"/>
      <c r="CO980" s="717"/>
      <c r="CP980" s="717"/>
      <c r="CQ980" s="717"/>
      <c r="CR980" s="717"/>
      <c r="CS980" s="717"/>
      <c r="CT980" s="717"/>
      <c r="CU980" s="717"/>
      <c r="CV980" s="717"/>
      <c r="CW980" s="717"/>
      <c r="CX980" s="717"/>
      <c r="CY980" s="717"/>
      <c r="CZ980" s="717"/>
      <c r="DA980" s="717"/>
      <c r="DB980" s="717"/>
      <c r="DC980" s="717"/>
      <c r="DD980" s="717"/>
      <c r="DE980" s="717"/>
      <c r="DF980" s="717"/>
      <c r="DG980" s="717"/>
      <c r="DH980" s="717"/>
      <c r="DI980" s="717"/>
      <c r="DJ980" s="717"/>
      <c r="DM980" s="711"/>
      <c r="DN980" s="711"/>
      <c r="DO980" s="711"/>
      <c r="DP980" s="711"/>
      <c r="DQ980" s="711"/>
      <c r="EB980" s="719"/>
    </row>
    <row r="981" spans="5:132" s="709" customFormat="1" ht="18" hidden="1">
      <c r="E981" s="721"/>
      <c r="H981" s="723">
        <v>493</v>
      </c>
      <c r="I981" s="726"/>
      <c r="J981" s="724"/>
      <c r="K981" s="724"/>
      <c r="L981" s="724"/>
      <c r="M981" s="728"/>
      <c r="N981" s="724"/>
      <c r="O981" s="724"/>
      <c r="P981" s="724"/>
      <c r="Q981" s="724"/>
      <c r="R981" s="724"/>
      <c r="S981" s="724"/>
      <c r="T981" s="724"/>
      <c r="U981" s="724"/>
      <c r="V981" s="724"/>
      <c r="W981" s="724"/>
      <c r="X981" s="724"/>
      <c r="Y981" s="724"/>
      <c r="Z981" s="724"/>
      <c r="AA981" s="724"/>
      <c r="AB981" s="724"/>
      <c r="AC981" s="729"/>
      <c r="AD981" s="724"/>
      <c r="AE981" s="724"/>
      <c r="AF981" s="724"/>
      <c r="AG981" s="724"/>
      <c r="AH981" s="724"/>
      <c r="AI981" s="724"/>
      <c r="AJ981" s="724"/>
      <c r="AU981" s="713"/>
      <c r="AW981" s="712"/>
      <c r="BY981" s="714"/>
      <c r="BZ981" s="715"/>
      <c r="CA981" s="716"/>
      <c r="CB981" s="717"/>
      <c r="CC981" s="717"/>
      <c r="CD981" s="717"/>
      <c r="CE981" s="717"/>
      <c r="CF981" s="717"/>
      <c r="CG981" s="717"/>
      <c r="CH981" s="717"/>
      <c r="CI981" s="717"/>
      <c r="CJ981" s="717"/>
      <c r="CK981" s="717"/>
      <c r="CL981" s="717"/>
      <c r="CM981" s="717"/>
      <c r="CN981" s="717"/>
      <c r="CO981" s="717"/>
      <c r="CP981" s="717"/>
      <c r="CQ981" s="717"/>
      <c r="CR981" s="717"/>
      <c r="CS981" s="717"/>
      <c r="CT981" s="717"/>
      <c r="CU981" s="717"/>
      <c r="CV981" s="717"/>
      <c r="CW981" s="717"/>
      <c r="CX981" s="717"/>
      <c r="CY981" s="717"/>
      <c r="CZ981" s="717"/>
      <c r="DA981" s="717"/>
      <c r="DB981" s="717"/>
      <c r="DC981" s="717"/>
      <c r="DD981" s="717"/>
      <c r="DE981" s="717"/>
      <c r="DF981" s="717"/>
      <c r="DG981" s="717"/>
      <c r="DH981" s="717"/>
      <c r="DI981" s="717"/>
      <c r="DJ981" s="717"/>
      <c r="DM981" s="711"/>
      <c r="DN981" s="711"/>
      <c r="DO981" s="711"/>
      <c r="DP981" s="711"/>
      <c r="DQ981" s="711"/>
      <c r="EB981" s="719"/>
    </row>
    <row r="982" spans="5:132" s="709" customFormat="1" ht="18" hidden="1">
      <c r="E982" s="721"/>
      <c r="H982" s="723">
        <v>494</v>
      </c>
      <c r="I982" s="726"/>
      <c r="J982" s="724"/>
      <c r="K982" s="724"/>
      <c r="L982" s="724"/>
      <c r="M982" s="728"/>
      <c r="N982" s="724"/>
      <c r="O982" s="724"/>
      <c r="P982" s="724"/>
      <c r="Q982" s="724"/>
      <c r="R982" s="724"/>
      <c r="S982" s="724"/>
      <c r="T982" s="724"/>
      <c r="U982" s="724"/>
      <c r="V982" s="724"/>
      <c r="W982" s="724"/>
      <c r="X982" s="724"/>
      <c r="Y982" s="724"/>
      <c r="Z982" s="724"/>
      <c r="AA982" s="724"/>
      <c r="AB982" s="724"/>
      <c r="AC982" s="729"/>
      <c r="AD982" s="724"/>
      <c r="AE982" s="724"/>
      <c r="AF982" s="724"/>
      <c r="AG982" s="724"/>
      <c r="AH982" s="724"/>
      <c r="AI982" s="724"/>
      <c r="AJ982" s="724"/>
      <c r="AU982" s="713"/>
      <c r="AW982" s="712"/>
      <c r="BY982" s="714"/>
      <c r="BZ982" s="715"/>
      <c r="CA982" s="716"/>
      <c r="CB982" s="717"/>
      <c r="CC982" s="717"/>
      <c r="CD982" s="717"/>
      <c r="CE982" s="717"/>
      <c r="CF982" s="717"/>
      <c r="CG982" s="717"/>
      <c r="CH982" s="717"/>
      <c r="CI982" s="717"/>
      <c r="CJ982" s="717"/>
      <c r="CK982" s="717"/>
      <c r="CL982" s="717"/>
      <c r="CM982" s="717"/>
      <c r="CN982" s="717"/>
      <c r="CO982" s="717"/>
      <c r="CP982" s="717"/>
      <c r="CQ982" s="717"/>
      <c r="CR982" s="717"/>
      <c r="CS982" s="717"/>
      <c r="CT982" s="717"/>
      <c r="CU982" s="717"/>
      <c r="CV982" s="717"/>
      <c r="CW982" s="717"/>
      <c r="CX982" s="717"/>
      <c r="CY982" s="717"/>
      <c r="CZ982" s="717"/>
      <c r="DA982" s="717"/>
      <c r="DB982" s="717"/>
      <c r="DC982" s="717"/>
      <c r="DD982" s="717"/>
      <c r="DE982" s="717"/>
      <c r="DF982" s="717"/>
      <c r="DG982" s="717"/>
      <c r="DH982" s="717"/>
      <c r="DI982" s="717"/>
      <c r="DJ982" s="717"/>
      <c r="DM982" s="711"/>
      <c r="DN982" s="711"/>
      <c r="DO982" s="711"/>
      <c r="DP982" s="711"/>
      <c r="DQ982" s="711"/>
      <c r="EB982" s="719"/>
    </row>
    <row r="983" spans="5:132" s="709" customFormat="1" ht="18" hidden="1">
      <c r="E983" s="721"/>
      <c r="H983" s="723">
        <v>495</v>
      </c>
      <c r="I983" s="726"/>
      <c r="J983" s="724"/>
      <c r="K983" s="724"/>
      <c r="L983" s="724"/>
      <c r="M983" s="728"/>
      <c r="N983" s="724"/>
      <c r="O983" s="724"/>
      <c r="P983" s="724"/>
      <c r="Q983" s="724"/>
      <c r="R983" s="724"/>
      <c r="S983" s="724"/>
      <c r="T983" s="724"/>
      <c r="U983" s="724"/>
      <c r="V983" s="724"/>
      <c r="W983" s="724"/>
      <c r="X983" s="724"/>
      <c r="Y983" s="724"/>
      <c r="Z983" s="724"/>
      <c r="AA983" s="724"/>
      <c r="AB983" s="724"/>
      <c r="AC983" s="729"/>
      <c r="AD983" s="724"/>
      <c r="AE983" s="724"/>
      <c r="AF983" s="724"/>
      <c r="AG983" s="724"/>
      <c r="AH983" s="724"/>
      <c r="AI983" s="724"/>
      <c r="AJ983" s="724"/>
      <c r="AU983" s="713"/>
      <c r="AW983" s="712"/>
      <c r="BY983" s="714"/>
      <c r="BZ983" s="715"/>
      <c r="CA983" s="716"/>
      <c r="CB983" s="717"/>
      <c r="CC983" s="717"/>
      <c r="CD983" s="717"/>
      <c r="CE983" s="717"/>
      <c r="CF983" s="717"/>
      <c r="CG983" s="717"/>
      <c r="CH983" s="717"/>
      <c r="CI983" s="717"/>
      <c r="CJ983" s="717"/>
      <c r="CK983" s="717"/>
      <c r="CL983" s="717"/>
      <c r="CM983" s="717"/>
      <c r="CN983" s="717"/>
      <c r="CO983" s="717"/>
      <c r="CP983" s="717"/>
      <c r="CQ983" s="717"/>
      <c r="CR983" s="717"/>
      <c r="CS983" s="717"/>
      <c r="CT983" s="717"/>
      <c r="CU983" s="717"/>
      <c r="CV983" s="717"/>
      <c r="CW983" s="717"/>
      <c r="CX983" s="717"/>
      <c r="CY983" s="717"/>
      <c r="CZ983" s="717"/>
      <c r="DA983" s="717"/>
      <c r="DB983" s="717"/>
      <c r="DC983" s="717"/>
      <c r="DD983" s="717"/>
      <c r="DE983" s="717"/>
      <c r="DF983" s="717"/>
      <c r="DG983" s="717"/>
      <c r="DH983" s="717"/>
      <c r="DI983" s="717"/>
      <c r="DJ983" s="717"/>
      <c r="DM983" s="711"/>
      <c r="DN983" s="711"/>
      <c r="DO983" s="711"/>
      <c r="DP983" s="711"/>
      <c r="DQ983" s="711"/>
      <c r="EB983" s="719"/>
    </row>
    <row r="984" spans="5:132" s="709" customFormat="1" ht="18" hidden="1">
      <c r="E984" s="721"/>
      <c r="H984" s="723">
        <v>496</v>
      </c>
      <c r="I984" s="726"/>
      <c r="J984" s="724"/>
      <c r="K984" s="724"/>
      <c r="L984" s="724"/>
      <c r="M984" s="728"/>
      <c r="N984" s="724"/>
      <c r="O984" s="724"/>
      <c r="P984" s="724"/>
      <c r="Q984" s="724"/>
      <c r="R984" s="724"/>
      <c r="S984" s="724"/>
      <c r="T984" s="724"/>
      <c r="U984" s="724"/>
      <c r="V984" s="724"/>
      <c r="W984" s="724"/>
      <c r="X984" s="724"/>
      <c r="Y984" s="724"/>
      <c r="Z984" s="724"/>
      <c r="AA984" s="724"/>
      <c r="AB984" s="724"/>
      <c r="AC984" s="729"/>
      <c r="AD984" s="724"/>
      <c r="AE984" s="724"/>
      <c r="AF984" s="724"/>
      <c r="AG984" s="724"/>
      <c r="AH984" s="724"/>
      <c r="AI984" s="724"/>
      <c r="AJ984" s="724"/>
      <c r="AU984" s="713"/>
      <c r="AW984" s="712"/>
      <c r="BY984" s="714"/>
      <c r="BZ984" s="715"/>
      <c r="CA984" s="716"/>
      <c r="CB984" s="717"/>
      <c r="CC984" s="717"/>
      <c r="CD984" s="717"/>
      <c r="CE984" s="717"/>
      <c r="CF984" s="717"/>
      <c r="CG984" s="717"/>
      <c r="CH984" s="717"/>
      <c r="CI984" s="717"/>
      <c r="CJ984" s="717"/>
      <c r="CK984" s="717"/>
      <c r="CL984" s="717"/>
      <c r="CM984" s="717"/>
      <c r="CN984" s="717"/>
      <c r="CO984" s="717"/>
      <c r="CP984" s="717"/>
      <c r="CQ984" s="717"/>
      <c r="CR984" s="717"/>
      <c r="CS984" s="717"/>
      <c r="CT984" s="717"/>
      <c r="CU984" s="717"/>
      <c r="CV984" s="717"/>
      <c r="CW984" s="717"/>
      <c r="CX984" s="717"/>
      <c r="CY984" s="717"/>
      <c r="CZ984" s="717"/>
      <c r="DA984" s="717"/>
      <c r="DB984" s="717"/>
      <c r="DC984" s="717"/>
      <c r="DD984" s="717"/>
      <c r="DE984" s="717"/>
      <c r="DF984" s="717"/>
      <c r="DG984" s="717"/>
      <c r="DH984" s="717"/>
      <c r="DI984" s="717"/>
      <c r="DJ984" s="717"/>
      <c r="DM984" s="711"/>
      <c r="DN984" s="711"/>
      <c r="DO984" s="711"/>
      <c r="DP984" s="711"/>
      <c r="DQ984" s="711"/>
      <c r="EB984" s="719"/>
    </row>
    <row r="985" spans="5:132" s="709" customFormat="1" ht="18" hidden="1">
      <c r="E985" s="721"/>
      <c r="H985" s="723">
        <v>498</v>
      </c>
      <c r="I985" s="726"/>
      <c r="J985" s="724"/>
      <c r="K985" s="724"/>
      <c r="L985" s="724"/>
      <c r="M985" s="728"/>
      <c r="N985" s="724"/>
      <c r="O985" s="724"/>
      <c r="P985" s="724"/>
      <c r="Q985" s="724"/>
      <c r="R985" s="724"/>
      <c r="S985" s="724"/>
      <c r="T985" s="724"/>
      <c r="U985" s="724"/>
      <c r="V985" s="724"/>
      <c r="W985" s="724"/>
      <c r="X985" s="724"/>
      <c r="Y985" s="724"/>
      <c r="Z985" s="724"/>
      <c r="AA985" s="724"/>
      <c r="AB985" s="724"/>
      <c r="AC985" s="729"/>
      <c r="AD985" s="724"/>
      <c r="AE985" s="724"/>
      <c r="AF985" s="724"/>
      <c r="AG985" s="724"/>
      <c r="AH985" s="724"/>
      <c r="AI985" s="724"/>
      <c r="AJ985" s="724"/>
      <c r="AU985" s="713"/>
      <c r="AW985" s="712"/>
      <c r="BY985" s="714"/>
      <c r="BZ985" s="715"/>
      <c r="CA985" s="716"/>
      <c r="CB985" s="717"/>
      <c r="CC985" s="717"/>
      <c r="CD985" s="717"/>
      <c r="CE985" s="717"/>
      <c r="CF985" s="717"/>
      <c r="CG985" s="717"/>
      <c r="CH985" s="717"/>
      <c r="CI985" s="717"/>
      <c r="CJ985" s="717"/>
      <c r="CK985" s="717"/>
      <c r="CL985" s="717"/>
      <c r="CM985" s="717"/>
      <c r="CN985" s="717"/>
      <c r="CO985" s="717"/>
      <c r="CP985" s="717"/>
      <c r="CQ985" s="717"/>
      <c r="CR985" s="717"/>
      <c r="CS985" s="717"/>
      <c r="CT985" s="717"/>
      <c r="CU985" s="717"/>
      <c r="CV985" s="717"/>
      <c r="CW985" s="717"/>
      <c r="CX985" s="717"/>
      <c r="CY985" s="717"/>
      <c r="CZ985" s="717"/>
      <c r="DA985" s="717"/>
      <c r="DB985" s="717"/>
      <c r="DC985" s="717"/>
      <c r="DD985" s="717"/>
      <c r="DE985" s="717"/>
      <c r="DF985" s="717"/>
      <c r="DG985" s="717"/>
      <c r="DH985" s="717"/>
      <c r="DI985" s="717"/>
      <c r="DJ985" s="717"/>
      <c r="DM985" s="711"/>
      <c r="DN985" s="711"/>
      <c r="DO985" s="711"/>
      <c r="DP985" s="711"/>
      <c r="DQ985" s="711"/>
      <c r="EB985" s="719"/>
    </row>
    <row r="986" spans="5:132" s="709" customFormat="1" ht="18" hidden="1">
      <c r="E986" s="721"/>
      <c r="H986" s="723">
        <v>499</v>
      </c>
      <c r="I986" s="726"/>
      <c r="J986" s="724"/>
      <c r="K986" s="724"/>
      <c r="L986" s="724"/>
      <c r="M986" s="728"/>
      <c r="N986" s="724"/>
      <c r="O986" s="724"/>
      <c r="P986" s="724"/>
      <c r="Q986" s="724"/>
      <c r="R986" s="724"/>
      <c r="S986" s="724"/>
      <c r="T986" s="724"/>
      <c r="U986" s="724"/>
      <c r="V986" s="724"/>
      <c r="W986" s="724"/>
      <c r="X986" s="724"/>
      <c r="Y986" s="724"/>
      <c r="Z986" s="724"/>
      <c r="AA986" s="724"/>
      <c r="AB986" s="724"/>
      <c r="AC986" s="729"/>
      <c r="AD986" s="724"/>
      <c r="AE986" s="724"/>
      <c r="AF986" s="724"/>
      <c r="AG986" s="724"/>
      <c r="AH986" s="724"/>
      <c r="AI986" s="724"/>
      <c r="AJ986" s="724"/>
      <c r="AU986" s="713"/>
      <c r="AW986" s="712"/>
      <c r="BY986" s="714"/>
      <c r="BZ986" s="715"/>
      <c r="CA986" s="716"/>
      <c r="CB986" s="717"/>
      <c r="CC986" s="717"/>
      <c r="CD986" s="717"/>
      <c r="CE986" s="717"/>
      <c r="CF986" s="717"/>
      <c r="CG986" s="717"/>
      <c r="CH986" s="717"/>
      <c r="CI986" s="717"/>
      <c r="CJ986" s="717"/>
      <c r="CK986" s="717"/>
      <c r="CL986" s="717"/>
      <c r="CM986" s="717"/>
      <c r="CN986" s="717"/>
      <c r="CO986" s="717"/>
      <c r="CP986" s="717"/>
      <c r="CQ986" s="717"/>
      <c r="CR986" s="717"/>
      <c r="CS986" s="717"/>
      <c r="CT986" s="717"/>
      <c r="CU986" s="717"/>
      <c r="CV986" s="717"/>
      <c r="CW986" s="717"/>
      <c r="CX986" s="717"/>
      <c r="CY986" s="717"/>
      <c r="CZ986" s="717"/>
      <c r="DA986" s="717"/>
      <c r="DB986" s="717"/>
      <c r="DC986" s="717"/>
      <c r="DD986" s="717"/>
      <c r="DE986" s="717"/>
      <c r="DF986" s="717"/>
      <c r="DG986" s="717"/>
      <c r="DH986" s="717"/>
      <c r="DI986" s="717"/>
      <c r="DJ986" s="717"/>
      <c r="DM986" s="711"/>
      <c r="DN986" s="711"/>
      <c r="DO986" s="711"/>
      <c r="DP986" s="711"/>
      <c r="DQ986" s="711"/>
      <c r="EB986" s="719"/>
    </row>
    <row r="987" spans="5:132" s="709" customFormat="1" ht="18" hidden="1">
      <c r="E987" s="721"/>
      <c r="H987" s="723">
        <v>500</v>
      </c>
      <c r="I987" s="726"/>
      <c r="J987" s="724"/>
      <c r="K987" s="724"/>
      <c r="L987" s="724"/>
      <c r="M987" s="728"/>
      <c r="N987" s="724"/>
      <c r="O987" s="724"/>
      <c r="P987" s="724"/>
      <c r="Q987" s="724"/>
      <c r="R987" s="724"/>
      <c r="S987" s="724"/>
      <c r="T987" s="724"/>
      <c r="U987" s="724"/>
      <c r="V987" s="724"/>
      <c r="W987" s="724"/>
      <c r="X987" s="724"/>
      <c r="Y987" s="724"/>
      <c r="Z987" s="724"/>
      <c r="AA987" s="724"/>
      <c r="AB987" s="724"/>
      <c r="AC987" s="729"/>
      <c r="AD987" s="724"/>
      <c r="AE987" s="724"/>
      <c r="AF987" s="724"/>
      <c r="AG987" s="724"/>
      <c r="AH987" s="724"/>
      <c r="AI987" s="724"/>
      <c r="AJ987" s="724"/>
      <c r="AU987" s="713"/>
      <c r="AW987" s="712"/>
      <c r="BY987" s="714"/>
      <c r="BZ987" s="715"/>
      <c r="CA987" s="716"/>
      <c r="CB987" s="717"/>
      <c r="CC987" s="717"/>
      <c r="CD987" s="717"/>
      <c r="CE987" s="717"/>
      <c r="CF987" s="717"/>
      <c r="CG987" s="717"/>
      <c r="CH987" s="717"/>
      <c r="CI987" s="717"/>
      <c r="CJ987" s="717"/>
      <c r="CK987" s="717"/>
      <c r="CL987" s="717"/>
      <c r="CM987" s="717"/>
      <c r="CN987" s="717"/>
      <c r="CO987" s="717"/>
      <c r="CP987" s="717"/>
      <c r="CQ987" s="717"/>
      <c r="CR987" s="717"/>
      <c r="CS987" s="717"/>
      <c r="CT987" s="717"/>
      <c r="CU987" s="717"/>
      <c r="CV987" s="717"/>
      <c r="CW987" s="717"/>
      <c r="CX987" s="717"/>
      <c r="CY987" s="717"/>
      <c r="CZ987" s="717"/>
      <c r="DA987" s="717"/>
      <c r="DB987" s="717"/>
      <c r="DC987" s="717"/>
      <c r="DD987" s="717"/>
      <c r="DE987" s="717"/>
      <c r="DF987" s="717"/>
      <c r="DG987" s="717"/>
      <c r="DH987" s="717"/>
      <c r="DI987" s="717"/>
      <c r="DJ987" s="717"/>
      <c r="DM987" s="711"/>
      <c r="DN987" s="711"/>
      <c r="DO987" s="711"/>
      <c r="DP987" s="711"/>
      <c r="DQ987" s="711"/>
      <c r="EB987" s="719"/>
    </row>
    <row r="988" spans="5:132" s="709" customFormat="1" ht="18" hidden="1">
      <c r="E988" s="721"/>
      <c r="H988" s="723">
        <v>501</v>
      </c>
      <c r="I988" s="726"/>
      <c r="J988" s="724"/>
      <c r="K988" s="724"/>
      <c r="L988" s="724"/>
      <c r="M988" s="728"/>
      <c r="N988" s="724"/>
      <c r="O988" s="724"/>
      <c r="P988" s="724"/>
      <c r="Q988" s="724"/>
      <c r="R988" s="724"/>
      <c r="S988" s="724"/>
      <c r="T988" s="724"/>
      <c r="U988" s="724"/>
      <c r="V988" s="724"/>
      <c r="W988" s="724"/>
      <c r="X988" s="724"/>
      <c r="Y988" s="724"/>
      <c r="Z988" s="724"/>
      <c r="AA988" s="724"/>
      <c r="AB988" s="724"/>
      <c r="AC988" s="729"/>
      <c r="AD988" s="724"/>
      <c r="AE988" s="724"/>
      <c r="AF988" s="724"/>
      <c r="AG988" s="724"/>
      <c r="AH988" s="724"/>
      <c r="AI988" s="724"/>
      <c r="AJ988" s="724"/>
      <c r="AU988" s="713"/>
      <c r="AW988" s="712"/>
      <c r="BY988" s="714"/>
      <c r="BZ988" s="715"/>
      <c r="CA988" s="716"/>
      <c r="CB988" s="717"/>
      <c r="CC988" s="717"/>
      <c r="CD988" s="717"/>
      <c r="CE988" s="717"/>
      <c r="CF988" s="717"/>
      <c r="CG988" s="717"/>
      <c r="CH988" s="717"/>
      <c r="CI988" s="717"/>
      <c r="CJ988" s="717"/>
      <c r="CK988" s="717"/>
      <c r="CL988" s="717"/>
      <c r="CM988" s="717"/>
      <c r="CN988" s="717"/>
      <c r="CO988" s="717"/>
      <c r="CP988" s="717"/>
      <c r="CQ988" s="717"/>
      <c r="CR988" s="717"/>
      <c r="CS988" s="717"/>
      <c r="CT988" s="717"/>
      <c r="CU988" s="717"/>
      <c r="CV988" s="717"/>
      <c r="CW988" s="717"/>
      <c r="CX988" s="717"/>
      <c r="CY988" s="717"/>
      <c r="CZ988" s="717"/>
      <c r="DA988" s="717"/>
      <c r="DB988" s="717"/>
      <c r="DC988" s="717"/>
      <c r="DD988" s="717"/>
      <c r="DE988" s="717"/>
      <c r="DF988" s="717"/>
      <c r="DG988" s="717"/>
      <c r="DH988" s="717"/>
      <c r="DI988" s="717"/>
      <c r="DJ988" s="717"/>
      <c r="DM988" s="711"/>
      <c r="DN988" s="711"/>
      <c r="DO988" s="711"/>
      <c r="DP988" s="711"/>
      <c r="DQ988" s="711"/>
      <c r="EB988" s="719"/>
    </row>
    <row r="989" spans="5:132" s="709" customFormat="1" ht="18" hidden="1">
      <c r="E989" s="721"/>
      <c r="H989" s="723">
        <v>502</v>
      </c>
      <c r="I989" s="726"/>
      <c r="J989" s="724"/>
      <c r="K989" s="724"/>
      <c r="L989" s="724"/>
      <c r="M989" s="728"/>
      <c r="N989" s="724"/>
      <c r="O989" s="724"/>
      <c r="P989" s="724"/>
      <c r="Q989" s="724"/>
      <c r="R989" s="724"/>
      <c r="S989" s="724"/>
      <c r="T989" s="724"/>
      <c r="U989" s="724"/>
      <c r="V989" s="724"/>
      <c r="W989" s="724"/>
      <c r="X989" s="724"/>
      <c r="Y989" s="724"/>
      <c r="Z989" s="724"/>
      <c r="AA989" s="724"/>
      <c r="AB989" s="724"/>
      <c r="AC989" s="729"/>
      <c r="AD989" s="724"/>
      <c r="AE989" s="724"/>
      <c r="AF989" s="724"/>
      <c r="AG989" s="724"/>
      <c r="AH989" s="724"/>
      <c r="AI989" s="724"/>
      <c r="AJ989" s="724"/>
      <c r="AU989" s="713"/>
      <c r="AW989" s="712"/>
      <c r="BY989" s="714"/>
      <c r="BZ989" s="715"/>
      <c r="CA989" s="716"/>
      <c r="CB989" s="717"/>
      <c r="CC989" s="717"/>
      <c r="CD989" s="717"/>
      <c r="CE989" s="717"/>
      <c r="CF989" s="717"/>
      <c r="CG989" s="717"/>
      <c r="CH989" s="717"/>
      <c r="CI989" s="717"/>
      <c r="CJ989" s="717"/>
      <c r="CK989" s="717"/>
      <c r="CL989" s="717"/>
      <c r="CM989" s="717"/>
      <c r="CN989" s="717"/>
      <c r="CO989" s="717"/>
      <c r="CP989" s="717"/>
      <c r="CQ989" s="717"/>
      <c r="CR989" s="717"/>
      <c r="CS989" s="717"/>
      <c r="CT989" s="717"/>
      <c r="CU989" s="717"/>
      <c r="CV989" s="717"/>
      <c r="CW989" s="717"/>
      <c r="CX989" s="717"/>
      <c r="CY989" s="717"/>
      <c r="CZ989" s="717"/>
      <c r="DA989" s="717"/>
      <c r="DB989" s="717"/>
      <c r="DC989" s="717"/>
      <c r="DD989" s="717"/>
      <c r="DE989" s="717"/>
      <c r="DF989" s="717"/>
      <c r="DG989" s="717"/>
      <c r="DH989" s="717"/>
      <c r="DI989" s="717"/>
      <c r="DJ989" s="717"/>
      <c r="DM989" s="711"/>
      <c r="DN989" s="711"/>
      <c r="DO989" s="711"/>
      <c r="DP989" s="711"/>
      <c r="DQ989" s="711"/>
      <c r="EB989" s="719"/>
    </row>
    <row r="990" spans="5:132" s="709" customFormat="1" ht="18" hidden="1">
      <c r="E990" s="721"/>
      <c r="H990" s="723">
        <v>503</v>
      </c>
      <c r="I990" s="726"/>
      <c r="J990" s="724"/>
      <c r="K990" s="724"/>
      <c r="L990" s="724"/>
      <c r="M990" s="728"/>
      <c r="N990" s="724"/>
      <c r="O990" s="724"/>
      <c r="P990" s="724"/>
      <c r="Q990" s="724"/>
      <c r="R990" s="724"/>
      <c r="S990" s="724"/>
      <c r="T990" s="724"/>
      <c r="U990" s="724"/>
      <c r="V990" s="724"/>
      <c r="W990" s="724"/>
      <c r="X990" s="724"/>
      <c r="Y990" s="724"/>
      <c r="Z990" s="724"/>
      <c r="AA990" s="724"/>
      <c r="AB990" s="724"/>
      <c r="AC990" s="729"/>
      <c r="AD990" s="724"/>
      <c r="AE990" s="724"/>
      <c r="AF990" s="724"/>
      <c r="AG990" s="724"/>
      <c r="AH990" s="724"/>
      <c r="AI990" s="724"/>
      <c r="AJ990" s="724"/>
      <c r="AU990" s="713"/>
      <c r="AW990" s="712"/>
      <c r="BY990" s="714"/>
      <c r="BZ990" s="715"/>
      <c r="CA990" s="716"/>
      <c r="CB990" s="717"/>
      <c r="CC990" s="717"/>
      <c r="CD990" s="717"/>
      <c r="CE990" s="717"/>
      <c r="CF990" s="717"/>
      <c r="CG990" s="717"/>
      <c r="CH990" s="717"/>
      <c r="CI990" s="717"/>
      <c r="CJ990" s="717"/>
      <c r="CK990" s="717"/>
      <c r="CL990" s="717"/>
      <c r="CM990" s="717"/>
      <c r="CN990" s="717"/>
      <c r="CO990" s="717"/>
      <c r="CP990" s="717"/>
      <c r="CQ990" s="717"/>
      <c r="CR990" s="717"/>
      <c r="CS990" s="717"/>
      <c r="CT990" s="717"/>
      <c r="CU990" s="717"/>
      <c r="CV990" s="717"/>
      <c r="CW990" s="717"/>
      <c r="CX990" s="717"/>
      <c r="CY990" s="717"/>
      <c r="CZ990" s="717"/>
      <c r="DA990" s="717"/>
      <c r="DB990" s="717"/>
      <c r="DC990" s="717"/>
      <c r="DD990" s="717"/>
      <c r="DE990" s="717"/>
      <c r="DF990" s="717"/>
      <c r="DG990" s="717"/>
      <c r="DH990" s="717"/>
      <c r="DI990" s="717"/>
      <c r="DJ990" s="717"/>
      <c r="DM990" s="711"/>
      <c r="DN990" s="711"/>
      <c r="DO990" s="711"/>
      <c r="DP990" s="711"/>
      <c r="DQ990" s="711"/>
      <c r="EB990" s="719"/>
    </row>
    <row r="991" spans="5:132" s="709" customFormat="1" ht="18" hidden="1">
      <c r="E991" s="721"/>
      <c r="H991" s="723">
        <v>504</v>
      </c>
      <c r="I991" s="726"/>
      <c r="J991" s="724"/>
      <c r="K991" s="724"/>
      <c r="L991" s="724"/>
      <c r="M991" s="728"/>
      <c r="N991" s="724"/>
      <c r="O991" s="724"/>
      <c r="P991" s="724"/>
      <c r="Q991" s="724"/>
      <c r="R991" s="724"/>
      <c r="S991" s="724"/>
      <c r="T991" s="724"/>
      <c r="U991" s="724"/>
      <c r="V991" s="724"/>
      <c r="W991" s="724"/>
      <c r="X991" s="724"/>
      <c r="Y991" s="724"/>
      <c r="Z991" s="724"/>
      <c r="AA991" s="724"/>
      <c r="AB991" s="724"/>
      <c r="AC991" s="729"/>
      <c r="AD991" s="724"/>
      <c r="AE991" s="724"/>
      <c r="AF991" s="724"/>
      <c r="AG991" s="724"/>
      <c r="AH991" s="724"/>
      <c r="AI991" s="724"/>
      <c r="AJ991" s="724"/>
      <c r="AU991" s="713"/>
      <c r="AW991" s="712"/>
      <c r="BY991" s="714"/>
      <c r="BZ991" s="715"/>
      <c r="CA991" s="716"/>
      <c r="CB991" s="717"/>
      <c r="CC991" s="717"/>
      <c r="CD991" s="717"/>
      <c r="CE991" s="717"/>
      <c r="CF991" s="717"/>
      <c r="CG991" s="717"/>
      <c r="CH991" s="717"/>
      <c r="CI991" s="717"/>
      <c r="CJ991" s="717"/>
      <c r="CK991" s="717"/>
      <c r="CL991" s="717"/>
      <c r="CM991" s="717"/>
      <c r="CN991" s="717"/>
      <c r="CO991" s="717"/>
      <c r="CP991" s="717"/>
      <c r="CQ991" s="717"/>
      <c r="CR991" s="717"/>
      <c r="CS991" s="717"/>
      <c r="CT991" s="717"/>
      <c r="CU991" s="717"/>
      <c r="CV991" s="717"/>
      <c r="CW991" s="717"/>
      <c r="CX991" s="717"/>
      <c r="CY991" s="717"/>
      <c r="CZ991" s="717"/>
      <c r="DA991" s="717"/>
      <c r="DB991" s="717"/>
      <c r="DC991" s="717"/>
      <c r="DD991" s="717"/>
      <c r="DE991" s="717"/>
      <c r="DF991" s="717"/>
      <c r="DG991" s="717"/>
      <c r="DH991" s="717"/>
      <c r="DI991" s="717"/>
      <c r="DJ991" s="717"/>
      <c r="DM991" s="711"/>
      <c r="DN991" s="711"/>
      <c r="DO991" s="711"/>
      <c r="DP991" s="711"/>
      <c r="DQ991" s="711"/>
      <c r="EB991" s="719"/>
    </row>
    <row r="992" spans="5:132" s="709" customFormat="1" ht="18" hidden="1">
      <c r="E992" s="721"/>
      <c r="H992" s="723">
        <v>505</v>
      </c>
      <c r="I992" s="726"/>
      <c r="J992" s="724"/>
      <c r="K992" s="724"/>
      <c r="L992" s="724"/>
      <c r="M992" s="728"/>
      <c r="N992" s="724"/>
      <c r="O992" s="724"/>
      <c r="P992" s="724"/>
      <c r="Q992" s="724"/>
      <c r="R992" s="724"/>
      <c r="S992" s="724"/>
      <c r="T992" s="724"/>
      <c r="U992" s="724"/>
      <c r="V992" s="724"/>
      <c r="W992" s="724"/>
      <c r="X992" s="724"/>
      <c r="Y992" s="724"/>
      <c r="Z992" s="724"/>
      <c r="AA992" s="724"/>
      <c r="AB992" s="724"/>
      <c r="AC992" s="729"/>
      <c r="AD992" s="724"/>
      <c r="AE992" s="724"/>
      <c r="AF992" s="724"/>
      <c r="AG992" s="724"/>
      <c r="AH992" s="724"/>
      <c r="AI992" s="724"/>
      <c r="AJ992" s="724"/>
      <c r="AU992" s="713"/>
      <c r="AW992" s="712"/>
      <c r="BY992" s="714"/>
      <c r="BZ992" s="715"/>
      <c r="CA992" s="716"/>
      <c r="CB992" s="717"/>
      <c r="CC992" s="717"/>
      <c r="CD992" s="717"/>
      <c r="CE992" s="717"/>
      <c r="CF992" s="717"/>
      <c r="CG992" s="717"/>
      <c r="CH992" s="717"/>
      <c r="CI992" s="717"/>
      <c r="CJ992" s="717"/>
      <c r="CK992" s="717"/>
      <c r="CL992" s="717"/>
      <c r="CM992" s="717"/>
      <c r="CN992" s="717"/>
      <c r="CO992" s="717"/>
      <c r="CP992" s="717"/>
      <c r="CQ992" s="717"/>
      <c r="CR992" s="717"/>
      <c r="CS992" s="717"/>
      <c r="CT992" s="717"/>
      <c r="CU992" s="717"/>
      <c r="CV992" s="717"/>
      <c r="CW992" s="717"/>
      <c r="CX992" s="717"/>
      <c r="CY992" s="717"/>
      <c r="CZ992" s="717"/>
      <c r="DA992" s="717"/>
      <c r="DB992" s="717"/>
      <c r="DC992" s="717"/>
      <c r="DD992" s="717"/>
      <c r="DE992" s="717"/>
      <c r="DF992" s="717"/>
      <c r="DG992" s="717"/>
      <c r="DH992" s="717"/>
      <c r="DI992" s="717"/>
      <c r="DJ992" s="717"/>
      <c r="DM992" s="711"/>
      <c r="DN992" s="711"/>
      <c r="DO992" s="711"/>
      <c r="DP992" s="711"/>
      <c r="DQ992" s="711"/>
    </row>
    <row r="993" spans="5:121" s="709" customFormat="1" ht="18" hidden="1">
      <c r="E993" s="721"/>
      <c r="H993" s="723">
        <v>506</v>
      </c>
      <c r="I993" s="726"/>
      <c r="J993" s="724"/>
      <c r="K993" s="724"/>
      <c r="L993" s="724"/>
      <c r="M993" s="728"/>
      <c r="N993" s="724"/>
      <c r="O993" s="724"/>
      <c r="P993" s="724"/>
      <c r="Q993" s="724"/>
      <c r="R993" s="724"/>
      <c r="S993" s="724"/>
      <c r="T993" s="724"/>
      <c r="U993" s="724"/>
      <c r="V993" s="724"/>
      <c r="W993" s="724"/>
      <c r="X993" s="724"/>
      <c r="Y993" s="724"/>
      <c r="Z993" s="724"/>
      <c r="AA993" s="724"/>
      <c r="AB993" s="724"/>
      <c r="AC993" s="729"/>
      <c r="AD993" s="724"/>
      <c r="AE993" s="724"/>
      <c r="AF993" s="724"/>
      <c r="AG993" s="724"/>
      <c r="AH993" s="724"/>
      <c r="AI993" s="724"/>
      <c r="AJ993" s="724"/>
      <c r="AU993" s="713"/>
      <c r="AW993" s="712"/>
      <c r="BY993" s="714"/>
      <c r="BZ993" s="715"/>
      <c r="CA993" s="716"/>
      <c r="CB993" s="717"/>
      <c r="CC993" s="717"/>
      <c r="CD993" s="717"/>
      <c r="CE993" s="717"/>
      <c r="CF993" s="717"/>
      <c r="CG993" s="717"/>
      <c r="CH993" s="717"/>
      <c r="CI993" s="717"/>
      <c r="CJ993" s="717"/>
      <c r="CK993" s="717"/>
      <c r="CL993" s="717"/>
      <c r="CM993" s="717"/>
      <c r="CN993" s="717"/>
      <c r="CO993" s="717"/>
      <c r="CP993" s="717"/>
      <c r="CQ993" s="717"/>
      <c r="CR993" s="717"/>
      <c r="CS993" s="717"/>
      <c r="CT993" s="717"/>
      <c r="CU993" s="717"/>
      <c r="CV993" s="717"/>
      <c r="CW993" s="717"/>
      <c r="CX993" s="717"/>
      <c r="CY993" s="717"/>
      <c r="CZ993" s="717"/>
      <c r="DA993" s="717"/>
      <c r="DB993" s="717"/>
      <c r="DC993" s="717"/>
      <c r="DD993" s="717"/>
      <c r="DE993" s="717"/>
      <c r="DF993" s="717"/>
      <c r="DG993" s="717"/>
      <c r="DH993" s="717"/>
      <c r="DI993" s="717"/>
      <c r="DJ993" s="717"/>
      <c r="DM993" s="711"/>
      <c r="DN993" s="711"/>
      <c r="DO993" s="711"/>
      <c r="DP993" s="711"/>
      <c r="DQ993" s="711"/>
    </row>
    <row r="994" spans="5:121" s="709" customFormat="1" ht="18" hidden="1">
      <c r="E994" s="721"/>
      <c r="H994" s="723">
        <v>507</v>
      </c>
      <c r="I994" s="726"/>
      <c r="J994" s="724"/>
      <c r="K994" s="724"/>
      <c r="L994" s="724"/>
      <c r="M994" s="728"/>
      <c r="N994" s="724"/>
      <c r="O994" s="724"/>
      <c r="P994" s="724"/>
      <c r="Q994" s="724"/>
      <c r="R994" s="724"/>
      <c r="S994" s="724"/>
      <c r="T994" s="724"/>
      <c r="U994" s="724"/>
      <c r="V994" s="724"/>
      <c r="W994" s="724"/>
      <c r="X994" s="724"/>
      <c r="Y994" s="724"/>
      <c r="Z994" s="724"/>
      <c r="AA994" s="724"/>
      <c r="AB994" s="724"/>
      <c r="AC994" s="729"/>
      <c r="AD994" s="724"/>
      <c r="AE994" s="724"/>
      <c r="AF994" s="724"/>
      <c r="AG994" s="724"/>
      <c r="AH994" s="724"/>
      <c r="AI994" s="724"/>
      <c r="AJ994" s="724"/>
      <c r="AU994" s="713"/>
      <c r="AW994" s="712"/>
      <c r="BY994" s="714"/>
      <c r="BZ994" s="715"/>
      <c r="CA994" s="716"/>
      <c r="CB994" s="717"/>
      <c r="CC994" s="717"/>
      <c r="CD994" s="717"/>
      <c r="CE994" s="717"/>
      <c r="CF994" s="717"/>
      <c r="CG994" s="717"/>
      <c r="CH994" s="717"/>
      <c r="CI994" s="717"/>
      <c r="CJ994" s="717"/>
      <c r="CK994" s="717"/>
      <c r="CL994" s="717"/>
      <c r="CM994" s="717"/>
      <c r="CN994" s="717"/>
      <c r="CO994" s="717"/>
      <c r="CP994" s="717"/>
      <c r="CQ994" s="717"/>
      <c r="CR994" s="717"/>
      <c r="CS994" s="717"/>
      <c r="CT994" s="717"/>
      <c r="CU994" s="717"/>
      <c r="CV994" s="717"/>
      <c r="CW994" s="717"/>
      <c r="CX994" s="717"/>
      <c r="CY994" s="717"/>
      <c r="CZ994" s="717"/>
      <c r="DA994" s="717"/>
      <c r="DB994" s="717"/>
      <c r="DC994" s="717"/>
      <c r="DD994" s="717"/>
      <c r="DE994" s="717"/>
      <c r="DF994" s="717"/>
      <c r="DG994" s="717"/>
      <c r="DH994" s="717"/>
      <c r="DI994" s="717"/>
      <c r="DJ994" s="717"/>
      <c r="DM994" s="711"/>
      <c r="DN994" s="711"/>
      <c r="DO994" s="711"/>
      <c r="DP994" s="711"/>
      <c r="DQ994" s="711"/>
    </row>
    <row r="995" spans="5:121" s="709" customFormat="1" ht="18" hidden="1">
      <c r="E995" s="721"/>
      <c r="H995" s="723">
        <v>508</v>
      </c>
      <c r="I995" s="726"/>
      <c r="J995" s="724"/>
      <c r="K995" s="724"/>
      <c r="L995" s="724"/>
      <c r="M995" s="728"/>
      <c r="N995" s="724"/>
      <c r="O995" s="724"/>
      <c r="P995" s="724"/>
      <c r="Q995" s="724"/>
      <c r="R995" s="724"/>
      <c r="S995" s="724"/>
      <c r="T995" s="724"/>
      <c r="U995" s="724"/>
      <c r="V995" s="724"/>
      <c r="W995" s="724"/>
      <c r="X995" s="724"/>
      <c r="Y995" s="724"/>
      <c r="Z995" s="724"/>
      <c r="AA995" s="724"/>
      <c r="AB995" s="724"/>
      <c r="AC995" s="729"/>
      <c r="AD995" s="724"/>
      <c r="AE995" s="724"/>
      <c r="AF995" s="724"/>
      <c r="AG995" s="724"/>
      <c r="AH995" s="724"/>
      <c r="AI995" s="724"/>
      <c r="AJ995" s="724"/>
      <c r="AU995" s="713"/>
      <c r="AW995" s="712"/>
      <c r="BY995" s="714"/>
      <c r="BZ995" s="715"/>
      <c r="CA995" s="716"/>
      <c r="CB995" s="717"/>
      <c r="CC995" s="717"/>
      <c r="CD995" s="717"/>
      <c r="CE995" s="717"/>
      <c r="CF995" s="717"/>
      <c r="CG995" s="717"/>
      <c r="CH995" s="717"/>
      <c r="CI995" s="717"/>
      <c r="CJ995" s="717"/>
      <c r="CK995" s="717"/>
      <c r="CL995" s="717"/>
      <c r="CM995" s="717"/>
      <c r="CN995" s="717"/>
      <c r="CO995" s="717"/>
      <c r="CP995" s="717"/>
      <c r="CQ995" s="717"/>
      <c r="CR995" s="717"/>
      <c r="CS995" s="717"/>
      <c r="CT995" s="717"/>
      <c r="CU995" s="717"/>
      <c r="CV995" s="717"/>
      <c r="CW995" s="717"/>
      <c r="CX995" s="717"/>
      <c r="CY995" s="717"/>
      <c r="CZ995" s="717"/>
      <c r="DA995" s="717"/>
      <c r="DB995" s="717"/>
      <c r="DC995" s="717"/>
      <c r="DD995" s="717"/>
      <c r="DE995" s="717"/>
      <c r="DF995" s="717"/>
      <c r="DG995" s="717"/>
      <c r="DH995" s="717"/>
      <c r="DI995" s="717"/>
      <c r="DJ995" s="717"/>
      <c r="DM995" s="711"/>
      <c r="DN995" s="711"/>
      <c r="DO995" s="711"/>
      <c r="DP995" s="711"/>
      <c r="DQ995" s="711"/>
    </row>
    <row r="996" spans="5:121" s="709" customFormat="1" ht="18" hidden="1">
      <c r="E996" s="721"/>
      <c r="H996" s="723">
        <v>509</v>
      </c>
      <c r="I996" s="726"/>
      <c r="J996" s="724"/>
      <c r="K996" s="724"/>
      <c r="L996" s="724"/>
      <c r="M996" s="728"/>
      <c r="N996" s="724"/>
      <c r="O996" s="724"/>
      <c r="P996" s="724"/>
      <c r="Q996" s="724"/>
      <c r="R996" s="724"/>
      <c r="S996" s="724"/>
      <c r="T996" s="724"/>
      <c r="U996" s="724"/>
      <c r="V996" s="724"/>
      <c r="W996" s="724"/>
      <c r="X996" s="724"/>
      <c r="Y996" s="724"/>
      <c r="Z996" s="724"/>
      <c r="AA996" s="724"/>
      <c r="AB996" s="724"/>
      <c r="AC996" s="729"/>
      <c r="AD996" s="724"/>
      <c r="AE996" s="724"/>
      <c r="AF996" s="724"/>
      <c r="AG996" s="724"/>
      <c r="AH996" s="724"/>
      <c r="AI996" s="724"/>
      <c r="AJ996" s="724"/>
      <c r="AU996" s="713"/>
      <c r="AW996" s="712"/>
      <c r="BY996" s="714"/>
      <c r="BZ996" s="715"/>
      <c r="CA996" s="716"/>
      <c r="CB996" s="717"/>
      <c r="CC996" s="717"/>
      <c r="CD996" s="717"/>
      <c r="CE996" s="717"/>
      <c r="CF996" s="717"/>
      <c r="CG996" s="717"/>
      <c r="CH996" s="717"/>
      <c r="CI996" s="717"/>
      <c r="CJ996" s="717"/>
      <c r="CK996" s="717"/>
      <c r="CL996" s="717"/>
      <c r="CM996" s="717"/>
      <c r="CN996" s="717"/>
      <c r="CO996" s="717"/>
      <c r="CP996" s="717"/>
      <c r="CQ996" s="717"/>
      <c r="CR996" s="717"/>
      <c r="CS996" s="717"/>
      <c r="CT996" s="717"/>
      <c r="CU996" s="717"/>
      <c r="CV996" s="717"/>
      <c r="CW996" s="717"/>
      <c r="CX996" s="717"/>
      <c r="CY996" s="717"/>
      <c r="CZ996" s="717"/>
      <c r="DA996" s="717"/>
      <c r="DB996" s="717"/>
      <c r="DC996" s="717"/>
      <c r="DD996" s="717"/>
      <c r="DE996" s="717"/>
      <c r="DF996" s="717"/>
      <c r="DG996" s="717"/>
      <c r="DH996" s="717"/>
      <c r="DI996" s="717"/>
      <c r="DJ996" s="717"/>
      <c r="DM996" s="711"/>
      <c r="DN996" s="711"/>
      <c r="DO996" s="711"/>
      <c r="DP996" s="711"/>
      <c r="DQ996" s="711"/>
    </row>
    <row r="997" spans="5:121" s="709" customFormat="1" ht="18" hidden="1">
      <c r="E997" s="721"/>
      <c r="H997" s="723">
        <v>510</v>
      </c>
      <c r="I997" s="726"/>
      <c r="J997" s="724"/>
      <c r="K997" s="724"/>
      <c r="L997" s="724"/>
      <c r="M997" s="728"/>
      <c r="N997" s="724"/>
      <c r="O997" s="724"/>
      <c r="P997" s="724"/>
      <c r="Q997" s="724"/>
      <c r="R997" s="724"/>
      <c r="S997" s="724"/>
      <c r="T997" s="724"/>
      <c r="U997" s="724"/>
      <c r="V997" s="724"/>
      <c r="W997" s="724"/>
      <c r="X997" s="724"/>
      <c r="Y997" s="724"/>
      <c r="Z997" s="724"/>
      <c r="AA997" s="724"/>
      <c r="AB997" s="724"/>
      <c r="AC997" s="729"/>
      <c r="AD997" s="724"/>
      <c r="AE997" s="724"/>
      <c r="AF997" s="724"/>
      <c r="AG997" s="724"/>
      <c r="AH997" s="724"/>
      <c r="AI997" s="724"/>
      <c r="AJ997" s="724"/>
      <c r="AU997" s="713"/>
      <c r="AW997" s="712"/>
      <c r="BY997" s="714"/>
      <c r="BZ997" s="715"/>
      <c r="CA997" s="716"/>
      <c r="CB997" s="717"/>
      <c r="CC997" s="717"/>
      <c r="CD997" s="717"/>
      <c r="CE997" s="717"/>
      <c r="CF997" s="717"/>
      <c r="CG997" s="717"/>
      <c r="CH997" s="717"/>
      <c r="CI997" s="717"/>
      <c r="CJ997" s="717"/>
      <c r="CK997" s="717"/>
      <c r="CL997" s="717"/>
      <c r="CM997" s="717"/>
      <c r="CN997" s="717"/>
      <c r="CO997" s="717"/>
      <c r="CP997" s="717"/>
      <c r="CQ997" s="717"/>
      <c r="CR997" s="717"/>
      <c r="CS997" s="717"/>
      <c r="CT997" s="717"/>
      <c r="CU997" s="717"/>
      <c r="CV997" s="717"/>
      <c r="CW997" s="717"/>
      <c r="CX997" s="717"/>
      <c r="CY997" s="717"/>
      <c r="CZ997" s="717"/>
      <c r="DA997" s="717"/>
      <c r="DB997" s="717"/>
      <c r="DC997" s="717"/>
      <c r="DD997" s="717"/>
      <c r="DE997" s="717"/>
      <c r="DF997" s="717"/>
      <c r="DG997" s="717"/>
      <c r="DH997" s="717"/>
      <c r="DI997" s="717"/>
      <c r="DJ997" s="717"/>
      <c r="DM997" s="711"/>
      <c r="DN997" s="711"/>
      <c r="DO997" s="711"/>
      <c r="DP997" s="711"/>
      <c r="DQ997" s="711"/>
    </row>
    <row r="998" spans="5:121" s="709" customFormat="1" ht="18" hidden="1">
      <c r="E998" s="721"/>
      <c r="H998" s="723">
        <v>511</v>
      </c>
      <c r="I998" s="726"/>
      <c r="J998" s="724"/>
      <c r="K998" s="724"/>
      <c r="L998" s="724"/>
      <c r="M998" s="728"/>
      <c r="N998" s="724"/>
      <c r="O998" s="724"/>
      <c r="P998" s="724"/>
      <c r="Q998" s="724"/>
      <c r="R998" s="724"/>
      <c r="S998" s="724"/>
      <c r="T998" s="724"/>
      <c r="U998" s="724"/>
      <c r="V998" s="724"/>
      <c r="W998" s="724"/>
      <c r="X998" s="724"/>
      <c r="Y998" s="724"/>
      <c r="Z998" s="724"/>
      <c r="AA998" s="724"/>
      <c r="AB998" s="724"/>
      <c r="AC998" s="729"/>
      <c r="AD998" s="724"/>
      <c r="AE998" s="724"/>
      <c r="AF998" s="724"/>
      <c r="AG998" s="724"/>
      <c r="AH998" s="724"/>
      <c r="AI998" s="724"/>
      <c r="AJ998" s="724"/>
      <c r="AU998" s="713"/>
      <c r="AW998" s="712"/>
      <c r="BY998" s="714"/>
      <c r="BZ998" s="715"/>
      <c r="CA998" s="716"/>
      <c r="CB998" s="717"/>
      <c r="CC998" s="717"/>
      <c r="CD998" s="717"/>
      <c r="CE998" s="717"/>
      <c r="CF998" s="717"/>
      <c r="CG998" s="717"/>
      <c r="CH998" s="717"/>
      <c r="CI998" s="717"/>
      <c r="CJ998" s="717"/>
      <c r="CK998" s="717"/>
      <c r="CL998" s="717"/>
      <c r="CM998" s="717"/>
      <c r="CN998" s="717"/>
      <c r="CO998" s="717"/>
      <c r="CP998" s="717"/>
      <c r="CQ998" s="717"/>
      <c r="CR998" s="717"/>
      <c r="CS998" s="717"/>
      <c r="CT998" s="717"/>
      <c r="CU998" s="717"/>
      <c r="CV998" s="717"/>
      <c r="CW998" s="717"/>
      <c r="CX998" s="717"/>
      <c r="CY998" s="717"/>
      <c r="CZ998" s="717"/>
      <c r="DA998" s="717"/>
      <c r="DB998" s="717"/>
      <c r="DC998" s="717"/>
      <c r="DD998" s="717"/>
      <c r="DE998" s="717"/>
      <c r="DF998" s="717"/>
      <c r="DG998" s="717"/>
      <c r="DH998" s="717"/>
      <c r="DI998" s="717"/>
      <c r="DJ998" s="717"/>
      <c r="DM998" s="711"/>
      <c r="DN998" s="711"/>
      <c r="DO998" s="711"/>
      <c r="DP998" s="711"/>
      <c r="DQ998" s="711"/>
    </row>
    <row r="999" spans="5:121" s="709" customFormat="1" ht="18" hidden="1">
      <c r="E999" s="721"/>
      <c r="H999" s="723">
        <v>512</v>
      </c>
      <c r="I999" s="726"/>
      <c r="J999" s="724"/>
      <c r="K999" s="724"/>
      <c r="L999" s="724"/>
      <c r="M999" s="728"/>
      <c r="N999" s="724"/>
      <c r="O999" s="724"/>
      <c r="P999" s="724"/>
      <c r="Q999" s="724"/>
      <c r="R999" s="724"/>
      <c r="S999" s="724"/>
      <c r="T999" s="724"/>
      <c r="U999" s="724"/>
      <c r="V999" s="724"/>
      <c r="W999" s="724"/>
      <c r="X999" s="724"/>
      <c r="Y999" s="724"/>
      <c r="Z999" s="724"/>
      <c r="AA999" s="724"/>
      <c r="AB999" s="724"/>
      <c r="AC999" s="729"/>
      <c r="AD999" s="724"/>
      <c r="AE999" s="724"/>
      <c r="AF999" s="724"/>
      <c r="AG999" s="724"/>
      <c r="AH999" s="724"/>
      <c r="AI999" s="724"/>
      <c r="AJ999" s="724"/>
      <c r="AU999" s="713"/>
      <c r="AW999" s="712"/>
      <c r="BY999" s="714"/>
      <c r="BZ999" s="715"/>
      <c r="CA999" s="716"/>
      <c r="CB999" s="717"/>
      <c r="CC999" s="717"/>
      <c r="CD999" s="717"/>
      <c r="CE999" s="717"/>
      <c r="CF999" s="717"/>
      <c r="CG999" s="717"/>
      <c r="CH999" s="717"/>
      <c r="CI999" s="717"/>
      <c r="CJ999" s="717"/>
      <c r="CK999" s="717"/>
      <c r="CL999" s="717"/>
      <c r="CM999" s="717"/>
      <c r="CN999" s="717"/>
      <c r="CO999" s="717"/>
      <c r="CP999" s="717"/>
      <c r="CQ999" s="717"/>
      <c r="CR999" s="717"/>
      <c r="CS999" s="717"/>
      <c r="CT999" s="717"/>
      <c r="CU999" s="717"/>
      <c r="CV999" s="717"/>
      <c r="CW999" s="717"/>
      <c r="CX999" s="717"/>
      <c r="CY999" s="717"/>
      <c r="CZ999" s="717"/>
      <c r="DA999" s="717"/>
      <c r="DB999" s="717"/>
      <c r="DC999" s="717"/>
      <c r="DD999" s="717"/>
      <c r="DE999" s="717"/>
      <c r="DF999" s="717"/>
      <c r="DG999" s="717"/>
      <c r="DH999" s="717"/>
      <c r="DI999" s="717"/>
      <c r="DJ999" s="717"/>
      <c r="DM999" s="711"/>
      <c r="DN999" s="711"/>
      <c r="DO999" s="711"/>
      <c r="DP999" s="711"/>
      <c r="DQ999" s="711"/>
    </row>
    <row r="1000" spans="5:121" s="709" customFormat="1" ht="18" hidden="1">
      <c r="E1000" s="721"/>
      <c r="H1000" s="723">
        <v>513</v>
      </c>
      <c r="I1000" s="726"/>
      <c r="J1000" s="724"/>
      <c r="K1000" s="724"/>
      <c r="L1000" s="724"/>
      <c r="M1000" s="728"/>
      <c r="N1000" s="724"/>
      <c r="O1000" s="724"/>
      <c r="P1000" s="724"/>
      <c r="Q1000" s="724"/>
      <c r="R1000" s="724"/>
      <c r="S1000" s="724"/>
      <c r="T1000" s="724"/>
      <c r="U1000" s="724"/>
      <c r="V1000" s="724"/>
      <c r="W1000" s="724"/>
      <c r="X1000" s="724"/>
      <c r="Y1000" s="724"/>
      <c r="Z1000" s="724"/>
      <c r="AA1000" s="724"/>
      <c r="AB1000" s="724"/>
      <c r="AC1000" s="729"/>
      <c r="AD1000" s="724"/>
      <c r="AE1000" s="724"/>
      <c r="AF1000" s="724"/>
      <c r="AG1000" s="724"/>
      <c r="AH1000" s="724"/>
      <c r="AI1000" s="724"/>
      <c r="AJ1000" s="724"/>
      <c r="AU1000" s="713"/>
      <c r="AW1000" s="712"/>
      <c r="BY1000" s="714"/>
      <c r="BZ1000" s="715"/>
      <c r="CA1000" s="716"/>
      <c r="CB1000" s="717"/>
      <c r="CC1000" s="717"/>
      <c r="CD1000" s="717"/>
      <c r="CE1000" s="717"/>
      <c r="CF1000" s="717"/>
      <c r="CG1000" s="717"/>
      <c r="CH1000" s="717"/>
      <c r="CI1000" s="717"/>
      <c r="CJ1000" s="717"/>
      <c r="CK1000" s="717"/>
      <c r="CL1000" s="717"/>
      <c r="CM1000" s="717"/>
      <c r="CN1000" s="717"/>
      <c r="CO1000" s="717"/>
      <c r="CP1000" s="717"/>
      <c r="CQ1000" s="717"/>
      <c r="CR1000" s="717"/>
      <c r="CS1000" s="717"/>
      <c r="CT1000" s="717"/>
      <c r="CU1000" s="717"/>
      <c r="CV1000" s="717"/>
      <c r="CW1000" s="717"/>
      <c r="CX1000" s="717"/>
      <c r="CY1000" s="717"/>
      <c r="CZ1000" s="717"/>
      <c r="DA1000" s="717"/>
      <c r="DB1000" s="717"/>
      <c r="DC1000" s="717"/>
      <c r="DD1000" s="717"/>
      <c r="DE1000" s="717"/>
      <c r="DF1000" s="717"/>
      <c r="DG1000" s="717"/>
      <c r="DH1000" s="717"/>
      <c r="DI1000" s="717"/>
      <c r="DJ1000" s="717"/>
      <c r="DM1000" s="711"/>
      <c r="DN1000" s="711"/>
      <c r="DO1000" s="711"/>
      <c r="DP1000" s="711"/>
      <c r="DQ1000" s="711"/>
    </row>
    <row r="1001" spans="5:121" s="709" customFormat="1" ht="18" hidden="1">
      <c r="E1001" s="721"/>
      <c r="H1001" s="723">
        <v>514</v>
      </c>
      <c r="I1001" s="726"/>
      <c r="J1001" s="724"/>
      <c r="K1001" s="724"/>
      <c r="L1001" s="724"/>
      <c r="M1001" s="728"/>
      <c r="N1001" s="724"/>
      <c r="O1001" s="724"/>
      <c r="P1001" s="724"/>
      <c r="Q1001" s="724"/>
      <c r="R1001" s="724"/>
      <c r="S1001" s="724"/>
      <c r="T1001" s="724"/>
      <c r="U1001" s="724"/>
      <c r="V1001" s="724"/>
      <c r="W1001" s="724"/>
      <c r="X1001" s="724"/>
      <c r="Y1001" s="724"/>
      <c r="Z1001" s="724"/>
      <c r="AA1001" s="724"/>
      <c r="AB1001" s="724"/>
      <c r="AC1001" s="729"/>
      <c r="AD1001" s="724"/>
      <c r="AE1001" s="724"/>
      <c r="AF1001" s="724"/>
      <c r="AG1001" s="724"/>
      <c r="AH1001" s="724"/>
      <c r="AI1001" s="724"/>
      <c r="AJ1001" s="724"/>
      <c r="AU1001" s="713"/>
      <c r="AW1001" s="712"/>
      <c r="BY1001" s="714"/>
      <c r="BZ1001" s="715"/>
      <c r="CA1001" s="716"/>
      <c r="CB1001" s="717"/>
      <c r="CC1001" s="717"/>
      <c r="CD1001" s="717"/>
      <c r="CE1001" s="717"/>
      <c r="CF1001" s="717"/>
      <c r="CG1001" s="717"/>
      <c r="CH1001" s="717"/>
      <c r="CI1001" s="717"/>
      <c r="CJ1001" s="717"/>
      <c r="CK1001" s="717"/>
      <c r="CL1001" s="717"/>
      <c r="CM1001" s="717"/>
      <c r="CN1001" s="717"/>
      <c r="CO1001" s="717"/>
      <c r="CP1001" s="717"/>
      <c r="CQ1001" s="717"/>
      <c r="CR1001" s="717"/>
      <c r="CS1001" s="717"/>
      <c r="CT1001" s="717"/>
      <c r="CU1001" s="717"/>
      <c r="CV1001" s="717"/>
      <c r="CW1001" s="717"/>
      <c r="CX1001" s="717"/>
      <c r="CY1001" s="717"/>
      <c r="CZ1001" s="717"/>
      <c r="DA1001" s="717"/>
      <c r="DB1001" s="717"/>
      <c r="DC1001" s="717"/>
      <c r="DD1001" s="717"/>
      <c r="DE1001" s="717"/>
      <c r="DF1001" s="717"/>
      <c r="DG1001" s="717"/>
      <c r="DH1001" s="717"/>
      <c r="DI1001" s="717"/>
      <c r="DJ1001" s="717"/>
      <c r="DM1001" s="711"/>
      <c r="DN1001" s="711"/>
      <c r="DO1001" s="711"/>
      <c r="DP1001" s="711"/>
      <c r="DQ1001" s="711"/>
    </row>
    <row r="1002" spans="5:121" s="709" customFormat="1" ht="18" hidden="1">
      <c r="E1002" s="721"/>
      <c r="H1002" s="723">
        <v>515</v>
      </c>
      <c r="I1002" s="726"/>
      <c r="J1002" s="724"/>
      <c r="K1002" s="724"/>
      <c r="L1002" s="724"/>
      <c r="M1002" s="728"/>
      <c r="N1002" s="724"/>
      <c r="O1002" s="724"/>
      <c r="P1002" s="724"/>
      <c r="Q1002" s="724"/>
      <c r="R1002" s="724"/>
      <c r="S1002" s="724"/>
      <c r="T1002" s="724"/>
      <c r="U1002" s="724"/>
      <c r="V1002" s="724"/>
      <c r="W1002" s="724"/>
      <c r="X1002" s="724"/>
      <c r="Y1002" s="724"/>
      <c r="Z1002" s="724"/>
      <c r="AA1002" s="724"/>
      <c r="AB1002" s="724"/>
      <c r="AC1002" s="729"/>
      <c r="AD1002" s="724"/>
      <c r="AE1002" s="724"/>
      <c r="AF1002" s="724"/>
      <c r="AG1002" s="724"/>
      <c r="AH1002" s="724"/>
      <c r="AI1002" s="724"/>
      <c r="AJ1002" s="724"/>
      <c r="AU1002" s="713"/>
      <c r="AW1002" s="712"/>
      <c r="BY1002" s="714"/>
      <c r="BZ1002" s="715"/>
      <c r="CA1002" s="716"/>
      <c r="CB1002" s="717"/>
      <c r="CC1002" s="717"/>
      <c r="CD1002" s="717"/>
      <c r="CE1002" s="717"/>
      <c r="CF1002" s="717"/>
      <c r="CG1002" s="717"/>
      <c r="CH1002" s="717"/>
      <c r="CI1002" s="717"/>
      <c r="CJ1002" s="717"/>
      <c r="CK1002" s="717"/>
      <c r="CL1002" s="717"/>
      <c r="CM1002" s="717"/>
      <c r="CN1002" s="717"/>
      <c r="CO1002" s="717"/>
      <c r="CP1002" s="717"/>
      <c r="CQ1002" s="717"/>
      <c r="CR1002" s="717"/>
      <c r="CS1002" s="717"/>
      <c r="CT1002" s="717"/>
      <c r="CU1002" s="717"/>
      <c r="CV1002" s="717"/>
      <c r="CW1002" s="717"/>
      <c r="CX1002" s="717"/>
      <c r="CY1002" s="717"/>
      <c r="CZ1002" s="717"/>
      <c r="DA1002" s="717"/>
      <c r="DB1002" s="717"/>
      <c r="DC1002" s="717"/>
      <c r="DD1002" s="717"/>
      <c r="DE1002" s="717"/>
      <c r="DF1002" s="717"/>
      <c r="DG1002" s="717"/>
      <c r="DH1002" s="717"/>
      <c r="DI1002" s="717"/>
      <c r="DJ1002" s="717"/>
      <c r="DM1002" s="711"/>
      <c r="DN1002" s="711"/>
      <c r="DO1002" s="711"/>
      <c r="DP1002" s="711"/>
      <c r="DQ1002" s="711"/>
    </row>
    <row r="1003" spans="5:121" s="709" customFormat="1" ht="18" hidden="1">
      <c r="E1003" s="721"/>
      <c r="H1003" s="723">
        <v>516</v>
      </c>
      <c r="I1003" s="726"/>
      <c r="J1003" s="724"/>
      <c r="K1003" s="724"/>
      <c r="L1003" s="724"/>
      <c r="M1003" s="728"/>
      <c r="N1003" s="724"/>
      <c r="O1003" s="724"/>
      <c r="P1003" s="724"/>
      <c r="Q1003" s="724"/>
      <c r="R1003" s="724"/>
      <c r="S1003" s="724"/>
      <c r="T1003" s="724"/>
      <c r="U1003" s="724"/>
      <c r="V1003" s="724"/>
      <c r="W1003" s="724"/>
      <c r="X1003" s="724"/>
      <c r="Y1003" s="724"/>
      <c r="Z1003" s="724"/>
      <c r="AA1003" s="724"/>
      <c r="AB1003" s="724"/>
      <c r="AC1003" s="729"/>
      <c r="AD1003" s="724"/>
      <c r="AE1003" s="724"/>
      <c r="AF1003" s="724"/>
      <c r="AG1003" s="724"/>
      <c r="AH1003" s="724"/>
      <c r="AI1003" s="724"/>
      <c r="AJ1003" s="724"/>
      <c r="AU1003" s="713"/>
      <c r="AW1003" s="712"/>
      <c r="BY1003" s="714"/>
      <c r="BZ1003" s="715"/>
      <c r="CA1003" s="716"/>
      <c r="CB1003" s="717"/>
      <c r="CC1003" s="717"/>
      <c r="CD1003" s="717"/>
      <c r="CE1003" s="717"/>
      <c r="CF1003" s="717"/>
      <c r="CG1003" s="717"/>
      <c r="CH1003" s="717"/>
      <c r="CI1003" s="717"/>
      <c r="CJ1003" s="717"/>
      <c r="CK1003" s="717"/>
      <c r="CL1003" s="717"/>
      <c r="CM1003" s="717"/>
      <c r="CN1003" s="717"/>
      <c r="CO1003" s="717"/>
      <c r="CP1003" s="717"/>
      <c r="CQ1003" s="717"/>
      <c r="CR1003" s="717"/>
      <c r="CS1003" s="717"/>
      <c r="CT1003" s="717"/>
      <c r="CU1003" s="717"/>
      <c r="CV1003" s="717"/>
      <c r="CW1003" s="717"/>
      <c r="CX1003" s="717"/>
      <c r="CY1003" s="717"/>
      <c r="CZ1003" s="717"/>
      <c r="DA1003" s="717"/>
      <c r="DB1003" s="717"/>
      <c r="DC1003" s="717"/>
      <c r="DD1003" s="717"/>
      <c r="DE1003" s="717"/>
      <c r="DF1003" s="717"/>
      <c r="DG1003" s="717"/>
      <c r="DH1003" s="717"/>
      <c r="DI1003" s="717"/>
      <c r="DJ1003" s="717"/>
      <c r="DM1003" s="711"/>
      <c r="DN1003" s="711"/>
      <c r="DO1003" s="711"/>
      <c r="DP1003" s="711"/>
      <c r="DQ1003" s="711"/>
    </row>
    <row r="1004" spans="5:121" s="709" customFormat="1" ht="18" hidden="1">
      <c r="E1004" s="721"/>
      <c r="H1004" s="723">
        <v>517</v>
      </c>
      <c r="I1004" s="726"/>
      <c r="J1004" s="724"/>
      <c r="K1004" s="724"/>
      <c r="L1004" s="724"/>
      <c r="M1004" s="728"/>
      <c r="N1004" s="724"/>
      <c r="O1004" s="724"/>
      <c r="P1004" s="724"/>
      <c r="Q1004" s="724"/>
      <c r="R1004" s="724"/>
      <c r="S1004" s="724"/>
      <c r="T1004" s="724"/>
      <c r="U1004" s="724"/>
      <c r="V1004" s="724"/>
      <c r="W1004" s="724"/>
      <c r="X1004" s="724"/>
      <c r="Y1004" s="724"/>
      <c r="Z1004" s="724"/>
      <c r="AA1004" s="724"/>
      <c r="AB1004" s="724"/>
      <c r="AC1004" s="729"/>
      <c r="AD1004" s="724"/>
      <c r="AE1004" s="724"/>
      <c r="AF1004" s="724"/>
      <c r="AG1004" s="724"/>
      <c r="AH1004" s="724"/>
      <c r="AI1004" s="724"/>
      <c r="AJ1004" s="724"/>
      <c r="AU1004" s="713"/>
      <c r="AW1004" s="712"/>
      <c r="BY1004" s="714"/>
      <c r="BZ1004" s="715"/>
      <c r="CA1004" s="716"/>
      <c r="CB1004" s="717"/>
      <c r="CC1004" s="717"/>
      <c r="CD1004" s="717"/>
      <c r="CE1004" s="717"/>
      <c r="CF1004" s="717"/>
      <c r="CG1004" s="717"/>
      <c r="CH1004" s="717"/>
      <c r="CI1004" s="717"/>
      <c r="CJ1004" s="717"/>
      <c r="CK1004" s="717"/>
      <c r="CL1004" s="717"/>
      <c r="CM1004" s="717"/>
      <c r="CN1004" s="717"/>
      <c r="CO1004" s="717"/>
      <c r="CP1004" s="717"/>
      <c r="CQ1004" s="717"/>
      <c r="CR1004" s="717"/>
      <c r="CS1004" s="717"/>
      <c r="CT1004" s="717"/>
      <c r="CU1004" s="717"/>
      <c r="CV1004" s="717"/>
      <c r="CW1004" s="717"/>
      <c r="CX1004" s="717"/>
      <c r="CY1004" s="717"/>
      <c r="CZ1004" s="717"/>
      <c r="DA1004" s="717"/>
      <c r="DB1004" s="717"/>
      <c r="DC1004" s="717"/>
      <c r="DD1004" s="717"/>
      <c r="DE1004" s="717"/>
      <c r="DF1004" s="717"/>
      <c r="DG1004" s="717"/>
      <c r="DH1004" s="717"/>
      <c r="DI1004" s="717"/>
      <c r="DJ1004" s="717"/>
      <c r="DM1004" s="711"/>
      <c r="DN1004" s="711"/>
      <c r="DO1004" s="711"/>
      <c r="DP1004" s="711"/>
      <c r="DQ1004" s="711"/>
    </row>
    <row r="1005" spans="5:121" s="709" customFormat="1" ht="18" hidden="1">
      <c r="E1005" s="721"/>
      <c r="H1005" s="723">
        <v>518</v>
      </c>
      <c r="I1005" s="726"/>
      <c r="J1005" s="724"/>
      <c r="K1005" s="724"/>
      <c r="L1005" s="724"/>
      <c r="M1005" s="728"/>
      <c r="N1005" s="724"/>
      <c r="O1005" s="724"/>
      <c r="P1005" s="724"/>
      <c r="Q1005" s="724"/>
      <c r="R1005" s="724"/>
      <c r="S1005" s="724"/>
      <c r="T1005" s="724"/>
      <c r="U1005" s="724"/>
      <c r="V1005" s="724"/>
      <c r="W1005" s="724"/>
      <c r="X1005" s="724"/>
      <c r="Y1005" s="724"/>
      <c r="Z1005" s="724"/>
      <c r="AA1005" s="724"/>
      <c r="AB1005" s="724"/>
      <c r="AC1005" s="729"/>
      <c r="AD1005" s="724"/>
      <c r="AE1005" s="724"/>
      <c r="AF1005" s="724"/>
      <c r="AG1005" s="724"/>
      <c r="AH1005" s="724"/>
      <c r="AI1005" s="724"/>
      <c r="AJ1005" s="724"/>
      <c r="AU1005" s="713"/>
      <c r="AW1005" s="712"/>
      <c r="BY1005" s="714"/>
      <c r="BZ1005" s="715"/>
      <c r="CA1005" s="716"/>
      <c r="CB1005" s="717"/>
      <c r="CC1005" s="717"/>
      <c r="CD1005" s="717"/>
      <c r="CE1005" s="717"/>
      <c r="CF1005" s="717"/>
      <c r="CG1005" s="717"/>
      <c r="CH1005" s="717"/>
      <c r="CI1005" s="717"/>
      <c r="CJ1005" s="717"/>
      <c r="CK1005" s="717"/>
      <c r="CL1005" s="717"/>
      <c r="CM1005" s="717"/>
      <c r="CN1005" s="717"/>
      <c r="CO1005" s="717"/>
      <c r="CP1005" s="717"/>
      <c r="CQ1005" s="717"/>
      <c r="CR1005" s="717"/>
      <c r="CS1005" s="717"/>
      <c r="CT1005" s="717"/>
      <c r="CU1005" s="717"/>
      <c r="CV1005" s="717"/>
      <c r="CW1005" s="717"/>
      <c r="CX1005" s="717"/>
      <c r="CY1005" s="717"/>
      <c r="CZ1005" s="717"/>
      <c r="DA1005" s="717"/>
      <c r="DB1005" s="717"/>
      <c r="DC1005" s="717"/>
      <c r="DD1005" s="717"/>
      <c r="DE1005" s="717"/>
      <c r="DF1005" s="717"/>
      <c r="DG1005" s="717"/>
      <c r="DH1005" s="717"/>
      <c r="DI1005" s="717"/>
      <c r="DJ1005" s="717"/>
      <c r="DM1005" s="711"/>
      <c r="DN1005" s="711"/>
      <c r="DO1005" s="711"/>
      <c r="DP1005" s="711"/>
      <c r="DQ1005" s="711"/>
    </row>
    <row r="1006" spans="5:121" s="709" customFormat="1" ht="18" hidden="1">
      <c r="E1006" s="721"/>
      <c r="H1006" s="723">
        <v>519</v>
      </c>
      <c r="I1006" s="726"/>
      <c r="J1006" s="724"/>
      <c r="K1006" s="724"/>
      <c r="L1006" s="724"/>
      <c r="M1006" s="728"/>
      <c r="N1006" s="724"/>
      <c r="O1006" s="724"/>
      <c r="P1006" s="724"/>
      <c r="Q1006" s="724"/>
      <c r="R1006" s="724"/>
      <c r="S1006" s="724"/>
      <c r="T1006" s="724"/>
      <c r="U1006" s="724"/>
      <c r="V1006" s="724"/>
      <c r="W1006" s="724"/>
      <c r="X1006" s="724"/>
      <c r="Y1006" s="724"/>
      <c r="Z1006" s="724"/>
      <c r="AA1006" s="724"/>
      <c r="AB1006" s="724"/>
      <c r="AC1006" s="729"/>
      <c r="AD1006" s="724"/>
      <c r="AE1006" s="724"/>
      <c r="AF1006" s="724"/>
      <c r="AG1006" s="724"/>
      <c r="AH1006" s="724"/>
      <c r="AI1006" s="724"/>
      <c r="AJ1006" s="724"/>
      <c r="AU1006" s="713"/>
      <c r="AW1006" s="712"/>
      <c r="BY1006" s="714"/>
      <c r="BZ1006" s="715"/>
      <c r="CA1006" s="716"/>
      <c r="CB1006" s="717"/>
      <c r="CC1006" s="717"/>
      <c r="CD1006" s="717"/>
      <c r="CE1006" s="717"/>
      <c r="CF1006" s="717"/>
      <c r="CG1006" s="717"/>
      <c r="CH1006" s="717"/>
      <c r="CI1006" s="717"/>
      <c r="CJ1006" s="717"/>
      <c r="CK1006" s="717"/>
      <c r="CL1006" s="717"/>
      <c r="CM1006" s="717"/>
      <c r="CN1006" s="717"/>
      <c r="CO1006" s="717"/>
      <c r="CP1006" s="717"/>
      <c r="CQ1006" s="717"/>
      <c r="CR1006" s="717"/>
      <c r="CS1006" s="717"/>
      <c r="CT1006" s="717"/>
      <c r="CU1006" s="717"/>
      <c r="CV1006" s="717"/>
      <c r="CW1006" s="717"/>
      <c r="CX1006" s="717"/>
      <c r="CY1006" s="717"/>
      <c r="CZ1006" s="717"/>
      <c r="DA1006" s="717"/>
      <c r="DB1006" s="717"/>
      <c r="DC1006" s="717"/>
      <c r="DD1006" s="717"/>
      <c r="DE1006" s="717"/>
      <c r="DF1006" s="717"/>
      <c r="DG1006" s="717"/>
      <c r="DH1006" s="717"/>
      <c r="DI1006" s="717"/>
      <c r="DJ1006" s="717"/>
      <c r="DM1006" s="711"/>
      <c r="DN1006" s="711"/>
      <c r="DO1006" s="711"/>
      <c r="DP1006" s="711"/>
      <c r="DQ1006" s="711"/>
    </row>
    <row r="1007" spans="5:121" s="709" customFormat="1" ht="18" hidden="1">
      <c r="E1007" s="721"/>
      <c r="H1007" s="723">
        <v>520</v>
      </c>
      <c r="I1007" s="726"/>
      <c r="J1007" s="724"/>
      <c r="K1007" s="724"/>
      <c r="L1007" s="724"/>
      <c r="M1007" s="728"/>
      <c r="N1007" s="724"/>
      <c r="O1007" s="724"/>
      <c r="P1007" s="724"/>
      <c r="Q1007" s="724"/>
      <c r="R1007" s="724"/>
      <c r="S1007" s="724"/>
      <c r="T1007" s="724"/>
      <c r="U1007" s="724"/>
      <c r="V1007" s="724"/>
      <c r="W1007" s="724"/>
      <c r="X1007" s="724"/>
      <c r="Y1007" s="724"/>
      <c r="Z1007" s="724"/>
      <c r="AA1007" s="724"/>
      <c r="AB1007" s="724"/>
      <c r="AC1007" s="729"/>
      <c r="AD1007" s="724"/>
      <c r="AE1007" s="724"/>
      <c r="AF1007" s="724"/>
      <c r="AG1007" s="724"/>
      <c r="AH1007" s="724"/>
      <c r="AI1007" s="724"/>
      <c r="AJ1007" s="724"/>
      <c r="AU1007" s="713"/>
      <c r="AW1007" s="712"/>
      <c r="BY1007" s="714"/>
      <c r="BZ1007" s="715"/>
      <c r="CA1007" s="716"/>
      <c r="CB1007" s="717"/>
      <c r="CC1007" s="717"/>
      <c r="CD1007" s="717"/>
      <c r="CE1007" s="717"/>
      <c r="CF1007" s="717"/>
      <c r="CG1007" s="717"/>
      <c r="CH1007" s="717"/>
      <c r="CI1007" s="717"/>
      <c r="CJ1007" s="717"/>
      <c r="CK1007" s="717"/>
      <c r="CL1007" s="717"/>
      <c r="CM1007" s="717"/>
      <c r="CN1007" s="717"/>
      <c r="CO1007" s="717"/>
      <c r="CP1007" s="717"/>
      <c r="CQ1007" s="717"/>
      <c r="CR1007" s="717"/>
      <c r="CS1007" s="717"/>
      <c r="CT1007" s="717"/>
      <c r="CU1007" s="717"/>
      <c r="CV1007" s="717"/>
      <c r="CW1007" s="717"/>
      <c r="CX1007" s="717"/>
      <c r="CY1007" s="717"/>
      <c r="CZ1007" s="717"/>
      <c r="DA1007" s="717"/>
      <c r="DB1007" s="717"/>
      <c r="DC1007" s="717"/>
      <c r="DD1007" s="717"/>
      <c r="DE1007" s="717"/>
      <c r="DF1007" s="717"/>
      <c r="DG1007" s="717"/>
      <c r="DH1007" s="717"/>
      <c r="DI1007" s="717"/>
      <c r="DJ1007" s="717"/>
      <c r="DM1007" s="711"/>
      <c r="DN1007" s="711"/>
      <c r="DO1007" s="711"/>
      <c r="DP1007" s="711"/>
      <c r="DQ1007" s="711"/>
    </row>
    <row r="1008" spans="5:121" s="709" customFormat="1" ht="18" hidden="1">
      <c r="E1008" s="721"/>
      <c r="H1008" s="731">
        <v>521</v>
      </c>
      <c r="I1008" s="726"/>
      <c r="J1008" s="724"/>
      <c r="K1008" s="724"/>
      <c r="L1008" s="724"/>
      <c r="M1008" s="728"/>
      <c r="N1008" s="724"/>
      <c r="O1008" s="724"/>
      <c r="P1008" s="724"/>
      <c r="Q1008" s="724"/>
      <c r="R1008" s="724"/>
      <c r="S1008" s="724"/>
      <c r="T1008" s="724"/>
      <c r="U1008" s="724"/>
      <c r="V1008" s="724"/>
      <c r="W1008" s="724"/>
      <c r="X1008" s="724"/>
      <c r="Y1008" s="724"/>
      <c r="Z1008" s="724"/>
      <c r="AA1008" s="724"/>
      <c r="AB1008" s="724"/>
      <c r="AC1008" s="729"/>
      <c r="AD1008" s="724"/>
      <c r="AE1008" s="724"/>
      <c r="AF1008" s="724"/>
      <c r="AG1008" s="724"/>
      <c r="AH1008" s="724"/>
      <c r="AI1008" s="724"/>
      <c r="AJ1008" s="724"/>
      <c r="AU1008" s="713"/>
      <c r="AW1008" s="712"/>
      <c r="BY1008" s="714"/>
      <c r="BZ1008" s="715"/>
      <c r="CA1008" s="716"/>
      <c r="CB1008" s="717"/>
      <c r="CC1008" s="717"/>
      <c r="CD1008" s="717"/>
      <c r="CE1008" s="717"/>
      <c r="CF1008" s="717"/>
      <c r="CG1008" s="717"/>
      <c r="CH1008" s="717"/>
      <c r="CI1008" s="717"/>
      <c r="CJ1008" s="717"/>
      <c r="CK1008" s="717"/>
      <c r="CL1008" s="717"/>
      <c r="CM1008" s="717"/>
      <c r="CN1008" s="717"/>
      <c r="CO1008" s="717"/>
      <c r="CP1008" s="717"/>
      <c r="CQ1008" s="717"/>
      <c r="CR1008" s="717"/>
      <c r="CS1008" s="717"/>
      <c r="CT1008" s="717"/>
      <c r="CU1008" s="717"/>
      <c r="CV1008" s="717"/>
      <c r="CW1008" s="717"/>
      <c r="CX1008" s="717"/>
      <c r="CY1008" s="717"/>
      <c r="CZ1008" s="717"/>
      <c r="DA1008" s="717"/>
      <c r="DB1008" s="717"/>
      <c r="DC1008" s="717"/>
      <c r="DD1008" s="717"/>
      <c r="DE1008" s="717"/>
      <c r="DF1008" s="717"/>
      <c r="DG1008" s="717"/>
      <c r="DH1008" s="717"/>
      <c r="DI1008" s="717"/>
      <c r="DJ1008" s="717"/>
      <c r="DM1008" s="711"/>
      <c r="DN1008" s="711"/>
      <c r="DO1008" s="711"/>
      <c r="DP1008" s="711"/>
      <c r="DQ1008" s="711"/>
    </row>
    <row r="1009" spans="5:121" s="709" customFormat="1" ht="18" hidden="1">
      <c r="E1009" s="721"/>
      <c r="H1009" s="723">
        <v>522</v>
      </c>
      <c r="I1009" s="726"/>
      <c r="J1009" s="724"/>
      <c r="K1009" s="724"/>
      <c r="L1009" s="724"/>
      <c r="M1009" s="728"/>
      <c r="N1009" s="724"/>
      <c r="O1009" s="724"/>
      <c r="P1009" s="724"/>
      <c r="Q1009" s="724"/>
      <c r="R1009" s="724"/>
      <c r="S1009" s="724"/>
      <c r="T1009" s="724"/>
      <c r="U1009" s="724"/>
      <c r="V1009" s="724"/>
      <c r="W1009" s="724"/>
      <c r="X1009" s="724"/>
      <c r="Y1009" s="724"/>
      <c r="Z1009" s="724"/>
      <c r="AA1009" s="724"/>
      <c r="AB1009" s="724"/>
      <c r="AC1009" s="729"/>
      <c r="AD1009" s="724"/>
      <c r="AE1009" s="724"/>
      <c r="AF1009" s="724"/>
      <c r="AG1009" s="724"/>
      <c r="AH1009" s="724"/>
      <c r="AI1009" s="724"/>
      <c r="AJ1009" s="724"/>
      <c r="AU1009" s="713"/>
      <c r="AW1009" s="712"/>
      <c r="BY1009" s="714"/>
      <c r="BZ1009" s="715"/>
      <c r="CA1009" s="716"/>
      <c r="CB1009" s="717"/>
      <c r="CC1009" s="717"/>
      <c r="CD1009" s="717"/>
      <c r="CE1009" s="717"/>
      <c r="CF1009" s="717"/>
      <c r="CG1009" s="717"/>
      <c r="CH1009" s="717"/>
      <c r="CI1009" s="717"/>
      <c r="CJ1009" s="717"/>
      <c r="CK1009" s="717"/>
      <c r="CL1009" s="717"/>
      <c r="CM1009" s="717"/>
      <c r="CN1009" s="717"/>
      <c r="CO1009" s="717"/>
      <c r="CP1009" s="717"/>
      <c r="CQ1009" s="717"/>
      <c r="CR1009" s="717"/>
      <c r="CS1009" s="717"/>
      <c r="CT1009" s="717"/>
      <c r="CU1009" s="717"/>
      <c r="CV1009" s="717"/>
      <c r="CW1009" s="717"/>
      <c r="CX1009" s="717"/>
      <c r="CY1009" s="717"/>
      <c r="CZ1009" s="717"/>
      <c r="DA1009" s="717"/>
      <c r="DB1009" s="717"/>
      <c r="DC1009" s="717"/>
      <c r="DD1009" s="717"/>
      <c r="DE1009" s="717"/>
      <c r="DF1009" s="717"/>
      <c r="DG1009" s="717"/>
      <c r="DH1009" s="717"/>
      <c r="DI1009" s="717"/>
      <c r="DJ1009" s="717"/>
      <c r="DM1009" s="711"/>
      <c r="DN1009" s="711"/>
      <c r="DO1009" s="711"/>
      <c r="DP1009" s="711"/>
      <c r="DQ1009" s="711"/>
    </row>
    <row r="1010" spans="5:121" s="709" customFormat="1" ht="18" hidden="1">
      <c r="E1010" s="721"/>
      <c r="H1010" s="723">
        <v>523</v>
      </c>
      <c r="I1010" s="726"/>
      <c r="J1010" s="724"/>
      <c r="K1010" s="724"/>
      <c r="L1010" s="724"/>
      <c r="M1010" s="728"/>
      <c r="N1010" s="724"/>
      <c r="O1010" s="724"/>
      <c r="P1010" s="724"/>
      <c r="Q1010" s="724"/>
      <c r="R1010" s="724"/>
      <c r="S1010" s="724"/>
      <c r="T1010" s="724"/>
      <c r="U1010" s="724"/>
      <c r="V1010" s="724"/>
      <c r="W1010" s="724"/>
      <c r="X1010" s="724"/>
      <c r="Y1010" s="724"/>
      <c r="Z1010" s="724"/>
      <c r="AA1010" s="724"/>
      <c r="AB1010" s="724"/>
      <c r="AC1010" s="729"/>
      <c r="AD1010" s="724"/>
      <c r="AE1010" s="724"/>
      <c r="AF1010" s="724"/>
      <c r="AG1010" s="724"/>
      <c r="AH1010" s="724"/>
      <c r="AI1010" s="724"/>
      <c r="AJ1010" s="724"/>
      <c r="AU1010" s="713"/>
      <c r="AW1010" s="712"/>
      <c r="BY1010" s="714"/>
      <c r="BZ1010" s="715"/>
      <c r="CA1010" s="716"/>
      <c r="CB1010" s="717"/>
      <c r="CC1010" s="717"/>
      <c r="CD1010" s="717"/>
      <c r="CE1010" s="717"/>
      <c r="CF1010" s="717"/>
      <c r="CG1010" s="717"/>
      <c r="CH1010" s="717"/>
      <c r="CI1010" s="717"/>
      <c r="CJ1010" s="717"/>
      <c r="CK1010" s="717"/>
      <c r="CL1010" s="717"/>
      <c r="CM1010" s="717"/>
      <c r="CN1010" s="717"/>
      <c r="CO1010" s="717"/>
      <c r="CP1010" s="717"/>
      <c r="CQ1010" s="717"/>
      <c r="CR1010" s="717"/>
      <c r="CS1010" s="717"/>
      <c r="CT1010" s="717"/>
      <c r="CU1010" s="717"/>
      <c r="CV1010" s="717"/>
      <c r="CW1010" s="717"/>
      <c r="CX1010" s="717"/>
      <c r="CY1010" s="717"/>
      <c r="CZ1010" s="717"/>
      <c r="DA1010" s="717"/>
      <c r="DB1010" s="717"/>
      <c r="DC1010" s="717"/>
      <c r="DD1010" s="717"/>
      <c r="DE1010" s="717"/>
      <c r="DF1010" s="717"/>
      <c r="DG1010" s="717"/>
      <c r="DH1010" s="717"/>
      <c r="DI1010" s="717"/>
      <c r="DJ1010" s="717"/>
      <c r="DM1010" s="711"/>
      <c r="DN1010" s="711"/>
      <c r="DO1010" s="711"/>
      <c r="DP1010" s="711"/>
      <c r="DQ1010" s="711"/>
    </row>
    <row r="1011" spans="5:121" s="709" customFormat="1" ht="18" hidden="1">
      <c r="E1011" s="721"/>
      <c r="H1011" s="723">
        <v>524</v>
      </c>
      <c r="I1011" s="726"/>
      <c r="J1011" s="724"/>
      <c r="K1011" s="724"/>
      <c r="L1011" s="724"/>
      <c r="M1011" s="728"/>
      <c r="N1011" s="724"/>
      <c r="O1011" s="724"/>
      <c r="P1011" s="724"/>
      <c r="Q1011" s="724"/>
      <c r="R1011" s="724"/>
      <c r="S1011" s="724"/>
      <c r="T1011" s="724"/>
      <c r="U1011" s="724"/>
      <c r="V1011" s="724"/>
      <c r="W1011" s="724"/>
      <c r="X1011" s="724"/>
      <c r="Y1011" s="724"/>
      <c r="Z1011" s="724"/>
      <c r="AA1011" s="724"/>
      <c r="AB1011" s="724"/>
      <c r="AC1011" s="729"/>
      <c r="AD1011" s="724"/>
      <c r="AE1011" s="724"/>
      <c r="AF1011" s="724"/>
      <c r="AG1011" s="724"/>
      <c r="AH1011" s="724"/>
      <c r="AI1011" s="724"/>
      <c r="AJ1011" s="724"/>
      <c r="AU1011" s="713"/>
      <c r="AW1011" s="712"/>
      <c r="BY1011" s="714"/>
      <c r="BZ1011" s="715"/>
      <c r="CA1011" s="716"/>
      <c r="CB1011" s="717"/>
      <c r="CC1011" s="717"/>
      <c r="CD1011" s="717"/>
      <c r="CE1011" s="717"/>
      <c r="CF1011" s="717"/>
      <c r="CG1011" s="717"/>
      <c r="CH1011" s="717"/>
      <c r="CI1011" s="717"/>
      <c r="CJ1011" s="717"/>
      <c r="CK1011" s="717"/>
      <c r="CL1011" s="717"/>
      <c r="CM1011" s="717"/>
      <c r="CN1011" s="717"/>
      <c r="CO1011" s="717"/>
      <c r="CP1011" s="717"/>
      <c r="CQ1011" s="717"/>
      <c r="CR1011" s="717"/>
      <c r="CS1011" s="717"/>
      <c r="CT1011" s="717"/>
      <c r="CU1011" s="717"/>
      <c r="CV1011" s="717"/>
      <c r="CW1011" s="717"/>
      <c r="CX1011" s="717"/>
      <c r="CY1011" s="717"/>
      <c r="CZ1011" s="717"/>
      <c r="DA1011" s="717"/>
      <c r="DB1011" s="717"/>
      <c r="DC1011" s="717"/>
      <c r="DD1011" s="717"/>
      <c r="DE1011" s="717"/>
      <c r="DF1011" s="717"/>
      <c r="DG1011" s="717"/>
      <c r="DH1011" s="717"/>
      <c r="DI1011" s="717"/>
      <c r="DJ1011" s="717"/>
      <c r="DM1011" s="711"/>
      <c r="DN1011" s="711"/>
      <c r="DO1011" s="711"/>
      <c r="DP1011" s="711"/>
      <c r="DQ1011" s="711"/>
    </row>
    <row r="1012" spans="5:121" s="709" customFormat="1" ht="18" hidden="1">
      <c r="E1012" s="721"/>
      <c r="H1012" s="723">
        <v>525</v>
      </c>
      <c r="I1012" s="726"/>
      <c r="J1012" s="724"/>
      <c r="K1012" s="724"/>
      <c r="L1012" s="724"/>
      <c r="M1012" s="728"/>
      <c r="N1012" s="724"/>
      <c r="O1012" s="724"/>
      <c r="P1012" s="724"/>
      <c r="Q1012" s="724"/>
      <c r="R1012" s="724"/>
      <c r="S1012" s="724"/>
      <c r="T1012" s="724"/>
      <c r="U1012" s="724"/>
      <c r="V1012" s="724"/>
      <c r="W1012" s="724"/>
      <c r="X1012" s="724"/>
      <c r="Y1012" s="724"/>
      <c r="Z1012" s="724"/>
      <c r="AA1012" s="724"/>
      <c r="AB1012" s="724"/>
      <c r="AC1012" s="729"/>
      <c r="AD1012" s="724"/>
      <c r="AE1012" s="724"/>
      <c r="AF1012" s="724"/>
      <c r="AG1012" s="724"/>
      <c r="AH1012" s="724"/>
      <c r="AI1012" s="724"/>
      <c r="AJ1012" s="724"/>
      <c r="AU1012" s="713"/>
      <c r="AW1012" s="712"/>
      <c r="BY1012" s="714"/>
      <c r="BZ1012" s="715"/>
      <c r="CA1012" s="716"/>
      <c r="CB1012" s="717"/>
      <c r="CC1012" s="717"/>
      <c r="CD1012" s="717"/>
      <c r="CE1012" s="717"/>
      <c r="CF1012" s="717"/>
      <c r="CG1012" s="717"/>
      <c r="CH1012" s="717"/>
      <c r="CI1012" s="717"/>
      <c r="CJ1012" s="717"/>
      <c r="CK1012" s="717"/>
      <c r="CL1012" s="717"/>
      <c r="CM1012" s="717"/>
      <c r="CN1012" s="717"/>
      <c r="CO1012" s="717"/>
      <c r="CP1012" s="717"/>
      <c r="CQ1012" s="717"/>
      <c r="CR1012" s="717"/>
      <c r="CS1012" s="717"/>
      <c r="CT1012" s="717"/>
      <c r="CU1012" s="717"/>
      <c r="CV1012" s="717"/>
      <c r="CW1012" s="717"/>
      <c r="CX1012" s="717"/>
      <c r="CY1012" s="717"/>
      <c r="CZ1012" s="717"/>
      <c r="DA1012" s="717"/>
      <c r="DB1012" s="717"/>
      <c r="DC1012" s="717"/>
      <c r="DD1012" s="717"/>
      <c r="DE1012" s="717"/>
      <c r="DF1012" s="717"/>
      <c r="DG1012" s="717"/>
      <c r="DH1012" s="717"/>
      <c r="DI1012" s="717"/>
      <c r="DJ1012" s="717"/>
      <c r="DM1012" s="711"/>
      <c r="DN1012" s="711"/>
      <c r="DO1012" s="711"/>
      <c r="DP1012" s="711"/>
      <c r="DQ1012" s="711"/>
    </row>
    <row r="1013" spans="5:121" s="709" customFormat="1" ht="18" hidden="1">
      <c r="E1013" s="721"/>
      <c r="H1013" s="723">
        <v>526</v>
      </c>
      <c r="I1013" s="726"/>
      <c r="J1013" s="724"/>
      <c r="K1013" s="724"/>
      <c r="L1013" s="724"/>
      <c r="M1013" s="728"/>
      <c r="N1013" s="724"/>
      <c r="O1013" s="724"/>
      <c r="P1013" s="724"/>
      <c r="Q1013" s="724"/>
      <c r="R1013" s="724"/>
      <c r="S1013" s="724"/>
      <c r="T1013" s="724"/>
      <c r="U1013" s="724"/>
      <c r="V1013" s="724"/>
      <c r="W1013" s="724"/>
      <c r="X1013" s="724"/>
      <c r="Y1013" s="724"/>
      <c r="Z1013" s="724"/>
      <c r="AA1013" s="724"/>
      <c r="AB1013" s="724"/>
      <c r="AC1013" s="729"/>
      <c r="AD1013" s="724"/>
      <c r="AE1013" s="724"/>
      <c r="AF1013" s="724"/>
      <c r="AG1013" s="724"/>
      <c r="AH1013" s="724"/>
      <c r="AI1013" s="724"/>
      <c r="AJ1013" s="724"/>
      <c r="AU1013" s="713"/>
      <c r="AW1013" s="712"/>
      <c r="BY1013" s="714"/>
      <c r="BZ1013" s="715"/>
      <c r="CA1013" s="716"/>
      <c r="CB1013" s="717"/>
      <c r="CC1013" s="717"/>
      <c r="CD1013" s="717"/>
      <c r="CE1013" s="717"/>
      <c r="CF1013" s="717"/>
      <c r="CG1013" s="717"/>
      <c r="CH1013" s="717"/>
      <c r="CI1013" s="717"/>
      <c r="CJ1013" s="717"/>
      <c r="CK1013" s="717"/>
      <c r="CL1013" s="717"/>
      <c r="CM1013" s="717"/>
      <c r="CN1013" s="717"/>
      <c r="CO1013" s="717"/>
      <c r="CP1013" s="717"/>
      <c r="CQ1013" s="717"/>
      <c r="CR1013" s="717"/>
      <c r="CS1013" s="717"/>
      <c r="CT1013" s="717"/>
      <c r="CU1013" s="717"/>
      <c r="CV1013" s="717"/>
      <c r="CW1013" s="717"/>
      <c r="CX1013" s="717"/>
      <c r="CY1013" s="717"/>
      <c r="CZ1013" s="717"/>
      <c r="DA1013" s="717"/>
      <c r="DB1013" s="717"/>
      <c r="DC1013" s="717"/>
      <c r="DD1013" s="717"/>
      <c r="DE1013" s="717"/>
      <c r="DF1013" s="717"/>
      <c r="DG1013" s="717"/>
      <c r="DH1013" s="717"/>
      <c r="DI1013" s="717"/>
      <c r="DJ1013" s="717"/>
      <c r="DM1013" s="711"/>
      <c r="DN1013" s="711"/>
      <c r="DO1013" s="711"/>
      <c r="DP1013" s="711"/>
      <c r="DQ1013" s="711"/>
    </row>
    <row r="1014" spans="5:121" s="709" customFormat="1" ht="18" hidden="1">
      <c r="E1014" s="721"/>
      <c r="H1014" s="723">
        <v>527</v>
      </c>
      <c r="I1014" s="726"/>
      <c r="J1014" s="724"/>
      <c r="K1014" s="724"/>
      <c r="L1014" s="724"/>
      <c r="M1014" s="728"/>
      <c r="N1014" s="724"/>
      <c r="O1014" s="724"/>
      <c r="P1014" s="724"/>
      <c r="Q1014" s="724"/>
      <c r="R1014" s="724"/>
      <c r="S1014" s="724"/>
      <c r="T1014" s="724"/>
      <c r="U1014" s="724"/>
      <c r="V1014" s="724"/>
      <c r="W1014" s="724"/>
      <c r="X1014" s="724"/>
      <c r="Y1014" s="724"/>
      <c r="Z1014" s="724"/>
      <c r="AA1014" s="724"/>
      <c r="AB1014" s="724"/>
      <c r="AC1014" s="729"/>
      <c r="AD1014" s="724"/>
      <c r="AE1014" s="724"/>
      <c r="AF1014" s="724"/>
      <c r="AG1014" s="724"/>
      <c r="AH1014" s="724"/>
      <c r="AI1014" s="724"/>
      <c r="AJ1014" s="724"/>
      <c r="AU1014" s="713"/>
      <c r="AW1014" s="712"/>
      <c r="BY1014" s="714"/>
      <c r="BZ1014" s="715"/>
      <c r="CA1014" s="716"/>
      <c r="CB1014" s="717"/>
      <c r="CC1014" s="717"/>
      <c r="CD1014" s="717"/>
      <c r="CE1014" s="717"/>
      <c r="CF1014" s="717"/>
      <c r="CG1014" s="717"/>
      <c r="CH1014" s="717"/>
      <c r="CI1014" s="717"/>
      <c r="CJ1014" s="717"/>
      <c r="CK1014" s="717"/>
      <c r="CL1014" s="717"/>
      <c r="CM1014" s="717"/>
      <c r="CN1014" s="717"/>
      <c r="CO1014" s="717"/>
      <c r="CP1014" s="717"/>
      <c r="CQ1014" s="717"/>
      <c r="CR1014" s="717"/>
      <c r="CS1014" s="717"/>
      <c r="CT1014" s="717"/>
      <c r="CU1014" s="717"/>
      <c r="CV1014" s="717"/>
      <c r="CW1014" s="717"/>
      <c r="CX1014" s="717"/>
      <c r="CY1014" s="717"/>
      <c r="CZ1014" s="717"/>
      <c r="DA1014" s="717"/>
      <c r="DB1014" s="717"/>
      <c r="DC1014" s="717"/>
      <c r="DD1014" s="717"/>
      <c r="DE1014" s="717"/>
      <c r="DF1014" s="717"/>
      <c r="DG1014" s="717"/>
      <c r="DH1014" s="717"/>
      <c r="DI1014" s="717"/>
      <c r="DJ1014" s="717"/>
      <c r="DM1014" s="711"/>
      <c r="DN1014" s="711"/>
      <c r="DO1014" s="711"/>
      <c r="DP1014" s="711"/>
      <c r="DQ1014" s="711"/>
    </row>
    <row r="1015" spans="5:121" s="709" customFormat="1" ht="18" hidden="1">
      <c r="E1015" s="721"/>
      <c r="H1015" s="723">
        <v>528</v>
      </c>
      <c r="I1015" s="726"/>
      <c r="J1015" s="724"/>
      <c r="K1015" s="724"/>
      <c r="L1015" s="724"/>
      <c r="M1015" s="728"/>
      <c r="N1015" s="724"/>
      <c r="O1015" s="724"/>
      <c r="P1015" s="724"/>
      <c r="Q1015" s="724"/>
      <c r="R1015" s="724"/>
      <c r="S1015" s="724"/>
      <c r="T1015" s="724"/>
      <c r="U1015" s="724"/>
      <c r="V1015" s="724"/>
      <c r="W1015" s="724"/>
      <c r="X1015" s="724"/>
      <c r="Y1015" s="724"/>
      <c r="Z1015" s="724"/>
      <c r="AA1015" s="724"/>
      <c r="AB1015" s="724"/>
      <c r="AC1015" s="729"/>
      <c r="AD1015" s="724"/>
      <c r="AE1015" s="724"/>
      <c r="AF1015" s="724"/>
      <c r="AG1015" s="724"/>
      <c r="AH1015" s="724"/>
      <c r="AI1015" s="724"/>
      <c r="AJ1015" s="724"/>
      <c r="AU1015" s="713"/>
      <c r="AW1015" s="712"/>
      <c r="BY1015" s="714"/>
      <c r="BZ1015" s="715"/>
      <c r="CA1015" s="716"/>
      <c r="CB1015" s="717"/>
      <c r="CC1015" s="717"/>
      <c r="CD1015" s="717"/>
      <c r="CE1015" s="717"/>
      <c r="CF1015" s="717"/>
      <c r="CG1015" s="717"/>
      <c r="CH1015" s="717"/>
      <c r="CI1015" s="717"/>
      <c r="CJ1015" s="717"/>
      <c r="CK1015" s="717"/>
      <c r="CL1015" s="717"/>
      <c r="CM1015" s="717"/>
      <c r="CN1015" s="717"/>
      <c r="CO1015" s="717"/>
      <c r="CP1015" s="717"/>
      <c r="CQ1015" s="717"/>
      <c r="CR1015" s="717"/>
      <c r="CS1015" s="717"/>
      <c r="CT1015" s="717"/>
      <c r="CU1015" s="717"/>
      <c r="CV1015" s="717"/>
      <c r="CW1015" s="717"/>
      <c r="CX1015" s="717"/>
      <c r="CY1015" s="717"/>
      <c r="CZ1015" s="717"/>
      <c r="DA1015" s="717"/>
      <c r="DB1015" s="717"/>
      <c r="DC1015" s="717"/>
      <c r="DD1015" s="717"/>
      <c r="DE1015" s="717"/>
      <c r="DF1015" s="717"/>
      <c r="DG1015" s="717"/>
      <c r="DH1015" s="717"/>
      <c r="DI1015" s="717"/>
      <c r="DJ1015" s="717"/>
      <c r="DM1015" s="711"/>
      <c r="DN1015" s="711"/>
      <c r="DO1015" s="711"/>
      <c r="DP1015" s="711"/>
      <c r="DQ1015" s="711"/>
    </row>
    <row r="1016" spans="5:121" s="709" customFormat="1" ht="18" hidden="1">
      <c r="E1016" s="721"/>
      <c r="H1016" s="723">
        <v>529</v>
      </c>
      <c r="I1016" s="726"/>
      <c r="J1016" s="724"/>
      <c r="K1016" s="724"/>
      <c r="L1016" s="724"/>
      <c r="M1016" s="728"/>
      <c r="N1016" s="724"/>
      <c r="O1016" s="724"/>
      <c r="P1016" s="724"/>
      <c r="Q1016" s="724"/>
      <c r="R1016" s="724"/>
      <c r="S1016" s="724"/>
      <c r="T1016" s="724"/>
      <c r="U1016" s="724"/>
      <c r="V1016" s="724"/>
      <c r="W1016" s="724"/>
      <c r="X1016" s="724"/>
      <c r="Y1016" s="724"/>
      <c r="Z1016" s="724"/>
      <c r="AA1016" s="724"/>
      <c r="AB1016" s="724"/>
      <c r="AC1016" s="729"/>
      <c r="AD1016" s="724"/>
      <c r="AE1016" s="724"/>
      <c r="AF1016" s="724"/>
      <c r="AG1016" s="724"/>
      <c r="AH1016" s="724"/>
      <c r="AI1016" s="724"/>
      <c r="AJ1016" s="724"/>
      <c r="AU1016" s="713"/>
      <c r="AW1016" s="712"/>
      <c r="BY1016" s="714"/>
      <c r="BZ1016" s="715"/>
      <c r="CA1016" s="716"/>
      <c r="CB1016" s="717"/>
      <c r="CC1016" s="717"/>
      <c r="CD1016" s="717"/>
      <c r="CE1016" s="717"/>
      <c r="CF1016" s="717"/>
      <c r="CG1016" s="717"/>
      <c r="CH1016" s="717"/>
      <c r="CI1016" s="717"/>
      <c r="CJ1016" s="717"/>
      <c r="CK1016" s="717"/>
      <c r="CL1016" s="717"/>
      <c r="CM1016" s="717"/>
      <c r="CN1016" s="717"/>
      <c r="CO1016" s="717"/>
      <c r="CP1016" s="717"/>
      <c r="CQ1016" s="717"/>
      <c r="CR1016" s="717"/>
      <c r="CS1016" s="717"/>
      <c r="CT1016" s="717"/>
      <c r="CU1016" s="717"/>
      <c r="CV1016" s="717"/>
      <c r="CW1016" s="717"/>
      <c r="CX1016" s="717"/>
      <c r="CY1016" s="717"/>
      <c r="CZ1016" s="717"/>
      <c r="DA1016" s="717"/>
      <c r="DB1016" s="717"/>
      <c r="DC1016" s="717"/>
      <c r="DD1016" s="717"/>
      <c r="DE1016" s="717"/>
      <c r="DF1016" s="717"/>
      <c r="DG1016" s="717"/>
      <c r="DH1016" s="717"/>
      <c r="DI1016" s="717"/>
      <c r="DJ1016" s="717"/>
      <c r="DM1016" s="711"/>
      <c r="DN1016" s="711"/>
      <c r="DO1016" s="711"/>
      <c r="DP1016" s="711"/>
      <c r="DQ1016" s="711"/>
    </row>
    <row r="1017" spans="5:121" s="709" customFormat="1" ht="18" hidden="1">
      <c r="E1017" s="721"/>
      <c r="H1017" s="723">
        <v>530</v>
      </c>
      <c r="I1017" s="726"/>
      <c r="J1017" s="724"/>
      <c r="K1017" s="724"/>
      <c r="L1017" s="724"/>
      <c r="M1017" s="728"/>
      <c r="N1017" s="724"/>
      <c r="O1017" s="724"/>
      <c r="P1017" s="724"/>
      <c r="Q1017" s="724"/>
      <c r="R1017" s="724"/>
      <c r="S1017" s="724"/>
      <c r="T1017" s="724"/>
      <c r="U1017" s="724"/>
      <c r="V1017" s="724"/>
      <c r="W1017" s="724"/>
      <c r="X1017" s="724"/>
      <c r="Y1017" s="724"/>
      <c r="Z1017" s="724"/>
      <c r="AA1017" s="724"/>
      <c r="AB1017" s="724"/>
      <c r="AC1017" s="729"/>
      <c r="AD1017" s="724"/>
      <c r="AE1017" s="724"/>
      <c r="AF1017" s="724"/>
      <c r="AG1017" s="724"/>
      <c r="AH1017" s="724"/>
      <c r="AI1017" s="724"/>
      <c r="AJ1017" s="724"/>
      <c r="AU1017" s="713"/>
      <c r="AW1017" s="712"/>
      <c r="BY1017" s="714"/>
      <c r="BZ1017" s="715"/>
      <c r="CA1017" s="716"/>
      <c r="CB1017" s="717"/>
      <c r="CC1017" s="717"/>
      <c r="CD1017" s="717"/>
      <c r="CE1017" s="717"/>
      <c r="CF1017" s="717"/>
      <c r="CG1017" s="717"/>
      <c r="CH1017" s="717"/>
      <c r="CI1017" s="717"/>
      <c r="CJ1017" s="717"/>
      <c r="CK1017" s="717"/>
      <c r="CL1017" s="717"/>
      <c r="CM1017" s="717"/>
      <c r="CN1017" s="717"/>
      <c r="CO1017" s="717"/>
      <c r="CP1017" s="717"/>
      <c r="CQ1017" s="717"/>
      <c r="CR1017" s="717"/>
      <c r="CS1017" s="717"/>
      <c r="CT1017" s="717"/>
      <c r="CU1017" s="717"/>
      <c r="CV1017" s="717"/>
      <c r="CW1017" s="717"/>
      <c r="CX1017" s="717"/>
      <c r="CY1017" s="717"/>
      <c r="CZ1017" s="717"/>
      <c r="DA1017" s="717"/>
      <c r="DB1017" s="717"/>
      <c r="DC1017" s="717"/>
      <c r="DD1017" s="717"/>
      <c r="DE1017" s="717"/>
      <c r="DF1017" s="717"/>
      <c r="DG1017" s="717"/>
      <c r="DH1017" s="717"/>
      <c r="DI1017" s="717"/>
      <c r="DJ1017" s="717"/>
      <c r="DM1017" s="711"/>
      <c r="DN1017" s="711"/>
      <c r="DO1017" s="711"/>
      <c r="DP1017" s="711"/>
      <c r="DQ1017" s="711"/>
    </row>
    <row r="1018" spans="5:121" s="709" customFormat="1" ht="18" hidden="1">
      <c r="E1018" s="721"/>
      <c r="H1018" s="723">
        <v>531</v>
      </c>
      <c r="I1018" s="726"/>
      <c r="J1018" s="724"/>
      <c r="K1018" s="724"/>
      <c r="L1018" s="724"/>
      <c r="M1018" s="728"/>
      <c r="N1018" s="724"/>
      <c r="O1018" s="724"/>
      <c r="P1018" s="724"/>
      <c r="Q1018" s="724"/>
      <c r="R1018" s="724"/>
      <c r="S1018" s="724"/>
      <c r="T1018" s="724"/>
      <c r="U1018" s="724"/>
      <c r="V1018" s="724"/>
      <c r="W1018" s="724"/>
      <c r="X1018" s="724"/>
      <c r="Y1018" s="724"/>
      <c r="Z1018" s="724"/>
      <c r="AA1018" s="724"/>
      <c r="AB1018" s="724"/>
      <c r="AC1018" s="729"/>
      <c r="AD1018" s="724"/>
      <c r="AE1018" s="724"/>
      <c r="AF1018" s="724"/>
      <c r="AG1018" s="724"/>
      <c r="AH1018" s="724"/>
      <c r="AI1018" s="724"/>
      <c r="AJ1018" s="724"/>
      <c r="AU1018" s="713"/>
      <c r="AW1018" s="712"/>
      <c r="BY1018" s="714"/>
      <c r="BZ1018" s="715"/>
      <c r="CA1018" s="716"/>
      <c r="CB1018" s="717"/>
      <c r="CC1018" s="717"/>
      <c r="CD1018" s="717"/>
      <c r="CE1018" s="717"/>
      <c r="CF1018" s="717"/>
      <c r="CG1018" s="717"/>
      <c r="CH1018" s="717"/>
      <c r="CI1018" s="717"/>
      <c r="CJ1018" s="717"/>
      <c r="CK1018" s="717"/>
      <c r="CL1018" s="717"/>
      <c r="CM1018" s="717"/>
      <c r="CN1018" s="717"/>
      <c r="CO1018" s="717"/>
      <c r="CP1018" s="717"/>
      <c r="CQ1018" s="717"/>
      <c r="CR1018" s="717"/>
      <c r="CS1018" s="717"/>
      <c r="CT1018" s="717"/>
      <c r="CU1018" s="717"/>
      <c r="CV1018" s="717"/>
      <c r="CW1018" s="717"/>
      <c r="CX1018" s="717"/>
      <c r="CY1018" s="717"/>
      <c r="CZ1018" s="717"/>
      <c r="DA1018" s="717"/>
      <c r="DB1018" s="717"/>
      <c r="DC1018" s="717"/>
      <c r="DD1018" s="717"/>
      <c r="DE1018" s="717"/>
      <c r="DF1018" s="717"/>
      <c r="DG1018" s="717"/>
      <c r="DH1018" s="717"/>
      <c r="DI1018" s="717"/>
      <c r="DJ1018" s="717"/>
      <c r="DM1018" s="711"/>
      <c r="DN1018" s="711"/>
      <c r="DO1018" s="711"/>
      <c r="DP1018" s="711"/>
      <c r="DQ1018" s="711"/>
    </row>
    <row r="1019" spans="5:121" s="709" customFormat="1" ht="18" hidden="1">
      <c r="E1019" s="721"/>
      <c r="H1019" s="723">
        <v>532</v>
      </c>
      <c r="I1019" s="726"/>
      <c r="J1019" s="724"/>
      <c r="K1019" s="724"/>
      <c r="L1019" s="724"/>
      <c r="M1019" s="728"/>
      <c r="N1019" s="724"/>
      <c r="O1019" s="724"/>
      <c r="P1019" s="724"/>
      <c r="Q1019" s="724"/>
      <c r="R1019" s="724"/>
      <c r="S1019" s="724"/>
      <c r="T1019" s="724"/>
      <c r="U1019" s="724"/>
      <c r="V1019" s="724"/>
      <c r="W1019" s="724"/>
      <c r="X1019" s="724"/>
      <c r="Y1019" s="724"/>
      <c r="Z1019" s="724"/>
      <c r="AA1019" s="724"/>
      <c r="AB1019" s="724"/>
      <c r="AC1019" s="729"/>
      <c r="AD1019" s="724"/>
      <c r="AE1019" s="724"/>
      <c r="AF1019" s="724"/>
      <c r="AG1019" s="724"/>
      <c r="AH1019" s="724"/>
      <c r="AI1019" s="724"/>
      <c r="AJ1019" s="724"/>
      <c r="AU1019" s="713"/>
      <c r="AW1019" s="712"/>
      <c r="BY1019" s="714"/>
      <c r="BZ1019" s="715"/>
      <c r="CA1019" s="716"/>
      <c r="CB1019" s="717"/>
      <c r="CC1019" s="717"/>
      <c r="CD1019" s="717"/>
      <c r="CE1019" s="717"/>
      <c r="CF1019" s="717"/>
      <c r="CG1019" s="717"/>
      <c r="CH1019" s="717"/>
      <c r="CI1019" s="717"/>
      <c r="CJ1019" s="717"/>
      <c r="CK1019" s="717"/>
      <c r="CL1019" s="717"/>
      <c r="CM1019" s="717"/>
      <c r="CN1019" s="717"/>
      <c r="CO1019" s="717"/>
      <c r="CP1019" s="717"/>
      <c r="CQ1019" s="717"/>
      <c r="CR1019" s="717"/>
      <c r="CS1019" s="717"/>
      <c r="CT1019" s="717"/>
      <c r="CU1019" s="717"/>
      <c r="CV1019" s="717"/>
      <c r="CW1019" s="717"/>
      <c r="CX1019" s="717"/>
      <c r="CY1019" s="717"/>
      <c r="CZ1019" s="717"/>
      <c r="DA1019" s="717"/>
      <c r="DB1019" s="717"/>
      <c r="DC1019" s="717"/>
      <c r="DD1019" s="717"/>
      <c r="DE1019" s="717"/>
      <c r="DF1019" s="717"/>
      <c r="DG1019" s="717"/>
      <c r="DH1019" s="717"/>
      <c r="DI1019" s="717"/>
      <c r="DJ1019" s="717"/>
      <c r="DM1019" s="711"/>
      <c r="DN1019" s="711"/>
      <c r="DO1019" s="711"/>
      <c r="DP1019" s="711"/>
      <c r="DQ1019" s="711"/>
    </row>
    <row r="1020" spans="5:121" s="709" customFormat="1" ht="18" hidden="1">
      <c r="E1020" s="721"/>
      <c r="H1020" s="723">
        <v>533</v>
      </c>
      <c r="I1020" s="726"/>
      <c r="J1020" s="724"/>
      <c r="K1020" s="724"/>
      <c r="L1020" s="724"/>
      <c r="M1020" s="728"/>
      <c r="N1020" s="724"/>
      <c r="O1020" s="724"/>
      <c r="P1020" s="724"/>
      <c r="Q1020" s="724"/>
      <c r="R1020" s="724"/>
      <c r="S1020" s="724"/>
      <c r="T1020" s="724"/>
      <c r="U1020" s="724"/>
      <c r="V1020" s="724"/>
      <c r="W1020" s="724"/>
      <c r="X1020" s="724"/>
      <c r="Y1020" s="724"/>
      <c r="Z1020" s="724"/>
      <c r="AA1020" s="724"/>
      <c r="AB1020" s="724"/>
      <c r="AC1020" s="729"/>
      <c r="AD1020" s="724"/>
      <c r="AE1020" s="724"/>
      <c r="AF1020" s="724"/>
      <c r="AG1020" s="724"/>
      <c r="AH1020" s="724"/>
      <c r="AI1020" s="724"/>
      <c r="AJ1020" s="724"/>
      <c r="AU1020" s="713"/>
      <c r="AW1020" s="712"/>
      <c r="BY1020" s="714"/>
      <c r="BZ1020" s="715"/>
      <c r="CA1020" s="716"/>
      <c r="CB1020" s="717"/>
      <c r="CC1020" s="717"/>
      <c r="CD1020" s="717"/>
      <c r="CE1020" s="717"/>
      <c r="CF1020" s="717"/>
      <c r="CG1020" s="717"/>
      <c r="CH1020" s="717"/>
      <c r="CI1020" s="717"/>
      <c r="CJ1020" s="717"/>
      <c r="CK1020" s="717"/>
      <c r="CL1020" s="717"/>
      <c r="CM1020" s="717"/>
      <c r="CN1020" s="717"/>
      <c r="CO1020" s="717"/>
      <c r="CP1020" s="717"/>
      <c r="CQ1020" s="717"/>
      <c r="CR1020" s="717"/>
      <c r="CS1020" s="717"/>
      <c r="CT1020" s="717"/>
      <c r="CU1020" s="717"/>
      <c r="CV1020" s="717"/>
      <c r="CW1020" s="717"/>
      <c r="CX1020" s="717"/>
      <c r="CY1020" s="717"/>
      <c r="CZ1020" s="717"/>
      <c r="DA1020" s="717"/>
      <c r="DB1020" s="717"/>
      <c r="DC1020" s="717"/>
      <c r="DD1020" s="717"/>
      <c r="DE1020" s="717"/>
      <c r="DF1020" s="717"/>
      <c r="DG1020" s="717"/>
      <c r="DH1020" s="717"/>
      <c r="DI1020" s="717"/>
      <c r="DJ1020" s="717"/>
      <c r="DM1020" s="711"/>
      <c r="DN1020" s="711"/>
      <c r="DO1020" s="711"/>
      <c r="DP1020" s="711"/>
      <c r="DQ1020" s="711"/>
    </row>
    <row r="1021" spans="5:121" s="709" customFormat="1" ht="18" hidden="1">
      <c r="E1021" s="721"/>
      <c r="H1021" s="723">
        <v>534</v>
      </c>
      <c r="I1021" s="726"/>
      <c r="J1021" s="724"/>
      <c r="K1021" s="724"/>
      <c r="L1021" s="724"/>
      <c r="M1021" s="728"/>
      <c r="N1021" s="724"/>
      <c r="O1021" s="724"/>
      <c r="P1021" s="724"/>
      <c r="Q1021" s="724"/>
      <c r="R1021" s="724"/>
      <c r="S1021" s="724"/>
      <c r="T1021" s="724"/>
      <c r="U1021" s="724"/>
      <c r="V1021" s="724"/>
      <c r="W1021" s="724"/>
      <c r="X1021" s="724"/>
      <c r="Y1021" s="724"/>
      <c r="Z1021" s="724"/>
      <c r="AA1021" s="724"/>
      <c r="AB1021" s="724"/>
      <c r="AC1021" s="729"/>
      <c r="AD1021" s="724"/>
      <c r="AE1021" s="724"/>
      <c r="AF1021" s="724"/>
      <c r="AG1021" s="724"/>
      <c r="AH1021" s="724"/>
      <c r="AI1021" s="724"/>
      <c r="AJ1021" s="724"/>
      <c r="AU1021" s="713"/>
      <c r="AW1021" s="712"/>
      <c r="BY1021" s="714"/>
      <c r="BZ1021" s="715"/>
      <c r="CA1021" s="716"/>
      <c r="CB1021" s="717"/>
      <c r="CC1021" s="717"/>
      <c r="CD1021" s="717"/>
      <c r="CE1021" s="717"/>
      <c r="CF1021" s="717"/>
      <c r="CG1021" s="717"/>
      <c r="CH1021" s="717"/>
      <c r="CI1021" s="717"/>
      <c r="CJ1021" s="717"/>
      <c r="CK1021" s="717"/>
      <c r="CL1021" s="717"/>
      <c r="CM1021" s="717"/>
      <c r="CN1021" s="717"/>
      <c r="CO1021" s="717"/>
      <c r="CP1021" s="717"/>
      <c r="CQ1021" s="717"/>
      <c r="CR1021" s="717"/>
      <c r="CS1021" s="717"/>
      <c r="CT1021" s="717"/>
      <c r="CU1021" s="717"/>
      <c r="CV1021" s="717"/>
      <c r="CW1021" s="717"/>
      <c r="CX1021" s="717"/>
      <c r="CY1021" s="717"/>
      <c r="CZ1021" s="717"/>
      <c r="DA1021" s="717"/>
      <c r="DB1021" s="717"/>
      <c r="DC1021" s="717"/>
      <c r="DD1021" s="717"/>
      <c r="DE1021" s="717"/>
      <c r="DF1021" s="717"/>
      <c r="DG1021" s="717"/>
      <c r="DH1021" s="717"/>
      <c r="DI1021" s="717"/>
      <c r="DJ1021" s="717"/>
      <c r="DM1021" s="711"/>
      <c r="DN1021" s="711"/>
      <c r="DO1021" s="711"/>
      <c r="DP1021" s="711"/>
      <c r="DQ1021" s="711"/>
    </row>
    <row r="1022" spans="5:121" s="709" customFormat="1" ht="18" hidden="1">
      <c r="E1022" s="721"/>
      <c r="H1022" s="723">
        <v>535</v>
      </c>
      <c r="I1022" s="726"/>
      <c r="J1022" s="724"/>
      <c r="K1022" s="724"/>
      <c r="L1022" s="724"/>
      <c r="M1022" s="728"/>
      <c r="N1022" s="724"/>
      <c r="O1022" s="724"/>
      <c r="P1022" s="724"/>
      <c r="Q1022" s="724"/>
      <c r="R1022" s="724"/>
      <c r="S1022" s="724"/>
      <c r="T1022" s="724"/>
      <c r="U1022" s="724"/>
      <c r="V1022" s="724"/>
      <c r="W1022" s="724"/>
      <c r="X1022" s="724"/>
      <c r="Y1022" s="724"/>
      <c r="Z1022" s="724"/>
      <c r="AA1022" s="724"/>
      <c r="AB1022" s="724"/>
      <c r="AC1022" s="729"/>
      <c r="AD1022" s="724"/>
      <c r="AE1022" s="724"/>
      <c r="AF1022" s="724"/>
      <c r="AG1022" s="724"/>
      <c r="AH1022" s="724"/>
      <c r="AI1022" s="724"/>
      <c r="AJ1022" s="724"/>
      <c r="AU1022" s="713"/>
      <c r="AW1022" s="712"/>
      <c r="BY1022" s="714"/>
      <c r="BZ1022" s="715"/>
      <c r="CA1022" s="716"/>
      <c r="CB1022" s="717"/>
      <c r="CC1022" s="717"/>
      <c r="CD1022" s="717"/>
      <c r="CE1022" s="717"/>
      <c r="CF1022" s="717"/>
      <c r="CG1022" s="717"/>
      <c r="CH1022" s="717"/>
      <c r="CI1022" s="717"/>
      <c r="CJ1022" s="717"/>
      <c r="CK1022" s="717"/>
      <c r="CL1022" s="717"/>
      <c r="CM1022" s="717"/>
      <c r="CN1022" s="717"/>
      <c r="CO1022" s="717"/>
      <c r="CP1022" s="717"/>
      <c r="CQ1022" s="717"/>
      <c r="CR1022" s="717"/>
      <c r="CS1022" s="717"/>
      <c r="CT1022" s="717"/>
      <c r="CU1022" s="717"/>
      <c r="CV1022" s="717"/>
      <c r="CW1022" s="717"/>
      <c r="CX1022" s="717"/>
      <c r="CY1022" s="717"/>
      <c r="CZ1022" s="717"/>
      <c r="DA1022" s="717"/>
      <c r="DB1022" s="717"/>
      <c r="DC1022" s="717"/>
      <c r="DD1022" s="717"/>
      <c r="DE1022" s="717"/>
      <c r="DF1022" s="717"/>
      <c r="DG1022" s="717"/>
      <c r="DH1022" s="717"/>
      <c r="DI1022" s="717"/>
      <c r="DJ1022" s="717"/>
      <c r="DM1022" s="711"/>
      <c r="DN1022" s="711"/>
      <c r="DO1022" s="711"/>
      <c r="DP1022" s="711"/>
      <c r="DQ1022" s="711"/>
    </row>
    <row r="1023" spans="5:121" s="709" customFormat="1" ht="18" hidden="1">
      <c r="E1023" s="721"/>
      <c r="H1023" s="723">
        <v>536</v>
      </c>
      <c r="I1023" s="726"/>
      <c r="J1023" s="724"/>
      <c r="K1023" s="724"/>
      <c r="L1023" s="724"/>
      <c r="M1023" s="728"/>
      <c r="N1023" s="724"/>
      <c r="O1023" s="724"/>
      <c r="P1023" s="724"/>
      <c r="Q1023" s="724"/>
      <c r="R1023" s="724"/>
      <c r="S1023" s="724"/>
      <c r="T1023" s="724"/>
      <c r="U1023" s="724"/>
      <c r="V1023" s="724"/>
      <c r="W1023" s="724"/>
      <c r="X1023" s="724"/>
      <c r="Y1023" s="724"/>
      <c r="Z1023" s="724"/>
      <c r="AA1023" s="724"/>
      <c r="AB1023" s="724"/>
      <c r="AC1023" s="729"/>
      <c r="AD1023" s="724"/>
      <c r="AE1023" s="724"/>
      <c r="AF1023" s="724"/>
      <c r="AG1023" s="724"/>
      <c r="AH1023" s="724"/>
      <c r="AI1023" s="724"/>
      <c r="AJ1023" s="724"/>
      <c r="AU1023" s="713"/>
      <c r="AW1023" s="712"/>
      <c r="BY1023" s="714"/>
      <c r="BZ1023" s="715"/>
      <c r="CA1023" s="716"/>
      <c r="CB1023" s="717"/>
      <c r="CC1023" s="717"/>
      <c r="CD1023" s="717"/>
      <c r="CE1023" s="717"/>
      <c r="CF1023" s="717"/>
      <c r="CG1023" s="717"/>
      <c r="CH1023" s="717"/>
      <c r="CI1023" s="717"/>
      <c r="CJ1023" s="717"/>
      <c r="CK1023" s="717"/>
      <c r="CL1023" s="717"/>
      <c r="CM1023" s="717"/>
      <c r="CN1023" s="717"/>
      <c r="CO1023" s="717"/>
      <c r="CP1023" s="717"/>
      <c r="CQ1023" s="717"/>
      <c r="CR1023" s="717"/>
      <c r="CS1023" s="717"/>
      <c r="CT1023" s="717"/>
      <c r="CU1023" s="717"/>
      <c r="CV1023" s="717"/>
      <c r="CW1023" s="717"/>
      <c r="CX1023" s="717"/>
      <c r="CY1023" s="717"/>
      <c r="CZ1023" s="717"/>
      <c r="DA1023" s="717"/>
      <c r="DB1023" s="717"/>
      <c r="DC1023" s="717"/>
      <c r="DD1023" s="717"/>
      <c r="DE1023" s="717"/>
      <c r="DF1023" s="717"/>
      <c r="DG1023" s="717"/>
      <c r="DH1023" s="717"/>
      <c r="DI1023" s="717"/>
      <c r="DJ1023" s="717"/>
      <c r="DM1023" s="711"/>
      <c r="DN1023" s="711"/>
      <c r="DO1023" s="711"/>
      <c r="DP1023" s="711"/>
      <c r="DQ1023" s="711"/>
    </row>
    <row r="1024" spans="5:121" s="709" customFormat="1" ht="18" hidden="1">
      <c r="E1024" s="721"/>
      <c r="H1024" s="723">
        <v>537</v>
      </c>
      <c r="I1024" s="726"/>
      <c r="J1024" s="724"/>
      <c r="K1024" s="724"/>
      <c r="L1024" s="724"/>
      <c r="M1024" s="728"/>
      <c r="N1024" s="724"/>
      <c r="O1024" s="724"/>
      <c r="P1024" s="724"/>
      <c r="Q1024" s="724"/>
      <c r="R1024" s="724"/>
      <c r="S1024" s="724"/>
      <c r="T1024" s="724"/>
      <c r="U1024" s="724"/>
      <c r="V1024" s="724"/>
      <c r="W1024" s="724"/>
      <c r="X1024" s="724"/>
      <c r="Y1024" s="724"/>
      <c r="Z1024" s="724"/>
      <c r="AA1024" s="724"/>
      <c r="AB1024" s="724"/>
      <c r="AC1024" s="729"/>
      <c r="AD1024" s="724"/>
      <c r="AE1024" s="724"/>
      <c r="AF1024" s="724"/>
      <c r="AG1024" s="724"/>
      <c r="AH1024" s="724"/>
      <c r="AI1024" s="724"/>
      <c r="AJ1024" s="724"/>
      <c r="AU1024" s="713"/>
      <c r="AW1024" s="712"/>
      <c r="BY1024" s="714"/>
      <c r="BZ1024" s="715"/>
      <c r="CA1024" s="716"/>
      <c r="CB1024" s="717"/>
      <c r="CC1024" s="717"/>
      <c r="CD1024" s="717"/>
      <c r="CE1024" s="717"/>
      <c r="CF1024" s="717"/>
      <c r="CG1024" s="717"/>
      <c r="CH1024" s="717"/>
      <c r="CI1024" s="717"/>
      <c r="CJ1024" s="717"/>
      <c r="CK1024" s="717"/>
      <c r="CL1024" s="717"/>
      <c r="CM1024" s="717"/>
      <c r="CN1024" s="717"/>
      <c r="CO1024" s="717"/>
      <c r="CP1024" s="717"/>
      <c r="CQ1024" s="717"/>
      <c r="CR1024" s="717"/>
      <c r="CS1024" s="717"/>
      <c r="CT1024" s="717"/>
      <c r="CU1024" s="717"/>
      <c r="CV1024" s="717"/>
      <c r="CW1024" s="717"/>
      <c r="CX1024" s="717"/>
      <c r="CY1024" s="717"/>
      <c r="CZ1024" s="717"/>
      <c r="DA1024" s="717"/>
      <c r="DB1024" s="717"/>
      <c r="DC1024" s="717"/>
      <c r="DD1024" s="717"/>
      <c r="DE1024" s="717"/>
      <c r="DF1024" s="717"/>
      <c r="DG1024" s="717"/>
      <c r="DH1024" s="717"/>
      <c r="DI1024" s="717"/>
      <c r="DJ1024" s="717"/>
      <c r="DM1024" s="711"/>
      <c r="DN1024" s="711"/>
      <c r="DO1024" s="711"/>
      <c r="DP1024" s="711"/>
      <c r="DQ1024" s="711"/>
    </row>
    <row r="1025" spans="5:121" s="709" customFormat="1" ht="18" hidden="1">
      <c r="E1025" s="721"/>
      <c r="H1025" s="723">
        <v>538</v>
      </c>
      <c r="I1025" s="726"/>
      <c r="J1025" s="724"/>
      <c r="K1025" s="724"/>
      <c r="L1025" s="724"/>
      <c r="M1025" s="728"/>
      <c r="N1025" s="724"/>
      <c r="O1025" s="724"/>
      <c r="P1025" s="724"/>
      <c r="Q1025" s="724"/>
      <c r="R1025" s="724"/>
      <c r="S1025" s="724"/>
      <c r="T1025" s="724"/>
      <c r="U1025" s="724"/>
      <c r="V1025" s="724"/>
      <c r="W1025" s="724"/>
      <c r="X1025" s="724"/>
      <c r="Y1025" s="724"/>
      <c r="Z1025" s="724"/>
      <c r="AA1025" s="724"/>
      <c r="AB1025" s="724"/>
      <c r="AC1025" s="729"/>
      <c r="AD1025" s="724"/>
      <c r="AE1025" s="724"/>
      <c r="AF1025" s="724"/>
      <c r="AG1025" s="724"/>
      <c r="AH1025" s="724"/>
      <c r="AI1025" s="724"/>
      <c r="AJ1025" s="724"/>
      <c r="AU1025" s="713"/>
      <c r="AW1025" s="712"/>
      <c r="BY1025" s="714"/>
      <c r="BZ1025" s="715"/>
      <c r="CA1025" s="716"/>
      <c r="CB1025" s="717"/>
      <c r="CC1025" s="717"/>
      <c r="CD1025" s="717"/>
      <c r="CE1025" s="717"/>
      <c r="CF1025" s="717"/>
      <c r="CG1025" s="717"/>
      <c r="CH1025" s="717"/>
      <c r="CI1025" s="717"/>
      <c r="CJ1025" s="717"/>
      <c r="CK1025" s="717"/>
      <c r="CL1025" s="717"/>
      <c r="CM1025" s="717"/>
      <c r="CN1025" s="717"/>
      <c r="CO1025" s="717"/>
      <c r="CP1025" s="717"/>
      <c r="CQ1025" s="717"/>
      <c r="CR1025" s="717"/>
      <c r="CS1025" s="717"/>
      <c r="CT1025" s="717"/>
      <c r="CU1025" s="717"/>
      <c r="CV1025" s="717"/>
      <c r="CW1025" s="717"/>
      <c r="CX1025" s="717"/>
      <c r="CY1025" s="717"/>
      <c r="CZ1025" s="717"/>
      <c r="DA1025" s="717"/>
      <c r="DB1025" s="717"/>
      <c r="DC1025" s="717"/>
      <c r="DD1025" s="717"/>
      <c r="DE1025" s="717"/>
      <c r="DF1025" s="717"/>
      <c r="DG1025" s="717"/>
      <c r="DH1025" s="717"/>
      <c r="DI1025" s="717"/>
      <c r="DJ1025" s="717"/>
      <c r="DM1025" s="711"/>
      <c r="DN1025" s="711"/>
      <c r="DO1025" s="711"/>
      <c r="DP1025" s="711"/>
      <c r="DQ1025" s="711"/>
    </row>
    <row r="1026" spans="5:121" s="709" customFormat="1" ht="18" hidden="1">
      <c r="E1026" s="721"/>
      <c r="H1026" s="723">
        <v>539</v>
      </c>
      <c r="I1026" s="726"/>
      <c r="J1026" s="724"/>
      <c r="K1026" s="724"/>
      <c r="L1026" s="724"/>
      <c r="M1026" s="728"/>
      <c r="N1026" s="724"/>
      <c r="O1026" s="724"/>
      <c r="P1026" s="724"/>
      <c r="Q1026" s="724"/>
      <c r="R1026" s="724"/>
      <c r="S1026" s="724"/>
      <c r="T1026" s="724"/>
      <c r="U1026" s="724"/>
      <c r="V1026" s="724"/>
      <c r="W1026" s="724"/>
      <c r="X1026" s="724"/>
      <c r="Y1026" s="724"/>
      <c r="Z1026" s="724"/>
      <c r="AA1026" s="724"/>
      <c r="AB1026" s="724"/>
      <c r="AC1026" s="729"/>
      <c r="AD1026" s="724"/>
      <c r="AE1026" s="724"/>
      <c r="AF1026" s="724"/>
      <c r="AG1026" s="724"/>
      <c r="AH1026" s="724"/>
      <c r="AI1026" s="724"/>
      <c r="AJ1026" s="724"/>
      <c r="AU1026" s="713"/>
      <c r="AW1026" s="712"/>
      <c r="BY1026" s="714"/>
      <c r="BZ1026" s="715"/>
      <c r="CA1026" s="716"/>
      <c r="CB1026" s="717"/>
      <c r="CC1026" s="717"/>
      <c r="CD1026" s="717"/>
      <c r="CE1026" s="717"/>
      <c r="CF1026" s="717"/>
      <c r="CG1026" s="717"/>
      <c r="CH1026" s="717"/>
      <c r="CI1026" s="717"/>
      <c r="CJ1026" s="717"/>
      <c r="CK1026" s="717"/>
      <c r="CL1026" s="717"/>
      <c r="CM1026" s="717"/>
      <c r="CN1026" s="717"/>
      <c r="CO1026" s="717"/>
      <c r="CP1026" s="717"/>
      <c r="CQ1026" s="717"/>
      <c r="CR1026" s="717"/>
      <c r="CS1026" s="717"/>
      <c r="CT1026" s="717"/>
      <c r="CU1026" s="717"/>
      <c r="CV1026" s="717"/>
      <c r="CW1026" s="717"/>
      <c r="CX1026" s="717"/>
      <c r="CY1026" s="717"/>
      <c r="CZ1026" s="717"/>
      <c r="DA1026" s="717"/>
      <c r="DB1026" s="717"/>
      <c r="DC1026" s="717"/>
      <c r="DD1026" s="717"/>
      <c r="DE1026" s="717"/>
      <c r="DF1026" s="717"/>
      <c r="DG1026" s="717"/>
      <c r="DH1026" s="717"/>
      <c r="DI1026" s="717"/>
      <c r="DJ1026" s="717"/>
      <c r="DM1026" s="711"/>
      <c r="DN1026" s="711"/>
      <c r="DO1026" s="711"/>
      <c r="DP1026" s="711"/>
      <c r="DQ1026" s="711"/>
    </row>
    <row r="1027" spans="5:121" s="709" customFormat="1" ht="18" hidden="1">
      <c r="E1027" s="721"/>
      <c r="H1027" s="723">
        <v>540</v>
      </c>
      <c r="I1027" s="726"/>
      <c r="J1027" s="724"/>
      <c r="K1027" s="724"/>
      <c r="L1027" s="724"/>
      <c r="M1027" s="728"/>
      <c r="N1027" s="724"/>
      <c r="O1027" s="724"/>
      <c r="P1027" s="724"/>
      <c r="Q1027" s="724"/>
      <c r="R1027" s="724"/>
      <c r="S1027" s="724"/>
      <c r="T1027" s="724"/>
      <c r="U1027" s="724"/>
      <c r="V1027" s="724"/>
      <c r="W1027" s="724"/>
      <c r="X1027" s="724"/>
      <c r="Y1027" s="724"/>
      <c r="Z1027" s="724"/>
      <c r="AA1027" s="724"/>
      <c r="AB1027" s="724"/>
      <c r="AC1027" s="729"/>
      <c r="AD1027" s="724"/>
      <c r="AE1027" s="724"/>
      <c r="AF1027" s="724"/>
      <c r="AG1027" s="724"/>
      <c r="AH1027" s="724"/>
      <c r="AI1027" s="724"/>
      <c r="AJ1027" s="724"/>
      <c r="AU1027" s="713"/>
      <c r="AW1027" s="712"/>
      <c r="BY1027" s="714"/>
      <c r="BZ1027" s="715"/>
      <c r="CA1027" s="716"/>
      <c r="CB1027" s="717"/>
      <c r="CC1027" s="717"/>
      <c r="CD1027" s="717"/>
      <c r="CE1027" s="717"/>
      <c r="CF1027" s="717"/>
      <c r="CG1027" s="717"/>
      <c r="CH1027" s="717"/>
      <c r="CI1027" s="717"/>
      <c r="CJ1027" s="717"/>
      <c r="CK1027" s="717"/>
      <c r="CL1027" s="717"/>
      <c r="CM1027" s="717"/>
      <c r="CN1027" s="717"/>
      <c r="CO1027" s="717"/>
      <c r="CP1027" s="717"/>
      <c r="CQ1027" s="717"/>
      <c r="CR1027" s="717"/>
      <c r="CS1027" s="717"/>
      <c r="CT1027" s="717"/>
      <c r="CU1027" s="717"/>
      <c r="CV1027" s="717"/>
      <c r="CW1027" s="717"/>
      <c r="CX1027" s="717"/>
      <c r="CY1027" s="717"/>
      <c r="CZ1027" s="717"/>
      <c r="DA1027" s="717"/>
      <c r="DB1027" s="717"/>
      <c r="DC1027" s="717"/>
      <c r="DD1027" s="717"/>
      <c r="DE1027" s="717"/>
      <c r="DF1027" s="717"/>
      <c r="DG1027" s="717"/>
      <c r="DH1027" s="717"/>
      <c r="DI1027" s="717"/>
      <c r="DJ1027" s="717"/>
      <c r="DM1027" s="711"/>
      <c r="DN1027" s="711"/>
      <c r="DO1027" s="711"/>
      <c r="DP1027" s="711"/>
      <c r="DQ1027" s="711"/>
    </row>
    <row r="1028" spans="5:121" s="709" customFormat="1" ht="18" hidden="1">
      <c r="E1028" s="721"/>
      <c r="H1028" s="723">
        <v>541</v>
      </c>
      <c r="I1028" s="726"/>
      <c r="J1028" s="724"/>
      <c r="K1028" s="724"/>
      <c r="L1028" s="724"/>
      <c r="M1028" s="728"/>
      <c r="N1028" s="724"/>
      <c r="O1028" s="724"/>
      <c r="P1028" s="724"/>
      <c r="Q1028" s="724"/>
      <c r="R1028" s="724"/>
      <c r="S1028" s="724"/>
      <c r="T1028" s="724"/>
      <c r="U1028" s="724"/>
      <c r="V1028" s="724"/>
      <c r="W1028" s="724"/>
      <c r="X1028" s="724"/>
      <c r="Y1028" s="724"/>
      <c r="Z1028" s="724"/>
      <c r="AA1028" s="724"/>
      <c r="AB1028" s="724"/>
      <c r="AC1028" s="729"/>
      <c r="AD1028" s="724"/>
      <c r="AE1028" s="724"/>
      <c r="AF1028" s="724"/>
      <c r="AG1028" s="724"/>
      <c r="AH1028" s="724"/>
      <c r="AI1028" s="724"/>
      <c r="AJ1028" s="724"/>
      <c r="AU1028" s="713"/>
      <c r="AW1028" s="712"/>
      <c r="BY1028" s="714"/>
      <c r="BZ1028" s="715"/>
      <c r="CA1028" s="716"/>
      <c r="CB1028" s="717"/>
      <c r="CC1028" s="717"/>
      <c r="CD1028" s="717"/>
      <c r="CE1028" s="717"/>
      <c r="CF1028" s="717"/>
      <c r="CG1028" s="717"/>
      <c r="CH1028" s="717"/>
      <c r="CI1028" s="717"/>
      <c r="CJ1028" s="717"/>
      <c r="CK1028" s="717"/>
      <c r="CL1028" s="717"/>
      <c r="CM1028" s="717"/>
      <c r="CN1028" s="717"/>
      <c r="CO1028" s="717"/>
      <c r="CP1028" s="717"/>
      <c r="CQ1028" s="717"/>
      <c r="CR1028" s="717"/>
      <c r="CS1028" s="717"/>
      <c r="CT1028" s="717"/>
      <c r="CU1028" s="717"/>
      <c r="CV1028" s="717"/>
      <c r="CW1028" s="717"/>
      <c r="CX1028" s="717"/>
      <c r="CY1028" s="717"/>
      <c r="CZ1028" s="717"/>
      <c r="DA1028" s="717"/>
      <c r="DB1028" s="717"/>
      <c r="DC1028" s="717"/>
      <c r="DD1028" s="717"/>
      <c r="DE1028" s="717"/>
      <c r="DF1028" s="717"/>
      <c r="DG1028" s="717"/>
      <c r="DH1028" s="717"/>
      <c r="DI1028" s="717"/>
      <c r="DJ1028" s="717"/>
      <c r="DM1028" s="711"/>
      <c r="DN1028" s="711"/>
      <c r="DO1028" s="711"/>
      <c r="DP1028" s="711"/>
      <c r="DQ1028" s="711"/>
    </row>
    <row r="1029" spans="5:121" s="709" customFormat="1" ht="18" hidden="1">
      <c r="E1029" s="721"/>
      <c r="H1029" s="723">
        <v>542</v>
      </c>
      <c r="I1029" s="726"/>
      <c r="J1029" s="724"/>
      <c r="K1029" s="724"/>
      <c r="L1029" s="724"/>
      <c r="M1029" s="728"/>
      <c r="N1029" s="724"/>
      <c r="O1029" s="724"/>
      <c r="P1029" s="724"/>
      <c r="Q1029" s="724"/>
      <c r="R1029" s="724"/>
      <c r="S1029" s="724"/>
      <c r="T1029" s="724"/>
      <c r="U1029" s="724"/>
      <c r="V1029" s="724"/>
      <c r="W1029" s="724"/>
      <c r="X1029" s="724"/>
      <c r="Y1029" s="724"/>
      <c r="Z1029" s="724"/>
      <c r="AA1029" s="724"/>
      <c r="AB1029" s="724"/>
      <c r="AC1029" s="729"/>
      <c r="AD1029" s="724"/>
      <c r="AE1029" s="724"/>
      <c r="AF1029" s="724"/>
      <c r="AG1029" s="724"/>
      <c r="AH1029" s="724"/>
      <c r="AI1029" s="724"/>
      <c r="AJ1029" s="724"/>
      <c r="AU1029" s="713"/>
      <c r="AW1029" s="712"/>
      <c r="BY1029" s="714"/>
      <c r="BZ1029" s="715"/>
      <c r="CA1029" s="716"/>
      <c r="CB1029" s="717"/>
      <c r="CC1029" s="717"/>
      <c r="CD1029" s="717"/>
      <c r="CE1029" s="717"/>
      <c r="CF1029" s="717"/>
      <c r="CG1029" s="717"/>
      <c r="CH1029" s="717"/>
      <c r="CI1029" s="717"/>
      <c r="CJ1029" s="717"/>
      <c r="CK1029" s="717"/>
      <c r="CL1029" s="717"/>
      <c r="CM1029" s="717"/>
      <c r="CN1029" s="717"/>
      <c r="CO1029" s="717"/>
      <c r="CP1029" s="717"/>
      <c r="CQ1029" s="717"/>
      <c r="CR1029" s="717"/>
      <c r="CS1029" s="717"/>
      <c r="CT1029" s="717"/>
      <c r="CU1029" s="717"/>
      <c r="CV1029" s="717"/>
      <c r="CW1029" s="717"/>
      <c r="CX1029" s="717"/>
      <c r="CY1029" s="717"/>
      <c r="CZ1029" s="717"/>
      <c r="DA1029" s="717"/>
      <c r="DB1029" s="717"/>
      <c r="DC1029" s="717"/>
      <c r="DD1029" s="717"/>
      <c r="DE1029" s="717"/>
      <c r="DF1029" s="717"/>
      <c r="DG1029" s="717"/>
      <c r="DH1029" s="717"/>
      <c r="DI1029" s="717"/>
      <c r="DJ1029" s="717"/>
      <c r="DM1029" s="711"/>
      <c r="DN1029" s="711"/>
      <c r="DO1029" s="711"/>
      <c r="DP1029" s="711"/>
      <c r="DQ1029" s="711"/>
    </row>
    <row r="1030" spans="5:121" s="709" customFormat="1" ht="18" hidden="1">
      <c r="E1030" s="721"/>
      <c r="H1030" s="723">
        <v>543</v>
      </c>
      <c r="I1030" s="726"/>
      <c r="J1030" s="724"/>
      <c r="K1030" s="724"/>
      <c r="L1030" s="724"/>
      <c r="M1030" s="728"/>
      <c r="N1030" s="724"/>
      <c r="O1030" s="724"/>
      <c r="P1030" s="724"/>
      <c r="Q1030" s="724"/>
      <c r="R1030" s="724"/>
      <c r="S1030" s="724"/>
      <c r="T1030" s="724"/>
      <c r="U1030" s="724"/>
      <c r="V1030" s="724"/>
      <c r="W1030" s="724"/>
      <c r="X1030" s="724"/>
      <c r="Y1030" s="724"/>
      <c r="Z1030" s="724"/>
      <c r="AA1030" s="724"/>
      <c r="AB1030" s="724"/>
      <c r="AC1030" s="729"/>
      <c r="AD1030" s="724"/>
      <c r="AE1030" s="724"/>
      <c r="AF1030" s="724"/>
      <c r="AG1030" s="724"/>
      <c r="AH1030" s="724"/>
      <c r="AI1030" s="724"/>
      <c r="AJ1030" s="724"/>
      <c r="AU1030" s="713"/>
      <c r="AW1030" s="712"/>
      <c r="BY1030" s="714"/>
      <c r="BZ1030" s="715"/>
      <c r="CA1030" s="716"/>
      <c r="CB1030" s="717"/>
      <c r="CC1030" s="717"/>
      <c r="CD1030" s="717"/>
      <c r="CE1030" s="717"/>
      <c r="CF1030" s="717"/>
      <c r="CG1030" s="717"/>
      <c r="CH1030" s="717"/>
      <c r="CI1030" s="717"/>
      <c r="CJ1030" s="717"/>
      <c r="CK1030" s="717"/>
      <c r="CL1030" s="717"/>
      <c r="CM1030" s="717"/>
      <c r="CN1030" s="717"/>
      <c r="CO1030" s="717"/>
      <c r="CP1030" s="717"/>
      <c r="CQ1030" s="717"/>
      <c r="CR1030" s="717"/>
      <c r="CS1030" s="717"/>
      <c r="CT1030" s="717"/>
      <c r="CU1030" s="717"/>
      <c r="CV1030" s="717"/>
      <c r="CW1030" s="717"/>
      <c r="CX1030" s="717"/>
      <c r="CY1030" s="717"/>
      <c r="CZ1030" s="717"/>
      <c r="DA1030" s="717"/>
      <c r="DB1030" s="717"/>
      <c r="DC1030" s="717"/>
      <c r="DD1030" s="717"/>
      <c r="DE1030" s="717"/>
      <c r="DF1030" s="717"/>
      <c r="DG1030" s="717"/>
      <c r="DH1030" s="717"/>
      <c r="DI1030" s="717"/>
      <c r="DJ1030" s="717"/>
      <c r="DM1030" s="711"/>
      <c r="DN1030" s="711"/>
      <c r="DO1030" s="711"/>
      <c r="DP1030" s="711"/>
      <c r="DQ1030" s="711"/>
    </row>
    <row r="1031" spans="5:121" s="709" customFormat="1" ht="18" hidden="1">
      <c r="E1031" s="721"/>
      <c r="H1031" s="723">
        <v>544</v>
      </c>
      <c r="I1031" s="726"/>
      <c r="J1031" s="724"/>
      <c r="K1031" s="724"/>
      <c r="L1031" s="724"/>
      <c r="M1031" s="728"/>
      <c r="N1031" s="724"/>
      <c r="O1031" s="724"/>
      <c r="P1031" s="724"/>
      <c r="Q1031" s="724"/>
      <c r="R1031" s="724"/>
      <c r="S1031" s="724"/>
      <c r="T1031" s="724"/>
      <c r="U1031" s="724"/>
      <c r="V1031" s="724"/>
      <c r="W1031" s="724"/>
      <c r="X1031" s="724"/>
      <c r="Y1031" s="724"/>
      <c r="Z1031" s="724"/>
      <c r="AA1031" s="724"/>
      <c r="AB1031" s="724"/>
      <c r="AC1031" s="729"/>
      <c r="AD1031" s="724"/>
      <c r="AE1031" s="724"/>
      <c r="AF1031" s="724"/>
      <c r="AG1031" s="724"/>
      <c r="AH1031" s="724"/>
      <c r="AI1031" s="724"/>
      <c r="AJ1031" s="724"/>
      <c r="AU1031" s="713"/>
      <c r="AW1031" s="712"/>
      <c r="BY1031" s="714"/>
      <c r="BZ1031" s="715"/>
      <c r="CA1031" s="716"/>
      <c r="CB1031" s="717"/>
      <c r="CC1031" s="717"/>
      <c r="CD1031" s="717"/>
      <c r="CE1031" s="717"/>
      <c r="CF1031" s="717"/>
      <c r="CG1031" s="717"/>
      <c r="CH1031" s="717"/>
      <c r="CI1031" s="717"/>
      <c r="CJ1031" s="717"/>
      <c r="CK1031" s="717"/>
      <c r="CL1031" s="717"/>
      <c r="CM1031" s="717"/>
      <c r="CN1031" s="717"/>
      <c r="CO1031" s="717"/>
      <c r="CP1031" s="717"/>
      <c r="CQ1031" s="717"/>
      <c r="CR1031" s="717"/>
      <c r="CS1031" s="717"/>
      <c r="CT1031" s="717"/>
      <c r="CU1031" s="717"/>
      <c r="CV1031" s="717"/>
      <c r="CW1031" s="717"/>
      <c r="CX1031" s="717"/>
      <c r="CY1031" s="717"/>
      <c r="CZ1031" s="717"/>
      <c r="DA1031" s="717"/>
      <c r="DB1031" s="717"/>
      <c r="DC1031" s="717"/>
      <c r="DD1031" s="717"/>
      <c r="DE1031" s="717"/>
      <c r="DF1031" s="717"/>
      <c r="DG1031" s="717"/>
      <c r="DH1031" s="717"/>
      <c r="DI1031" s="717"/>
      <c r="DJ1031" s="717"/>
      <c r="DM1031" s="711"/>
      <c r="DN1031" s="711"/>
      <c r="DO1031" s="711"/>
      <c r="DP1031" s="711"/>
      <c r="DQ1031" s="711"/>
    </row>
    <row r="1032" spans="5:121" s="709" customFormat="1" ht="18" hidden="1">
      <c r="E1032" s="721"/>
      <c r="H1032" s="723">
        <v>545</v>
      </c>
      <c r="I1032" s="726"/>
      <c r="J1032" s="724"/>
      <c r="K1032" s="724"/>
      <c r="L1032" s="724"/>
      <c r="M1032" s="728"/>
      <c r="N1032" s="724"/>
      <c r="O1032" s="724"/>
      <c r="P1032" s="724"/>
      <c r="Q1032" s="724"/>
      <c r="R1032" s="724"/>
      <c r="S1032" s="724"/>
      <c r="T1032" s="724"/>
      <c r="U1032" s="724"/>
      <c r="V1032" s="724"/>
      <c r="W1032" s="724"/>
      <c r="X1032" s="724"/>
      <c r="Y1032" s="724"/>
      <c r="Z1032" s="724"/>
      <c r="AA1032" s="724"/>
      <c r="AB1032" s="724"/>
      <c r="AC1032" s="729"/>
      <c r="AD1032" s="724"/>
      <c r="AE1032" s="724"/>
      <c r="AF1032" s="724"/>
      <c r="AG1032" s="724"/>
      <c r="AH1032" s="724"/>
      <c r="AI1032" s="724"/>
      <c r="AJ1032" s="724"/>
      <c r="AU1032" s="713"/>
      <c r="AW1032" s="712"/>
      <c r="BY1032" s="714"/>
      <c r="BZ1032" s="715"/>
      <c r="CA1032" s="716"/>
      <c r="CB1032" s="717"/>
      <c r="CC1032" s="717"/>
      <c r="CD1032" s="717"/>
      <c r="CE1032" s="717"/>
      <c r="CF1032" s="717"/>
      <c r="CG1032" s="717"/>
      <c r="CH1032" s="717"/>
      <c r="CI1032" s="717"/>
      <c r="CJ1032" s="717"/>
      <c r="CK1032" s="717"/>
      <c r="CL1032" s="717"/>
      <c r="CM1032" s="717"/>
      <c r="CN1032" s="717"/>
      <c r="CO1032" s="717"/>
      <c r="CP1032" s="717"/>
      <c r="CQ1032" s="717"/>
      <c r="CR1032" s="717"/>
      <c r="CS1032" s="717"/>
      <c r="CT1032" s="717"/>
      <c r="CU1032" s="717"/>
      <c r="CV1032" s="717"/>
      <c r="CW1032" s="717"/>
      <c r="CX1032" s="717"/>
      <c r="CY1032" s="717"/>
      <c r="CZ1032" s="717"/>
      <c r="DA1032" s="717"/>
      <c r="DB1032" s="717"/>
      <c r="DC1032" s="717"/>
      <c r="DD1032" s="717"/>
      <c r="DE1032" s="717"/>
      <c r="DF1032" s="717"/>
      <c r="DG1032" s="717"/>
      <c r="DH1032" s="717"/>
      <c r="DI1032" s="717"/>
      <c r="DJ1032" s="717"/>
      <c r="DM1032" s="711"/>
      <c r="DN1032" s="711"/>
      <c r="DO1032" s="711"/>
      <c r="DP1032" s="711"/>
      <c r="DQ1032" s="711"/>
    </row>
    <row r="1033" spans="5:121" s="709" customFormat="1" ht="18" hidden="1">
      <c r="E1033" s="721"/>
      <c r="H1033" s="723">
        <v>546</v>
      </c>
      <c r="I1033" s="726"/>
      <c r="J1033" s="724"/>
      <c r="K1033" s="724"/>
      <c r="L1033" s="724"/>
      <c r="M1033" s="728"/>
      <c r="N1033" s="724"/>
      <c r="O1033" s="724"/>
      <c r="P1033" s="724"/>
      <c r="Q1033" s="724"/>
      <c r="R1033" s="724"/>
      <c r="S1033" s="724"/>
      <c r="T1033" s="724"/>
      <c r="U1033" s="724"/>
      <c r="V1033" s="724"/>
      <c r="W1033" s="724"/>
      <c r="X1033" s="724"/>
      <c r="Y1033" s="724"/>
      <c r="Z1033" s="724"/>
      <c r="AA1033" s="724"/>
      <c r="AB1033" s="724"/>
      <c r="AC1033" s="729"/>
      <c r="AD1033" s="724"/>
      <c r="AE1033" s="724"/>
      <c r="AF1033" s="724"/>
      <c r="AG1033" s="724"/>
      <c r="AH1033" s="724"/>
      <c r="AI1033" s="724"/>
      <c r="AJ1033" s="724"/>
      <c r="AU1033" s="713"/>
      <c r="AW1033" s="712"/>
      <c r="BY1033" s="714"/>
      <c r="BZ1033" s="715"/>
      <c r="CA1033" s="716"/>
      <c r="CB1033" s="717"/>
      <c r="CC1033" s="717"/>
      <c r="CD1033" s="717"/>
      <c r="CE1033" s="717"/>
      <c r="CF1033" s="717"/>
      <c r="CG1033" s="717"/>
      <c r="CH1033" s="717"/>
      <c r="CI1033" s="717"/>
      <c r="CJ1033" s="717"/>
      <c r="CK1033" s="717"/>
      <c r="CL1033" s="717"/>
      <c r="CM1033" s="717"/>
      <c r="CN1033" s="717"/>
      <c r="CO1033" s="717"/>
      <c r="CP1033" s="717"/>
      <c r="CQ1033" s="717"/>
      <c r="CR1033" s="717"/>
      <c r="CS1033" s="717"/>
      <c r="CT1033" s="717"/>
      <c r="CU1033" s="717"/>
      <c r="CV1033" s="717"/>
      <c r="CW1033" s="717"/>
      <c r="CX1033" s="717"/>
      <c r="CY1033" s="717"/>
      <c r="CZ1033" s="717"/>
      <c r="DA1033" s="717"/>
      <c r="DB1033" s="717"/>
      <c r="DC1033" s="717"/>
      <c r="DD1033" s="717"/>
      <c r="DE1033" s="717"/>
      <c r="DF1033" s="717"/>
      <c r="DG1033" s="717"/>
      <c r="DH1033" s="717"/>
      <c r="DI1033" s="717"/>
      <c r="DJ1033" s="717"/>
      <c r="DM1033" s="711"/>
      <c r="DN1033" s="711"/>
      <c r="DO1033" s="711"/>
      <c r="DP1033" s="711"/>
      <c r="DQ1033" s="711"/>
    </row>
    <row r="1034" spans="5:121" s="709" customFormat="1" ht="18" hidden="1">
      <c r="E1034" s="721"/>
      <c r="H1034" s="723">
        <v>547</v>
      </c>
      <c r="I1034" s="726"/>
      <c r="J1034" s="724"/>
      <c r="K1034" s="724"/>
      <c r="L1034" s="724"/>
      <c r="M1034" s="728"/>
      <c r="N1034" s="724"/>
      <c r="O1034" s="724"/>
      <c r="P1034" s="724"/>
      <c r="Q1034" s="724"/>
      <c r="R1034" s="724"/>
      <c r="S1034" s="724"/>
      <c r="T1034" s="724"/>
      <c r="U1034" s="724"/>
      <c r="V1034" s="724"/>
      <c r="W1034" s="724"/>
      <c r="X1034" s="724"/>
      <c r="Y1034" s="724"/>
      <c r="Z1034" s="724"/>
      <c r="AA1034" s="724"/>
      <c r="AB1034" s="724"/>
      <c r="AC1034" s="729"/>
      <c r="AD1034" s="724"/>
      <c r="AE1034" s="724"/>
      <c r="AF1034" s="724"/>
      <c r="AG1034" s="724"/>
      <c r="AH1034" s="724"/>
      <c r="AI1034" s="724"/>
      <c r="AJ1034" s="724"/>
      <c r="AU1034" s="713"/>
      <c r="AW1034" s="712"/>
      <c r="BY1034" s="714"/>
      <c r="BZ1034" s="715"/>
      <c r="CA1034" s="716"/>
      <c r="CB1034" s="717"/>
      <c r="CC1034" s="717"/>
      <c r="CD1034" s="717"/>
      <c r="CE1034" s="717"/>
      <c r="CF1034" s="717"/>
      <c r="CG1034" s="717"/>
      <c r="CH1034" s="717"/>
      <c r="CI1034" s="717"/>
      <c r="CJ1034" s="717"/>
      <c r="CK1034" s="717"/>
      <c r="CL1034" s="717"/>
      <c r="CM1034" s="717"/>
      <c r="CN1034" s="717"/>
      <c r="CO1034" s="717"/>
      <c r="CP1034" s="717"/>
      <c r="CQ1034" s="717"/>
      <c r="CR1034" s="717"/>
      <c r="CS1034" s="717"/>
      <c r="CT1034" s="717"/>
      <c r="CU1034" s="717"/>
      <c r="CV1034" s="717"/>
      <c r="CW1034" s="717"/>
      <c r="CX1034" s="717"/>
      <c r="CY1034" s="717"/>
      <c r="CZ1034" s="717"/>
      <c r="DA1034" s="717"/>
      <c r="DB1034" s="717"/>
      <c r="DC1034" s="717"/>
      <c r="DD1034" s="717"/>
      <c r="DE1034" s="717"/>
      <c r="DF1034" s="717"/>
      <c r="DG1034" s="717"/>
      <c r="DH1034" s="717"/>
      <c r="DI1034" s="717"/>
      <c r="DJ1034" s="717"/>
      <c r="DM1034" s="711"/>
      <c r="DN1034" s="711"/>
      <c r="DO1034" s="711"/>
      <c r="DP1034" s="711"/>
      <c r="DQ1034" s="711"/>
    </row>
    <row r="1035" spans="5:121" s="709" customFormat="1" ht="18" hidden="1">
      <c r="E1035" s="721"/>
      <c r="H1035" s="723">
        <v>548</v>
      </c>
      <c r="I1035" s="726"/>
      <c r="J1035" s="724"/>
      <c r="K1035" s="724"/>
      <c r="L1035" s="724"/>
      <c r="M1035" s="728"/>
      <c r="N1035" s="724"/>
      <c r="O1035" s="724"/>
      <c r="P1035" s="724"/>
      <c r="Q1035" s="724"/>
      <c r="R1035" s="724"/>
      <c r="S1035" s="724"/>
      <c r="T1035" s="724"/>
      <c r="U1035" s="724"/>
      <c r="V1035" s="724"/>
      <c r="W1035" s="724"/>
      <c r="X1035" s="724"/>
      <c r="Y1035" s="724"/>
      <c r="Z1035" s="724"/>
      <c r="AA1035" s="724"/>
      <c r="AB1035" s="724"/>
      <c r="AC1035" s="729"/>
      <c r="AD1035" s="724"/>
      <c r="AE1035" s="724"/>
      <c r="AF1035" s="724"/>
      <c r="AG1035" s="724"/>
      <c r="AH1035" s="724"/>
      <c r="AI1035" s="724"/>
      <c r="AJ1035" s="724"/>
      <c r="AU1035" s="713"/>
      <c r="AW1035" s="712"/>
      <c r="BY1035" s="714"/>
      <c r="BZ1035" s="715"/>
      <c r="CA1035" s="716"/>
      <c r="CB1035" s="717"/>
      <c r="CC1035" s="717"/>
      <c r="CD1035" s="717"/>
      <c r="CE1035" s="717"/>
      <c r="CF1035" s="717"/>
      <c r="CG1035" s="717"/>
      <c r="CH1035" s="717"/>
      <c r="CI1035" s="717"/>
      <c r="CJ1035" s="717"/>
      <c r="CK1035" s="717"/>
      <c r="CL1035" s="717"/>
      <c r="CM1035" s="717"/>
      <c r="CN1035" s="717"/>
      <c r="CO1035" s="717"/>
      <c r="CP1035" s="717"/>
      <c r="CQ1035" s="717"/>
      <c r="CR1035" s="717"/>
      <c r="CS1035" s="717"/>
      <c r="CT1035" s="717"/>
      <c r="CU1035" s="717"/>
      <c r="CV1035" s="717"/>
      <c r="CW1035" s="717"/>
      <c r="CX1035" s="717"/>
      <c r="CY1035" s="717"/>
      <c r="CZ1035" s="717"/>
      <c r="DA1035" s="717"/>
      <c r="DB1035" s="717"/>
      <c r="DC1035" s="717"/>
      <c r="DD1035" s="717"/>
      <c r="DE1035" s="717"/>
      <c r="DF1035" s="717"/>
      <c r="DG1035" s="717"/>
      <c r="DH1035" s="717"/>
      <c r="DI1035" s="717"/>
      <c r="DJ1035" s="717"/>
      <c r="DM1035" s="711"/>
      <c r="DN1035" s="711"/>
      <c r="DO1035" s="711"/>
      <c r="DP1035" s="711"/>
      <c r="DQ1035" s="711"/>
    </row>
    <row r="1036" spans="5:121" s="709" customFormat="1" ht="18" hidden="1">
      <c r="E1036" s="721"/>
      <c r="H1036" s="723">
        <v>549</v>
      </c>
      <c r="I1036" s="726"/>
      <c r="J1036" s="724"/>
      <c r="K1036" s="724"/>
      <c r="L1036" s="724"/>
      <c r="M1036" s="728"/>
      <c r="N1036" s="724"/>
      <c r="O1036" s="724"/>
      <c r="P1036" s="724"/>
      <c r="Q1036" s="724"/>
      <c r="R1036" s="724"/>
      <c r="S1036" s="724"/>
      <c r="T1036" s="724"/>
      <c r="U1036" s="724"/>
      <c r="V1036" s="724"/>
      <c r="W1036" s="724"/>
      <c r="X1036" s="724"/>
      <c r="Y1036" s="724"/>
      <c r="Z1036" s="724"/>
      <c r="AA1036" s="724"/>
      <c r="AB1036" s="724"/>
      <c r="AC1036" s="729"/>
      <c r="AD1036" s="724"/>
      <c r="AE1036" s="724"/>
      <c r="AF1036" s="724"/>
      <c r="AG1036" s="724"/>
      <c r="AH1036" s="724"/>
      <c r="AI1036" s="724"/>
      <c r="AJ1036" s="724"/>
      <c r="AU1036" s="713"/>
      <c r="AW1036" s="712"/>
      <c r="BY1036" s="714"/>
      <c r="BZ1036" s="715"/>
      <c r="CA1036" s="716"/>
      <c r="CB1036" s="717"/>
      <c r="CC1036" s="717"/>
      <c r="CD1036" s="717"/>
      <c r="CE1036" s="717"/>
      <c r="CF1036" s="717"/>
      <c r="CG1036" s="717"/>
      <c r="CH1036" s="717"/>
      <c r="CI1036" s="717"/>
      <c r="CJ1036" s="717"/>
      <c r="CK1036" s="717"/>
      <c r="CL1036" s="717"/>
      <c r="CM1036" s="717"/>
      <c r="CN1036" s="717"/>
      <c r="CO1036" s="717"/>
      <c r="CP1036" s="717"/>
      <c r="CQ1036" s="717"/>
      <c r="CR1036" s="717"/>
      <c r="CS1036" s="717"/>
      <c r="CT1036" s="717"/>
      <c r="CU1036" s="717"/>
      <c r="CV1036" s="717"/>
      <c r="CW1036" s="717"/>
      <c r="CX1036" s="717"/>
      <c r="CY1036" s="717"/>
      <c r="CZ1036" s="717"/>
      <c r="DA1036" s="717"/>
      <c r="DB1036" s="717"/>
      <c r="DC1036" s="717"/>
      <c r="DD1036" s="717"/>
      <c r="DE1036" s="717"/>
      <c r="DF1036" s="717"/>
      <c r="DG1036" s="717"/>
      <c r="DH1036" s="717"/>
      <c r="DI1036" s="717"/>
      <c r="DJ1036" s="717"/>
      <c r="DM1036" s="711"/>
      <c r="DN1036" s="711"/>
      <c r="DO1036" s="711"/>
      <c r="DP1036" s="711"/>
      <c r="DQ1036" s="711"/>
    </row>
    <row r="1037" spans="5:121" s="709" customFormat="1" ht="18" hidden="1">
      <c r="E1037" s="721"/>
      <c r="H1037" s="723">
        <v>550</v>
      </c>
      <c r="I1037" s="726"/>
      <c r="J1037" s="724"/>
      <c r="K1037" s="724"/>
      <c r="L1037" s="724"/>
      <c r="M1037" s="728"/>
      <c r="N1037" s="724"/>
      <c r="O1037" s="724"/>
      <c r="P1037" s="724"/>
      <c r="Q1037" s="724"/>
      <c r="R1037" s="724"/>
      <c r="S1037" s="724"/>
      <c r="T1037" s="724"/>
      <c r="U1037" s="724"/>
      <c r="V1037" s="724"/>
      <c r="W1037" s="724"/>
      <c r="X1037" s="724"/>
      <c r="Y1037" s="724"/>
      <c r="Z1037" s="724"/>
      <c r="AA1037" s="724"/>
      <c r="AB1037" s="724"/>
      <c r="AC1037" s="729"/>
      <c r="AD1037" s="724"/>
      <c r="AE1037" s="724"/>
      <c r="AF1037" s="724"/>
      <c r="AG1037" s="724"/>
      <c r="AH1037" s="724"/>
      <c r="AI1037" s="724"/>
      <c r="AJ1037" s="724"/>
      <c r="AU1037" s="713"/>
      <c r="AW1037" s="712"/>
      <c r="BY1037" s="714"/>
      <c r="BZ1037" s="715"/>
      <c r="CA1037" s="716"/>
      <c r="CB1037" s="717"/>
      <c r="CC1037" s="717"/>
      <c r="CD1037" s="717"/>
      <c r="CE1037" s="717"/>
      <c r="CF1037" s="717"/>
      <c r="CG1037" s="717"/>
      <c r="CH1037" s="717"/>
      <c r="CI1037" s="717"/>
      <c r="CJ1037" s="717"/>
      <c r="CK1037" s="717"/>
      <c r="CL1037" s="717"/>
      <c r="CM1037" s="717"/>
      <c r="CN1037" s="717"/>
      <c r="CO1037" s="717"/>
      <c r="CP1037" s="717"/>
      <c r="CQ1037" s="717"/>
      <c r="CR1037" s="717"/>
      <c r="CS1037" s="717"/>
      <c r="CT1037" s="717"/>
      <c r="CU1037" s="717"/>
      <c r="CV1037" s="717"/>
      <c r="CW1037" s="717"/>
      <c r="CX1037" s="717"/>
      <c r="CY1037" s="717"/>
      <c r="CZ1037" s="717"/>
      <c r="DA1037" s="717"/>
      <c r="DB1037" s="717"/>
      <c r="DC1037" s="717"/>
      <c r="DD1037" s="717"/>
      <c r="DE1037" s="717"/>
      <c r="DF1037" s="717"/>
      <c r="DG1037" s="717"/>
      <c r="DH1037" s="717"/>
      <c r="DI1037" s="717"/>
      <c r="DJ1037" s="717"/>
      <c r="DM1037" s="711"/>
      <c r="DN1037" s="711"/>
      <c r="DO1037" s="711"/>
      <c r="DP1037" s="711"/>
      <c r="DQ1037" s="711"/>
    </row>
    <row r="1038" spans="5:121" s="709" customFormat="1" ht="18" hidden="1">
      <c r="E1038" s="721"/>
      <c r="H1038" s="723">
        <v>551</v>
      </c>
      <c r="I1038" s="726"/>
      <c r="J1038" s="724"/>
      <c r="K1038" s="724"/>
      <c r="L1038" s="724"/>
      <c r="M1038" s="728"/>
      <c r="N1038" s="724"/>
      <c r="O1038" s="724"/>
      <c r="P1038" s="724"/>
      <c r="Q1038" s="724"/>
      <c r="R1038" s="724"/>
      <c r="S1038" s="724"/>
      <c r="T1038" s="724"/>
      <c r="U1038" s="724"/>
      <c r="V1038" s="724"/>
      <c r="W1038" s="724"/>
      <c r="X1038" s="724"/>
      <c r="Y1038" s="724"/>
      <c r="Z1038" s="724"/>
      <c r="AA1038" s="724"/>
      <c r="AB1038" s="724"/>
      <c r="AC1038" s="729"/>
      <c r="AD1038" s="724"/>
      <c r="AE1038" s="724"/>
      <c r="AF1038" s="724"/>
      <c r="AG1038" s="724"/>
      <c r="AH1038" s="724"/>
      <c r="AI1038" s="724"/>
      <c r="AJ1038" s="724"/>
      <c r="AU1038" s="713"/>
      <c r="AW1038" s="712"/>
      <c r="BY1038" s="714"/>
      <c r="BZ1038" s="715"/>
      <c r="CA1038" s="716"/>
      <c r="CB1038" s="717"/>
      <c r="CC1038" s="717"/>
      <c r="CD1038" s="717"/>
      <c r="CE1038" s="717"/>
      <c r="CF1038" s="717"/>
      <c r="CG1038" s="717"/>
      <c r="CH1038" s="717"/>
      <c r="CI1038" s="717"/>
      <c r="CJ1038" s="717"/>
      <c r="CK1038" s="717"/>
      <c r="CL1038" s="717"/>
      <c r="CM1038" s="717"/>
      <c r="CN1038" s="717"/>
      <c r="CO1038" s="717"/>
      <c r="CP1038" s="717"/>
      <c r="CQ1038" s="717"/>
      <c r="CR1038" s="717"/>
      <c r="CS1038" s="717"/>
      <c r="CT1038" s="717"/>
      <c r="CU1038" s="717"/>
      <c r="CV1038" s="717"/>
      <c r="CW1038" s="717"/>
      <c r="CX1038" s="717"/>
      <c r="CY1038" s="717"/>
      <c r="CZ1038" s="717"/>
      <c r="DA1038" s="717"/>
      <c r="DB1038" s="717"/>
      <c r="DC1038" s="717"/>
      <c r="DD1038" s="717"/>
      <c r="DE1038" s="717"/>
      <c r="DF1038" s="717"/>
      <c r="DG1038" s="717"/>
      <c r="DH1038" s="717"/>
      <c r="DI1038" s="717"/>
      <c r="DJ1038" s="717"/>
      <c r="DM1038" s="711"/>
      <c r="DN1038" s="711"/>
      <c r="DO1038" s="711"/>
      <c r="DP1038" s="711"/>
      <c r="DQ1038" s="711"/>
    </row>
    <row r="1039" spans="5:121" s="709" customFormat="1" ht="18" hidden="1">
      <c r="E1039" s="721"/>
      <c r="H1039" s="723">
        <v>552</v>
      </c>
      <c r="I1039" s="726"/>
      <c r="J1039" s="724"/>
      <c r="K1039" s="724"/>
      <c r="L1039" s="724"/>
      <c r="M1039" s="728"/>
      <c r="N1039" s="724"/>
      <c r="O1039" s="724"/>
      <c r="P1039" s="724"/>
      <c r="Q1039" s="724"/>
      <c r="R1039" s="724"/>
      <c r="S1039" s="724"/>
      <c r="T1039" s="724"/>
      <c r="U1039" s="724"/>
      <c r="V1039" s="724"/>
      <c r="W1039" s="724"/>
      <c r="X1039" s="724"/>
      <c r="Y1039" s="724"/>
      <c r="Z1039" s="724"/>
      <c r="AA1039" s="724"/>
      <c r="AB1039" s="724"/>
      <c r="AC1039" s="729"/>
      <c r="AD1039" s="724"/>
      <c r="AE1039" s="724"/>
      <c r="AF1039" s="724"/>
      <c r="AG1039" s="724"/>
      <c r="AH1039" s="724"/>
      <c r="AI1039" s="724"/>
      <c r="AJ1039" s="724"/>
      <c r="AU1039" s="713"/>
      <c r="AW1039" s="712"/>
      <c r="BY1039" s="714"/>
      <c r="BZ1039" s="715"/>
      <c r="CA1039" s="716"/>
      <c r="CB1039" s="717"/>
      <c r="CC1039" s="717"/>
      <c r="CD1039" s="717"/>
      <c r="CE1039" s="717"/>
      <c r="CF1039" s="717"/>
      <c r="CG1039" s="717"/>
      <c r="CH1039" s="717"/>
      <c r="CI1039" s="717"/>
      <c r="CJ1039" s="717"/>
      <c r="CK1039" s="717"/>
      <c r="CL1039" s="717"/>
      <c r="CM1039" s="717"/>
      <c r="CN1039" s="717"/>
      <c r="CO1039" s="717"/>
      <c r="CP1039" s="717"/>
      <c r="CQ1039" s="717"/>
      <c r="CR1039" s="717"/>
      <c r="CS1039" s="717"/>
      <c r="CT1039" s="717"/>
      <c r="CU1039" s="717"/>
      <c r="CV1039" s="717"/>
      <c r="CW1039" s="717"/>
      <c r="CX1039" s="717"/>
      <c r="CY1039" s="717"/>
      <c r="CZ1039" s="717"/>
      <c r="DA1039" s="717"/>
      <c r="DB1039" s="717"/>
      <c r="DC1039" s="717"/>
      <c r="DD1039" s="717"/>
      <c r="DE1039" s="717"/>
      <c r="DF1039" s="717"/>
      <c r="DG1039" s="717"/>
      <c r="DH1039" s="717"/>
      <c r="DI1039" s="717"/>
      <c r="DJ1039" s="717"/>
      <c r="DM1039" s="711"/>
      <c r="DN1039" s="711"/>
      <c r="DO1039" s="711"/>
      <c r="DP1039" s="711"/>
      <c r="DQ1039" s="711"/>
    </row>
    <row r="1040" spans="5:121" s="709" customFormat="1" ht="18" hidden="1">
      <c r="E1040" s="721"/>
      <c r="H1040" s="723">
        <v>553</v>
      </c>
      <c r="I1040" s="726"/>
      <c r="J1040" s="724"/>
      <c r="K1040" s="724"/>
      <c r="L1040" s="724"/>
      <c r="M1040" s="728"/>
      <c r="N1040" s="724"/>
      <c r="O1040" s="724"/>
      <c r="P1040" s="724"/>
      <c r="Q1040" s="724"/>
      <c r="R1040" s="724"/>
      <c r="S1040" s="724"/>
      <c r="T1040" s="724"/>
      <c r="U1040" s="724"/>
      <c r="V1040" s="724"/>
      <c r="W1040" s="724"/>
      <c r="X1040" s="724"/>
      <c r="Y1040" s="724"/>
      <c r="Z1040" s="724"/>
      <c r="AA1040" s="724"/>
      <c r="AB1040" s="724"/>
      <c r="AC1040" s="729"/>
      <c r="AD1040" s="724"/>
      <c r="AE1040" s="724"/>
      <c r="AF1040" s="724"/>
      <c r="AG1040" s="724"/>
      <c r="AH1040" s="724"/>
      <c r="AI1040" s="724"/>
      <c r="AJ1040" s="724"/>
      <c r="AU1040" s="713"/>
      <c r="AW1040" s="712"/>
      <c r="BY1040" s="714"/>
      <c r="BZ1040" s="715"/>
      <c r="CA1040" s="716"/>
      <c r="CB1040" s="717"/>
      <c r="CC1040" s="717"/>
      <c r="CD1040" s="717"/>
      <c r="CE1040" s="717"/>
      <c r="CF1040" s="717"/>
      <c r="CG1040" s="717"/>
      <c r="CH1040" s="717"/>
      <c r="CI1040" s="717"/>
      <c r="CJ1040" s="717"/>
      <c r="CK1040" s="717"/>
      <c r="CL1040" s="717"/>
      <c r="CM1040" s="717"/>
      <c r="CN1040" s="717"/>
      <c r="CO1040" s="717"/>
      <c r="CP1040" s="717"/>
      <c r="CQ1040" s="717"/>
      <c r="CR1040" s="717"/>
      <c r="CS1040" s="717"/>
      <c r="CT1040" s="717"/>
      <c r="CU1040" s="717"/>
      <c r="CV1040" s="717"/>
      <c r="CW1040" s="717"/>
      <c r="CX1040" s="717"/>
      <c r="CY1040" s="717"/>
      <c r="CZ1040" s="717"/>
      <c r="DA1040" s="717"/>
      <c r="DB1040" s="717"/>
      <c r="DC1040" s="717"/>
      <c r="DD1040" s="717"/>
      <c r="DE1040" s="717"/>
      <c r="DF1040" s="717"/>
      <c r="DG1040" s="717"/>
      <c r="DH1040" s="717"/>
      <c r="DI1040" s="717"/>
      <c r="DJ1040" s="717"/>
      <c r="DM1040" s="711"/>
      <c r="DN1040" s="711"/>
      <c r="DO1040" s="711"/>
      <c r="DP1040" s="711"/>
      <c r="DQ1040" s="711"/>
    </row>
    <row r="1041" spans="5:121" s="709" customFormat="1" ht="18" hidden="1">
      <c r="E1041" s="721"/>
      <c r="H1041" s="723">
        <v>554</v>
      </c>
      <c r="I1041" s="726"/>
      <c r="J1041" s="724"/>
      <c r="K1041" s="724"/>
      <c r="L1041" s="724"/>
      <c r="M1041" s="728"/>
      <c r="N1041" s="724"/>
      <c r="O1041" s="724"/>
      <c r="P1041" s="724"/>
      <c r="Q1041" s="724"/>
      <c r="R1041" s="724"/>
      <c r="S1041" s="724"/>
      <c r="T1041" s="724"/>
      <c r="U1041" s="724"/>
      <c r="V1041" s="724"/>
      <c r="W1041" s="724"/>
      <c r="X1041" s="724"/>
      <c r="Y1041" s="724"/>
      <c r="Z1041" s="724"/>
      <c r="AA1041" s="724"/>
      <c r="AB1041" s="724"/>
      <c r="AC1041" s="729"/>
      <c r="AD1041" s="724"/>
      <c r="AE1041" s="724"/>
      <c r="AF1041" s="724"/>
      <c r="AG1041" s="724"/>
      <c r="AH1041" s="724"/>
      <c r="AI1041" s="724"/>
      <c r="AJ1041" s="724"/>
      <c r="AU1041" s="713"/>
      <c r="AW1041" s="712"/>
      <c r="BY1041" s="714"/>
      <c r="BZ1041" s="715"/>
      <c r="CA1041" s="716"/>
      <c r="CB1041" s="717"/>
      <c r="CC1041" s="717"/>
      <c r="CD1041" s="717"/>
      <c r="CE1041" s="717"/>
      <c r="CF1041" s="717"/>
      <c r="CG1041" s="717"/>
      <c r="CH1041" s="717"/>
      <c r="CI1041" s="717"/>
      <c r="CJ1041" s="717"/>
      <c r="CK1041" s="717"/>
      <c r="CL1041" s="717"/>
      <c r="CM1041" s="717"/>
      <c r="CN1041" s="717"/>
      <c r="CO1041" s="717"/>
      <c r="CP1041" s="717"/>
      <c r="CQ1041" s="717"/>
      <c r="CR1041" s="717"/>
      <c r="CS1041" s="717"/>
      <c r="CT1041" s="717"/>
      <c r="CU1041" s="717"/>
      <c r="CV1041" s="717"/>
      <c r="CW1041" s="717"/>
      <c r="CX1041" s="717"/>
      <c r="CY1041" s="717"/>
      <c r="CZ1041" s="717"/>
      <c r="DA1041" s="717"/>
      <c r="DB1041" s="717"/>
      <c r="DC1041" s="717"/>
      <c r="DD1041" s="717"/>
      <c r="DE1041" s="717"/>
      <c r="DF1041" s="717"/>
      <c r="DG1041" s="717"/>
      <c r="DH1041" s="717"/>
      <c r="DI1041" s="717"/>
      <c r="DJ1041" s="717"/>
      <c r="DM1041" s="711"/>
      <c r="DN1041" s="711"/>
      <c r="DO1041" s="711"/>
      <c r="DP1041" s="711"/>
      <c r="DQ1041" s="711"/>
    </row>
    <row r="1042" spans="5:121" s="709" customFormat="1" ht="18" hidden="1">
      <c r="E1042" s="721"/>
      <c r="H1042" s="723">
        <v>555</v>
      </c>
      <c r="I1042" s="726"/>
      <c r="J1042" s="724"/>
      <c r="K1042" s="724"/>
      <c r="L1042" s="724"/>
      <c r="M1042" s="728"/>
      <c r="N1042" s="724"/>
      <c r="O1042" s="724"/>
      <c r="P1042" s="724"/>
      <c r="Q1042" s="724"/>
      <c r="R1042" s="724"/>
      <c r="S1042" s="724"/>
      <c r="T1042" s="724"/>
      <c r="U1042" s="724"/>
      <c r="V1042" s="724"/>
      <c r="W1042" s="724"/>
      <c r="X1042" s="724"/>
      <c r="Y1042" s="724"/>
      <c r="Z1042" s="724"/>
      <c r="AA1042" s="724"/>
      <c r="AB1042" s="724"/>
      <c r="AC1042" s="729"/>
      <c r="AD1042" s="724"/>
      <c r="AE1042" s="724"/>
      <c r="AF1042" s="724"/>
      <c r="AG1042" s="724"/>
      <c r="AH1042" s="724"/>
      <c r="AI1042" s="724"/>
      <c r="AJ1042" s="724"/>
      <c r="AU1042" s="713"/>
      <c r="AW1042" s="712"/>
      <c r="BY1042" s="714"/>
      <c r="BZ1042" s="715"/>
      <c r="CA1042" s="716"/>
      <c r="CB1042" s="717"/>
      <c r="CC1042" s="717"/>
      <c r="CD1042" s="717"/>
      <c r="CE1042" s="717"/>
      <c r="CF1042" s="717"/>
      <c r="CG1042" s="717"/>
      <c r="CH1042" s="717"/>
      <c r="CI1042" s="717"/>
      <c r="CJ1042" s="717"/>
      <c r="CK1042" s="717"/>
      <c r="CL1042" s="717"/>
      <c r="CM1042" s="717"/>
      <c r="CN1042" s="717"/>
      <c r="CO1042" s="717"/>
      <c r="CP1042" s="717"/>
      <c r="CQ1042" s="717"/>
      <c r="CR1042" s="717"/>
      <c r="CS1042" s="717"/>
      <c r="CT1042" s="717"/>
      <c r="CU1042" s="717"/>
      <c r="CV1042" s="717"/>
      <c r="CW1042" s="717"/>
      <c r="CX1042" s="717"/>
      <c r="CY1042" s="717"/>
      <c r="CZ1042" s="717"/>
      <c r="DA1042" s="717"/>
      <c r="DB1042" s="717"/>
      <c r="DC1042" s="717"/>
      <c r="DD1042" s="717"/>
      <c r="DE1042" s="717"/>
      <c r="DF1042" s="717"/>
      <c r="DG1042" s="717"/>
      <c r="DH1042" s="717"/>
      <c r="DI1042" s="717"/>
      <c r="DJ1042" s="717"/>
      <c r="DM1042" s="711"/>
      <c r="DN1042" s="711"/>
      <c r="DO1042" s="711"/>
      <c r="DP1042" s="711"/>
      <c r="DQ1042" s="711"/>
    </row>
    <row r="1043" spans="5:121" s="709" customFormat="1" ht="18" hidden="1">
      <c r="E1043" s="721"/>
      <c r="H1043" s="723">
        <v>556</v>
      </c>
      <c r="I1043" s="726"/>
      <c r="J1043" s="724"/>
      <c r="K1043" s="724"/>
      <c r="L1043" s="724"/>
      <c r="M1043" s="728"/>
      <c r="N1043" s="724"/>
      <c r="O1043" s="724"/>
      <c r="P1043" s="724"/>
      <c r="Q1043" s="724"/>
      <c r="R1043" s="724"/>
      <c r="S1043" s="724"/>
      <c r="T1043" s="724"/>
      <c r="U1043" s="724"/>
      <c r="V1043" s="724"/>
      <c r="W1043" s="724"/>
      <c r="X1043" s="724"/>
      <c r="Y1043" s="724"/>
      <c r="Z1043" s="724"/>
      <c r="AA1043" s="724"/>
      <c r="AB1043" s="724"/>
      <c r="AC1043" s="729"/>
      <c r="AD1043" s="724"/>
      <c r="AE1043" s="724"/>
      <c r="AF1043" s="724"/>
      <c r="AG1043" s="724"/>
      <c r="AH1043" s="724"/>
      <c r="AI1043" s="724"/>
      <c r="AJ1043" s="724"/>
      <c r="AU1043" s="713"/>
      <c r="AW1043" s="712"/>
      <c r="BY1043" s="714"/>
      <c r="BZ1043" s="715"/>
      <c r="CA1043" s="716"/>
      <c r="CB1043" s="717"/>
      <c r="CC1043" s="717"/>
      <c r="CD1043" s="717"/>
      <c r="CE1043" s="717"/>
      <c r="CF1043" s="717"/>
      <c r="CG1043" s="717"/>
      <c r="CH1043" s="717"/>
      <c r="CI1043" s="717"/>
      <c r="CJ1043" s="717"/>
      <c r="CK1043" s="717"/>
      <c r="CL1043" s="717"/>
      <c r="CM1043" s="717"/>
      <c r="CN1043" s="717"/>
      <c r="CO1043" s="717"/>
      <c r="CP1043" s="717"/>
      <c r="CQ1043" s="717"/>
      <c r="CR1043" s="717"/>
      <c r="CS1043" s="717"/>
      <c r="CT1043" s="717"/>
      <c r="CU1043" s="717"/>
      <c r="CV1043" s="717"/>
      <c r="CW1043" s="717"/>
      <c r="CX1043" s="717"/>
      <c r="CY1043" s="717"/>
      <c r="CZ1043" s="717"/>
      <c r="DA1043" s="717"/>
      <c r="DB1043" s="717"/>
      <c r="DC1043" s="717"/>
      <c r="DD1043" s="717"/>
      <c r="DE1043" s="717"/>
      <c r="DF1043" s="717"/>
      <c r="DG1043" s="717"/>
      <c r="DH1043" s="717"/>
      <c r="DI1043" s="717"/>
      <c r="DJ1043" s="717"/>
      <c r="DM1043" s="711"/>
      <c r="DN1043" s="711"/>
      <c r="DO1043" s="711"/>
      <c r="DP1043" s="711"/>
      <c r="DQ1043" s="711"/>
    </row>
    <row r="1044" spans="5:121" s="709" customFormat="1" ht="18" hidden="1">
      <c r="E1044" s="721"/>
      <c r="H1044" s="723">
        <v>557</v>
      </c>
      <c r="I1044" s="726"/>
      <c r="J1044" s="724"/>
      <c r="K1044" s="724"/>
      <c r="L1044" s="724"/>
      <c r="M1044" s="728"/>
      <c r="N1044" s="724"/>
      <c r="O1044" s="724"/>
      <c r="P1044" s="724"/>
      <c r="Q1044" s="724"/>
      <c r="R1044" s="724"/>
      <c r="S1044" s="724"/>
      <c r="T1044" s="724"/>
      <c r="U1044" s="724"/>
      <c r="V1044" s="724"/>
      <c r="W1044" s="724"/>
      <c r="X1044" s="724"/>
      <c r="Y1044" s="724"/>
      <c r="Z1044" s="724"/>
      <c r="AA1044" s="724"/>
      <c r="AB1044" s="724"/>
      <c r="AC1044" s="729"/>
      <c r="AD1044" s="724"/>
      <c r="AE1044" s="724"/>
      <c r="AF1044" s="724"/>
      <c r="AG1044" s="724"/>
      <c r="AH1044" s="724"/>
      <c r="AI1044" s="724"/>
      <c r="AJ1044" s="724"/>
      <c r="AU1044" s="713"/>
      <c r="AW1044" s="712"/>
      <c r="BY1044" s="714"/>
      <c r="BZ1044" s="715"/>
      <c r="CA1044" s="716"/>
      <c r="CB1044" s="717"/>
      <c r="CC1044" s="717"/>
      <c r="CD1044" s="717"/>
      <c r="CE1044" s="717"/>
      <c r="CF1044" s="717"/>
      <c r="CG1044" s="717"/>
      <c r="CH1044" s="717"/>
      <c r="CI1044" s="717"/>
      <c r="CJ1044" s="717"/>
      <c r="CK1044" s="717"/>
      <c r="CL1044" s="717"/>
      <c r="CM1044" s="717"/>
      <c r="CN1044" s="717"/>
      <c r="CO1044" s="717"/>
      <c r="CP1044" s="717"/>
      <c r="CQ1044" s="717"/>
      <c r="CR1044" s="717"/>
      <c r="CS1044" s="717"/>
      <c r="CT1044" s="717"/>
      <c r="CU1044" s="717"/>
      <c r="CV1044" s="717"/>
      <c r="CW1044" s="717"/>
      <c r="CX1044" s="717"/>
      <c r="CY1044" s="717"/>
      <c r="CZ1044" s="717"/>
      <c r="DA1044" s="717"/>
      <c r="DB1044" s="717"/>
      <c r="DC1044" s="717"/>
      <c r="DD1044" s="717"/>
      <c r="DE1044" s="717"/>
      <c r="DF1044" s="717"/>
      <c r="DG1044" s="717"/>
      <c r="DH1044" s="717"/>
      <c r="DI1044" s="717"/>
      <c r="DJ1044" s="717"/>
      <c r="DM1044" s="711"/>
      <c r="DN1044" s="711"/>
      <c r="DO1044" s="711"/>
      <c r="DP1044" s="711"/>
      <c r="DQ1044" s="711"/>
    </row>
    <row r="1045" spans="5:121" s="709" customFormat="1" ht="18" hidden="1">
      <c r="E1045" s="721"/>
      <c r="H1045" s="723">
        <v>558</v>
      </c>
      <c r="I1045" s="726"/>
      <c r="J1045" s="724"/>
      <c r="K1045" s="724"/>
      <c r="L1045" s="724"/>
      <c r="M1045" s="728"/>
      <c r="N1045" s="724"/>
      <c r="O1045" s="724"/>
      <c r="P1045" s="724"/>
      <c r="Q1045" s="724"/>
      <c r="R1045" s="724"/>
      <c r="S1045" s="724"/>
      <c r="T1045" s="724"/>
      <c r="U1045" s="724"/>
      <c r="V1045" s="724"/>
      <c r="W1045" s="724"/>
      <c r="X1045" s="724"/>
      <c r="Y1045" s="724"/>
      <c r="Z1045" s="724"/>
      <c r="AA1045" s="724"/>
      <c r="AB1045" s="724"/>
      <c r="AC1045" s="729"/>
      <c r="AD1045" s="724"/>
      <c r="AE1045" s="724"/>
      <c r="AF1045" s="724"/>
      <c r="AG1045" s="724"/>
      <c r="AH1045" s="724"/>
      <c r="AI1045" s="724"/>
      <c r="AJ1045" s="724"/>
      <c r="AU1045" s="713"/>
      <c r="AW1045" s="712"/>
      <c r="BY1045" s="714"/>
      <c r="BZ1045" s="715"/>
      <c r="CA1045" s="716"/>
      <c r="CB1045" s="717"/>
      <c r="CC1045" s="717"/>
      <c r="CD1045" s="717"/>
      <c r="CE1045" s="717"/>
      <c r="CF1045" s="717"/>
      <c r="CG1045" s="717"/>
      <c r="CH1045" s="717"/>
      <c r="CI1045" s="717"/>
      <c r="CJ1045" s="717"/>
      <c r="CK1045" s="717"/>
      <c r="CL1045" s="717"/>
      <c r="CM1045" s="717"/>
      <c r="CN1045" s="717"/>
      <c r="CO1045" s="717"/>
      <c r="CP1045" s="717"/>
      <c r="CQ1045" s="717"/>
      <c r="CR1045" s="717"/>
      <c r="CS1045" s="717"/>
      <c r="CT1045" s="717"/>
      <c r="CU1045" s="717"/>
      <c r="CV1045" s="717"/>
      <c r="CW1045" s="717"/>
      <c r="CX1045" s="717"/>
      <c r="CY1045" s="717"/>
      <c r="CZ1045" s="717"/>
      <c r="DA1045" s="717"/>
      <c r="DB1045" s="717"/>
      <c r="DC1045" s="717"/>
      <c r="DD1045" s="717"/>
      <c r="DE1045" s="717"/>
      <c r="DF1045" s="717"/>
      <c r="DG1045" s="717"/>
      <c r="DH1045" s="717"/>
      <c r="DI1045" s="717"/>
      <c r="DJ1045" s="717"/>
      <c r="DM1045" s="711"/>
      <c r="DN1045" s="711"/>
      <c r="DO1045" s="711"/>
      <c r="DP1045" s="711"/>
      <c r="DQ1045" s="711"/>
    </row>
    <row r="1046" spans="5:121" s="709" customFormat="1" ht="18" hidden="1">
      <c r="E1046" s="721"/>
      <c r="H1046" s="723">
        <v>559</v>
      </c>
      <c r="I1046" s="726"/>
      <c r="J1046" s="724"/>
      <c r="K1046" s="724"/>
      <c r="L1046" s="724"/>
      <c r="M1046" s="728"/>
      <c r="N1046" s="724"/>
      <c r="O1046" s="724"/>
      <c r="P1046" s="724"/>
      <c r="Q1046" s="724"/>
      <c r="R1046" s="724"/>
      <c r="S1046" s="724"/>
      <c r="T1046" s="724"/>
      <c r="U1046" s="724"/>
      <c r="V1046" s="724"/>
      <c r="W1046" s="724"/>
      <c r="X1046" s="724"/>
      <c r="Y1046" s="724"/>
      <c r="Z1046" s="724"/>
      <c r="AA1046" s="724"/>
      <c r="AB1046" s="724"/>
      <c r="AC1046" s="729"/>
      <c r="AD1046" s="724"/>
      <c r="AE1046" s="724"/>
      <c r="AF1046" s="724"/>
      <c r="AG1046" s="724"/>
      <c r="AH1046" s="724"/>
      <c r="AI1046" s="724"/>
      <c r="AJ1046" s="724"/>
      <c r="AU1046" s="713"/>
      <c r="AW1046" s="712"/>
      <c r="BY1046" s="714"/>
      <c r="BZ1046" s="715"/>
      <c r="CA1046" s="716"/>
      <c r="CB1046" s="717"/>
      <c r="CC1046" s="717"/>
      <c r="CD1046" s="717"/>
      <c r="CE1046" s="717"/>
      <c r="CF1046" s="717"/>
      <c r="CG1046" s="717"/>
      <c r="CH1046" s="717"/>
      <c r="CI1046" s="717"/>
      <c r="CJ1046" s="717"/>
      <c r="CK1046" s="717"/>
      <c r="CL1046" s="717"/>
      <c r="CM1046" s="717"/>
      <c r="CN1046" s="717"/>
      <c r="CO1046" s="717"/>
      <c r="CP1046" s="717"/>
      <c r="CQ1046" s="717"/>
      <c r="CR1046" s="717"/>
      <c r="CS1046" s="717"/>
      <c r="CT1046" s="717"/>
      <c r="CU1046" s="717"/>
      <c r="CV1046" s="717"/>
      <c r="CW1046" s="717"/>
      <c r="CX1046" s="717"/>
      <c r="CY1046" s="717"/>
      <c r="CZ1046" s="717"/>
      <c r="DA1046" s="717"/>
      <c r="DB1046" s="717"/>
      <c r="DC1046" s="717"/>
      <c r="DD1046" s="717"/>
      <c r="DE1046" s="717"/>
      <c r="DF1046" s="717"/>
      <c r="DG1046" s="717"/>
      <c r="DH1046" s="717"/>
      <c r="DI1046" s="717"/>
      <c r="DJ1046" s="717"/>
      <c r="DM1046" s="711"/>
      <c r="DN1046" s="711"/>
      <c r="DO1046" s="711"/>
      <c r="DP1046" s="711"/>
      <c r="DQ1046" s="711"/>
    </row>
    <row r="1047" spans="5:121" s="709" customFormat="1" ht="18" hidden="1">
      <c r="E1047" s="721"/>
      <c r="H1047" s="723">
        <v>560</v>
      </c>
      <c r="I1047" s="726"/>
      <c r="J1047" s="724"/>
      <c r="K1047" s="724"/>
      <c r="L1047" s="724"/>
      <c r="M1047" s="728"/>
      <c r="N1047" s="724"/>
      <c r="O1047" s="724"/>
      <c r="P1047" s="724"/>
      <c r="Q1047" s="724"/>
      <c r="R1047" s="724"/>
      <c r="S1047" s="724"/>
      <c r="T1047" s="724"/>
      <c r="U1047" s="724"/>
      <c r="V1047" s="724"/>
      <c r="W1047" s="724"/>
      <c r="X1047" s="724"/>
      <c r="Y1047" s="724"/>
      <c r="Z1047" s="724"/>
      <c r="AA1047" s="724"/>
      <c r="AB1047" s="724"/>
      <c r="AC1047" s="729"/>
      <c r="AD1047" s="724"/>
      <c r="AE1047" s="724"/>
      <c r="AF1047" s="724"/>
      <c r="AG1047" s="724"/>
      <c r="AH1047" s="724"/>
      <c r="AI1047" s="724"/>
      <c r="AJ1047" s="724"/>
      <c r="AU1047" s="713"/>
      <c r="AW1047" s="712"/>
      <c r="BY1047" s="714"/>
      <c r="BZ1047" s="715"/>
      <c r="CA1047" s="716"/>
      <c r="CB1047" s="717"/>
      <c r="CC1047" s="717"/>
      <c r="CD1047" s="717"/>
      <c r="CE1047" s="717"/>
      <c r="CF1047" s="717"/>
      <c r="CG1047" s="717"/>
      <c r="CH1047" s="717"/>
      <c r="CI1047" s="717"/>
      <c r="CJ1047" s="717"/>
      <c r="CK1047" s="717"/>
      <c r="CL1047" s="717"/>
      <c r="CM1047" s="717"/>
      <c r="CN1047" s="717"/>
      <c r="CO1047" s="717"/>
      <c r="CP1047" s="717"/>
      <c r="CQ1047" s="717"/>
      <c r="CR1047" s="717"/>
      <c r="CS1047" s="717"/>
      <c r="CT1047" s="717"/>
      <c r="CU1047" s="717"/>
      <c r="CV1047" s="717"/>
      <c r="CW1047" s="717"/>
      <c r="CX1047" s="717"/>
      <c r="CY1047" s="717"/>
      <c r="CZ1047" s="717"/>
      <c r="DA1047" s="717"/>
      <c r="DB1047" s="717"/>
      <c r="DC1047" s="717"/>
      <c r="DD1047" s="717"/>
      <c r="DE1047" s="717"/>
      <c r="DF1047" s="717"/>
      <c r="DG1047" s="717"/>
      <c r="DH1047" s="717"/>
      <c r="DI1047" s="717"/>
      <c r="DJ1047" s="717"/>
      <c r="DM1047" s="711"/>
      <c r="DN1047" s="711"/>
      <c r="DO1047" s="711"/>
      <c r="DP1047" s="711"/>
      <c r="DQ1047" s="711"/>
    </row>
    <row r="1048" spans="5:121" s="709" customFormat="1" ht="18" hidden="1">
      <c r="E1048" s="721"/>
      <c r="H1048" s="723">
        <v>561</v>
      </c>
      <c r="I1048" s="726"/>
      <c r="J1048" s="724"/>
      <c r="K1048" s="724"/>
      <c r="L1048" s="724"/>
      <c r="M1048" s="728"/>
      <c r="N1048" s="724"/>
      <c r="O1048" s="724"/>
      <c r="P1048" s="724"/>
      <c r="Q1048" s="724"/>
      <c r="R1048" s="724"/>
      <c r="S1048" s="724"/>
      <c r="T1048" s="724"/>
      <c r="U1048" s="724"/>
      <c r="V1048" s="724"/>
      <c r="W1048" s="724"/>
      <c r="X1048" s="724"/>
      <c r="Y1048" s="724"/>
      <c r="Z1048" s="724"/>
      <c r="AA1048" s="724"/>
      <c r="AB1048" s="724"/>
      <c r="AC1048" s="729"/>
      <c r="AD1048" s="724"/>
      <c r="AE1048" s="724"/>
      <c r="AF1048" s="724"/>
      <c r="AG1048" s="724"/>
      <c r="AH1048" s="724"/>
      <c r="AI1048" s="724"/>
      <c r="AJ1048" s="724"/>
      <c r="AU1048" s="713"/>
      <c r="AW1048" s="712"/>
      <c r="BY1048" s="714"/>
      <c r="BZ1048" s="715"/>
      <c r="CA1048" s="716"/>
      <c r="CB1048" s="717"/>
      <c r="CC1048" s="717"/>
      <c r="CD1048" s="717"/>
      <c r="CE1048" s="717"/>
      <c r="CF1048" s="717"/>
      <c r="CG1048" s="717"/>
      <c r="CH1048" s="717"/>
      <c r="CI1048" s="717"/>
      <c r="CJ1048" s="717"/>
      <c r="CK1048" s="717"/>
      <c r="CL1048" s="717"/>
      <c r="CM1048" s="717"/>
      <c r="CN1048" s="717"/>
      <c r="CO1048" s="717"/>
      <c r="CP1048" s="717"/>
      <c r="CQ1048" s="717"/>
      <c r="CR1048" s="717"/>
      <c r="CS1048" s="717"/>
      <c r="CT1048" s="717"/>
      <c r="CU1048" s="717"/>
      <c r="CV1048" s="717"/>
      <c r="CW1048" s="717"/>
      <c r="CX1048" s="717"/>
      <c r="CY1048" s="717"/>
      <c r="CZ1048" s="717"/>
      <c r="DA1048" s="717"/>
      <c r="DB1048" s="717"/>
      <c r="DC1048" s="717"/>
      <c r="DD1048" s="717"/>
      <c r="DE1048" s="717"/>
      <c r="DF1048" s="717"/>
      <c r="DG1048" s="717"/>
      <c r="DH1048" s="717"/>
      <c r="DI1048" s="717"/>
      <c r="DJ1048" s="717"/>
      <c r="DM1048" s="711"/>
      <c r="DN1048" s="711"/>
      <c r="DO1048" s="711"/>
      <c r="DP1048" s="711"/>
      <c r="DQ1048" s="711"/>
    </row>
    <row r="1049" spans="5:121" s="709" customFormat="1" ht="18" hidden="1">
      <c r="E1049" s="721"/>
      <c r="H1049" s="723">
        <v>562</v>
      </c>
      <c r="I1049" s="726"/>
      <c r="J1049" s="724"/>
      <c r="K1049" s="724"/>
      <c r="L1049" s="724"/>
      <c r="M1049" s="728"/>
      <c r="N1049" s="724"/>
      <c r="O1049" s="724"/>
      <c r="P1049" s="724"/>
      <c r="Q1049" s="724"/>
      <c r="R1049" s="724"/>
      <c r="S1049" s="724"/>
      <c r="T1049" s="724"/>
      <c r="U1049" s="724"/>
      <c r="V1049" s="724"/>
      <c r="W1049" s="724"/>
      <c r="X1049" s="724"/>
      <c r="Y1049" s="724"/>
      <c r="Z1049" s="724"/>
      <c r="AA1049" s="724"/>
      <c r="AB1049" s="724"/>
      <c r="AC1049" s="729"/>
      <c r="AD1049" s="724"/>
      <c r="AE1049" s="724"/>
      <c r="AF1049" s="724"/>
      <c r="AG1049" s="724"/>
      <c r="AH1049" s="724"/>
      <c r="AI1049" s="724"/>
      <c r="AJ1049" s="724"/>
      <c r="AU1049" s="713"/>
      <c r="AW1049" s="712"/>
      <c r="BY1049" s="714"/>
      <c r="BZ1049" s="715"/>
      <c r="CA1049" s="716"/>
      <c r="CB1049" s="717"/>
      <c r="CC1049" s="717"/>
      <c r="CD1049" s="717"/>
      <c r="CE1049" s="717"/>
      <c r="CF1049" s="717"/>
      <c r="CG1049" s="717"/>
      <c r="CH1049" s="717"/>
      <c r="CI1049" s="717"/>
      <c r="CJ1049" s="717"/>
      <c r="CK1049" s="717"/>
      <c r="CL1049" s="717"/>
      <c r="CM1049" s="717"/>
      <c r="CN1049" s="717"/>
      <c r="CO1049" s="717"/>
      <c r="CP1049" s="717"/>
      <c r="CQ1049" s="717"/>
      <c r="CR1049" s="717"/>
      <c r="CS1049" s="717"/>
      <c r="CT1049" s="717"/>
      <c r="CU1049" s="717"/>
      <c r="CV1049" s="717"/>
      <c r="CW1049" s="717"/>
      <c r="CX1049" s="717"/>
      <c r="CY1049" s="717"/>
      <c r="CZ1049" s="717"/>
      <c r="DA1049" s="717"/>
      <c r="DB1049" s="717"/>
      <c r="DC1049" s="717"/>
      <c r="DD1049" s="717"/>
      <c r="DE1049" s="717"/>
      <c r="DF1049" s="717"/>
      <c r="DG1049" s="717"/>
      <c r="DH1049" s="717"/>
      <c r="DI1049" s="717"/>
      <c r="DJ1049" s="717"/>
      <c r="DM1049" s="711"/>
      <c r="DN1049" s="711"/>
      <c r="DO1049" s="711"/>
      <c r="DP1049" s="711"/>
      <c r="DQ1049" s="711"/>
    </row>
    <row r="1050" spans="5:121" s="709" customFormat="1" ht="18" hidden="1">
      <c r="E1050" s="721"/>
      <c r="H1050" s="723">
        <v>563</v>
      </c>
      <c r="I1050" s="726"/>
      <c r="J1050" s="724"/>
      <c r="K1050" s="724"/>
      <c r="L1050" s="724"/>
      <c r="M1050" s="728"/>
      <c r="N1050" s="724"/>
      <c r="O1050" s="724"/>
      <c r="P1050" s="724"/>
      <c r="Q1050" s="724"/>
      <c r="R1050" s="724"/>
      <c r="S1050" s="724"/>
      <c r="T1050" s="724"/>
      <c r="U1050" s="724"/>
      <c r="V1050" s="724"/>
      <c r="W1050" s="724"/>
      <c r="X1050" s="724"/>
      <c r="Y1050" s="724"/>
      <c r="Z1050" s="724"/>
      <c r="AA1050" s="724"/>
      <c r="AB1050" s="724"/>
      <c r="AC1050" s="729"/>
      <c r="AD1050" s="724"/>
      <c r="AE1050" s="724"/>
      <c r="AF1050" s="724"/>
      <c r="AG1050" s="724"/>
      <c r="AH1050" s="724"/>
      <c r="AI1050" s="724"/>
      <c r="AJ1050" s="724"/>
      <c r="AU1050" s="713"/>
      <c r="AW1050" s="712"/>
      <c r="BY1050" s="714"/>
      <c r="BZ1050" s="715"/>
      <c r="CA1050" s="716"/>
      <c r="CB1050" s="717"/>
      <c r="CC1050" s="717"/>
      <c r="CD1050" s="717"/>
      <c r="CE1050" s="717"/>
      <c r="CF1050" s="717"/>
      <c r="CG1050" s="717"/>
      <c r="CH1050" s="717"/>
      <c r="CI1050" s="717"/>
      <c r="CJ1050" s="717"/>
      <c r="CK1050" s="717"/>
      <c r="CL1050" s="717"/>
      <c r="CM1050" s="717"/>
      <c r="CN1050" s="717"/>
      <c r="CO1050" s="717"/>
      <c r="CP1050" s="717"/>
      <c r="CQ1050" s="717"/>
      <c r="CR1050" s="717"/>
      <c r="CS1050" s="717"/>
      <c r="CT1050" s="717"/>
      <c r="CU1050" s="717"/>
      <c r="CV1050" s="717"/>
      <c r="CW1050" s="717"/>
      <c r="CX1050" s="717"/>
      <c r="CY1050" s="717"/>
      <c r="CZ1050" s="717"/>
      <c r="DA1050" s="717"/>
      <c r="DB1050" s="717"/>
      <c r="DC1050" s="717"/>
      <c r="DD1050" s="717"/>
      <c r="DE1050" s="717"/>
      <c r="DF1050" s="717"/>
      <c r="DG1050" s="717"/>
      <c r="DH1050" s="717"/>
      <c r="DI1050" s="717"/>
      <c r="DJ1050" s="717"/>
      <c r="DM1050" s="711"/>
      <c r="DN1050" s="711"/>
      <c r="DO1050" s="711"/>
      <c r="DP1050" s="711"/>
      <c r="DQ1050" s="711"/>
    </row>
    <row r="1051" spans="5:121" s="709" customFormat="1" ht="18" hidden="1">
      <c r="E1051" s="721"/>
      <c r="H1051" s="723">
        <v>564</v>
      </c>
      <c r="I1051" s="726"/>
      <c r="J1051" s="724"/>
      <c r="K1051" s="724"/>
      <c r="L1051" s="724"/>
      <c r="M1051" s="728"/>
      <c r="N1051" s="724"/>
      <c r="O1051" s="724"/>
      <c r="P1051" s="724"/>
      <c r="Q1051" s="724"/>
      <c r="R1051" s="724"/>
      <c r="S1051" s="724"/>
      <c r="T1051" s="724"/>
      <c r="U1051" s="724"/>
      <c r="V1051" s="724"/>
      <c r="W1051" s="724"/>
      <c r="X1051" s="724"/>
      <c r="Y1051" s="724"/>
      <c r="Z1051" s="724"/>
      <c r="AA1051" s="724"/>
      <c r="AB1051" s="724"/>
      <c r="AC1051" s="729"/>
      <c r="AD1051" s="724"/>
      <c r="AE1051" s="724"/>
      <c r="AF1051" s="724"/>
      <c r="AG1051" s="724"/>
      <c r="AH1051" s="724"/>
      <c r="AI1051" s="724"/>
      <c r="AJ1051" s="724"/>
      <c r="AU1051" s="713"/>
      <c r="AW1051" s="712"/>
      <c r="BY1051" s="714"/>
      <c r="BZ1051" s="715"/>
      <c r="CA1051" s="716"/>
      <c r="CB1051" s="717"/>
      <c r="CC1051" s="717"/>
      <c r="CD1051" s="717"/>
      <c r="CE1051" s="717"/>
      <c r="CF1051" s="717"/>
      <c r="CG1051" s="717"/>
      <c r="CH1051" s="717"/>
      <c r="CI1051" s="717"/>
      <c r="CJ1051" s="717"/>
      <c r="CK1051" s="717"/>
      <c r="CL1051" s="717"/>
      <c r="CM1051" s="717"/>
      <c r="CN1051" s="717"/>
      <c r="CO1051" s="717"/>
      <c r="CP1051" s="717"/>
      <c r="CQ1051" s="717"/>
      <c r="CR1051" s="717"/>
      <c r="CS1051" s="717"/>
      <c r="CT1051" s="717"/>
      <c r="CU1051" s="717"/>
      <c r="CV1051" s="717"/>
      <c r="CW1051" s="717"/>
      <c r="CX1051" s="717"/>
      <c r="CY1051" s="717"/>
      <c r="CZ1051" s="717"/>
      <c r="DA1051" s="717"/>
      <c r="DB1051" s="717"/>
      <c r="DC1051" s="717"/>
      <c r="DD1051" s="717"/>
      <c r="DE1051" s="717"/>
      <c r="DF1051" s="717"/>
      <c r="DG1051" s="717"/>
      <c r="DH1051" s="717"/>
      <c r="DI1051" s="717"/>
      <c r="DJ1051" s="717"/>
      <c r="DM1051" s="711"/>
      <c r="DN1051" s="711"/>
      <c r="DO1051" s="711"/>
      <c r="DP1051" s="711"/>
      <c r="DQ1051" s="711"/>
    </row>
    <row r="1052" spans="5:121" s="709" customFormat="1" ht="18" hidden="1">
      <c r="E1052" s="721"/>
      <c r="H1052" s="723">
        <v>565</v>
      </c>
      <c r="I1052" s="726"/>
      <c r="J1052" s="724"/>
      <c r="K1052" s="724"/>
      <c r="L1052" s="724"/>
      <c r="M1052" s="728"/>
      <c r="N1052" s="724"/>
      <c r="O1052" s="724"/>
      <c r="P1052" s="724"/>
      <c r="Q1052" s="724"/>
      <c r="R1052" s="724"/>
      <c r="S1052" s="724"/>
      <c r="T1052" s="724"/>
      <c r="U1052" s="724"/>
      <c r="V1052" s="724"/>
      <c r="W1052" s="724"/>
      <c r="X1052" s="724"/>
      <c r="Y1052" s="724"/>
      <c r="Z1052" s="724"/>
      <c r="AA1052" s="724"/>
      <c r="AB1052" s="724"/>
      <c r="AC1052" s="729"/>
      <c r="AD1052" s="724"/>
      <c r="AE1052" s="724"/>
      <c r="AF1052" s="724"/>
      <c r="AG1052" s="724"/>
      <c r="AH1052" s="724"/>
      <c r="AI1052" s="724"/>
      <c r="AJ1052" s="724"/>
      <c r="AU1052" s="713"/>
      <c r="AW1052" s="712"/>
      <c r="BY1052" s="714"/>
      <c r="BZ1052" s="715"/>
      <c r="CA1052" s="716"/>
      <c r="CB1052" s="717"/>
      <c r="CC1052" s="717"/>
      <c r="CD1052" s="717"/>
      <c r="CE1052" s="717"/>
      <c r="CF1052" s="717"/>
      <c r="CG1052" s="717"/>
      <c r="CH1052" s="717"/>
      <c r="CI1052" s="717"/>
      <c r="CJ1052" s="717"/>
      <c r="CK1052" s="717"/>
      <c r="CL1052" s="717"/>
      <c r="CM1052" s="717"/>
      <c r="CN1052" s="717"/>
      <c r="CO1052" s="717"/>
      <c r="CP1052" s="717"/>
      <c r="CQ1052" s="717"/>
      <c r="CR1052" s="717"/>
      <c r="CS1052" s="717"/>
      <c r="CT1052" s="717"/>
      <c r="CU1052" s="717"/>
      <c r="CV1052" s="717"/>
      <c r="CW1052" s="717"/>
      <c r="CX1052" s="717"/>
      <c r="CY1052" s="717"/>
      <c r="CZ1052" s="717"/>
      <c r="DA1052" s="717"/>
      <c r="DB1052" s="717"/>
      <c r="DC1052" s="717"/>
      <c r="DD1052" s="717"/>
      <c r="DE1052" s="717"/>
      <c r="DF1052" s="717"/>
      <c r="DG1052" s="717"/>
      <c r="DH1052" s="717"/>
      <c r="DI1052" s="717"/>
      <c r="DJ1052" s="717"/>
      <c r="DM1052" s="711"/>
      <c r="DN1052" s="711"/>
      <c r="DO1052" s="711"/>
      <c r="DP1052" s="711"/>
      <c r="DQ1052" s="711"/>
    </row>
    <row r="1053" spans="5:121" s="709" customFormat="1" ht="18" hidden="1">
      <c r="E1053" s="721"/>
      <c r="H1053" s="723">
        <v>566</v>
      </c>
      <c r="I1053" s="726"/>
      <c r="J1053" s="724"/>
      <c r="K1053" s="724"/>
      <c r="L1053" s="724"/>
      <c r="M1053" s="728"/>
      <c r="N1053" s="724"/>
      <c r="O1053" s="724"/>
      <c r="P1053" s="724"/>
      <c r="Q1053" s="724"/>
      <c r="R1053" s="724"/>
      <c r="S1053" s="724"/>
      <c r="T1053" s="724"/>
      <c r="U1053" s="724"/>
      <c r="V1053" s="724"/>
      <c r="W1053" s="724"/>
      <c r="X1053" s="724"/>
      <c r="Y1053" s="724"/>
      <c r="Z1053" s="724"/>
      <c r="AA1053" s="724"/>
      <c r="AB1053" s="724"/>
      <c r="AC1053" s="729"/>
      <c r="AD1053" s="724"/>
      <c r="AE1053" s="724"/>
      <c r="AF1053" s="724"/>
      <c r="AG1053" s="724"/>
      <c r="AH1053" s="724"/>
      <c r="AI1053" s="724"/>
      <c r="AJ1053" s="724"/>
      <c r="AU1053" s="713"/>
      <c r="AW1053" s="712"/>
      <c r="BY1053" s="714"/>
      <c r="BZ1053" s="715"/>
      <c r="CA1053" s="716"/>
      <c r="CB1053" s="717"/>
      <c r="CC1053" s="717"/>
      <c r="CD1053" s="717"/>
      <c r="CE1053" s="717"/>
      <c r="CF1053" s="717"/>
      <c r="CG1053" s="717"/>
      <c r="CH1053" s="717"/>
      <c r="CI1053" s="717"/>
      <c r="CJ1053" s="717"/>
      <c r="CK1053" s="717"/>
      <c r="CL1053" s="717"/>
      <c r="CM1053" s="717"/>
      <c r="CN1053" s="717"/>
      <c r="CO1053" s="717"/>
      <c r="CP1053" s="717"/>
      <c r="CQ1053" s="717"/>
      <c r="CR1053" s="717"/>
      <c r="CS1053" s="717"/>
      <c r="CT1053" s="717"/>
      <c r="CU1053" s="717"/>
      <c r="CV1053" s="717"/>
      <c r="CW1053" s="717"/>
      <c r="CX1053" s="717"/>
      <c r="CY1053" s="717"/>
      <c r="CZ1053" s="717"/>
      <c r="DA1053" s="717"/>
      <c r="DB1053" s="717"/>
      <c r="DC1053" s="717"/>
      <c r="DD1053" s="717"/>
      <c r="DE1053" s="717"/>
      <c r="DF1053" s="717"/>
      <c r="DG1053" s="717"/>
      <c r="DH1053" s="717"/>
      <c r="DI1053" s="717"/>
      <c r="DJ1053" s="717"/>
      <c r="DM1053" s="711"/>
      <c r="DN1053" s="711"/>
      <c r="DO1053" s="711"/>
      <c r="DP1053" s="711"/>
      <c r="DQ1053" s="711"/>
    </row>
    <row r="1054" spans="5:121" s="709" customFormat="1" ht="18" hidden="1">
      <c r="E1054" s="721"/>
      <c r="H1054" s="723">
        <v>567</v>
      </c>
      <c r="I1054" s="726"/>
      <c r="J1054" s="724"/>
      <c r="K1054" s="724"/>
      <c r="L1054" s="724"/>
      <c r="M1054" s="728"/>
      <c r="N1054" s="724"/>
      <c r="O1054" s="724"/>
      <c r="P1054" s="724"/>
      <c r="Q1054" s="724"/>
      <c r="R1054" s="724"/>
      <c r="S1054" s="724"/>
      <c r="T1054" s="724"/>
      <c r="U1054" s="724"/>
      <c r="V1054" s="724"/>
      <c r="W1054" s="724"/>
      <c r="X1054" s="724"/>
      <c r="Y1054" s="724"/>
      <c r="Z1054" s="724"/>
      <c r="AA1054" s="724"/>
      <c r="AB1054" s="724"/>
      <c r="AC1054" s="729"/>
      <c r="AD1054" s="724"/>
      <c r="AE1054" s="724"/>
      <c r="AF1054" s="724"/>
      <c r="AG1054" s="724"/>
      <c r="AH1054" s="724"/>
      <c r="AI1054" s="724"/>
      <c r="AJ1054" s="724"/>
      <c r="AU1054" s="713"/>
      <c r="AW1054" s="712"/>
      <c r="BY1054" s="714"/>
      <c r="BZ1054" s="715"/>
      <c r="CA1054" s="716"/>
      <c r="CB1054" s="717"/>
      <c r="CC1054" s="717"/>
      <c r="CD1054" s="717"/>
      <c r="CE1054" s="717"/>
      <c r="CF1054" s="717"/>
      <c r="CG1054" s="717"/>
      <c r="CH1054" s="717"/>
      <c r="CI1054" s="717"/>
      <c r="CJ1054" s="717"/>
      <c r="CK1054" s="717"/>
      <c r="CL1054" s="717"/>
      <c r="CM1054" s="717"/>
      <c r="CN1054" s="717"/>
      <c r="CO1054" s="717"/>
      <c r="CP1054" s="717"/>
      <c r="CQ1054" s="717"/>
      <c r="CR1054" s="717"/>
      <c r="CS1054" s="717"/>
      <c r="CT1054" s="717"/>
      <c r="CU1054" s="717"/>
      <c r="CV1054" s="717"/>
      <c r="CW1054" s="717"/>
      <c r="CX1054" s="717"/>
      <c r="CY1054" s="717"/>
      <c r="CZ1054" s="717"/>
      <c r="DA1054" s="717"/>
      <c r="DB1054" s="717"/>
      <c r="DC1054" s="717"/>
      <c r="DD1054" s="717"/>
      <c r="DE1054" s="717"/>
      <c r="DF1054" s="717"/>
      <c r="DG1054" s="717"/>
      <c r="DH1054" s="717"/>
      <c r="DI1054" s="717"/>
      <c r="DJ1054" s="717"/>
      <c r="DM1054" s="711"/>
      <c r="DN1054" s="711"/>
      <c r="DO1054" s="711"/>
      <c r="DP1054" s="711"/>
      <c r="DQ1054" s="711"/>
    </row>
    <row r="1055" spans="5:121" s="709" customFormat="1" ht="18" hidden="1">
      <c r="E1055" s="721"/>
      <c r="H1055" s="723">
        <v>568</v>
      </c>
      <c r="I1055" s="726"/>
      <c r="J1055" s="724"/>
      <c r="K1055" s="724"/>
      <c r="L1055" s="724"/>
      <c r="M1055" s="728"/>
      <c r="N1055" s="724"/>
      <c r="O1055" s="724"/>
      <c r="P1055" s="724"/>
      <c r="Q1055" s="724"/>
      <c r="R1055" s="724"/>
      <c r="S1055" s="724"/>
      <c r="T1055" s="724"/>
      <c r="U1055" s="724"/>
      <c r="V1055" s="724"/>
      <c r="W1055" s="724"/>
      <c r="X1055" s="724"/>
      <c r="Y1055" s="724"/>
      <c r="Z1055" s="724"/>
      <c r="AA1055" s="724"/>
      <c r="AB1055" s="724"/>
      <c r="AC1055" s="729"/>
      <c r="AD1055" s="724"/>
      <c r="AE1055" s="724"/>
      <c r="AF1055" s="724"/>
      <c r="AG1055" s="724"/>
      <c r="AH1055" s="724"/>
      <c r="AI1055" s="724"/>
      <c r="AJ1055" s="724"/>
      <c r="AU1055" s="713"/>
      <c r="AW1055" s="712"/>
      <c r="BY1055" s="714"/>
      <c r="BZ1055" s="715"/>
      <c r="CA1055" s="716"/>
      <c r="CB1055" s="717"/>
      <c r="CC1055" s="717"/>
      <c r="CD1055" s="717"/>
      <c r="CE1055" s="717"/>
      <c r="CF1055" s="717"/>
      <c r="CG1055" s="717"/>
      <c r="CH1055" s="717"/>
      <c r="CI1055" s="717"/>
      <c r="CJ1055" s="717"/>
      <c r="CK1055" s="717"/>
      <c r="CL1055" s="717"/>
      <c r="CM1055" s="717"/>
      <c r="CN1055" s="717"/>
      <c r="CO1055" s="717"/>
      <c r="CP1055" s="717"/>
      <c r="CQ1055" s="717"/>
      <c r="CR1055" s="717"/>
      <c r="CS1055" s="717"/>
      <c r="CT1055" s="717"/>
      <c r="CU1055" s="717"/>
      <c r="CV1055" s="717"/>
      <c r="CW1055" s="717"/>
      <c r="CX1055" s="717"/>
      <c r="CY1055" s="717"/>
      <c r="CZ1055" s="717"/>
      <c r="DA1055" s="717"/>
      <c r="DB1055" s="717"/>
      <c r="DC1055" s="717"/>
      <c r="DD1055" s="717"/>
      <c r="DE1055" s="717"/>
      <c r="DF1055" s="717"/>
      <c r="DG1055" s="717"/>
      <c r="DH1055" s="717"/>
      <c r="DI1055" s="717"/>
      <c r="DJ1055" s="717"/>
      <c r="DM1055" s="711"/>
      <c r="DN1055" s="711"/>
      <c r="DO1055" s="711"/>
      <c r="DP1055" s="711"/>
      <c r="DQ1055" s="711"/>
    </row>
    <row r="1056" spans="5:121" s="709" customFormat="1" ht="18" hidden="1">
      <c r="E1056" s="721"/>
      <c r="H1056" s="723">
        <v>569</v>
      </c>
      <c r="I1056" s="726"/>
      <c r="J1056" s="724"/>
      <c r="K1056" s="724"/>
      <c r="L1056" s="724"/>
      <c r="M1056" s="728"/>
      <c r="N1056" s="724"/>
      <c r="O1056" s="724"/>
      <c r="P1056" s="724"/>
      <c r="Q1056" s="724"/>
      <c r="R1056" s="724"/>
      <c r="S1056" s="724"/>
      <c r="T1056" s="724"/>
      <c r="U1056" s="724"/>
      <c r="V1056" s="724"/>
      <c r="W1056" s="724"/>
      <c r="X1056" s="724"/>
      <c r="Y1056" s="724"/>
      <c r="Z1056" s="724"/>
      <c r="AA1056" s="724"/>
      <c r="AB1056" s="724"/>
      <c r="AC1056" s="729"/>
      <c r="AD1056" s="724"/>
      <c r="AE1056" s="724"/>
      <c r="AF1056" s="724"/>
      <c r="AG1056" s="724"/>
      <c r="AH1056" s="724"/>
      <c r="AI1056" s="724"/>
      <c r="AJ1056" s="724"/>
      <c r="AU1056" s="713"/>
      <c r="AW1056" s="712"/>
      <c r="BY1056" s="714"/>
      <c r="BZ1056" s="715"/>
      <c r="CA1056" s="716"/>
      <c r="CB1056" s="717"/>
      <c r="CC1056" s="717"/>
      <c r="CD1056" s="717"/>
      <c r="CE1056" s="717"/>
      <c r="CF1056" s="717"/>
      <c r="CG1056" s="717"/>
      <c r="CH1056" s="717"/>
      <c r="CI1056" s="717"/>
      <c r="CJ1056" s="717"/>
      <c r="CK1056" s="717"/>
      <c r="CL1056" s="717"/>
      <c r="CM1056" s="717"/>
      <c r="CN1056" s="717"/>
      <c r="CO1056" s="717"/>
      <c r="CP1056" s="717"/>
      <c r="CQ1056" s="717"/>
      <c r="CR1056" s="717"/>
      <c r="CS1056" s="717"/>
      <c r="CT1056" s="717"/>
      <c r="CU1056" s="717"/>
      <c r="CV1056" s="717"/>
      <c r="CW1056" s="717"/>
      <c r="CX1056" s="717"/>
      <c r="CY1056" s="717"/>
      <c r="CZ1056" s="717"/>
      <c r="DA1056" s="717"/>
      <c r="DB1056" s="717"/>
      <c r="DC1056" s="717"/>
      <c r="DD1056" s="717"/>
      <c r="DE1056" s="717"/>
      <c r="DF1056" s="717"/>
      <c r="DG1056" s="717"/>
      <c r="DH1056" s="717"/>
      <c r="DI1056" s="717"/>
      <c r="DJ1056" s="717"/>
      <c r="DM1056" s="711"/>
      <c r="DN1056" s="711"/>
      <c r="DO1056" s="711"/>
      <c r="DP1056" s="711"/>
      <c r="DQ1056" s="711"/>
    </row>
    <row r="1057" spans="5:121" s="709" customFormat="1" ht="18" hidden="1">
      <c r="E1057" s="721"/>
      <c r="H1057" s="723">
        <v>570</v>
      </c>
      <c r="I1057" s="726"/>
      <c r="J1057" s="724"/>
      <c r="K1057" s="724"/>
      <c r="L1057" s="724"/>
      <c r="M1057" s="728"/>
      <c r="N1057" s="724"/>
      <c r="O1057" s="724"/>
      <c r="P1057" s="724"/>
      <c r="Q1057" s="724"/>
      <c r="R1057" s="724"/>
      <c r="S1057" s="724"/>
      <c r="T1057" s="724"/>
      <c r="U1057" s="724"/>
      <c r="V1057" s="724"/>
      <c r="W1057" s="724"/>
      <c r="X1057" s="724"/>
      <c r="Y1057" s="724"/>
      <c r="Z1057" s="724"/>
      <c r="AA1057" s="724"/>
      <c r="AB1057" s="724"/>
      <c r="AC1057" s="729"/>
      <c r="AD1057" s="724"/>
      <c r="AE1057" s="724"/>
      <c r="AF1057" s="724"/>
      <c r="AG1057" s="724"/>
      <c r="AH1057" s="724"/>
      <c r="AI1057" s="724"/>
      <c r="AJ1057" s="724"/>
      <c r="AU1057" s="713"/>
      <c r="AW1057" s="712"/>
      <c r="BY1057" s="714"/>
      <c r="BZ1057" s="715"/>
      <c r="CA1057" s="716"/>
      <c r="CB1057" s="717"/>
      <c r="CC1057" s="717"/>
      <c r="CD1057" s="717"/>
      <c r="CE1057" s="717"/>
      <c r="CF1057" s="717"/>
      <c r="CG1057" s="717"/>
      <c r="CH1057" s="717"/>
      <c r="CI1057" s="717"/>
      <c r="CJ1057" s="717"/>
      <c r="CK1057" s="717"/>
      <c r="CL1057" s="717"/>
      <c r="CM1057" s="717"/>
      <c r="CN1057" s="717"/>
      <c r="CO1057" s="717"/>
      <c r="CP1057" s="717"/>
      <c r="CQ1057" s="717"/>
      <c r="CR1057" s="717"/>
      <c r="CS1057" s="717"/>
      <c r="CT1057" s="717"/>
      <c r="CU1057" s="717"/>
      <c r="CV1057" s="717"/>
      <c r="CW1057" s="717"/>
      <c r="CX1057" s="717"/>
      <c r="CY1057" s="717"/>
      <c r="CZ1057" s="717"/>
      <c r="DA1057" s="717"/>
      <c r="DB1057" s="717"/>
      <c r="DC1057" s="717"/>
      <c r="DD1057" s="717"/>
      <c r="DE1057" s="717"/>
      <c r="DF1057" s="717"/>
      <c r="DG1057" s="717"/>
      <c r="DH1057" s="717"/>
      <c r="DI1057" s="717"/>
      <c r="DJ1057" s="717"/>
      <c r="DM1057" s="711"/>
      <c r="DN1057" s="711"/>
      <c r="DO1057" s="711"/>
      <c r="DP1057" s="711"/>
      <c r="DQ1057" s="711"/>
    </row>
    <row r="1058" spans="5:121" s="709" customFormat="1" ht="18" hidden="1">
      <c r="E1058" s="721"/>
      <c r="H1058" s="723">
        <v>571</v>
      </c>
      <c r="I1058" s="726"/>
      <c r="J1058" s="724"/>
      <c r="K1058" s="724"/>
      <c r="L1058" s="724"/>
      <c r="M1058" s="728"/>
      <c r="N1058" s="724"/>
      <c r="O1058" s="724"/>
      <c r="P1058" s="724"/>
      <c r="Q1058" s="724"/>
      <c r="R1058" s="724"/>
      <c r="S1058" s="724"/>
      <c r="T1058" s="724"/>
      <c r="U1058" s="724"/>
      <c r="V1058" s="724"/>
      <c r="W1058" s="724"/>
      <c r="X1058" s="724"/>
      <c r="Y1058" s="724"/>
      <c r="Z1058" s="724"/>
      <c r="AA1058" s="724"/>
      <c r="AB1058" s="724"/>
      <c r="AC1058" s="729"/>
      <c r="AD1058" s="724"/>
      <c r="AE1058" s="724"/>
      <c r="AF1058" s="724"/>
      <c r="AG1058" s="724"/>
      <c r="AH1058" s="724"/>
      <c r="AI1058" s="724"/>
      <c r="AJ1058" s="724"/>
      <c r="AU1058" s="713"/>
      <c r="AW1058" s="712"/>
      <c r="BY1058" s="714"/>
      <c r="BZ1058" s="715"/>
      <c r="CA1058" s="716"/>
      <c r="CB1058" s="717"/>
      <c r="CC1058" s="717"/>
      <c r="CD1058" s="717"/>
      <c r="CE1058" s="717"/>
      <c r="CF1058" s="717"/>
      <c r="CG1058" s="717"/>
      <c r="CH1058" s="717"/>
      <c r="CI1058" s="717"/>
      <c r="CJ1058" s="717"/>
      <c r="CK1058" s="717"/>
      <c r="CL1058" s="717"/>
      <c r="CM1058" s="717"/>
      <c r="CN1058" s="717"/>
      <c r="CO1058" s="717"/>
      <c r="CP1058" s="717"/>
      <c r="CQ1058" s="717"/>
      <c r="CR1058" s="717"/>
      <c r="CS1058" s="717"/>
      <c r="CT1058" s="717"/>
      <c r="CU1058" s="717"/>
      <c r="CV1058" s="717"/>
      <c r="CW1058" s="717"/>
      <c r="CX1058" s="717"/>
      <c r="CY1058" s="717"/>
      <c r="CZ1058" s="717"/>
      <c r="DA1058" s="717"/>
      <c r="DB1058" s="717"/>
      <c r="DC1058" s="717"/>
      <c r="DD1058" s="717"/>
      <c r="DE1058" s="717"/>
      <c r="DF1058" s="717"/>
      <c r="DG1058" s="717"/>
      <c r="DH1058" s="717"/>
      <c r="DI1058" s="717"/>
      <c r="DJ1058" s="717"/>
      <c r="DM1058" s="711"/>
      <c r="DN1058" s="711"/>
      <c r="DO1058" s="711"/>
      <c r="DP1058" s="711"/>
      <c r="DQ1058" s="711"/>
    </row>
    <row r="1059" spans="5:121" s="709" customFormat="1" ht="18" hidden="1">
      <c r="E1059" s="721"/>
      <c r="H1059" s="723">
        <v>572</v>
      </c>
      <c r="I1059" s="726"/>
      <c r="J1059" s="724"/>
      <c r="K1059" s="724"/>
      <c r="L1059" s="724"/>
      <c r="M1059" s="728"/>
      <c r="N1059" s="724"/>
      <c r="O1059" s="724"/>
      <c r="P1059" s="724"/>
      <c r="Q1059" s="724"/>
      <c r="R1059" s="724"/>
      <c r="S1059" s="724"/>
      <c r="T1059" s="724"/>
      <c r="U1059" s="724"/>
      <c r="V1059" s="724"/>
      <c r="W1059" s="724"/>
      <c r="X1059" s="724"/>
      <c r="Y1059" s="724"/>
      <c r="Z1059" s="724"/>
      <c r="AA1059" s="724"/>
      <c r="AB1059" s="724"/>
      <c r="AC1059" s="729"/>
      <c r="AD1059" s="724"/>
      <c r="AE1059" s="724"/>
      <c r="AF1059" s="724"/>
      <c r="AG1059" s="724"/>
      <c r="AH1059" s="724"/>
      <c r="AI1059" s="724"/>
      <c r="AJ1059" s="724"/>
      <c r="AU1059" s="713"/>
      <c r="AW1059" s="712"/>
      <c r="BY1059" s="714"/>
      <c r="BZ1059" s="715"/>
      <c r="CA1059" s="716"/>
      <c r="CB1059" s="717"/>
      <c r="CC1059" s="717"/>
      <c r="CD1059" s="717"/>
      <c r="CE1059" s="717"/>
      <c r="CF1059" s="717"/>
      <c r="CG1059" s="717"/>
      <c r="CH1059" s="717"/>
      <c r="CI1059" s="717"/>
      <c r="CJ1059" s="717"/>
      <c r="CK1059" s="717"/>
      <c r="CL1059" s="717"/>
      <c r="CM1059" s="717"/>
      <c r="CN1059" s="717"/>
      <c r="CO1059" s="717"/>
      <c r="CP1059" s="717"/>
      <c r="CQ1059" s="717"/>
      <c r="CR1059" s="717"/>
      <c r="CS1059" s="717"/>
      <c r="CT1059" s="717"/>
      <c r="CU1059" s="717"/>
      <c r="CV1059" s="717"/>
      <c r="CW1059" s="717"/>
      <c r="CX1059" s="717"/>
      <c r="CY1059" s="717"/>
      <c r="CZ1059" s="717"/>
      <c r="DA1059" s="717"/>
      <c r="DB1059" s="717"/>
      <c r="DC1059" s="717"/>
      <c r="DD1059" s="717"/>
      <c r="DE1059" s="717"/>
      <c r="DF1059" s="717"/>
      <c r="DG1059" s="717"/>
      <c r="DH1059" s="717"/>
      <c r="DI1059" s="717"/>
      <c r="DJ1059" s="717"/>
      <c r="DM1059" s="711"/>
      <c r="DN1059" s="711"/>
      <c r="DO1059" s="711"/>
      <c r="DP1059" s="711"/>
      <c r="DQ1059" s="711"/>
    </row>
    <row r="1060" spans="5:121" s="709" customFormat="1" ht="18" hidden="1">
      <c r="E1060" s="721"/>
      <c r="H1060" s="723">
        <v>573</v>
      </c>
      <c r="I1060" s="726"/>
      <c r="J1060" s="724"/>
      <c r="K1060" s="724"/>
      <c r="L1060" s="724"/>
      <c r="M1060" s="728"/>
      <c r="N1060" s="724"/>
      <c r="O1060" s="724"/>
      <c r="P1060" s="724"/>
      <c r="Q1060" s="724"/>
      <c r="R1060" s="724"/>
      <c r="S1060" s="724"/>
      <c r="T1060" s="724"/>
      <c r="U1060" s="724"/>
      <c r="V1060" s="724"/>
      <c r="W1060" s="724"/>
      <c r="X1060" s="724"/>
      <c r="Y1060" s="724"/>
      <c r="Z1060" s="724"/>
      <c r="AA1060" s="724"/>
      <c r="AB1060" s="724"/>
      <c r="AC1060" s="729"/>
      <c r="AD1060" s="724"/>
      <c r="AE1060" s="724"/>
      <c r="AF1060" s="724"/>
      <c r="AG1060" s="724"/>
      <c r="AH1060" s="724"/>
      <c r="AI1060" s="724"/>
      <c r="AJ1060" s="724"/>
      <c r="AU1060" s="713"/>
      <c r="AW1060" s="712"/>
      <c r="BY1060" s="714"/>
      <c r="BZ1060" s="715"/>
      <c r="CA1060" s="716"/>
      <c r="CB1060" s="717"/>
      <c r="CC1060" s="717"/>
      <c r="CD1060" s="717"/>
      <c r="CE1060" s="717"/>
      <c r="CF1060" s="717"/>
      <c r="CG1060" s="717"/>
      <c r="CH1060" s="717"/>
      <c r="CI1060" s="717"/>
      <c r="CJ1060" s="717"/>
      <c r="CK1060" s="717"/>
      <c r="CL1060" s="717"/>
      <c r="CM1060" s="717"/>
      <c r="CN1060" s="717"/>
      <c r="CO1060" s="717"/>
      <c r="CP1060" s="717"/>
      <c r="CQ1060" s="717"/>
      <c r="CR1060" s="717"/>
      <c r="CS1060" s="717"/>
      <c r="CT1060" s="717"/>
      <c r="CU1060" s="717"/>
      <c r="CV1060" s="717"/>
      <c r="CW1060" s="717"/>
      <c r="CX1060" s="717"/>
      <c r="CY1060" s="717"/>
      <c r="CZ1060" s="717"/>
      <c r="DA1060" s="717"/>
      <c r="DB1060" s="717"/>
      <c r="DC1060" s="717"/>
      <c r="DD1060" s="717"/>
      <c r="DE1060" s="717"/>
      <c r="DF1060" s="717"/>
      <c r="DG1060" s="717"/>
      <c r="DH1060" s="717"/>
      <c r="DI1060" s="717"/>
      <c r="DJ1060" s="717"/>
      <c r="DM1060" s="711"/>
      <c r="DN1060" s="711"/>
      <c r="DO1060" s="711"/>
      <c r="DP1060" s="711"/>
      <c r="DQ1060" s="711"/>
    </row>
    <row r="1061" spans="5:121" s="709" customFormat="1" ht="18" hidden="1">
      <c r="E1061" s="721"/>
      <c r="H1061" s="723">
        <v>575</v>
      </c>
      <c r="I1061" s="726"/>
      <c r="J1061" s="724"/>
      <c r="K1061" s="724"/>
      <c r="L1061" s="724"/>
      <c r="M1061" s="728"/>
      <c r="N1061" s="724"/>
      <c r="O1061" s="724"/>
      <c r="P1061" s="724"/>
      <c r="Q1061" s="724"/>
      <c r="R1061" s="724"/>
      <c r="S1061" s="724"/>
      <c r="T1061" s="724"/>
      <c r="U1061" s="724"/>
      <c r="V1061" s="724"/>
      <c r="W1061" s="724"/>
      <c r="X1061" s="724"/>
      <c r="Y1061" s="724"/>
      <c r="Z1061" s="724"/>
      <c r="AA1061" s="724"/>
      <c r="AB1061" s="724"/>
      <c r="AC1061" s="729"/>
      <c r="AD1061" s="724"/>
      <c r="AE1061" s="724"/>
      <c r="AF1061" s="724"/>
      <c r="AG1061" s="724"/>
      <c r="AH1061" s="724"/>
      <c r="AI1061" s="724"/>
      <c r="AJ1061" s="724"/>
      <c r="AU1061" s="713"/>
      <c r="AW1061" s="712"/>
      <c r="BY1061" s="714"/>
      <c r="BZ1061" s="715"/>
      <c r="CA1061" s="716"/>
      <c r="CB1061" s="717"/>
      <c r="CC1061" s="717"/>
      <c r="CD1061" s="717"/>
      <c r="CE1061" s="717"/>
      <c r="CF1061" s="717"/>
      <c r="CG1061" s="717"/>
      <c r="CH1061" s="717"/>
      <c r="CI1061" s="717"/>
      <c r="CJ1061" s="717"/>
      <c r="CK1061" s="717"/>
      <c r="CL1061" s="717"/>
      <c r="CM1061" s="717"/>
      <c r="CN1061" s="717"/>
      <c r="CO1061" s="717"/>
      <c r="CP1061" s="717"/>
      <c r="CQ1061" s="717"/>
      <c r="CR1061" s="717"/>
      <c r="CS1061" s="717"/>
      <c r="CT1061" s="717"/>
      <c r="CU1061" s="717"/>
      <c r="CV1061" s="717"/>
      <c r="CW1061" s="717"/>
      <c r="CX1061" s="717"/>
      <c r="CY1061" s="717"/>
      <c r="CZ1061" s="717"/>
      <c r="DA1061" s="717"/>
      <c r="DB1061" s="717"/>
      <c r="DC1061" s="717"/>
      <c r="DD1061" s="717"/>
      <c r="DE1061" s="717"/>
      <c r="DF1061" s="717"/>
      <c r="DG1061" s="717"/>
      <c r="DH1061" s="717"/>
      <c r="DI1061" s="717"/>
      <c r="DJ1061" s="717"/>
      <c r="DM1061" s="711"/>
      <c r="DN1061" s="711"/>
      <c r="DO1061" s="711"/>
      <c r="DP1061" s="711"/>
      <c r="DQ1061" s="711"/>
    </row>
    <row r="1062" spans="5:121" s="709" customFormat="1" ht="18" hidden="1">
      <c r="E1062" s="721"/>
      <c r="H1062" s="723">
        <v>576</v>
      </c>
      <c r="I1062" s="726"/>
      <c r="J1062" s="724"/>
      <c r="K1062" s="724"/>
      <c r="L1062" s="724"/>
      <c r="M1062" s="728"/>
      <c r="N1062" s="724"/>
      <c r="O1062" s="724"/>
      <c r="P1062" s="724"/>
      <c r="Q1062" s="724"/>
      <c r="R1062" s="724"/>
      <c r="S1062" s="724"/>
      <c r="T1062" s="724"/>
      <c r="U1062" s="724"/>
      <c r="V1062" s="724"/>
      <c r="W1062" s="724"/>
      <c r="X1062" s="724"/>
      <c r="Y1062" s="724"/>
      <c r="Z1062" s="724"/>
      <c r="AA1062" s="724"/>
      <c r="AB1062" s="724"/>
      <c r="AC1062" s="729"/>
      <c r="AD1062" s="724"/>
      <c r="AE1062" s="724"/>
      <c r="AF1062" s="724"/>
      <c r="AG1062" s="724"/>
      <c r="AH1062" s="724"/>
      <c r="AI1062" s="724"/>
      <c r="AJ1062" s="724"/>
      <c r="AU1062" s="713"/>
      <c r="AW1062" s="712"/>
      <c r="BY1062" s="714"/>
      <c r="BZ1062" s="715"/>
      <c r="CA1062" s="716"/>
      <c r="CB1062" s="717"/>
      <c r="CC1062" s="717"/>
      <c r="CD1062" s="717"/>
      <c r="CE1062" s="717"/>
      <c r="CF1062" s="717"/>
      <c r="CG1062" s="717"/>
      <c r="CH1062" s="717"/>
      <c r="CI1062" s="717"/>
      <c r="CJ1062" s="717"/>
      <c r="CK1062" s="717"/>
      <c r="CL1062" s="717"/>
      <c r="CM1062" s="717"/>
      <c r="CN1062" s="717"/>
      <c r="CO1062" s="717"/>
      <c r="CP1062" s="717"/>
      <c r="CQ1062" s="717"/>
      <c r="CR1062" s="717"/>
      <c r="CS1062" s="717"/>
      <c r="CT1062" s="717"/>
      <c r="CU1062" s="717"/>
      <c r="CV1062" s="717"/>
      <c r="CW1062" s="717"/>
      <c r="CX1062" s="717"/>
      <c r="CY1062" s="717"/>
      <c r="CZ1062" s="717"/>
      <c r="DA1062" s="717"/>
      <c r="DB1062" s="717"/>
      <c r="DC1062" s="717"/>
      <c r="DD1062" s="717"/>
      <c r="DE1062" s="717"/>
      <c r="DF1062" s="717"/>
      <c r="DG1062" s="717"/>
      <c r="DH1062" s="717"/>
      <c r="DI1062" s="717"/>
      <c r="DJ1062" s="717"/>
      <c r="DM1062" s="711"/>
      <c r="DN1062" s="711"/>
      <c r="DO1062" s="711"/>
      <c r="DP1062" s="711"/>
      <c r="DQ1062" s="711"/>
    </row>
    <row r="1063" spans="5:121" s="709" customFormat="1" ht="18" hidden="1">
      <c r="E1063" s="721"/>
      <c r="H1063" s="723">
        <v>577</v>
      </c>
      <c r="I1063" s="726"/>
      <c r="J1063" s="724"/>
      <c r="K1063" s="724"/>
      <c r="L1063" s="724"/>
      <c r="M1063" s="728"/>
      <c r="N1063" s="724"/>
      <c r="O1063" s="724"/>
      <c r="P1063" s="724"/>
      <c r="Q1063" s="724"/>
      <c r="R1063" s="724"/>
      <c r="S1063" s="724"/>
      <c r="T1063" s="724"/>
      <c r="U1063" s="724"/>
      <c r="V1063" s="724"/>
      <c r="W1063" s="724"/>
      <c r="X1063" s="724"/>
      <c r="Y1063" s="724"/>
      <c r="Z1063" s="724"/>
      <c r="AA1063" s="724"/>
      <c r="AB1063" s="724"/>
      <c r="AC1063" s="729"/>
      <c r="AD1063" s="724"/>
      <c r="AE1063" s="724"/>
      <c r="AF1063" s="724"/>
      <c r="AG1063" s="724"/>
      <c r="AH1063" s="724"/>
      <c r="AI1063" s="724"/>
      <c r="AJ1063" s="724"/>
      <c r="AU1063" s="713"/>
      <c r="AW1063" s="712"/>
      <c r="BY1063" s="714"/>
      <c r="BZ1063" s="715"/>
      <c r="CA1063" s="716"/>
      <c r="CB1063" s="717"/>
      <c r="CC1063" s="717"/>
      <c r="CD1063" s="717"/>
      <c r="CE1063" s="717"/>
      <c r="CF1063" s="717"/>
      <c r="CG1063" s="717"/>
      <c r="CH1063" s="717"/>
      <c r="CI1063" s="717"/>
      <c r="CJ1063" s="717"/>
      <c r="CK1063" s="717"/>
      <c r="CL1063" s="717"/>
      <c r="CM1063" s="717"/>
      <c r="CN1063" s="717"/>
      <c r="CO1063" s="717"/>
      <c r="CP1063" s="717"/>
      <c r="CQ1063" s="717"/>
      <c r="CR1063" s="717"/>
      <c r="CS1063" s="717"/>
      <c r="CT1063" s="717"/>
      <c r="CU1063" s="717"/>
      <c r="CV1063" s="717"/>
      <c r="CW1063" s="717"/>
      <c r="CX1063" s="717"/>
      <c r="CY1063" s="717"/>
      <c r="CZ1063" s="717"/>
      <c r="DA1063" s="717"/>
      <c r="DB1063" s="717"/>
      <c r="DC1063" s="717"/>
      <c r="DD1063" s="717"/>
      <c r="DE1063" s="717"/>
      <c r="DF1063" s="717"/>
      <c r="DG1063" s="717"/>
      <c r="DH1063" s="717"/>
      <c r="DI1063" s="717"/>
      <c r="DJ1063" s="717"/>
      <c r="DM1063" s="711"/>
      <c r="DN1063" s="711"/>
      <c r="DO1063" s="711"/>
      <c r="DP1063" s="711"/>
      <c r="DQ1063" s="711"/>
    </row>
    <row r="1064" spans="5:121" s="709" customFormat="1" ht="18" hidden="1">
      <c r="E1064" s="721"/>
      <c r="H1064" s="723">
        <v>578</v>
      </c>
      <c r="I1064" s="726"/>
      <c r="J1064" s="724"/>
      <c r="K1064" s="724"/>
      <c r="L1064" s="724"/>
      <c r="M1064" s="728"/>
      <c r="N1064" s="724"/>
      <c r="O1064" s="724"/>
      <c r="P1064" s="724"/>
      <c r="Q1064" s="724"/>
      <c r="R1064" s="724"/>
      <c r="S1064" s="724"/>
      <c r="T1064" s="724"/>
      <c r="U1064" s="724"/>
      <c r="V1064" s="724"/>
      <c r="W1064" s="724"/>
      <c r="X1064" s="724"/>
      <c r="Y1064" s="724"/>
      <c r="Z1064" s="724"/>
      <c r="AA1064" s="724"/>
      <c r="AB1064" s="724"/>
      <c r="AC1064" s="729"/>
      <c r="AD1064" s="724"/>
      <c r="AE1064" s="724"/>
      <c r="AF1064" s="724"/>
      <c r="AG1064" s="724"/>
      <c r="AH1064" s="724"/>
      <c r="AI1064" s="724"/>
      <c r="AJ1064" s="724"/>
      <c r="AU1064" s="713"/>
      <c r="AW1064" s="712"/>
      <c r="BY1064" s="714"/>
      <c r="BZ1064" s="715"/>
      <c r="CA1064" s="716"/>
      <c r="CB1064" s="717"/>
      <c r="CC1064" s="717"/>
      <c r="CD1064" s="717"/>
      <c r="CE1064" s="717"/>
      <c r="CF1064" s="717"/>
      <c r="CG1064" s="717"/>
      <c r="CH1064" s="717"/>
      <c r="CI1064" s="717"/>
      <c r="CJ1064" s="717"/>
      <c r="CK1064" s="717"/>
      <c r="CL1064" s="717"/>
      <c r="CM1064" s="717"/>
      <c r="CN1064" s="717"/>
      <c r="CO1064" s="717"/>
      <c r="CP1064" s="717"/>
      <c r="CQ1064" s="717"/>
      <c r="CR1064" s="717"/>
      <c r="CS1064" s="717"/>
      <c r="CT1064" s="717"/>
      <c r="CU1064" s="717"/>
      <c r="CV1064" s="717"/>
      <c r="CW1064" s="717"/>
      <c r="CX1064" s="717"/>
      <c r="CY1064" s="717"/>
      <c r="CZ1064" s="717"/>
      <c r="DA1064" s="717"/>
      <c r="DB1064" s="717"/>
      <c r="DC1064" s="717"/>
      <c r="DD1064" s="717"/>
      <c r="DE1064" s="717"/>
      <c r="DF1064" s="717"/>
      <c r="DG1064" s="717"/>
      <c r="DH1064" s="717"/>
      <c r="DI1064" s="717"/>
      <c r="DJ1064" s="717"/>
      <c r="DM1064" s="711"/>
      <c r="DN1064" s="711"/>
      <c r="DO1064" s="711"/>
      <c r="DP1064" s="711"/>
      <c r="DQ1064" s="711"/>
    </row>
    <row r="1065" spans="5:121" s="709" customFormat="1" ht="18" hidden="1">
      <c r="E1065" s="721"/>
      <c r="H1065" s="723">
        <v>579</v>
      </c>
      <c r="I1065" s="726"/>
      <c r="J1065" s="724"/>
      <c r="K1065" s="724"/>
      <c r="L1065" s="724"/>
      <c r="M1065" s="728"/>
      <c r="N1065" s="724"/>
      <c r="O1065" s="724"/>
      <c r="P1065" s="724"/>
      <c r="Q1065" s="724"/>
      <c r="R1065" s="724"/>
      <c r="S1065" s="724"/>
      <c r="T1065" s="724"/>
      <c r="U1065" s="724"/>
      <c r="V1065" s="724"/>
      <c r="W1065" s="724"/>
      <c r="X1065" s="724"/>
      <c r="Y1065" s="724"/>
      <c r="Z1065" s="724"/>
      <c r="AA1065" s="724"/>
      <c r="AB1065" s="724"/>
      <c r="AC1065" s="729"/>
      <c r="AD1065" s="724"/>
      <c r="AE1065" s="724"/>
      <c r="AF1065" s="724"/>
      <c r="AG1065" s="724"/>
      <c r="AH1065" s="724"/>
      <c r="AI1065" s="724"/>
      <c r="AJ1065" s="724"/>
      <c r="AU1065" s="713"/>
      <c r="AW1065" s="712"/>
      <c r="BY1065" s="714"/>
      <c r="BZ1065" s="715"/>
      <c r="CA1065" s="716"/>
      <c r="CB1065" s="717"/>
      <c r="CC1065" s="717"/>
      <c r="CD1065" s="717"/>
      <c r="CE1065" s="717"/>
      <c r="CF1065" s="717"/>
      <c r="CG1065" s="717"/>
      <c r="CH1065" s="717"/>
      <c r="CI1065" s="717"/>
      <c r="CJ1065" s="717"/>
      <c r="CK1065" s="717"/>
      <c r="CL1065" s="717"/>
      <c r="CM1065" s="717"/>
      <c r="CN1065" s="717"/>
      <c r="CO1065" s="717"/>
      <c r="CP1065" s="717"/>
      <c r="CQ1065" s="717"/>
      <c r="CR1065" s="717"/>
      <c r="CS1065" s="717"/>
      <c r="CT1065" s="717"/>
      <c r="CU1065" s="717"/>
      <c r="CV1065" s="717"/>
      <c r="CW1065" s="717"/>
      <c r="CX1065" s="717"/>
      <c r="CY1065" s="717"/>
      <c r="CZ1065" s="717"/>
      <c r="DA1065" s="717"/>
      <c r="DB1065" s="717"/>
      <c r="DC1065" s="717"/>
      <c r="DD1065" s="717"/>
      <c r="DE1065" s="717"/>
      <c r="DF1065" s="717"/>
      <c r="DG1065" s="717"/>
      <c r="DH1065" s="717"/>
      <c r="DI1065" s="717"/>
      <c r="DJ1065" s="717"/>
      <c r="DM1065" s="711"/>
      <c r="DN1065" s="711"/>
      <c r="DO1065" s="711"/>
      <c r="DP1065" s="711"/>
      <c r="DQ1065" s="711"/>
    </row>
    <row r="1066" spans="5:121" s="709" customFormat="1" ht="18" hidden="1">
      <c r="E1066" s="721"/>
      <c r="H1066" s="723">
        <v>580</v>
      </c>
      <c r="I1066" s="726"/>
      <c r="J1066" s="724"/>
      <c r="K1066" s="724"/>
      <c r="L1066" s="724"/>
      <c r="M1066" s="728"/>
      <c r="N1066" s="724"/>
      <c r="O1066" s="724"/>
      <c r="P1066" s="724"/>
      <c r="Q1066" s="724"/>
      <c r="R1066" s="724"/>
      <c r="S1066" s="724"/>
      <c r="T1066" s="724"/>
      <c r="U1066" s="724"/>
      <c r="V1066" s="724"/>
      <c r="W1066" s="724"/>
      <c r="X1066" s="724"/>
      <c r="Y1066" s="724"/>
      <c r="Z1066" s="724"/>
      <c r="AA1066" s="724"/>
      <c r="AB1066" s="724"/>
      <c r="AC1066" s="729"/>
      <c r="AD1066" s="724"/>
      <c r="AE1066" s="724"/>
      <c r="AF1066" s="724"/>
      <c r="AG1066" s="724"/>
      <c r="AH1066" s="724"/>
      <c r="AI1066" s="724"/>
      <c r="AJ1066" s="724"/>
      <c r="AU1066" s="713"/>
      <c r="AW1066" s="712"/>
      <c r="BY1066" s="714"/>
      <c r="BZ1066" s="715"/>
      <c r="CA1066" s="716"/>
      <c r="CB1066" s="717"/>
      <c r="CC1066" s="717"/>
      <c r="CD1066" s="717"/>
      <c r="CE1066" s="717"/>
      <c r="CF1066" s="717"/>
      <c r="CG1066" s="717"/>
      <c r="CH1066" s="717"/>
      <c r="CI1066" s="717"/>
      <c r="CJ1066" s="717"/>
      <c r="CK1066" s="717"/>
      <c r="CL1066" s="717"/>
      <c r="CM1066" s="717"/>
      <c r="CN1066" s="717"/>
      <c r="CO1066" s="717"/>
      <c r="CP1066" s="717"/>
      <c r="CQ1066" s="717"/>
      <c r="CR1066" s="717"/>
      <c r="CS1066" s="717"/>
      <c r="CT1066" s="717"/>
      <c r="CU1066" s="717"/>
      <c r="CV1066" s="717"/>
      <c r="CW1066" s="717"/>
      <c r="CX1066" s="717"/>
      <c r="CY1066" s="717"/>
      <c r="CZ1066" s="717"/>
      <c r="DA1066" s="717"/>
      <c r="DB1066" s="717"/>
      <c r="DC1066" s="717"/>
      <c r="DD1066" s="717"/>
      <c r="DE1066" s="717"/>
      <c r="DF1066" s="717"/>
      <c r="DG1066" s="717"/>
      <c r="DH1066" s="717"/>
      <c r="DI1066" s="717"/>
      <c r="DJ1066" s="717"/>
      <c r="DM1066" s="711"/>
      <c r="DN1066" s="711"/>
      <c r="DO1066" s="711"/>
      <c r="DP1066" s="711"/>
      <c r="DQ1066" s="711"/>
    </row>
    <row r="1067" spans="5:121" s="709" customFormat="1" ht="18" hidden="1">
      <c r="E1067" s="721"/>
      <c r="H1067" s="723">
        <v>581</v>
      </c>
      <c r="I1067" s="726"/>
      <c r="J1067" s="724"/>
      <c r="K1067" s="724"/>
      <c r="L1067" s="724"/>
      <c r="M1067" s="728"/>
      <c r="N1067" s="724"/>
      <c r="O1067" s="724"/>
      <c r="P1067" s="724"/>
      <c r="Q1067" s="724"/>
      <c r="R1067" s="724"/>
      <c r="S1067" s="724"/>
      <c r="T1067" s="724"/>
      <c r="U1067" s="724"/>
      <c r="V1067" s="724"/>
      <c r="W1067" s="724"/>
      <c r="X1067" s="724"/>
      <c r="Y1067" s="724"/>
      <c r="Z1067" s="724"/>
      <c r="AA1067" s="724"/>
      <c r="AB1067" s="724"/>
      <c r="AC1067" s="729"/>
      <c r="AD1067" s="724"/>
      <c r="AE1067" s="724"/>
      <c r="AF1067" s="724"/>
      <c r="AG1067" s="724"/>
      <c r="AH1067" s="724"/>
      <c r="AI1067" s="724"/>
      <c r="AJ1067" s="724"/>
      <c r="AU1067" s="713"/>
      <c r="AW1067" s="712"/>
      <c r="BY1067" s="714"/>
      <c r="BZ1067" s="715"/>
      <c r="CA1067" s="716"/>
      <c r="CB1067" s="717"/>
      <c r="CC1067" s="717"/>
      <c r="CD1067" s="717"/>
      <c r="CE1067" s="717"/>
      <c r="CF1067" s="717"/>
      <c r="CG1067" s="717"/>
      <c r="CH1067" s="717"/>
      <c r="CI1067" s="717"/>
      <c r="CJ1067" s="717"/>
      <c r="CK1067" s="717"/>
      <c r="CL1067" s="717"/>
      <c r="CM1067" s="717"/>
      <c r="CN1067" s="717"/>
      <c r="CO1067" s="717"/>
      <c r="CP1067" s="717"/>
      <c r="CQ1067" s="717"/>
      <c r="CR1067" s="717"/>
      <c r="CS1067" s="717"/>
      <c r="CT1067" s="717"/>
      <c r="CU1067" s="717"/>
      <c r="CV1067" s="717"/>
      <c r="CW1067" s="717"/>
      <c r="CX1067" s="717"/>
      <c r="CY1067" s="717"/>
      <c r="CZ1067" s="717"/>
      <c r="DA1067" s="717"/>
      <c r="DB1067" s="717"/>
      <c r="DC1067" s="717"/>
      <c r="DD1067" s="717"/>
      <c r="DE1067" s="717"/>
      <c r="DF1067" s="717"/>
      <c r="DG1067" s="717"/>
      <c r="DH1067" s="717"/>
      <c r="DI1067" s="717"/>
      <c r="DJ1067" s="717"/>
      <c r="DM1067" s="711"/>
      <c r="DN1067" s="711"/>
      <c r="DO1067" s="711"/>
      <c r="DP1067" s="711"/>
      <c r="DQ1067" s="711"/>
    </row>
    <row r="1068" spans="5:121" s="709" customFormat="1" ht="18" hidden="1">
      <c r="E1068" s="721"/>
      <c r="H1068" s="723">
        <v>582</v>
      </c>
      <c r="I1068" s="726"/>
      <c r="J1068" s="724"/>
      <c r="K1068" s="724"/>
      <c r="L1068" s="724"/>
      <c r="M1068" s="728"/>
      <c r="N1068" s="724"/>
      <c r="O1068" s="724"/>
      <c r="P1068" s="724"/>
      <c r="Q1068" s="724"/>
      <c r="R1068" s="724"/>
      <c r="S1068" s="724"/>
      <c r="T1068" s="724"/>
      <c r="U1068" s="724"/>
      <c r="V1068" s="724"/>
      <c r="W1068" s="724"/>
      <c r="X1068" s="724"/>
      <c r="Y1068" s="724"/>
      <c r="Z1068" s="724"/>
      <c r="AA1068" s="724"/>
      <c r="AB1068" s="724"/>
      <c r="AC1068" s="729"/>
      <c r="AD1068" s="724"/>
      <c r="AE1068" s="724"/>
      <c r="AF1068" s="724"/>
      <c r="AG1068" s="724"/>
      <c r="AH1068" s="724"/>
      <c r="AI1068" s="724"/>
      <c r="AJ1068" s="724"/>
      <c r="AU1068" s="713"/>
      <c r="AW1068" s="712"/>
      <c r="BY1068" s="714"/>
      <c r="BZ1068" s="715"/>
      <c r="CA1068" s="716"/>
      <c r="CB1068" s="717"/>
      <c r="CC1068" s="717"/>
      <c r="CD1068" s="717"/>
      <c r="CE1068" s="717"/>
      <c r="CF1068" s="717"/>
      <c r="CG1068" s="717"/>
      <c r="CH1068" s="717"/>
      <c r="CI1068" s="717"/>
      <c r="CJ1068" s="717"/>
      <c r="CK1068" s="717"/>
      <c r="CL1068" s="717"/>
      <c r="CM1068" s="717"/>
      <c r="CN1068" s="717"/>
      <c r="CO1068" s="717"/>
      <c r="CP1068" s="717"/>
      <c r="CQ1068" s="717"/>
      <c r="CR1068" s="717"/>
      <c r="CS1068" s="717"/>
      <c r="CT1068" s="717"/>
      <c r="CU1068" s="717"/>
      <c r="CV1068" s="717"/>
      <c r="CW1068" s="717"/>
      <c r="CX1068" s="717"/>
      <c r="CY1068" s="717"/>
      <c r="CZ1068" s="717"/>
      <c r="DA1068" s="717"/>
      <c r="DB1068" s="717"/>
      <c r="DC1068" s="717"/>
      <c r="DD1068" s="717"/>
      <c r="DE1068" s="717"/>
      <c r="DF1068" s="717"/>
      <c r="DG1068" s="717"/>
      <c r="DH1068" s="717"/>
      <c r="DI1068" s="717"/>
      <c r="DJ1068" s="717"/>
      <c r="DM1068" s="711"/>
      <c r="DN1068" s="711"/>
      <c r="DO1068" s="711"/>
      <c r="DP1068" s="711"/>
      <c r="DQ1068" s="711"/>
    </row>
    <row r="1069" spans="5:121" s="709" customFormat="1" ht="18" hidden="1">
      <c r="E1069" s="721"/>
      <c r="H1069" s="723">
        <v>583</v>
      </c>
      <c r="I1069" s="726"/>
      <c r="J1069" s="724"/>
      <c r="K1069" s="724"/>
      <c r="L1069" s="724"/>
      <c r="M1069" s="728"/>
      <c r="N1069" s="724"/>
      <c r="O1069" s="724"/>
      <c r="P1069" s="724"/>
      <c r="Q1069" s="724"/>
      <c r="R1069" s="724"/>
      <c r="S1069" s="724"/>
      <c r="T1069" s="724"/>
      <c r="U1069" s="724"/>
      <c r="V1069" s="724"/>
      <c r="W1069" s="724"/>
      <c r="X1069" s="724"/>
      <c r="Y1069" s="724"/>
      <c r="Z1069" s="724"/>
      <c r="AA1069" s="724"/>
      <c r="AB1069" s="724"/>
      <c r="AC1069" s="729"/>
      <c r="AD1069" s="724"/>
      <c r="AE1069" s="724"/>
      <c r="AF1069" s="724"/>
      <c r="AG1069" s="724"/>
      <c r="AH1069" s="724"/>
      <c r="AI1069" s="724"/>
      <c r="AJ1069" s="724"/>
      <c r="AU1069" s="713"/>
      <c r="AW1069" s="712"/>
      <c r="BY1069" s="714"/>
      <c r="BZ1069" s="715"/>
      <c r="CA1069" s="716"/>
      <c r="CB1069" s="717"/>
      <c r="CC1069" s="717"/>
      <c r="CD1069" s="717"/>
      <c r="CE1069" s="717"/>
      <c r="CF1069" s="717"/>
      <c r="CG1069" s="717"/>
      <c r="CH1069" s="717"/>
      <c r="CI1069" s="717"/>
      <c r="CJ1069" s="717"/>
      <c r="CK1069" s="717"/>
      <c r="CL1069" s="717"/>
      <c r="CM1069" s="717"/>
      <c r="CN1069" s="717"/>
      <c r="CO1069" s="717"/>
      <c r="CP1069" s="717"/>
      <c r="CQ1069" s="717"/>
      <c r="CR1069" s="717"/>
      <c r="CS1069" s="717"/>
      <c r="CT1069" s="717"/>
      <c r="CU1069" s="717"/>
      <c r="CV1069" s="717"/>
      <c r="CW1069" s="717"/>
      <c r="CX1069" s="717"/>
      <c r="CY1069" s="717"/>
      <c r="CZ1069" s="717"/>
      <c r="DA1069" s="717"/>
      <c r="DB1069" s="717"/>
      <c r="DC1069" s="717"/>
      <c r="DD1069" s="717"/>
      <c r="DE1069" s="717"/>
      <c r="DF1069" s="717"/>
      <c r="DG1069" s="717"/>
      <c r="DH1069" s="717"/>
      <c r="DI1069" s="717"/>
      <c r="DJ1069" s="717"/>
      <c r="DM1069" s="711"/>
      <c r="DN1069" s="711"/>
      <c r="DO1069" s="711"/>
      <c r="DP1069" s="711"/>
      <c r="DQ1069" s="711"/>
    </row>
    <row r="1070" spans="5:121" s="709" customFormat="1" ht="18" hidden="1">
      <c r="E1070" s="721"/>
      <c r="H1070" s="723">
        <v>584</v>
      </c>
      <c r="I1070" s="726"/>
      <c r="J1070" s="724"/>
      <c r="K1070" s="724"/>
      <c r="L1070" s="724"/>
      <c r="M1070" s="728"/>
      <c r="N1070" s="724"/>
      <c r="O1070" s="724"/>
      <c r="P1070" s="724"/>
      <c r="Q1070" s="724"/>
      <c r="R1070" s="724"/>
      <c r="S1070" s="724"/>
      <c r="T1070" s="724"/>
      <c r="U1070" s="724"/>
      <c r="V1070" s="724"/>
      <c r="W1070" s="724"/>
      <c r="X1070" s="724"/>
      <c r="Y1070" s="724"/>
      <c r="Z1070" s="724"/>
      <c r="AA1070" s="724"/>
      <c r="AB1070" s="724"/>
      <c r="AC1070" s="729"/>
      <c r="AD1070" s="724"/>
      <c r="AE1070" s="724"/>
      <c r="AF1070" s="724"/>
      <c r="AG1070" s="724"/>
      <c r="AH1070" s="724"/>
      <c r="AI1070" s="724"/>
      <c r="AJ1070" s="724"/>
      <c r="AU1070" s="713"/>
      <c r="AW1070" s="712"/>
      <c r="BY1070" s="714"/>
      <c r="BZ1070" s="715"/>
      <c r="CA1070" s="716"/>
      <c r="CB1070" s="717"/>
      <c r="CC1070" s="717"/>
      <c r="CD1070" s="717"/>
      <c r="CE1070" s="717"/>
      <c r="CF1070" s="717"/>
      <c r="CG1070" s="717"/>
      <c r="CH1070" s="717"/>
      <c r="CI1070" s="717"/>
      <c r="CJ1070" s="717"/>
      <c r="CK1070" s="717"/>
      <c r="CL1070" s="717"/>
      <c r="CM1070" s="717"/>
      <c r="CN1070" s="717"/>
      <c r="CO1070" s="717"/>
      <c r="CP1070" s="717"/>
      <c r="CQ1070" s="717"/>
      <c r="CR1070" s="717"/>
      <c r="CS1070" s="717"/>
      <c r="CT1070" s="717"/>
      <c r="CU1070" s="717"/>
      <c r="CV1070" s="717"/>
      <c r="CW1070" s="717"/>
      <c r="CX1070" s="717"/>
      <c r="CY1070" s="717"/>
      <c r="CZ1070" s="717"/>
      <c r="DA1070" s="717"/>
      <c r="DB1070" s="717"/>
      <c r="DC1070" s="717"/>
      <c r="DD1070" s="717"/>
      <c r="DE1070" s="717"/>
      <c r="DF1070" s="717"/>
      <c r="DG1070" s="717"/>
      <c r="DH1070" s="717"/>
      <c r="DI1070" s="717"/>
      <c r="DJ1070" s="717"/>
      <c r="DM1070" s="711"/>
      <c r="DN1070" s="711"/>
      <c r="DO1070" s="711"/>
      <c r="DP1070" s="711"/>
      <c r="DQ1070" s="711"/>
    </row>
    <row r="1071" spans="5:121" s="709" customFormat="1" ht="18" hidden="1">
      <c r="E1071" s="721"/>
      <c r="H1071" s="723">
        <v>585</v>
      </c>
      <c r="I1071" s="726"/>
      <c r="J1071" s="724"/>
      <c r="K1071" s="724"/>
      <c r="L1071" s="724"/>
      <c r="M1071" s="728"/>
      <c r="N1071" s="724"/>
      <c r="O1071" s="724"/>
      <c r="P1071" s="724"/>
      <c r="Q1071" s="724"/>
      <c r="R1071" s="724"/>
      <c r="S1071" s="724"/>
      <c r="T1071" s="724"/>
      <c r="U1071" s="724"/>
      <c r="V1071" s="724"/>
      <c r="W1071" s="724"/>
      <c r="X1071" s="724"/>
      <c r="Y1071" s="724"/>
      <c r="Z1071" s="724"/>
      <c r="AA1071" s="724"/>
      <c r="AB1071" s="724"/>
      <c r="AC1071" s="729"/>
      <c r="AD1071" s="724"/>
      <c r="AE1071" s="724"/>
      <c r="AF1071" s="724"/>
      <c r="AG1071" s="724"/>
      <c r="AH1071" s="724"/>
      <c r="AI1071" s="724"/>
      <c r="AJ1071" s="724"/>
      <c r="AU1071" s="713"/>
      <c r="AW1071" s="712"/>
      <c r="BY1071" s="714"/>
      <c r="BZ1071" s="715"/>
      <c r="CA1071" s="716"/>
      <c r="CB1071" s="717"/>
      <c r="CC1071" s="717"/>
      <c r="CD1071" s="717"/>
      <c r="CE1071" s="717"/>
      <c r="CF1071" s="717"/>
      <c r="CG1071" s="717"/>
      <c r="CH1071" s="717"/>
      <c r="CI1071" s="717"/>
      <c r="CJ1071" s="717"/>
      <c r="CK1071" s="717"/>
      <c r="CL1071" s="717"/>
      <c r="CM1071" s="717"/>
      <c r="CN1071" s="717"/>
      <c r="CO1071" s="717"/>
      <c r="CP1071" s="717"/>
      <c r="CQ1071" s="717"/>
      <c r="CR1071" s="717"/>
      <c r="CS1071" s="717"/>
      <c r="CT1071" s="717"/>
      <c r="CU1071" s="717"/>
      <c r="CV1071" s="717"/>
      <c r="CW1071" s="717"/>
      <c r="CX1071" s="717"/>
      <c r="CY1071" s="717"/>
      <c r="CZ1071" s="717"/>
      <c r="DA1071" s="717"/>
      <c r="DB1071" s="717"/>
      <c r="DC1071" s="717"/>
      <c r="DD1071" s="717"/>
      <c r="DE1071" s="717"/>
      <c r="DF1071" s="717"/>
      <c r="DG1071" s="717"/>
      <c r="DH1071" s="717"/>
      <c r="DI1071" s="717"/>
      <c r="DJ1071" s="717"/>
      <c r="DM1071" s="711"/>
      <c r="DN1071" s="711"/>
      <c r="DO1071" s="711"/>
      <c r="DP1071" s="711"/>
      <c r="DQ1071" s="711"/>
    </row>
    <row r="1072" spans="5:121" s="709" customFormat="1" ht="18" hidden="1">
      <c r="E1072" s="721"/>
      <c r="H1072" s="723">
        <v>586</v>
      </c>
      <c r="I1072" s="726"/>
      <c r="J1072" s="724"/>
      <c r="K1072" s="724"/>
      <c r="L1072" s="724"/>
      <c r="M1072" s="728"/>
      <c r="N1072" s="724"/>
      <c r="O1072" s="724"/>
      <c r="P1072" s="724"/>
      <c r="Q1072" s="724"/>
      <c r="R1072" s="724"/>
      <c r="S1072" s="724"/>
      <c r="T1072" s="724"/>
      <c r="U1072" s="724"/>
      <c r="V1072" s="724"/>
      <c r="W1072" s="724"/>
      <c r="X1072" s="724"/>
      <c r="Y1072" s="724"/>
      <c r="Z1072" s="724"/>
      <c r="AA1072" s="724"/>
      <c r="AB1072" s="724"/>
      <c r="AC1072" s="729"/>
      <c r="AD1072" s="724"/>
      <c r="AE1072" s="724"/>
      <c r="AF1072" s="724"/>
      <c r="AG1072" s="724"/>
      <c r="AH1072" s="724"/>
      <c r="AI1072" s="724"/>
      <c r="AJ1072" s="724"/>
      <c r="AU1072" s="713"/>
      <c r="AW1072" s="712"/>
      <c r="BY1072" s="714"/>
      <c r="BZ1072" s="715"/>
      <c r="CA1072" s="716"/>
      <c r="CB1072" s="717"/>
      <c r="CC1072" s="717"/>
      <c r="CD1072" s="717"/>
      <c r="CE1072" s="717"/>
      <c r="CF1072" s="717"/>
      <c r="CG1072" s="717"/>
      <c r="CH1072" s="717"/>
      <c r="CI1072" s="717"/>
      <c r="CJ1072" s="717"/>
      <c r="CK1072" s="717"/>
      <c r="CL1072" s="717"/>
      <c r="CM1072" s="717"/>
      <c r="CN1072" s="717"/>
      <c r="CO1072" s="717"/>
      <c r="CP1072" s="717"/>
      <c r="CQ1072" s="717"/>
      <c r="CR1072" s="717"/>
      <c r="CS1072" s="717"/>
      <c r="CT1072" s="717"/>
      <c r="CU1072" s="717"/>
      <c r="CV1072" s="717"/>
      <c r="CW1072" s="717"/>
      <c r="CX1072" s="717"/>
      <c r="CY1072" s="717"/>
      <c r="CZ1072" s="717"/>
      <c r="DA1072" s="717"/>
      <c r="DB1072" s="717"/>
      <c r="DC1072" s="717"/>
      <c r="DD1072" s="717"/>
      <c r="DE1072" s="717"/>
      <c r="DF1072" s="717"/>
      <c r="DG1072" s="717"/>
      <c r="DH1072" s="717"/>
      <c r="DI1072" s="717"/>
      <c r="DJ1072" s="717"/>
      <c r="DM1072" s="711"/>
      <c r="DN1072" s="711"/>
      <c r="DO1072" s="711"/>
      <c r="DP1072" s="711"/>
      <c r="DQ1072" s="711"/>
    </row>
    <row r="1073" spans="5:121" s="709" customFormat="1" ht="18" hidden="1">
      <c r="E1073" s="721"/>
      <c r="H1073" s="723">
        <v>587</v>
      </c>
      <c r="I1073" s="726"/>
      <c r="J1073" s="724"/>
      <c r="K1073" s="724"/>
      <c r="L1073" s="724"/>
      <c r="M1073" s="728"/>
      <c r="N1073" s="724"/>
      <c r="O1073" s="724"/>
      <c r="P1073" s="724"/>
      <c r="Q1073" s="724"/>
      <c r="R1073" s="724"/>
      <c r="S1073" s="724"/>
      <c r="T1073" s="724"/>
      <c r="U1073" s="724"/>
      <c r="V1073" s="724"/>
      <c r="W1073" s="724"/>
      <c r="X1073" s="724"/>
      <c r="Y1073" s="724"/>
      <c r="Z1073" s="724"/>
      <c r="AA1073" s="724"/>
      <c r="AB1073" s="724"/>
      <c r="AC1073" s="729"/>
      <c r="AD1073" s="724"/>
      <c r="AE1073" s="724"/>
      <c r="AF1073" s="724"/>
      <c r="AG1073" s="724"/>
      <c r="AH1073" s="724"/>
      <c r="AI1073" s="724"/>
      <c r="AJ1073" s="724"/>
      <c r="AU1073" s="713"/>
      <c r="AW1073" s="712"/>
      <c r="BY1073" s="714"/>
      <c r="BZ1073" s="715"/>
      <c r="CA1073" s="716"/>
      <c r="CB1073" s="717"/>
      <c r="CC1073" s="717"/>
      <c r="CD1073" s="717"/>
      <c r="CE1073" s="717"/>
      <c r="CF1073" s="717"/>
      <c r="CG1073" s="717"/>
      <c r="CH1073" s="717"/>
      <c r="CI1073" s="717"/>
      <c r="CJ1073" s="717"/>
      <c r="CK1073" s="717"/>
      <c r="CL1073" s="717"/>
      <c r="CM1073" s="717"/>
      <c r="CN1073" s="717"/>
      <c r="CO1073" s="717"/>
      <c r="CP1073" s="717"/>
      <c r="CQ1073" s="717"/>
      <c r="CR1073" s="717"/>
      <c r="CS1073" s="717"/>
      <c r="CT1073" s="717"/>
      <c r="CU1073" s="717"/>
      <c r="CV1073" s="717"/>
      <c r="CW1073" s="717"/>
      <c r="CX1073" s="717"/>
      <c r="CY1073" s="717"/>
      <c r="CZ1073" s="717"/>
      <c r="DA1073" s="717"/>
      <c r="DB1073" s="717"/>
      <c r="DC1073" s="717"/>
      <c r="DD1073" s="717"/>
      <c r="DE1073" s="717"/>
      <c r="DF1073" s="717"/>
      <c r="DG1073" s="717"/>
      <c r="DH1073" s="717"/>
      <c r="DI1073" s="717"/>
      <c r="DJ1073" s="717"/>
      <c r="DM1073" s="711"/>
      <c r="DN1073" s="711"/>
      <c r="DO1073" s="711"/>
      <c r="DP1073" s="711"/>
      <c r="DQ1073" s="711"/>
    </row>
    <row r="1074" spans="5:121" s="709" customFormat="1" ht="18" hidden="1">
      <c r="E1074" s="721"/>
      <c r="H1074" s="723">
        <v>588</v>
      </c>
      <c r="I1074" s="726"/>
      <c r="J1074" s="724"/>
      <c r="K1074" s="724"/>
      <c r="L1074" s="724"/>
      <c r="M1074" s="728"/>
      <c r="N1074" s="724"/>
      <c r="O1074" s="724"/>
      <c r="P1074" s="724"/>
      <c r="Q1074" s="724"/>
      <c r="R1074" s="724"/>
      <c r="S1074" s="724"/>
      <c r="T1074" s="724"/>
      <c r="U1074" s="724"/>
      <c r="V1074" s="724"/>
      <c r="W1074" s="724"/>
      <c r="X1074" s="724"/>
      <c r="Y1074" s="724"/>
      <c r="Z1074" s="724"/>
      <c r="AA1074" s="724"/>
      <c r="AB1074" s="724"/>
      <c r="AC1074" s="729"/>
      <c r="AD1074" s="724"/>
      <c r="AE1074" s="724"/>
      <c r="AF1074" s="724"/>
      <c r="AG1074" s="724"/>
      <c r="AH1074" s="724"/>
      <c r="AI1074" s="724"/>
      <c r="AJ1074" s="724"/>
      <c r="AU1074" s="713"/>
      <c r="AW1074" s="712"/>
      <c r="BY1074" s="714"/>
      <c r="BZ1074" s="715"/>
      <c r="CA1074" s="716"/>
      <c r="CB1074" s="717"/>
      <c r="CC1074" s="717"/>
      <c r="CD1074" s="717"/>
      <c r="CE1074" s="717"/>
      <c r="CF1074" s="717"/>
      <c r="CG1074" s="717"/>
      <c r="CH1074" s="717"/>
      <c r="CI1074" s="717"/>
      <c r="CJ1074" s="717"/>
      <c r="CK1074" s="717"/>
      <c r="CL1074" s="717"/>
      <c r="CM1074" s="717"/>
      <c r="CN1074" s="717"/>
      <c r="CO1074" s="717"/>
      <c r="CP1074" s="717"/>
      <c r="CQ1074" s="717"/>
      <c r="CR1074" s="717"/>
      <c r="CS1074" s="717"/>
      <c r="CT1074" s="717"/>
      <c r="CU1074" s="717"/>
      <c r="CV1074" s="717"/>
      <c r="CW1074" s="717"/>
      <c r="CX1074" s="717"/>
      <c r="CY1074" s="717"/>
      <c r="CZ1074" s="717"/>
      <c r="DA1074" s="717"/>
      <c r="DB1074" s="717"/>
      <c r="DC1074" s="717"/>
      <c r="DD1074" s="717"/>
      <c r="DE1074" s="717"/>
      <c r="DF1074" s="717"/>
      <c r="DG1074" s="717"/>
      <c r="DH1074" s="717"/>
      <c r="DI1074" s="717"/>
      <c r="DJ1074" s="717"/>
      <c r="DM1074" s="711"/>
      <c r="DN1074" s="711"/>
      <c r="DO1074" s="711"/>
      <c r="DP1074" s="711"/>
      <c r="DQ1074" s="711"/>
    </row>
    <row r="1075" spans="5:121" s="709" customFormat="1" ht="18" hidden="1">
      <c r="E1075" s="721"/>
      <c r="H1075" s="723">
        <v>589</v>
      </c>
      <c r="I1075" s="726"/>
      <c r="J1075" s="724"/>
      <c r="K1075" s="724"/>
      <c r="L1075" s="724"/>
      <c r="M1075" s="728"/>
      <c r="N1075" s="724"/>
      <c r="O1075" s="724"/>
      <c r="P1075" s="724"/>
      <c r="Q1075" s="724"/>
      <c r="R1075" s="724"/>
      <c r="S1075" s="724"/>
      <c r="T1075" s="724"/>
      <c r="U1075" s="724"/>
      <c r="V1075" s="724"/>
      <c r="W1075" s="724"/>
      <c r="X1075" s="724"/>
      <c r="Y1075" s="724"/>
      <c r="Z1075" s="724"/>
      <c r="AA1075" s="724"/>
      <c r="AB1075" s="724"/>
      <c r="AC1075" s="729"/>
      <c r="AD1075" s="724"/>
      <c r="AE1075" s="724"/>
      <c r="AF1075" s="724"/>
      <c r="AG1075" s="724"/>
      <c r="AH1075" s="724"/>
      <c r="AI1075" s="724"/>
      <c r="AJ1075" s="724"/>
      <c r="AU1075" s="713"/>
      <c r="AW1075" s="712"/>
      <c r="BY1075" s="714"/>
      <c r="BZ1075" s="715"/>
      <c r="CA1075" s="716"/>
      <c r="CB1075" s="717"/>
      <c r="CC1075" s="717"/>
      <c r="CD1075" s="717"/>
      <c r="CE1075" s="717"/>
      <c r="CF1075" s="717"/>
      <c r="CG1075" s="717"/>
      <c r="CH1075" s="717"/>
      <c r="CI1075" s="717"/>
      <c r="CJ1075" s="717"/>
      <c r="CK1075" s="717"/>
      <c r="CL1075" s="717"/>
      <c r="CM1075" s="717"/>
      <c r="CN1075" s="717"/>
      <c r="CO1075" s="717"/>
      <c r="CP1075" s="717"/>
      <c r="CQ1075" s="717"/>
      <c r="CR1075" s="717"/>
      <c r="CS1075" s="717"/>
      <c r="CT1075" s="717"/>
      <c r="CU1075" s="717"/>
      <c r="CV1075" s="717"/>
      <c r="CW1075" s="717"/>
      <c r="CX1075" s="717"/>
      <c r="CY1075" s="717"/>
      <c r="CZ1075" s="717"/>
      <c r="DA1075" s="717"/>
      <c r="DB1075" s="717"/>
      <c r="DC1075" s="717"/>
      <c r="DD1075" s="717"/>
      <c r="DE1075" s="717"/>
      <c r="DF1075" s="717"/>
      <c r="DG1075" s="717"/>
      <c r="DH1075" s="717"/>
      <c r="DI1075" s="717"/>
      <c r="DJ1075" s="717"/>
      <c r="DM1075" s="711"/>
      <c r="DN1075" s="711"/>
      <c r="DO1075" s="711"/>
      <c r="DP1075" s="711"/>
      <c r="DQ1075" s="711"/>
    </row>
    <row r="1076" spans="5:121" s="709" customFormat="1" ht="18" hidden="1">
      <c r="E1076" s="721"/>
      <c r="H1076" s="723">
        <v>590</v>
      </c>
      <c r="I1076" s="726"/>
      <c r="J1076" s="724"/>
      <c r="K1076" s="724"/>
      <c r="L1076" s="724"/>
      <c r="M1076" s="728"/>
      <c r="N1076" s="724"/>
      <c r="O1076" s="724"/>
      <c r="P1076" s="724"/>
      <c r="Q1076" s="724"/>
      <c r="R1076" s="724"/>
      <c r="S1076" s="724"/>
      <c r="T1076" s="724"/>
      <c r="U1076" s="724"/>
      <c r="V1076" s="724"/>
      <c r="W1076" s="724"/>
      <c r="X1076" s="724"/>
      <c r="Y1076" s="724"/>
      <c r="Z1076" s="724"/>
      <c r="AA1076" s="724"/>
      <c r="AB1076" s="724"/>
      <c r="AC1076" s="729"/>
      <c r="AD1076" s="724"/>
      <c r="AE1076" s="724"/>
      <c r="AF1076" s="724"/>
      <c r="AG1076" s="724"/>
      <c r="AH1076" s="724"/>
      <c r="AI1076" s="724"/>
      <c r="AJ1076" s="724"/>
      <c r="AU1076" s="713"/>
      <c r="AW1076" s="712"/>
      <c r="BY1076" s="714"/>
      <c r="BZ1076" s="715"/>
      <c r="CA1076" s="716"/>
      <c r="CB1076" s="717"/>
      <c r="CC1076" s="717"/>
      <c r="CD1076" s="717"/>
      <c r="CE1076" s="717"/>
      <c r="CF1076" s="717"/>
      <c r="CG1076" s="717"/>
      <c r="CH1076" s="717"/>
      <c r="CI1076" s="717"/>
      <c r="CJ1076" s="717"/>
      <c r="CK1076" s="717"/>
      <c r="CL1076" s="717"/>
      <c r="CM1076" s="717"/>
      <c r="CN1076" s="717"/>
      <c r="CO1076" s="717"/>
      <c r="CP1076" s="717"/>
      <c r="CQ1076" s="717"/>
      <c r="CR1076" s="717"/>
      <c r="CS1076" s="717"/>
      <c r="CT1076" s="717"/>
      <c r="CU1076" s="717"/>
      <c r="CV1076" s="717"/>
      <c r="CW1076" s="717"/>
      <c r="CX1076" s="717"/>
      <c r="CY1076" s="717"/>
      <c r="CZ1076" s="717"/>
      <c r="DA1076" s="717"/>
      <c r="DB1076" s="717"/>
      <c r="DC1076" s="717"/>
      <c r="DD1076" s="717"/>
      <c r="DE1076" s="717"/>
      <c r="DF1076" s="717"/>
      <c r="DG1076" s="717"/>
      <c r="DH1076" s="717"/>
      <c r="DI1076" s="717"/>
      <c r="DJ1076" s="717"/>
      <c r="DM1076" s="711"/>
      <c r="DN1076" s="711"/>
      <c r="DO1076" s="711"/>
      <c r="DP1076" s="711"/>
      <c r="DQ1076" s="711"/>
    </row>
    <row r="1077" spans="5:121" s="709" customFormat="1" ht="18" hidden="1">
      <c r="E1077" s="721"/>
      <c r="H1077" s="723">
        <v>591</v>
      </c>
      <c r="I1077" s="726"/>
      <c r="J1077" s="724"/>
      <c r="K1077" s="724"/>
      <c r="L1077" s="724"/>
      <c r="M1077" s="728"/>
      <c r="N1077" s="724"/>
      <c r="O1077" s="724"/>
      <c r="P1077" s="724"/>
      <c r="Q1077" s="724"/>
      <c r="R1077" s="724"/>
      <c r="S1077" s="724"/>
      <c r="T1077" s="724"/>
      <c r="U1077" s="724"/>
      <c r="V1077" s="724"/>
      <c r="W1077" s="724"/>
      <c r="X1077" s="724"/>
      <c r="Y1077" s="724"/>
      <c r="Z1077" s="724"/>
      <c r="AA1077" s="724"/>
      <c r="AB1077" s="724"/>
      <c r="AC1077" s="729"/>
      <c r="AD1077" s="724"/>
      <c r="AE1077" s="724"/>
      <c r="AF1077" s="724"/>
      <c r="AG1077" s="724"/>
      <c r="AH1077" s="724"/>
      <c r="AI1077" s="724"/>
      <c r="AJ1077" s="724"/>
      <c r="AU1077" s="713"/>
      <c r="AW1077" s="712"/>
      <c r="BY1077" s="714"/>
      <c r="BZ1077" s="715"/>
      <c r="CA1077" s="716"/>
      <c r="CB1077" s="717"/>
      <c r="CC1077" s="717"/>
      <c r="CD1077" s="717"/>
      <c r="CE1077" s="717"/>
      <c r="CF1077" s="717"/>
      <c r="CG1077" s="717"/>
      <c r="CH1077" s="717"/>
      <c r="CI1077" s="717"/>
      <c r="CJ1077" s="717"/>
      <c r="CK1077" s="717"/>
      <c r="CL1077" s="717"/>
      <c r="CM1077" s="717"/>
      <c r="CN1077" s="717"/>
      <c r="CO1077" s="717"/>
      <c r="CP1077" s="717"/>
      <c r="CQ1077" s="717"/>
      <c r="CR1077" s="717"/>
      <c r="CS1077" s="717"/>
      <c r="CT1077" s="717"/>
      <c r="CU1077" s="717"/>
      <c r="CV1077" s="717"/>
      <c r="CW1077" s="717"/>
      <c r="CX1077" s="717"/>
      <c r="CY1077" s="717"/>
      <c r="CZ1077" s="717"/>
      <c r="DA1077" s="717"/>
      <c r="DB1077" s="717"/>
      <c r="DC1077" s="717"/>
      <c r="DD1077" s="717"/>
      <c r="DE1077" s="717"/>
      <c r="DF1077" s="717"/>
      <c r="DG1077" s="717"/>
      <c r="DH1077" s="717"/>
      <c r="DI1077" s="717"/>
      <c r="DJ1077" s="717"/>
      <c r="DM1077" s="711"/>
      <c r="DN1077" s="711"/>
      <c r="DO1077" s="711"/>
      <c r="DP1077" s="711"/>
      <c r="DQ1077" s="711"/>
    </row>
    <row r="1078" spans="5:121" s="709" customFormat="1" ht="18" hidden="1">
      <c r="E1078" s="721"/>
      <c r="H1078" s="723">
        <v>592</v>
      </c>
      <c r="I1078" s="726"/>
      <c r="J1078" s="724"/>
      <c r="K1078" s="724"/>
      <c r="L1078" s="724"/>
      <c r="M1078" s="728"/>
      <c r="N1078" s="724"/>
      <c r="O1078" s="724"/>
      <c r="P1078" s="724"/>
      <c r="Q1078" s="724"/>
      <c r="R1078" s="724"/>
      <c r="S1078" s="724"/>
      <c r="T1078" s="724"/>
      <c r="U1078" s="724"/>
      <c r="V1078" s="724"/>
      <c r="W1078" s="724"/>
      <c r="X1078" s="724"/>
      <c r="Y1078" s="724"/>
      <c r="Z1078" s="724"/>
      <c r="AA1078" s="724"/>
      <c r="AB1078" s="724"/>
      <c r="AC1078" s="729"/>
      <c r="AD1078" s="724"/>
      <c r="AE1078" s="724"/>
      <c r="AF1078" s="724"/>
      <c r="AG1078" s="724"/>
      <c r="AH1078" s="724"/>
      <c r="AI1078" s="724"/>
      <c r="AJ1078" s="724"/>
      <c r="AU1078" s="713"/>
      <c r="AW1078" s="712"/>
      <c r="BY1078" s="714"/>
      <c r="BZ1078" s="715"/>
      <c r="CA1078" s="716"/>
      <c r="CB1078" s="717"/>
      <c r="CC1078" s="717"/>
      <c r="CD1078" s="717"/>
      <c r="CE1078" s="717"/>
      <c r="CF1078" s="717"/>
      <c r="CG1078" s="717"/>
      <c r="CH1078" s="717"/>
      <c r="CI1078" s="717"/>
      <c r="CJ1078" s="717"/>
      <c r="CK1078" s="717"/>
      <c r="CL1078" s="717"/>
      <c r="CM1078" s="717"/>
      <c r="CN1078" s="717"/>
      <c r="CO1078" s="717"/>
      <c r="CP1078" s="717"/>
      <c r="CQ1078" s="717"/>
      <c r="CR1078" s="717"/>
      <c r="CS1078" s="717"/>
      <c r="CT1078" s="717"/>
      <c r="CU1078" s="717"/>
      <c r="CV1078" s="717"/>
      <c r="CW1078" s="717"/>
      <c r="CX1078" s="717"/>
      <c r="CY1078" s="717"/>
      <c r="CZ1078" s="717"/>
      <c r="DA1078" s="717"/>
      <c r="DB1078" s="717"/>
      <c r="DC1078" s="717"/>
      <c r="DD1078" s="717"/>
      <c r="DE1078" s="717"/>
      <c r="DF1078" s="717"/>
      <c r="DG1078" s="717"/>
      <c r="DH1078" s="717"/>
      <c r="DI1078" s="717"/>
      <c r="DJ1078" s="717"/>
      <c r="DM1078" s="711"/>
      <c r="DN1078" s="711"/>
      <c r="DO1078" s="711"/>
      <c r="DP1078" s="711"/>
      <c r="DQ1078" s="711"/>
    </row>
    <row r="1079" spans="5:121" s="709" customFormat="1" ht="18" hidden="1">
      <c r="E1079" s="721"/>
      <c r="H1079" s="723">
        <v>593</v>
      </c>
      <c r="I1079" s="726"/>
      <c r="J1079" s="724"/>
      <c r="K1079" s="724"/>
      <c r="L1079" s="724"/>
      <c r="M1079" s="728"/>
      <c r="N1079" s="724"/>
      <c r="O1079" s="724"/>
      <c r="P1079" s="724"/>
      <c r="Q1079" s="724"/>
      <c r="R1079" s="724"/>
      <c r="S1079" s="724"/>
      <c r="T1079" s="724"/>
      <c r="U1079" s="724"/>
      <c r="V1079" s="724"/>
      <c r="W1079" s="724"/>
      <c r="X1079" s="724"/>
      <c r="Y1079" s="724"/>
      <c r="Z1079" s="724"/>
      <c r="AA1079" s="724"/>
      <c r="AB1079" s="724"/>
      <c r="AC1079" s="729"/>
      <c r="AD1079" s="724"/>
      <c r="AE1079" s="724"/>
      <c r="AF1079" s="724"/>
      <c r="AG1079" s="724"/>
      <c r="AH1079" s="724"/>
      <c r="AI1079" s="724"/>
      <c r="AJ1079" s="724"/>
      <c r="AU1079" s="713"/>
      <c r="AW1079" s="712"/>
      <c r="BY1079" s="714"/>
      <c r="BZ1079" s="715"/>
      <c r="CA1079" s="716"/>
      <c r="CB1079" s="717"/>
      <c r="CC1079" s="717"/>
      <c r="CD1079" s="717"/>
      <c r="CE1079" s="717"/>
      <c r="CF1079" s="717"/>
      <c r="CG1079" s="717"/>
      <c r="CH1079" s="717"/>
      <c r="CI1079" s="717"/>
      <c r="CJ1079" s="717"/>
      <c r="CK1079" s="717"/>
      <c r="CL1079" s="717"/>
      <c r="CM1079" s="717"/>
      <c r="CN1079" s="717"/>
      <c r="CO1079" s="717"/>
      <c r="CP1079" s="717"/>
      <c r="CQ1079" s="717"/>
      <c r="CR1079" s="717"/>
      <c r="CS1079" s="717"/>
      <c r="CT1079" s="717"/>
      <c r="CU1079" s="717"/>
      <c r="CV1079" s="717"/>
      <c r="CW1079" s="717"/>
      <c r="CX1079" s="717"/>
      <c r="CY1079" s="717"/>
      <c r="CZ1079" s="717"/>
      <c r="DA1079" s="717"/>
      <c r="DB1079" s="717"/>
      <c r="DC1079" s="717"/>
      <c r="DD1079" s="717"/>
      <c r="DE1079" s="717"/>
      <c r="DF1079" s="717"/>
      <c r="DG1079" s="717"/>
      <c r="DH1079" s="717"/>
      <c r="DI1079" s="717"/>
      <c r="DJ1079" s="717"/>
      <c r="DM1079" s="711"/>
      <c r="DN1079" s="711"/>
      <c r="DO1079" s="711"/>
      <c r="DP1079" s="711"/>
      <c r="DQ1079" s="711"/>
    </row>
    <row r="1080" spans="5:121" s="709" customFormat="1" ht="18" hidden="1">
      <c r="E1080" s="721"/>
      <c r="H1080" s="723">
        <v>594</v>
      </c>
      <c r="I1080" s="726"/>
      <c r="J1080" s="724"/>
      <c r="K1080" s="724"/>
      <c r="L1080" s="724"/>
      <c r="M1080" s="728"/>
      <c r="N1080" s="724"/>
      <c r="O1080" s="724"/>
      <c r="P1080" s="724"/>
      <c r="Q1080" s="724"/>
      <c r="R1080" s="724"/>
      <c r="S1080" s="724"/>
      <c r="T1080" s="724"/>
      <c r="U1080" s="724"/>
      <c r="V1080" s="724"/>
      <c r="W1080" s="724"/>
      <c r="X1080" s="724"/>
      <c r="Y1080" s="724"/>
      <c r="Z1080" s="724"/>
      <c r="AA1080" s="724"/>
      <c r="AB1080" s="724"/>
      <c r="AC1080" s="729"/>
      <c r="AD1080" s="724"/>
      <c r="AE1080" s="724"/>
      <c r="AF1080" s="724"/>
      <c r="AG1080" s="724"/>
      <c r="AH1080" s="724"/>
      <c r="AI1080" s="724"/>
      <c r="AJ1080" s="724"/>
      <c r="AU1080" s="713"/>
      <c r="AW1080" s="712"/>
      <c r="BY1080" s="714"/>
      <c r="BZ1080" s="715"/>
      <c r="CA1080" s="716"/>
      <c r="CB1080" s="717"/>
      <c r="CC1080" s="717"/>
      <c r="CD1080" s="717"/>
      <c r="CE1080" s="717"/>
      <c r="CF1080" s="717"/>
      <c r="CG1080" s="717"/>
      <c r="CH1080" s="717"/>
      <c r="CI1080" s="717"/>
      <c r="CJ1080" s="717"/>
      <c r="CK1080" s="717"/>
      <c r="CL1080" s="717"/>
      <c r="CM1080" s="717"/>
      <c r="CN1080" s="717"/>
      <c r="CO1080" s="717"/>
      <c r="CP1080" s="717"/>
      <c r="CQ1080" s="717"/>
      <c r="CR1080" s="717"/>
      <c r="CS1080" s="717"/>
      <c r="CT1080" s="717"/>
      <c r="CU1080" s="717"/>
      <c r="CV1080" s="717"/>
      <c r="CW1080" s="717"/>
      <c r="CX1080" s="717"/>
      <c r="CY1080" s="717"/>
      <c r="CZ1080" s="717"/>
      <c r="DA1080" s="717"/>
      <c r="DB1080" s="717"/>
      <c r="DC1080" s="717"/>
      <c r="DD1080" s="717"/>
      <c r="DE1080" s="717"/>
      <c r="DF1080" s="717"/>
      <c r="DG1080" s="717"/>
      <c r="DH1080" s="717"/>
      <c r="DI1080" s="717"/>
      <c r="DJ1080" s="717"/>
      <c r="DM1080" s="711"/>
      <c r="DN1080" s="711"/>
      <c r="DO1080" s="711"/>
      <c r="DP1080" s="711"/>
      <c r="DQ1080" s="711"/>
    </row>
    <row r="1081" spans="5:121" s="709" customFormat="1" ht="18" hidden="1">
      <c r="E1081" s="721"/>
      <c r="H1081" s="723">
        <v>595</v>
      </c>
      <c r="I1081" s="726"/>
      <c r="J1081" s="724"/>
      <c r="K1081" s="724"/>
      <c r="L1081" s="724"/>
      <c r="M1081" s="728"/>
      <c r="N1081" s="724"/>
      <c r="O1081" s="724"/>
      <c r="P1081" s="724"/>
      <c r="Q1081" s="724"/>
      <c r="R1081" s="724"/>
      <c r="S1081" s="724"/>
      <c r="T1081" s="724"/>
      <c r="U1081" s="724"/>
      <c r="V1081" s="724"/>
      <c r="W1081" s="724"/>
      <c r="X1081" s="724"/>
      <c r="Y1081" s="724"/>
      <c r="Z1081" s="724"/>
      <c r="AA1081" s="724"/>
      <c r="AB1081" s="724"/>
      <c r="AC1081" s="729"/>
      <c r="AD1081" s="724"/>
      <c r="AE1081" s="724"/>
      <c r="AF1081" s="724"/>
      <c r="AG1081" s="724"/>
      <c r="AH1081" s="724"/>
      <c r="AI1081" s="724"/>
      <c r="AJ1081" s="724"/>
      <c r="AU1081" s="713"/>
      <c r="AW1081" s="712"/>
      <c r="BY1081" s="714"/>
      <c r="BZ1081" s="715"/>
      <c r="CA1081" s="716"/>
      <c r="CB1081" s="717"/>
      <c r="CC1081" s="717"/>
      <c r="CD1081" s="717"/>
      <c r="CE1081" s="717"/>
      <c r="CF1081" s="717"/>
      <c r="CG1081" s="717"/>
      <c r="CH1081" s="717"/>
      <c r="CI1081" s="717"/>
      <c r="CJ1081" s="717"/>
      <c r="CK1081" s="717"/>
      <c r="CL1081" s="717"/>
      <c r="CM1081" s="717"/>
      <c r="CN1081" s="717"/>
      <c r="CO1081" s="717"/>
      <c r="CP1081" s="717"/>
      <c r="CQ1081" s="717"/>
      <c r="CR1081" s="717"/>
      <c r="CS1081" s="717"/>
      <c r="CT1081" s="717"/>
      <c r="CU1081" s="717"/>
      <c r="CV1081" s="717"/>
      <c r="CW1081" s="717"/>
      <c r="CX1081" s="717"/>
      <c r="CY1081" s="717"/>
      <c r="CZ1081" s="717"/>
      <c r="DA1081" s="717"/>
      <c r="DB1081" s="717"/>
      <c r="DC1081" s="717"/>
      <c r="DD1081" s="717"/>
      <c r="DE1081" s="717"/>
      <c r="DF1081" s="717"/>
      <c r="DG1081" s="717"/>
      <c r="DH1081" s="717"/>
      <c r="DI1081" s="717"/>
      <c r="DJ1081" s="717"/>
      <c r="DM1081" s="711"/>
      <c r="DN1081" s="711"/>
      <c r="DO1081" s="711"/>
      <c r="DP1081" s="711"/>
      <c r="DQ1081" s="711"/>
    </row>
    <row r="1082" spans="5:121" s="709" customFormat="1" ht="18" hidden="1">
      <c r="E1082" s="721"/>
      <c r="H1082" s="723">
        <v>597</v>
      </c>
      <c r="I1082" s="726"/>
      <c r="J1082" s="724"/>
      <c r="K1082" s="724"/>
      <c r="L1082" s="724"/>
      <c r="M1082" s="728"/>
      <c r="N1082" s="724"/>
      <c r="O1082" s="724"/>
      <c r="P1082" s="724"/>
      <c r="Q1082" s="724"/>
      <c r="R1082" s="724"/>
      <c r="S1082" s="724"/>
      <c r="T1082" s="724"/>
      <c r="U1082" s="724"/>
      <c r="V1082" s="724"/>
      <c r="W1082" s="724"/>
      <c r="X1082" s="724"/>
      <c r="Y1082" s="724"/>
      <c r="Z1082" s="724"/>
      <c r="AA1082" s="724"/>
      <c r="AB1082" s="724"/>
      <c r="AC1082" s="729"/>
      <c r="AD1082" s="724"/>
      <c r="AE1082" s="724"/>
      <c r="AF1082" s="724"/>
      <c r="AG1082" s="724"/>
      <c r="AH1082" s="724"/>
      <c r="AI1082" s="724"/>
      <c r="AJ1082" s="724"/>
      <c r="AU1082" s="713"/>
      <c r="AW1082" s="712"/>
      <c r="BY1082" s="714"/>
      <c r="BZ1082" s="715"/>
      <c r="CA1082" s="716"/>
      <c r="CB1082" s="717"/>
      <c r="CC1082" s="717"/>
      <c r="CD1082" s="717"/>
      <c r="CE1082" s="717"/>
      <c r="CF1082" s="717"/>
      <c r="CG1082" s="717"/>
      <c r="CH1082" s="717"/>
      <c r="CI1082" s="717"/>
      <c r="CJ1082" s="717"/>
      <c r="CK1082" s="717"/>
      <c r="CL1082" s="717"/>
      <c r="CM1082" s="717"/>
      <c r="CN1082" s="717"/>
      <c r="CO1082" s="717"/>
      <c r="CP1082" s="717"/>
      <c r="CQ1082" s="717"/>
      <c r="CR1082" s="717"/>
      <c r="CS1082" s="717"/>
      <c r="CT1082" s="717"/>
      <c r="CU1082" s="717"/>
      <c r="CV1082" s="717"/>
      <c r="CW1082" s="717"/>
      <c r="CX1082" s="717"/>
      <c r="CY1082" s="717"/>
      <c r="CZ1082" s="717"/>
      <c r="DA1082" s="717"/>
      <c r="DB1082" s="717"/>
      <c r="DC1082" s="717"/>
      <c r="DD1082" s="717"/>
      <c r="DE1082" s="717"/>
      <c r="DF1082" s="717"/>
      <c r="DG1082" s="717"/>
      <c r="DH1082" s="717"/>
      <c r="DI1082" s="717"/>
      <c r="DJ1082" s="717"/>
      <c r="DM1082" s="711"/>
      <c r="DN1082" s="711"/>
      <c r="DO1082" s="711"/>
      <c r="DP1082" s="711"/>
      <c r="DQ1082" s="711"/>
    </row>
    <row r="1083" spans="5:121" s="709" customFormat="1" ht="18" hidden="1">
      <c r="E1083" s="721"/>
      <c r="H1083" s="723">
        <v>599</v>
      </c>
      <c r="I1083" s="726"/>
      <c r="J1083" s="724"/>
      <c r="K1083" s="724"/>
      <c r="L1083" s="724"/>
      <c r="M1083" s="728"/>
      <c r="N1083" s="724"/>
      <c r="O1083" s="724"/>
      <c r="P1083" s="724"/>
      <c r="Q1083" s="724"/>
      <c r="R1083" s="724"/>
      <c r="S1083" s="724"/>
      <c r="T1083" s="724"/>
      <c r="U1083" s="724"/>
      <c r="V1083" s="724"/>
      <c r="W1083" s="724"/>
      <c r="X1083" s="724"/>
      <c r="Y1083" s="724"/>
      <c r="Z1083" s="724"/>
      <c r="AA1083" s="724"/>
      <c r="AB1083" s="724"/>
      <c r="AC1083" s="729"/>
      <c r="AD1083" s="724"/>
      <c r="AE1083" s="724"/>
      <c r="AF1083" s="724"/>
      <c r="AG1083" s="724"/>
      <c r="AH1083" s="724"/>
      <c r="AI1083" s="724"/>
      <c r="AJ1083" s="724"/>
      <c r="AU1083" s="713"/>
      <c r="AW1083" s="712"/>
      <c r="BY1083" s="714"/>
      <c r="BZ1083" s="715"/>
      <c r="CA1083" s="716"/>
      <c r="CB1083" s="717"/>
      <c r="CC1083" s="717"/>
      <c r="CD1083" s="717"/>
      <c r="CE1083" s="717"/>
      <c r="CF1083" s="717"/>
      <c r="CG1083" s="717"/>
      <c r="CH1083" s="717"/>
      <c r="CI1083" s="717"/>
      <c r="CJ1083" s="717"/>
      <c r="CK1083" s="717"/>
      <c r="CL1083" s="717"/>
      <c r="CM1083" s="717"/>
      <c r="CN1083" s="717"/>
      <c r="CO1083" s="717"/>
      <c r="CP1083" s="717"/>
      <c r="CQ1083" s="717"/>
      <c r="CR1083" s="717"/>
      <c r="CS1083" s="717"/>
      <c r="CT1083" s="717"/>
      <c r="CU1083" s="717"/>
      <c r="CV1083" s="717"/>
      <c r="CW1083" s="717"/>
      <c r="CX1083" s="717"/>
      <c r="CY1083" s="717"/>
      <c r="CZ1083" s="717"/>
      <c r="DA1083" s="717"/>
      <c r="DB1083" s="717"/>
      <c r="DC1083" s="717"/>
      <c r="DD1083" s="717"/>
      <c r="DE1083" s="717"/>
      <c r="DF1083" s="717"/>
      <c r="DG1083" s="717"/>
      <c r="DH1083" s="717"/>
      <c r="DI1083" s="717"/>
      <c r="DJ1083" s="717"/>
      <c r="DM1083" s="711"/>
      <c r="DN1083" s="711"/>
      <c r="DO1083" s="711"/>
      <c r="DP1083" s="711"/>
      <c r="DQ1083" s="711"/>
    </row>
    <row r="1084" spans="5:121" s="709" customFormat="1" ht="18" hidden="1">
      <c r="E1084" s="721"/>
      <c r="H1084" s="723">
        <v>600</v>
      </c>
      <c r="I1084" s="726"/>
      <c r="J1084" s="724"/>
      <c r="K1084" s="724"/>
      <c r="L1084" s="724"/>
      <c r="M1084" s="728"/>
      <c r="N1084" s="724"/>
      <c r="O1084" s="724"/>
      <c r="P1084" s="724"/>
      <c r="Q1084" s="724"/>
      <c r="R1084" s="724"/>
      <c r="S1084" s="724"/>
      <c r="T1084" s="724"/>
      <c r="U1084" s="724"/>
      <c r="V1084" s="724"/>
      <c r="W1084" s="724"/>
      <c r="X1084" s="724"/>
      <c r="Y1084" s="724"/>
      <c r="Z1084" s="724"/>
      <c r="AA1084" s="724"/>
      <c r="AB1084" s="724"/>
      <c r="AC1084" s="729"/>
      <c r="AD1084" s="724"/>
      <c r="AE1084" s="724"/>
      <c r="AF1084" s="724"/>
      <c r="AG1084" s="724"/>
      <c r="AH1084" s="724"/>
      <c r="AI1084" s="724"/>
      <c r="AJ1084" s="724"/>
      <c r="AU1084" s="713"/>
      <c r="AW1084" s="712"/>
      <c r="BY1084" s="714"/>
      <c r="BZ1084" s="715"/>
      <c r="CA1084" s="716"/>
      <c r="CB1084" s="717"/>
      <c r="CC1084" s="717"/>
      <c r="CD1084" s="717"/>
      <c r="CE1084" s="717"/>
      <c r="CF1084" s="717"/>
      <c r="CG1084" s="717"/>
      <c r="CH1084" s="717"/>
      <c r="CI1084" s="717"/>
      <c r="CJ1084" s="717"/>
      <c r="CK1084" s="717"/>
      <c r="CL1084" s="717"/>
      <c r="CM1084" s="717"/>
      <c r="CN1084" s="717"/>
      <c r="CO1084" s="717"/>
      <c r="CP1084" s="717"/>
      <c r="CQ1084" s="717"/>
      <c r="CR1084" s="717"/>
      <c r="CS1084" s="717"/>
      <c r="CT1084" s="717"/>
      <c r="CU1084" s="717"/>
      <c r="CV1084" s="717"/>
      <c r="CW1084" s="717"/>
      <c r="CX1084" s="717"/>
      <c r="CY1084" s="717"/>
      <c r="CZ1084" s="717"/>
      <c r="DA1084" s="717"/>
      <c r="DB1084" s="717"/>
      <c r="DC1084" s="717"/>
      <c r="DD1084" s="717"/>
      <c r="DE1084" s="717"/>
      <c r="DF1084" s="717"/>
      <c r="DG1084" s="717"/>
      <c r="DH1084" s="717"/>
      <c r="DI1084" s="717"/>
      <c r="DJ1084" s="717"/>
      <c r="DM1084" s="711"/>
      <c r="DN1084" s="711"/>
      <c r="DO1084" s="711"/>
      <c r="DP1084" s="711"/>
      <c r="DQ1084" s="711"/>
    </row>
    <row r="1085" spans="5:121" s="709" customFormat="1" ht="18" hidden="1">
      <c r="E1085" s="721"/>
      <c r="H1085" s="723">
        <v>601</v>
      </c>
      <c r="I1085" s="726"/>
      <c r="J1085" s="724"/>
      <c r="K1085" s="724"/>
      <c r="L1085" s="724"/>
      <c r="M1085" s="728"/>
      <c r="N1085" s="724"/>
      <c r="O1085" s="724"/>
      <c r="P1085" s="724"/>
      <c r="Q1085" s="724"/>
      <c r="R1085" s="724"/>
      <c r="S1085" s="724"/>
      <c r="T1085" s="724"/>
      <c r="U1085" s="724"/>
      <c r="V1085" s="724"/>
      <c r="W1085" s="724"/>
      <c r="X1085" s="724"/>
      <c r="Y1085" s="724"/>
      <c r="Z1085" s="724"/>
      <c r="AA1085" s="724"/>
      <c r="AB1085" s="724"/>
      <c r="AC1085" s="729"/>
      <c r="AD1085" s="724"/>
      <c r="AE1085" s="724"/>
      <c r="AF1085" s="724"/>
      <c r="AG1085" s="724"/>
      <c r="AH1085" s="724"/>
      <c r="AI1085" s="724"/>
      <c r="AJ1085" s="724"/>
      <c r="AU1085" s="713"/>
      <c r="AW1085" s="712"/>
      <c r="BY1085" s="714"/>
      <c r="BZ1085" s="715"/>
      <c r="CA1085" s="716"/>
      <c r="CB1085" s="717"/>
      <c r="CC1085" s="717"/>
      <c r="CD1085" s="717"/>
      <c r="CE1085" s="717"/>
      <c r="CF1085" s="717"/>
      <c r="CG1085" s="717"/>
      <c r="CH1085" s="717"/>
      <c r="CI1085" s="717"/>
      <c r="CJ1085" s="717"/>
      <c r="CK1085" s="717"/>
      <c r="CL1085" s="717"/>
      <c r="CM1085" s="717"/>
      <c r="CN1085" s="717"/>
      <c r="CO1085" s="717"/>
      <c r="CP1085" s="717"/>
      <c r="CQ1085" s="717"/>
      <c r="CR1085" s="717"/>
      <c r="CS1085" s="717"/>
      <c r="CT1085" s="717"/>
      <c r="CU1085" s="717"/>
      <c r="CV1085" s="717"/>
      <c r="CW1085" s="717"/>
      <c r="CX1085" s="717"/>
      <c r="CY1085" s="717"/>
      <c r="CZ1085" s="717"/>
      <c r="DA1085" s="717"/>
      <c r="DB1085" s="717"/>
      <c r="DC1085" s="717"/>
      <c r="DD1085" s="717"/>
      <c r="DE1085" s="717"/>
      <c r="DF1085" s="717"/>
      <c r="DG1085" s="717"/>
      <c r="DH1085" s="717"/>
      <c r="DI1085" s="717"/>
      <c r="DJ1085" s="717"/>
      <c r="DM1085" s="711"/>
      <c r="DN1085" s="711"/>
      <c r="DO1085" s="711"/>
      <c r="DP1085" s="711"/>
      <c r="DQ1085" s="711"/>
    </row>
    <row r="1086" spans="5:121" s="709" customFormat="1" ht="18" hidden="1">
      <c r="E1086" s="721"/>
      <c r="H1086" s="723">
        <v>602</v>
      </c>
      <c r="I1086" s="726"/>
      <c r="J1086" s="724"/>
      <c r="K1086" s="724"/>
      <c r="L1086" s="724"/>
      <c r="M1086" s="728"/>
      <c r="N1086" s="724"/>
      <c r="O1086" s="724"/>
      <c r="P1086" s="724"/>
      <c r="Q1086" s="724"/>
      <c r="R1086" s="724"/>
      <c r="S1086" s="724"/>
      <c r="T1086" s="724"/>
      <c r="U1086" s="724"/>
      <c r="V1086" s="724"/>
      <c r="W1086" s="724"/>
      <c r="X1086" s="724"/>
      <c r="Y1086" s="724"/>
      <c r="Z1086" s="724"/>
      <c r="AA1086" s="724"/>
      <c r="AB1086" s="724"/>
      <c r="AC1086" s="729"/>
      <c r="AD1086" s="724"/>
      <c r="AE1086" s="724"/>
      <c r="AF1086" s="724"/>
      <c r="AG1086" s="724"/>
      <c r="AH1086" s="724"/>
      <c r="AI1086" s="724"/>
      <c r="AJ1086" s="724"/>
      <c r="AU1086" s="713"/>
      <c r="AW1086" s="712"/>
      <c r="BY1086" s="714"/>
      <c r="BZ1086" s="715"/>
      <c r="CA1086" s="716"/>
      <c r="CB1086" s="717"/>
      <c r="CC1086" s="717"/>
      <c r="CD1086" s="717"/>
      <c r="CE1086" s="717"/>
      <c r="CF1086" s="717"/>
      <c r="CG1086" s="717"/>
      <c r="CH1086" s="717"/>
      <c r="CI1086" s="717"/>
      <c r="CJ1086" s="717"/>
      <c r="CK1086" s="717"/>
      <c r="CL1086" s="717"/>
      <c r="CM1086" s="717"/>
      <c r="CN1086" s="717"/>
      <c r="CO1086" s="717"/>
      <c r="CP1086" s="717"/>
      <c r="CQ1086" s="717"/>
      <c r="CR1086" s="717"/>
      <c r="CS1086" s="717"/>
      <c r="CT1086" s="717"/>
      <c r="CU1086" s="717"/>
      <c r="CV1086" s="717"/>
      <c r="CW1086" s="717"/>
      <c r="CX1086" s="717"/>
      <c r="CY1086" s="717"/>
      <c r="CZ1086" s="717"/>
      <c r="DA1086" s="717"/>
      <c r="DB1086" s="717"/>
      <c r="DC1086" s="717"/>
      <c r="DD1086" s="717"/>
      <c r="DE1086" s="717"/>
      <c r="DF1086" s="717"/>
      <c r="DG1086" s="717"/>
      <c r="DH1086" s="717"/>
      <c r="DI1086" s="717"/>
      <c r="DJ1086" s="717"/>
      <c r="DM1086" s="711"/>
      <c r="DN1086" s="711"/>
      <c r="DO1086" s="711"/>
      <c r="DP1086" s="711"/>
      <c r="DQ1086" s="711"/>
    </row>
    <row r="1087" spans="5:121" s="709" customFormat="1" ht="18" hidden="1">
      <c r="E1087" s="721"/>
      <c r="H1087" s="723">
        <v>603</v>
      </c>
      <c r="I1087" s="726"/>
      <c r="J1087" s="724"/>
      <c r="K1087" s="724"/>
      <c r="L1087" s="724"/>
      <c r="M1087" s="728"/>
      <c r="N1087" s="724"/>
      <c r="O1087" s="724"/>
      <c r="P1087" s="724"/>
      <c r="Q1087" s="724"/>
      <c r="R1087" s="724"/>
      <c r="S1087" s="724"/>
      <c r="T1087" s="724"/>
      <c r="U1087" s="724"/>
      <c r="V1087" s="724"/>
      <c r="W1087" s="724"/>
      <c r="X1087" s="724"/>
      <c r="Y1087" s="724"/>
      <c r="Z1087" s="724"/>
      <c r="AA1087" s="724"/>
      <c r="AB1087" s="724"/>
      <c r="AC1087" s="729"/>
      <c r="AD1087" s="724"/>
      <c r="AE1087" s="724"/>
      <c r="AF1087" s="724"/>
      <c r="AG1087" s="724"/>
      <c r="AH1087" s="724"/>
      <c r="AI1087" s="724"/>
      <c r="AJ1087" s="724"/>
      <c r="AU1087" s="713"/>
      <c r="AW1087" s="712"/>
      <c r="BY1087" s="714"/>
      <c r="BZ1087" s="715"/>
      <c r="CA1087" s="716"/>
      <c r="CB1087" s="717"/>
      <c r="CC1087" s="717"/>
      <c r="CD1087" s="717"/>
      <c r="CE1087" s="717"/>
      <c r="CF1087" s="717"/>
      <c r="CG1087" s="717"/>
      <c r="CH1087" s="717"/>
      <c r="CI1087" s="717"/>
      <c r="CJ1087" s="717"/>
      <c r="CK1087" s="717"/>
      <c r="CL1087" s="717"/>
      <c r="CM1087" s="717"/>
      <c r="CN1087" s="717"/>
      <c r="CO1087" s="717"/>
      <c r="CP1087" s="717"/>
      <c r="CQ1087" s="717"/>
      <c r="CR1087" s="717"/>
      <c r="CS1087" s="717"/>
      <c r="CT1087" s="717"/>
      <c r="CU1087" s="717"/>
      <c r="CV1087" s="717"/>
      <c r="CW1087" s="717"/>
      <c r="CX1087" s="717"/>
      <c r="CY1087" s="717"/>
      <c r="CZ1087" s="717"/>
      <c r="DA1087" s="717"/>
      <c r="DB1087" s="717"/>
      <c r="DC1087" s="717"/>
      <c r="DD1087" s="717"/>
      <c r="DE1087" s="717"/>
      <c r="DF1087" s="717"/>
      <c r="DG1087" s="717"/>
      <c r="DH1087" s="717"/>
      <c r="DI1087" s="717"/>
      <c r="DJ1087" s="717"/>
      <c r="DM1087" s="711"/>
      <c r="DN1087" s="711"/>
      <c r="DO1087" s="711"/>
      <c r="DP1087" s="711"/>
      <c r="DQ1087" s="711"/>
    </row>
    <row r="1088" spans="5:121" s="709" customFormat="1" ht="18" hidden="1">
      <c r="E1088" s="721"/>
      <c r="H1088" s="723">
        <v>604</v>
      </c>
      <c r="I1088" s="726"/>
      <c r="J1088" s="724"/>
      <c r="K1088" s="724"/>
      <c r="L1088" s="724"/>
      <c r="M1088" s="728"/>
      <c r="N1088" s="724"/>
      <c r="O1088" s="724"/>
      <c r="P1088" s="724"/>
      <c r="Q1088" s="724"/>
      <c r="R1088" s="724"/>
      <c r="S1088" s="724"/>
      <c r="T1088" s="724"/>
      <c r="U1088" s="724"/>
      <c r="V1088" s="724"/>
      <c r="W1088" s="724"/>
      <c r="X1088" s="724"/>
      <c r="Y1088" s="724"/>
      <c r="Z1088" s="724"/>
      <c r="AA1088" s="724"/>
      <c r="AB1088" s="724"/>
      <c r="AC1088" s="729"/>
      <c r="AD1088" s="724"/>
      <c r="AE1088" s="724"/>
      <c r="AF1088" s="724"/>
      <c r="AG1088" s="724"/>
      <c r="AH1088" s="724"/>
      <c r="AI1088" s="724"/>
      <c r="AJ1088" s="724"/>
      <c r="AU1088" s="713"/>
      <c r="AW1088" s="712"/>
      <c r="BY1088" s="714"/>
      <c r="BZ1088" s="715"/>
      <c r="CA1088" s="716"/>
      <c r="CB1088" s="717"/>
      <c r="CC1088" s="717"/>
      <c r="CD1088" s="717"/>
      <c r="CE1088" s="717"/>
      <c r="CF1088" s="717"/>
      <c r="CG1088" s="717"/>
      <c r="CH1088" s="717"/>
      <c r="CI1088" s="717"/>
      <c r="CJ1088" s="717"/>
      <c r="CK1088" s="717"/>
      <c r="CL1088" s="717"/>
      <c r="CM1088" s="717"/>
      <c r="CN1088" s="717"/>
      <c r="CO1088" s="717"/>
      <c r="CP1088" s="717"/>
      <c r="CQ1088" s="717"/>
      <c r="CR1088" s="717"/>
      <c r="CS1088" s="717"/>
      <c r="CT1088" s="717"/>
      <c r="CU1088" s="717"/>
      <c r="CV1088" s="717"/>
      <c r="CW1088" s="717"/>
      <c r="CX1088" s="717"/>
      <c r="CY1088" s="717"/>
      <c r="CZ1088" s="717"/>
      <c r="DA1088" s="717"/>
      <c r="DB1088" s="717"/>
      <c r="DC1088" s="717"/>
      <c r="DD1088" s="717"/>
      <c r="DE1088" s="717"/>
      <c r="DF1088" s="717"/>
      <c r="DG1088" s="717"/>
      <c r="DH1088" s="717"/>
      <c r="DI1088" s="717"/>
      <c r="DJ1088" s="717"/>
      <c r="DM1088" s="711"/>
      <c r="DN1088" s="711"/>
      <c r="DO1088" s="711"/>
      <c r="DP1088" s="711"/>
      <c r="DQ1088" s="711"/>
    </row>
    <row r="1089" spans="5:121" s="709" customFormat="1" ht="18" hidden="1">
      <c r="E1089" s="721"/>
      <c r="H1089" s="723">
        <v>605</v>
      </c>
      <c r="I1089" s="726"/>
      <c r="J1089" s="724"/>
      <c r="K1089" s="724"/>
      <c r="L1089" s="724"/>
      <c r="M1089" s="728"/>
      <c r="N1089" s="724"/>
      <c r="O1089" s="724"/>
      <c r="P1089" s="724"/>
      <c r="Q1089" s="724"/>
      <c r="R1089" s="724"/>
      <c r="S1089" s="724"/>
      <c r="T1089" s="724"/>
      <c r="U1089" s="724"/>
      <c r="V1089" s="724"/>
      <c r="W1089" s="724"/>
      <c r="X1089" s="724"/>
      <c r="Y1089" s="724"/>
      <c r="Z1089" s="724"/>
      <c r="AA1089" s="724"/>
      <c r="AB1089" s="724"/>
      <c r="AC1089" s="729"/>
      <c r="AD1089" s="724"/>
      <c r="AE1089" s="724"/>
      <c r="AF1089" s="724"/>
      <c r="AG1089" s="724"/>
      <c r="AH1089" s="724"/>
      <c r="AI1089" s="724"/>
      <c r="AJ1089" s="724"/>
      <c r="AU1089" s="713"/>
      <c r="AW1089" s="712"/>
      <c r="BY1089" s="714"/>
      <c r="BZ1089" s="715"/>
      <c r="CA1089" s="716"/>
      <c r="CB1089" s="717"/>
      <c r="CC1089" s="717"/>
      <c r="CD1089" s="717"/>
      <c r="CE1089" s="717"/>
      <c r="CF1089" s="717"/>
      <c r="CG1089" s="717"/>
      <c r="CH1089" s="717"/>
      <c r="CI1089" s="717"/>
      <c r="CJ1089" s="717"/>
      <c r="CK1089" s="717"/>
      <c r="CL1089" s="717"/>
      <c r="CM1089" s="717"/>
      <c r="CN1089" s="717"/>
      <c r="CO1089" s="717"/>
      <c r="CP1089" s="717"/>
      <c r="CQ1089" s="717"/>
      <c r="CR1089" s="717"/>
      <c r="CS1089" s="717"/>
      <c r="CT1089" s="717"/>
      <c r="CU1089" s="717"/>
      <c r="CV1089" s="717"/>
      <c r="CW1089" s="717"/>
      <c r="CX1089" s="717"/>
      <c r="CY1089" s="717"/>
      <c r="CZ1089" s="717"/>
      <c r="DA1089" s="717"/>
      <c r="DB1089" s="717"/>
      <c r="DC1089" s="717"/>
      <c r="DD1089" s="717"/>
      <c r="DE1089" s="717"/>
      <c r="DF1089" s="717"/>
      <c r="DG1089" s="717"/>
      <c r="DH1089" s="717"/>
      <c r="DI1089" s="717"/>
      <c r="DJ1089" s="717"/>
      <c r="DM1089" s="711"/>
      <c r="DN1089" s="711"/>
      <c r="DO1089" s="711"/>
      <c r="DP1089" s="711"/>
      <c r="DQ1089" s="711"/>
    </row>
    <row r="1090" spans="5:121" s="709" customFormat="1" ht="18" hidden="1">
      <c r="E1090" s="721"/>
      <c r="H1090" s="723">
        <v>606</v>
      </c>
      <c r="I1090" s="726"/>
      <c r="J1090" s="724"/>
      <c r="K1090" s="724"/>
      <c r="L1090" s="724"/>
      <c r="M1090" s="728"/>
      <c r="N1090" s="724"/>
      <c r="O1090" s="724"/>
      <c r="P1090" s="724"/>
      <c r="Q1090" s="724"/>
      <c r="R1090" s="724"/>
      <c r="S1090" s="724"/>
      <c r="T1090" s="724"/>
      <c r="U1090" s="724"/>
      <c r="V1090" s="724"/>
      <c r="W1090" s="724"/>
      <c r="X1090" s="724"/>
      <c r="Y1090" s="724"/>
      <c r="Z1090" s="724"/>
      <c r="AA1090" s="724"/>
      <c r="AB1090" s="724"/>
      <c r="AC1090" s="729"/>
      <c r="AD1090" s="724"/>
      <c r="AE1090" s="724"/>
      <c r="AF1090" s="724"/>
      <c r="AG1090" s="724"/>
      <c r="AH1090" s="724"/>
      <c r="AI1090" s="724"/>
      <c r="AJ1090" s="724"/>
      <c r="AU1090" s="713"/>
      <c r="AW1090" s="712"/>
      <c r="BY1090" s="714"/>
      <c r="BZ1090" s="715"/>
      <c r="CA1090" s="716"/>
      <c r="CB1090" s="717"/>
      <c r="CC1090" s="717"/>
      <c r="CD1090" s="717"/>
      <c r="CE1090" s="717"/>
      <c r="CF1090" s="717"/>
      <c r="CG1090" s="717"/>
      <c r="CH1090" s="717"/>
      <c r="CI1090" s="717"/>
      <c r="CJ1090" s="717"/>
      <c r="CK1090" s="717"/>
      <c r="CL1090" s="717"/>
      <c r="CM1090" s="717"/>
      <c r="CN1090" s="717"/>
      <c r="CO1090" s="717"/>
      <c r="CP1090" s="717"/>
      <c r="CQ1090" s="717"/>
      <c r="CR1090" s="717"/>
      <c r="CS1090" s="717"/>
      <c r="CT1090" s="717"/>
      <c r="CU1090" s="717"/>
      <c r="CV1090" s="717"/>
      <c r="CW1090" s="717"/>
      <c r="CX1090" s="717"/>
      <c r="CY1090" s="717"/>
      <c r="CZ1090" s="717"/>
      <c r="DA1090" s="717"/>
      <c r="DB1090" s="717"/>
      <c r="DC1090" s="717"/>
      <c r="DD1090" s="717"/>
      <c r="DE1090" s="717"/>
      <c r="DF1090" s="717"/>
      <c r="DG1090" s="717"/>
      <c r="DH1090" s="717"/>
      <c r="DI1090" s="717"/>
      <c r="DJ1090" s="717"/>
      <c r="DM1090" s="711"/>
      <c r="DN1090" s="711"/>
      <c r="DO1090" s="711"/>
      <c r="DP1090" s="711"/>
      <c r="DQ1090" s="711"/>
    </row>
    <row r="1091" spans="5:121" s="709" customFormat="1" ht="18" hidden="1">
      <c r="H1091" s="723">
        <v>607</v>
      </c>
      <c r="I1091" s="726"/>
      <c r="J1091" s="724"/>
      <c r="K1091" s="724"/>
      <c r="L1091" s="724"/>
      <c r="M1091" s="728"/>
      <c r="N1091" s="724"/>
      <c r="O1091" s="724"/>
      <c r="P1091" s="724"/>
      <c r="Q1091" s="724"/>
      <c r="R1091" s="724"/>
      <c r="S1091" s="724"/>
      <c r="T1091" s="724"/>
      <c r="U1091" s="724"/>
      <c r="V1091" s="724"/>
      <c r="W1091" s="724"/>
      <c r="X1091" s="724"/>
      <c r="Y1091" s="724"/>
      <c r="Z1091" s="724"/>
      <c r="AA1091" s="724"/>
      <c r="AB1091" s="724"/>
      <c r="AC1091" s="729"/>
      <c r="AD1091" s="724"/>
      <c r="AE1091" s="724"/>
      <c r="AF1091" s="724"/>
      <c r="AG1091" s="724"/>
      <c r="AH1091" s="724"/>
      <c r="AI1091" s="724"/>
      <c r="AJ1091" s="724"/>
      <c r="AU1091" s="713"/>
      <c r="AW1091" s="712"/>
      <c r="BY1091" s="714"/>
      <c r="BZ1091" s="715"/>
      <c r="CA1091" s="716"/>
      <c r="CB1091" s="717"/>
      <c r="CC1091" s="717"/>
      <c r="CD1091" s="717"/>
      <c r="CE1091" s="717"/>
      <c r="CF1091" s="717"/>
      <c r="CG1091" s="717"/>
      <c r="CH1091" s="717"/>
      <c r="CI1091" s="717"/>
      <c r="CJ1091" s="717"/>
      <c r="CK1091" s="717"/>
      <c r="CL1091" s="717"/>
      <c r="CM1091" s="717"/>
      <c r="CN1091" s="717"/>
      <c r="CO1091" s="717"/>
      <c r="CP1091" s="717"/>
      <c r="CQ1091" s="717"/>
      <c r="CR1091" s="717"/>
      <c r="CS1091" s="717"/>
      <c r="CT1091" s="717"/>
      <c r="CU1091" s="717"/>
      <c r="CV1091" s="717"/>
      <c r="CW1091" s="717"/>
      <c r="CX1091" s="717"/>
      <c r="CY1091" s="717"/>
      <c r="CZ1091" s="717"/>
      <c r="DA1091" s="717"/>
      <c r="DB1091" s="717"/>
      <c r="DC1091" s="717"/>
      <c r="DD1091" s="717"/>
      <c r="DE1091" s="717"/>
      <c r="DF1091" s="717"/>
      <c r="DG1091" s="717"/>
      <c r="DH1091" s="717"/>
      <c r="DI1091" s="717"/>
      <c r="DJ1091" s="717"/>
      <c r="DM1091" s="711"/>
      <c r="DN1091" s="711"/>
      <c r="DO1091" s="711"/>
      <c r="DP1091" s="711"/>
      <c r="DQ1091" s="711"/>
    </row>
    <row r="1092" spans="5:121" s="709" customFormat="1" ht="18" hidden="1">
      <c r="H1092" s="723">
        <v>608</v>
      </c>
      <c r="I1092" s="726"/>
      <c r="J1092" s="724"/>
      <c r="K1092" s="724"/>
      <c r="L1092" s="724"/>
      <c r="M1092" s="728"/>
      <c r="N1092" s="724"/>
      <c r="O1092" s="724"/>
      <c r="P1092" s="724"/>
      <c r="Q1092" s="724"/>
      <c r="R1092" s="724"/>
      <c r="S1092" s="724"/>
      <c r="T1092" s="724"/>
      <c r="U1092" s="724"/>
      <c r="V1092" s="724"/>
      <c r="W1092" s="724"/>
      <c r="X1092" s="724"/>
      <c r="Y1092" s="724"/>
      <c r="Z1092" s="724"/>
      <c r="AA1092" s="724"/>
      <c r="AB1092" s="724"/>
      <c r="AC1092" s="729"/>
      <c r="AD1092" s="724"/>
      <c r="AE1092" s="724"/>
      <c r="AF1092" s="724"/>
      <c r="AG1092" s="724"/>
      <c r="AH1092" s="724"/>
      <c r="AI1092" s="724"/>
      <c r="AJ1092" s="724"/>
      <c r="AU1092" s="713"/>
      <c r="AW1092" s="712"/>
      <c r="BY1092" s="714"/>
      <c r="BZ1092" s="715"/>
      <c r="CA1092" s="716"/>
      <c r="CB1092" s="717"/>
      <c r="CC1092" s="717"/>
      <c r="CD1092" s="717"/>
      <c r="CE1092" s="717"/>
      <c r="CF1092" s="717"/>
      <c r="CG1092" s="717"/>
      <c r="CH1092" s="717"/>
      <c r="CI1092" s="717"/>
      <c r="CJ1092" s="717"/>
      <c r="CK1092" s="717"/>
      <c r="CL1092" s="717"/>
      <c r="CM1092" s="717"/>
      <c r="CN1092" s="717"/>
      <c r="CO1092" s="717"/>
      <c r="CP1092" s="717"/>
      <c r="CQ1092" s="717"/>
      <c r="CR1092" s="717"/>
      <c r="CS1092" s="717"/>
      <c r="CT1092" s="717"/>
      <c r="CU1092" s="717"/>
      <c r="CV1092" s="717"/>
      <c r="CW1092" s="717"/>
      <c r="CX1092" s="717"/>
      <c r="CY1092" s="717"/>
      <c r="CZ1092" s="717"/>
      <c r="DA1092" s="717"/>
      <c r="DB1092" s="717"/>
      <c r="DC1092" s="717"/>
      <c r="DD1092" s="717"/>
      <c r="DE1092" s="717"/>
      <c r="DF1092" s="717"/>
      <c r="DG1092" s="717"/>
      <c r="DH1092" s="717"/>
      <c r="DI1092" s="717"/>
      <c r="DJ1092" s="717"/>
      <c r="DM1092" s="711"/>
      <c r="DN1092" s="711"/>
      <c r="DO1092" s="711"/>
      <c r="DP1092" s="711"/>
      <c r="DQ1092" s="711"/>
    </row>
    <row r="1093" spans="5:121" s="709" customFormat="1" ht="18" hidden="1">
      <c r="H1093" s="723">
        <v>624</v>
      </c>
      <c r="I1093" s="726"/>
      <c r="J1093" s="724"/>
      <c r="K1093" s="724"/>
      <c r="L1093" s="724"/>
      <c r="M1093" s="728"/>
      <c r="N1093" s="724"/>
      <c r="O1093" s="724"/>
      <c r="P1093" s="724"/>
      <c r="Q1093" s="724"/>
      <c r="R1093" s="724"/>
      <c r="S1093" s="724"/>
      <c r="T1093" s="724"/>
      <c r="U1093" s="724"/>
      <c r="V1093" s="724"/>
      <c r="W1093" s="724"/>
      <c r="X1093" s="724"/>
      <c r="Y1093" s="724"/>
      <c r="Z1093" s="724"/>
      <c r="AA1093" s="724"/>
      <c r="AB1093" s="724"/>
      <c r="AC1093" s="729"/>
      <c r="AD1093" s="724"/>
      <c r="AE1093" s="724"/>
      <c r="AF1093" s="724"/>
      <c r="AG1093" s="724"/>
      <c r="AH1093" s="724"/>
      <c r="AI1093" s="724"/>
      <c r="AJ1093" s="724"/>
      <c r="AU1093" s="713"/>
      <c r="AW1093" s="712"/>
      <c r="BY1093" s="714"/>
      <c r="BZ1093" s="715"/>
      <c r="CA1093" s="716"/>
      <c r="CB1093" s="717"/>
      <c r="CC1093" s="717"/>
      <c r="CD1093" s="717"/>
      <c r="CE1093" s="717"/>
      <c r="CF1093" s="717"/>
      <c r="CG1093" s="717"/>
      <c r="CH1093" s="717"/>
      <c r="CI1093" s="717"/>
      <c r="CJ1093" s="717"/>
      <c r="CK1093" s="717"/>
      <c r="CL1093" s="717"/>
      <c r="CM1093" s="717"/>
      <c r="CN1093" s="717"/>
      <c r="CO1093" s="717"/>
      <c r="CP1093" s="717"/>
      <c r="CQ1093" s="717"/>
      <c r="CR1093" s="717"/>
      <c r="CS1093" s="717"/>
      <c r="CT1093" s="717"/>
      <c r="CU1093" s="717"/>
      <c r="CV1093" s="717"/>
      <c r="CW1093" s="717"/>
      <c r="CX1093" s="717"/>
      <c r="CY1093" s="717"/>
      <c r="CZ1093" s="717"/>
      <c r="DA1093" s="717"/>
      <c r="DB1093" s="717"/>
      <c r="DC1093" s="717"/>
      <c r="DD1093" s="717"/>
      <c r="DE1093" s="717"/>
      <c r="DF1093" s="717"/>
      <c r="DG1093" s="717"/>
      <c r="DH1093" s="717"/>
      <c r="DI1093" s="717"/>
      <c r="DJ1093" s="717"/>
      <c r="DM1093" s="711"/>
      <c r="DN1093" s="711"/>
      <c r="DO1093" s="711"/>
      <c r="DP1093" s="711"/>
      <c r="DQ1093" s="711"/>
    </row>
    <row r="1094" spans="5:121" s="709" customFormat="1" ht="18" hidden="1">
      <c r="H1094" s="723">
        <v>625</v>
      </c>
      <c r="I1094" s="726"/>
      <c r="J1094" s="724"/>
      <c r="K1094" s="724"/>
      <c r="L1094" s="724"/>
      <c r="M1094" s="728"/>
      <c r="N1094" s="724"/>
      <c r="O1094" s="724"/>
      <c r="P1094" s="724"/>
      <c r="Q1094" s="724"/>
      <c r="R1094" s="724"/>
      <c r="S1094" s="724"/>
      <c r="T1094" s="724"/>
      <c r="U1094" s="724"/>
      <c r="V1094" s="724"/>
      <c r="W1094" s="724"/>
      <c r="X1094" s="724"/>
      <c r="Y1094" s="724"/>
      <c r="Z1094" s="724"/>
      <c r="AA1094" s="724"/>
      <c r="AB1094" s="724"/>
      <c r="AC1094" s="729"/>
      <c r="AD1094" s="724"/>
      <c r="AE1094" s="724"/>
      <c r="AF1094" s="724"/>
      <c r="AG1094" s="724"/>
      <c r="AH1094" s="724"/>
      <c r="AI1094" s="724"/>
      <c r="AJ1094" s="724"/>
      <c r="AU1094" s="713"/>
      <c r="AW1094" s="712"/>
      <c r="BY1094" s="714"/>
      <c r="BZ1094" s="715"/>
      <c r="CA1094" s="716"/>
      <c r="CB1094" s="717"/>
      <c r="CC1094" s="717"/>
      <c r="CD1094" s="717"/>
      <c r="CE1094" s="717"/>
      <c r="CF1094" s="717"/>
      <c r="CG1094" s="717"/>
      <c r="CH1094" s="717"/>
      <c r="CI1094" s="717"/>
      <c r="CJ1094" s="717"/>
      <c r="CK1094" s="717"/>
      <c r="CL1094" s="717"/>
      <c r="CM1094" s="717"/>
      <c r="CN1094" s="717"/>
      <c r="CO1094" s="717"/>
      <c r="CP1094" s="717"/>
      <c r="CQ1094" s="717"/>
      <c r="CR1094" s="717"/>
      <c r="CS1094" s="717"/>
      <c r="CT1094" s="717"/>
      <c r="CU1094" s="717"/>
      <c r="CV1094" s="717"/>
      <c r="CW1094" s="717"/>
      <c r="CX1094" s="717"/>
      <c r="CY1094" s="717"/>
      <c r="CZ1094" s="717"/>
      <c r="DA1094" s="717"/>
      <c r="DB1094" s="717"/>
      <c r="DC1094" s="717"/>
      <c r="DD1094" s="717"/>
      <c r="DE1094" s="717"/>
      <c r="DF1094" s="717"/>
      <c r="DG1094" s="717"/>
      <c r="DH1094" s="717"/>
      <c r="DI1094" s="717"/>
      <c r="DJ1094" s="717"/>
      <c r="DM1094" s="711"/>
      <c r="DN1094" s="711"/>
      <c r="DO1094" s="711"/>
      <c r="DP1094" s="711"/>
      <c r="DQ1094" s="711"/>
    </row>
    <row r="1095" spans="5:121" s="709" customFormat="1" ht="18" hidden="1">
      <c r="H1095" s="723">
        <v>626</v>
      </c>
      <c r="I1095" s="726"/>
      <c r="J1095" s="724"/>
      <c r="K1095" s="724"/>
      <c r="L1095" s="724"/>
      <c r="M1095" s="728"/>
      <c r="N1095" s="724"/>
      <c r="O1095" s="724"/>
      <c r="P1095" s="724"/>
      <c r="Q1095" s="724"/>
      <c r="R1095" s="724"/>
      <c r="S1095" s="724"/>
      <c r="T1095" s="724"/>
      <c r="U1095" s="724"/>
      <c r="V1095" s="724"/>
      <c r="W1095" s="724"/>
      <c r="X1095" s="724"/>
      <c r="Y1095" s="724"/>
      <c r="Z1095" s="724"/>
      <c r="AA1095" s="724"/>
      <c r="AB1095" s="724"/>
      <c r="AC1095" s="729"/>
      <c r="AD1095" s="724"/>
      <c r="AE1095" s="724"/>
      <c r="AF1095" s="724"/>
      <c r="AG1095" s="724"/>
      <c r="AH1095" s="724"/>
      <c r="AI1095" s="724"/>
      <c r="AJ1095" s="724"/>
      <c r="AU1095" s="713"/>
      <c r="AW1095" s="712"/>
      <c r="BY1095" s="714"/>
      <c r="BZ1095" s="715"/>
      <c r="CA1095" s="716"/>
      <c r="CB1095" s="717"/>
      <c r="CC1095" s="717"/>
      <c r="CD1095" s="717"/>
      <c r="CE1095" s="717"/>
      <c r="CF1095" s="717"/>
      <c r="CG1095" s="717"/>
      <c r="CH1095" s="717"/>
      <c r="CI1095" s="717"/>
      <c r="CJ1095" s="717"/>
      <c r="CK1095" s="717"/>
      <c r="CL1095" s="717"/>
      <c r="CM1095" s="717"/>
      <c r="CN1095" s="717"/>
      <c r="CO1095" s="717"/>
      <c r="CP1095" s="717"/>
      <c r="CQ1095" s="717"/>
      <c r="CR1095" s="717"/>
      <c r="CS1095" s="717"/>
      <c r="CT1095" s="717"/>
      <c r="CU1095" s="717"/>
      <c r="CV1095" s="717"/>
      <c r="CW1095" s="717"/>
      <c r="CX1095" s="717"/>
      <c r="CY1095" s="717"/>
      <c r="CZ1095" s="717"/>
      <c r="DA1095" s="717"/>
      <c r="DB1095" s="717"/>
      <c r="DC1095" s="717"/>
      <c r="DD1095" s="717"/>
      <c r="DE1095" s="717"/>
      <c r="DF1095" s="717"/>
      <c r="DG1095" s="717"/>
      <c r="DH1095" s="717"/>
      <c r="DI1095" s="717"/>
      <c r="DJ1095" s="717"/>
      <c r="DM1095" s="711"/>
      <c r="DN1095" s="711"/>
      <c r="DO1095" s="711"/>
      <c r="DP1095" s="711"/>
      <c r="DQ1095" s="711"/>
    </row>
    <row r="1096" spans="5:121" s="709" customFormat="1" ht="18" hidden="1">
      <c r="H1096" s="723">
        <v>627</v>
      </c>
      <c r="I1096" s="726"/>
      <c r="J1096" s="724"/>
      <c r="K1096" s="724"/>
      <c r="L1096" s="724"/>
      <c r="M1096" s="728"/>
      <c r="N1096" s="724"/>
      <c r="O1096" s="724"/>
      <c r="P1096" s="724"/>
      <c r="Q1096" s="724"/>
      <c r="R1096" s="724"/>
      <c r="S1096" s="724"/>
      <c r="T1096" s="724"/>
      <c r="U1096" s="724"/>
      <c r="V1096" s="724"/>
      <c r="W1096" s="724"/>
      <c r="X1096" s="724"/>
      <c r="Y1096" s="724"/>
      <c r="Z1096" s="724"/>
      <c r="AA1096" s="724"/>
      <c r="AB1096" s="724"/>
      <c r="AC1096" s="729"/>
      <c r="AD1096" s="724"/>
      <c r="AE1096" s="724"/>
      <c r="AF1096" s="724"/>
      <c r="AG1096" s="724"/>
      <c r="AH1096" s="724"/>
      <c r="AI1096" s="724"/>
      <c r="AJ1096" s="724"/>
      <c r="AU1096" s="713"/>
      <c r="AW1096" s="712"/>
      <c r="BY1096" s="714"/>
      <c r="BZ1096" s="715"/>
      <c r="CA1096" s="716"/>
      <c r="CB1096" s="717"/>
      <c r="CC1096" s="717"/>
      <c r="CD1096" s="717"/>
      <c r="CE1096" s="717"/>
      <c r="CF1096" s="717"/>
      <c r="CG1096" s="717"/>
      <c r="CH1096" s="717"/>
      <c r="CI1096" s="717"/>
      <c r="CJ1096" s="717"/>
      <c r="CK1096" s="717"/>
      <c r="CL1096" s="717"/>
      <c r="CM1096" s="717"/>
      <c r="CN1096" s="717"/>
      <c r="CO1096" s="717"/>
      <c r="CP1096" s="717"/>
      <c r="CQ1096" s="717"/>
      <c r="CR1096" s="717"/>
      <c r="CS1096" s="717"/>
      <c r="CT1096" s="717"/>
      <c r="CU1096" s="717"/>
      <c r="CV1096" s="717"/>
      <c r="CW1096" s="717"/>
      <c r="CX1096" s="717"/>
      <c r="CY1096" s="717"/>
      <c r="CZ1096" s="717"/>
      <c r="DA1096" s="717"/>
      <c r="DB1096" s="717"/>
      <c r="DC1096" s="717"/>
      <c r="DD1096" s="717"/>
      <c r="DE1096" s="717"/>
      <c r="DF1096" s="717"/>
      <c r="DG1096" s="717"/>
      <c r="DH1096" s="717"/>
      <c r="DI1096" s="717"/>
      <c r="DJ1096" s="717"/>
      <c r="DM1096" s="711"/>
      <c r="DN1096" s="711"/>
      <c r="DO1096" s="711"/>
      <c r="DP1096" s="711"/>
      <c r="DQ1096" s="711"/>
    </row>
    <row r="1097" spans="5:121" s="709" customFormat="1" hidden="1">
      <c r="M1097" s="710"/>
      <c r="P1097" s="711"/>
      <c r="Q1097" s="712"/>
      <c r="U1097" s="711"/>
      <c r="V1097" s="711"/>
      <c r="W1097" s="711"/>
      <c r="X1097" s="711"/>
      <c r="Y1097" s="711"/>
      <c r="Z1097" s="711"/>
      <c r="AU1097" s="713"/>
      <c r="AW1097" s="712"/>
      <c r="BY1097" s="714"/>
      <c r="BZ1097" s="715"/>
      <c r="CA1097" s="716"/>
      <c r="CB1097" s="717"/>
      <c r="CC1097" s="717"/>
      <c r="CD1097" s="717"/>
      <c r="CE1097" s="717"/>
      <c r="CF1097" s="717"/>
      <c r="CG1097" s="717"/>
      <c r="CH1097" s="717"/>
      <c r="CI1097" s="717"/>
      <c r="CJ1097" s="717"/>
      <c r="CK1097" s="717"/>
      <c r="CL1097" s="717"/>
      <c r="CM1097" s="717"/>
      <c r="CN1097" s="717"/>
      <c r="CO1097" s="717"/>
      <c r="CP1097" s="717"/>
      <c r="CQ1097" s="717"/>
      <c r="CR1097" s="717"/>
      <c r="CS1097" s="717"/>
      <c r="CT1097" s="717"/>
      <c r="CU1097" s="717"/>
      <c r="CV1097" s="717"/>
      <c r="CW1097" s="717"/>
      <c r="CX1097" s="717"/>
      <c r="CY1097" s="717"/>
      <c r="CZ1097" s="717"/>
      <c r="DA1097" s="717"/>
      <c r="DB1097" s="717"/>
      <c r="DC1097" s="717"/>
      <c r="DD1097" s="717"/>
      <c r="DE1097" s="717"/>
      <c r="DF1097" s="717"/>
      <c r="DG1097" s="717"/>
      <c r="DH1097" s="717"/>
      <c r="DI1097" s="717"/>
      <c r="DJ1097" s="717"/>
      <c r="DM1097" s="711"/>
      <c r="DN1097" s="711"/>
      <c r="DO1097" s="711"/>
      <c r="DP1097" s="711"/>
      <c r="DQ1097" s="711"/>
    </row>
    <row r="1098" spans="5:121" s="709" customFormat="1" hidden="1">
      <c r="M1098" s="710"/>
      <c r="P1098" s="711"/>
      <c r="Q1098" s="712"/>
      <c r="U1098" s="711"/>
      <c r="V1098" s="711"/>
      <c r="W1098" s="711"/>
      <c r="X1098" s="711"/>
      <c r="Y1098" s="711"/>
      <c r="Z1098" s="711"/>
      <c r="AU1098" s="713"/>
      <c r="AW1098" s="712"/>
      <c r="BY1098" s="714"/>
      <c r="BZ1098" s="715"/>
      <c r="CA1098" s="716"/>
      <c r="CB1098" s="717"/>
      <c r="CC1098" s="717"/>
      <c r="CD1098" s="717"/>
      <c r="CE1098" s="717"/>
      <c r="CF1098" s="717"/>
      <c r="CG1098" s="717"/>
      <c r="CH1098" s="717"/>
      <c r="CI1098" s="717"/>
      <c r="CJ1098" s="717"/>
      <c r="CK1098" s="717"/>
      <c r="CL1098" s="717"/>
      <c r="CM1098" s="717"/>
      <c r="CN1098" s="717"/>
      <c r="CO1098" s="717"/>
      <c r="CP1098" s="717"/>
      <c r="CQ1098" s="717"/>
      <c r="CR1098" s="717"/>
      <c r="CS1098" s="717"/>
      <c r="CT1098" s="717"/>
      <c r="CU1098" s="717"/>
      <c r="CV1098" s="717"/>
      <c r="CW1098" s="717"/>
      <c r="CX1098" s="717"/>
      <c r="CY1098" s="717"/>
      <c r="CZ1098" s="717"/>
      <c r="DA1098" s="717"/>
      <c r="DB1098" s="717"/>
      <c r="DC1098" s="717"/>
      <c r="DD1098" s="717"/>
      <c r="DE1098" s="717"/>
      <c r="DF1098" s="717"/>
      <c r="DG1098" s="717"/>
      <c r="DH1098" s="717"/>
      <c r="DI1098" s="717"/>
      <c r="DJ1098" s="717"/>
      <c r="DM1098" s="711"/>
      <c r="DN1098" s="711"/>
      <c r="DO1098" s="711"/>
      <c r="DP1098" s="711"/>
      <c r="DQ1098" s="711"/>
    </row>
    <row r="1099" spans="5:121" s="709" customFormat="1" hidden="1">
      <c r="M1099" s="710"/>
      <c r="P1099" s="711"/>
      <c r="Q1099" s="712"/>
      <c r="U1099" s="711"/>
      <c r="V1099" s="711"/>
      <c r="W1099" s="711"/>
      <c r="X1099" s="711"/>
      <c r="Y1099" s="711"/>
      <c r="Z1099" s="711"/>
      <c r="AU1099" s="713"/>
      <c r="AW1099" s="712"/>
      <c r="BY1099" s="714"/>
      <c r="BZ1099" s="715"/>
      <c r="CA1099" s="716"/>
      <c r="CB1099" s="717"/>
      <c r="CC1099" s="717"/>
      <c r="CD1099" s="717"/>
      <c r="CE1099" s="717"/>
      <c r="CF1099" s="717"/>
      <c r="CG1099" s="717"/>
      <c r="CH1099" s="717"/>
      <c r="CI1099" s="717"/>
      <c r="CJ1099" s="717"/>
      <c r="CK1099" s="717"/>
      <c r="CL1099" s="717"/>
      <c r="CM1099" s="717"/>
      <c r="CN1099" s="717"/>
      <c r="CO1099" s="717"/>
      <c r="CP1099" s="717"/>
      <c r="CQ1099" s="717"/>
      <c r="CR1099" s="717"/>
      <c r="CS1099" s="717"/>
      <c r="CT1099" s="717"/>
      <c r="CU1099" s="717"/>
      <c r="CV1099" s="717"/>
      <c r="CW1099" s="717"/>
      <c r="CX1099" s="717"/>
      <c r="CY1099" s="717"/>
      <c r="CZ1099" s="717"/>
      <c r="DA1099" s="717"/>
      <c r="DB1099" s="717"/>
      <c r="DC1099" s="717"/>
      <c r="DD1099" s="717"/>
      <c r="DE1099" s="717"/>
      <c r="DF1099" s="717"/>
      <c r="DG1099" s="717"/>
      <c r="DH1099" s="717"/>
      <c r="DI1099" s="717"/>
      <c r="DJ1099" s="717"/>
      <c r="DM1099" s="711"/>
      <c r="DN1099" s="711"/>
      <c r="DO1099" s="711"/>
      <c r="DP1099" s="711"/>
      <c r="DQ1099" s="711"/>
    </row>
    <row r="1100" spans="5:121" s="709" customFormat="1" hidden="1">
      <c r="M1100" s="710"/>
      <c r="P1100" s="711"/>
      <c r="Q1100" s="712"/>
      <c r="U1100" s="711"/>
      <c r="V1100" s="711"/>
      <c r="W1100" s="711"/>
      <c r="X1100" s="711"/>
      <c r="Y1100" s="711"/>
      <c r="Z1100" s="711"/>
      <c r="AU1100" s="713"/>
      <c r="AW1100" s="712"/>
      <c r="BY1100" s="714"/>
      <c r="BZ1100" s="715"/>
      <c r="CA1100" s="716"/>
      <c r="CB1100" s="717"/>
      <c r="CC1100" s="717"/>
      <c r="CD1100" s="717"/>
      <c r="CE1100" s="717"/>
      <c r="CF1100" s="717"/>
      <c r="CG1100" s="717"/>
      <c r="CH1100" s="717"/>
      <c r="CI1100" s="717"/>
      <c r="CJ1100" s="717"/>
      <c r="CK1100" s="717"/>
      <c r="CL1100" s="717"/>
      <c r="CM1100" s="717"/>
      <c r="CN1100" s="717"/>
      <c r="CO1100" s="717"/>
      <c r="CP1100" s="717"/>
      <c r="CQ1100" s="717"/>
      <c r="CR1100" s="717"/>
      <c r="CS1100" s="717"/>
      <c r="CT1100" s="717"/>
      <c r="CU1100" s="717"/>
      <c r="CV1100" s="717"/>
      <c r="CW1100" s="717"/>
      <c r="CX1100" s="717"/>
      <c r="CY1100" s="717"/>
      <c r="CZ1100" s="717"/>
      <c r="DA1100" s="717"/>
      <c r="DB1100" s="717"/>
      <c r="DC1100" s="717"/>
      <c r="DD1100" s="717"/>
      <c r="DE1100" s="717"/>
      <c r="DF1100" s="717"/>
      <c r="DG1100" s="717"/>
      <c r="DH1100" s="717"/>
      <c r="DI1100" s="717"/>
      <c r="DJ1100" s="717"/>
      <c r="DM1100" s="711"/>
      <c r="DN1100" s="711"/>
      <c r="DO1100" s="711"/>
      <c r="DP1100" s="711"/>
      <c r="DQ1100" s="711"/>
    </row>
    <row r="1101" spans="5:121" s="709" customFormat="1" hidden="1">
      <c r="M1101" s="710"/>
      <c r="P1101" s="711"/>
      <c r="Q1101" s="712"/>
      <c r="U1101" s="711"/>
      <c r="V1101" s="711"/>
      <c r="W1101" s="711"/>
      <c r="X1101" s="711"/>
      <c r="Y1101" s="711"/>
      <c r="Z1101" s="711"/>
      <c r="AU1101" s="713"/>
      <c r="AW1101" s="712"/>
      <c r="BY1101" s="714"/>
      <c r="BZ1101" s="715"/>
      <c r="CA1101" s="716"/>
      <c r="CB1101" s="717"/>
      <c r="CC1101" s="717"/>
      <c r="CD1101" s="717"/>
      <c r="CE1101" s="717"/>
      <c r="CF1101" s="717"/>
      <c r="CG1101" s="717"/>
      <c r="CH1101" s="717"/>
      <c r="CI1101" s="717"/>
      <c r="CJ1101" s="717"/>
      <c r="CK1101" s="717"/>
      <c r="CL1101" s="717"/>
      <c r="CM1101" s="717"/>
      <c r="CN1101" s="717"/>
      <c r="CO1101" s="717"/>
      <c r="CP1101" s="717"/>
      <c r="CQ1101" s="717"/>
      <c r="CR1101" s="717"/>
      <c r="CS1101" s="717"/>
      <c r="CT1101" s="717"/>
      <c r="CU1101" s="717"/>
      <c r="CV1101" s="717"/>
      <c r="CW1101" s="717"/>
      <c r="CX1101" s="717"/>
      <c r="CY1101" s="717"/>
      <c r="CZ1101" s="717"/>
      <c r="DA1101" s="717"/>
      <c r="DB1101" s="717"/>
      <c r="DC1101" s="717"/>
      <c r="DD1101" s="717"/>
      <c r="DE1101" s="717"/>
      <c r="DF1101" s="717"/>
      <c r="DG1101" s="717"/>
      <c r="DH1101" s="717"/>
      <c r="DI1101" s="717"/>
      <c r="DJ1101" s="717"/>
      <c r="DM1101" s="711"/>
      <c r="DN1101" s="711"/>
      <c r="DO1101" s="711"/>
      <c r="DP1101" s="711"/>
      <c r="DQ1101" s="711"/>
    </row>
    <row r="1102" spans="5:121" s="709" customFormat="1" hidden="1">
      <c r="M1102" s="710"/>
      <c r="P1102" s="711"/>
      <c r="Q1102" s="712"/>
      <c r="U1102" s="711"/>
      <c r="V1102" s="711"/>
      <c r="W1102" s="711"/>
      <c r="X1102" s="711"/>
      <c r="Y1102" s="711"/>
      <c r="Z1102" s="711"/>
      <c r="AU1102" s="713"/>
      <c r="AW1102" s="712"/>
      <c r="BY1102" s="714"/>
      <c r="BZ1102" s="715"/>
      <c r="CA1102" s="716"/>
      <c r="CB1102" s="717"/>
      <c r="CC1102" s="717"/>
      <c r="CD1102" s="717"/>
      <c r="CE1102" s="717"/>
      <c r="CF1102" s="717"/>
      <c r="CG1102" s="717"/>
      <c r="CH1102" s="717"/>
      <c r="CI1102" s="717"/>
      <c r="CJ1102" s="717"/>
      <c r="CK1102" s="717"/>
      <c r="CL1102" s="717"/>
      <c r="CM1102" s="717"/>
      <c r="CN1102" s="717"/>
      <c r="CO1102" s="717"/>
      <c r="CP1102" s="717"/>
      <c r="CQ1102" s="717"/>
      <c r="CR1102" s="717"/>
      <c r="CS1102" s="717"/>
      <c r="CT1102" s="717"/>
      <c r="CU1102" s="717"/>
      <c r="CV1102" s="717"/>
      <c r="CW1102" s="717"/>
      <c r="CX1102" s="717"/>
      <c r="CY1102" s="717"/>
      <c r="CZ1102" s="717"/>
      <c r="DA1102" s="717"/>
      <c r="DB1102" s="717"/>
      <c r="DC1102" s="717"/>
      <c r="DD1102" s="717"/>
      <c r="DE1102" s="717"/>
      <c r="DF1102" s="717"/>
      <c r="DG1102" s="717"/>
      <c r="DH1102" s="717"/>
      <c r="DI1102" s="717"/>
      <c r="DJ1102" s="717"/>
      <c r="DM1102" s="711"/>
      <c r="DN1102" s="711"/>
      <c r="DO1102" s="711"/>
      <c r="DP1102" s="711"/>
      <c r="DQ1102" s="711"/>
    </row>
    <row r="1103" spans="5:121" s="709" customFormat="1" hidden="1">
      <c r="M1103" s="710"/>
      <c r="P1103" s="711"/>
      <c r="Q1103" s="712"/>
      <c r="U1103" s="711"/>
      <c r="V1103" s="711"/>
      <c r="W1103" s="711"/>
      <c r="X1103" s="711"/>
      <c r="Y1103" s="711"/>
      <c r="Z1103" s="711"/>
      <c r="AU1103" s="713"/>
      <c r="AW1103" s="712"/>
      <c r="BY1103" s="714"/>
      <c r="BZ1103" s="715"/>
      <c r="CA1103" s="716"/>
      <c r="CB1103" s="717"/>
      <c r="CC1103" s="717"/>
      <c r="CD1103" s="717"/>
      <c r="CE1103" s="717"/>
      <c r="CF1103" s="717"/>
      <c r="CG1103" s="717"/>
      <c r="CH1103" s="717"/>
      <c r="CI1103" s="717"/>
      <c r="CJ1103" s="717"/>
      <c r="CK1103" s="717"/>
      <c r="CL1103" s="717"/>
      <c r="CM1103" s="717"/>
      <c r="CN1103" s="717"/>
      <c r="CO1103" s="717"/>
      <c r="CP1103" s="717"/>
      <c r="CQ1103" s="717"/>
      <c r="CR1103" s="717"/>
      <c r="CS1103" s="717"/>
      <c r="CT1103" s="717"/>
      <c r="CU1103" s="717"/>
      <c r="CV1103" s="717"/>
      <c r="CW1103" s="717"/>
      <c r="CX1103" s="717"/>
      <c r="CY1103" s="717"/>
      <c r="CZ1103" s="717"/>
      <c r="DA1103" s="717"/>
      <c r="DB1103" s="717"/>
      <c r="DC1103" s="717"/>
      <c r="DD1103" s="717"/>
      <c r="DE1103" s="717"/>
      <c r="DF1103" s="717"/>
      <c r="DG1103" s="717"/>
      <c r="DH1103" s="717"/>
      <c r="DI1103" s="717"/>
      <c r="DJ1103" s="717"/>
      <c r="DM1103" s="711"/>
      <c r="DN1103" s="711"/>
      <c r="DO1103" s="711"/>
      <c r="DP1103" s="711"/>
      <c r="DQ1103" s="711"/>
    </row>
    <row r="1104" spans="5:121" s="709" customFormat="1" hidden="1">
      <c r="M1104" s="710"/>
      <c r="P1104" s="711"/>
      <c r="Q1104" s="712"/>
      <c r="U1104" s="711"/>
      <c r="V1104" s="711"/>
      <c r="W1104" s="711"/>
      <c r="X1104" s="711"/>
      <c r="Y1104" s="711"/>
      <c r="Z1104" s="711"/>
      <c r="AU1104" s="713"/>
      <c r="AW1104" s="712"/>
      <c r="BY1104" s="714"/>
      <c r="BZ1104" s="715"/>
      <c r="CA1104" s="716"/>
      <c r="CB1104" s="717"/>
      <c r="CC1104" s="717"/>
      <c r="CD1104" s="717"/>
      <c r="CE1104" s="717"/>
      <c r="CF1104" s="717"/>
      <c r="CG1104" s="717"/>
      <c r="CH1104" s="717"/>
      <c r="CI1104" s="717"/>
      <c r="CJ1104" s="717"/>
      <c r="CK1104" s="717"/>
      <c r="CL1104" s="717"/>
      <c r="CM1104" s="717"/>
      <c r="CN1104" s="717"/>
      <c r="CO1104" s="717"/>
      <c r="CP1104" s="717"/>
      <c r="CQ1104" s="717"/>
      <c r="CR1104" s="717"/>
      <c r="CS1104" s="717"/>
      <c r="CT1104" s="717"/>
      <c r="CU1104" s="717"/>
      <c r="CV1104" s="717"/>
      <c r="CW1104" s="717"/>
      <c r="CX1104" s="717"/>
      <c r="CY1104" s="717"/>
      <c r="CZ1104" s="717"/>
      <c r="DA1104" s="717"/>
      <c r="DB1104" s="717"/>
      <c r="DC1104" s="717"/>
      <c r="DD1104" s="717"/>
      <c r="DE1104" s="717"/>
      <c r="DF1104" s="717"/>
      <c r="DG1104" s="717"/>
      <c r="DH1104" s="717"/>
      <c r="DI1104" s="717"/>
      <c r="DJ1104" s="717"/>
      <c r="DM1104" s="711"/>
      <c r="DN1104" s="711"/>
      <c r="DO1104" s="711"/>
      <c r="DP1104" s="711"/>
      <c r="DQ1104" s="711"/>
    </row>
    <row r="1105" spans="13:121" s="709" customFormat="1" hidden="1">
      <c r="M1105" s="710"/>
      <c r="P1105" s="711"/>
      <c r="Q1105" s="712"/>
      <c r="U1105" s="711"/>
      <c r="V1105" s="711"/>
      <c r="W1105" s="711"/>
      <c r="X1105" s="711"/>
      <c r="Y1105" s="711"/>
      <c r="Z1105" s="711"/>
      <c r="AU1105" s="713"/>
      <c r="AW1105" s="712"/>
      <c r="BY1105" s="714"/>
      <c r="BZ1105" s="715"/>
      <c r="CA1105" s="716"/>
      <c r="CB1105" s="717"/>
      <c r="CC1105" s="717"/>
      <c r="CD1105" s="717"/>
      <c r="CE1105" s="717"/>
      <c r="CF1105" s="717"/>
      <c r="CG1105" s="717"/>
      <c r="CH1105" s="717"/>
      <c r="CI1105" s="717"/>
      <c r="CJ1105" s="717"/>
      <c r="CK1105" s="717"/>
      <c r="CL1105" s="717"/>
      <c r="CM1105" s="717"/>
      <c r="CN1105" s="717"/>
      <c r="CO1105" s="717"/>
      <c r="CP1105" s="717"/>
      <c r="CQ1105" s="717"/>
      <c r="CR1105" s="717"/>
      <c r="CS1105" s="717"/>
      <c r="CT1105" s="717"/>
      <c r="CU1105" s="717"/>
      <c r="CV1105" s="717"/>
      <c r="CW1105" s="717"/>
      <c r="CX1105" s="717"/>
      <c r="CY1105" s="717"/>
      <c r="CZ1105" s="717"/>
      <c r="DA1105" s="717"/>
      <c r="DB1105" s="717"/>
      <c r="DC1105" s="717"/>
      <c r="DD1105" s="717"/>
      <c r="DE1105" s="717"/>
      <c r="DF1105" s="717"/>
      <c r="DG1105" s="717"/>
      <c r="DH1105" s="717"/>
      <c r="DI1105" s="717"/>
      <c r="DJ1105" s="717"/>
      <c r="DM1105" s="711"/>
      <c r="DN1105" s="711"/>
      <c r="DO1105" s="711"/>
      <c r="DP1105" s="711"/>
      <c r="DQ1105" s="711"/>
    </row>
    <row r="1106" spans="13:121" s="709" customFormat="1" hidden="1">
      <c r="M1106" s="710"/>
      <c r="P1106" s="711"/>
      <c r="Q1106" s="712"/>
      <c r="U1106" s="711"/>
      <c r="V1106" s="711"/>
      <c r="W1106" s="711"/>
      <c r="X1106" s="711"/>
      <c r="Y1106" s="711"/>
      <c r="Z1106" s="711"/>
      <c r="AU1106" s="713"/>
      <c r="AW1106" s="712"/>
      <c r="BY1106" s="714"/>
      <c r="BZ1106" s="715"/>
      <c r="CA1106" s="716"/>
      <c r="CB1106" s="717"/>
      <c r="CC1106" s="717"/>
      <c r="CD1106" s="717"/>
      <c r="CE1106" s="717"/>
      <c r="CF1106" s="717"/>
      <c r="CG1106" s="717"/>
      <c r="CH1106" s="717"/>
      <c r="CI1106" s="717"/>
      <c r="CJ1106" s="717"/>
      <c r="CK1106" s="717"/>
      <c r="CL1106" s="717"/>
      <c r="CM1106" s="717"/>
      <c r="CN1106" s="717"/>
      <c r="CO1106" s="717"/>
      <c r="CP1106" s="717"/>
      <c r="CQ1106" s="717"/>
      <c r="CR1106" s="717"/>
      <c r="CS1106" s="717"/>
      <c r="CT1106" s="717"/>
      <c r="CU1106" s="717"/>
      <c r="CV1106" s="717"/>
      <c r="CW1106" s="717"/>
      <c r="CX1106" s="717"/>
      <c r="CY1106" s="717"/>
      <c r="CZ1106" s="717"/>
      <c r="DA1106" s="717"/>
      <c r="DB1106" s="717"/>
      <c r="DC1106" s="717"/>
      <c r="DD1106" s="717"/>
      <c r="DE1106" s="717"/>
      <c r="DF1106" s="717"/>
      <c r="DG1106" s="717"/>
      <c r="DH1106" s="717"/>
      <c r="DI1106" s="717"/>
      <c r="DJ1106" s="717"/>
      <c r="DM1106" s="711"/>
      <c r="DN1106" s="711"/>
      <c r="DO1106" s="711"/>
      <c r="DP1106" s="711"/>
      <c r="DQ1106" s="711"/>
    </row>
    <row r="1107" spans="13:121" s="709" customFormat="1" hidden="1">
      <c r="M1107" s="710"/>
      <c r="P1107" s="711"/>
      <c r="Q1107" s="712"/>
      <c r="U1107" s="711"/>
      <c r="V1107" s="711"/>
      <c r="W1107" s="711"/>
      <c r="X1107" s="711"/>
      <c r="Y1107" s="711"/>
      <c r="Z1107" s="711"/>
      <c r="AU1107" s="713"/>
      <c r="AW1107" s="712"/>
      <c r="BY1107" s="714"/>
      <c r="BZ1107" s="715"/>
      <c r="CA1107" s="716"/>
      <c r="CB1107" s="717"/>
      <c r="CC1107" s="717"/>
      <c r="CD1107" s="717"/>
      <c r="CE1107" s="717"/>
      <c r="CF1107" s="717"/>
      <c r="CG1107" s="717"/>
      <c r="CH1107" s="717"/>
      <c r="CI1107" s="717"/>
      <c r="CJ1107" s="717"/>
      <c r="CK1107" s="717"/>
      <c r="CL1107" s="717"/>
      <c r="CM1107" s="717"/>
      <c r="CN1107" s="717"/>
      <c r="CO1107" s="717"/>
      <c r="CP1107" s="717"/>
      <c r="CQ1107" s="717"/>
      <c r="CR1107" s="717"/>
      <c r="CS1107" s="717"/>
      <c r="CT1107" s="717"/>
      <c r="CU1107" s="717"/>
      <c r="CV1107" s="717"/>
      <c r="CW1107" s="717"/>
      <c r="CX1107" s="717"/>
      <c r="CY1107" s="717"/>
      <c r="CZ1107" s="717"/>
      <c r="DA1107" s="717"/>
      <c r="DB1107" s="717"/>
      <c r="DC1107" s="717"/>
      <c r="DD1107" s="717"/>
      <c r="DE1107" s="717"/>
      <c r="DF1107" s="717"/>
      <c r="DG1107" s="717"/>
      <c r="DH1107" s="717"/>
      <c r="DI1107" s="717"/>
      <c r="DJ1107" s="717"/>
      <c r="DM1107" s="711"/>
      <c r="DN1107" s="711"/>
      <c r="DO1107" s="711"/>
      <c r="DP1107" s="711"/>
      <c r="DQ1107" s="711"/>
    </row>
    <row r="1108" spans="13:121" s="709" customFormat="1" hidden="1">
      <c r="M1108" s="710"/>
      <c r="P1108" s="711"/>
      <c r="Q1108" s="712"/>
      <c r="U1108" s="711"/>
      <c r="V1108" s="711"/>
      <c r="W1108" s="711"/>
      <c r="X1108" s="711"/>
      <c r="Y1108" s="711"/>
      <c r="Z1108" s="711"/>
      <c r="AU1108" s="713"/>
      <c r="AW1108" s="712"/>
      <c r="BY1108" s="714"/>
      <c r="BZ1108" s="715"/>
      <c r="CA1108" s="716"/>
      <c r="CB1108" s="717"/>
      <c r="CC1108" s="717"/>
      <c r="CD1108" s="717"/>
      <c r="CE1108" s="717"/>
      <c r="CF1108" s="717"/>
      <c r="CG1108" s="717"/>
      <c r="CH1108" s="717"/>
      <c r="CI1108" s="717"/>
      <c r="CJ1108" s="717"/>
      <c r="CK1108" s="717"/>
      <c r="CL1108" s="717"/>
      <c r="CM1108" s="717"/>
      <c r="CN1108" s="717"/>
      <c r="CO1108" s="717"/>
      <c r="CP1108" s="717"/>
      <c r="CQ1108" s="717"/>
      <c r="CR1108" s="717"/>
      <c r="CS1108" s="717"/>
      <c r="CT1108" s="717"/>
      <c r="CU1108" s="717"/>
      <c r="CV1108" s="717"/>
      <c r="CW1108" s="717"/>
      <c r="CX1108" s="717"/>
      <c r="CY1108" s="717"/>
      <c r="CZ1108" s="717"/>
      <c r="DA1108" s="717"/>
      <c r="DB1108" s="717"/>
      <c r="DC1108" s="717"/>
      <c r="DD1108" s="717"/>
      <c r="DE1108" s="717"/>
      <c r="DF1108" s="717"/>
      <c r="DG1108" s="717"/>
      <c r="DH1108" s="717"/>
      <c r="DI1108" s="717"/>
      <c r="DJ1108" s="717"/>
      <c r="DM1108" s="711"/>
      <c r="DN1108" s="711"/>
      <c r="DO1108" s="711"/>
      <c r="DP1108" s="711"/>
      <c r="DQ1108" s="711"/>
    </row>
    <row r="1109" spans="13:121" s="709" customFormat="1" hidden="1">
      <c r="M1109" s="710"/>
      <c r="P1109" s="711"/>
      <c r="Q1109" s="712"/>
      <c r="U1109" s="711"/>
      <c r="V1109" s="711"/>
      <c r="W1109" s="711"/>
      <c r="X1109" s="711"/>
      <c r="Y1109" s="711"/>
      <c r="Z1109" s="711"/>
      <c r="AU1109" s="713"/>
      <c r="AW1109" s="712"/>
      <c r="BY1109" s="714"/>
      <c r="BZ1109" s="715"/>
      <c r="CA1109" s="716"/>
      <c r="CB1109" s="717"/>
      <c r="CC1109" s="717"/>
      <c r="CD1109" s="717"/>
      <c r="CE1109" s="717"/>
      <c r="CF1109" s="717"/>
      <c r="CG1109" s="717"/>
      <c r="CH1109" s="717"/>
      <c r="CI1109" s="717"/>
      <c r="CJ1109" s="717"/>
      <c r="CK1109" s="717"/>
      <c r="CL1109" s="717"/>
      <c r="CM1109" s="717"/>
      <c r="CN1109" s="717"/>
      <c r="CO1109" s="717"/>
      <c r="CP1109" s="717"/>
      <c r="CQ1109" s="717"/>
      <c r="CR1109" s="717"/>
      <c r="CS1109" s="717"/>
      <c r="CT1109" s="717"/>
      <c r="CU1109" s="717"/>
      <c r="CV1109" s="717"/>
      <c r="CW1109" s="717"/>
      <c r="CX1109" s="717"/>
      <c r="CY1109" s="717"/>
      <c r="CZ1109" s="717"/>
      <c r="DA1109" s="717"/>
      <c r="DB1109" s="717"/>
      <c r="DC1109" s="717"/>
      <c r="DD1109" s="717"/>
      <c r="DE1109" s="717"/>
      <c r="DF1109" s="717"/>
      <c r="DG1109" s="717"/>
      <c r="DH1109" s="717"/>
      <c r="DI1109" s="717"/>
      <c r="DJ1109" s="717"/>
      <c r="DM1109" s="711"/>
      <c r="DN1109" s="711"/>
      <c r="DO1109" s="711"/>
      <c r="DP1109" s="711"/>
      <c r="DQ1109" s="711"/>
    </row>
    <row r="1110" spans="13:121" s="709" customFormat="1" hidden="1">
      <c r="M1110" s="710"/>
      <c r="P1110" s="711"/>
      <c r="Q1110" s="712"/>
      <c r="U1110" s="711"/>
      <c r="V1110" s="711"/>
      <c r="W1110" s="711"/>
      <c r="X1110" s="711"/>
      <c r="Y1110" s="711"/>
      <c r="Z1110" s="711"/>
      <c r="AU1110" s="713"/>
      <c r="AW1110" s="712"/>
      <c r="BY1110" s="714"/>
      <c r="BZ1110" s="715"/>
      <c r="CA1110" s="716"/>
      <c r="CB1110" s="717"/>
      <c r="CC1110" s="717"/>
      <c r="CD1110" s="717"/>
      <c r="CE1110" s="717"/>
      <c r="CF1110" s="717"/>
      <c r="CG1110" s="717"/>
      <c r="CH1110" s="717"/>
      <c r="CI1110" s="717"/>
      <c r="CJ1110" s="717"/>
      <c r="CK1110" s="717"/>
      <c r="CL1110" s="717"/>
      <c r="CM1110" s="717"/>
      <c r="CN1110" s="717"/>
      <c r="CO1110" s="717"/>
      <c r="CP1110" s="717"/>
      <c r="CQ1110" s="717"/>
      <c r="CR1110" s="717"/>
      <c r="CS1110" s="717"/>
      <c r="CT1110" s="717"/>
      <c r="CU1110" s="717"/>
      <c r="CV1110" s="717"/>
      <c r="CW1110" s="717"/>
      <c r="CX1110" s="717"/>
      <c r="CY1110" s="717"/>
      <c r="CZ1110" s="717"/>
      <c r="DA1110" s="717"/>
      <c r="DB1110" s="717"/>
      <c r="DC1110" s="717"/>
      <c r="DD1110" s="717"/>
      <c r="DE1110" s="717"/>
      <c r="DF1110" s="717"/>
      <c r="DG1110" s="717"/>
      <c r="DH1110" s="717"/>
      <c r="DI1110" s="717"/>
      <c r="DJ1110" s="717"/>
      <c r="DM1110" s="711"/>
      <c r="DN1110" s="711"/>
      <c r="DO1110" s="711"/>
      <c r="DP1110" s="711"/>
      <c r="DQ1110" s="711"/>
    </row>
    <row r="1111" spans="13:121" s="709" customFormat="1" hidden="1">
      <c r="M1111" s="710"/>
      <c r="P1111" s="711"/>
      <c r="Q1111" s="712"/>
      <c r="U1111" s="711"/>
      <c r="V1111" s="711"/>
      <c r="W1111" s="711"/>
      <c r="X1111" s="711"/>
      <c r="Y1111" s="711"/>
      <c r="Z1111" s="711"/>
      <c r="AU1111" s="713"/>
      <c r="AW1111" s="712"/>
      <c r="BY1111" s="714"/>
      <c r="BZ1111" s="715"/>
      <c r="CA1111" s="716"/>
      <c r="CB1111" s="717"/>
      <c r="CC1111" s="717"/>
      <c r="CD1111" s="717"/>
      <c r="CE1111" s="717"/>
      <c r="CF1111" s="717"/>
      <c r="CG1111" s="717"/>
      <c r="CH1111" s="717"/>
      <c r="CI1111" s="717"/>
      <c r="CJ1111" s="717"/>
      <c r="CK1111" s="717"/>
      <c r="CL1111" s="717"/>
      <c r="CM1111" s="717"/>
      <c r="CN1111" s="717"/>
      <c r="CO1111" s="717"/>
      <c r="CP1111" s="717"/>
      <c r="CQ1111" s="717"/>
      <c r="CR1111" s="717"/>
      <c r="CS1111" s="717"/>
      <c r="CT1111" s="717"/>
      <c r="CU1111" s="717"/>
      <c r="CV1111" s="717"/>
      <c r="CW1111" s="717"/>
      <c r="CX1111" s="717"/>
      <c r="CY1111" s="717"/>
      <c r="CZ1111" s="717"/>
      <c r="DA1111" s="717"/>
      <c r="DB1111" s="717"/>
      <c r="DC1111" s="717"/>
      <c r="DD1111" s="717"/>
      <c r="DE1111" s="717"/>
      <c r="DF1111" s="717"/>
      <c r="DG1111" s="717"/>
      <c r="DH1111" s="717"/>
      <c r="DI1111" s="717"/>
      <c r="DJ1111" s="717"/>
      <c r="DM1111" s="711"/>
      <c r="DN1111" s="711"/>
      <c r="DO1111" s="711"/>
      <c r="DP1111" s="711"/>
      <c r="DQ1111" s="711"/>
    </row>
    <row r="1112" spans="13:121" s="709" customFormat="1" hidden="1">
      <c r="M1112" s="710"/>
      <c r="P1112" s="711"/>
      <c r="Q1112" s="712"/>
      <c r="U1112" s="711"/>
      <c r="V1112" s="711"/>
      <c r="W1112" s="711"/>
      <c r="X1112" s="711"/>
      <c r="Y1112" s="711"/>
      <c r="Z1112" s="711"/>
      <c r="AU1112" s="713"/>
      <c r="AW1112" s="712"/>
      <c r="BY1112" s="714"/>
      <c r="BZ1112" s="715"/>
      <c r="CA1112" s="716"/>
      <c r="CB1112" s="717"/>
      <c r="CC1112" s="717"/>
      <c r="CD1112" s="717"/>
      <c r="CE1112" s="717"/>
      <c r="CF1112" s="717"/>
      <c r="CG1112" s="717"/>
      <c r="CH1112" s="717"/>
      <c r="CI1112" s="717"/>
      <c r="CJ1112" s="717"/>
      <c r="CK1112" s="717"/>
      <c r="CL1112" s="717"/>
      <c r="CM1112" s="717"/>
      <c r="CN1112" s="717"/>
      <c r="CO1112" s="717"/>
      <c r="CP1112" s="717"/>
      <c r="CQ1112" s="717"/>
      <c r="CR1112" s="717"/>
      <c r="CS1112" s="717"/>
      <c r="CT1112" s="717"/>
      <c r="CU1112" s="717"/>
      <c r="CV1112" s="717"/>
      <c r="CW1112" s="717"/>
      <c r="CX1112" s="717"/>
      <c r="CY1112" s="717"/>
      <c r="CZ1112" s="717"/>
      <c r="DA1112" s="717"/>
      <c r="DB1112" s="717"/>
      <c r="DC1112" s="717"/>
      <c r="DD1112" s="717"/>
      <c r="DE1112" s="717"/>
      <c r="DF1112" s="717"/>
      <c r="DG1112" s="717"/>
      <c r="DH1112" s="717"/>
      <c r="DI1112" s="717"/>
      <c r="DJ1112" s="717"/>
      <c r="DM1112" s="711"/>
      <c r="DN1112" s="711"/>
      <c r="DO1112" s="711"/>
      <c r="DP1112" s="711"/>
      <c r="DQ1112" s="711"/>
    </row>
    <row r="1113" spans="13:121" s="709" customFormat="1" hidden="1">
      <c r="M1113" s="710"/>
      <c r="P1113" s="711"/>
      <c r="Q1113" s="712"/>
      <c r="U1113" s="711"/>
      <c r="V1113" s="711"/>
      <c r="W1113" s="711"/>
      <c r="X1113" s="711"/>
      <c r="Y1113" s="711"/>
      <c r="Z1113" s="711"/>
      <c r="AU1113" s="713"/>
      <c r="AW1113" s="712"/>
      <c r="BY1113" s="714"/>
      <c r="BZ1113" s="715"/>
      <c r="CA1113" s="716"/>
      <c r="CB1113" s="717"/>
      <c r="CC1113" s="717"/>
      <c r="CD1113" s="717"/>
      <c r="CE1113" s="717"/>
      <c r="CF1113" s="717"/>
      <c r="CG1113" s="717"/>
      <c r="CH1113" s="717"/>
      <c r="CI1113" s="717"/>
      <c r="CJ1113" s="717"/>
      <c r="CK1113" s="717"/>
      <c r="CL1113" s="717"/>
      <c r="CM1113" s="717"/>
      <c r="CN1113" s="717"/>
      <c r="CO1113" s="717"/>
      <c r="CP1113" s="717"/>
      <c r="CQ1113" s="717"/>
      <c r="CR1113" s="717"/>
      <c r="CS1113" s="717"/>
      <c r="CT1113" s="717"/>
      <c r="CU1113" s="717"/>
      <c r="CV1113" s="717"/>
      <c r="CW1113" s="717"/>
      <c r="CX1113" s="717"/>
      <c r="CY1113" s="717"/>
      <c r="CZ1113" s="717"/>
      <c r="DA1113" s="717"/>
      <c r="DB1113" s="717"/>
      <c r="DC1113" s="717"/>
      <c r="DD1113" s="717"/>
      <c r="DE1113" s="717"/>
      <c r="DF1113" s="717"/>
      <c r="DG1113" s="717"/>
      <c r="DH1113" s="717"/>
      <c r="DI1113" s="717"/>
      <c r="DJ1113" s="717"/>
      <c r="DM1113" s="711"/>
      <c r="DN1113" s="711"/>
      <c r="DO1113" s="711"/>
      <c r="DP1113" s="711"/>
      <c r="DQ1113" s="711"/>
    </row>
    <row r="1114" spans="13:121" s="709" customFormat="1" hidden="1">
      <c r="M1114" s="710"/>
      <c r="P1114" s="711"/>
      <c r="Q1114" s="712"/>
      <c r="U1114" s="711"/>
      <c r="V1114" s="711"/>
      <c r="W1114" s="711"/>
      <c r="X1114" s="711"/>
      <c r="Y1114" s="711"/>
      <c r="Z1114" s="711"/>
      <c r="AU1114" s="713"/>
      <c r="AW1114" s="712"/>
      <c r="BY1114" s="714"/>
      <c r="BZ1114" s="715"/>
      <c r="CA1114" s="716"/>
      <c r="CB1114" s="717"/>
      <c r="CC1114" s="717"/>
      <c r="CD1114" s="717"/>
      <c r="CE1114" s="717"/>
      <c r="CF1114" s="717"/>
      <c r="CG1114" s="717"/>
      <c r="CH1114" s="717"/>
      <c r="CI1114" s="717"/>
      <c r="CJ1114" s="717"/>
      <c r="CK1114" s="717"/>
      <c r="CL1114" s="717"/>
      <c r="CM1114" s="717"/>
      <c r="CN1114" s="717"/>
      <c r="CO1114" s="717"/>
      <c r="CP1114" s="717"/>
      <c r="CQ1114" s="717"/>
      <c r="CR1114" s="717"/>
      <c r="CS1114" s="717"/>
      <c r="CT1114" s="717"/>
      <c r="CU1114" s="717"/>
      <c r="CV1114" s="717"/>
      <c r="CW1114" s="717"/>
      <c r="CX1114" s="717"/>
      <c r="CY1114" s="717"/>
      <c r="CZ1114" s="717"/>
      <c r="DA1114" s="717"/>
      <c r="DB1114" s="717"/>
      <c r="DC1114" s="717"/>
      <c r="DD1114" s="717"/>
      <c r="DE1114" s="717"/>
      <c r="DF1114" s="717"/>
      <c r="DG1114" s="717"/>
      <c r="DH1114" s="717"/>
      <c r="DI1114" s="717"/>
      <c r="DJ1114" s="717"/>
      <c r="DM1114" s="711"/>
      <c r="DN1114" s="711"/>
      <c r="DO1114" s="711"/>
      <c r="DP1114" s="711"/>
      <c r="DQ1114" s="711"/>
    </row>
    <row r="1115" spans="13:121" s="709" customFormat="1" hidden="1">
      <c r="M1115" s="710"/>
      <c r="P1115" s="711"/>
      <c r="Q1115" s="712"/>
      <c r="U1115" s="711"/>
      <c r="V1115" s="711"/>
      <c r="W1115" s="711"/>
      <c r="X1115" s="711"/>
      <c r="Y1115" s="711"/>
      <c r="Z1115" s="711"/>
      <c r="AU1115" s="713"/>
      <c r="AW1115" s="712"/>
      <c r="BY1115" s="714"/>
      <c r="BZ1115" s="715"/>
      <c r="CA1115" s="716"/>
      <c r="CB1115" s="717"/>
      <c r="CC1115" s="717"/>
      <c r="CD1115" s="717"/>
      <c r="CE1115" s="717"/>
      <c r="CF1115" s="717"/>
      <c r="CG1115" s="717"/>
      <c r="CH1115" s="717"/>
      <c r="CI1115" s="717"/>
      <c r="CJ1115" s="717"/>
      <c r="CK1115" s="717"/>
      <c r="CL1115" s="717"/>
      <c r="CM1115" s="717"/>
      <c r="CN1115" s="717"/>
      <c r="CO1115" s="717"/>
      <c r="CP1115" s="717"/>
      <c r="CQ1115" s="717"/>
      <c r="CR1115" s="717"/>
      <c r="CS1115" s="717"/>
      <c r="CT1115" s="717"/>
      <c r="CU1115" s="717"/>
      <c r="CV1115" s="717"/>
      <c r="CW1115" s="717"/>
      <c r="CX1115" s="717"/>
      <c r="CY1115" s="717"/>
      <c r="CZ1115" s="717"/>
      <c r="DA1115" s="717"/>
      <c r="DB1115" s="717"/>
      <c r="DC1115" s="717"/>
      <c r="DD1115" s="717"/>
      <c r="DE1115" s="717"/>
      <c r="DF1115" s="717"/>
      <c r="DG1115" s="717"/>
      <c r="DH1115" s="717"/>
      <c r="DI1115" s="717"/>
      <c r="DJ1115" s="717"/>
      <c r="DM1115" s="711"/>
      <c r="DN1115" s="711"/>
      <c r="DO1115" s="711"/>
      <c r="DP1115" s="711"/>
      <c r="DQ1115" s="711"/>
    </row>
    <row r="1116" spans="13:121" s="709" customFormat="1" hidden="1">
      <c r="M1116" s="710"/>
      <c r="P1116" s="711"/>
      <c r="Q1116" s="712"/>
      <c r="U1116" s="711"/>
      <c r="V1116" s="711"/>
      <c r="W1116" s="711"/>
      <c r="X1116" s="711"/>
      <c r="Y1116" s="711"/>
      <c r="Z1116" s="711"/>
      <c r="AU1116" s="713"/>
      <c r="AW1116" s="712"/>
      <c r="BY1116" s="714"/>
      <c r="BZ1116" s="715"/>
      <c r="CA1116" s="716"/>
      <c r="CB1116" s="717"/>
      <c r="CC1116" s="717"/>
      <c r="CD1116" s="717"/>
      <c r="CE1116" s="717"/>
      <c r="CF1116" s="717"/>
      <c r="CG1116" s="717"/>
      <c r="CH1116" s="717"/>
      <c r="CI1116" s="717"/>
      <c r="CJ1116" s="717"/>
      <c r="CK1116" s="717"/>
      <c r="CL1116" s="717"/>
      <c r="CM1116" s="717"/>
      <c r="CN1116" s="717"/>
      <c r="CO1116" s="717"/>
      <c r="CP1116" s="717"/>
      <c r="CQ1116" s="717"/>
      <c r="CR1116" s="717"/>
      <c r="CS1116" s="717"/>
      <c r="CT1116" s="717"/>
      <c r="CU1116" s="717"/>
      <c r="CV1116" s="717"/>
      <c r="CW1116" s="717"/>
      <c r="CX1116" s="717"/>
      <c r="CY1116" s="717"/>
      <c r="CZ1116" s="717"/>
      <c r="DA1116" s="717"/>
      <c r="DB1116" s="717"/>
      <c r="DC1116" s="717"/>
      <c r="DD1116" s="717"/>
      <c r="DE1116" s="717"/>
      <c r="DF1116" s="717"/>
      <c r="DG1116" s="717"/>
      <c r="DH1116" s="717"/>
      <c r="DI1116" s="717"/>
      <c r="DJ1116" s="717"/>
      <c r="DM1116" s="711"/>
      <c r="DN1116" s="711"/>
      <c r="DO1116" s="711"/>
      <c r="DP1116" s="711"/>
      <c r="DQ1116" s="711"/>
    </row>
    <row r="1117" spans="13:121" s="709" customFormat="1" hidden="1">
      <c r="M1117" s="710"/>
      <c r="P1117" s="711"/>
      <c r="Q1117" s="712"/>
      <c r="U1117" s="711"/>
      <c r="V1117" s="711"/>
      <c r="W1117" s="711"/>
      <c r="X1117" s="711"/>
      <c r="Y1117" s="711"/>
      <c r="Z1117" s="711"/>
      <c r="AU1117" s="713"/>
      <c r="AW1117" s="712"/>
      <c r="BY1117" s="714"/>
      <c r="BZ1117" s="715"/>
      <c r="CA1117" s="716"/>
      <c r="CB1117" s="717"/>
      <c r="CC1117" s="717"/>
      <c r="CD1117" s="717"/>
      <c r="CE1117" s="717"/>
      <c r="CF1117" s="717"/>
      <c r="CG1117" s="717"/>
      <c r="CH1117" s="717"/>
      <c r="CI1117" s="717"/>
      <c r="CJ1117" s="717"/>
      <c r="CK1117" s="717"/>
      <c r="CL1117" s="717"/>
      <c r="CM1117" s="717"/>
      <c r="CN1117" s="717"/>
      <c r="CO1117" s="717"/>
      <c r="CP1117" s="717"/>
      <c r="CQ1117" s="717"/>
      <c r="CR1117" s="717"/>
      <c r="CS1117" s="717"/>
      <c r="CT1117" s="717"/>
      <c r="CU1117" s="717"/>
      <c r="CV1117" s="717"/>
      <c r="CW1117" s="717"/>
      <c r="CX1117" s="717"/>
      <c r="CY1117" s="717"/>
      <c r="CZ1117" s="717"/>
      <c r="DA1117" s="717"/>
      <c r="DB1117" s="717"/>
      <c r="DC1117" s="717"/>
      <c r="DD1117" s="717"/>
      <c r="DE1117" s="717"/>
      <c r="DF1117" s="717"/>
      <c r="DG1117" s="717"/>
      <c r="DH1117" s="717"/>
      <c r="DI1117" s="717"/>
      <c r="DJ1117" s="717"/>
      <c r="DM1117" s="711"/>
      <c r="DN1117" s="711"/>
      <c r="DO1117" s="711"/>
      <c r="DP1117" s="711"/>
      <c r="DQ1117" s="711"/>
    </row>
    <row r="1118" spans="13:121" s="709" customFormat="1" hidden="1">
      <c r="M1118" s="710"/>
      <c r="P1118" s="711"/>
      <c r="Q1118" s="712"/>
      <c r="U1118" s="711"/>
      <c r="V1118" s="711"/>
      <c r="W1118" s="711"/>
      <c r="X1118" s="711"/>
      <c r="Y1118" s="711"/>
      <c r="Z1118" s="711"/>
      <c r="AU1118" s="713"/>
      <c r="AW1118" s="712"/>
      <c r="BY1118" s="714"/>
      <c r="BZ1118" s="715"/>
      <c r="CA1118" s="716"/>
      <c r="CB1118" s="717"/>
      <c r="CC1118" s="717"/>
      <c r="CD1118" s="717"/>
      <c r="CE1118" s="717"/>
      <c r="CF1118" s="717"/>
      <c r="CG1118" s="717"/>
      <c r="CH1118" s="717"/>
      <c r="CI1118" s="717"/>
      <c r="CJ1118" s="717"/>
      <c r="CK1118" s="717"/>
      <c r="CL1118" s="717"/>
      <c r="CM1118" s="717"/>
      <c r="CN1118" s="717"/>
      <c r="CO1118" s="717"/>
      <c r="CP1118" s="717"/>
      <c r="CQ1118" s="717"/>
      <c r="CR1118" s="717"/>
      <c r="CS1118" s="717"/>
      <c r="CT1118" s="717"/>
      <c r="CU1118" s="717"/>
      <c r="CV1118" s="717"/>
      <c r="CW1118" s="717"/>
      <c r="CX1118" s="717"/>
      <c r="CY1118" s="717"/>
      <c r="CZ1118" s="717"/>
      <c r="DA1118" s="717"/>
      <c r="DB1118" s="717"/>
      <c r="DC1118" s="717"/>
      <c r="DD1118" s="717"/>
      <c r="DE1118" s="717"/>
      <c r="DF1118" s="717"/>
      <c r="DG1118" s="717"/>
      <c r="DH1118" s="717"/>
      <c r="DI1118" s="717"/>
      <c r="DJ1118" s="717"/>
      <c r="DM1118" s="711"/>
      <c r="DN1118" s="711"/>
      <c r="DO1118" s="711"/>
      <c r="DP1118" s="711"/>
      <c r="DQ1118" s="711"/>
    </row>
    <row r="1119" spans="13:121" s="709" customFormat="1" hidden="1">
      <c r="M1119" s="710"/>
      <c r="P1119" s="711"/>
      <c r="Q1119" s="712"/>
      <c r="U1119" s="711"/>
      <c r="V1119" s="711"/>
      <c r="W1119" s="711"/>
      <c r="X1119" s="711"/>
      <c r="Y1119" s="711"/>
      <c r="Z1119" s="711"/>
      <c r="AU1119" s="713"/>
      <c r="AW1119" s="712"/>
      <c r="BY1119" s="714"/>
      <c r="BZ1119" s="715"/>
      <c r="CA1119" s="716"/>
      <c r="CB1119" s="717"/>
      <c r="CC1119" s="717"/>
      <c r="CD1119" s="717"/>
      <c r="CE1119" s="717"/>
      <c r="CF1119" s="717"/>
      <c r="CG1119" s="717"/>
      <c r="CH1119" s="717"/>
      <c r="CI1119" s="717"/>
      <c r="CJ1119" s="717"/>
      <c r="CK1119" s="717"/>
      <c r="CL1119" s="717"/>
      <c r="CM1119" s="717"/>
      <c r="CN1119" s="717"/>
      <c r="CO1119" s="717"/>
      <c r="CP1119" s="717"/>
      <c r="CQ1119" s="717"/>
      <c r="CR1119" s="717"/>
      <c r="CS1119" s="717"/>
      <c r="CT1119" s="717"/>
      <c r="CU1119" s="717"/>
      <c r="CV1119" s="717"/>
      <c r="CW1119" s="717"/>
      <c r="CX1119" s="717"/>
      <c r="CY1119" s="717"/>
      <c r="CZ1119" s="717"/>
      <c r="DA1119" s="717"/>
      <c r="DB1119" s="717"/>
      <c r="DC1119" s="717"/>
      <c r="DD1119" s="717"/>
      <c r="DE1119" s="717"/>
      <c r="DF1119" s="717"/>
      <c r="DG1119" s="717"/>
      <c r="DH1119" s="717"/>
      <c r="DI1119" s="717"/>
      <c r="DJ1119" s="717"/>
      <c r="DM1119" s="711"/>
      <c r="DN1119" s="711"/>
      <c r="DO1119" s="711"/>
      <c r="DP1119" s="711"/>
      <c r="DQ1119" s="711"/>
    </row>
    <row r="1120" spans="13:121" s="709" customFormat="1" hidden="1">
      <c r="M1120" s="710"/>
      <c r="P1120" s="711"/>
      <c r="Q1120" s="712"/>
      <c r="U1120" s="711"/>
      <c r="V1120" s="711"/>
      <c r="W1120" s="711"/>
      <c r="X1120" s="711"/>
      <c r="Y1120" s="711"/>
      <c r="Z1120" s="711"/>
      <c r="AU1120" s="713"/>
      <c r="AW1120" s="712"/>
      <c r="BY1120" s="714"/>
      <c r="BZ1120" s="715"/>
      <c r="CA1120" s="716"/>
      <c r="CB1120" s="717"/>
      <c r="CC1120" s="717"/>
      <c r="CD1120" s="717"/>
      <c r="CE1120" s="717"/>
      <c r="CF1120" s="717"/>
      <c r="CG1120" s="717"/>
      <c r="CH1120" s="717"/>
      <c r="CI1120" s="717"/>
      <c r="CJ1120" s="717"/>
      <c r="CK1120" s="717"/>
      <c r="CL1120" s="717"/>
      <c r="CM1120" s="717"/>
      <c r="CN1120" s="717"/>
      <c r="CO1120" s="717"/>
      <c r="CP1120" s="717"/>
      <c r="CQ1120" s="717"/>
      <c r="CR1120" s="717"/>
      <c r="CS1120" s="717"/>
      <c r="CT1120" s="717"/>
      <c r="CU1120" s="717"/>
      <c r="CV1120" s="717"/>
      <c r="CW1120" s="717"/>
      <c r="CX1120" s="717"/>
      <c r="CY1120" s="717"/>
      <c r="CZ1120" s="717"/>
      <c r="DA1120" s="717"/>
      <c r="DB1120" s="717"/>
      <c r="DC1120" s="717"/>
      <c r="DD1120" s="717"/>
      <c r="DE1120" s="717"/>
      <c r="DF1120" s="717"/>
      <c r="DG1120" s="717"/>
      <c r="DH1120" s="717"/>
      <c r="DI1120" s="717"/>
      <c r="DJ1120" s="717"/>
      <c r="DM1120" s="711"/>
      <c r="DN1120" s="711"/>
      <c r="DO1120" s="711"/>
      <c r="DP1120" s="711"/>
      <c r="DQ1120" s="711"/>
    </row>
    <row r="1121" spans="13:121" s="709" customFormat="1" hidden="1">
      <c r="M1121" s="710"/>
      <c r="P1121" s="711"/>
      <c r="Q1121" s="712"/>
      <c r="U1121" s="711"/>
      <c r="V1121" s="711"/>
      <c r="W1121" s="711"/>
      <c r="X1121" s="711"/>
      <c r="Y1121" s="711"/>
      <c r="Z1121" s="711"/>
      <c r="AU1121" s="713"/>
      <c r="AW1121" s="712"/>
      <c r="BY1121" s="714"/>
      <c r="BZ1121" s="715"/>
      <c r="CA1121" s="716"/>
      <c r="CB1121" s="717"/>
      <c r="CC1121" s="717"/>
      <c r="CD1121" s="717"/>
      <c r="CE1121" s="717"/>
      <c r="CF1121" s="717"/>
      <c r="CG1121" s="717"/>
      <c r="CH1121" s="717"/>
      <c r="CI1121" s="717"/>
      <c r="CJ1121" s="717"/>
      <c r="CK1121" s="717"/>
      <c r="CL1121" s="717"/>
      <c r="CM1121" s="717"/>
      <c r="CN1121" s="717"/>
      <c r="CO1121" s="717"/>
      <c r="CP1121" s="717"/>
      <c r="CQ1121" s="717"/>
      <c r="CR1121" s="717"/>
      <c r="CS1121" s="717"/>
      <c r="CT1121" s="717"/>
      <c r="CU1121" s="717"/>
      <c r="CV1121" s="717"/>
      <c r="CW1121" s="717"/>
      <c r="CX1121" s="717"/>
      <c r="CY1121" s="717"/>
      <c r="CZ1121" s="717"/>
      <c r="DA1121" s="717"/>
      <c r="DB1121" s="717"/>
      <c r="DC1121" s="717"/>
      <c r="DD1121" s="717"/>
      <c r="DE1121" s="717"/>
      <c r="DF1121" s="717"/>
      <c r="DG1121" s="717"/>
      <c r="DH1121" s="717"/>
      <c r="DI1121" s="717"/>
      <c r="DJ1121" s="717"/>
      <c r="DM1121" s="711"/>
      <c r="DN1121" s="711"/>
      <c r="DO1121" s="711"/>
      <c r="DP1121" s="711"/>
      <c r="DQ1121" s="711"/>
    </row>
    <row r="1122" spans="13:121" s="709" customFormat="1" hidden="1">
      <c r="M1122" s="710"/>
      <c r="P1122" s="711"/>
      <c r="Q1122" s="712"/>
      <c r="U1122" s="711"/>
      <c r="V1122" s="711"/>
      <c r="W1122" s="711"/>
      <c r="X1122" s="711"/>
      <c r="Y1122" s="711"/>
      <c r="Z1122" s="711"/>
      <c r="AU1122" s="713"/>
      <c r="AW1122" s="712"/>
      <c r="BY1122" s="714"/>
      <c r="BZ1122" s="715"/>
      <c r="CA1122" s="716"/>
      <c r="CB1122" s="717"/>
      <c r="CC1122" s="717"/>
      <c r="CD1122" s="717"/>
      <c r="CE1122" s="717"/>
      <c r="CF1122" s="717"/>
      <c r="CG1122" s="717"/>
      <c r="CH1122" s="717"/>
      <c r="CI1122" s="717"/>
      <c r="CJ1122" s="717"/>
      <c r="CK1122" s="717"/>
      <c r="CL1122" s="717"/>
      <c r="CM1122" s="717"/>
      <c r="CN1122" s="717"/>
      <c r="CO1122" s="717"/>
      <c r="CP1122" s="717"/>
      <c r="CQ1122" s="717"/>
      <c r="CR1122" s="717"/>
      <c r="CS1122" s="717"/>
      <c r="CT1122" s="717"/>
      <c r="CU1122" s="717"/>
      <c r="CV1122" s="717"/>
      <c r="CW1122" s="717"/>
      <c r="CX1122" s="717"/>
      <c r="CY1122" s="717"/>
      <c r="CZ1122" s="717"/>
      <c r="DA1122" s="717"/>
      <c r="DB1122" s="717"/>
      <c r="DC1122" s="717"/>
      <c r="DD1122" s="717"/>
      <c r="DE1122" s="717"/>
      <c r="DF1122" s="717"/>
      <c r="DG1122" s="717"/>
      <c r="DH1122" s="717"/>
      <c r="DI1122" s="717"/>
      <c r="DJ1122" s="717"/>
      <c r="DM1122" s="711"/>
      <c r="DN1122" s="711"/>
      <c r="DO1122" s="711"/>
      <c r="DP1122" s="711"/>
      <c r="DQ1122" s="711"/>
    </row>
    <row r="1123" spans="13:121" s="709" customFormat="1" hidden="1">
      <c r="M1123" s="710"/>
      <c r="P1123" s="711"/>
      <c r="Q1123" s="712"/>
      <c r="U1123" s="711"/>
      <c r="V1123" s="711"/>
      <c r="W1123" s="711"/>
      <c r="X1123" s="711"/>
      <c r="Y1123" s="711"/>
      <c r="Z1123" s="711"/>
      <c r="AU1123" s="713"/>
      <c r="AW1123" s="712"/>
      <c r="BY1123" s="714"/>
      <c r="BZ1123" s="715"/>
      <c r="CA1123" s="716"/>
      <c r="CB1123" s="717"/>
      <c r="CC1123" s="717"/>
      <c r="CD1123" s="717"/>
      <c r="CE1123" s="717"/>
      <c r="CF1123" s="717"/>
      <c r="CG1123" s="717"/>
      <c r="CH1123" s="717"/>
      <c r="CI1123" s="717"/>
      <c r="CJ1123" s="717"/>
      <c r="CK1123" s="717"/>
      <c r="CL1123" s="717"/>
      <c r="CM1123" s="717"/>
      <c r="CN1123" s="717"/>
      <c r="CO1123" s="717"/>
      <c r="CP1123" s="717"/>
      <c r="CQ1123" s="717"/>
      <c r="CR1123" s="717"/>
      <c r="CS1123" s="717"/>
      <c r="CT1123" s="717"/>
      <c r="CU1123" s="717"/>
      <c r="CV1123" s="717"/>
      <c r="CW1123" s="717"/>
      <c r="CX1123" s="717"/>
      <c r="CY1123" s="717"/>
      <c r="CZ1123" s="717"/>
      <c r="DA1123" s="717"/>
      <c r="DB1123" s="717"/>
      <c r="DC1123" s="717"/>
      <c r="DD1123" s="717"/>
      <c r="DE1123" s="717"/>
      <c r="DF1123" s="717"/>
      <c r="DG1123" s="717"/>
      <c r="DH1123" s="717"/>
      <c r="DI1123" s="717"/>
      <c r="DJ1123" s="717"/>
      <c r="DM1123" s="711"/>
      <c r="DN1123" s="711"/>
      <c r="DO1123" s="711"/>
      <c r="DP1123" s="711"/>
      <c r="DQ1123" s="711"/>
    </row>
    <row r="1124" spans="13:121" s="709" customFormat="1" hidden="1">
      <c r="M1124" s="710"/>
      <c r="P1124" s="711"/>
      <c r="Q1124" s="712"/>
      <c r="U1124" s="711"/>
      <c r="V1124" s="711"/>
      <c r="W1124" s="711"/>
      <c r="X1124" s="711"/>
      <c r="Y1124" s="711"/>
      <c r="Z1124" s="711"/>
      <c r="AU1124" s="713"/>
      <c r="AW1124" s="712"/>
      <c r="BY1124" s="714"/>
      <c r="BZ1124" s="715"/>
      <c r="CA1124" s="716"/>
      <c r="CB1124" s="717"/>
      <c r="CC1124" s="717"/>
      <c r="CD1124" s="717"/>
      <c r="CE1124" s="717"/>
      <c r="CF1124" s="717"/>
      <c r="CG1124" s="717"/>
      <c r="CH1124" s="717"/>
      <c r="CI1124" s="717"/>
      <c r="CJ1124" s="717"/>
      <c r="CK1124" s="717"/>
      <c r="CL1124" s="717"/>
      <c r="CM1124" s="717"/>
      <c r="CN1124" s="717"/>
      <c r="CO1124" s="717"/>
      <c r="CP1124" s="717"/>
      <c r="CQ1124" s="717"/>
      <c r="CR1124" s="717"/>
      <c r="CS1124" s="717"/>
      <c r="CT1124" s="717"/>
      <c r="CU1124" s="717"/>
      <c r="CV1124" s="717"/>
      <c r="CW1124" s="717"/>
      <c r="CX1124" s="717"/>
      <c r="CY1124" s="717"/>
      <c r="CZ1124" s="717"/>
      <c r="DA1124" s="717"/>
      <c r="DB1124" s="717"/>
      <c r="DC1124" s="717"/>
      <c r="DD1124" s="717"/>
      <c r="DE1124" s="717"/>
      <c r="DF1124" s="717"/>
      <c r="DG1124" s="717"/>
      <c r="DH1124" s="717"/>
      <c r="DI1124" s="717"/>
      <c r="DJ1124" s="717"/>
      <c r="DM1124" s="711"/>
      <c r="DN1124" s="711"/>
      <c r="DO1124" s="711"/>
      <c r="DP1124" s="711"/>
      <c r="DQ1124" s="711"/>
    </row>
    <row r="1125" spans="13:121" s="709" customFormat="1" hidden="1">
      <c r="M1125" s="710"/>
      <c r="P1125" s="711"/>
      <c r="Q1125" s="712"/>
      <c r="U1125" s="711"/>
      <c r="V1125" s="711"/>
      <c r="W1125" s="711"/>
      <c r="X1125" s="711"/>
      <c r="Y1125" s="711"/>
      <c r="Z1125" s="711"/>
      <c r="AU1125" s="713"/>
      <c r="AW1125" s="712"/>
      <c r="BY1125" s="714"/>
      <c r="BZ1125" s="715"/>
      <c r="CA1125" s="716"/>
      <c r="CB1125" s="717"/>
      <c r="CC1125" s="717"/>
      <c r="CD1125" s="717"/>
      <c r="CE1125" s="717"/>
      <c r="CF1125" s="717"/>
      <c r="CG1125" s="717"/>
      <c r="CH1125" s="717"/>
      <c r="CI1125" s="717"/>
      <c r="CJ1125" s="717"/>
      <c r="CK1125" s="717"/>
      <c r="CL1125" s="717"/>
      <c r="CM1125" s="717"/>
      <c r="CN1125" s="717"/>
      <c r="CO1125" s="717"/>
      <c r="CP1125" s="717"/>
      <c r="CQ1125" s="717"/>
      <c r="CR1125" s="717"/>
      <c r="CS1125" s="717"/>
      <c r="CT1125" s="717"/>
      <c r="CU1125" s="717"/>
      <c r="CV1125" s="717"/>
      <c r="CW1125" s="717"/>
      <c r="CX1125" s="717"/>
      <c r="CY1125" s="717"/>
      <c r="CZ1125" s="717"/>
      <c r="DA1125" s="717"/>
      <c r="DB1125" s="717"/>
      <c r="DC1125" s="717"/>
      <c r="DD1125" s="717"/>
      <c r="DE1125" s="717"/>
      <c r="DF1125" s="717"/>
      <c r="DG1125" s="717"/>
      <c r="DH1125" s="717"/>
      <c r="DI1125" s="717"/>
      <c r="DJ1125" s="717"/>
      <c r="DM1125" s="711"/>
      <c r="DN1125" s="711"/>
      <c r="DO1125" s="711"/>
      <c r="DP1125" s="711"/>
      <c r="DQ1125" s="711"/>
    </row>
    <row r="1126" spans="13:121" s="709" customFormat="1" hidden="1">
      <c r="M1126" s="710"/>
      <c r="P1126" s="711"/>
      <c r="Q1126" s="712"/>
      <c r="U1126" s="711"/>
      <c r="V1126" s="711"/>
      <c r="W1126" s="711"/>
      <c r="X1126" s="711"/>
      <c r="Y1126" s="711"/>
      <c r="Z1126" s="711"/>
      <c r="AU1126" s="713"/>
      <c r="AW1126" s="712"/>
      <c r="BY1126" s="714"/>
      <c r="BZ1126" s="715"/>
      <c r="CA1126" s="716"/>
      <c r="CB1126" s="717"/>
      <c r="CC1126" s="717"/>
      <c r="CD1126" s="717"/>
      <c r="CE1126" s="717"/>
      <c r="CF1126" s="717"/>
      <c r="CG1126" s="717"/>
      <c r="CH1126" s="717"/>
      <c r="CI1126" s="717"/>
      <c r="CJ1126" s="717"/>
      <c r="CK1126" s="717"/>
      <c r="CL1126" s="717"/>
      <c r="CM1126" s="717"/>
      <c r="CN1126" s="717"/>
      <c r="CO1126" s="717"/>
      <c r="CP1126" s="717"/>
      <c r="CQ1126" s="717"/>
      <c r="CR1126" s="717"/>
      <c r="CS1126" s="717"/>
      <c r="CT1126" s="717"/>
      <c r="CU1126" s="717"/>
      <c r="CV1126" s="717"/>
      <c r="CW1126" s="717"/>
      <c r="CX1126" s="717"/>
      <c r="CY1126" s="717"/>
      <c r="CZ1126" s="717"/>
      <c r="DA1126" s="717"/>
      <c r="DB1126" s="717"/>
      <c r="DC1126" s="717"/>
      <c r="DD1126" s="717"/>
      <c r="DE1126" s="717"/>
      <c r="DF1126" s="717"/>
      <c r="DG1126" s="717"/>
      <c r="DH1126" s="717"/>
      <c r="DI1126" s="717"/>
      <c r="DJ1126" s="717"/>
      <c r="DM1126" s="711"/>
      <c r="DN1126" s="711"/>
      <c r="DO1126" s="711"/>
      <c r="DP1126" s="711"/>
      <c r="DQ1126" s="711"/>
    </row>
    <row r="1127" spans="13:121" s="709" customFormat="1" hidden="1">
      <c r="M1127" s="710"/>
      <c r="P1127" s="711"/>
      <c r="Q1127" s="712"/>
      <c r="U1127" s="711"/>
      <c r="V1127" s="711"/>
      <c r="W1127" s="711"/>
      <c r="X1127" s="711"/>
      <c r="Y1127" s="711"/>
      <c r="Z1127" s="711"/>
      <c r="AU1127" s="713"/>
      <c r="AW1127" s="712"/>
      <c r="BY1127" s="714"/>
      <c r="BZ1127" s="715"/>
      <c r="CA1127" s="716"/>
      <c r="CB1127" s="717"/>
      <c r="CC1127" s="717"/>
      <c r="CD1127" s="717"/>
      <c r="CE1127" s="717"/>
      <c r="CF1127" s="717"/>
      <c r="CG1127" s="717"/>
      <c r="CH1127" s="717"/>
      <c r="CI1127" s="717"/>
      <c r="CJ1127" s="717"/>
      <c r="CK1127" s="717"/>
      <c r="CL1127" s="717"/>
      <c r="CM1127" s="717"/>
      <c r="CN1127" s="717"/>
      <c r="CO1127" s="717"/>
      <c r="CP1127" s="717"/>
      <c r="CQ1127" s="717"/>
      <c r="CR1127" s="717"/>
      <c r="CS1127" s="717"/>
      <c r="CT1127" s="717"/>
      <c r="CU1127" s="717"/>
      <c r="CV1127" s="717"/>
      <c r="CW1127" s="717"/>
      <c r="CX1127" s="717"/>
      <c r="CY1127" s="717"/>
      <c r="CZ1127" s="717"/>
      <c r="DA1127" s="717"/>
      <c r="DB1127" s="717"/>
      <c r="DC1127" s="717"/>
      <c r="DD1127" s="717"/>
      <c r="DE1127" s="717"/>
      <c r="DF1127" s="717"/>
      <c r="DG1127" s="717"/>
      <c r="DH1127" s="717"/>
      <c r="DI1127" s="717"/>
      <c r="DJ1127" s="717"/>
      <c r="DM1127" s="711"/>
      <c r="DN1127" s="711"/>
      <c r="DO1127" s="711"/>
      <c r="DP1127" s="711"/>
      <c r="DQ1127" s="711"/>
    </row>
    <row r="1128" spans="13:121" s="709" customFormat="1" hidden="1">
      <c r="M1128" s="710"/>
      <c r="P1128" s="711"/>
      <c r="Q1128" s="712"/>
      <c r="U1128" s="711"/>
      <c r="V1128" s="711"/>
      <c r="W1128" s="711"/>
      <c r="X1128" s="711"/>
      <c r="Y1128" s="711"/>
      <c r="Z1128" s="711"/>
      <c r="AU1128" s="713"/>
      <c r="AW1128" s="712"/>
      <c r="BY1128" s="714"/>
      <c r="BZ1128" s="715"/>
      <c r="CA1128" s="716"/>
      <c r="CB1128" s="717"/>
      <c r="CC1128" s="717"/>
      <c r="CD1128" s="717"/>
      <c r="CE1128" s="717"/>
      <c r="CF1128" s="717"/>
      <c r="CG1128" s="717"/>
      <c r="CH1128" s="717"/>
      <c r="CI1128" s="717"/>
      <c r="CJ1128" s="717"/>
      <c r="CK1128" s="717"/>
      <c r="CL1128" s="717"/>
      <c r="CM1128" s="717"/>
      <c r="CN1128" s="717"/>
      <c r="CO1128" s="717"/>
      <c r="CP1128" s="717"/>
      <c r="CQ1128" s="717"/>
      <c r="CR1128" s="717"/>
      <c r="CS1128" s="717"/>
      <c r="CT1128" s="717"/>
      <c r="CU1128" s="717"/>
      <c r="CV1128" s="717"/>
      <c r="CW1128" s="717"/>
      <c r="CX1128" s="717"/>
      <c r="CY1128" s="717"/>
      <c r="CZ1128" s="717"/>
      <c r="DA1128" s="717"/>
      <c r="DB1128" s="717"/>
      <c r="DC1128" s="717"/>
      <c r="DD1128" s="717"/>
      <c r="DE1128" s="717"/>
      <c r="DF1128" s="717"/>
      <c r="DG1128" s="717"/>
      <c r="DH1128" s="717"/>
      <c r="DI1128" s="717"/>
      <c r="DJ1128" s="717"/>
      <c r="DM1128" s="711"/>
      <c r="DN1128" s="711"/>
      <c r="DO1128" s="711"/>
      <c r="DP1128" s="711"/>
      <c r="DQ1128" s="711"/>
    </row>
    <row r="1129" spans="13:121" s="709" customFormat="1" hidden="1">
      <c r="M1129" s="710"/>
      <c r="P1129" s="711"/>
      <c r="Q1129" s="712"/>
      <c r="U1129" s="711"/>
      <c r="V1129" s="711"/>
      <c r="W1129" s="711"/>
      <c r="X1129" s="711"/>
      <c r="Y1129" s="711"/>
      <c r="Z1129" s="711"/>
      <c r="AU1129" s="713"/>
      <c r="AW1129" s="712"/>
      <c r="BY1129" s="714"/>
      <c r="BZ1129" s="715"/>
      <c r="CA1129" s="716"/>
      <c r="CB1129" s="717"/>
      <c r="CC1129" s="717"/>
      <c r="CD1129" s="717"/>
      <c r="CE1129" s="717"/>
      <c r="CF1129" s="717"/>
      <c r="CG1129" s="717"/>
      <c r="CH1129" s="717"/>
      <c r="CI1129" s="717"/>
      <c r="CJ1129" s="717"/>
      <c r="CK1129" s="717"/>
      <c r="CL1129" s="717"/>
      <c r="CM1129" s="717"/>
      <c r="CN1129" s="717"/>
      <c r="CO1129" s="717"/>
      <c r="CP1129" s="717"/>
      <c r="CQ1129" s="717"/>
      <c r="CR1129" s="717"/>
      <c r="CS1129" s="717"/>
      <c r="CT1129" s="717"/>
      <c r="CU1129" s="717"/>
      <c r="CV1129" s="717"/>
      <c r="CW1129" s="717"/>
      <c r="CX1129" s="717"/>
      <c r="CY1129" s="717"/>
      <c r="CZ1129" s="717"/>
      <c r="DA1129" s="717"/>
      <c r="DB1129" s="717"/>
      <c r="DC1129" s="717"/>
      <c r="DD1129" s="717"/>
      <c r="DE1129" s="717"/>
      <c r="DF1129" s="717"/>
      <c r="DG1129" s="717"/>
      <c r="DH1129" s="717"/>
      <c r="DI1129" s="717"/>
      <c r="DJ1129" s="717"/>
      <c r="DM1129" s="711"/>
      <c r="DN1129" s="711"/>
      <c r="DO1129" s="711"/>
      <c r="DP1129" s="711"/>
      <c r="DQ1129" s="711"/>
    </row>
    <row r="1130" spans="13:121" s="709" customFormat="1" hidden="1">
      <c r="M1130" s="710"/>
      <c r="P1130" s="711"/>
      <c r="Q1130" s="712"/>
      <c r="U1130" s="711"/>
      <c r="V1130" s="711"/>
      <c r="W1130" s="711"/>
      <c r="X1130" s="711"/>
      <c r="Y1130" s="711"/>
      <c r="Z1130" s="711"/>
      <c r="AU1130" s="713"/>
      <c r="AW1130" s="712"/>
      <c r="BY1130" s="714"/>
      <c r="BZ1130" s="715"/>
      <c r="CA1130" s="716"/>
      <c r="CB1130" s="717"/>
      <c r="CC1130" s="717"/>
      <c r="CD1130" s="717"/>
      <c r="CE1130" s="717"/>
      <c r="CF1130" s="717"/>
      <c r="CG1130" s="717"/>
      <c r="CH1130" s="717"/>
      <c r="CI1130" s="717"/>
      <c r="CJ1130" s="717"/>
      <c r="CK1130" s="717"/>
      <c r="CL1130" s="717"/>
      <c r="CM1130" s="717"/>
      <c r="CN1130" s="717"/>
      <c r="CO1130" s="717"/>
      <c r="CP1130" s="717"/>
      <c r="CQ1130" s="717"/>
      <c r="CR1130" s="717"/>
      <c r="CS1130" s="717"/>
      <c r="CT1130" s="717"/>
      <c r="CU1130" s="717"/>
      <c r="CV1130" s="717"/>
      <c r="CW1130" s="717"/>
      <c r="CX1130" s="717"/>
      <c r="CY1130" s="717"/>
      <c r="CZ1130" s="717"/>
      <c r="DA1130" s="717"/>
      <c r="DB1130" s="717"/>
      <c r="DC1130" s="717"/>
      <c r="DD1130" s="717"/>
      <c r="DE1130" s="717"/>
      <c r="DF1130" s="717"/>
      <c r="DG1130" s="717"/>
      <c r="DH1130" s="717"/>
      <c r="DI1130" s="717"/>
      <c r="DJ1130" s="717"/>
      <c r="DM1130" s="711"/>
      <c r="DN1130" s="711"/>
      <c r="DO1130" s="711"/>
      <c r="DP1130" s="711"/>
      <c r="DQ1130" s="711"/>
    </row>
    <row r="1131" spans="13:121" s="709" customFormat="1" hidden="1">
      <c r="M1131" s="710"/>
      <c r="P1131" s="711"/>
      <c r="Q1131" s="712"/>
      <c r="U1131" s="711"/>
      <c r="V1131" s="711"/>
      <c r="W1131" s="711"/>
      <c r="X1131" s="711"/>
      <c r="Y1131" s="711"/>
      <c r="Z1131" s="711"/>
      <c r="AU1131" s="713"/>
      <c r="AW1131" s="712"/>
      <c r="BY1131" s="714"/>
      <c r="BZ1131" s="715"/>
      <c r="CA1131" s="716"/>
      <c r="CB1131" s="717"/>
      <c r="CC1131" s="717"/>
      <c r="CD1131" s="717"/>
      <c r="CE1131" s="717"/>
      <c r="CF1131" s="717"/>
      <c r="CG1131" s="717"/>
      <c r="CH1131" s="717"/>
      <c r="CI1131" s="717"/>
      <c r="CJ1131" s="717"/>
      <c r="CK1131" s="717"/>
      <c r="CL1131" s="717"/>
      <c r="CM1131" s="717"/>
      <c r="CN1131" s="717"/>
      <c r="CO1131" s="717"/>
      <c r="CP1131" s="717"/>
      <c r="CQ1131" s="717"/>
      <c r="CR1131" s="717"/>
      <c r="CS1131" s="717"/>
      <c r="CT1131" s="717"/>
      <c r="CU1131" s="717"/>
      <c r="CV1131" s="717"/>
      <c r="CW1131" s="717"/>
      <c r="CX1131" s="717"/>
      <c r="CY1131" s="717"/>
      <c r="CZ1131" s="717"/>
      <c r="DA1131" s="717"/>
      <c r="DB1131" s="717"/>
      <c r="DC1131" s="717"/>
      <c r="DD1131" s="717"/>
      <c r="DE1131" s="717"/>
      <c r="DF1131" s="717"/>
      <c r="DG1131" s="717"/>
      <c r="DH1131" s="717"/>
      <c r="DI1131" s="717"/>
      <c r="DJ1131" s="717"/>
      <c r="DM1131" s="711"/>
      <c r="DN1131" s="711"/>
      <c r="DO1131" s="711"/>
      <c r="DP1131" s="711"/>
      <c r="DQ1131" s="711"/>
    </row>
    <row r="1132" spans="13:121" s="709" customFormat="1" hidden="1">
      <c r="M1132" s="710"/>
      <c r="P1132" s="711"/>
      <c r="Q1132" s="712"/>
      <c r="U1132" s="711"/>
      <c r="V1132" s="711"/>
      <c r="W1132" s="711"/>
      <c r="X1132" s="711"/>
      <c r="Y1132" s="711"/>
      <c r="Z1132" s="711"/>
      <c r="AU1132" s="713"/>
      <c r="AW1132" s="712"/>
      <c r="BY1132" s="714"/>
      <c r="BZ1132" s="715"/>
      <c r="CA1132" s="716"/>
      <c r="CB1132" s="717"/>
      <c r="CC1132" s="717"/>
      <c r="CD1132" s="717"/>
      <c r="CE1132" s="717"/>
      <c r="CF1132" s="717"/>
      <c r="CG1132" s="717"/>
      <c r="CH1132" s="717"/>
      <c r="CI1132" s="717"/>
      <c r="CJ1132" s="717"/>
      <c r="CK1132" s="717"/>
      <c r="CL1132" s="717"/>
      <c r="CM1132" s="717"/>
      <c r="CN1132" s="717"/>
      <c r="CO1132" s="717"/>
      <c r="CP1132" s="717"/>
      <c r="CQ1132" s="717"/>
      <c r="CR1132" s="717"/>
      <c r="CS1132" s="717"/>
      <c r="CT1132" s="717"/>
      <c r="CU1132" s="717"/>
      <c r="CV1132" s="717"/>
      <c r="CW1132" s="717"/>
      <c r="CX1132" s="717"/>
      <c r="CY1132" s="717"/>
      <c r="CZ1132" s="717"/>
      <c r="DA1132" s="717"/>
      <c r="DB1132" s="717"/>
      <c r="DC1132" s="717"/>
      <c r="DD1132" s="717"/>
      <c r="DE1132" s="717"/>
      <c r="DF1132" s="717"/>
      <c r="DG1132" s="717"/>
      <c r="DH1132" s="717"/>
      <c r="DI1132" s="717"/>
      <c r="DJ1132" s="717"/>
      <c r="DM1132" s="711"/>
      <c r="DN1132" s="711"/>
      <c r="DO1132" s="711"/>
      <c r="DP1132" s="711"/>
      <c r="DQ1132" s="711"/>
    </row>
    <row r="1133" spans="13:121" s="709" customFormat="1" hidden="1">
      <c r="M1133" s="710"/>
      <c r="P1133" s="711"/>
      <c r="Q1133" s="712"/>
      <c r="U1133" s="711"/>
      <c r="V1133" s="711"/>
      <c r="W1133" s="711"/>
      <c r="X1133" s="711"/>
      <c r="Y1133" s="711"/>
      <c r="Z1133" s="711"/>
      <c r="AU1133" s="713"/>
      <c r="AW1133" s="712"/>
      <c r="BY1133" s="714"/>
      <c r="BZ1133" s="715"/>
      <c r="CA1133" s="716"/>
      <c r="CB1133" s="717"/>
      <c r="CC1133" s="717"/>
      <c r="CD1133" s="717"/>
      <c r="CE1133" s="717"/>
      <c r="CF1133" s="717"/>
      <c r="CG1133" s="717"/>
      <c r="CH1133" s="717"/>
      <c r="CI1133" s="717"/>
      <c r="CJ1133" s="717"/>
      <c r="CK1133" s="717"/>
      <c r="CL1133" s="717"/>
      <c r="CM1133" s="717"/>
      <c r="CN1133" s="717"/>
      <c r="CO1133" s="717"/>
      <c r="CP1133" s="717"/>
      <c r="CQ1133" s="717"/>
      <c r="CR1133" s="717"/>
      <c r="CS1133" s="717"/>
      <c r="CT1133" s="717"/>
      <c r="CU1133" s="717"/>
      <c r="CV1133" s="717"/>
      <c r="CW1133" s="717"/>
      <c r="CX1133" s="717"/>
      <c r="CY1133" s="717"/>
      <c r="CZ1133" s="717"/>
      <c r="DA1133" s="717"/>
      <c r="DB1133" s="717"/>
      <c r="DC1133" s="717"/>
      <c r="DD1133" s="717"/>
      <c r="DE1133" s="717"/>
      <c r="DF1133" s="717"/>
      <c r="DG1133" s="717"/>
      <c r="DH1133" s="717"/>
      <c r="DI1133" s="717"/>
      <c r="DJ1133" s="717"/>
      <c r="DM1133" s="711"/>
      <c r="DN1133" s="711"/>
      <c r="DO1133" s="711"/>
      <c r="DP1133" s="711"/>
      <c r="DQ1133" s="711"/>
    </row>
    <row r="1134" spans="13:121" s="709" customFormat="1" hidden="1">
      <c r="M1134" s="710"/>
      <c r="P1134" s="711"/>
      <c r="Q1134" s="712"/>
      <c r="U1134" s="711"/>
      <c r="V1134" s="711"/>
      <c r="W1134" s="711"/>
      <c r="X1134" s="711"/>
      <c r="Y1134" s="711"/>
      <c r="Z1134" s="711"/>
      <c r="AU1134" s="713"/>
      <c r="AW1134" s="712"/>
      <c r="BY1134" s="714"/>
      <c r="BZ1134" s="715"/>
      <c r="CA1134" s="716"/>
      <c r="CB1134" s="717"/>
      <c r="CC1134" s="717"/>
      <c r="CD1134" s="717"/>
      <c r="CE1134" s="717"/>
      <c r="CF1134" s="717"/>
      <c r="CG1134" s="717"/>
      <c r="CH1134" s="717"/>
      <c r="CI1134" s="717"/>
      <c r="CJ1134" s="717"/>
      <c r="CK1134" s="717"/>
      <c r="CL1134" s="717"/>
      <c r="CM1134" s="717"/>
      <c r="CN1134" s="717"/>
      <c r="CO1134" s="717"/>
      <c r="CP1134" s="717"/>
      <c r="CQ1134" s="717"/>
      <c r="CR1134" s="717"/>
      <c r="CS1134" s="717"/>
      <c r="CT1134" s="717"/>
      <c r="CU1134" s="717"/>
      <c r="CV1134" s="717"/>
      <c r="CW1134" s="717"/>
      <c r="CX1134" s="717"/>
      <c r="CY1134" s="717"/>
      <c r="CZ1134" s="717"/>
      <c r="DA1134" s="717"/>
      <c r="DB1134" s="717"/>
      <c r="DC1134" s="717"/>
      <c r="DD1134" s="717"/>
      <c r="DE1134" s="717"/>
      <c r="DF1134" s="717"/>
      <c r="DG1134" s="717"/>
      <c r="DH1134" s="717"/>
      <c r="DI1134" s="717"/>
      <c r="DJ1134" s="717"/>
      <c r="DM1134" s="711"/>
      <c r="DN1134" s="711"/>
      <c r="DO1134" s="711"/>
      <c r="DP1134" s="711"/>
      <c r="DQ1134" s="711"/>
    </row>
    <row r="1135" spans="13:121" s="709" customFormat="1" hidden="1">
      <c r="M1135" s="710"/>
      <c r="P1135" s="711"/>
      <c r="Q1135" s="712"/>
      <c r="U1135" s="711"/>
      <c r="V1135" s="711"/>
      <c r="W1135" s="711"/>
      <c r="X1135" s="711"/>
      <c r="Y1135" s="711"/>
      <c r="Z1135" s="711"/>
      <c r="AU1135" s="713"/>
      <c r="AW1135" s="712"/>
      <c r="BY1135" s="714"/>
      <c r="BZ1135" s="715"/>
      <c r="CA1135" s="716"/>
      <c r="CB1135" s="717"/>
      <c r="CC1135" s="717"/>
      <c r="CD1135" s="717"/>
      <c r="CE1135" s="717"/>
      <c r="CF1135" s="717"/>
      <c r="CG1135" s="717"/>
      <c r="CH1135" s="717"/>
      <c r="CI1135" s="717"/>
      <c r="CJ1135" s="717"/>
      <c r="CK1135" s="717"/>
      <c r="CL1135" s="717"/>
      <c r="CM1135" s="717"/>
      <c r="CN1135" s="717"/>
      <c r="CO1135" s="717"/>
      <c r="CP1135" s="717"/>
      <c r="CQ1135" s="717"/>
      <c r="CR1135" s="717"/>
      <c r="CS1135" s="717"/>
      <c r="CT1135" s="717"/>
      <c r="CU1135" s="717"/>
      <c r="CV1135" s="717"/>
      <c r="CW1135" s="717"/>
      <c r="CX1135" s="717"/>
      <c r="CY1135" s="717"/>
      <c r="CZ1135" s="717"/>
      <c r="DA1135" s="717"/>
      <c r="DB1135" s="717"/>
      <c r="DC1135" s="717"/>
      <c r="DD1135" s="717"/>
      <c r="DE1135" s="717"/>
      <c r="DF1135" s="717"/>
      <c r="DG1135" s="717"/>
      <c r="DH1135" s="717"/>
      <c r="DI1135" s="717"/>
      <c r="DJ1135" s="717"/>
      <c r="DM1135" s="711"/>
      <c r="DN1135" s="711"/>
      <c r="DO1135" s="711"/>
      <c r="DP1135" s="711"/>
      <c r="DQ1135" s="711"/>
    </row>
    <row r="1136" spans="13:121" s="709" customFormat="1" hidden="1">
      <c r="M1136" s="710"/>
      <c r="P1136" s="711"/>
      <c r="Q1136" s="712"/>
      <c r="U1136" s="711"/>
      <c r="V1136" s="711"/>
      <c r="W1136" s="711"/>
      <c r="X1136" s="711"/>
      <c r="Y1136" s="711"/>
      <c r="Z1136" s="711"/>
      <c r="AU1136" s="713"/>
      <c r="AW1136" s="712"/>
      <c r="BY1136" s="714"/>
      <c r="BZ1136" s="715"/>
      <c r="CA1136" s="716"/>
      <c r="CB1136" s="717"/>
      <c r="CC1136" s="717"/>
      <c r="CD1136" s="717"/>
      <c r="CE1136" s="717"/>
      <c r="CF1136" s="717"/>
      <c r="CG1136" s="717"/>
      <c r="CH1136" s="717"/>
      <c r="CI1136" s="717"/>
      <c r="CJ1136" s="717"/>
      <c r="CK1136" s="717"/>
      <c r="CL1136" s="717"/>
      <c r="CM1136" s="717"/>
      <c r="CN1136" s="717"/>
      <c r="CO1136" s="717"/>
      <c r="CP1136" s="717"/>
      <c r="CQ1136" s="717"/>
      <c r="CR1136" s="717"/>
      <c r="CS1136" s="717"/>
      <c r="CT1136" s="717"/>
      <c r="CU1136" s="717"/>
      <c r="CV1136" s="717"/>
      <c r="CW1136" s="717"/>
      <c r="CX1136" s="717"/>
      <c r="CY1136" s="717"/>
      <c r="CZ1136" s="717"/>
      <c r="DA1136" s="717"/>
      <c r="DB1136" s="717"/>
      <c r="DC1136" s="717"/>
      <c r="DD1136" s="717"/>
      <c r="DE1136" s="717"/>
      <c r="DF1136" s="717"/>
      <c r="DG1136" s="717"/>
      <c r="DH1136" s="717"/>
      <c r="DI1136" s="717"/>
      <c r="DJ1136" s="717"/>
      <c r="DM1136" s="711"/>
      <c r="DN1136" s="711"/>
      <c r="DO1136" s="711"/>
      <c r="DP1136" s="711"/>
      <c r="DQ1136" s="711"/>
    </row>
    <row r="1137" spans="13:121" s="709" customFormat="1" hidden="1">
      <c r="M1137" s="710"/>
      <c r="P1137" s="711"/>
      <c r="Q1137" s="712"/>
      <c r="U1137" s="711"/>
      <c r="V1137" s="711"/>
      <c r="W1137" s="711"/>
      <c r="X1137" s="711"/>
      <c r="Y1137" s="711"/>
      <c r="Z1137" s="711"/>
      <c r="AU1137" s="713"/>
      <c r="AW1137" s="712"/>
      <c r="BY1137" s="714"/>
      <c r="BZ1137" s="715"/>
      <c r="CA1137" s="716"/>
      <c r="CB1137" s="717"/>
      <c r="CC1137" s="717"/>
      <c r="CD1137" s="717"/>
      <c r="CE1137" s="717"/>
      <c r="CF1137" s="717"/>
      <c r="CG1137" s="717"/>
      <c r="CH1137" s="717"/>
      <c r="CI1137" s="717"/>
      <c r="CJ1137" s="717"/>
      <c r="CK1137" s="717"/>
      <c r="CL1137" s="717"/>
      <c r="CM1137" s="717"/>
      <c r="CN1137" s="717"/>
      <c r="CO1137" s="717"/>
      <c r="CP1137" s="717"/>
      <c r="CQ1137" s="717"/>
      <c r="CR1137" s="717"/>
      <c r="CS1137" s="717"/>
      <c r="CT1137" s="717"/>
      <c r="CU1137" s="717"/>
      <c r="CV1137" s="717"/>
      <c r="CW1137" s="717"/>
      <c r="CX1137" s="717"/>
      <c r="CY1137" s="717"/>
      <c r="CZ1137" s="717"/>
      <c r="DA1137" s="717"/>
      <c r="DB1137" s="717"/>
      <c r="DC1137" s="717"/>
      <c r="DD1137" s="717"/>
      <c r="DE1137" s="717"/>
      <c r="DF1137" s="717"/>
      <c r="DG1137" s="717"/>
      <c r="DH1137" s="717"/>
      <c r="DI1137" s="717"/>
      <c r="DJ1137" s="717"/>
      <c r="DM1137" s="711"/>
      <c r="DN1137" s="711"/>
      <c r="DO1137" s="711"/>
      <c r="DP1137" s="711"/>
      <c r="DQ1137" s="711"/>
    </row>
    <row r="1138" spans="13:121" s="709" customFormat="1" hidden="1">
      <c r="M1138" s="710"/>
      <c r="P1138" s="711"/>
      <c r="Q1138" s="712"/>
      <c r="U1138" s="711"/>
      <c r="V1138" s="711"/>
      <c r="W1138" s="711"/>
      <c r="X1138" s="711"/>
      <c r="Y1138" s="711"/>
      <c r="Z1138" s="711"/>
      <c r="AU1138" s="713"/>
      <c r="AW1138" s="712"/>
      <c r="BY1138" s="714"/>
      <c r="BZ1138" s="715"/>
      <c r="CA1138" s="716"/>
      <c r="CB1138" s="717"/>
      <c r="CC1138" s="717"/>
      <c r="CD1138" s="717"/>
      <c r="CE1138" s="717"/>
      <c r="CF1138" s="717"/>
      <c r="CG1138" s="717"/>
      <c r="CH1138" s="717"/>
      <c r="CI1138" s="717"/>
      <c r="CJ1138" s="717"/>
      <c r="CK1138" s="717"/>
      <c r="CL1138" s="717"/>
      <c r="CM1138" s="717"/>
      <c r="CN1138" s="717"/>
      <c r="CO1138" s="717"/>
      <c r="CP1138" s="717"/>
      <c r="CQ1138" s="717"/>
      <c r="CR1138" s="717"/>
      <c r="CS1138" s="717"/>
      <c r="CT1138" s="717"/>
      <c r="CU1138" s="717"/>
      <c r="CV1138" s="717"/>
      <c r="CW1138" s="717"/>
      <c r="CX1138" s="717"/>
      <c r="CY1138" s="717"/>
      <c r="CZ1138" s="717"/>
      <c r="DA1138" s="717"/>
      <c r="DB1138" s="717"/>
      <c r="DC1138" s="717"/>
      <c r="DD1138" s="717"/>
      <c r="DE1138" s="717"/>
      <c r="DF1138" s="717"/>
      <c r="DG1138" s="717"/>
      <c r="DH1138" s="717"/>
      <c r="DI1138" s="717"/>
      <c r="DJ1138" s="717"/>
      <c r="DM1138" s="711"/>
      <c r="DN1138" s="711"/>
      <c r="DO1138" s="711"/>
      <c r="DP1138" s="711"/>
      <c r="DQ1138" s="711"/>
    </row>
    <row r="1139" spans="13:121" s="709" customFormat="1" hidden="1">
      <c r="M1139" s="710"/>
      <c r="P1139" s="711"/>
      <c r="Q1139" s="712"/>
      <c r="U1139" s="711"/>
      <c r="V1139" s="711"/>
      <c r="W1139" s="711"/>
      <c r="X1139" s="711"/>
      <c r="Y1139" s="711"/>
      <c r="Z1139" s="711"/>
      <c r="AU1139" s="713"/>
      <c r="AW1139" s="712"/>
      <c r="BY1139" s="714"/>
      <c r="BZ1139" s="715"/>
      <c r="CA1139" s="716"/>
      <c r="CB1139" s="717"/>
      <c r="CC1139" s="717"/>
      <c r="CD1139" s="717"/>
      <c r="CE1139" s="717"/>
      <c r="CF1139" s="717"/>
      <c r="CG1139" s="717"/>
      <c r="CH1139" s="717"/>
      <c r="CI1139" s="717"/>
      <c r="CJ1139" s="717"/>
      <c r="CK1139" s="717"/>
      <c r="CL1139" s="717"/>
      <c r="CM1139" s="717"/>
      <c r="CN1139" s="717"/>
      <c r="CO1139" s="717"/>
      <c r="CP1139" s="717"/>
      <c r="CQ1139" s="717"/>
      <c r="CR1139" s="717"/>
      <c r="CS1139" s="717"/>
      <c r="CT1139" s="717"/>
      <c r="CU1139" s="717"/>
      <c r="CV1139" s="717"/>
      <c r="CW1139" s="717"/>
      <c r="CX1139" s="717"/>
      <c r="CY1139" s="717"/>
      <c r="CZ1139" s="717"/>
      <c r="DA1139" s="717"/>
      <c r="DB1139" s="717"/>
      <c r="DC1139" s="717"/>
      <c r="DD1139" s="717"/>
      <c r="DE1139" s="717"/>
      <c r="DF1139" s="717"/>
      <c r="DG1139" s="717"/>
      <c r="DH1139" s="717"/>
      <c r="DI1139" s="717"/>
      <c r="DJ1139" s="717"/>
      <c r="DM1139" s="711"/>
      <c r="DN1139" s="711"/>
      <c r="DO1139" s="711"/>
      <c r="DP1139" s="711"/>
      <c r="DQ1139" s="711"/>
    </row>
    <row r="1140" spans="13:121" s="709" customFormat="1" hidden="1">
      <c r="M1140" s="710"/>
      <c r="P1140" s="711"/>
      <c r="Q1140" s="712"/>
      <c r="U1140" s="711"/>
      <c r="V1140" s="711"/>
      <c r="W1140" s="711"/>
      <c r="X1140" s="711"/>
      <c r="Y1140" s="711"/>
      <c r="Z1140" s="711"/>
      <c r="AU1140" s="713"/>
      <c r="AW1140" s="712"/>
      <c r="BY1140" s="714"/>
      <c r="BZ1140" s="715"/>
      <c r="CA1140" s="716"/>
      <c r="CB1140" s="717"/>
      <c r="CC1140" s="717"/>
      <c r="CD1140" s="717"/>
      <c r="CE1140" s="717"/>
      <c r="CF1140" s="717"/>
      <c r="CG1140" s="717"/>
      <c r="CH1140" s="717"/>
      <c r="CI1140" s="717"/>
      <c r="CJ1140" s="717"/>
      <c r="CK1140" s="717"/>
      <c r="CL1140" s="717"/>
      <c r="CM1140" s="717"/>
      <c r="CN1140" s="717"/>
      <c r="CO1140" s="717"/>
      <c r="CP1140" s="717"/>
      <c r="CQ1140" s="717"/>
      <c r="CR1140" s="717"/>
      <c r="CS1140" s="717"/>
      <c r="CT1140" s="717"/>
      <c r="CU1140" s="717"/>
      <c r="CV1140" s="717"/>
      <c r="CW1140" s="717"/>
      <c r="CX1140" s="717"/>
      <c r="CY1140" s="717"/>
      <c r="CZ1140" s="717"/>
      <c r="DA1140" s="717"/>
      <c r="DB1140" s="717"/>
      <c r="DC1140" s="717"/>
      <c r="DD1140" s="717"/>
      <c r="DE1140" s="717"/>
      <c r="DF1140" s="717"/>
      <c r="DG1140" s="717"/>
      <c r="DH1140" s="717"/>
      <c r="DI1140" s="717"/>
      <c r="DJ1140" s="717"/>
      <c r="DM1140" s="711"/>
      <c r="DN1140" s="711"/>
      <c r="DO1140" s="711"/>
      <c r="DP1140" s="711"/>
      <c r="DQ1140" s="711"/>
    </row>
    <row r="1141" spans="13:121" s="709" customFormat="1" hidden="1">
      <c r="M1141" s="710"/>
      <c r="P1141" s="711"/>
      <c r="Q1141" s="712"/>
      <c r="U1141" s="711"/>
      <c r="V1141" s="711"/>
      <c r="W1141" s="711"/>
      <c r="X1141" s="711"/>
      <c r="Y1141" s="711"/>
      <c r="Z1141" s="711"/>
      <c r="AU1141" s="713"/>
      <c r="AW1141" s="712"/>
      <c r="BY1141" s="714"/>
      <c r="BZ1141" s="715"/>
      <c r="CA1141" s="716"/>
      <c r="CB1141" s="717"/>
      <c r="CC1141" s="717"/>
      <c r="CD1141" s="717"/>
      <c r="CE1141" s="717"/>
      <c r="CF1141" s="717"/>
      <c r="CG1141" s="717"/>
      <c r="CH1141" s="717"/>
      <c r="CI1141" s="717"/>
      <c r="CJ1141" s="717"/>
      <c r="CK1141" s="717"/>
      <c r="CL1141" s="717"/>
      <c r="CM1141" s="717"/>
      <c r="CN1141" s="717"/>
      <c r="CO1141" s="717"/>
      <c r="CP1141" s="717"/>
      <c r="CQ1141" s="717"/>
      <c r="CR1141" s="717"/>
      <c r="CS1141" s="717"/>
      <c r="CT1141" s="717"/>
      <c r="CU1141" s="717"/>
      <c r="CV1141" s="717"/>
      <c r="CW1141" s="717"/>
      <c r="CX1141" s="717"/>
      <c r="CY1141" s="717"/>
      <c r="CZ1141" s="717"/>
      <c r="DA1141" s="717"/>
      <c r="DB1141" s="717"/>
      <c r="DC1141" s="717"/>
      <c r="DD1141" s="717"/>
      <c r="DE1141" s="717"/>
      <c r="DF1141" s="717"/>
      <c r="DG1141" s="717"/>
      <c r="DH1141" s="717"/>
      <c r="DI1141" s="717"/>
      <c r="DJ1141" s="717"/>
      <c r="DM1141" s="711"/>
      <c r="DN1141" s="711"/>
      <c r="DO1141" s="711"/>
      <c r="DP1141" s="711"/>
      <c r="DQ1141" s="711"/>
    </row>
    <row r="1142" spans="13:121" s="709" customFormat="1" hidden="1">
      <c r="M1142" s="710"/>
      <c r="P1142" s="711"/>
      <c r="Q1142" s="712"/>
      <c r="U1142" s="711"/>
      <c r="V1142" s="711"/>
      <c r="W1142" s="711"/>
      <c r="X1142" s="711"/>
      <c r="Y1142" s="711"/>
      <c r="Z1142" s="711"/>
      <c r="AU1142" s="713"/>
      <c r="AW1142" s="712"/>
      <c r="BY1142" s="714"/>
      <c r="BZ1142" s="715"/>
      <c r="CA1142" s="716"/>
      <c r="CB1142" s="717"/>
      <c r="CC1142" s="717"/>
      <c r="CD1142" s="717"/>
      <c r="CE1142" s="717"/>
      <c r="CF1142" s="717"/>
      <c r="CG1142" s="717"/>
      <c r="CH1142" s="717"/>
      <c r="CI1142" s="717"/>
      <c r="CJ1142" s="717"/>
      <c r="CK1142" s="717"/>
      <c r="CL1142" s="717"/>
      <c r="CM1142" s="717"/>
      <c r="CN1142" s="717"/>
      <c r="CO1142" s="717"/>
      <c r="CP1142" s="717"/>
      <c r="CQ1142" s="717"/>
      <c r="CR1142" s="717"/>
      <c r="CS1142" s="717"/>
      <c r="CT1142" s="717"/>
      <c r="CU1142" s="717"/>
      <c r="CV1142" s="717"/>
      <c r="CW1142" s="717"/>
      <c r="CX1142" s="717"/>
      <c r="CY1142" s="717"/>
      <c r="CZ1142" s="717"/>
      <c r="DA1142" s="717"/>
      <c r="DB1142" s="717"/>
      <c r="DC1142" s="717"/>
      <c r="DD1142" s="717"/>
      <c r="DE1142" s="717"/>
      <c r="DF1142" s="717"/>
      <c r="DG1142" s="717"/>
      <c r="DH1142" s="717"/>
      <c r="DI1142" s="717"/>
      <c r="DJ1142" s="717"/>
      <c r="DM1142" s="711"/>
      <c r="DN1142" s="711"/>
      <c r="DO1142" s="711"/>
      <c r="DP1142" s="711"/>
      <c r="DQ1142" s="711"/>
    </row>
    <row r="1143" spans="13:121" s="709" customFormat="1" hidden="1">
      <c r="M1143" s="710"/>
      <c r="P1143" s="711"/>
      <c r="Q1143" s="712"/>
      <c r="U1143" s="711"/>
      <c r="V1143" s="711"/>
      <c r="W1143" s="711"/>
      <c r="X1143" s="711"/>
      <c r="Y1143" s="711"/>
      <c r="Z1143" s="711"/>
      <c r="AU1143" s="713"/>
      <c r="AW1143" s="712"/>
      <c r="BY1143" s="714"/>
      <c r="BZ1143" s="715"/>
      <c r="CA1143" s="716"/>
      <c r="CB1143" s="717"/>
      <c r="CC1143" s="717"/>
      <c r="CD1143" s="717"/>
      <c r="CE1143" s="717"/>
      <c r="CF1143" s="717"/>
      <c r="CG1143" s="717"/>
      <c r="CH1143" s="717"/>
      <c r="CI1143" s="717"/>
      <c r="CJ1143" s="717"/>
      <c r="CK1143" s="717"/>
      <c r="CL1143" s="717"/>
      <c r="CM1143" s="717"/>
      <c r="CN1143" s="717"/>
      <c r="CO1143" s="717"/>
      <c r="CP1143" s="717"/>
      <c r="CQ1143" s="717"/>
      <c r="CR1143" s="717"/>
      <c r="CS1143" s="717"/>
      <c r="CT1143" s="717"/>
      <c r="CU1143" s="717"/>
      <c r="CV1143" s="717"/>
      <c r="CW1143" s="717"/>
      <c r="CX1143" s="717"/>
      <c r="CY1143" s="717"/>
      <c r="CZ1143" s="717"/>
      <c r="DA1143" s="717"/>
      <c r="DB1143" s="717"/>
      <c r="DC1143" s="717"/>
      <c r="DD1143" s="717"/>
      <c r="DE1143" s="717"/>
      <c r="DF1143" s="717"/>
      <c r="DG1143" s="717"/>
      <c r="DH1143" s="717"/>
      <c r="DI1143" s="717"/>
      <c r="DJ1143" s="717"/>
      <c r="DM1143" s="711"/>
      <c r="DN1143" s="711"/>
      <c r="DO1143" s="711"/>
      <c r="DP1143" s="711"/>
      <c r="DQ1143" s="711"/>
    </row>
    <row r="1144" spans="13:121" s="709" customFormat="1" hidden="1">
      <c r="M1144" s="710"/>
      <c r="P1144" s="711"/>
      <c r="Q1144" s="712"/>
      <c r="U1144" s="711"/>
      <c r="V1144" s="711"/>
      <c r="W1144" s="711"/>
      <c r="X1144" s="711"/>
      <c r="Y1144" s="711"/>
      <c r="Z1144" s="711"/>
      <c r="AU1144" s="713"/>
      <c r="AW1144" s="712"/>
      <c r="BY1144" s="714"/>
      <c r="BZ1144" s="715"/>
      <c r="CA1144" s="716"/>
      <c r="CB1144" s="717"/>
      <c r="CC1144" s="717"/>
      <c r="CD1144" s="717"/>
      <c r="CE1144" s="717"/>
      <c r="CF1144" s="717"/>
      <c r="CG1144" s="717"/>
      <c r="CH1144" s="717"/>
      <c r="CI1144" s="717"/>
      <c r="CJ1144" s="717"/>
      <c r="CK1144" s="717"/>
      <c r="CL1144" s="717"/>
      <c r="CM1144" s="717"/>
      <c r="CN1144" s="717"/>
      <c r="CO1144" s="717"/>
      <c r="CP1144" s="717"/>
      <c r="CQ1144" s="717"/>
      <c r="CR1144" s="717"/>
      <c r="CS1144" s="717"/>
      <c r="CT1144" s="717"/>
      <c r="CU1144" s="717"/>
      <c r="CV1144" s="717"/>
      <c r="CW1144" s="717"/>
      <c r="CX1144" s="717"/>
      <c r="CY1144" s="717"/>
      <c r="CZ1144" s="717"/>
      <c r="DA1144" s="717"/>
      <c r="DB1144" s="717"/>
      <c r="DC1144" s="717"/>
      <c r="DD1144" s="717"/>
      <c r="DE1144" s="717"/>
      <c r="DF1144" s="717"/>
      <c r="DG1144" s="717"/>
      <c r="DH1144" s="717"/>
      <c r="DI1144" s="717"/>
      <c r="DJ1144" s="717"/>
      <c r="DM1144" s="711"/>
      <c r="DN1144" s="711"/>
      <c r="DO1144" s="711"/>
      <c r="DP1144" s="711"/>
      <c r="DQ1144" s="711"/>
    </row>
    <row r="1145" spans="13:121" s="709" customFormat="1" hidden="1">
      <c r="M1145" s="710"/>
      <c r="P1145" s="711"/>
      <c r="Q1145" s="712"/>
      <c r="U1145" s="711"/>
      <c r="V1145" s="711"/>
      <c r="W1145" s="711"/>
      <c r="X1145" s="711"/>
      <c r="Y1145" s="711"/>
      <c r="Z1145" s="711"/>
      <c r="AU1145" s="713"/>
      <c r="AW1145" s="712"/>
      <c r="BY1145" s="714"/>
      <c r="BZ1145" s="715"/>
      <c r="CA1145" s="716"/>
      <c r="CB1145" s="717"/>
      <c r="CC1145" s="717"/>
      <c r="CD1145" s="717"/>
      <c r="CE1145" s="717"/>
      <c r="CF1145" s="717"/>
      <c r="CG1145" s="717"/>
      <c r="CH1145" s="717"/>
      <c r="CI1145" s="717"/>
      <c r="CJ1145" s="717"/>
      <c r="CK1145" s="717"/>
      <c r="CL1145" s="717"/>
      <c r="CM1145" s="717"/>
      <c r="CN1145" s="717"/>
      <c r="CO1145" s="717"/>
      <c r="CP1145" s="717"/>
      <c r="CQ1145" s="717"/>
      <c r="CR1145" s="717"/>
      <c r="CS1145" s="717"/>
      <c r="CT1145" s="717"/>
      <c r="CU1145" s="717"/>
      <c r="CV1145" s="717"/>
      <c r="CW1145" s="717"/>
      <c r="CX1145" s="717"/>
      <c r="CY1145" s="717"/>
      <c r="CZ1145" s="717"/>
      <c r="DA1145" s="717"/>
      <c r="DB1145" s="717"/>
      <c r="DC1145" s="717"/>
      <c r="DD1145" s="717"/>
      <c r="DE1145" s="717"/>
      <c r="DF1145" s="717"/>
      <c r="DG1145" s="717"/>
      <c r="DH1145" s="717"/>
      <c r="DI1145" s="717"/>
      <c r="DJ1145" s="717"/>
      <c r="DM1145" s="711"/>
      <c r="DN1145" s="711"/>
      <c r="DO1145" s="711"/>
      <c r="DP1145" s="711"/>
      <c r="DQ1145" s="711"/>
    </row>
    <row r="1146" spans="13:121" s="709" customFormat="1" hidden="1">
      <c r="M1146" s="710"/>
      <c r="P1146" s="711"/>
      <c r="Q1146" s="712"/>
      <c r="U1146" s="711"/>
      <c r="V1146" s="711"/>
      <c r="W1146" s="711"/>
      <c r="X1146" s="711"/>
      <c r="Y1146" s="711"/>
      <c r="Z1146" s="711"/>
      <c r="AU1146" s="713"/>
      <c r="AW1146" s="712"/>
      <c r="BY1146" s="714"/>
      <c r="BZ1146" s="715"/>
      <c r="CA1146" s="716"/>
      <c r="CB1146" s="717"/>
      <c r="CC1146" s="717"/>
      <c r="CD1146" s="717"/>
      <c r="CE1146" s="717"/>
      <c r="CF1146" s="717"/>
      <c r="CG1146" s="717"/>
      <c r="CH1146" s="717"/>
      <c r="CI1146" s="717"/>
      <c r="CJ1146" s="717"/>
      <c r="CK1146" s="717"/>
      <c r="CL1146" s="717"/>
      <c r="CM1146" s="717"/>
      <c r="CN1146" s="717"/>
      <c r="CO1146" s="717"/>
      <c r="CP1146" s="717"/>
      <c r="CQ1146" s="717"/>
      <c r="CR1146" s="717"/>
      <c r="CS1146" s="717"/>
      <c r="CT1146" s="717"/>
      <c r="CU1146" s="717"/>
      <c r="CV1146" s="717"/>
      <c r="CW1146" s="717"/>
      <c r="CX1146" s="717"/>
      <c r="CY1146" s="717"/>
      <c r="CZ1146" s="717"/>
      <c r="DA1146" s="717"/>
      <c r="DB1146" s="717"/>
      <c r="DC1146" s="717"/>
      <c r="DD1146" s="717"/>
      <c r="DE1146" s="717"/>
      <c r="DF1146" s="717"/>
      <c r="DG1146" s="717"/>
      <c r="DH1146" s="717"/>
      <c r="DI1146" s="717"/>
      <c r="DJ1146" s="717"/>
      <c r="DM1146" s="711"/>
      <c r="DN1146" s="711"/>
      <c r="DO1146" s="711"/>
      <c r="DP1146" s="711"/>
      <c r="DQ1146" s="711"/>
    </row>
    <row r="1147" spans="13:121" s="709" customFormat="1" hidden="1">
      <c r="M1147" s="710"/>
      <c r="P1147" s="711"/>
      <c r="Q1147" s="712"/>
      <c r="U1147" s="711"/>
      <c r="V1147" s="711"/>
      <c r="W1147" s="711"/>
      <c r="X1147" s="711"/>
      <c r="Y1147" s="711"/>
      <c r="Z1147" s="711"/>
      <c r="AU1147" s="713"/>
      <c r="AW1147" s="712"/>
      <c r="BY1147" s="714"/>
      <c r="BZ1147" s="715"/>
      <c r="CA1147" s="716"/>
      <c r="CB1147" s="717"/>
      <c r="CC1147" s="717"/>
      <c r="CD1147" s="717"/>
      <c r="CE1147" s="717"/>
      <c r="CF1147" s="717"/>
      <c r="CG1147" s="717"/>
      <c r="CH1147" s="717"/>
      <c r="CI1147" s="717"/>
      <c r="CJ1147" s="717"/>
      <c r="CK1147" s="717"/>
      <c r="CL1147" s="717"/>
      <c r="CM1147" s="717"/>
      <c r="CN1147" s="717"/>
      <c r="CO1147" s="717"/>
      <c r="CP1147" s="717"/>
      <c r="CQ1147" s="717"/>
      <c r="CR1147" s="717"/>
      <c r="CS1147" s="717"/>
      <c r="CT1147" s="717"/>
      <c r="CU1147" s="717"/>
      <c r="CV1147" s="717"/>
      <c r="CW1147" s="717"/>
      <c r="CX1147" s="717"/>
      <c r="CY1147" s="717"/>
      <c r="CZ1147" s="717"/>
      <c r="DA1147" s="717"/>
      <c r="DB1147" s="717"/>
      <c r="DC1147" s="717"/>
      <c r="DD1147" s="717"/>
      <c r="DE1147" s="717"/>
      <c r="DF1147" s="717"/>
      <c r="DG1147" s="717"/>
      <c r="DH1147" s="717"/>
      <c r="DI1147" s="717"/>
      <c r="DJ1147" s="717"/>
      <c r="DM1147" s="711"/>
      <c r="DN1147" s="711"/>
      <c r="DO1147" s="711"/>
      <c r="DP1147" s="711"/>
      <c r="DQ1147" s="711"/>
    </row>
    <row r="1148" spans="13:121" s="709" customFormat="1" hidden="1">
      <c r="M1148" s="710"/>
      <c r="P1148" s="711"/>
      <c r="Q1148" s="712"/>
      <c r="U1148" s="711"/>
      <c r="V1148" s="711"/>
      <c r="W1148" s="711"/>
      <c r="X1148" s="711"/>
      <c r="Y1148" s="711"/>
      <c r="Z1148" s="711"/>
      <c r="AU1148" s="713"/>
      <c r="AW1148" s="712"/>
      <c r="BY1148" s="714"/>
      <c r="BZ1148" s="715"/>
      <c r="CA1148" s="716"/>
      <c r="CB1148" s="717"/>
      <c r="CC1148" s="717"/>
      <c r="CD1148" s="717"/>
      <c r="CE1148" s="717"/>
      <c r="CF1148" s="717"/>
      <c r="CG1148" s="717"/>
      <c r="CH1148" s="717"/>
      <c r="CI1148" s="717"/>
      <c r="CJ1148" s="717"/>
      <c r="CK1148" s="717"/>
      <c r="CL1148" s="717"/>
      <c r="CM1148" s="717"/>
      <c r="CN1148" s="717"/>
      <c r="CO1148" s="717"/>
      <c r="CP1148" s="717"/>
      <c r="CQ1148" s="717"/>
      <c r="CR1148" s="717"/>
      <c r="CS1148" s="717"/>
      <c r="CT1148" s="717"/>
      <c r="CU1148" s="717"/>
      <c r="CV1148" s="717"/>
      <c r="CW1148" s="717"/>
      <c r="CX1148" s="717"/>
      <c r="CY1148" s="717"/>
      <c r="CZ1148" s="717"/>
      <c r="DA1148" s="717"/>
      <c r="DB1148" s="717"/>
      <c r="DC1148" s="717"/>
      <c r="DD1148" s="717"/>
      <c r="DE1148" s="717"/>
      <c r="DF1148" s="717"/>
      <c r="DG1148" s="717"/>
      <c r="DH1148" s="717"/>
      <c r="DI1148" s="717"/>
      <c r="DJ1148" s="717"/>
      <c r="DM1148" s="711"/>
      <c r="DN1148" s="711"/>
      <c r="DO1148" s="711"/>
      <c r="DP1148" s="711"/>
      <c r="DQ1148" s="711"/>
    </row>
    <row r="1149" spans="13:121" s="709" customFormat="1" hidden="1">
      <c r="M1149" s="710"/>
      <c r="P1149" s="711"/>
      <c r="Q1149" s="712"/>
      <c r="U1149" s="711"/>
      <c r="V1149" s="711"/>
      <c r="W1149" s="711"/>
      <c r="X1149" s="711"/>
      <c r="Y1149" s="711"/>
      <c r="Z1149" s="711"/>
      <c r="AU1149" s="713"/>
      <c r="AW1149" s="712"/>
      <c r="BY1149" s="714"/>
      <c r="BZ1149" s="715"/>
      <c r="CA1149" s="716"/>
      <c r="CB1149" s="717"/>
      <c r="CC1149" s="717"/>
      <c r="CD1149" s="717"/>
      <c r="CE1149" s="717"/>
      <c r="CF1149" s="717"/>
      <c r="CG1149" s="717"/>
      <c r="CH1149" s="717"/>
      <c r="CI1149" s="717"/>
      <c r="CJ1149" s="717"/>
      <c r="CK1149" s="717"/>
      <c r="CL1149" s="717"/>
      <c r="CM1149" s="717"/>
      <c r="CN1149" s="717"/>
      <c r="CO1149" s="717"/>
      <c r="CP1149" s="717"/>
      <c r="CQ1149" s="717"/>
      <c r="CR1149" s="717"/>
      <c r="CS1149" s="717"/>
      <c r="CT1149" s="717"/>
      <c r="CU1149" s="717"/>
      <c r="CV1149" s="717"/>
      <c r="CW1149" s="717"/>
      <c r="CX1149" s="717"/>
      <c r="CY1149" s="717"/>
      <c r="CZ1149" s="717"/>
      <c r="DA1149" s="717"/>
      <c r="DB1149" s="717"/>
      <c r="DC1149" s="717"/>
      <c r="DD1149" s="717"/>
      <c r="DE1149" s="717"/>
      <c r="DF1149" s="717"/>
      <c r="DG1149" s="717"/>
      <c r="DH1149" s="717"/>
      <c r="DI1149" s="717"/>
      <c r="DJ1149" s="717"/>
      <c r="DM1149" s="711"/>
      <c r="DN1149" s="711"/>
      <c r="DO1149" s="711"/>
      <c r="DP1149" s="711"/>
      <c r="DQ1149" s="711"/>
    </row>
    <row r="1150" spans="13:121" s="709" customFormat="1" hidden="1">
      <c r="M1150" s="710"/>
      <c r="P1150" s="711"/>
      <c r="Q1150" s="712"/>
      <c r="U1150" s="711"/>
      <c r="V1150" s="711"/>
      <c r="W1150" s="711"/>
      <c r="X1150" s="711"/>
      <c r="Y1150" s="711"/>
      <c r="Z1150" s="711"/>
      <c r="AU1150" s="713"/>
      <c r="AW1150" s="712"/>
      <c r="BY1150" s="714"/>
      <c r="BZ1150" s="715"/>
      <c r="CA1150" s="716"/>
      <c r="CB1150" s="717"/>
      <c r="CC1150" s="717"/>
      <c r="CD1150" s="717"/>
      <c r="CE1150" s="717"/>
      <c r="CF1150" s="717"/>
      <c r="CG1150" s="717"/>
      <c r="CH1150" s="717"/>
      <c r="CI1150" s="717"/>
      <c r="CJ1150" s="717"/>
      <c r="CK1150" s="717"/>
      <c r="CL1150" s="717"/>
      <c r="CM1150" s="717"/>
      <c r="CN1150" s="717"/>
      <c r="CO1150" s="717"/>
      <c r="CP1150" s="717"/>
      <c r="CQ1150" s="717"/>
      <c r="CR1150" s="717"/>
      <c r="CS1150" s="717"/>
      <c r="CT1150" s="717"/>
      <c r="CU1150" s="717"/>
      <c r="CV1150" s="717"/>
      <c r="CW1150" s="717"/>
      <c r="CX1150" s="717"/>
      <c r="CY1150" s="717"/>
      <c r="CZ1150" s="717"/>
      <c r="DA1150" s="717"/>
      <c r="DB1150" s="717"/>
      <c r="DC1150" s="717"/>
      <c r="DD1150" s="717"/>
      <c r="DE1150" s="717"/>
      <c r="DF1150" s="717"/>
      <c r="DG1150" s="717"/>
      <c r="DH1150" s="717"/>
      <c r="DI1150" s="717"/>
      <c r="DJ1150" s="717"/>
      <c r="DM1150" s="711"/>
      <c r="DN1150" s="711"/>
      <c r="DO1150" s="711"/>
      <c r="DP1150" s="711"/>
      <c r="DQ1150" s="711"/>
    </row>
    <row r="1151" spans="13:121" s="709" customFormat="1" hidden="1">
      <c r="M1151" s="710"/>
      <c r="P1151" s="711"/>
      <c r="Q1151" s="712"/>
      <c r="U1151" s="711"/>
      <c r="V1151" s="711"/>
      <c r="W1151" s="711"/>
      <c r="X1151" s="711"/>
      <c r="Y1151" s="711"/>
      <c r="Z1151" s="711"/>
      <c r="AU1151" s="713"/>
      <c r="AW1151" s="712"/>
      <c r="BY1151" s="714"/>
      <c r="BZ1151" s="715"/>
      <c r="CA1151" s="716"/>
      <c r="CB1151" s="717"/>
      <c r="CC1151" s="717"/>
      <c r="CD1151" s="717"/>
      <c r="CE1151" s="717"/>
      <c r="CF1151" s="717"/>
      <c r="CG1151" s="717"/>
      <c r="CH1151" s="717"/>
      <c r="CI1151" s="717"/>
      <c r="CJ1151" s="717"/>
      <c r="CK1151" s="717"/>
      <c r="CL1151" s="717"/>
      <c r="CM1151" s="717"/>
      <c r="CN1151" s="717"/>
      <c r="CO1151" s="717"/>
      <c r="CP1151" s="717"/>
      <c r="CQ1151" s="717"/>
      <c r="CR1151" s="717"/>
      <c r="CS1151" s="717"/>
      <c r="CT1151" s="717"/>
      <c r="CU1151" s="717"/>
      <c r="CV1151" s="717"/>
      <c r="CW1151" s="717"/>
      <c r="CX1151" s="717"/>
      <c r="CY1151" s="717"/>
      <c r="CZ1151" s="717"/>
      <c r="DA1151" s="717"/>
      <c r="DB1151" s="717"/>
      <c r="DC1151" s="717"/>
      <c r="DD1151" s="717"/>
      <c r="DE1151" s="717"/>
      <c r="DF1151" s="717"/>
      <c r="DG1151" s="717"/>
      <c r="DH1151" s="717"/>
      <c r="DI1151" s="717"/>
      <c r="DJ1151" s="717"/>
      <c r="DM1151" s="711"/>
      <c r="DN1151" s="711"/>
      <c r="DO1151" s="711"/>
      <c r="DP1151" s="711"/>
      <c r="DQ1151" s="711"/>
    </row>
    <row r="1152" spans="13:121" s="709" customFormat="1" hidden="1">
      <c r="M1152" s="710"/>
      <c r="P1152" s="711"/>
      <c r="Q1152" s="712"/>
      <c r="U1152" s="711"/>
      <c r="V1152" s="711"/>
      <c r="W1152" s="711"/>
      <c r="X1152" s="711"/>
      <c r="Y1152" s="711"/>
      <c r="Z1152" s="711"/>
      <c r="AU1152" s="713"/>
      <c r="AW1152" s="712"/>
      <c r="BY1152" s="714"/>
      <c r="BZ1152" s="715"/>
      <c r="CA1152" s="716"/>
      <c r="CB1152" s="717"/>
      <c r="CC1152" s="717"/>
      <c r="CD1152" s="717"/>
      <c r="CE1152" s="717"/>
      <c r="CF1152" s="717"/>
      <c r="CG1152" s="717"/>
      <c r="CH1152" s="717"/>
      <c r="CI1152" s="717"/>
      <c r="CJ1152" s="717"/>
      <c r="CK1152" s="717"/>
      <c r="CL1152" s="717"/>
      <c r="CM1152" s="717"/>
      <c r="CN1152" s="717"/>
      <c r="CO1152" s="717"/>
      <c r="CP1152" s="717"/>
      <c r="CQ1152" s="717"/>
      <c r="CR1152" s="717"/>
      <c r="CS1152" s="717"/>
      <c r="CT1152" s="717"/>
      <c r="CU1152" s="717"/>
      <c r="CV1152" s="717"/>
      <c r="CW1152" s="717"/>
      <c r="CX1152" s="717"/>
      <c r="CY1152" s="717"/>
      <c r="CZ1152" s="717"/>
      <c r="DA1152" s="717"/>
      <c r="DB1152" s="717"/>
      <c r="DC1152" s="717"/>
      <c r="DD1152" s="717"/>
      <c r="DE1152" s="717"/>
      <c r="DF1152" s="717"/>
      <c r="DG1152" s="717"/>
      <c r="DH1152" s="717"/>
      <c r="DI1152" s="717"/>
      <c r="DJ1152" s="717"/>
      <c r="DM1152" s="711"/>
      <c r="DN1152" s="711"/>
      <c r="DO1152" s="711"/>
      <c r="DP1152" s="711"/>
      <c r="DQ1152" s="711"/>
    </row>
    <row r="1153" spans="13:121" s="709" customFormat="1" hidden="1">
      <c r="M1153" s="710"/>
      <c r="P1153" s="711"/>
      <c r="Q1153" s="712"/>
      <c r="U1153" s="711"/>
      <c r="V1153" s="711"/>
      <c r="W1153" s="711"/>
      <c r="X1153" s="711"/>
      <c r="Y1153" s="711"/>
      <c r="Z1153" s="711"/>
      <c r="AU1153" s="713"/>
      <c r="AW1153" s="712"/>
      <c r="BY1153" s="714"/>
      <c r="BZ1153" s="715"/>
      <c r="CA1153" s="716"/>
      <c r="CB1153" s="717"/>
      <c r="CC1153" s="717"/>
      <c r="CD1153" s="717"/>
      <c r="CE1153" s="717"/>
      <c r="CF1153" s="717"/>
      <c r="CG1153" s="717"/>
      <c r="CH1153" s="717"/>
      <c r="CI1153" s="717"/>
      <c r="CJ1153" s="717"/>
      <c r="CK1153" s="717"/>
      <c r="CL1153" s="717"/>
      <c r="CM1153" s="717"/>
      <c r="CN1153" s="717"/>
      <c r="CO1153" s="717"/>
      <c r="CP1153" s="717"/>
      <c r="CQ1153" s="717"/>
      <c r="CR1153" s="717"/>
      <c r="CS1153" s="717"/>
      <c r="CT1153" s="717"/>
      <c r="CU1153" s="717"/>
      <c r="CV1153" s="717"/>
      <c r="CW1153" s="717"/>
      <c r="CX1153" s="717"/>
      <c r="CY1153" s="717"/>
      <c r="CZ1153" s="717"/>
      <c r="DA1153" s="717"/>
      <c r="DB1153" s="717"/>
      <c r="DC1153" s="717"/>
      <c r="DD1153" s="717"/>
      <c r="DE1153" s="717"/>
      <c r="DF1153" s="717"/>
      <c r="DG1153" s="717"/>
      <c r="DH1153" s="717"/>
      <c r="DI1153" s="717"/>
      <c r="DJ1153" s="717"/>
      <c r="DM1153" s="711"/>
      <c r="DN1153" s="711"/>
      <c r="DO1153" s="711"/>
      <c r="DP1153" s="711"/>
      <c r="DQ1153" s="711"/>
    </row>
    <row r="1154" spans="13:121" s="709" customFormat="1" hidden="1">
      <c r="M1154" s="710"/>
      <c r="P1154" s="711"/>
      <c r="Q1154" s="712"/>
      <c r="U1154" s="711"/>
      <c r="V1154" s="711"/>
      <c r="W1154" s="711"/>
      <c r="X1154" s="711"/>
      <c r="Y1154" s="711"/>
      <c r="Z1154" s="711"/>
      <c r="AU1154" s="713"/>
      <c r="AW1154" s="712"/>
      <c r="BY1154" s="714"/>
      <c r="BZ1154" s="715"/>
      <c r="CA1154" s="716"/>
      <c r="CB1154" s="717"/>
      <c r="CC1154" s="717"/>
      <c r="CD1154" s="717"/>
      <c r="CE1154" s="717"/>
      <c r="CF1154" s="717"/>
      <c r="CG1154" s="717"/>
      <c r="CH1154" s="717"/>
      <c r="CI1154" s="717"/>
      <c r="CJ1154" s="717"/>
      <c r="CK1154" s="717"/>
      <c r="CL1154" s="717"/>
      <c r="CM1154" s="717"/>
      <c r="CN1154" s="717"/>
      <c r="CO1154" s="717"/>
      <c r="CP1154" s="717"/>
      <c r="CQ1154" s="717"/>
      <c r="CR1154" s="717"/>
      <c r="CS1154" s="717"/>
      <c r="CT1154" s="717"/>
      <c r="CU1154" s="717"/>
      <c r="CV1154" s="717"/>
      <c r="CW1154" s="717"/>
      <c r="CX1154" s="717"/>
      <c r="CY1154" s="717"/>
      <c r="CZ1154" s="717"/>
      <c r="DA1154" s="717"/>
      <c r="DB1154" s="717"/>
      <c r="DC1154" s="717"/>
      <c r="DD1154" s="717"/>
      <c r="DE1154" s="717"/>
      <c r="DF1154" s="717"/>
      <c r="DG1154" s="717"/>
      <c r="DH1154" s="717"/>
      <c r="DI1154" s="717"/>
      <c r="DJ1154" s="717"/>
      <c r="DM1154" s="711"/>
      <c r="DN1154" s="711"/>
      <c r="DO1154" s="711"/>
      <c r="DP1154" s="711"/>
      <c r="DQ1154" s="711"/>
    </row>
    <row r="1155" spans="13:121" s="709" customFormat="1" hidden="1">
      <c r="M1155" s="710"/>
      <c r="P1155" s="711"/>
      <c r="Q1155" s="712"/>
      <c r="U1155" s="711"/>
      <c r="V1155" s="711"/>
      <c r="W1155" s="711"/>
      <c r="X1155" s="711"/>
      <c r="Y1155" s="711"/>
      <c r="Z1155" s="711"/>
      <c r="AU1155" s="713"/>
      <c r="AW1155" s="712"/>
      <c r="BY1155" s="714"/>
      <c r="BZ1155" s="715"/>
      <c r="CA1155" s="716"/>
      <c r="CB1155" s="717"/>
      <c r="CC1155" s="717"/>
      <c r="CD1155" s="717"/>
      <c r="CE1155" s="717"/>
      <c r="CF1155" s="717"/>
      <c r="CG1155" s="717"/>
      <c r="CH1155" s="717"/>
      <c r="CI1155" s="717"/>
      <c r="CJ1155" s="717"/>
      <c r="CK1155" s="717"/>
      <c r="CL1155" s="717"/>
      <c r="CM1155" s="717"/>
      <c r="CN1155" s="717"/>
      <c r="CO1155" s="717"/>
      <c r="CP1155" s="717"/>
      <c r="CQ1155" s="717"/>
      <c r="CR1155" s="717"/>
      <c r="CS1155" s="717"/>
      <c r="CT1155" s="717"/>
      <c r="CU1155" s="717"/>
      <c r="CV1155" s="717"/>
      <c r="CW1155" s="717"/>
      <c r="CX1155" s="717"/>
      <c r="CY1155" s="717"/>
      <c r="CZ1155" s="717"/>
      <c r="DA1155" s="717"/>
      <c r="DB1155" s="717"/>
      <c r="DC1155" s="717"/>
      <c r="DD1155" s="717"/>
      <c r="DE1155" s="717"/>
      <c r="DF1155" s="717"/>
      <c r="DG1155" s="717"/>
      <c r="DH1155" s="717"/>
      <c r="DI1155" s="717"/>
      <c r="DJ1155" s="717"/>
      <c r="DM1155" s="711"/>
      <c r="DN1155" s="711"/>
      <c r="DO1155" s="711"/>
      <c r="DP1155" s="711"/>
      <c r="DQ1155" s="711"/>
    </row>
    <row r="1156" spans="13:121" s="709" customFormat="1" hidden="1">
      <c r="M1156" s="710"/>
      <c r="P1156" s="711"/>
      <c r="Q1156" s="712"/>
      <c r="U1156" s="711"/>
      <c r="V1156" s="711"/>
      <c r="W1156" s="711"/>
      <c r="X1156" s="711"/>
      <c r="Y1156" s="711"/>
      <c r="Z1156" s="711"/>
      <c r="AU1156" s="713"/>
      <c r="AW1156" s="712"/>
      <c r="BY1156" s="714"/>
      <c r="BZ1156" s="715"/>
      <c r="CA1156" s="716"/>
      <c r="CB1156" s="717"/>
      <c r="CC1156" s="717"/>
      <c r="CD1156" s="717"/>
      <c r="CE1156" s="717"/>
      <c r="CF1156" s="717"/>
      <c r="CG1156" s="717"/>
      <c r="CH1156" s="717"/>
      <c r="CI1156" s="717"/>
      <c r="CJ1156" s="717"/>
      <c r="CK1156" s="717"/>
      <c r="CL1156" s="717"/>
      <c r="CM1156" s="717"/>
      <c r="CN1156" s="717"/>
      <c r="CO1156" s="717"/>
      <c r="CP1156" s="717"/>
      <c r="CQ1156" s="717"/>
      <c r="CR1156" s="717"/>
      <c r="CS1156" s="717"/>
      <c r="CT1156" s="717"/>
      <c r="CU1156" s="717"/>
      <c r="CV1156" s="717"/>
      <c r="CW1156" s="717"/>
      <c r="CX1156" s="717"/>
      <c r="CY1156" s="717"/>
      <c r="CZ1156" s="717"/>
      <c r="DA1156" s="717"/>
      <c r="DB1156" s="717"/>
      <c r="DC1156" s="717"/>
      <c r="DD1156" s="717"/>
      <c r="DE1156" s="717"/>
      <c r="DF1156" s="717"/>
      <c r="DG1156" s="717"/>
      <c r="DH1156" s="717"/>
      <c r="DI1156" s="717"/>
      <c r="DJ1156" s="717"/>
      <c r="DM1156" s="711"/>
      <c r="DN1156" s="711"/>
      <c r="DO1156" s="711"/>
      <c r="DP1156" s="711"/>
      <c r="DQ1156" s="711"/>
    </row>
    <row r="1157" spans="13:121" s="709" customFormat="1" hidden="1">
      <c r="M1157" s="710"/>
      <c r="P1157" s="711"/>
      <c r="Q1157" s="712"/>
      <c r="U1157" s="711"/>
      <c r="V1157" s="711"/>
      <c r="W1157" s="711"/>
      <c r="X1157" s="711"/>
      <c r="Y1157" s="711"/>
      <c r="Z1157" s="711"/>
      <c r="AU1157" s="713"/>
      <c r="AW1157" s="712"/>
      <c r="BY1157" s="714"/>
      <c r="BZ1157" s="715"/>
      <c r="CA1157" s="716"/>
      <c r="CB1157" s="717"/>
      <c r="CC1157" s="717"/>
      <c r="CD1157" s="717"/>
      <c r="CE1157" s="717"/>
      <c r="CF1157" s="717"/>
      <c r="CG1157" s="717"/>
      <c r="CH1157" s="717"/>
      <c r="CI1157" s="717"/>
      <c r="CJ1157" s="717"/>
      <c r="CK1157" s="717"/>
      <c r="CL1157" s="717"/>
      <c r="CM1157" s="717"/>
      <c r="CN1157" s="717"/>
      <c r="CO1157" s="717"/>
      <c r="CP1157" s="717"/>
      <c r="CQ1157" s="717"/>
      <c r="CR1157" s="717"/>
      <c r="CS1157" s="717"/>
      <c r="CT1157" s="717"/>
      <c r="CU1157" s="717"/>
      <c r="CV1157" s="717"/>
      <c r="CW1157" s="717"/>
      <c r="CX1157" s="717"/>
      <c r="CY1157" s="717"/>
      <c r="CZ1157" s="717"/>
      <c r="DA1157" s="717"/>
      <c r="DB1157" s="717"/>
      <c r="DC1157" s="717"/>
      <c r="DD1157" s="717"/>
      <c r="DE1157" s="717"/>
      <c r="DF1157" s="717"/>
      <c r="DG1157" s="717"/>
      <c r="DH1157" s="717"/>
      <c r="DI1157" s="717"/>
      <c r="DJ1157" s="717"/>
      <c r="DM1157" s="711"/>
      <c r="DN1157" s="711"/>
      <c r="DO1157" s="711"/>
      <c r="DP1157" s="711"/>
      <c r="DQ1157" s="711"/>
    </row>
    <row r="1158" spans="13:121" s="709" customFormat="1" hidden="1">
      <c r="M1158" s="710"/>
      <c r="P1158" s="711"/>
      <c r="Q1158" s="712"/>
      <c r="U1158" s="711"/>
      <c r="V1158" s="711"/>
      <c r="W1158" s="711"/>
      <c r="X1158" s="711"/>
      <c r="Y1158" s="711"/>
      <c r="Z1158" s="711"/>
      <c r="AU1158" s="713"/>
      <c r="AW1158" s="712"/>
      <c r="BY1158" s="714"/>
      <c r="BZ1158" s="715"/>
      <c r="CA1158" s="716"/>
      <c r="CB1158" s="717"/>
      <c r="CC1158" s="717"/>
      <c r="CD1158" s="717"/>
      <c r="CE1158" s="717"/>
      <c r="CF1158" s="717"/>
      <c r="CG1158" s="717"/>
      <c r="CH1158" s="717"/>
      <c r="CI1158" s="717"/>
      <c r="CJ1158" s="717"/>
      <c r="CK1158" s="717"/>
      <c r="CL1158" s="717"/>
      <c r="CM1158" s="717"/>
      <c r="CN1158" s="717"/>
      <c r="CO1158" s="717"/>
      <c r="CP1158" s="717"/>
      <c r="CQ1158" s="717"/>
      <c r="CR1158" s="717"/>
      <c r="CS1158" s="717"/>
      <c r="CT1158" s="717"/>
      <c r="CU1158" s="717"/>
      <c r="CV1158" s="717"/>
      <c r="CW1158" s="717"/>
      <c r="CX1158" s="717"/>
      <c r="CY1158" s="717"/>
      <c r="CZ1158" s="717"/>
      <c r="DA1158" s="717"/>
      <c r="DB1158" s="717"/>
      <c r="DC1158" s="717"/>
      <c r="DD1158" s="717"/>
      <c r="DE1158" s="717"/>
      <c r="DF1158" s="717"/>
      <c r="DG1158" s="717"/>
      <c r="DH1158" s="717"/>
      <c r="DI1158" s="717"/>
      <c r="DJ1158" s="717"/>
      <c r="DM1158" s="711"/>
      <c r="DN1158" s="711"/>
      <c r="DO1158" s="711"/>
      <c r="DP1158" s="711"/>
      <c r="DQ1158" s="711"/>
    </row>
    <row r="1159" spans="13:121" s="709" customFormat="1" hidden="1">
      <c r="M1159" s="710"/>
      <c r="P1159" s="711"/>
      <c r="Q1159" s="712"/>
      <c r="U1159" s="711"/>
      <c r="V1159" s="711"/>
      <c r="W1159" s="711"/>
      <c r="X1159" s="711"/>
      <c r="Y1159" s="711"/>
      <c r="Z1159" s="711"/>
      <c r="AU1159" s="713"/>
      <c r="AW1159" s="712"/>
      <c r="BY1159" s="714"/>
      <c r="BZ1159" s="715"/>
      <c r="CA1159" s="716"/>
      <c r="CB1159" s="717"/>
      <c r="CC1159" s="717"/>
      <c r="CD1159" s="717"/>
      <c r="CE1159" s="717"/>
      <c r="CF1159" s="717"/>
      <c r="CG1159" s="717"/>
      <c r="CH1159" s="717"/>
      <c r="CI1159" s="717"/>
      <c r="CJ1159" s="717"/>
      <c r="CK1159" s="717"/>
      <c r="CL1159" s="717"/>
      <c r="CM1159" s="717"/>
      <c r="CN1159" s="717"/>
      <c r="CO1159" s="717"/>
      <c r="CP1159" s="717"/>
      <c r="CQ1159" s="717"/>
      <c r="CR1159" s="717"/>
      <c r="CS1159" s="717"/>
      <c r="CT1159" s="717"/>
      <c r="CU1159" s="717"/>
      <c r="CV1159" s="717"/>
      <c r="CW1159" s="717"/>
      <c r="CX1159" s="717"/>
      <c r="CY1159" s="717"/>
      <c r="CZ1159" s="717"/>
      <c r="DA1159" s="717"/>
      <c r="DB1159" s="717"/>
      <c r="DC1159" s="717"/>
      <c r="DD1159" s="717"/>
      <c r="DE1159" s="717"/>
      <c r="DF1159" s="717"/>
      <c r="DG1159" s="717"/>
      <c r="DH1159" s="717"/>
      <c r="DI1159" s="717"/>
      <c r="DJ1159" s="717"/>
      <c r="DM1159" s="711"/>
      <c r="DN1159" s="711"/>
      <c r="DO1159" s="711"/>
      <c r="DP1159" s="711"/>
      <c r="DQ1159" s="711"/>
    </row>
    <row r="1160" spans="13:121" s="709" customFormat="1" hidden="1">
      <c r="M1160" s="710"/>
      <c r="P1160" s="711"/>
      <c r="Q1160" s="712"/>
      <c r="U1160" s="711"/>
      <c r="V1160" s="711"/>
      <c r="W1160" s="711"/>
      <c r="X1160" s="711"/>
      <c r="Y1160" s="711"/>
      <c r="Z1160" s="711"/>
      <c r="AU1160" s="713"/>
      <c r="AW1160" s="712"/>
      <c r="BY1160" s="714"/>
      <c r="BZ1160" s="715"/>
      <c r="CA1160" s="716"/>
      <c r="CB1160" s="717"/>
      <c r="CC1160" s="717"/>
      <c r="CD1160" s="717"/>
      <c r="CE1160" s="717"/>
      <c r="CF1160" s="717"/>
      <c r="CG1160" s="717"/>
      <c r="CH1160" s="717"/>
      <c r="CI1160" s="717"/>
      <c r="CJ1160" s="717"/>
      <c r="CK1160" s="717"/>
      <c r="CL1160" s="717"/>
      <c r="CM1160" s="717"/>
      <c r="CN1160" s="717"/>
      <c r="CO1160" s="717"/>
      <c r="CP1160" s="717"/>
      <c r="CQ1160" s="717"/>
      <c r="CR1160" s="717"/>
      <c r="CS1160" s="717"/>
      <c r="CT1160" s="717"/>
      <c r="CU1160" s="717"/>
      <c r="CV1160" s="717"/>
      <c r="CW1160" s="717"/>
      <c r="CX1160" s="717"/>
      <c r="CY1160" s="717"/>
      <c r="CZ1160" s="717"/>
      <c r="DA1160" s="717"/>
      <c r="DB1160" s="717"/>
      <c r="DC1160" s="717"/>
      <c r="DD1160" s="717"/>
      <c r="DE1160" s="717"/>
      <c r="DF1160" s="717"/>
      <c r="DG1160" s="717"/>
      <c r="DH1160" s="717"/>
      <c r="DI1160" s="717"/>
      <c r="DJ1160" s="717"/>
      <c r="DM1160" s="711"/>
      <c r="DN1160" s="711"/>
      <c r="DO1160" s="711"/>
      <c r="DP1160" s="711"/>
      <c r="DQ1160" s="711"/>
    </row>
    <row r="1161" spans="13:121" s="709" customFormat="1" hidden="1">
      <c r="M1161" s="710"/>
      <c r="P1161" s="711"/>
      <c r="Q1161" s="712"/>
      <c r="U1161" s="711"/>
      <c r="V1161" s="711"/>
      <c r="W1161" s="711"/>
      <c r="X1161" s="711"/>
      <c r="Y1161" s="711"/>
      <c r="Z1161" s="711"/>
      <c r="AU1161" s="713"/>
      <c r="AW1161" s="712"/>
      <c r="BY1161" s="714"/>
      <c r="BZ1161" s="715"/>
      <c r="CA1161" s="716"/>
      <c r="CB1161" s="717"/>
      <c r="CC1161" s="717"/>
      <c r="CD1161" s="717"/>
      <c r="CE1161" s="717"/>
      <c r="CF1161" s="717"/>
      <c r="CG1161" s="717"/>
      <c r="CH1161" s="717"/>
      <c r="CI1161" s="717"/>
      <c r="CJ1161" s="717"/>
      <c r="CK1161" s="717"/>
      <c r="CL1161" s="717"/>
      <c r="CM1161" s="717"/>
      <c r="CN1161" s="717"/>
      <c r="CO1161" s="717"/>
      <c r="CP1161" s="717"/>
      <c r="CQ1161" s="717"/>
      <c r="CR1161" s="717"/>
      <c r="CS1161" s="717"/>
      <c r="CT1161" s="717"/>
      <c r="CU1161" s="717"/>
      <c r="CV1161" s="717"/>
      <c r="CW1161" s="717"/>
      <c r="CX1161" s="717"/>
      <c r="CY1161" s="717"/>
      <c r="CZ1161" s="717"/>
      <c r="DA1161" s="717"/>
      <c r="DB1161" s="717"/>
      <c r="DC1161" s="717"/>
      <c r="DD1161" s="717"/>
      <c r="DE1161" s="717"/>
      <c r="DF1161" s="717"/>
      <c r="DG1161" s="717"/>
      <c r="DH1161" s="717"/>
      <c r="DI1161" s="717"/>
      <c r="DJ1161" s="717"/>
      <c r="DM1161" s="711"/>
      <c r="DN1161" s="711"/>
      <c r="DO1161" s="711"/>
      <c r="DP1161" s="711"/>
      <c r="DQ1161" s="711"/>
    </row>
    <row r="1162" spans="13:121" s="709" customFormat="1" hidden="1">
      <c r="M1162" s="710"/>
      <c r="P1162" s="711"/>
      <c r="Q1162" s="712"/>
      <c r="U1162" s="711"/>
      <c r="V1162" s="711"/>
      <c r="W1162" s="711"/>
      <c r="X1162" s="711"/>
      <c r="Y1162" s="711"/>
      <c r="Z1162" s="711"/>
      <c r="AU1162" s="713"/>
      <c r="AW1162" s="712"/>
      <c r="BY1162" s="714"/>
      <c r="BZ1162" s="715"/>
      <c r="CA1162" s="716"/>
      <c r="CB1162" s="717"/>
      <c r="CC1162" s="717"/>
      <c r="CD1162" s="717"/>
      <c r="CE1162" s="717"/>
      <c r="CF1162" s="717"/>
      <c r="CG1162" s="717"/>
      <c r="CH1162" s="717"/>
      <c r="CI1162" s="717"/>
      <c r="CJ1162" s="717"/>
      <c r="CK1162" s="717"/>
      <c r="CL1162" s="717"/>
      <c r="CM1162" s="717"/>
      <c r="CN1162" s="717"/>
      <c r="CO1162" s="717"/>
      <c r="CP1162" s="717"/>
      <c r="CQ1162" s="717"/>
      <c r="CR1162" s="717"/>
      <c r="CS1162" s="717"/>
      <c r="CT1162" s="717"/>
      <c r="CU1162" s="717"/>
      <c r="CV1162" s="717"/>
      <c r="CW1162" s="717"/>
      <c r="CX1162" s="717"/>
      <c r="CY1162" s="717"/>
      <c r="CZ1162" s="717"/>
      <c r="DA1162" s="717"/>
      <c r="DB1162" s="717"/>
      <c r="DC1162" s="717"/>
      <c r="DD1162" s="717"/>
      <c r="DE1162" s="717"/>
      <c r="DF1162" s="717"/>
      <c r="DG1162" s="717"/>
      <c r="DH1162" s="717"/>
      <c r="DI1162" s="717"/>
      <c r="DJ1162" s="717"/>
      <c r="DM1162" s="711"/>
      <c r="DN1162" s="711"/>
      <c r="DO1162" s="711"/>
      <c r="DP1162" s="711"/>
      <c r="DQ1162" s="711"/>
    </row>
    <row r="1163" spans="13:121" s="709" customFormat="1" hidden="1">
      <c r="M1163" s="710"/>
      <c r="P1163" s="711"/>
      <c r="Q1163" s="712"/>
      <c r="U1163" s="711"/>
      <c r="V1163" s="711"/>
      <c r="W1163" s="711"/>
      <c r="X1163" s="711"/>
      <c r="Y1163" s="711"/>
      <c r="Z1163" s="711"/>
      <c r="AU1163" s="713"/>
      <c r="AW1163" s="712"/>
      <c r="BY1163" s="714"/>
      <c r="BZ1163" s="715"/>
      <c r="CA1163" s="716"/>
      <c r="CB1163" s="717"/>
      <c r="CC1163" s="717"/>
      <c r="CD1163" s="717"/>
      <c r="CE1163" s="717"/>
      <c r="CF1163" s="717"/>
      <c r="CG1163" s="717"/>
      <c r="CH1163" s="717"/>
      <c r="CI1163" s="717"/>
      <c r="CJ1163" s="717"/>
      <c r="CK1163" s="717"/>
      <c r="CL1163" s="717"/>
      <c r="CM1163" s="717"/>
      <c r="CN1163" s="717"/>
      <c r="CO1163" s="717"/>
      <c r="CP1163" s="717"/>
      <c r="CQ1163" s="717"/>
      <c r="CR1163" s="717"/>
      <c r="CS1163" s="717"/>
      <c r="CT1163" s="717"/>
      <c r="CU1163" s="717"/>
      <c r="CV1163" s="717"/>
      <c r="CW1163" s="717"/>
      <c r="CX1163" s="717"/>
      <c r="CY1163" s="717"/>
      <c r="CZ1163" s="717"/>
      <c r="DA1163" s="717"/>
      <c r="DB1163" s="717"/>
      <c r="DC1163" s="717"/>
      <c r="DD1163" s="717"/>
      <c r="DE1163" s="717"/>
      <c r="DF1163" s="717"/>
      <c r="DG1163" s="717"/>
      <c r="DH1163" s="717"/>
      <c r="DI1163" s="717"/>
      <c r="DJ1163" s="717"/>
      <c r="DM1163" s="711"/>
      <c r="DN1163" s="711"/>
      <c r="DO1163" s="711"/>
      <c r="DP1163" s="711"/>
      <c r="DQ1163" s="711"/>
    </row>
    <row r="1164" spans="13:121" s="709" customFormat="1" hidden="1">
      <c r="M1164" s="710"/>
      <c r="P1164" s="711"/>
      <c r="Q1164" s="712"/>
      <c r="U1164" s="711"/>
      <c r="V1164" s="711"/>
      <c r="W1164" s="711"/>
      <c r="X1164" s="711"/>
      <c r="Y1164" s="711"/>
      <c r="Z1164" s="711"/>
      <c r="AU1164" s="713"/>
      <c r="AW1164" s="712"/>
      <c r="BY1164" s="714"/>
      <c r="BZ1164" s="715"/>
      <c r="CA1164" s="716"/>
      <c r="CB1164" s="717"/>
      <c r="CC1164" s="717"/>
      <c r="CD1164" s="717"/>
      <c r="CE1164" s="717"/>
      <c r="CF1164" s="717"/>
      <c r="CG1164" s="717"/>
      <c r="CH1164" s="717"/>
      <c r="CI1164" s="717"/>
      <c r="CJ1164" s="717"/>
      <c r="CK1164" s="717"/>
      <c r="CL1164" s="717"/>
      <c r="CM1164" s="717"/>
      <c r="CN1164" s="717"/>
      <c r="CO1164" s="717"/>
      <c r="CP1164" s="717"/>
      <c r="CQ1164" s="717"/>
      <c r="CR1164" s="717"/>
      <c r="CS1164" s="717"/>
      <c r="CT1164" s="717"/>
      <c r="CU1164" s="717"/>
      <c r="CV1164" s="717"/>
      <c r="CW1164" s="717"/>
      <c r="CX1164" s="717"/>
      <c r="CY1164" s="717"/>
      <c r="CZ1164" s="717"/>
      <c r="DA1164" s="717"/>
      <c r="DB1164" s="717"/>
      <c r="DC1164" s="717"/>
      <c r="DD1164" s="717"/>
      <c r="DE1164" s="717"/>
      <c r="DF1164" s="717"/>
      <c r="DG1164" s="717"/>
      <c r="DH1164" s="717"/>
      <c r="DI1164" s="717"/>
      <c r="DJ1164" s="717"/>
      <c r="DM1164" s="711"/>
      <c r="DN1164" s="711"/>
      <c r="DO1164" s="711"/>
      <c r="DP1164" s="711"/>
      <c r="DQ1164" s="711"/>
    </row>
    <row r="1165" spans="13:121" s="709" customFormat="1" hidden="1">
      <c r="M1165" s="710"/>
      <c r="P1165" s="711"/>
      <c r="Q1165" s="712"/>
      <c r="U1165" s="711"/>
      <c r="V1165" s="711"/>
      <c r="W1165" s="711"/>
      <c r="X1165" s="711"/>
      <c r="Y1165" s="711"/>
      <c r="Z1165" s="711"/>
      <c r="AU1165" s="713"/>
      <c r="AW1165" s="712"/>
      <c r="BY1165" s="714"/>
      <c r="BZ1165" s="715"/>
      <c r="CA1165" s="716"/>
      <c r="CB1165" s="717"/>
      <c r="CC1165" s="717"/>
      <c r="CD1165" s="717"/>
      <c r="CE1165" s="717"/>
      <c r="CF1165" s="717"/>
      <c r="CG1165" s="717"/>
      <c r="CH1165" s="717"/>
      <c r="CI1165" s="717"/>
      <c r="CJ1165" s="717"/>
      <c r="CK1165" s="717"/>
      <c r="CL1165" s="717"/>
      <c r="CM1165" s="717"/>
      <c r="CN1165" s="717"/>
      <c r="CO1165" s="717"/>
      <c r="CP1165" s="717"/>
      <c r="CQ1165" s="717"/>
      <c r="CR1165" s="717"/>
      <c r="CS1165" s="717"/>
      <c r="CT1165" s="717"/>
      <c r="CU1165" s="717"/>
      <c r="CV1165" s="717"/>
      <c r="CW1165" s="717"/>
      <c r="CX1165" s="717"/>
      <c r="CY1165" s="717"/>
      <c r="CZ1165" s="717"/>
      <c r="DA1165" s="717"/>
      <c r="DB1165" s="717"/>
      <c r="DC1165" s="717"/>
      <c r="DD1165" s="717"/>
      <c r="DE1165" s="717"/>
      <c r="DF1165" s="717"/>
      <c r="DG1165" s="717"/>
      <c r="DH1165" s="717"/>
      <c r="DI1165" s="717"/>
      <c r="DJ1165" s="717"/>
      <c r="DM1165" s="711"/>
      <c r="DN1165" s="711"/>
      <c r="DO1165" s="711"/>
      <c r="DP1165" s="711"/>
      <c r="DQ1165" s="711"/>
    </row>
    <row r="1166" spans="13:121" s="709" customFormat="1" hidden="1">
      <c r="M1166" s="710"/>
      <c r="P1166" s="711"/>
      <c r="Q1166" s="712"/>
      <c r="U1166" s="711"/>
      <c r="V1166" s="711"/>
      <c r="W1166" s="711"/>
      <c r="X1166" s="711"/>
      <c r="Y1166" s="711"/>
      <c r="Z1166" s="711"/>
      <c r="AU1166" s="713"/>
      <c r="AW1166" s="712"/>
      <c r="BY1166" s="714"/>
      <c r="BZ1166" s="715"/>
      <c r="CA1166" s="716"/>
      <c r="CB1166" s="717"/>
      <c r="CC1166" s="717"/>
      <c r="CD1166" s="717"/>
      <c r="CE1166" s="717"/>
      <c r="CF1166" s="717"/>
      <c r="CG1166" s="717"/>
      <c r="CH1166" s="717"/>
      <c r="CI1166" s="717"/>
      <c r="CJ1166" s="717"/>
      <c r="CK1166" s="717"/>
      <c r="CL1166" s="717"/>
      <c r="CM1166" s="717"/>
      <c r="CN1166" s="717"/>
      <c r="CO1166" s="717"/>
      <c r="CP1166" s="717"/>
      <c r="CQ1166" s="717"/>
      <c r="CR1166" s="717"/>
      <c r="CS1166" s="717"/>
      <c r="CT1166" s="717"/>
      <c r="CU1166" s="717"/>
      <c r="CV1166" s="717"/>
      <c r="CW1166" s="717"/>
      <c r="CX1166" s="717"/>
      <c r="CY1166" s="717"/>
      <c r="CZ1166" s="717"/>
      <c r="DA1166" s="717"/>
      <c r="DB1166" s="717"/>
      <c r="DC1166" s="717"/>
      <c r="DD1166" s="717"/>
      <c r="DE1166" s="717"/>
      <c r="DF1166" s="717"/>
      <c r="DG1166" s="717"/>
      <c r="DH1166" s="717"/>
      <c r="DI1166" s="717"/>
      <c r="DJ1166" s="717"/>
      <c r="DM1166" s="711"/>
      <c r="DN1166" s="711"/>
      <c r="DO1166" s="711"/>
      <c r="DP1166" s="711"/>
      <c r="DQ1166" s="711"/>
    </row>
    <row r="1167" spans="13:121" s="709" customFormat="1" hidden="1">
      <c r="M1167" s="710"/>
      <c r="P1167" s="711"/>
      <c r="Q1167" s="712"/>
      <c r="U1167" s="711"/>
      <c r="V1167" s="711"/>
      <c r="W1167" s="711"/>
      <c r="X1167" s="711"/>
      <c r="Y1167" s="711"/>
      <c r="Z1167" s="711"/>
      <c r="AU1167" s="713"/>
      <c r="AW1167" s="712"/>
      <c r="BY1167" s="714"/>
      <c r="BZ1167" s="715"/>
      <c r="CA1167" s="716"/>
      <c r="CB1167" s="717"/>
      <c r="CC1167" s="717"/>
      <c r="CD1167" s="717"/>
      <c r="CE1167" s="717"/>
      <c r="CF1167" s="717"/>
      <c r="CG1167" s="717"/>
      <c r="CH1167" s="717"/>
      <c r="CI1167" s="717"/>
      <c r="CJ1167" s="717"/>
      <c r="CK1167" s="717"/>
      <c r="CL1167" s="717"/>
      <c r="CM1167" s="717"/>
      <c r="CN1167" s="717"/>
      <c r="CO1167" s="717"/>
      <c r="CP1167" s="717"/>
      <c r="CQ1167" s="717"/>
      <c r="CR1167" s="717"/>
      <c r="CS1167" s="717"/>
      <c r="CT1167" s="717"/>
      <c r="CU1167" s="717"/>
      <c r="CV1167" s="717"/>
      <c r="CW1167" s="717"/>
      <c r="CX1167" s="717"/>
      <c r="CY1167" s="717"/>
      <c r="CZ1167" s="717"/>
      <c r="DA1167" s="717"/>
      <c r="DB1167" s="717"/>
      <c r="DC1167" s="717"/>
      <c r="DD1167" s="717"/>
      <c r="DE1167" s="717"/>
      <c r="DF1167" s="717"/>
      <c r="DG1167" s="717"/>
      <c r="DH1167" s="717"/>
      <c r="DI1167" s="717"/>
      <c r="DJ1167" s="717"/>
      <c r="DM1167" s="711"/>
      <c r="DN1167" s="711"/>
      <c r="DO1167" s="711"/>
      <c r="DP1167" s="711"/>
      <c r="DQ1167" s="711"/>
    </row>
    <row r="1168" spans="13:121" s="709" customFormat="1" hidden="1">
      <c r="M1168" s="710"/>
      <c r="P1168" s="711"/>
      <c r="Q1168" s="712"/>
      <c r="U1168" s="711"/>
      <c r="V1168" s="711"/>
      <c r="W1168" s="711"/>
      <c r="X1168" s="711"/>
      <c r="Y1168" s="711"/>
      <c r="Z1168" s="711"/>
      <c r="AU1168" s="713"/>
      <c r="AW1168" s="712"/>
      <c r="BY1168" s="714"/>
      <c r="BZ1168" s="715"/>
      <c r="CA1168" s="716"/>
      <c r="CB1168" s="717"/>
      <c r="CC1168" s="717"/>
      <c r="CD1168" s="717"/>
      <c r="CE1168" s="717"/>
      <c r="CF1168" s="717"/>
      <c r="CG1168" s="717"/>
      <c r="CH1168" s="717"/>
      <c r="CI1168" s="717"/>
      <c r="CJ1168" s="717"/>
      <c r="CK1168" s="717"/>
      <c r="CL1168" s="717"/>
      <c r="CM1168" s="717"/>
      <c r="CN1168" s="717"/>
      <c r="CO1168" s="717"/>
      <c r="CP1168" s="717"/>
      <c r="CQ1168" s="717"/>
      <c r="CR1168" s="717"/>
      <c r="CS1168" s="717"/>
      <c r="CT1168" s="717"/>
      <c r="CU1168" s="717"/>
      <c r="CV1168" s="717"/>
      <c r="CW1168" s="717"/>
      <c r="CX1168" s="717"/>
      <c r="CY1168" s="717"/>
      <c r="CZ1168" s="717"/>
      <c r="DA1168" s="717"/>
      <c r="DB1168" s="717"/>
      <c r="DC1168" s="717"/>
      <c r="DD1168" s="717"/>
      <c r="DE1168" s="717"/>
      <c r="DF1168" s="717"/>
      <c r="DG1168" s="717"/>
      <c r="DH1168" s="717"/>
      <c r="DI1168" s="717"/>
      <c r="DJ1168" s="717"/>
      <c r="DM1168" s="711"/>
      <c r="DN1168" s="711"/>
      <c r="DO1168" s="711"/>
      <c r="DP1168" s="711"/>
      <c r="DQ1168" s="711"/>
    </row>
    <row r="1169" spans="13:121" s="709" customFormat="1" hidden="1">
      <c r="M1169" s="710"/>
      <c r="P1169" s="711"/>
      <c r="Q1169" s="712"/>
      <c r="U1169" s="711"/>
      <c r="V1169" s="711"/>
      <c r="W1169" s="711"/>
      <c r="X1169" s="711"/>
      <c r="Y1169" s="711"/>
      <c r="Z1169" s="711"/>
      <c r="AU1169" s="713"/>
      <c r="AW1169" s="712"/>
      <c r="BY1169" s="714"/>
      <c r="BZ1169" s="715"/>
      <c r="CA1169" s="716"/>
      <c r="CB1169" s="717"/>
      <c r="CC1169" s="717"/>
      <c r="CD1169" s="717"/>
      <c r="CE1169" s="717"/>
      <c r="CF1169" s="717"/>
      <c r="CG1169" s="717"/>
      <c r="CH1169" s="717"/>
      <c r="CI1169" s="717"/>
      <c r="CJ1169" s="717"/>
      <c r="CK1169" s="717"/>
      <c r="CL1169" s="717"/>
      <c r="CM1169" s="717"/>
      <c r="CN1169" s="717"/>
      <c r="CO1169" s="717"/>
      <c r="CP1169" s="717"/>
      <c r="CQ1169" s="717"/>
      <c r="CR1169" s="717"/>
      <c r="CS1169" s="717"/>
      <c r="CT1169" s="717"/>
      <c r="CU1169" s="717"/>
      <c r="CV1169" s="717"/>
      <c r="CW1169" s="717"/>
      <c r="CX1169" s="717"/>
      <c r="CY1169" s="717"/>
      <c r="CZ1169" s="717"/>
      <c r="DA1169" s="717"/>
      <c r="DB1169" s="717"/>
      <c r="DC1169" s="717"/>
      <c r="DD1169" s="717"/>
      <c r="DE1169" s="717"/>
      <c r="DF1169" s="717"/>
      <c r="DG1169" s="717"/>
      <c r="DH1169" s="717"/>
      <c r="DI1169" s="717"/>
      <c r="DJ1169" s="717"/>
      <c r="DM1169" s="711"/>
      <c r="DN1169" s="711"/>
      <c r="DO1169" s="711"/>
      <c r="DP1169" s="711"/>
      <c r="DQ1169" s="711"/>
    </row>
    <row r="1170" spans="13:121" s="709" customFormat="1" hidden="1">
      <c r="M1170" s="710"/>
      <c r="P1170" s="711"/>
      <c r="Q1170" s="712"/>
      <c r="U1170" s="711"/>
      <c r="V1170" s="711"/>
      <c r="W1170" s="711"/>
      <c r="X1170" s="711"/>
      <c r="Y1170" s="711"/>
      <c r="Z1170" s="711"/>
      <c r="AU1170" s="713"/>
      <c r="AW1170" s="712"/>
      <c r="BY1170" s="714"/>
      <c r="BZ1170" s="715"/>
      <c r="CA1170" s="716"/>
      <c r="CB1170" s="717"/>
      <c r="CC1170" s="717"/>
      <c r="CD1170" s="717"/>
      <c r="CE1170" s="717"/>
      <c r="CF1170" s="717"/>
      <c r="CG1170" s="717"/>
      <c r="CH1170" s="717"/>
      <c r="CI1170" s="717"/>
      <c r="CJ1170" s="717"/>
      <c r="CK1170" s="717"/>
      <c r="CL1170" s="717"/>
      <c r="CM1170" s="717"/>
      <c r="CN1170" s="717"/>
      <c r="CO1170" s="717"/>
      <c r="CP1170" s="717"/>
      <c r="CQ1170" s="717"/>
      <c r="CR1170" s="717"/>
      <c r="CS1170" s="717"/>
      <c r="CT1170" s="717"/>
      <c r="CU1170" s="717"/>
      <c r="CV1170" s="717"/>
      <c r="CW1170" s="717"/>
      <c r="CX1170" s="717"/>
      <c r="CY1170" s="717"/>
      <c r="CZ1170" s="717"/>
      <c r="DA1170" s="717"/>
      <c r="DB1170" s="717"/>
      <c r="DC1170" s="717"/>
      <c r="DD1170" s="717"/>
      <c r="DE1170" s="717"/>
      <c r="DF1170" s="717"/>
      <c r="DG1170" s="717"/>
      <c r="DH1170" s="717"/>
      <c r="DI1170" s="717"/>
      <c r="DJ1170" s="717"/>
      <c r="DM1170" s="711"/>
      <c r="DN1170" s="711"/>
      <c r="DO1170" s="711"/>
      <c r="DP1170" s="711"/>
      <c r="DQ1170" s="711"/>
    </row>
    <row r="1171" spans="13:121" s="709" customFormat="1" hidden="1">
      <c r="M1171" s="710"/>
      <c r="P1171" s="711"/>
      <c r="Q1171" s="712"/>
      <c r="U1171" s="711"/>
      <c r="V1171" s="711"/>
      <c r="W1171" s="711"/>
      <c r="X1171" s="711"/>
      <c r="Y1171" s="711"/>
      <c r="Z1171" s="711"/>
      <c r="AU1171" s="713"/>
      <c r="AW1171" s="712"/>
      <c r="BY1171" s="714"/>
      <c r="BZ1171" s="715"/>
      <c r="CA1171" s="716"/>
      <c r="CB1171" s="717"/>
      <c r="CC1171" s="717"/>
      <c r="CD1171" s="717"/>
      <c r="CE1171" s="717"/>
      <c r="CF1171" s="717"/>
      <c r="CG1171" s="717"/>
      <c r="CH1171" s="717"/>
      <c r="CI1171" s="717"/>
      <c r="CJ1171" s="717"/>
      <c r="CK1171" s="717"/>
      <c r="CL1171" s="717"/>
      <c r="CM1171" s="717"/>
      <c r="CN1171" s="717"/>
      <c r="CO1171" s="717"/>
      <c r="CP1171" s="717"/>
      <c r="CQ1171" s="717"/>
      <c r="CR1171" s="717"/>
      <c r="CS1171" s="717"/>
      <c r="CT1171" s="717"/>
      <c r="CU1171" s="717"/>
      <c r="CV1171" s="717"/>
      <c r="CW1171" s="717"/>
      <c r="CX1171" s="717"/>
      <c r="CY1171" s="717"/>
      <c r="CZ1171" s="717"/>
      <c r="DA1171" s="717"/>
      <c r="DB1171" s="717"/>
      <c r="DC1171" s="717"/>
      <c r="DD1171" s="717"/>
      <c r="DE1171" s="717"/>
      <c r="DF1171" s="717"/>
      <c r="DG1171" s="717"/>
      <c r="DH1171" s="717"/>
      <c r="DI1171" s="717"/>
      <c r="DJ1171" s="717"/>
      <c r="DM1171" s="711"/>
      <c r="DN1171" s="711"/>
      <c r="DO1171" s="711"/>
      <c r="DP1171" s="711"/>
      <c r="DQ1171" s="711"/>
    </row>
    <row r="1172" spans="13:121" s="709" customFormat="1" hidden="1">
      <c r="M1172" s="710"/>
      <c r="P1172" s="711"/>
      <c r="Q1172" s="712"/>
      <c r="U1172" s="711"/>
      <c r="V1172" s="711"/>
      <c r="W1172" s="711"/>
      <c r="X1172" s="711"/>
      <c r="Y1172" s="711"/>
      <c r="Z1172" s="711"/>
      <c r="AU1172" s="713"/>
      <c r="AW1172" s="712"/>
      <c r="BY1172" s="714"/>
      <c r="BZ1172" s="715"/>
      <c r="CA1172" s="716"/>
      <c r="CB1172" s="717"/>
      <c r="CC1172" s="717"/>
      <c r="CD1172" s="717"/>
      <c r="CE1172" s="717"/>
      <c r="CF1172" s="717"/>
      <c r="CG1172" s="717"/>
      <c r="CH1172" s="717"/>
      <c r="CI1172" s="717"/>
      <c r="CJ1172" s="717"/>
      <c r="CK1172" s="717"/>
      <c r="CL1172" s="717"/>
      <c r="CM1172" s="717"/>
      <c r="CN1172" s="717"/>
      <c r="CO1172" s="717"/>
      <c r="CP1172" s="717"/>
      <c r="CQ1172" s="717"/>
      <c r="CR1172" s="717"/>
      <c r="CS1172" s="717"/>
      <c r="CT1172" s="717"/>
      <c r="CU1172" s="717"/>
      <c r="CV1172" s="717"/>
      <c r="CW1172" s="717"/>
      <c r="CX1172" s="717"/>
      <c r="CY1172" s="717"/>
      <c r="CZ1172" s="717"/>
      <c r="DA1172" s="717"/>
      <c r="DB1172" s="717"/>
      <c r="DC1172" s="717"/>
      <c r="DD1172" s="717"/>
      <c r="DE1172" s="717"/>
      <c r="DF1172" s="717"/>
      <c r="DG1172" s="717"/>
      <c r="DH1172" s="717"/>
      <c r="DI1172" s="717"/>
      <c r="DJ1172" s="717"/>
      <c r="DM1172" s="711"/>
      <c r="DN1172" s="711"/>
      <c r="DO1172" s="711"/>
      <c r="DP1172" s="711"/>
      <c r="DQ1172" s="711"/>
    </row>
    <row r="1173" spans="13:121" s="709" customFormat="1" hidden="1">
      <c r="M1173" s="710"/>
      <c r="P1173" s="711"/>
      <c r="Q1173" s="712"/>
      <c r="U1173" s="711"/>
      <c r="V1173" s="711"/>
      <c r="W1173" s="711"/>
      <c r="X1173" s="711"/>
      <c r="Y1173" s="711"/>
      <c r="Z1173" s="711"/>
      <c r="AU1173" s="713"/>
      <c r="AW1173" s="712"/>
      <c r="BY1173" s="714"/>
      <c r="BZ1173" s="715"/>
      <c r="CA1173" s="716"/>
      <c r="CB1173" s="717"/>
      <c r="CC1173" s="717"/>
      <c r="CD1173" s="717"/>
      <c r="CE1173" s="717"/>
      <c r="CF1173" s="717"/>
      <c r="CG1173" s="717"/>
      <c r="CH1173" s="717"/>
      <c r="CI1173" s="717"/>
      <c r="CJ1173" s="717"/>
      <c r="CK1173" s="717"/>
      <c r="CL1173" s="717"/>
      <c r="CM1173" s="717"/>
      <c r="CN1173" s="717"/>
      <c r="CO1173" s="717"/>
      <c r="CP1173" s="717"/>
      <c r="CQ1173" s="717"/>
      <c r="CR1173" s="717"/>
      <c r="CS1173" s="717"/>
      <c r="CT1173" s="717"/>
      <c r="CU1173" s="717"/>
      <c r="CV1173" s="717"/>
      <c r="CW1173" s="717"/>
      <c r="CX1173" s="717"/>
      <c r="CY1173" s="717"/>
      <c r="CZ1173" s="717"/>
      <c r="DA1173" s="717"/>
      <c r="DB1173" s="717"/>
      <c r="DC1173" s="717"/>
      <c r="DD1173" s="717"/>
      <c r="DE1173" s="717"/>
      <c r="DF1173" s="717"/>
      <c r="DG1173" s="717"/>
      <c r="DH1173" s="717"/>
      <c r="DI1173" s="717"/>
      <c r="DJ1173" s="717"/>
      <c r="DM1173" s="711"/>
      <c r="DN1173" s="711"/>
      <c r="DO1173" s="711"/>
      <c r="DP1173" s="711"/>
      <c r="DQ1173" s="711"/>
    </row>
    <row r="1174" spans="13:121" s="709" customFormat="1" hidden="1">
      <c r="M1174" s="710"/>
      <c r="P1174" s="711"/>
      <c r="Q1174" s="712"/>
      <c r="U1174" s="711"/>
      <c r="V1174" s="711"/>
      <c r="W1174" s="711"/>
      <c r="X1174" s="711"/>
      <c r="Y1174" s="711"/>
      <c r="Z1174" s="711"/>
      <c r="AU1174" s="713"/>
      <c r="AW1174" s="712"/>
      <c r="BY1174" s="714"/>
      <c r="BZ1174" s="715"/>
      <c r="CA1174" s="716"/>
      <c r="CB1174" s="717"/>
      <c r="CC1174" s="717"/>
      <c r="CD1174" s="717"/>
      <c r="CE1174" s="717"/>
      <c r="CF1174" s="717"/>
      <c r="CG1174" s="717"/>
      <c r="CH1174" s="717"/>
      <c r="CI1174" s="717"/>
      <c r="CJ1174" s="717"/>
      <c r="CK1174" s="717"/>
      <c r="CL1174" s="717"/>
      <c r="CM1174" s="717"/>
      <c r="CN1174" s="717"/>
      <c r="CO1174" s="717"/>
      <c r="CP1174" s="717"/>
      <c r="CQ1174" s="717"/>
      <c r="CR1174" s="717"/>
      <c r="CS1174" s="717"/>
      <c r="CT1174" s="717"/>
      <c r="CU1174" s="717"/>
      <c r="CV1174" s="717"/>
      <c r="CW1174" s="717"/>
      <c r="CX1174" s="717"/>
      <c r="CY1174" s="717"/>
      <c r="CZ1174" s="717"/>
      <c r="DA1174" s="717"/>
      <c r="DB1174" s="717"/>
      <c r="DC1174" s="717"/>
      <c r="DD1174" s="717"/>
      <c r="DE1174" s="717"/>
      <c r="DF1174" s="717"/>
      <c r="DG1174" s="717"/>
      <c r="DH1174" s="717"/>
      <c r="DI1174" s="717"/>
      <c r="DJ1174" s="717"/>
      <c r="DM1174" s="711"/>
      <c r="DN1174" s="711"/>
      <c r="DO1174" s="711"/>
      <c r="DP1174" s="711"/>
      <c r="DQ1174" s="711"/>
    </row>
    <row r="1175" spans="13:121" s="709" customFormat="1" hidden="1">
      <c r="M1175" s="710"/>
      <c r="P1175" s="711"/>
      <c r="Q1175" s="712"/>
      <c r="U1175" s="711"/>
      <c r="V1175" s="711"/>
      <c r="W1175" s="711"/>
      <c r="X1175" s="711"/>
      <c r="Y1175" s="711"/>
      <c r="Z1175" s="711"/>
      <c r="AU1175" s="713"/>
      <c r="AW1175" s="712"/>
      <c r="BY1175" s="714"/>
      <c r="BZ1175" s="715"/>
      <c r="CA1175" s="716"/>
      <c r="CB1175" s="717"/>
      <c r="CC1175" s="717"/>
      <c r="CD1175" s="717"/>
      <c r="CE1175" s="717"/>
      <c r="CF1175" s="717"/>
      <c r="CG1175" s="717"/>
      <c r="CH1175" s="717"/>
      <c r="CI1175" s="717"/>
      <c r="CJ1175" s="717"/>
      <c r="CK1175" s="717"/>
      <c r="CL1175" s="717"/>
      <c r="CM1175" s="717"/>
      <c r="CN1175" s="717"/>
      <c r="CO1175" s="717"/>
      <c r="CP1175" s="717"/>
      <c r="CQ1175" s="717"/>
      <c r="CR1175" s="717"/>
      <c r="CS1175" s="717"/>
      <c r="CT1175" s="717"/>
      <c r="CU1175" s="717"/>
      <c r="CV1175" s="717"/>
      <c r="CW1175" s="717"/>
      <c r="CX1175" s="717"/>
      <c r="CY1175" s="717"/>
      <c r="CZ1175" s="717"/>
      <c r="DA1175" s="717"/>
      <c r="DB1175" s="717"/>
      <c r="DC1175" s="717"/>
      <c r="DD1175" s="717"/>
      <c r="DE1175" s="717"/>
      <c r="DF1175" s="717"/>
      <c r="DG1175" s="717"/>
      <c r="DH1175" s="717"/>
      <c r="DI1175" s="717"/>
      <c r="DJ1175" s="717"/>
      <c r="DM1175" s="711"/>
      <c r="DN1175" s="711"/>
      <c r="DO1175" s="711"/>
      <c r="DP1175" s="711"/>
      <c r="DQ1175" s="711"/>
    </row>
    <row r="1176" spans="13:121" s="709" customFormat="1" hidden="1">
      <c r="M1176" s="710"/>
      <c r="P1176" s="711"/>
      <c r="Q1176" s="712"/>
      <c r="U1176" s="711"/>
      <c r="V1176" s="711"/>
      <c r="W1176" s="711"/>
      <c r="X1176" s="711"/>
      <c r="Y1176" s="711"/>
      <c r="Z1176" s="711"/>
      <c r="AU1176" s="713"/>
      <c r="AW1176" s="712"/>
      <c r="BY1176" s="714"/>
      <c r="BZ1176" s="715"/>
      <c r="CA1176" s="716"/>
      <c r="CB1176" s="717"/>
      <c r="CC1176" s="717"/>
      <c r="CD1176" s="717"/>
      <c r="CE1176" s="717"/>
      <c r="CF1176" s="717"/>
      <c r="CG1176" s="717"/>
      <c r="CH1176" s="717"/>
      <c r="CI1176" s="717"/>
      <c r="CJ1176" s="717"/>
      <c r="CK1176" s="717"/>
      <c r="CL1176" s="717"/>
      <c r="CM1176" s="717"/>
      <c r="CN1176" s="717"/>
      <c r="CO1176" s="717"/>
      <c r="CP1176" s="717"/>
      <c r="CQ1176" s="717"/>
      <c r="CR1176" s="717"/>
      <c r="CS1176" s="717"/>
      <c r="CT1176" s="717"/>
      <c r="CU1176" s="717"/>
      <c r="CV1176" s="717"/>
      <c r="CW1176" s="717"/>
      <c r="CX1176" s="717"/>
      <c r="CY1176" s="717"/>
      <c r="CZ1176" s="717"/>
      <c r="DA1176" s="717"/>
      <c r="DB1176" s="717"/>
      <c r="DC1176" s="717"/>
      <c r="DD1176" s="717"/>
      <c r="DE1176" s="717"/>
      <c r="DF1176" s="717"/>
      <c r="DG1176" s="717"/>
      <c r="DH1176" s="717"/>
      <c r="DI1176" s="717"/>
      <c r="DJ1176" s="717"/>
      <c r="DM1176" s="711"/>
      <c r="DN1176" s="711"/>
      <c r="DO1176" s="711"/>
      <c r="DP1176" s="711"/>
      <c r="DQ1176" s="711"/>
    </row>
    <row r="1177" spans="13:121" s="709" customFormat="1" hidden="1">
      <c r="M1177" s="710"/>
      <c r="P1177" s="711"/>
      <c r="Q1177" s="712"/>
      <c r="U1177" s="711"/>
      <c r="V1177" s="711"/>
      <c r="W1177" s="711"/>
      <c r="X1177" s="711"/>
      <c r="Y1177" s="711"/>
      <c r="Z1177" s="711"/>
      <c r="AU1177" s="713"/>
      <c r="AW1177" s="712"/>
      <c r="BY1177" s="714"/>
      <c r="BZ1177" s="715"/>
      <c r="CA1177" s="716"/>
      <c r="CB1177" s="717"/>
      <c r="CC1177" s="717"/>
      <c r="CD1177" s="717"/>
      <c r="CE1177" s="717"/>
      <c r="CF1177" s="717"/>
      <c r="CG1177" s="717"/>
      <c r="CH1177" s="717"/>
      <c r="CI1177" s="717"/>
      <c r="CJ1177" s="717"/>
      <c r="CK1177" s="717"/>
      <c r="CL1177" s="717"/>
      <c r="CM1177" s="717"/>
      <c r="CN1177" s="717"/>
      <c r="CO1177" s="717"/>
      <c r="CP1177" s="717"/>
      <c r="CQ1177" s="717"/>
      <c r="CR1177" s="717"/>
      <c r="CS1177" s="717"/>
      <c r="CT1177" s="717"/>
      <c r="CU1177" s="717"/>
      <c r="CV1177" s="717"/>
      <c r="CW1177" s="717"/>
      <c r="CX1177" s="717"/>
      <c r="CY1177" s="717"/>
      <c r="CZ1177" s="717"/>
      <c r="DA1177" s="717"/>
      <c r="DB1177" s="717"/>
      <c r="DC1177" s="717"/>
      <c r="DD1177" s="717"/>
      <c r="DE1177" s="717"/>
      <c r="DF1177" s="717"/>
      <c r="DG1177" s="717"/>
      <c r="DH1177" s="717"/>
      <c r="DI1177" s="717"/>
      <c r="DJ1177" s="717"/>
      <c r="DM1177" s="711"/>
      <c r="DN1177" s="711"/>
      <c r="DO1177" s="711"/>
      <c r="DP1177" s="711"/>
      <c r="DQ1177" s="711"/>
    </row>
    <row r="1178" spans="13:121" s="709" customFormat="1" hidden="1">
      <c r="M1178" s="710"/>
      <c r="P1178" s="711"/>
      <c r="Q1178" s="712"/>
      <c r="U1178" s="711"/>
      <c r="V1178" s="711"/>
      <c r="W1178" s="711"/>
      <c r="X1178" s="711"/>
      <c r="Y1178" s="711"/>
      <c r="Z1178" s="711"/>
      <c r="AU1178" s="713"/>
      <c r="AW1178" s="712"/>
      <c r="BY1178" s="714"/>
      <c r="BZ1178" s="715"/>
      <c r="CA1178" s="716"/>
      <c r="CB1178" s="717"/>
      <c r="CC1178" s="717"/>
      <c r="CD1178" s="717"/>
      <c r="CE1178" s="717"/>
      <c r="CF1178" s="717"/>
      <c r="CG1178" s="717"/>
      <c r="CH1178" s="717"/>
      <c r="CI1178" s="717"/>
      <c r="CJ1178" s="717"/>
      <c r="CK1178" s="717"/>
      <c r="CL1178" s="717"/>
      <c r="CM1178" s="717"/>
      <c r="CN1178" s="717"/>
      <c r="CO1178" s="717"/>
      <c r="CP1178" s="717"/>
      <c r="CQ1178" s="717"/>
      <c r="CR1178" s="717"/>
      <c r="CS1178" s="717"/>
      <c r="CT1178" s="717"/>
      <c r="CU1178" s="717"/>
      <c r="CV1178" s="717"/>
      <c r="CW1178" s="717"/>
      <c r="CX1178" s="717"/>
      <c r="CY1178" s="717"/>
      <c r="CZ1178" s="717"/>
      <c r="DA1178" s="717"/>
      <c r="DB1178" s="717"/>
      <c r="DC1178" s="717"/>
      <c r="DD1178" s="717"/>
      <c r="DE1178" s="717"/>
      <c r="DF1178" s="717"/>
      <c r="DG1178" s="717"/>
      <c r="DH1178" s="717"/>
      <c r="DI1178" s="717"/>
      <c r="DJ1178" s="717"/>
      <c r="DM1178" s="711"/>
      <c r="DN1178" s="711"/>
      <c r="DO1178" s="711"/>
      <c r="DP1178" s="711"/>
      <c r="DQ1178" s="711"/>
    </row>
    <row r="1179" spans="13:121" s="709" customFormat="1" hidden="1">
      <c r="M1179" s="710"/>
      <c r="P1179" s="711"/>
      <c r="Q1179" s="712"/>
      <c r="U1179" s="711"/>
      <c r="V1179" s="711"/>
      <c r="W1179" s="711"/>
      <c r="X1179" s="711"/>
      <c r="Y1179" s="711"/>
      <c r="Z1179" s="711"/>
      <c r="AU1179" s="713"/>
      <c r="AW1179" s="712"/>
      <c r="BY1179" s="714"/>
      <c r="BZ1179" s="715"/>
      <c r="CA1179" s="716"/>
      <c r="CB1179" s="717"/>
      <c r="CC1179" s="717"/>
      <c r="CD1179" s="717"/>
      <c r="CE1179" s="717"/>
      <c r="CF1179" s="717"/>
      <c r="CG1179" s="717"/>
      <c r="CH1179" s="717"/>
      <c r="CI1179" s="717"/>
      <c r="CJ1179" s="717"/>
      <c r="CK1179" s="717"/>
      <c r="CL1179" s="717"/>
      <c r="CM1179" s="717"/>
      <c r="CN1179" s="717"/>
      <c r="CO1179" s="717"/>
      <c r="CP1179" s="717"/>
      <c r="CQ1179" s="717"/>
      <c r="CR1179" s="717"/>
      <c r="CS1179" s="717"/>
      <c r="CT1179" s="717"/>
      <c r="CU1179" s="717"/>
      <c r="CV1179" s="717"/>
      <c r="CW1179" s="717"/>
      <c r="CX1179" s="717"/>
      <c r="CY1179" s="717"/>
      <c r="CZ1179" s="717"/>
      <c r="DA1179" s="717"/>
      <c r="DB1179" s="717"/>
      <c r="DC1179" s="717"/>
      <c r="DD1179" s="717"/>
      <c r="DE1179" s="717"/>
      <c r="DF1179" s="717"/>
      <c r="DG1179" s="717"/>
      <c r="DH1179" s="717"/>
      <c r="DI1179" s="717"/>
      <c r="DJ1179" s="717"/>
      <c r="DM1179" s="711"/>
      <c r="DN1179" s="711"/>
      <c r="DO1179" s="711"/>
      <c r="DP1179" s="711"/>
      <c r="DQ1179" s="711"/>
    </row>
    <row r="1180" spans="13:121" s="709" customFormat="1" hidden="1">
      <c r="M1180" s="710"/>
      <c r="P1180" s="711"/>
      <c r="Q1180" s="712"/>
      <c r="U1180" s="711"/>
      <c r="V1180" s="711"/>
      <c r="W1180" s="711"/>
      <c r="X1180" s="711"/>
      <c r="Y1180" s="711"/>
      <c r="Z1180" s="711"/>
      <c r="AU1180" s="713"/>
      <c r="AW1180" s="712"/>
      <c r="BY1180" s="714"/>
      <c r="BZ1180" s="715"/>
      <c r="CA1180" s="716"/>
      <c r="CB1180" s="717"/>
      <c r="CC1180" s="717"/>
      <c r="CD1180" s="717"/>
      <c r="CE1180" s="717"/>
      <c r="CF1180" s="717"/>
      <c r="CG1180" s="717"/>
      <c r="CH1180" s="717"/>
      <c r="CI1180" s="717"/>
      <c r="CJ1180" s="717"/>
      <c r="CK1180" s="717"/>
      <c r="CL1180" s="717"/>
      <c r="CM1180" s="717"/>
      <c r="CN1180" s="717"/>
      <c r="CO1180" s="717"/>
      <c r="CP1180" s="717"/>
      <c r="CQ1180" s="717"/>
      <c r="CR1180" s="717"/>
      <c r="CS1180" s="717"/>
      <c r="CT1180" s="717"/>
      <c r="CU1180" s="717"/>
      <c r="CV1180" s="717"/>
      <c r="CW1180" s="717"/>
      <c r="CX1180" s="717"/>
      <c r="CY1180" s="717"/>
      <c r="CZ1180" s="717"/>
      <c r="DA1180" s="717"/>
      <c r="DB1180" s="717"/>
      <c r="DC1180" s="717"/>
      <c r="DD1180" s="717"/>
      <c r="DE1180" s="717"/>
      <c r="DF1180" s="717"/>
      <c r="DG1180" s="717"/>
      <c r="DH1180" s="717"/>
      <c r="DI1180" s="717"/>
      <c r="DJ1180" s="717"/>
      <c r="DM1180" s="711"/>
      <c r="DN1180" s="711"/>
      <c r="DO1180" s="711"/>
      <c r="DP1180" s="711"/>
      <c r="DQ1180" s="711"/>
    </row>
    <row r="1181" spans="13:121" s="709" customFormat="1" hidden="1">
      <c r="M1181" s="710"/>
      <c r="P1181" s="711"/>
      <c r="Q1181" s="712"/>
      <c r="U1181" s="711"/>
      <c r="V1181" s="711"/>
      <c r="W1181" s="711"/>
      <c r="X1181" s="711"/>
      <c r="Y1181" s="711"/>
      <c r="Z1181" s="711"/>
      <c r="AU1181" s="713"/>
      <c r="AW1181" s="712"/>
      <c r="BY1181" s="714"/>
      <c r="BZ1181" s="715"/>
      <c r="CA1181" s="716"/>
      <c r="CB1181" s="717"/>
      <c r="CC1181" s="717"/>
      <c r="CD1181" s="717"/>
      <c r="CE1181" s="717"/>
      <c r="CF1181" s="717"/>
      <c r="CG1181" s="717"/>
      <c r="CH1181" s="717"/>
      <c r="CI1181" s="717"/>
      <c r="CJ1181" s="717"/>
      <c r="CK1181" s="717"/>
      <c r="CL1181" s="717"/>
      <c r="CM1181" s="717"/>
      <c r="CN1181" s="717"/>
      <c r="CO1181" s="717"/>
      <c r="CP1181" s="717"/>
      <c r="CQ1181" s="717"/>
      <c r="CR1181" s="717"/>
      <c r="CS1181" s="717"/>
      <c r="CT1181" s="717"/>
      <c r="CU1181" s="717"/>
      <c r="CV1181" s="717"/>
      <c r="CW1181" s="717"/>
      <c r="CX1181" s="717"/>
      <c r="CY1181" s="717"/>
      <c r="CZ1181" s="717"/>
      <c r="DA1181" s="717"/>
      <c r="DB1181" s="717"/>
      <c r="DC1181" s="717"/>
      <c r="DD1181" s="717"/>
      <c r="DE1181" s="717"/>
      <c r="DF1181" s="717"/>
      <c r="DG1181" s="717"/>
      <c r="DH1181" s="717"/>
      <c r="DI1181" s="717"/>
      <c r="DJ1181" s="717"/>
      <c r="DM1181" s="711"/>
      <c r="DN1181" s="711"/>
      <c r="DO1181" s="711"/>
      <c r="DP1181" s="711"/>
      <c r="DQ1181" s="711"/>
    </row>
    <row r="1182" spans="13:121" s="709" customFormat="1" hidden="1">
      <c r="M1182" s="710"/>
      <c r="P1182" s="711"/>
      <c r="Q1182" s="712"/>
      <c r="U1182" s="711"/>
      <c r="V1182" s="711"/>
      <c r="W1182" s="711"/>
      <c r="X1182" s="711"/>
      <c r="Y1182" s="711"/>
      <c r="Z1182" s="711"/>
      <c r="AU1182" s="713"/>
      <c r="AW1182" s="712"/>
      <c r="BY1182" s="714"/>
      <c r="BZ1182" s="715"/>
      <c r="CA1182" s="716"/>
      <c r="CB1182" s="717"/>
      <c r="CC1182" s="717"/>
      <c r="CD1182" s="717"/>
      <c r="CE1182" s="717"/>
      <c r="CF1182" s="717"/>
      <c r="CG1182" s="717"/>
      <c r="CH1182" s="717"/>
      <c r="CI1182" s="717"/>
      <c r="CJ1182" s="717"/>
      <c r="CK1182" s="717"/>
      <c r="CL1182" s="717"/>
      <c r="CM1182" s="717"/>
      <c r="CN1182" s="717"/>
      <c r="CO1182" s="717"/>
      <c r="CP1182" s="717"/>
      <c r="CQ1182" s="717"/>
      <c r="CR1182" s="717"/>
      <c r="CS1182" s="717"/>
      <c r="CT1182" s="717"/>
      <c r="CU1182" s="717"/>
      <c r="CV1182" s="717"/>
      <c r="CW1182" s="717"/>
      <c r="CX1182" s="717"/>
      <c r="CY1182" s="717"/>
      <c r="CZ1182" s="717"/>
      <c r="DA1182" s="717"/>
      <c r="DB1182" s="717"/>
      <c r="DC1182" s="717"/>
      <c r="DD1182" s="717"/>
      <c r="DE1182" s="717"/>
      <c r="DF1182" s="717"/>
      <c r="DG1182" s="717"/>
      <c r="DH1182" s="717"/>
      <c r="DI1182" s="717"/>
      <c r="DJ1182" s="717"/>
      <c r="DM1182" s="711"/>
      <c r="DN1182" s="711"/>
      <c r="DO1182" s="711"/>
      <c r="DP1182" s="711"/>
      <c r="DQ1182" s="711"/>
    </row>
    <row r="1183" spans="13:121" s="709" customFormat="1" hidden="1">
      <c r="M1183" s="710"/>
      <c r="P1183" s="711"/>
      <c r="Q1183" s="712"/>
      <c r="U1183" s="711"/>
      <c r="V1183" s="711"/>
      <c r="W1183" s="711"/>
      <c r="X1183" s="711"/>
      <c r="Y1183" s="711"/>
      <c r="Z1183" s="711"/>
      <c r="AU1183" s="713"/>
      <c r="AW1183" s="712"/>
      <c r="BY1183" s="714"/>
      <c r="BZ1183" s="715"/>
      <c r="CA1183" s="716"/>
      <c r="CB1183" s="717"/>
      <c r="CC1183" s="717"/>
      <c r="CD1183" s="717"/>
      <c r="CE1183" s="717"/>
      <c r="CF1183" s="717"/>
      <c r="CG1183" s="717"/>
      <c r="CH1183" s="717"/>
      <c r="CI1183" s="717"/>
      <c r="CJ1183" s="717"/>
      <c r="CK1183" s="717"/>
      <c r="CL1183" s="717"/>
      <c r="CM1183" s="717"/>
      <c r="CN1183" s="717"/>
      <c r="CO1183" s="717"/>
      <c r="CP1183" s="717"/>
      <c r="CQ1183" s="717"/>
      <c r="CR1183" s="717"/>
      <c r="CS1183" s="717"/>
      <c r="CT1183" s="717"/>
      <c r="CU1183" s="717"/>
      <c r="CV1183" s="717"/>
      <c r="CW1183" s="717"/>
      <c r="CX1183" s="717"/>
      <c r="CY1183" s="717"/>
      <c r="CZ1183" s="717"/>
      <c r="DA1183" s="717"/>
      <c r="DB1183" s="717"/>
      <c r="DC1183" s="717"/>
      <c r="DD1183" s="717"/>
      <c r="DE1183" s="717"/>
      <c r="DF1183" s="717"/>
      <c r="DG1183" s="717"/>
      <c r="DH1183" s="717"/>
      <c r="DI1183" s="717"/>
      <c r="DJ1183" s="717"/>
      <c r="DM1183" s="711"/>
      <c r="DN1183" s="711"/>
      <c r="DO1183" s="711"/>
      <c r="DP1183" s="711"/>
      <c r="DQ1183" s="711"/>
    </row>
    <row r="1184" spans="13:121" s="709" customFormat="1" hidden="1">
      <c r="M1184" s="710"/>
      <c r="P1184" s="711"/>
      <c r="Q1184" s="712"/>
      <c r="U1184" s="711"/>
      <c r="V1184" s="711"/>
      <c r="W1184" s="711"/>
      <c r="X1184" s="711"/>
      <c r="Y1184" s="711"/>
      <c r="Z1184" s="711"/>
      <c r="AU1184" s="713"/>
      <c r="AW1184" s="712"/>
      <c r="BY1184" s="714"/>
      <c r="BZ1184" s="715"/>
      <c r="CA1184" s="716"/>
      <c r="CB1184" s="717"/>
      <c r="CC1184" s="717"/>
      <c r="CD1184" s="717"/>
      <c r="CE1184" s="717"/>
      <c r="CF1184" s="717"/>
      <c r="CG1184" s="717"/>
      <c r="CH1184" s="717"/>
      <c r="CI1184" s="717"/>
      <c r="CJ1184" s="717"/>
      <c r="CK1184" s="717"/>
      <c r="CL1184" s="717"/>
      <c r="CM1184" s="717"/>
      <c r="CN1184" s="717"/>
      <c r="CO1184" s="717"/>
      <c r="CP1184" s="717"/>
      <c r="CQ1184" s="717"/>
      <c r="CR1184" s="717"/>
      <c r="CS1184" s="717"/>
      <c r="CT1184" s="717"/>
      <c r="CU1184" s="717"/>
      <c r="CV1184" s="717"/>
      <c r="CW1184" s="717"/>
      <c r="CX1184" s="717"/>
      <c r="CY1184" s="717"/>
      <c r="CZ1184" s="717"/>
      <c r="DA1184" s="717"/>
      <c r="DB1184" s="717"/>
      <c r="DC1184" s="717"/>
      <c r="DD1184" s="717"/>
      <c r="DE1184" s="717"/>
      <c r="DF1184" s="717"/>
      <c r="DG1184" s="717"/>
      <c r="DH1184" s="717"/>
      <c r="DI1184" s="717"/>
      <c r="DJ1184" s="717"/>
      <c r="DM1184" s="711"/>
      <c r="DN1184" s="711"/>
      <c r="DO1184" s="711"/>
      <c r="DP1184" s="711"/>
      <c r="DQ1184" s="711"/>
    </row>
    <row r="1185" spans="13:121" s="709" customFormat="1" hidden="1">
      <c r="M1185" s="710"/>
      <c r="P1185" s="711"/>
      <c r="Q1185" s="712"/>
      <c r="U1185" s="711"/>
      <c r="V1185" s="711"/>
      <c r="W1185" s="711"/>
      <c r="X1185" s="711"/>
      <c r="Y1185" s="711"/>
      <c r="Z1185" s="711"/>
      <c r="AU1185" s="713"/>
      <c r="AW1185" s="712"/>
      <c r="BY1185" s="714"/>
      <c r="BZ1185" s="715"/>
      <c r="CA1185" s="716"/>
      <c r="CB1185" s="717"/>
      <c r="CC1185" s="717"/>
      <c r="CD1185" s="717"/>
      <c r="CE1185" s="717"/>
      <c r="CF1185" s="717"/>
      <c r="CG1185" s="717"/>
      <c r="CH1185" s="717"/>
      <c r="CI1185" s="717"/>
      <c r="CJ1185" s="717"/>
      <c r="CK1185" s="717"/>
      <c r="CL1185" s="717"/>
      <c r="CM1185" s="717"/>
      <c r="CN1185" s="717"/>
      <c r="CO1185" s="717"/>
      <c r="CP1185" s="717"/>
      <c r="CQ1185" s="717"/>
      <c r="CR1185" s="717"/>
      <c r="CS1185" s="717"/>
      <c r="CT1185" s="717"/>
      <c r="CU1185" s="717"/>
      <c r="CV1185" s="717"/>
      <c r="CW1185" s="717"/>
      <c r="CX1185" s="717"/>
      <c r="CY1185" s="717"/>
      <c r="CZ1185" s="717"/>
      <c r="DA1185" s="717"/>
      <c r="DB1185" s="717"/>
      <c r="DC1185" s="717"/>
      <c r="DD1185" s="717"/>
      <c r="DE1185" s="717"/>
      <c r="DF1185" s="717"/>
      <c r="DG1185" s="717"/>
      <c r="DH1185" s="717"/>
      <c r="DI1185" s="717"/>
      <c r="DJ1185" s="717"/>
      <c r="DM1185" s="711"/>
      <c r="DN1185" s="711"/>
      <c r="DO1185" s="711"/>
      <c r="DP1185" s="711"/>
      <c r="DQ1185" s="711"/>
    </row>
    <row r="1186" spans="13:121" s="709" customFormat="1" hidden="1">
      <c r="M1186" s="710"/>
      <c r="P1186" s="711"/>
      <c r="Q1186" s="712"/>
      <c r="U1186" s="711"/>
      <c r="V1186" s="711"/>
      <c r="W1186" s="711"/>
      <c r="X1186" s="711"/>
      <c r="Y1186" s="711"/>
      <c r="Z1186" s="711"/>
      <c r="AU1186" s="713"/>
      <c r="AW1186" s="712"/>
      <c r="BY1186" s="714"/>
      <c r="BZ1186" s="715"/>
      <c r="CA1186" s="716"/>
      <c r="CB1186" s="717"/>
      <c r="CC1186" s="717"/>
      <c r="CD1186" s="717"/>
      <c r="CE1186" s="717"/>
      <c r="CF1186" s="717"/>
      <c r="CG1186" s="717"/>
      <c r="CH1186" s="717"/>
      <c r="CI1186" s="717"/>
      <c r="CJ1186" s="717"/>
      <c r="CK1186" s="717"/>
      <c r="CL1186" s="717"/>
      <c r="CM1186" s="717"/>
      <c r="CN1186" s="717"/>
      <c r="CO1186" s="717"/>
      <c r="CP1186" s="717"/>
      <c r="CQ1186" s="717"/>
      <c r="CR1186" s="717"/>
      <c r="CS1186" s="717"/>
      <c r="CT1186" s="717"/>
      <c r="CU1186" s="717"/>
      <c r="CV1186" s="717"/>
      <c r="CW1186" s="717"/>
      <c r="CX1186" s="717"/>
      <c r="CY1186" s="717"/>
      <c r="CZ1186" s="717"/>
      <c r="DA1186" s="717"/>
      <c r="DB1186" s="717"/>
      <c r="DC1186" s="717"/>
      <c r="DD1186" s="717"/>
      <c r="DE1186" s="717"/>
      <c r="DF1186" s="717"/>
      <c r="DG1186" s="717"/>
      <c r="DH1186" s="717"/>
      <c r="DI1186" s="717"/>
      <c r="DJ1186" s="717"/>
      <c r="DM1186" s="711"/>
      <c r="DN1186" s="711"/>
      <c r="DO1186" s="711"/>
      <c r="DP1186" s="711"/>
      <c r="DQ1186" s="711"/>
    </row>
    <row r="1187" spans="13:121" s="709" customFormat="1" hidden="1">
      <c r="M1187" s="710"/>
      <c r="P1187" s="711"/>
      <c r="Q1187" s="712"/>
      <c r="U1187" s="711"/>
      <c r="V1187" s="711"/>
      <c r="W1187" s="711"/>
      <c r="X1187" s="711"/>
      <c r="Y1187" s="711"/>
      <c r="Z1187" s="711"/>
      <c r="AU1187" s="713"/>
      <c r="AW1187" s="712"/>
      <c r="BY1187" s="714"/>
      <c r="BZ1187" s="715"/>
      <c r="CA1187" s="716"/>
      <c r="CB1187" s="717"/>
      <c r="CC1187" s="717"/>
      <c r="CD1187" s="717"/>
      <c r="CE1187" s="717"/>
      <c r="CF1187" s="717"/>
      <c r="CG1187" s="717"/>
      <c r="CH1187" s="717"/>
      <c r="CI1187" s="717"/>
      <c r="CJ1187" s="717"/>
      <c r="CK1187" s="717"/>
      <c r="CL1187" s="717"/>
      <c r="CM1187" s="717"/>
      <c r="CN1187" s="717"/>
      <c r="CO1187" s="717"/>
      <c r="CP1187" s="717"/>
      <c r="CQ1187" s="717"/>
      <c r="CR1187" s="717"/>
      <c r="CS1187" s="717"/>
      <c r="CT1187" s="717"/>
      <c r="CU1187" s="717"/>
      <c r="CV1187" s="717"/>
      <c r="CW1187" s="717"/>
      <c r="CX1187" s="717"/>
      <c r="CY1187" s="717"/>
      <c r="CZ1187" s="717"/>
      <c r="DA1187" s="717"/>
      <c r="DB1187" s="717"/>
      <c r="DC1187" s="717"/>
      <c r="DD1187" s="717"/>
      <c r="DE1187" s="717"/>
      <c r="DF1187" s="717"/>
      <c r="DG1187" s="717"/>
      <c r="DH1187" s="717"/>
      <c r="DI1187" s="717"/>
      <c r="DJ1187" s="717"/>
      <c r="DM1187" s="711"/>
      <c r="DN1187" s="711"/>
      <c r="DO1187" s="711"/>
      <c r="DP1187" s="711"/>
      <c r="DQ1187" s="711"/>
    </row>
    <row r="1188" spans="13:121" s="709" customFormat="1" hidden="1">
      <c r="M1188" s="710"/>
      <c r="P1188" s="711"/>
      <c r="Q1188" s="712"/>
      <c r="U1188" s="711"/>
      <c r="V1188" s="711"/>
      <c r="W1188" s="711"/>
      <c r="X1188" s="711"/>
      <c r="Y1188" s="711"/>
      <c r="Z1188" s="711"/>
      <c r="AU1188" s="713"/>
      <c r="AW1188" s="712"/>
      <c r="BY1188" s="714"/>
      <c r="BZ1188" s="715"/>
      <c r="CA1188" s="716"/>
      <c r="CB1188" s="717"/>
      <c r="CC1188" s="717"/>
      <c r="CD1188" s="717"/>
      <c r="CE1188" s="717"/>
      <c r="CF1188" s="717"/>
      <c r="CG1188" s="717"/>
      <c r="CH1188" s="717"/>
      <c r="CI1188" s="717"/>
      <c r="CJ1188" s="717"/>
      <c r="CK1188" s="717"/>
      <c r="CL1188" s="717"/>
      <c r="CM1188" s="717"/>
      <c r="CN1188" s="717"/>
      <c r="CO1188" s="717"/>
      <c r="CP1188" s="717"/>
      <c r="CQ1188" s="717"/>
      <c r="CR1188" s="717"/>
      <c r="CS1188" s="717"/>
      <c r="CT1188" s="717"/>
      <c r="CU1188" s="717"/>
      <c r="CV1188" s="717"/>
      <c r="CW1188" s="717"/>
      <c r="CX1188" s="717"/>
      <c r="CY1188" s="717"/>
      <c r="CZ1188" s="717"/>
      <c r="DA1188" s="717"/>
      <c r="DB1188" s="717"/>
      <c r="DC1188" s="717"/>
      <c r="DD1188" s="717"/>
      <c r="DE1188" s="717"/>
      <c r="DF1188" s="717"/>
      <c r="DG1188" s="717"/>
      <c r="DH1188" s="717"/>
      <c r="DI1188" s="717"/>
      <c r="DJ1188" s="717"/>
      <c r="DM1188" s="711"/>
      <c r="DN1188" s="711"/>
      <c r="DO1188" s="711"/>
      <c r="DP1188" s="711"/>
      <c r="DQ1188" s="711"/>
    </row>
    <row r="1189" spans="13:121" s="709" customFormat="1" hidden="1">
      <c r="M1189" s="710"/>
      <c r="P1189" s="711"/>
      <c r="Q1189" s="712"/>
      <c r="U1189" s="711"/>
      <c r="V1189" s="711"/>
      <c r="W1189" s="711"/>
      <c r="X1189" s="711"/>
      <c r="Y1189" s="711"/>
      <c r="Z1189" s="711"/>
      <c r="AU1189" s="713"/>
      <c r="AW1189" s="712"/>
      <c r="BY1189" s="714"/>
      <c r="BZ1189" s="715"/>
      <c r="CA1189" s="716"/>
      <c r="CB1189" s="717"/>
      <c r="CC1189" s="717"/>
      <c r="CD1189" s="717"/>
      <c r="CE1189" s="717"/>
      <c r="CF1189" s="717"/>
      <c r="CG1189" s="717"/>
      <c r="CH1189" s="717"/>
      <c r="CI1189" s="717"/>
      <c r="CJ1189" s="717"/>
      <c r="CK1189" s="717"/>
      <c r="CL1189" s="717"/>
      <c r="CM1189" s="717"/>
      <c r="CN1189" s="717"/>
      <c r="CO1189" s="717"/>
      <c r="CP1189" s="717"/>
      <c r="CQ1189" s="717"/>
      <c r="CR1189" s="717"/>
      <c r="CS1189" s="717"/>
      <c r="CT1189" s="717"/>
      <c r="CU1189" s="717"/>
      <c r="CV1189" s="717"/>
      <c r="CW1189" s="717"/>
      <c r="CX1189" s="717"/>
      <c r="CY1189" s="717"/>
      <c r="CZ1189" s="717"/>
      <c r="DA1189" s="717"/>
      <c r="DB1189" s="717"/>
      <c r="DC1189" s="717"/>
      <c r="DD1189" s="717"/>
      <c r="DE1189" s="717"/>
      <c r="DF1189" s="717"/>
      <c r="DG1189" s="717"/>
      <c r="DH1189" s="717"/>
      <c r="DI1189" s="717"/>
      <c r="DJ1189" s="717"/>
      <c r="DM1189" s="711"/>
      <c r="DN1189" s="711"/>
      <c r="DO1189" s="711"/>
      <c r="DP1189" s="711"/>
      <c r="DQ1189" s="711"/>
    </row>
    <row r="1190" spans="13:121" s="709" customFormat="1" hidden="1">
      <c r="M1190" s="710"/>
      <c r="P1190" s="711"/>
      <c r="Q1190" s="712"/>
      <c r="U1190" s="711"/>
      <c r="V1190" s="711"/>
      <c r="W1190" s="711"/>
      <c r="X1190" s="711"/>
      <c r="Y1190" s="711"/>
      <c r="Z1190" s="711"/>
      <c r="AU1190" s="713"/>
      <c r="AW1190" s="712"/>
      <c r="BY1190" s="714"/>
      <c r="BZ1190" s="715"/>
      <c r="CA1190" s="716"/>
      <c r="CB1190" s="717"/>
      <c r="CC1190" s="717"/>
      <c r="CD1190" s="717"/>
      <c r="CE1190" s="717"/>
      <c r="CF1190" s="717"/>
      <c r="CG1190" s="717"/>
      <c r="CH1190" s="717"/>
      <c r="CI1190" s="717"/>
      <c r="CJ1190" s="717"/>
      <c r="CK1190" s="717"/>
      <c r="CL1190" s="717"/>
      <c r="CM1190" s="717"/>
      <c r="CN1190" s="717"/>
      <c r="CO1190" s="717"/>
      <c r="CP1190" s="717"/>
      <c r="CQ1190" s="717"/>
      <c r="CR1190" s="717"/>
      <c r="CS1190" s="717"/>
      <c r="CT1190" s="717"/>
      <c r="CU1190" s="717"/>
      <c r="CV1190" s="717"/>
      <c r="CW1190" s="717"/>
      <c r="CX1190" s="717"/>
      <c r="CY1190" s="717"/>
      <c r="CZ1190" s="717"/>
      <c r="DA1190" s="717"/>
      <c r="DB1190" s="717"/>
      <c r="DC1190" s="717"/>
      <c r="DD1190" s="717"/>
      <c r="DE1190" s="717"/>
      <c r="DF1190" s="717"/>
      <c r="DG1190" s="717"/>
      <c r="DH1190" s="717"/>
      <c r="DI1190" s="717"/>
      <c r="DJ1190" s="717"/>
      <c r="DM1190" s="711"/>
      <c r="DN1190" s="711"/>
      <c r="DO1190" s="711"/>
      <c r="DP1190" s="711"/>
      <c r="DQ1190" s="711"/>
    </row>
    <row r="1191" spans="13:121" s="709" customFormat="1" hidden="1">
      <c r="M1191" s="710"/>
      <c r="P1191" s="711"/>
      <c r="Q1191" s="712"/>
      <c r="U1191" s="711"/>
      <c r="V1191" s="711"/>
      <c r="W1191" s="711"/>
      <c r="X1191" s="711"/>
      <c r="Y1191" s="711"/>
      <c r="Z1191" s="711"/>
      <c r="AU1191" s="713"/>
      <c r="AW1191" s="712"/>
      <c r="BY1191" s="714"/>
      <c r="BZ1191" s="715"/>
      <c r="CA1191" s="716"/>
      <c r="CB1191" s="717"/>
      <c r="CC1191" s="717"/>
      <c r="CD1191" s="717"/>
      <c r="CE1191" s="717"/>
      <c r="CF1191" s="717"/>
      <c r="CG1191" s="717"/>
      <c r="CH1191" s="717"/>
      <c r="CI1191" s="717"/>
      <c r="CJ1191" s="717"/>
      <c r="CK1191" s="717"/>
      <c r="CL1191" s="717"/>
      <c r="CM1191" s="717"/>
      <c r="CN1191" s="717"/>
      <c r="CO1191" s="717"/>
      <c r="CP1191" s="717"/>
      <c r="CQ1191" s="717"/>
      <c r="CR1191" s="717"/>
      <c r="CS1191" s="717"/>
      <c r="CT1191" s="717"/>
      <c r="CU1191" s="717"/>
      <c r="CV1191" s="717"/>
      <c r="CW1191" s="717"/>
      <c r="CX1191" s="717"/>
      <c r="CY1191" s="717"/>
      <c r="CZ1191" s="717"/>
      <c r="DA1191" s="717"/>
      <c r="DB1191" s="717"/>
      <c r="DC1191" s="717"/>
      <c r="DD1191" s="717"/>
      <c r="DE1191" s="717"/>
      <c r="DF1191" s="717"/>
      <c r="DG1191" s="717"/>
      <c r="DH1191" s="717"/>
      <c r="DI1191" s="717"/>
      <c r="DJ1191" s="717"/>
      <c r="DM1191" s="711"/>
      <c r="DN1191" s="711"/>
      <c r="DO1191" s="711"/>
      <c r="DP1191" s="711"/>
      <c r="DQ1191" s="711"/>
    </row>
    <row r="1192" spans="13:121" s="709" customFormat="1" hidden="1">
      <c r="M1192" s="710"/>
      <c r="P1192" s="711"/>
      <c r="Q1192" s="712"/>
      <c r="U1192" s="711"/>
      <c r="V1192" s="711"/>
      <c r="W1192" s="711"/>
      <c r="X1192" s="711"/>
      <c r="Y1192" s="711"/>
      <c r="Z1192" s="711"/>
      <c r="AU1192" s="713"/>
      <c r="AW1192" s="712"/>
      <c r="BY1192" s="714"/>
      <c r="BZ1192" s="715"/>
      <c r="CA1192" s="716"/>
      <c r="CB1192" s="717"/>
      <c r="CC1192" s="717"/>
      <c r="CD1192" s="717"/>
      <c r="CE1192" s="717"/>
      <c r="CF1192" s="717"/>
      <c r="CG1192" s="717"/>
      <c r="CH1192" s="717"/>
      <c r="CI1192" s="717"/>
      <c r="CJ1192" s="717"/>
      <c r="CK1192" s="717"/>
      <c r="CL1192" s="717"/>
      <c r="CM1192" s="717"/>
      <c r="CN1192" s="717"/>
      <c r="CO1192" s="717"/>
      <c r="CP1192" s="717"/>
      <c r="CQ1192" s="717"/>
      <c r="CR1192" s="717"/>
      <c r="CS1192" s="717"/>
      <c r="CT1192" s="717"/>
      <c r="CU1192" s="717"/>
      <c r="CV1192" s="717"/>
      <c r="CW1192" s="717"/>
      <c r="CX1192" s="717"/>
      <c r="CY1192" s="717"/>
      <c r="CZ1192" s="717"/>
      <c r="DA1192" s="717"/>
      <c r="DB1192" s="717"/>
      <c r="DC1192" s="717"/>
      <c r="DD1192" s="717"/>
      <c r="DE1192" s="717"/>
      <c r="DF1192" s="717"/>
      <c r="DG1192" s="717"/>
      <c r="DH1192" s="717"/>
      <c r="DI1192" s="717"/>
      <c r="DJ1192" s="717"/>
      <c r="DM1192" s="711"/>
      <c r="DN1192" s="711"/>
      <c r="DO1192" s="711"/>
      <c r="DP1192" s="711"/>
      <c r="DQ1192" s="711"/>
    </row>
    <row r="1193" spans="13:121" s="709" customFormat="1" hidden="1">
      <c r="M1193" s="710"/>
      <c r="P1193" s="711"/>
      <c r="Q1193" s="712"/>
      <c r="U1193" s="711"/>
      <c r="V1193" s="711"/>
      <c r="W1193" s="711"/>
      <c r="X1193" s="711"/>
      <c r="Y1193" s="711"/>
      <c r="Z1193" s="711"/>
      <c r="AU1193" s="713"/>
      <c r="AW1193" s="712"/>
      <c r="BY1193" s="714"/>
      <c r="BZ1193" s="715"/>
      <c r="CA1193" s="716"/>
      <c r="CB1193" s="717"/>
      <c r="CC1193" s="717"/>
      <c r="CD1193" s="717"/>
      <c r="CE1193" s="717"/>
      <c r="CF1193" s="717"/>
      <c r="CG1193" s="717"/>
      <c r="CH1193" s="717"/>
      <c r="CI1193" s="717"/>
      <c r="CJ1193" s="717"/>
      <c r="CK1193" s="717"/>
      <c r="CL1193" s="717"/>
      <c r="CM1193" s="717"/>
      <c r="CN1193" s="717"/>
      <c r="CO1193" s="717"/>
      <c r="CP1193" s="717"/>
      <c r="CQ1193" s="717"/>
      <c r="CR1193" s="717"/>
      <c r="CS1193" s="717"/>
      <c r="CT1193" s="717"/>
      <c r="CU1193" s="717"/>
      <c r="CV1193" s="717"/>
      <c r="CW1193" s="717"/>
      <c r="CX1193" s="717"/>
      <c r="CY1193" s="717"/>
      <c r="CZ1193" s="717"/>
      <c r="DA1193" s="717"/>
      <c r="DB1193" s="717"/>
      <c r="DC1193" s="717"/>
      <c r="DD1193" s="717"/>
      <c r="DE1193" s="717"/>
      <c r="DF1193" s="717"/>
      <c r="DG1193" s="717"/>
      <c r="DH1193" s="717"/>
      <c r="DI1193" s="717"/>
      <c r="DJ1193" s="717"/>
      <c r="DM1193" s="711"/>
      <c r="DN1193" s="711"/>
      <c r="DO1193" s="711"/>
      <c r="DP1193" s="711"/>
      <c r="DQ1193" s="711"/>
    </row>
    <row r="1194" spans="13:121" s="709" customFormat="1" hidden="1">
      <c r="M1194" s="710"/>
      <c r="P1194" s="711"/>
      <c r="Q1194" s="712"/>
      <c r="U1194" s="711"/>
      <c r="V1194" s="711"/>
      <c r="W1194" s="711"/>
      <c r="X1194" s="711"/>
      <c r="Y1194" s="711"/>
      <c r="Z1194" s="711"/>
      <c r="AU1194" s="713"/>
      <c r="AW1194" s="712"/>
      <c r="BY1194" s="714"/>
      <c r="BZ1194" s="715"/>
      <c r="CA1194" s="716"/>
      <c r="CB1194" s="717"/>
      <c r="CC1194" s="717"/>
      <c r="CD1194" s="717"/>
      <c r="CE1194" s="717"/>
      <c r="CF1194" s="717"/>
      <c r="CG1194" s="717"/>
      <c r="CH1194" s="717"/>
      <c r="CI1194" s="717"/>
      <c r="CJ1194" s="717"/>
      <c r="CK1194" s="717"/>
      <c r="CL1194" s="717"/>
      <c r="CM1194" s="717"/>
      <c r="CN1194" s="717"/>
      <c r="CO1194" s="717"/>
      <c r="CP1194" s="717"/>
      <c r="CQ1194" s="717"/>
      <c r="CR1194" s="717"/>
      <c r="CS1194" s="717"/>
      <c r="CT1194" s="717"/>
      <c r="CU1194" s="717"/>
      <c r="CV1194" s="717"/>
      <c r="CW1194" s="717"/>
      <c r="CX1194" s="717"/>
      <c r="CY1194" s="717"/>
      <c r="CZ1194" s="717"/>
      <c r="DA1194" s="717"/>
      <c r="DB1194" s="717"/>
      <c r="DC1194" s="717"/>
      <c r="DD1194" s="717"/>
      <c r="DE1194" s="717"/>
      <c r="DF1194" s="717"/>
      <c r="DG1194" s="717"/>
      <c r="DH1194" s="717"/>
      <c r="DI1194" s="717"/>
      <c r="DJ1194" s="717"/>
      <c r="DM1194" s="711"/>
      <c r="DN1194" s="711"/>
      <c r="DO1194" s="711"/>
      <c r="DP1194" s="711"/>
      <c r="DQ1194" s="711"/>
    </row>
    <row r="1195" spans="13:121" s="709" customFormat="1" hidden="1">
      <c r="M1195" s="710"/>
      <c r="P1195" s="711"/>
      <c r="Q1195" s="712"/>
      <c r="U1195" s="711"/>
      <c r="V1195" s="711"/>
      <c r="W1195" s="711"/>
      <c r="X1195" s="711"/>
      <c r="Y1195" s="711"/>
      <c r="Z1195" s="711"/>
      <c r="AU1195" s="713"/>
      <c r="AW1195" s="712"/>
      <c r="BY1195" s="714"/>
      <c r="BZ1195" s="715"/>
      <c r="CA1195" s="716"/>
      <c r="CB1195" s="717"/>
      <c r="CC1195" s="717"/>
      <c r="CD1195" s="717"/>
      <c r="CE1195" s="717"/>
      <c r="CF1195" s="717"/>
      <c r="CG1195" s="717"/>
      <c r="CH1195" s="717"/>
      <c r="CI1195" s="717"/>
      <c r="CJ1195" s="717"/>
      <c r="CK1195" s="717"/>
      <c r="CL1195" s="717"/>
      <c r="CM1195" s="717"/>
      <c r="CN1195" s="717"/>
      <c r="CO1195" s="717"/>
      <c r="CP1195" s="717"/>
      <c r="CQ1195" s="717"/>
      <c r="CR1195" s="717"/>
      <c r="CS1195" s="717"/>
      <c r="CT1195" s="717"/>
      <c r="CU1195" s="717"/>
      <c r="CV1195" s="717"/>
      <c r="CW1195" s="717"/>
      <c r="CX1195" s="717"/>
      <c r="CY1195" s="717"/>
      <c r="CZ1195" s="717"/>
      <c r="DA1195" s="717"/>
      <c r="DB1195" s="717"/>
      <c r="DC1195" s="717"/>
      <c r="DD1195" s="717"/>
      <c r="DE1195" s="717"/>
      <c r="DF1195" s="717"/>
      <c r="DG1195" s="717"/>
      <c r="DH1195" s="717"/>
      <c r="DI1195" s="717"/>
      <c r="DJ1195" s="717"/>
      <c r="DM1195" s="711"/>
      <c r="DN1195" s="711"/>
      <c r="DO1195" s="711"/>
      <c r="DP1195" s="711"/>
      <c r="DQ1195" s="711"/>
    </row>
    <row r="1196" spans="13:121" s="709" customFormat="1" hidden="1">
      <c r="M1196" s="710"/>
      <c r="P1196" s="711"/>
      <c r="Q1196" s="712"/>
      <c r="U1196" s="711"/>
      <c r="V1196" s="711"/>
      <c r="W1196" s="711"/>
      <c r="X1196" s="711"/>
      <c r="Y1196" s="711"/>
      <c r="Z1196" s="711"/>
      <c r="AU1196" s="713"/>
      <c r="AW1196" s="712"/>
      <c r="BY1196" s="714"/>
      <c r="BZ1196" s="715"/>
      <c r="CA1196" s="716"/>
      <c r="CB1196" s="717"/>
      <c r="CC1196" s="717"/>
      <c r="CD1196" s="717"/>
      <c r="CE1196" s="717"/>
      <c r="CF1196" s="717"/>
      <c r="CG1196" s="717"/>
      <c r="CH1196" s="717"/>
      <c r="CI1196" s="717"/>
      <c r="CJ1196" s="717"/>
      <c r="CK1196" s="717"/>
      <c r="CL1196" s="717"/>
      <c r="CM1196" s="717"/>
      <c r="CN1196" s="717"/>
      <c r="CO1196" s="717"/>
      <c r="CP1196" s="717"/>
      <c r="CQ1196" s="717"/>
      <c r="CR1196" s="717"/>
      <c r="CS1196" s="717"/>
      <c r="CT1196" s="717"/>
      <c r="CU1196" s="717"/>
      <c r="CV1196" s="717"/>
      <c r="CW1196" s="717"/>
      <c r="CX1196" s="717"/>
      <c r="CY1196" s="717"/>
      <c r="CZ1196" s="717"/>
      <c r="DA1196" s="717"/>
      <c r="DB1196" s="717"/>
      <c r="DC1196" s="717"/>
      <c r="DD1196" s="717"/>
      <c r="DE1196" s="717"/>
      <c r="DF1196" s="717"/>
      <c r="DG1196" s="717"/>
      <c r="DH1196" s="717"/>
      <c r="DI1196" s="717"/>
      <c r="DJ1196" s="717"/>
      <c r="DM1196" s="711"/>
      <c r="DN1196" s="711"/>
      <c r="DO1196" s="711"/>
      <c r="DP1196" s="711"/>
      <c r="DQ1196" s="711"/>
    </row>
    <row r="1197" spans="13:121" s="709" customFormat="1" hidden="1">
      <c r="M1197" s="710"/>
      <c r="P1197" s="711"/>
      <c r="Q1197" s="712"/>
      <c r="U1197" s="711"/>
      <c r="V1197" s="711"/>
      <c r="W1197" s="711"/>
      <c r="X1197" s="711"/>
      <c r="Y1197" s="711"/>
      <c r="Z1197" s="711"/>
      <c r="AU1197" s="713"/>
      <c r="AW1197" s="712"/>
      <c r="BY1197" s="714"/>
      <c r="BZ1197" s="715"/>
      <c r="CA1197" s="716"/>
      <c r="CB1197" s="717"/>
      <c r="CC1197" s="717"/>
      <c r="CD1197" s="717"/>
      <c r="CE1197" s="717"/>
      <c r="CF1197" s="717"/>
      <c r="CG1197" s="717"/>
      <c r="CH1197" s="717"/>
      <c r="CI1197" s="717"/>
      <c r="CJ1197" s="717"/>
      <c r="CK1197" s="717"/>
      <c r="CL1197" s="717"/>
      <c r="CM1197" s="717"/>
      <c r="CN1197" s="717"/>
      <c r="CO1197" s="717"/>
      <c r="CP1197" s="717"/>
      <c r="CQ1197" s="717"/>
      <c r="CR1197" s="717"/>
      <c r="CS1197" s="717"/>
      <c r="CT1197" s="717"/>
      <c r="CU1197" s="717"/>
      <c r="CV1197" s="717"/>
      <c r="CW1197" s="717"/>
      <c r="CX1197" s="717"/>
      <c r="CY1197" s="717"/>
      <c r="CZ1197" s="717"/>
      <c r="DA1197" s="717"/>
      <c r="DB1197" s="717"/>
      <c r="DC1197" s="717"/>
      <c r="DD1197" s="717"/>
      <c r="DE1197" s="717"/>
      <c r="DF1197" s="717"/>
      <c r="DG1197" s="717"/>
      <c r="DH1197" s="717"/>
      <c r="DI1197" s="717"/>
      <c r="DJ1197" s="717"/>
      <c r="DM1197" s="711"/>
      <c r="DN1197" s="711"/>
      <c r="DO1197" s="711"/>
      <c r="DP1197" s="711"/>
      <c r="DQ1197" s="711"/>
    </row>
    <row r="1198" spans="13:121" s="709" customFormat="1" hidden="1">
      <c r="M1198" s="710"/>
      <c r="P1198" s="711"/>
      <c r="Q1198" s="712"/>
      <c r="U1198" s="711"/>
      <c r="V1198" s="711"/>
      <c r="W1198" s="711"/>
      <c r="X1198" s="711"/>
      <c r="Y1198" s="711"/>
      <c r="Z1198" s="711"/>
      <c r="AU1198" s="713"/>
      <c r="AW1198" s="712"/>
      <c r="BY1198" s="714"/>
      <c r="BZ1198" s="715"/>
      <c r="CA1198" s="716"/>
      <c r="CB1198" s="717"/>
      <c r="CC1198" s="717"/>
      <c r="CD1198" s="717"/>
      <c r="CE1198" s="717"/>
      <c r="CF1198" s="717"/>
      <c r="CG1198" s="717"/>
      <c r="CH1198" s="717"/>
      <c r="CI1198" s="717"/>
      <c r="CJ1198" s="717"/>
      <c r="CK1198" s="717"/>
      <c r="CL1198" s="717"/>
      <c r="CM1198" s="717"/>
      <c r="CN1198" s="717"/>
      <c r="CO1198" s="717"/>
      <c r="CP1198" s="717"/>
      <c r="CQ1198" s="717"/>
      <c r="CR1198" s="717"/>
      <c r="CS1198" s="717"/>
      <c r="CT1198" s="717"/>
      <c r="CU1198" s="717"/>
      <c r="CV1198" s="717"/>
      <c r="CW1198" s="717"/>
      <c r="CX1198" s="717"/>
      <c r="CY1198" s="717"/>
      <c r="CZ1198" s="717"/>
      <c r="DA1198" s="717"/>
      <c r="DB1198" s="717"/>
      <c r="DC1198" s="717"/>
      <c r="DD1198" s="717"/>
      <c r="DE1198" s="717"/>
      <c r="DF1198" s="717"/>
      <c r="DG1198" s="717"/>
      <c r="DH1198" s="717"/>
      <c r="DI1198" s="717"/>
      <c r="DJ1198" s="717"/>
      <c r="DM1198" s="711"/>
      <c r="DN1198" s="711"/>
      <c r="DO1198" s="711"/>
      <c r="DP1198" s="711"/>
      <c r="DQ1198" s="711"/>
    </row>
    <row r="1199" spans="13:121" s="709" customFormat="1" hidden="1">
      <c r="M1199" s="710"/>
      <c r="P1199" s="711"/>
      <c r="Q1199" s="712"/>
      <c r="U1199" s="711"/>
      <c r="V1199" s="711"/>
      <c r="W1199" s="711"/>
      <c r="X1199" s="711"/>
      <c r="Y1199" s="711"/>
      <c r="Z1199" s="711"/>
      <c r="AU1199" s="713"/>
      <c r="AW1199" s="712"/>
      <c r="BY1199" s="714"/>
      <c r="BZ1199" s="715"/>
      <c r="CA1199" s="716"/>
      <c r="CB1199" s="717"/>
      <c r="CC1199" s="717"/>
      <c r="CD1199" s="717"/>
      <c r="CE1199" s="717"/>
      <c r="CF1199" s="717"/>
      <c r="CG1199" s="717"/>
      <c r="CH1199" s="717"/>
      <c r="CI1199" s="717"/>
      <c r="CJ1199" s="717"/>
      <c r="CK1199" s="717"/>
      <c r="CL1199" s="717"/>
      <c r="CM1199" s="717"/>
      <c r="CN1199" s="717"/>
      <c r="CO1199" s="717"/>
      <c r="CP1199" s="717"/>
      <c r="CQ1199" s="717"/>
      <c r="CR1199" s="717"/>
      <c r="CS1199" s="717"/>
      <c r="CT1199" s="717"/>
      <c r="CU1199" s="717"/>
      <c r="CV1199" s="717"/>
      <c r="CW1199" s="717"/>
      <c r="CX1199" s="717"/>
      <c r="CY1199" s="717"/>
      <c r="CZ1199" s="717"/>
      <c r="DA1199" s="717"/>
      <c r="DB1199" s="717"/>
      <c r="DC1199" s="717"/>
      <c r="DD1199" s="717"/>
      <c r="DE1199" s="717"/>
      <c r="DF1199" s="717"/>
      <c r="DG1199" s="717"/>
      <c r="DH1199" s="717"/>
      <c r="DI1199" s="717"/>
      <c r="DJ1199" s="717"/>
      <c r="DM1199" s="711"/>
      <c r="DN1199" s="711"/>
      <c r="DO1199" s="711"/>
      <c r="DP1199" s="711"/>
      <c r="DQ1199" s="711"/>
    </row>
    <row r="1200" spans="13:121" s="709" customFormat="1" hidden="1">
      <c r="M1200" s="710"/>
      <c r="P1200" s="711"/>
      <c r="Q1200" s="712"/>
      <c r="U1200" s="711"/>
      <c r="V1200" s="711"/>
      <c r="W1200" s="711"/>
      <c r="X1200" s="711"/>
      <c r="Y1200" s="711"/>
      <c r="Z1200" s="711"/>
      <c r="AU1200" s="713"/>
      <c r="AW1200" s="712"/>
      <c r="BY1200" s="714"/>
      <c r="BZ1200" s="715"/>
      <c r="CA1200" s="716"/>
      <c r="CB1200" s="717"/>
      <c r="CC1200" s="717"/>
      <c r="CD1200" s="717"/>
      <c r="CE1200" s="717"/>
      <c r="CF1200" s="717"/>
      <c r="CG1200" s="717"/>
      <c r="CH1200" s="717"/>
      <c r="CI1200" s="717"/>
      <c r="CJ1200" s="717"/>
      <c r="CK1200" s="717"/>
      <c r="CL1200" s="717"/>
      <c r="CM1200" s="717"/>
      <c r="CN1200" s="717"/>
      <c r="CO1200" s="717"/>
      <c r="CP1200" s="717"/>
      <c r="CQ1200" s="717"/>
      <c r="CR1200" s="717"/>
      <c r="CS1200" s="717"/>
      <c r="CT1200" s="717"/>
      <c r="CU1200" s="717"/>
      <c r="CV1200" s="717"/>
      <c r="CW1200" s="717"/>
      <c r="CX1200" s="717"/>
      <c r="CY1200" s="717"/>
      <c r="CZ1200" s="717"/>
      <c r="DA1200" s="717"/>
      <c r="DB1200" s="717"/>
      <c r="DC1200" s="717"/>
      <c r="DD1200" s="717"/>
      <c r="DE1200" s="717"/>
      <c r="DF1200" s="717"/>
      <c r="DG1200" s="717"/>
      <c r="DH1200" s="717"/>
      <c r="DI1200" s="717"/>
      <c r="DJ1200" s="717"/>
      <c r="DM1200" s="711"/>
      <c r="DN1200" s="711"/>
      <c r="DO1200" s="711"/>
      <c r="DP1200" s="711"/>
      <c r="DQ1200" s="711"/>
    </row>
    <row r="1201" spans="13:121" s="709" customFormat="1" hidden="1">
      <c r="M1201" s="710"/>
      <c r="P1201" s="711"/>
      <c r="Q1201" s="712"/>
      <c r="U1201" s="711"/>
      <c r="V1201" s="711"/>
      <c r="W1201" s="711"/>
      <c r="X1201" s="711"/>
      <c r="Y1201" s="711"/>
      <c r="Z1201" s="711"/>
      <c r="AU1201" s="713"/>
      <c r="AW1201" s="712"/>
      <c r="BY1201" s="714"/>
      <c r="BZ1201" s="715"/>
      <c r="CA1201" s="716"/>
      <c r="CB1201" s="717"/>
      <c r="CC1201" s="717"/>
      <c r="CD1201" s="717"/>
      <c r="CE1201" s="717"/>
      <c r="CF1201" s="717"/>
      <c r="CG1201" s="717"/>
      <c r="CH1201" s="717"/>
      <c r="CI1201" s="717"/>
      <c r="CJ1201" s="717"/>
      <c r="CK1201" s="717"/>
      <c r="CL1201" s="717"/>
      <c r="CM1201" s="717"/>
      <c r="CN1201" s="717"/>
      <c r="CO1201" s="717"/>
      <c r="CP1201" s="717"/>
      <c r="CQ1201" s="717"/>
      <c r="CR1201" s="717"/>
      <c r="CS1201" s="717"/>
      <c r="CT1201" s="717"/>
      <c r="CU1201" s="717"/>
      <c r="CV1201" s="717"/>
      <c r="CW1201" s="717"/>
      <c r="CX1201" s="717"/>
      <c r="CY1201" s="717"/>
      <c r="CZ1201" s="717"/>
      <c r="DA1201" s="717"/>
      <c r="DB1201" s="717"/>
      <c r="DC1201" s="717"/>
      <c r="DD1201" s="717"/>
      <c r="DE1201" s="717"/>
      <c r="DF1201" s="717"/>
      <c r="DG1201" s="717"/>
      <c r="DH1201" s="717"/>
      <c r="DI1201" s="717"/>
      <c r="DJ1201" s="717"/>
      <c r="DM1201" s="711"/>
      <c r="DN1201" s="711"/>
      <c r="DO1201" s="711"/>
      <c r="DP1201" s="711"/>
      <c r="DQ1201" s="711"/>
    </row>
    <row r="1202" spans="13:121" s="709" customFormat="1" hidden="1">
      <c r="M1202" s="710"/>
      <c r="P1202" s="711"/>
      <c r="Q1202" s="712"/>
      <c r="U1202" s="711"/>
      <c r="V1202" s="711"/>
      <c r="W1202" s="711"/>
      <c r="X1202" s="711"/>
      <c r="Y1202" s="711"/>
      <c r="Z1202" s="711"/>
      <c r="AU1202" s="713"/>
      <c r="AW1202" s="712"/>
      <c r="BY1202" s="714"/>
      <c r="BZ1202" s="715"/>
      <c r="CA1202" s="716"/>
      <c r="CB1202" s="717"/>
      <c r="CC1202" s="717"/>
      <c r="CD1202" s="717"/>
      <c r="CE1202" s="717"/>
      <c r="CF1202" s="717"/>
      <c r="CG1202" s="717"/>
      <c r="CH1202" s="717"/>
      <c r="CI1202" s="717"/>
      <c r="CJ1202" s="717"/>
      <c r="CK1202" s="717"/>
      <c r="CL1202" s="717"/>
      <c r="CM1202" s="717"/>
      <c r="CN1202" s="717"/>
      <c r="CO1202" s="717"/>
      <c r="CP1202" s="717"/>
      <c r="CQ1202" s="717"/>
      <c r="CR1202" s="717"/>
      <c r="CS1202" s="717"/>
      <c r="CT1202" s="717"/>
      <c r="CU1202" s="717"/>
      <c r="CV1202" s="717"/>
      <c r="CW1202" s="717"/>
      <c r="CX1202" s="717"/>
      <c r="CY1202" s="717"/>
      <c r="CZ1202" s="717"/>
      <c r="DA1202" s="717"/>
      <c r="DB1202" s="717"/>
      <c r="DC1202" s="717"/>
      <c r="DD1202" s="717"/>
      <c r="DE1202" s="717"/>
      <c r="DF1202" s="717"/>
      <c r="DG1202" s="717"/>
      <c r="DH1202" s="717"/>
      <c r="DI1202" s="717"/>
      <c r="DJ1202" s="717"/>
      <c r="DM1202" s="711"/>
      <c r="DN1202" s="711"/>
      <c r="DO1202" s="711"/>
      <c r="DP1202" s="711"/>
      <c r="DQ1202" s="711"/>
    </row>
    <row r="1203" spans="13:121" s="709" customFormat="1" hidden="1">
      <c r="M1203" s="710"/>
      <c r="P1203" s="711"/>
      <c r="Q1203" s="712"/>
      <c r="U1203" s="711"/>
      <c r="V1203" s="711"/>
      <c r="W1203" s="711"/>
      <c r="X1203" s="711"/>
      <c r="Y1203" s="711"/>
      <c r="Z1203" s="711"/>
      <c r="AU1203" s="713"/>
      <c r="AW1203" s="712"/>
      <c r="BY1203" s="714"/>
      <c r="BZ1203" s="715"/>
      <c r="CA1203" s="716"/>
      <c r="CB1203" s="717"/>
      <c r="CC1203" s="717"/>
      <c r="CD1203" s="717"/>
      <c r="CE1203" s="717"/>
      <c r="CF1203" s="717"/>
      <c r="CG1203" s="717"/>
      <c r="CH1203" s="717"/>
      <c r="CI1203" s="717"/>
      <c r="CJ1203" s="717"/>
      <c r="CK1203" s="717"/>
      <c r="CL1203" s="717"/>
      <c r="CM1203" s="717"/>
      <c r="CN1203" s="717"/>
      <c r="CO1203" s="717"/>
      <c r="CP1203" s="717"/>
      <c r="CQ1203" s="717"/>
      <c r="CR1203" s="717"/>
      <c r="CS1203" s="717"/>
      <c r="CT1203" s="717"/>
      <c r="CU1203" s="717"/>
      <c r="CV1203" s="717"/>
      <c r="CW1203" s="717"/>
      <c r="CX1203" s="717"/>
      <c r="CY1203" s="717"/>
      <c r="CZ1203" s="717"/>
      <c r="DA1203" s="717"/>
      <c r="DB1203" s="717"/>
      <c r="DC1203" s="717"/>
      <c r="DD1203" s="717"/>
      <c r="DE1203" s="717"/>
      <c r="DF1203" s="717"/>
      <c r="DG1203" s="717"/>
      <c r="DH1203" s="717"/>
      <c r="DI1203" s="717"/>
      <c r="DJ1203" s="717"/>
      <c r="DM1203" s="711"/>
      <c r="DN1203" s="711"/>
      <c r="DO1203" s="711"/>
      <c r="DP1203" s="711"/>
      <c r="DQ1203" s="711"/>
    </row>
    <row r="1204" spans="13:121" s="709" customFormat="1" hidden="1">
      <c r="M1204" s="710"/>
      <c r="P1204" s="711"/>
      <c r="Q1204" s="712"/>
      <c r="U1204" s="711"/>
      <c r="V1204" s="711"/>
      <c r="W1204" s="711"/>
      <c r="X1204" s="711"/>
      <c r="Y1204" s="711"/>
      <c r="Z1204" s="711"/>
      <c r="AU1204" s="713"/>
      <c r="AW1204" s="712"/>
      <c r="BY1204" s="714"/>
      <c r="BZ1204" s="715"/>
      <c r="CA1204" s="716"/>
      <c r="CB1204" s="717"/>
      <c r="CC1204" s="717"/>
      <c r="CD1204" s="717"/>
      <c r="CE1204" s="717"/>
      <c r="CF1204" s="717"/>
      <c r="CG1204" s="717"/>
      <c r="CH1204" s="717"/>
      <c r="CI1204" s="717"/>
      <c r="CJ1204" s="717"/>
      <c r="CK1204" s="717"/>
      <c r="CL1204" s="717"/>
      <c r="CM1204" s="717"/>
      <c r="CN1204" s="717"/>
      <c r="CO1204" s="717"/>
      <c r="CP1204" s="717"/>
      <c r="CQ1204" s="717"/>
      <c r="CR1204" s="717"/>
      <c r="CS1204" s="717"/>
      <c r="CT1204" s="717"/>
      <c r="CU1204" s="717"/>
      <c r="CV1204" s="717"/>
      <c r="CW1204" s="717"/>
      <c r="CX1204" s="717"/>
      <c r="CY1204" s="717"/>
      <c r="CZ1204" s="717"/>
      <c r="DA1204" s="717"/>
      <c r="DB1204" s="717"/>
      <c r="DC1204" s="717"/>
      <c r="DD1204" s="717"/>
      <c r="DE1204" s="717"/>
      <c r="DF1204" s="717"/>
      <c r="DG1204" s="717"/>
      <c r="DH1204" s="717"/>
      <c r="DI1204" s="717"/>
      <c r="DJ1204" s="717"/>
      <c r="DM1204" s="711"/>
      <c r="DN1204" s="711"/>
      <c r="DO1204" s="711"/>
      <c r="DP1204" s="711"/>
      <c r="DQ1204" s="711"/>
    </row>
    <row r="1205" spans="13:121" s="709" customFormat="1" hidden="1">
      <c r="M1205" s="710"/>
      <c r="P1205" s="711"/>
      <c r="Q1205" s="712"/>
      <c r="U1205" s="711"/>
      <c r="V1205" s="711"/>
      <c r="W1205" s="711"/>
      <c r="X1205" s="711"/>
      <c r="Y1205" s="711"/>
      <c r="Z1205" s="711"/>
      <c r="AU1205" s="713"/>
      <c r="AW1205" s="712"/>
      <c r="BY1205" s="714"/>
      <c r="BZ1205" s="715"/>
      <c r="CA1205" s="716"/>
      <c r="CB1205" s="717"/>
      <c r="CC1205" s="717"/>
      <c r="CD1205" s="717"/>
      <c r="CE1205" s="717"/>
      <c r="CF1205" s="717"/>
      <c r="CG1205" s="717"/>
      <c r="CH1205" s="717"/>
      <c r="CI1205" s="717"/>
      <c r="CJ1205" s="717"/>
      <c r="CK1205" s="717"/>
      <c r="CL1205" s="717"/>
      <c r="CM1205" s="717"/>
      <c r="CN1205" s="717"/>
      <c r="CO1205" s="717"/>
      <c r="CP1205" s="717"/>
      <c r="CQ1205" s="717"/>
      <c r="CR1205" s="717"/>
      <c r="CS1205" s="717"/>
      <c r="CT1205" s="717"/>
      <c r="CU1205" s="717"/>
      <c r="CV1205" s="717"/>
      <c r="CW1205" s="717"/>
      <c r="CX1205" s="717"/>
      <c r="CY1205" s="717"/>
      <c r="CZ1205" s="717"/>
      <c r="DA1205" s="717"/>
      <c r="DB1205" s="717"/>
      <c r="DC1205" s="717"/>
      <c r="DD1205" s="717"/>
      <c r="DE1205" s="717"/>
      <c r="DF1205" s="717"/>
      <c r="DG1205" s="717"/>
      <c r="DH1205" s="717"/>
      <c r="DI1205" s="717"/>
      <c r="DJ1205" s="717"/>
      <c r="DM1205" s="711"/>
      <c r="DN1205" s="711"/>
      <c r="DO1205" s="711"/>
      <c r="DP1205" s="711"/>
      <c r="DQ1205" s="711"/>
    </row>
    <row r="1206" spans="13:121" s="709" customFormat="1" hidden="1">
      <c r="M1206" s="710"/>
      <c r="P1206" s="711"/>
      <c r="Q1206" s="712"/>
      <c r="U1206" s="711"/>
      <c r="V1206" s="711"/>
      <c r="W1206" s="711"/>
      <c r="X1206" s="711"/>
      <c r="Y1206" s="711"/>
      <c r="Z1206" s="711"/>
      <c r="AU1206" s="713"/>
      <c r="AW1206" s="712"/>
      <c r="BY1206" s="714"/>
      <c r="BZ1206" s="715"/>
      <c r="CA1206" s="716"/>
      <c r="CB1206" s="717"/>
      <c r="CC1206" s="717"/>
      <c r="CD1206" s="717"/>
      <c r="CE1206" s="717"/>
      <c r="CF1206" s="717"/>
      <c r="CG1206" s="717"/>
      <c r="CH1206" s="717"/>
      <c r="CI1206" s="717"/>
      <c r="CJ1206" s="717"/>
      <c r="CK1206" s="717"/>
      <c r="CL1206" s="717"/>
      <c r="CM1206" s="717"/>
      <c r="CN1206" s="717"/>
      <c r="CO1206" s="717"/>
      <c r="CP1206" s="717"/>
      <c r="CQ1206" s="717"/>
      <c r="CR1206" s="717"/>
      <c r="CS1206" s="717"/>
      <c r="CT1206" s="717"/>
      <c r="CU1206" s="717"/>
      <c r="CV1206" s="717"/>
      <c r="CW1206" s="717"/>
      <c r="CX1206" s="717"/>
      <c r="CY1206" s="717"/>
      <c r="CZ1206" s="717"/>
      <c r="DA1206" s="717"/>
      <c r="DB1206" s="717"/>
      <c r="DC1206" s="717"/>
      <c r="DD1206" s="717"/>
      <c r="DE1206" s="717"/>
      <c r="DF1206" s="717"/>
      <c r="DG1206" s="717"/>
      <c r="DH1206" s="717"/>
      <c r="DI1206" s="717"/>
      <c r="DJ1206" s="717"/>
      <c r="DM1206" s="711"/>
      <c r="DN1206" s="711"/>
      <c r="DO1206" s="711"/>
      <c r="DP1206" s="711"/>
      <c r="DQ1206" s="711"/>
    </row>
    <row r="1207" spans="13:121" s="709" customFormat="1" hidden="1">
      <c r="M1207" s="710"/>
      <c r="P1207" s="711"/>
      <c r="Q1207" s="712"/>
      <c r="U1207" s="711"/>
      <c r="V1207" s="711"/>
      <c r="W1207" s="711"/>
      <c r="X1207" s="711"/>
      <c r="Y1207" s="711"/>
      <c r="Z1207" s="711"/>
      <c r="AU1207" s="713"/>
      <c r="AW1207" s="712"/>
      <c r="BY1207" s="714"/>
      <c r="BZ1207" s="715"/>
      <c r="CA1207" s="716"/>
      <c r="CB1207" s="717"/>
      <c r="CC1207" s="717"/>
      <c r="CD1207" s="717"/>
      <c r="CE1207" s="717"/>
      <c r="CF1207" s="717"/>
      <c r="CG1207" s="717"/>
      <c r="CH1207" s="717"/>
      <c r="CI1207" s="717"/>
      <c r="CJ1207" s="717"/>
      <c r="CK1207" s="717"/>
      <c r="CL1207" s="717"/>
      <c r="CM1207" s="717"/>
      <c r="CN1207" s="717"/>
      <c r="CO1207" s="717"/>
      <c r="CP1207" s="717"/>
      <c r="CQ1207" s="717"/>
      <c r="CR1207" s="717"/>
      <c r="CS1207" s="717"/>
      <c r="CT1207" s="717"/>
      <c r="CU1207" s="717"/>
      <c r="CV1207" s="717"/>
      <c r="CW1207" s="717"/>
      <c r="CX1207" s="717"/>
      <c r="CY1207" s="717"/>
      <c r="CZ1207" s="717"/>
      <c r="DA1207" s="717"/>
      <c r="DB1207" s="717"/>
      <c r="DC1207" s="717"/>
      <c r="DD1207" s="717"/>
      <c r="DE1207" s="717"/>
      <c r="DF1207" s="717"/>
      <c r="DG1207" s="717"/>
      <c r="DH1207" s="717"/>
      <c r="DI1207" s="717"/>
      <c r="DJ1207" s="717"/>
      <c r="DM1207" s="711"/>
      <c r="DN1207" s="711"/>
      <c r="DO1207" s="711"/>
      <c r="DP1207" s="711"/>
      <c r="DQ1207" s="711"/>
    </row>
    <row r="1208" spans="13:121" s="709" customFormat="1" hidden="1">
      <c r="M1208" s="710"/>
      <c r="P1208" s="711"/>
      <c r="Q1208" s="712"/>
      <c r="U1208" s="711"/>
      <c r="V1208" s="711"/>
      <c r="W1208" s="711"/>
      <c r="X1208" s="711"/>
      <c r="Y1208" s="711"/>
      <c r="Z1208" s="711"/>
      <c r="AU1208" s="713"/>
      <c r="AW1208" s="712"/>
      <c r="BY1208" s="714"/>
      <c r="BZ1208" s="715"/>
      <c r="CA1208" s="716"/>
      <c r="CB1208" s="717"/>
      <c r="CC1208" s="717"/>
      <c r="CD1208" s="717"/>
      <c r="CE1208" s="717"/>
      <c r="CF1208" s="717"/>
      <c r="CG1208" s="717"/>
      <c r="CH1208" s="717"/>
      <c r="CI1208" s="717"/>
      <c r="CJ1208" s="717"/>
      <c r="CK1208" s="717"/>
      <c r="CL1208" s="717"/>
      <c r="CM1208" s="717"/>
      <c r="CN1208" s="717"/>
      <c r="CO1208" s="717"/>
      <c r="CP1208" s="717"/>
      <c r="CQ1208" s="717"/>
      <c r="CR1208" s="717"/>
      <c r="CS1208" s="717"/>
      <c r="CT1208" s="717"/>
      <c r="CU1208" s="717"/>
      <c r="CV1208" s="717"/>
      <c r="CW1208" s="717"/>
      <c r="CX1208" s="717"/>
      <c r="CY1208" s="717"/>
      <c r="CZ1208" s="717"/>
      <c r="DA1208" s="717"/>
      <c r="DB1208" s="717"/>
      <c r="DC1208" s="717"/>
      <c r="DD1208" s="717"/>
      <c r="DE1208" s="717"/>
      <c r="DF1208" s="717"/>
      <c r="DG1208" s="717"/>
      <c r="DH1208" s="717"/>
      <c r="DI1208" s="717"/>
      <c r="DJ1208" s="717"/>
      <c r="DM1208" s="711"/>
      <c r="DN1208" s="711"/>
      <c r="DO1208" s="711"/>
      <c r="DP1208" s="711"/>
      <c r="DQ1208" s="711"/>
    </row>
    <row r="1209" spans="13:121" s="709" customFormat="1" hidden="1">
      <c r="M1209" s="710"/>
      <c r="P1209" s="711"/>
      <c r="Q1209" s="712"/>
      <c r="U1209" s="711"/>
      <c r="V1209" s="711"/>
      <c r="W1209" s="711"/>
      <c r="X1209" s="711"/>
      <c r="Y1209" s="711"/>
      <c r="Z1209" s="711"/>
      <c r="AU1209" s="713"/>
      <c r="AW1209" s="712"/>
      <c r="BY1209" s="714"/>
      <c r="BZ1209" s="715"/>
      <c r="CA1209" s="716"/>
      <c r="CB1209" s="717"/>
      <c r="CC1209" s="717"/>
      <c r="CD1209" s="717"/>
      <c r="CE1209" s="717"/>
      <c r="CF1209" s="717"/>
      <c r="CG1209" s="717"/>
      <c r="CH1209" s="717"/>
      <c r="CI1209" s="717"/>
      <c r="CJ1209" s="717"/>
      <c r="CK1209" s="717"/>
      <c r="CL1209" s="717"/>
      <c r="CM1209" s="717"/>
      <c r="CN1209" s="717"/>
      <c r="CO1209" s="717"/>
      <c r="CP1209" s="717"/>
      <c r="CQ1209" s="717"/>
      <c r="CR1209" s="717"/>
      <c r="CS1209" s="717"/>
      <c r="CT1209" s="717"/>
      <c r="CU1209" s="717"/>
      <c r="CV1209" s="717"/>
      <c r="CW1209" s="717"/>
      <c r="CX1209" s="717"/>
      <c r="CY1209" s="717"/>
      <c r="CZ1209" s="717"/>
      <c r="DA1209" s="717"/>
      <c r="DB1209" s="717"/>
      <c r="DC1209" s="717"/>
      <c r="DD1209" s="717"/>
      <c r="DE1209" s="717"/>
      <c r="DF1209" s="717"/>
      <c r="DG1209" s="717"/>
      <c r="DH1209" s="717"/>
      <c r="DI1209" s="717"/>
      <c r="DJ1209" s="717"/>
      <c r="DM1209" s="711"/>
      <c r="DN1209" s="711"/>
      <c r="DO1209" s="711"/>
      <c r="DP1209" s="711"/>
      <c r="DQ1209" s="711"/>
    </row>
    <row r="1210" spans="13:121" s="709" customFormat="1" hidden="1">
      <c r="M1210" s="710"/>
      <c r="P1210" s="711"/>
      <c r="Q1210" s="712"/>
      <c r="U1210" s="711"/>
      <c r="V1210" s="711"/>
      <c r="W1210" s="711"/>
      <c r="X1210" s="711"/>
      <c r="Y1210" s="711"/>
      <c r="Z1210" s="711"/>
      <c r="AU1210" s="713"/>
      <c r="AW1210" s="712"/>
      <c r="BY1210" s="714"/>
      <c r="BZ1210" s="715"/>
      <c r="CA1210" s="716"/>
      <c r="CB1210" s="717"/>
      <c r="CC1210" s="717"/>
      <c r="CD1210" s="717"/>
      <c r="CE1210" s="717"/>
      <c r="CF1210" s="717"/>
      <c r="CG1210" s="717"/>
      <c r="CH1210" s="717"/>
      <c r="CI1210" s="717"/>
      <c r="CJ1210" s="717"/>
      <c r="CK1210" s="717"/>
      <c r="CL1210" s="717"/>
      <c r="CM1210" s="717"/>
      <c r="CN1210" s="717"/>
      <c r="CO1210" s="717"/>
      <c r="CP1210" s="717"/>
      <c r="CQ1210" s="717"/>
      <c r="CR1210" s="717"/>
      <c r="CS1210" s="717"/>
      <c r="CT1210" s="717"/>
      <c r="CU1210" s="717"/>
      <c r="CV1210" s="717"/>
      <c r="CW1210" s="717"/>
      <c r="CX1210" s="717"/>
      <c r="CY1210" s="717"/>
      <c r="CZ1210" s="717"/>
      <c r="DA1210" s="717"/>
      <c r="DB1210" s="717"/>
      <c r="DC1210" s="717"/>
      <c r="DD1210" s="717"/>
      <c r="DE1210" s="717"/>
      <c r="DF1210" s="717"/>
      <c r="DG1210" s="717"/>
      <c r="DH1210" s="717"/>
      <c r="DI1210" s="717"/>
      <c r="DJ1210" s="717"/>
      <c r="DM1210" s="711"/>
      <c r="DN1210" s="711"/>
      <c r="DO1210" s="711"/>
      <c r="DP1210" s="711"/>
      <c r="DQ1210" s="711"/>
    </row>
    <row r="1211" spans="13:121" s="709" customFormat="1" hidden="1">
      <c r="M1211" s="710"/>
      <c r="P1211" s="711"/>
      <c r="Q1211" s="712"/>
      <c r="U1211" s="711"/>
      <c r="V1211" s="711"/>
      <c r="W1211" s="711"/>
      <c r="X1211" s="711"/>
      <c r="Y1211" s="711"/>
      <c r="Z1211" s="711"/>
      <c r="AU1211" s="713"/>
      <c r="AW1211" s="712"/>
      <c r="BY1211" s="714"/>
      <c r="BZ1211" s="715"/>
      <c r="CA1211" s="716"/>
      <c r="CB1211" s="717"/>
      <c r="CC1211" s="717"/>
      <c r="CD1211" s="717"/>
      <c r="CE1211" s="717"/>
      <c r="CF1211" s="717"/>
      <c r="CG1211" s="717"/>
      <c r="CH1211" s="717"/>
      <c r="CI1211" s="717"/>
      <c r="CJ1211" s="717"/>
      <c r="CK1211" s="717"/>
      <c r="CL1211" s="717"/>
      <c r="CM1211" s="717"/>
      <c r="CN1211" s="717"/>
      <c r="CO1211" s="717"/>
      <c r="CP1211" s="717"/>
      <c r="CQ1211" s="717"/>
      <c r="CR1211" s="717"/>
      <c r="CS1211" s="717"/>
      <c r="CT1211" s="717"/>
      <c r="CU1211" s="717"/>
      <c r="CV1211" s="717"/>
      <c r="CW1211" s="717"/>
      <c r="CX1211" s="717"/>
      <c r="CY1211" s="717"/>
      <c r="CZ1211" s="717"/>
      <c r="DA1211" s="717"/>
      <c r="DB1211" s="717"/>
      <c r="DC1211" s="717"/>
      <c r="DD1211" s="717"/>
      <c r="DE1211" s="717"/>
      <c r="DF1211" s="717"/>
      <c r="DG1211" s="717"/>
      <c r="DH1211" s="717"/>
      <c r="DI1211" s="717"/>
      <c r="DJ1211" s="717"/>
      <c r="DM1211" s="711"/>
      <c r="DN1211" s="711"/>
      <c r="DO1211" s="711"/>
      <c r="DP1211" s="711"/>
      <c r="DQ1211" s="711"/>
    </row>
    <row r="1212" spans="13:121" s="709" customFormat="1" hidden="1">
      <c r="M1212" s="710"/>
      <c r="P1212" s="711"/>
      <c r="Q1212" s="712"/>
      <c r="U1212" s="711"/>
      <c r="V1212" s="711"/>
      <c r="W1212" s="711"/>
      <c r="X1212" s="711"/>
      <c r="Y1212" s="711"/>
      <c r="Z1212" s="711"/>
      <c r="AU1212" s="713"/>
      <c r="AW1212" s="712"/>
      <c r="BY1212" s="714"/>
      <c r="BZ1212" s="715"/>
      <c r="CA1212" s="716"/>
      <c r="CB1212" s="717"/>
      <c r="CC1212" s="717"/>
      <c r="CD1212" s="717"/>
      <c r="CE1212" s="717"/>
      <c r="CF1212" s="717"/>
      <c r="CG1212" s="717"/>
      <c r="CH1212" s="717"/>
      <c r="CI1212" s="717"/>
      <c r="CJ1212" s="717"/>
      <c r="CK1212" s="717"/>
      <c r="CL1212" s="717"/>
      <c r="CM1212" s="717"/>
      <c r="CN1212" s="717"/>
      <c r="CO1212" s="717"/>
      <c r="CP1212" s="717"/>
      <c r="CQ1212" s="717"/>
      <c r="CR1212" s="717"/>
      <c r="CS1212" s="717"/>
      <c r="CT1212" s="717"/>
      <c r="CU1212" s="717"/>
      <c r="CV1212" s="717"/>
      <c r="CW1212" s="717"/>
      <c r="CX1212" s="717"/>
      <c r="CY1212" s="717"/>
      <c r="CZ1212" s="717"/>
      <c r="DA1212" s="717"/>
      <c r="DB1212" s="717"/>
      <c r="DC1212" s="717"/>
      <c r="DD1212" s="717"/>
      <c r="DE1212" s="717"/>
      <c r="DF1212" s="717"/>
      <c r="DG1212" s="717"/>
      <c r="DH1212" s="717"/>
      <c r="DI1212" s="717"/>
      <c r="DJ1212" s="717"/>
      <c r="DM1212" s="711"/>
      <c r="DN1212" s="711"/>
      <c r="DO1212" s="711"/>
      <c r="DP1212" s="711"/>
      <c r="DQ1212" s="711"/>
    </row>
    <row r="1213" spans="13:121" s="709" customFormat="1" hidden="1">
      <c r="M1213" s="710"/>
      <c r="P1213" s="711"/>
      <c r="Q1213" s="712"/>
      <c r="U1213" s="711"/>
      <c r="V1213" s="711"/>
      <c r="W1213" s="711"/>
      <c r="X1213" s="711"/>
      <c r="Y1213" s="711"/>
      <c r="Z1213" s="711"/>
      <c r="AU1213" s="713"/>
      <c r="AW1213" s="712"/>
      <c r="BY1213" s="714"/>
      <c r="BZ1213" s="715"/>
      <c r="CA1213" s="716"/>
      <c r="CB1213" s="717"/>
      <c r="CC1213" s="717"/>
      <c r="CD1213" s="717"/>
      <c r="CE1213" s="717"/>
      <c r="CF1213" s="717"/>
      <c r="CG1213" s="717"/>
      <c r="CH1213" s="717"/>
      <c r="CI1213" s="717"/>
      <c r="CJ1213" s="717"/>
      <c r="CK1213" s="717"/>
      <c r="CL1213" s="717"/>
      <c r="CM1213" s="717"/>
      <c r="CN1213" s="717"/>
      <c r="CO1213" s="717"/>
      <c r="CP1213" s="717"/>
      <c r="CQ1213" s="717"/>
      <c r="CR1213" s="717"/>
      <c r="CS1213" s="717"/>
      <c r="CT1213" s="717"/>
      <c r="CU1213" s="717"/>
      <c r="CV1213" s="717"/>
      <c r="CW1213" s="717"/>
      <c r="CX1213" s="717"/>
      <c r="CY1213" s="717"/>
      <c r="CZ1213" s="717"/>
      <c r="DA1213" s="717"/>
      <c r="DB1213" s="717"/>
      <c r="DC1213" s="717"/>
      <c r="DD1213" s="717"/>
      <c r="DE1213" s="717"/>
      <c r="DF1213" s="717"/>
      <c r="DG1213" s="717"/>
      <c r="DH1213" s="717"/>
      <c r="DI1213" s="717"/>
      <c r="DJ1213" s="717"/>
      <c r="DM1213" s="711"/>
      <c r="DN1213" s="711"/>
      <c r="DO1213" s="711"/>
      <c r="DP1213" s="711"/>
      <c r="DQ1213" s="711"/>
    </row>
    <row r="1214" spans="13:121" s="709" customFormat="1" hidden="1">
      <c r="M1214" s="710"/>
      <c r="P1214" s="711"/>
      <c r="Q1214" s="712"/>
      <c r="U1214" s="711"/>
      <c r="V1214" s="711"/>
      <c r="W1214" s="711"/>
      <c r="X1214" s="711"/>
      <c r="Y1214" s="711"/>
      <c r="Z1214" s="711"/>
      <c r="AU1214" s="713"/>
      <c r="AW1214" s="712"/>
      <c r="BY1214" s="714"/>
      <c r="BZ1214" s="715"/>
      <c r="CA1214" s="716"/>
      <c r="CB1214" s="717"/>
      <c r="CC1214" s="717"/>
      <c r="CD1214" s="717"/>
      <c r="CE1214" s="717"/>
      <c r="CF1214" s="717"/>
      <c r="CG1214" s="717"/>
      <c r="CH1214" s="717"/>
      <c r="CI1214" s="717"/>
      <c r="CJ1214" s="717"/>
      <c r="CK1214" s="717"/>
      <c r="CL1214" s="717"/>
      <c r="CM1214" s="717"/>
      <c r="CN1214" s="717"/>
      <c r="CO1214" s="717"/>
      <c r="CP1214" s="717"/>
      <c r="CQ1214" s="717"/>
      <c r="CR1214" s="717"/>
      <c r="CS1214" s="717"/>
      <c r="CT1214" s="717"/>
      <c r="CU1214" s="717"/>
      <c r="CV1214" s="717"/>
      <c r="CW1214" s="717"/>
      <c r="CX1214" s="717"/>
      <c r="CY1214" s="717"/>
      <c r="CZ1214" s="717"/>
      <c r="DA1214" s="717"/>
      <c r="DB1214" s="717"/>
      <c r="DC1214" s="717"/>
      <c r="DD1214" s="717"/>
      <c r="DE1214" s="717"/>
      <c r="DF1214" s="717"/>
      <c r="DG1214" s="717"/>
      <c r="DH1214" s="717"/>
      <c r="DI1214" s="717"/>
      <c r="DJ1214" s="717"/>
      <c r="DM1214" s="711"/>
      <c r="DN1214" s="711"/>
      <c r="DO1214" s="711"/>
      <c r="DP1214" s="711"/>
      <c r="DQ1214" s="711"/>
    </row>
    <row r="1215" spans="13:121" s="709" customFormat="1" hidden="1">
      <c r="M1215" s="710"/>
      <c r="P1215" s="711"/>
      <c r="Q1215" s="712"/>
      <c r="U1215" s="711"/>
      <c r="V1215" s="711"/>
      <c r="W1215" s="711"/>
      <c r="X1215" s="711"/>
      <c r="Y1215" s="711"/>
      <c r="Z1215" s="711"/>
      <c r="AU1215" s="713"/>
      <c r="AW1215" s="712"/>
      <c r="BY1215" s="714"/>
      <c r="BZ1215" s="715"/>
      <c r="CA1215" s="716"/>
      <c r="CB1215" s="717"/>
      <c r="CC1215" s="717"/>
      <c r="CD1215" s="717"/>
      <c r="CE1215" s="717"/>
      <c r="CF1215" s="717"/>
      <c r="CG1215" s="717"/>
      <c r="CH1215" s="717"/>
      <c r="CI1215" s="717"/>
      <c r="CJ1215" s="717"/>
      <c r="CK1215" s="717"/>
      <c r="CL1215" s="717"/>
      <c r="CM1215" s="717"/>
      <c r="CN1215" s="717"/>
      <c r="CO1215" s="717"/>
      <c r="CP1215" s="717"/>
      <c r="CQ1215" s="717"/>
      <c r="CR1215" s="717"/>
      <c r="CS1215" s="717"/>
      <c r="CT1215" s="717"/>
      <c r="CU1215" s="717"/>
      <c r="CV1215" s="717"/>
      <c r="CW1215" s="717"/>
      <c r="CX1215" s="717"/>
      <c r="CY1215" s="717"/>
      <c r="CZ1215" s="717"/>
      <c r="DA1215" s="717"/>
      <c r="DB1215" s="717"/>
      <c r="DC1215" s="717"/>
      <c r="DD1215" s="717"/>
      <c r="DE1215" s="717"/>
      <c r="DF1215" s="717"/>
      <c r="DG1215" s="717"/>
      <c r="DH1215" s="717"/>
      <c r="DI1215" s="717"/>
      <c r="DJ1215" s="717"/>
      <c r="DM1215" s="711"/>
      <c r="DN1215" s="711"/>
      <c r="DO1215" s="711"/>
      <c r="DP1215" s="711"/>
      <c r="DQ1215" s="711"/>
    </row>
    <row r="1216" spans="13:121" s="709" customFormat="1" hidden="1">
      <c r="M1216" s="710"/>
      <c r="P1216" s="711"/>
      <c r="Q1216" s="712"/>
      <c r="U1216" s="711"/>
      <c r="V1216" s="711"/>
      <c r="W1216" s="711"/>
      <c r="X1216" s="711"/>
      <c r="Y1216" s="711"/>
      <c r="Z1216" s="711"/>
      <c r="AU1216" s="713"/>
      <c r="AW1216" s="712"/>
      <c r="BY1216" s="714"/>
      <c r="BZ1216" s="715"/>
      <c r="CA1216" s="716"/>
      <c r="CB1216" s="717"/>
      <c r="CC1216" s="717"/>
      <c r="CD1216" s="717"/>
      <c r="CE1216" s="717"/>
      <c r="CF1216" s="717"/>
      <c r="CG1216" s="717"/>
      <c r="CH1216" s="717"/>
      <c r="CI1216" s="717"/>
      <c r="CJ1216" s="717"/>
      <c r="CK1216" s="717"/>
      <c r="CL1216" s="717"/>
      <c r="CM1216" s="717"/>
      <c r="CN1216" s="717"/>
      <c r="CO1216" s="717"/>
      <c r="CP1216" s="717"/>
      <c r="CQ1216" s="717"/>
      <c r="CR1216" s="717"/>
      <c r="CS1216" s="717"/>
      <c r="CT1216" s="717"/>
      <c r="CU1216" s="717"/>
      <c r="CV1216" s="717"/>
      <c r="CW1216" s="717"/>
      <c r="CX1216" s="717"/>
      <c r="CY1216" s="717"/>
      <c r="CZ1216" s="717"/>
      <c r="DA1216" s="717"/>
      <c r="DB1216" s="717"/>
      <c r="DC1216" s="717"/>
      <c r="DD1216" s="717"/>
      <c r="DE1216" s="717"/>
      <c r="DF1216" s="717"/>
      <c r="DG1216" s="717"/>
      <c r="DH1216" s="717"/>
      <c r="DI1216" s="717"/>
      <c r="DJ1216" s="717"/>
      <c r="DM1216" s="711"/>
      <c r="DN1216" s="711"/>
      <c r="DO1216" s="711"/>
      <c r="DP1216" s="711"/>
      <c r="DQ1216" s="711"/>
    </row>
    <row r="1217" spans="13:121" s="709" customFormat="1" hidden="1">
      <c r="M1217" s="710"/>
      <c r="P1217" s="711"/>
      <c r="Q1217" s="712"/>
      <c r="U1217" s="711"/>
      <c r="V1217" s="711"/>
      <c r="W1217" s="711"/>
      <c r="X1217" s="711"/>
      <c r="Y1217" s="711"/>
      <c r="Z1217" s="711"/>
      <c r="AU1217" s="713"/>
      <c r="AW1217" s="712"/>
      <c r="BY1217" s="714"/>
      <c r="BZ1217" s="715"/>
      <c r="CA1217" s="716"/>
      <c r="CB1217" s="717"/>
      <c r="CC1217" s="717"/>
      <c r="CD1217" s="717"/>
      <c r="CE1217" s="717"/>
      <c r="CF1217" s="717"/>
      <c r="CG1217" s="717"/>
      <c r="CH1217" s="717"/>
      <c r="CI1217" s="717"/>
      <c r="CJ1217" s="717"/>
      <c r="CK1217" s="717"/>
      <c r="CL1217" s="717"/>
      <c r="CM1217" s="717"/>
      <c r="CN1217" s="717"/>
      <c r="CO1217" s="717"/>
      <c r="CP1217" s="717"/>
      <c r="CQ1217" s="717"/>
      <c r="CR1217" s="717"/>
      <c r="CS1217" s="717"/>
      <c r="CT1217" s="717"/>
      <c r="CU1217" s="717"/>
      <c r="CV1217" s="717"/>
      <c r="CW1217" s="717"/>
      <c r="CX1217" s="717"/>
      <c r="CY1217" s="717"/>
      <c r="CZ1217" s="717"/>
      <c r="DA1217" s="717"/>
      <c r="DB1217" s="717"/>
      <c r="DC1217" s="717"/>
      <c r="DD1217" s="717"/>
      <c r="DE1217" s="717"/>
      <c r="DF1217" s="717"/>
      <c r="DG1217" s="717"/>
      <c r="DH1217" s="717"/>
      <c r="DI1217" s="717"/>
      <c r="DJ1217" s="717"/>
      <c r="DM1217" s="711"/>
      <c r="DN1217" s="711"/>
      <c r="DO1217" s="711"/>
      <c r="DP1217" s="711"/>
      <c r="DQ1217" s="711"/>
    </row>
    <row r="1218" spans="13:121" s="709" customFormat="1" hidden="1">
      <c r="M1218" s="710"/>
      <c r="P1218" s="711"/>
      <c r="Q1218" s="712"/>
      <c r="U1218" s="711"/>
      <c r="V1218" s="711"/>
      <c r="W1218" s="711"/>
      <c r="X1218" s="711"/>
      <c r="Y1218" s="711"/>
      <c r="Z1218" s="711"/>
      <c r="AU1218" s="713"/>
      <c r="AW1218" s="712"/>
      <c r="BY1218" s="714"/>
      <c r="BZ1218" s="715"/>
      <c r="CA1218" s="716"/>
      <c r="CB1218" s="717"/>
      <c r="CC1218" s="717"/>
      <c r="CD1218" s="717"/>
      <c r="CE1218" s="717"/>
      <c r="CF1218" s="717"/>
      <c r="CG1218" s="717"/>
      <c r="CH1218" s="717"/>
      <c r="CI1218" s="717"/>
      <c r="CJ1218" s="717"/>
      <c r="CK1218" s="717"/>
      <c r="CL1218" s="717"/>
      <c r="CM1218" s="717"/>
      <c r="CN1218" s="717"/>
      <c r="CO1218" s="717"/>
      <c r="CP1218" s="717"/>
      <c r="CQ1218" s="717"/>
      <c r="CR1218" s="717"/>
      <c r="CS1218" s="717"/>
      <c r="CT1218" s="717"/>
      <c r="CU1218" s="717"/>
      <c r="CV1218" s="717"/>
      <c r="CW1218" s="717"/>
      <c r="CX1218" s="717"/>
      <c r="CY1218" s="717"/>
      <c r="CZ1218" s="717"/>
      <c r="DA1218" s="717"/>
      <c r="DB1218" s="717"/>
      <c r="DC1218" s="717"/>
      <c r="DD1218" s="717"/>
      <c r="DE1218" s="717"/>
      <c r="DF1218" s="717"/>
      <c r="DG1218" s="717"/>
      <c r="DH1218" s="717"/>
      <c r="DI1218" s="717"/>
      <c r="DJ1218" s="717"/>
      <c r="DM1218" s="711"/>
      <c r="DN1218" s="711"/>
      <c r="DO1218" s="711"/>
      <c r="DP1218" s="711"/>
      <c r="DQ1218" s="711"/>
    </row>
    <row r="1219" spans="13:121" s="709" customFormat="1" hidden="1">
      <c r="M1219" s="710"/>
      <c r="P1219" s="711"/>
      <c r="Q1219" s="712"/>
      <c r="U1219" s="711"/>
      <c r="V1219" s="711"/>
      <c r="W1219" s="711"/>
      <c r="X1219" s="711"/>
      <c r="Y1219" s="711"/>
      <c r="Z1219" s="711"/>
      <c r="AU1219" s="713"/>
      <c r="AW1219" s="712"/>
      <c r="BY1219" s="714"/>
      <c r="BZ1219" s="715"/>
      <c r="CA1219" s="716"/>
      <c r="CB1219" s="717"/>
      <c r="CC1219" s="717"/>
      <c r="CD1219" s="717"/>
      <c r="CE1219" s="717"/>
      <c r="CF1219" s="717"/>
      <c r="CG1219" s="717"/>
      <c r="CH1219" s="717"/>
      <c r="CI1219" s="717"/>
      <c r="CJ1219" s="717"/>
      <c r="CK1219" s="717"/>
      <c r="CL1219" s="717"/>
      <c r="CM1219" s="717"/>
      <c r="CN1219" s="717"/>
      <c r="CO1219" s="717"/>
      <c r="CP1219" s="717"/>
      <c r="CQ1219" s="717"/>
      <c r="CR1219" s="717"/>
      <c r="CS1219" s="717"/>
      <c r="CT1219" s="717"/>
      <c r="CU1219" s="717"/>
      <c r="CV1219" s="717"/>
      <c r="CW1219" s="717"/>
      <c r="CX1219" s="717"/>
      <c r="CY1219" s="717"/>
      <c r="CZ1219" s="717"/>
      <c r="DA1219" s="717"/>
      <c r="DB1219" s="717"/>
      <c r="DC1219" s="717"/>
      <c r="DD1219" s="717"/>
      <c r="DE1219" s="717"/>
      <c r="DF1219" s="717"/>
      <c r="DG1219" s="717"/>
      <c r="DH1219" s="717"/>
      <c r="DI1219" s="717"/>
      <c r="DJ1219" s="717"/>
      <c r="DM1219" s="711"/>
      <c r="DN1219" s="711"/>
      <c r="DO1219" s="711"/>
      <c r="DP1219" s="711"/>
      <c r="DQ1219" s="711"/>
    </row>
    <row r="1220" spans="13:121" s="709" customFormat="1" hidden="1">
      <c r="M1220" s="710"/>
      <c r="P1220" s="711"/>
      <c r="Q1220" s="712"/>
      <c r="U1220" s="711"/>
      <c r="V1220" s="711"/>
      <c r="W1220" s="711"/>
      <c r="X1220" s="711"/>
      <c r="Y1220" s="711"/>
      <c r="Z1220" s="711"/>
      <c r="AU1220" s="713"/>
      <c r="AW1220" s="712"/>
      <c r="BY1220" s="714"/>
      <c r="BZ1220" s="715"/>
      <c r="CA1220" s="716"/>
      <c r="CB1220" s="717"/>
      <c r="CC1220" s="717"/>
      <c r="CD1220" s="717"/>
      <c r="CE1220" s="717"/>
      <c r="CF1220" s="717"/>
      <c r="CG1220" s="717"/>
      <c r="CH1220" s="717"/>
      <c r="CI1220" s="717"/>
      <c r="CJ1220" s="717"/>
      <c r="CK1220" s="717"/>
      <c r="CL1220" s="717"/>
      <c r="CM1220" s="717"/>
      <c r="CN1220" s="717"/>
      <c r="CO1220" s="717"/>
      <c r="CP1220" s="717"/>
      <c r="CQ1220" s="717"/>
      <c r="CR1220" s="717"/>
      <c r="CS1220" s="717"/>
      <c r="CT1220" s="717"/>
      <c r="CU1220" s="717"/>
      <c r="CV1220" s="717"/>
      <c r="CW1220" s="717"/>
      <c r="CX1220" s="717"/>
      <c r="CY1220" s="717"/>
      <c r="CZ1220" s="717"/>
      <c r="DA1220" s="717"/>
      <c r="DB1220" s="717"/>
      <c r="DC1220" s="717"/>
      <c r="DD1220" s="717"/>
      <c r="DE1220" s="717"/>
      <c r="DF1220" s="717"/>
      <c r="DG1220" s="717"/>
      <c r="DH1220" s="717"/>
      <c r="DI1220" s="717"/>
      <c r="DJ1220" s="717"/>
      <c r="DM1220" s="711"/>
      <c r="DN1220" s="711"/>
      <c r="DO1220" s="711"/>
      <c r="DP1220" s="711"/>
      <c r="DQ1220" s="711"/>
    </row>
    <row r="1221" spans="13:121" s="709" customFormat="1" hidden="1">
      <c r="M1221" s="710"/>
      <c r="P1221" s="711"/>
      <c r="Q1221" s="712"/>
      <c r="U1221" s="711"/>
      <c r="V1221" s="711"/>
      <c r="W1221" s="711"/>
      <c r="X1221" s="711"/>
      <c r="Y1221" s="711"/>
      <c r="Z1221" s="711"/>
      <c r="AU1221" s="713"/>
      <c r="AW1221" s="712"/>
      <c r="BY1221" s="714"/>
      <c r="BZ1221" s="715"/>
      <c r="CA1221" s="716"/>
      <c r="CB1221" s="717"/>
      <c r="CC1221" s="717"/>
      <c r="CD1221" s="717"/>
      <c r="CE1221" s="717"/>
      <c r="CF1221" s="717"/>
      <c r="CG1221" s="717"/>
      <c r="CH1221" s="717"/>
      <c r="CI1221" s="717"/>
      <c r="CJ1221" s="717"/>
      <c r="CK1221" s="717"/>
      <c r="CL1221" s="717"/>
      <c r="CM1221" s="717"/>
      <c r="CN1221" s="717"/>
      <c r="CO1221" s="717"/>
      <c r="CP1221" s="717"/>
      <c r="CQ1221" s="717"/>
      <c r="CR1221" s="717"/>
      <c r="CS1221" s="717"/>
      <c r="CT1221" s="717"/>
      <c r="CU1221" s="717"/>
      <c r="CV1221" s="717"/>
      <c r="CW1221" s="717"/>
      <c r="CX1221" s="717"/>
      <c r="CY1221" s="717"/>
      <c r="CZ1221" s="717"/>
      <c r="DA1221" s="717"/>
      <c r="DB1221" s="717"/>
      <c r="DC1221" s="717"/>
      <c r="DD1221" s="717"/>
      <c r="DE1221" s="717"/>
      <c r="DF1221" s="717"/>
      <c r="DG1221" s="717"/>
      <c r="DH1221" s="717"/>
      <c r="DI1221" s="717"/>
      <c r="DJ1221" s="717"/>
      <c r="DM1221" s="711"/>
      <c r="DN1221" s="711"/>
      <c r="DO1221" s="711"/>
      <c r="DP1221" s="711"/>
      <c r="DQ1221" s="711"/>
    </row>
    <row r="1222" spans="13:121" s="709" customFormat="1" hidden="1">
      <c r="M1222" s="710"/>
      <c r="P1222" s="711"/>
      <c r="Q1222" s="712"/>
      <c r="U1222" s="711"/>
      <c r="V1222" s="711"/>
      <c r="W1222" s="711"/>
      <c r="X1222" s="711"/>
      <c r="Y1222" s="711"/>
      <c r="Z1222" s="711"/>
      <c r="AU1222" s="713"/>
      <c r="AW1222" s="712"/>
      <c r="BY1222" s="714"/>
      <c r="BZ1222" s="715"/>
      <c r="CA1222" s="716"/>
      <c r="CB1222" s="717"/>
      <c r="CC1222" s="717"/>
      <c r="CD1222" s="717"/>
      <c r="CE1222" s="717"/>
      <c r="CF1222" s="717"/>
      <c r="CG1222" s="717"/>
      <c r="CH1222" s="717"/>
      <c r="CI1222" s="717"/>
      <c r="CJ1222" s="717"/>
      <c r="CK1222" s="717"/>
      <c r="CL1222" s="717"/>
      <c r="CM1222" s="717"/>
      <c r="CN1222" s="717"/>
      <c r="CO1222" s="717"/>
      <c r="CP1222" s="717"/>
      <c r="CQ1222" s="717"/>
      <c r="CR1222" s="717"/>
      <c r="CS1222" s="717"/>
      <c r="CT1222" s="717"/>
      <c r="CU1222" s="717"/>
      <c r="CV1222" s="717"/>
      <c r="CW1222" s="717"/>
      <c r="CX1222" s="717"/>
      <c r="CY1222" s="717"/>
      <c r="CZ1222" s="717"/>
      <c r="DA1222" s="717"/>
      <c r="DB1222" s="717"/>
      <c r="DC1222" s="717"/>
      <c r="DD1222" s="717"/>
      <c r="DE1222" s="717"/>
      <c r="DF1222" s="717"/>
      <c r="DG1222" s="717"/>
      <c r="DH1222" s="717"/>
      <c r="DI1222" s="717"/>
      <c r="DJ1222" s="717"/>
      <c r="DM1222" s="711"/>
      <c r="DN1222" s="711"/>
      <c r="DO1222" s="711"/>
      <c r="DP1222" s="711"/>
      <c r="DQ1222" s="711"/>
    </row>
    <row r="1223" spans="13:121" s="709" customFormat="1" hidden="1">
      <c r="M1223" s="710"/>
      <c r="P1223" s="711"/>
      <c r="Q1223" s="712"/>
      <c r="U1223" s="711"/>
      <c r="V1223" s="711"/>
      <c r="W1223" s="711"/>
      <c r="X1223" s="711"/>
      <c r="Y1223" s="711"/>
      <c r="Z1223" s="711"/>
      <c r="AU1223" s="713"/>
      <c r="AW1223" s="712"/>
      <c r="BY1223" s="714"/>
      <c r="BZ1223" s="715"/>
      <c r="CA1223" s="716"/>
      <c r="CB1223" s="717"/>
      <c r="CC1223" s="717"/>
      <c r="CD1223" s="717"/>
      <c r="CE1223" s="717"/>
      <c r="CF1223" s="717"/>
      <c r="CG1223" s="717"/>
      <c r="CH1223" s="717"/>
      <c r="CI1223" s="717"/>
      <c r="CJ1223" s="717"/>
      <c r="CK1223" s="717"/>
      <c r="CL1223" s="717"/>
      <c r="CM1223" s="717"/>
      <c r="CN1223" s="717"/>
      <c r="CO1223" s="717"/>
      <c r="CP1223" s="717"/>
      <c r="CQ1223" s="717"/>
      <c r="CR1223" s="717"/>
      <c r="CS1223" s="717"/>
      <c r="CT1223" s="717"/>
      <c r="CU1223" s="717"/>
      <c r="CV1223" s="717"/>
      <c r="CW1223" s="717"/>
      <c r="CX1223" s="717"/>
      <c r="CY1223" s="717"/>
      <c r="CZ1223" s="717"/>
      <c r="DA1223" s="717"/>
      <c r="DB1223" s="717"/>
      <c r="DC1223" s="717"/>
      <c r="DD1223" s="717"/>
      <c r="DE1223" s="717"/>
      <c r="DF1223" s="717"/>
      <c r="DG1223" s="717"/>
      <c r="DH1223" s="717"/>
      <c r="DI1223" s="717"/>
      <c r="DJ1223" s="717"/>
      <c r="DM1223" s="711"/>
      <c r="DN1223" s="711"/>
      <c r="DO1223" s="711"/>
      <c r="DP1223" s="711"/>
      <c r="DQ1223" s="711"/>
    </row>
    <row r="1224" spans="13:121" s="709" customFormat="1" hidden="1">
      <c r="M1224" s="710"/>
      <c r="P1224" s="711"/>
      <c r="Q1224" s="712"/>
      <c r="U1224" s="711"/>
      <c r="V1224" s="711"/>
      <c r="W1224" s="711"/>
      <c r="X1224" s="711"/>
      <c r="Y1224" s="711"/>
      <c r="Z1224" s="711"/>
      <c r="AU1224" s="713"/>
      <c r="AW1224" s="712"/>
      <c r="BY1224" s="714"/>
      <c r="BZ1224" s="715"/>
      <c r="CA1224" s="716"/>
      <c r="CB1224" s="717"/>
      <c r="CC1224" s="717"/>
      <c r="CD1224" s="717"/>
      <c r="CE1224" s="717"/>
      <c r="CF1224" s="717"/>
      <c r="CG1224" s="717"/>
      <c r="CH1224" s="717"/>
      <c r="CI1224" s="717"/>
      <c r="CJ1224" s="717"/>
      <c r="CK1224" s="717"/>
      <c r="CL1224" s="717"/>
      <c r="CM1224" s="717"/>
      <c r="CN1224" s="717"/>
      <c r="CO1224" s="717"/>
      <c r="CP1224" s="717"/>
      <c r="CQ1224" s="717"/>
      <c r="CR1224" s="717"/>
      <c r="CS1224" s="717"/>
      <c r="CT1224" s="717"/>
      <c r="CU1224" s="717"/>
      <c r="CV1224" s="717"/>
      <c r="CW1224" s="717"/>
      <c r="CX1224" s="717"/>
      <c r="CY1224" s="717"/>
      <c r="CZ1224" s="717"/>
      <c r="DA1224" s="717"/>
      <c r="DB1224" s="717"/>
      <c r="DC1224" s="717"/>
      <c r="DD1224" s="717"/>
      <c r="DE1224" s="717"/>
      <c r="DF1224" s="717"/>
      <c r="DG1224" s="717"/>
      <c r="DH1224" s="717"/>
      <c r="DI1224" s="717"/>
      <c r="DJ1224" s="717"/>
      <c r="DM1224" s="711"/>
      <c r="DN1224" s="711"/>
      <c r="DO1224" s="711"/>
      <c r="DP1224" s="711"/>
      <c r="DQ1224" s="711"/>
    </row>
    <row r="1225" spans="13:121" s="709" customFormat="1" hidden="1">
      <c r="M1225" s="710"/>
      <c r="P1225" s="711"/>
      <c r="Q1225" s="712"/>
      <c r="U1225" s="711"/>
      <c r="V1225" s="711"/>
      <c r="W1225" s="711"/>
      <c r="X1225" s="711"/>
      <c r="Y1225" s="711"/>
      <c r="Z1225" s="711"/>
      <c r="AU1225" s="713"/>
      <c r="AW1225" s="712"/>
      <c r="BY1225" s="714"/>
      <c r="BZ1225" s="715"/>
      <c r="CA1225" s="716"/>
      <c r="CB1225" s="717"/>
      <c r="CC1225" s="717"/>
      <c r="CD1225" s="717"/>
      <c r="CE1225" s="717"/>
      <c r="CF1225" s="717"/>
      <c r="CG1225" s="717"/>
      <c r="CH1225" s="717"/>
      <c r="CI1225" s="717"/>
      <c r="CJ1225" s="717"/>
      <c r="CK1225" s="717"/>
      <c r="CL1225" s="717"/>
      <c r="CM1225" s="717"/>
      <c r="CN1225" s="717"/>
      <c r="CO1225" s="717"/>
      <c r="CP1225" s="717"/>
      <c r="CQ1225" s="717"/>
      <c r="CR1225" s="717"/>
      <c r="CS1225" s="717"/>
      <c r="CT1225" s="717"/>
      <c r="CU1225" s="717"/>
      <c r="CV1225" s="717"/>
      <c r="CW1225" s="717"/>
      <c r="CX1225" s="717"/>
      <c r="CY1225" s="717"/>
      <c r="CZ1225" s="717"/>
      <c r="DA1225" s="717"/>
      <c r="DB1225" s="717"/>
      <c r="DC1225" s="717"/>
      <c r="DD1225" s="717"/>
      <c r="DE1225" s="717"/>
      <c r="DF1225" s="717"/>
      <c r="DG1225" s="717"/>
      <c r="DH1225" s="717"/>
      <c r="DI1225" s="717"/>
      <c r="DJ1225" s="717"/>
      <c r="DM1225" s="711"/>
      <c r="DN1225" s="711"/>
      <c r="DO1225" s="711"/>
      <c r="DP1225" s="711"/>
      <c r="DQ1225" s="711"/>
    </row>
    <row r="1226" spans="13:121" s="709" customFormat="1" hidden="1">
      <c r="M1226" s="710"/>
      <c r="P1226" s="711"/>
      <c r="Q1226" s="712"/>
      <c r="U1226" s="711"/>
      <c r="V1226" s="711"/>
      <c r="W1226" s="711"/>
      <c r="X1226" s="711"/>
      <c r="Y1226" s="711"/>
      <c r="Z1226" s="711"/>
      <c r="AU1226" s="713"/>
      <c r="AW1226" s="712"/>
      <c r="BY1226" s="714"/>
      <c r="BZ1226" s="715"/>
      <c r="CA1226" s="716"/>
      <c r="CB1226" s="717"/>
      <c r="CC1226" s="717"/>
      <c r="CD1226" s="717"/>
      <c r="CE1226" s="717"/>
      <c r="CF1226" s="717"/>
      <c r="CG1226" s="717"/>
      <c r="CH1226" s="717"/>
      <c r="CI1226" s="717"/>
      <c r="CJ1226" s="717"/>
      <c r="CK1226" s="717"/>
      <c r="CL1226" s="717"/>
      <c r="CM1226" s="717"/>
      <c r="CN1226" s="717"/>
      <c r="CO1226" s="717"/>
      <c r="CP1226" s="717"/>
      <c r="CQ1226" s="717"/>
      <c r="CR1226" s="717"/>
      <c r="CS1226" s="717"/>
      <c r="CT1226" s="717"/>
      <c r="CU1226" s="717"/>
      <c r="CV1226" s="717"/>
      <c r="CW1226" s="717"/>
      <c r="CX1226" s="717"/>
      <c r="CY1226" s="717"/>
      <c r="CZ1226" s="717"/>
      <c r="DA1226" s="717"/>
      <c r="DB1226" s="717"/>
      <c r="DC1226" s="717"/>
      <c r="DD1226" s="717"/>
      <c r="DE1226" s="717"/>
      <c r="DF1226" s="717"/>
      <c r="DG1226" s="717"/>
      <c r="DH1226" s="717"/>
      <c r="DI1226" s="717"/>
      <c r="DJ1226" s="717"/>
      <c r="DM1226" s="711"/>
      <c r="DN1226" s="711"/>
      <c r="DO1226" s="711"/>
      <c r="DP1226" s="711"/>
      <c r="DQ1226" s="711"/>
    </row>
    <row r="1227" spans="13:121" s="709" customFormat="1" hidden="1">
      <c r="M1227" s="710"/>
      <c r="P1227" s="711"/>
      <c r="Q1227" s="712"/>
      <c r="U1227" s="711"/>
      <c r="V1227" s="711"/>
      <c r="W1227" s="711"/>
      <c r="X1227" s="711"/>
      <c r="Y1227" s="711"/>
      <c r="Z1227" s="711"/>
      <c r="AU1227" s="713"/>
      <c r="AW1227" s="712"/>
      <c r="BY1227" s="714"/>
      <c r="BZ1227" s="715"/>
      <c r="CA1227" s="716"/>
      <c r="CB1227" s="717"/>
      <c r="CC1227" s="717"/>
      <c r="CD1227" s="717"/>
      <c r="CE1227" s="717"/>
      <c r="CF1227" s="717"/>
      <c r="CG1227" s="717"/>
      <c r="CH1227" s="717"/>
      <c r="CI1227" s="717"/>
      <c r="CJ1227" s="717"/>
      <c r="CK1227" s="717"/>
      <c r="CL1227" s="717"/>
      <c r="CM1227" s="717"/>
      <c r="CN1227" s="717"/>
      <c r="CO1227" s="717"/>
      <c r="CP1227" s="717"/>
      <c r="CQ1227" s="717"/>
      <c r="CR1227" s="717"/>
      <c r="CS1227" s="717"/>
      <c r="CT1227" s="717"/>
      <c r="CU1227" s="717"/>
      <c r="CV1227" s="717"/>
      <c r="CW1227" s="717"/>
      <c r="CX1227" s="717"/>
      <c r="CY1227" s="717"/>
      <c r="CZ1227" s="717"/>
      <c r="DA1227" s="717"/>
      <c r="DB1227" s="717"/>
      <c r="DC1227" s="717"/>
      <c r="DD1227" s="717"/>
      <c r="DE1227" s="717"/>
      <c r="DF1227" s="717"/>
      <c r="DG1227" s="717"/>
      <c r="DH1227" s="717"/>
      <c r="DI1227" s="717"/>
      <c r="DJ1227" s="717"/>
      <c r="DM1227" s="711"/>
      <c r="DN1227" s="711"/>
      <c r="DO1227" s="711"/>
      <c r="DP1227" s="711"/>
      <c r="DQ1227" s="711"/>
    </row>
    <row r="1228" spans="13:121" s="709" customFormat="1" hidden="1">
      <c r="M1228" s="710"/>
      <c r="P1228" s="711"/>
      <c r="Q1228" s="712"/>
      <c r="U1228" s="711"/>
      <c r="V1228" s="711"/>
      <c r="W1228" s="711"/>
      <c r="X1228" s="711"/>
      <c r="Y1228" s="711"/>
      <c r="Z1228" s="711"/>
      <c r="AU1228" s="713"/>
      <c r="AW1228" s="712"/>
      <c r="BY1228" s="714"/>
      <c r="BZ1228" s="715"/>
      <c r="CA1228" s="716"/>
      <c r="CB1228" s="717"/>
      <c r="CC1228" s="717"/>
      <c r="CD1228" s="717"/>
      <c r="CE1228" s="717"/>
      <c r="CF1228" s="717"/>
      <c r="CG1228" s="717"/>
      <c r="CH1228" s="717"/>
      <c r="CI1228" s="717"/>
      <c r="CJ1228" s="717"/>
      <c r="CK1228" s="717"/>
      <c r="CL1228" s="717"/>
      <c r="CM1228" s="717"/>
      <c r="CN1228" s="717"/>
      <c r="CO1228" s="717"/>
      <c r="CP1228" s="717"/>
      <c r="CQ1228" s="717"/>
      <c r="CR1228" s="717"/>
      <c r="CS1228" s="717"/>
      <c r="CT1228" s="717"/>
      <c r="CU1228" s="717"/>
      <c r="CV1228" s="717"/>
      <c r="CW1228" s="717"/>
      <c r="CX1228" s="717"/>
      <c r="CY1228" s="717"/>
      <c r="CZ1228" s="717"/>
      <c r="DA1228" s="717"/>
      <c r="DB1228" s="717"/>
      <c r="DC1228" s="717"/>
      <c r="DD1228" s="717"/>
      <c r="DE1228" s="717"/>
      <c r="DF1228" s="717"/>
      <c r="DG1228" s="717"/>
      <c r="DH1228" s="717"/>
      <c r="DI1228" s="717"/>
      <c r="DJ1228" s="717"/>
      <c r="DM1228" s="711"/>
      <c r="DN1228" s="711"/>
      <c r="DO1228" s="711"/>
      <c r="DP1228" s="711"/>
      <c r="DQ1228" s="711"/>
    </row>
    <row r="1229" spans="13:121" s="709" customFormat="1" hidden="1">
      <c r="M1229" s="710"/>
      <c r="P1229" s="711"/>
      <c r="Q1229" s="712"/>
      <c r="U1229" s="711"/>
      <c r="V1229" s="711"/>
      <c r="W1229" s="711"/>
      <c r="X1229" s="711"/>
      <c r="Y1229" s="711"/>
      <c r="Z1229" s="711"/>
      <c r="AU1229" s="713"/>
      <c r="AW1229" s="712"/>
      <c r="BY1229" s="714"/>
      <c r="BZ1229" s="715"/>
      <c r="CA1229" s="716"/>
      <c r="CB1229" s="717"/>
      <c r="CC1229" s="717"/>
      <c r="CD1229" s="717"/>
      <c r="CE1229" s="717"/>
      <c r="CF1229" s="717"/>
      <c r="CG1229" s="717"/>
      <c r="CH1229" s="717"/>
      <c r="CI1229" s="717"/>
      <c r="CJ1229" s="717"/>
      <c r="CK1229" s="717"/>
      <c r="CL1229" s="717"/>
      <c r="CM1229" s="717"/>
      <c r="CN1229" s="717"/>
      <c r="CO1229" s="717"/>
      <c r="CP1229" s="717"/>
      <c r="CQ1229" s="717"/>
      <c r="CR1229" s="717"/>
      <c r="CS1229" s="717"/>
      <c r="CT1229" s="717"/>
      <c r="CU1229" s="717"/>
      <c r="CV1229" s="717"/>
      <c r="CW1229" s="717"/>
      <c r="CX1229" s="717"/>
      <c r="CY1229" s="717"/>
      <c r="CZ1229" s="717"/>
      <c r="DA1229" s="717"/>
      <c r="DB1229" s="717"/>
      <c r="DC1229" s="717"/>
      <c r="DD1229" s="717"/>
      <c r="DE1229" s="717"/>
      <c r="DF1229" s="717"/>
      <c r="DG1229" s="717"/>
      <c r="DH1229" s="717"/>
      <c r="DI1229" s="717"/>
      <c r="DJ1229" s="717"/>
      <c r="DM1229" s="711"/>
      <c r="DN1229" s="711"/>
      <c r="DO1229" s="711"/>
      <c r="DP1229" s="711"/>
      <c r="DQ1229" s="711"/>
    </row>
    <row r="1230" spans="13:121" s="709" customFormat="1" hidden="1">
      <c r="M1230" s="710"/>
      <c r="P1230" s="711"/>
      <c r="Q1230" s="712"/>
      <c r="U1230" s="711"/>
      <c r="V1230" s="711"/>
      <c r="W1230" s="711"/>
      <c r="X1230" s="711"/>
      <c r="Y1230" s="711"/>
      <c r="Z1230" s="711"/>
      <c r="AU1230" s="713"/>
      <c r="AW1230" s="712"/>
      <c r="BY1230" s="714"/>
      <c r="BZ1230" s="715"/>
      <c r="CA1230" s="716"/>
      <c r="CB1230" s="717"/>
      <c r="CC1230" s="717"/>
      <c r="CD1230" s="717"/>
      <c r="CE1230" s="717"/>
      <c r="CF1230" s="717"/>
      <c r="CG1230" s="717"/>
      <c r="CH1230" s="717"/>
      <c r="CI1230" s="717"/>
      <c r="CJ1230" s="717"/>
      <c r="CK1230" s="717"/>
      <c r="CL1230" s="717"/>
      <c r="CM1230" s="717"/>
      <c r="CN1230" s="717"/>
      <c r="CO1230" s="717"/>
      <c r="CP1230" s="717"/>
      <c r="CQ1230" s="717"/>
      <c r="CR1230" s="717"/>
      <c r="CS1230" s="717"/>
      <c r="CT1230" s="717"/>
      <c r="CU1230" s="717"/>
      <c r="CV1230" s="717"/>
      <c r="CW1230" s="717"/>
      <c r="CX1230" s="717"/>
      <c r="CY1230" s="717"/>
      <c r="CZ1230" s="717"/>
      <c r="DA1230" s="717"/>
      <c r="DB1230" s="717"/>
      <c r="DC1230" s="717"/>
      <c r="DD1230" s="717"/>
      <c r="DE1230" s="717"/>
      <c r="DF1230" s="717"/>
      <c r="DG1230" s="717"/>
      <c r="DH1230" s="717"/>
      <c r="DI1230" s="717"/>
      <c r="DJ1230" s="717"/>
      <c r="DM1230" s="711"/>
      <c r="DN1230" s="711"/>
      <c r="DO1230" s="711"/>
      <c r="DP1230" s="711"/>
      <c r="DQ1230" s="711"/>
    </row>
    <row r="1231" spans="13:121" s="709" customFormat="1" hidden="1">
      <c r="M1231" s="710"/>
      <c r="P1231" s="711"/>
      <c r="Q1231" s="712"/>
      <c r="U1231" s="711"/>
      <c r="V1231" s="711"/>
      <c r="W1231" s="711"/>
      <c r="X1231" s="711"/>
      <c r="Y1231" s="711"/>
      <c r="Z1231" s="711"/>
      <c r="AU1231" s="713"/>
      <c r="AW1231" s="712"/>
      <c r="BY1231" s="714"/>
      <c r="BZ1231" s="715"/>
      <c r="CA1231" s="716"/>
      <c r="CB1231" s="717"/>
      <c r="CC1231" s="717"/>
      <c r="CD1231" s="717"/>
      <c r="CE1231" s="717"/>
      <c r="CF1231" s="717"/>
      <c r="CG1231" s="717"/>
      <c r="CH1231" s="717"/>
      <c r="CI1231" s="717"/>
      <c r="CJ1231" s="717"/>
      <c r="CK1231" s="717"/>
      <c r="CL1231" s="717"/>
      <c r="CM1231" s="717"/>
      <c r="CN1231" s="717"/>
      <c r="CO1231" s="717"/>
      <c r="CP1231" s="717"/>
      <c r="CQ1231" s="717"/>
      <c r="CR1231" s="717"/>
      <c r="CS1231" s="717"/>
      <c r="CT1231" s="717"/>
      <c r="CU1231" s="717"/>
      <c r="CV1231" s="717"/>
      <c r="CW1231" s="717"/>
      <c r="CX1231" s="717"/>
      <c r="CY1231" s="717"/>
      <c r="CZ1231" s="717"/>
      <c r="DA1231" s="717"/>
      <c r="DB1231" s="717"/>
      <c r="DC1231" s="717"/>
      <c r="DD1231" s="717"/>
      <c r="DE1231" s="717"/>
      <c r="DF1231" s="717"/>
      <c r="DG1231" s="717"/>
      <c r="DH1231" s="717"/>
      <c r="DI1231" s="717"/>
      <c r="DJ1231" s="717"/>
      <c r="DM1231" s="711"/>
      <c r="DN1231" s="711"/>
      <c r="DO1231" s="711"/>
      <c r="DP1231" s="711"/>
      <c r="DQ1231" s="711"/>
    </row>
    <row r="1232" spans="13:121" s="709" customFormat="1" hidden="1">
      <c r="M1232" s="710"/>
      <c r="P1232" s="711"/>
      <c r="Q1232" s="712"/>
      <c r="U1232" s="711"/>
      <c r="V1232" s="711"/>
      <c r="W1232" s="711"/>
      <c r="X1232" s="711"/>
      <c r="Y1232" s="711"/>
      <c r="Z1232" s="711"/>
      <c r="AU1232" s="713"/>
      <c r="AW1232" s="712"/>
      <c r="BY1232" s="714"/>
      <c r="BZ1232" s="715"/>
      <c r="CA1232" s="716"/>
      <c r="CB1232" s="717"/>
      <c r="CC1232" s="717"/>
      <c r="CD1232" s="717"/>
      <c r="CE1232" s="717"/>
      <c r="CF1232" s="717"/>
      <c r="CG1232" s="717"/>
      <c r="CH1232" s="717"/>
      <c r="CI1232" s="717"/>
      <c r="CJ1232" s="717"/>
      <c r="CK1232" s="717"/>
      <c r="CL1232" s="717"/>
      <c r="CM1232" s="717"/>
      <c r="CN1232" s="717"/>
      <c r="CO1232" s="717"/>
      <c r="CP1232" s="717"/>
      <c r="CQ1232" s="717"/>
      <c r="CR1232" s="717"/>
      <c r="CS1232" s="717"/>
      <c r="CT1232" s="717"/>
      <c r="CU1232" s="717"/>
      <c r="CV1232" s="717"/>
      <c r="CW1232" s="717"/>
      <c r="CX1232" s="717"/>
      <c r="CY1232" s="717"/>
      <c r="CZ1232" s="717"/>
      <c r="DA1232" s="717"/>
      <c r="DB1232" s="717"/>
      <c r="DC1232" s="717"/>
      <c r="DD1232" s="717"/>
      <c r="DE1232" s="717"/>
      <c r="DF1232" s="717"/>
      <c r="DG1232" s="717"/>
      <c r="DH1232" s="717"/>
      <c r="DI1232" s="717"/>
      <c r="DJ1232" s="717"/>
      <c r="DM1232" s="711"/>
      <c r="DN1232" s="711"/>
      <c r="DO1232" s="711"/>
      <c r="DP1232" s="711"/>
      <c r="DQ1232" s="711"/>
    </row>
    <row r="1233" spans="13:121" s="709" customFormat="1" hidden="1">
      <c r="M1233" s="710"/>
      <c r="P1233" s="711"/>
      <c r="Q1233" s="712"/>
      <c r="U1233" s="711"/>
      <c r="V1233" s="711"/>
      <c r="W1233" s="711"/>
      <c r="X1233" s="711"/>
      <c r="Y1233" s="711"/>
      <c r="Z1233" s="711"/>
      <c r="AU1233" s="713"/>
      <c r="AW1233" s="712"/>
      <c r="BY1233" s="714"/>
      <c r="BZ1233" s="715"/>
      <c r="CA1233" s="716"/>
      <c r="CB1233" s="717"/>
      <c r="CC1233" s="717"/>
      <c r="CD1233" s="717"/>
      <c r="CE1233" s="717"/>
      <c r="CF1233" s="717"/>
      <c r="CG1233" s="717"/>
      <c r="CH1233" s="717"/>
      <c r="CI1233" s="717"/>
      <c r="CJ1233" s="717"/>
      <c r="CK1233" s="717"/>
      <c r="CL1233" s="717"/>
      <c r="CM1233" s="717"/>
      <c r="CN1233" s="717"/>
      <c r="CO1233" s="717"/>
      <c r="CP1233" s="717"/>
      <c r="CQ1233" s="717"/>
      <c r="CR1233" s="717"/>
      <c r="CS1233" s="717"/>
      <c r="CT1233" s="717"/>
      <c r="CU1233" s="717"/>
      <c r="CV1233" s="717"/>
      <c r="CW1233" s="717"/>
      <c r="CX1233" s="717"/>
      <c r="CY1233" s="717"/>
      <c r="CZ1233" s="717"/>
      <c r="DA1233" s="717"/>
      <c r="DB1233" s="717"/>
      <c r="DC1233" s="717"/>
      <c r="DD1233" s="717"/>
      <c r="DE1233" s="717"/>
      <c r="DF1233" s="717"/>
      <c r="DG1233" s="717"/>
      <c r="DH1233" s="717"/>
      <c r="DI1233" s="717"/>
      <c r="DJ1233" s="717"/>
      <c r="DM1233" s="711"/>
      <c r="DN1233" s="711"/>
      <c r="DO1233" s="711"/>
      <c r="DP1233" s="711"/>
      <c r="DQ1233" s="711"/>
    </row>
    <row r="1234" spans="13:121" s="709" customFormat="1" hidden="1">
      <c r="M1234" s="710"/>
      <c r="P1234" s="711"/>
      <c r="Q1234" s="712"/>
      <c r="U1234" s="711"/>
      <c r="V1234" s="711"/>
      <c r="W1234" s="711"/>
      <c r="X1234" s="711"/>
      <c r="Y1234" s="711"/>
      <c r="Z1234" s="711"/>
      <c r="AU1234" s="713"/>
      <c r="AW1234" s="712"/>
      <c r="BY1234" s="714"/>
      <c r="BZ1234" s="715"/>
      <c r="CA1234" s="716"/>
      <c r="CB1234" s="717"/>
      <c r="CC1234" s="717"/>
      <c r="CD1234" s="717"/>
      <c r="CE1234" s="717"/>
      <c r="CF1234" s="717"/>
      <c r="CG1234" s="717"/>
      <c r="CH1234" s="717"/>
      <c r="CI1234" s="717"/>
      <c r="CJ1234" s="717"/>
      <c r="CK1234" s="717"/>
      <c r="CL1234" s="717"/>
      <c r="CM1234" s="717"/>
      <c r="CN1234" s="717"/>
      <c r="CO1234" s="717"/>
      <c r="CP1234" s="717"/>
      <c r="CQ1234" s="717"/>
      <c r="CR1234" s="717"/>
      <c r="CS1234" s="717"/>
      <c r="CT1234" s="717"/>
      <c r="CU1234" s="717"/>
      <c r="CV1234" s="717"/>
      <c r="CW1234" s="717"/>
      <c r="CX1234" s="717"/>
      <c r="CY1234" s="717"/>
      <c r="CZ1234" s="717"/>
      <c r="DA1234" s="717"/>
      <c r="DB1234" s="717"/>
      <c r="DC1234" s="717"/>
      <c r="DD1234" s="717"/>
      <c r="DE1234" s="717"/>
      <c r="DF1234" s="717"/>
      <c r="DG1234" s="717"/>
      <c r="DH1234" s="717"/>
      <c r="DI1234" s="717"/>
      <c r="DJ1234" s="717"/>
      <c r="DM1234" s="711"/>
      <c r="DN1234" s="711"/>
      <c r="DO1234" s="711"/>
      <c r="DP1234" s="711"/>
      <c r="DQ1234" s="711"/>
    </row>
    <row r="1235" spans="13:121" s="709" customFormat="1" hidden="1">
      <c r="M1235" s="710"/>
      <c r="P1235" s="711"/>
      <c r="Q1235" s="712"/>
      <c r="U1235" s="711"/>
      <c r="V1235" s="711"/>
      <c r="W1235" s="711"/>
      <c r="X1235" s="711"/>
      <c r="Y1235" s="711"/>
      <c r="Z1235" s="711"/>
      <c r="AU1235" s="713"/>
      <c r="AW1235" s="712"/>
      <c r="BY1235" s="714"/>
      <c r="BZ1235" s="715"/>
      <c r="CA1235" s="716"/>
      <c r="CB1235" s="717"/>
      <c r="CC1235" s="717"/>
      <c r="CD1235" s="717"/>
      <c r="CE1235" s="717"/>
      <c r="CF1235" s="717"/>
      <c r="CG1235" s="717"/>
      <c r="CH1235" s="717"/>
      <c r="CI1235" s="717"/>
      <c r="CJ1235" s="717"/>
      <c r="CK1235" s="717"/>
      <c r="CL1235" s="717"/>
      <c r="CM1235" s="717"/>
      <c r="CN1235" s="717"/>
      <c r="CO1235" s="717"/>
      <c r="CP1235" s="717"/>
      <c r="CQ1235" s="717"/>
      <c r="CR1235" s="717"/>
      <c r="CS1235" s="717"/>
      <c r="CT1235" s="717"/>
      <c r="CU1235" s="717"/>
      <c r="CV1235" s="717"/>
      <c r="CW1235" s="717"/>
      <c r="CX1235" s="717"/>
      <c r="CY1235" s="717"/>
      <c r="CZ1235" s="717"/>
      <c r="DA1235" s="717"/>
      <c r="DB1235" s="717"/>
      <c r="DC1235" s="717"/>
      <c r="DD1235" s="717"/>
      <c r="DE1235" s="717"/>
      <c r="DF1235" s="717"/>
      <c r="DG1235" s="717"/>
      <c r="DH1235" s="717"/>
      <c r="DI1235" s="717"/>
      <c r="DJ1235" s="717"/>
      <c r="DM1235" s="711"/>
      <c r="DN1235" s="711"/>
      <c r="DO1235" s="711"/>
      <c r="DP1235" s="711"/>
      <c r="DQ1235" s="711"/>
    </row>
    <row r="1236" spans="13:121" s="709" customFormat="1" hidden="1">
      <c r="M1236" s="710"/>
      <c r="P1236" s="711"/>
      <c r="Q1236" s="712"/>
      <c r="U1236" s="711"/>
      <c r="V1236" s="711"/>
      <c r="W1236" s="711"/>
      <c r="X1236" s="711"/>
      <c r="Y1236" s="711"/>
      <c r="Z1236" s="711"/>
      <c r="AU1236" s="713"/>
      <c r="AW1236" s="712"/>
      <c r="BY1236" s="714"/>
      <c r="BZ1236" s="715"/>
      <c r="CA1236" s="716"/>
      <c r="CB1236" s="717"/>
      <c r="CC1236" s="717"/>
      <c r="CD1236" s="717"/>
      <c r="CE1236" s="717"/>
      <c r="CF1236" s="717"/>
      <c r="CG1236" s="717"/>
      <c r="CH1236" s="717"/>
      <c r="CI1236" s="717"/>
      <c r="CJ1236" s="717"/>
      <c r="CK1236" s="717"/>
      <c r="CL1236" s="717"/>
      <c r="CM1236" s="717"/>
      <c r="CN1236" s="717"/>
      <c r="CO1236" s="717"/>
      <c r="CP1236" s="717"/>
      <c r="CQ1236" s="717"/>
      <c r="CR1236" s="717"/>
      <c r="CS1236" s="717"/>
      <c r="CT1236" s="717"/>
      <c r="CU1236" s="717"/>
      <c r="CV1236" s="717"/>
      <c r="CW1236" s="717"/>
      <c r="CX1236" s="717"/>
      <c r="CY1236" s="717"/>
      <c r="CZ1236" s="717"/>
      <c r="DA1236" s="717"/>
      <c r="DB1236" s="717"/>
      <c r="DC1236" s="717"/>
      <c r="DD1236" s="717"/>
      <c r="DE1236" s="717"/>
      <c r="DF1236" s="717"/>
      <c r="DG1236" s="717"/>
      <c r="DH1236" s="717"/>
      <c r="DI1236" s="717"/>
      <c r="DJ1236" s="717"/>
      <c r="DM1236" s="711"/>
      <c r="DN1236" s="711"/>
      <c r="DO1236" s="711"/>
      <c r="DP1236" s="711"/>
      <c r="DQ1236" s="711"/>
    </row>
    <row r="1237" spans="13:121" s="709" customFormat="1" hidden="1">
      <c r="M1237" s="710"/>
      <c r="P1237" s="711"/>
      <c r="Q1237" s="712"/>
      <c r="U1237" s="711"/>
      <c r="V1237" s="711"/>
      <c r="W1237" s="711"/>
      <c r="X1237" s="711"/>
      <c r="Y1237" s="711"/>
      <c r="Z1237" s="711"/>
      <c r="AU1237" s="713"/>
      <c r="AW1237" s="712"/>
      <c r="BY1237" s="714"/>
      <c r="BZ1237" s="715"/>
      <c r="CA1237" s="716"/>
      <c r="CB1237" s="717"/>
      <c r="CC1237" s="717"/>
      <c r="CD1237" s="717"/>
      <c r="CE1237" s="717"/>
      <c r="CF1237" s="717"/>
      <c r="CG1237" s="717"/>
      <c r="CH1237" s="717"/>
      <c r="CI1237" s="717"/>
      <c r="CJ1237" s="717"/>
      <c r="CK1237" s="717"/>
      <c r="CL1237" s="717"/>
      <c r="CM1237" s="717"/>
      <c r="CN1237" s="717"/>
      <c r="CO1237" s="717"/>
      <c r="CP1237" s="717"/>
      <c r="CQ1237" s="717"/>
      <c r="CR1237" s="717"/>
      <c r="CS1237" s="717"/>
      <c r="CT1237" s="717"/>
      <c r="CU1237" s="717"/>
      <c r="CV1237" s="717"/>
      <c r="CW1237" s="717"/>
      <c r="CX1237" s="717"/>
      <c r="CY1237" s="717"/>
      <c r="CZ1237" s="717"/>
      <c r="DA1237" s="717"/>
      <c r="DB1237" s="717"/>
      <c r="DC1237" s="717"/>
      <c r="DD1237" s="717"/>
      <c r="DE1237" s="717"/>
      <c r="DF1237" s="717"/>
      <c r="DG1237" s="717"/>
      <c r="DH1237" s="717"/>
      <c r="DI1237" s="717"/>
      <c r="DJ1237" s="717"/>
      <c r="DM1237" s="711"/>
      <c r="DN1237" s="711"/>
      <c r="DO1237" s="711"/>
      <c r="DP1237" s="711"/>
      <c r="DQ1237" s="711"/>
    </row>
    <row r="1238" spans="13:121" s="709" customFormat="1" hidden="1">
      <c r="M1238" s="710"/>
      <c r="P1238" s="711"/>
      <c r="Q1238" s="712"/>
      <c r="U1238" s="711"/>
      <c r="V1238" s="711"/>
      <c r="W1238" s="711"/>
      <c r="X1238" s="711"/>
      <c r="Y1238" s="711"/>
      <c r="Z1238" s="711"/>
      <c r="AU1238" s="713"/>
      <c r="AW1238" s="712"/>
      <c r="BY1238" s="714"/>
      <c r="BZ1238" s="715"/>
      <c r="CA1238" s="716"/>
      <c r="CB1238" s="717"/>
      <c r="CC1238" s="717"/>
      <c r="CD1238" s="717"/>
      <c r="CE1238" s="717"/>
      <c r="CF1238" s="717"/>
      <c r="CG1238" s="717"/>
      <c r="CH1238" s="717"/>
      <c r="CI1238" s="717"/>
      <c r="CJ1238" s="717"/>
      <c r="CK1238" s="717"/>
      <c r="CL1238" s="717"/>
      <c r="CM1238" s="717"/>
      <c r="CN1238" s="717"/>
      <c r="CO1238" s="717"/>
      <c r="CP1238" s="717"/>
      <c r="CQ1238" s="717"/>
      <c r="CR1238" s="717"/>
      <c r="CS1238" s="717"/>
      <c r="CT1238" s="717"/>
      <c r="CU1238" s="717"/>
      <c r="CV1238" s="717"/>
      <c r="CW1238" s="717"/>
      <c r="CX1238" s="717"/>
      <c r="CY1238" s="717"/>
      <c r="CZ1238" s="717"/>
      <c r="DA1238" s="717"/>
      <c r="DB1238" s="717"/>
      <c r="DC1238" s="717"/>
      <c r="DD1238" s="717"/>
      <c r="DE1238" s="717"/>
      <c r="DF1238" s="717"/>
      <c r="DG1238" s="717"/>
      <c r="DH1238" s="717"/>
      <c r="DI1238" s="717"/>
      <c r="DJ1238" s="717"/>
      <c r="DM1238" s="711"/>
      <c r="DN1238" s="711"/>
      <c r="DO1238" s="711"/>
      <c r="DP1238" s="711"/>
      <c r="DQ1238" s="711"/>
    </row>
    <row r="1239" spans="13:121" s="709" customFormat="1" hidden="1">
      <c r="M1239" s="710"/>
      <c r="P1239" s="711"/>
      <c r="Q1239" s="712"/>
      <c r="U1239" s="711"/>
      <c r="V1239" s="711"/>
      <c r="W1239" s="711"/>
      <c r="X1239" s="711"/>
      <c r="Y1239" s="711"/>
      <c r="Z1239" s="711"/>
      <c r="AU1239" s="713"/>
      <c r="AW1239" s="712"/>
      <c r="BY1239" s="714"/>
      <c r="BZ1239" s="715"/>
      <c r="CA1239" s="716"/>
      <c r="CB1239" s="717"/>
      <c r="CC1239" s="717"/>
      <c r="CD1239" s="717"/>
      <c r="CE1239" s="717"/>
      <c r="CF1239" s="717"/>
      <c r="CG1239" s="717"/>
      <c r="CH1239" s="717"/>
      <c r="CI1239" s="717"/>
      <c r="CJ1239" s="717"/>
      <c r="CK1239" s="717"/>
      <c r="CL1239" s="717"/>
      <c r="CM1239" s="717"/>
      <c r="CN1239" s="717"/>
      <c r="CO1239" s="717"/>
      <c r="CP1239" s="717"/>
      <c r="CQ1239" s="717"/>
      <c r="CR1239" s="717"/>
      <c r="CS1239" s="717"/>
      <c r="CT1239" s="717"/>
      <c r="CU1239" s="717"/>
      <c r="CV1239" s="717"/>
      <c r="CW1239" s="717"/>
      <c r="CX1239" s="717"/>
      <c r="CY1239" s="717"/>
      <c r="CZ1239" s="717"/>
      <c r="DA1239" s="717"/>
      <c r="DB1239" s="717"/>
      <c r="DC1239" s="717"/>
      <c r="DD1239" s="717"/>
      <c r="DE1239" s="717"/>
      <c r="DF1239" s="717"/>
      <c r="DG1239" s="717"/>
      <c r="DH1239" s="717"/>
      <c r="DI1239" s="717"/>
      <c r="DJ1239" s="717"/>
      <c r="DM1239" s="711"/>
      <c r="DN1239" s="711"/>
      <c r="DO1239" s="711"/>
      <c r="DP1239" s="711"/>
      <c r="DQ1239" s="711"/>
    </row>
    <row r="1240" spans="13:121" s="709" customFormat="1" hidden="1">
      <c r="M1240" s="710"/>
      <c r="P1240" s="711"/>
      <c r="Q1240" s="712"/>
      <c r="U1240" s="711"/>
      <c r="V1240" s="711"/>
      <c r="W1240" s="711"/>
      <c r="X1240" s="711"/>
      <c r="Y1240" s="711"/>
      <c r="Z1240" s="711"/>
      <c r="AU1240" s="713"/>
      <c r="AW1240" s="712"/>
      <c r="BY1240" s="714"/>
      <c r="BZ1240" s="715"/>
      <c r="CA1240" s="716"/>
      <c r="CB1240" s="717"/>
      <c r="CC1240" s="717"/>
      <c r="CD1240" s="717"/>
      <c r="CE1240" s="717"/>
      <c r="CF1240" s="717"/>
      <c r="CG1240" s="717"/>
      <c r="CH1240" s="717"/>
      <c r="CI1240" s="717"/>
      <c r="CJ1240" s="717"/>
      <c r="CK1240" s="717"/>
      <c r="CL1240" s="717"/>
      <c r="CM1240" s="717"/>
      <c r="CN1240" s="717"/>
      <c r="CO1240" s="717"/>
      <c r="CP1240" s="717"/>
      <c r="CQ1240" s="717"/>
      <c r="CR1240" s="717"/>
      <c r="CS1240" s="717"/>
      <c r="CT1240" s="717"/>
      <c r="CU1240" s="717"/>
      <c r="CV1240" s="717"/>
      <c r="CW1240" s="717"/>
      <c r="CX1240" s="717"/>
      <c r="CY1240" s="717"/>
      <c r="CZ1240" s="717"/>
      <c r="DA1240" s="717"/>
      <c r="DB1240" s="717"/>
      <c r="DC1240" s="717"/>
      <c r="DD1240" s="717"/>
      <c r="DE1240" s="717"/>
      <c r="DF1240" s="717"/>
      <c r="DG1240" s="717"/>
      <c r="DH1240" s="717"/>
      <c r="DI1240" s="717"/>
      <c r="DJ1240" s="717"/>
      <c r="DM1240" s="711"/>
      <c r="DN1240" s="711"/>
      <c r="DO1240" s="711"/>
      <c r="DP1240" s="711"/>
      <c r="DQ1240" s="711"/>
    </row>
    <row r="1241" spans="13:121" s="709" customFormat="1" hidden="1">
      <c r="M1241" s="710"/>
      <c r="P1241" s="711"/>
      <c r="Q1241" s="712"/>
      <c r="U1241" s="711"/>
      <c r="V1241" s="711"/>
      <c r="W1241" s="711"/>
      <c r="X1241" s="711"/>
      <c r="Y1241" s="711"/>
      <c r="Z1241" s="711"/>
      <c r="AU1241" s="713"/>
      <c r="AW1241" s="712"/>
      <c r="BY1241" s="714"/>
      <c r="BZ1241" s="715"/>
      <c r="CA1241" s="716"/>
      <c r="CB1241" s="717"/>
      <c r="CC1241" s="717"/>
      <c r="CD1241" s="717"/>
      <c r="CE1241" s="717"/>
      <c r="CF1241" s="717"/>
      <c r="CG1241" s="717"/>
      <c r="CH1241" s="717"/>
      <c r="CI1241" s="717"/>
      <c r="CJ1241" s="717"/>
      <c r="CK1241" s="717"/>
      <c r="CL1241" s="717"/>
      <c r="CM1241" s="717"/>
      <c r="CN1241" s="717"/>
      <c r="CO1241" s="717"/>
      <c r="CP1241" s="717"/>
      <c r="CQ1241" s="717"/>
      <c r="CR1241" s="717"/>
      <c r="CS1241" s="717"/>
      <c r="CT1241" s="717"/>
      <c r="CU1241" s="717"/>
      <c r="CV1241" s="717"/>
      <c r="CW1241" s="717"/>
      <c r="CX1241" s="717"/>
      <c r="CY1241" s="717"/>
      <c r="CZ1241" s="717"/>
      <c r="DA1241" s="717"/>
      <c r="DB1241" s="717"/>
      <c r="DC1241" s="717"/>
      <c r="DD1241" s="717"/>
      <c r="DE1241" s="717"/>
      <c r="DF1241" s="717"/>
      <c r="DG1241" s="717"/>
      <c r="DH1241" s="717"/>
      <c r="DI1241" s="717"/>
      <c r="DJ1241" s="717"/>
      <c r="DM1241" s="711"/>
      <c r="DN1241" s="711"/>
      <c r="DO1241" s="711"/>
      <c r="DP1241" s="711"/>
      <c r="DQ1241" s="711"/>
    </row>
    <row r="1242" spans="13:121" s="709" customFormat="1" hidden="1">
      <c r="M1242" s="710"/>
      <c r="P1242" s="711"/>
      <c r="Q1242" s="712"/>
      <c r="U1242" s="711"/>
      <c r="V1242" s="711"/>
      <c r="W1242" s="711"/>
      <c r="X1242" s="711"/>
      <c r="Y1242" s="711"/>
      <c r="Z1242" s="711"/>
      <c r="AU1242" s="713"/>
      <c r="AW1242" s="712"/>
      <c r="BY1242" s="714"/>
      <c r="BZ1242" s="715"/>
      <c r="CA1242" s="716"/>
      <c r="CB1242" s="717"/>
      <c r="CC1242" s="717"/>
      <c r="CD1242" s="717"/>
      <c r="CE1242" s="717"/>
      <c r="CF1242" s="717"/>
      <c r="CG1242" s="717"/>
      <c r="CH1242" s="717"/>
      <c r="CI1242" s="717"/>
      <c r="CJ1242" s="717"/>
      <c r="CK1242" s="717"/>
      <c r="CL1242" s="717"/>
      <c r="CM1242" s="717"/>
      <c r="CN1242" s="717"/>
      <c r="CO1242" s="717"/>
      <c r="CP1242" s="717"/>
      <c r="CQ1242" s="717"/>
      <c r="CR1242" s="717"/>
      <c r="CS1242" s="717"/>
      <c r="CT1242" s="717"/>
      <c r="CU1242" s="717"/>
      <c r="CV1242" s="717"/>
      <c r="CW1242" s="717"/>
      <c r="CX1242" s="717"/>
      <c r="CY1242" s="717"/>
      <c r="CZ1242" s="717"/>
      <c r="DA1242" s="717"/>
      <c r="DB1242" s="717"/>
      <c r="DC1242" s="717"/>
      <c r="DD1242" s="717"/>
      <c r="DE1242" s="717"/>
      <c r="DF1242" s="717"/>
      <c r="DG1242" s="717"/>
      <c r="DH1242" s="717"/>
      <c r="DI1242" s="717"/>
      <c r="DJ1242" s="717"/>
      <c r="DM1242" s="711"/>
      <c r="DN1242" s="711"/>
      <c r="DO1242" s="711"/>
      <c r="DP1242" s="711"/>
      <c r="DQ1242" s="711"/>
    </row>
    <row r="1243" spans="13:121" s="709" customFormat="1" hidden="1">
      <c r="M1243" s="710"/>
      <c r="P1243" s="711"/>
      <c r="Q1243" s="712"/>
      <c r="U1243" s="711"/>
      <c r="V1243" s="711"/>
      <c r="W1243" s="711"/>
      <c r="X1243" s="711"/>
      <c r="Y1243" s="711"/>
      <c r="Z1243" s="711"/>
      <c r="AU1243" s="713"/>
      <c r="AW1243" s="712"/>
      <c r="BY1243" s="714"/>
      <c r="BZ1243" s="715"/>
      <c r="CA1243" s="716"/>
      <c r="CB1243" s="717"/>
      <c r="CC1243" s="717"/>
      <c r="CD1243" s="717"/>
      <c r="CE1243" s="717"/>
      <c r="CF1243" s="717"/>
      <c r="CG1243" s="717"/>
      <c r="CH1243" s="717"/>
      <c r="CI1243" s="717"/>
      <c r="CJ1243" s="717"/>
      <c r="CK1243" s="717"/>
      <c r="CL1243" s="717"/>
      <c r="CM1243" s="717"/>
      <c r="CN1243" s="717"/>
      <c r="CO1243" s="717"/>
      <c r="CP1243" s="717"/>
      <c r="CQ1243" s="717"/>
      <c r="CR1243" s="717"/>
      <c r="CS1243" s="717"/>
      <c r="CT1243" s="717"/>
      <c r="CU1243" s="717"/>
      <c r="CV1243" s="717"/>
      <c r="CW1243" s="717"/>
      <c r="CX1243" s="717"/>
      <c r="CY1243" s="717"/>
      <c r="CZ1243" s="717"/>
      <c r="DA1243" s="717"/>
      <c r="DB1243" s="717"/>
      <c r="DC1243" s="717"/>
      <c r="DD1243" s="717"/>
      <c r="DE1243" s="717"/>
      <c r="DF1243" s="717"/>
      <c r="DG1243" s="717"/>
      <c r="DH1243" s="717"/>
      <c r="DI1243" s="717"/>
      <c r="DJ1243" s="717"/>
      <c r="DM1243" s="711"/>
      <c r="DN1243" s="711"/>
      <c r="DO1243" s="711"/>
      <c r="DP1243" s="711"/>
      <c r="DQ1243" s="711"/>
    </row>
    <row r="1244" spans="13:121" s="709" customFormat="1" hidden="1">
      <c r="M1244" s="710"/>
      <c r="P1244" s="711"/>
      <c r="Q1244" s="712"/>
      <c r="U1244" s="711"/>
      <c r="V1244" s="711"/>
      <c r="W1244" s="711"/>
      <c r="X1244" s="711"/>
      <c r="Y1244" s="711"/>
      <c r="Z1244" s="711"/>
      <c r="AU1244" s="713"/>
      <c r="AW1244" s="712"/>
      <c r="BY1244" s="714"/>
      <c r="BZ1244" s="715"/>
      <c r="CA1244" s="716"/>
      <c r="CB1244" s="717"/>
      <c r="CC1244" s="717"/>
      <c r="CD1244" s="717"/>
      <c r="CE1244" s="717"/>
      <c r="CF1244" s="717"/>
      <c r="CG1244" s="717"/>
      <c r="CH1244" s="717"/>
      <c r="CI1244" s="717"/>
      <c r="CJ1244" s="717"/>
      <c r="CK1244" s="717"/>
      <c r="CL1244" s="717"/>
      <c r="CM1244" s="717"/>
      <c r="CN1244" s="717"/>
      <c r="CO1244" s="717"/>
      <c r="CP1244" s="717"/>
      <c r="CQ1244" s="717"/>
      <c r="CR1244" s="717"/>
      <c r="CS1244" s="717"/>
      <c r="CT1244" s="717"/>
      <c r="CU1244" s="717"/>
      <c r="CV1244" s="717"/>
      <c r="CW1244" s="717"/>
      <c r="CX1244" s="717"/>
      <c r="CY1244" s="717"/>
      <c r="CZ1244" s="717"/>
      <c r="DA1244" s="717"/>
      <c r="DB1244" s="717"/>
      <c r="DC1244" s="717"/>
      <c r="DD1244" s="717"/>
      <c r="DE1244" s="717"/>
      <c r="DF1244" s="717"/>
      <c r="DG1244" s="717"/>
      <c r="DH1244" s="717"/>
      <c r="DI1244" s="717"/>
      <c r="DJ1244" s="717"/>
      <c r="DM1244" s="711"/>
      <c r="DN1244" s="711"/>
      <c r="DO1244" s="711"/>
      <c r="DP1244" s="711"/>
      <c r="DQ1244" s="711"/>
    </row>
    <row r="1245" spans="13:121" s="709" customFormat="1" hidden="1">
      <c r="M1245" s="710"/>
      <c r="P1245" s="711"/>
      <c r="Q1245" s="712"/>
      <c r="U1245" s="711"/>
      <c r="V1245" s="711"/>
      <c r="W1245" s="711"/>
      <c r="X1245" s="711"/>
      <c r="Y1245" s="711"/>
      <c r="Z1245" s="711"/>
      <c r="AU1245" s="713"/>
      <c r="AW1245" s="712"/>
      <c r="BY1245" s="714"/>
      <c r="BZ1245" s="715"/>
      <c r="CA1245" s="716"/>
      <c r="CB1245" s="717"/>
      <c r="CC1245" s="717"/>
      <c r="CD1245" s="717"/>
      <c r="CE1245" s="717"/>
      <c r="CF1245" s="717"/>
      <c r="CG1245" s="717"/>
      <c r="CH1245" s="717"/>
      <c r="CI1245" s="717"/>
      <c r="CJ1245" s="717"/>
      <c r="CK1245" s="717"/>
      <c r="CL1245" s="717"/>
      <c r="CM1245" s="717"/>
      <c r="CN1245" s="717"/>
      <c r="CO1245" s="717"/>
      <c r="CP1245" s="717"/>
      <c r="CQ1245" s="717"/>
      <c r="CR1245" s="717"/>
      <c r="CS1245" s="717"/>
      <c r="CT1245" s="717"/>
      <c r="CU1245" s="717"/>
      <c r="CV1245" s="717"/>
      <c r="CW1245" s="717"/>
      <c r="CX1245" s="717"/>
      <c r="CY1245" s="717"/>
      <c r="CZ1245" s="717"/>
      <c r="DA1245" s="717"/>
      <c r="DB1245" s="717"/>
      <c r="DC1245" s="717"/>
      <c r="DD1245" s="717"/>
      <c r="DE1245" s="717"/>
      <c r="DF1245" s="717"/>
      <c r="DG1245" s="717"/>
      <c r="DH1245" s="717"/>
      <c r="DI1245" s="717"/>
      <c r="DJ1245" s="717"/>
      <c r="DM1245" s="711"/>
      <c r="DN1245" s="711"/>
      <c r="DO1245" s="711"/>
      <c r="DP1245" s="711"/>
      <c r="DQ1245" s="711"/>
    </row>
    <row r="1246" spans="13:121" s="709" customFormat="1" hidden="1">
      <c r="M1246" s="710"/>
      <c r="P1246" s="711"/>
      <c r="Q1246" s="712"/>
      <c r="U1246" s="711"/>
      <c r="V1246" s="711"/>
      <c r="W1246" s="711"/>
      <c r="X1246" s="711"/>
      <c r="Y1246" s="711"/>
      <c r="Z1246" s="711"/>
      <c r="AU1246" s="713"/>
      <c r="AW1246" s="712"/>
      <c r="BY1246" s="714"/>
      <c r="BZ1246" s="715"/>
      <c r="CA1246" s="716"/>
      <c r="CB1246" s="717"/>
      <c r="CC1246" s="717"/>
      <c r="CD1246" s="717"/>
      <c r="CE1246" s="717"/>
      <c r="CF1246" s="717"/>
      <c r="CG1246" s="717"/>
      <c r="CH1246" s="717"/>
      <c r="CI1246" s="717"/>
      <c r="CJ1246" s="717"/>
      <c r="CK1246" s="717"/>
      <c r="CL1246" s="717"/>
      <c r="CM1246" s="717"/>
      <c r="CN1246" s="717"/>
      <c r="CO1246" s="717"/>
      <c r="CP1246" s="717"/>
      <c r="CQ1246" s="717"/>
      <c r="CR1246" s="717"/>
      <c r="CS1246" s="717"/>
      <c r="CT1246" s="717"/>
      <c r="CU1246" s="717"/>
      <c r="CV1246" s="717"/>
      <c r="CW1246" s="717"/>
      <c r="CX1246" s="717"/>
      <c r="CY1246" s="717"/>
      <c r="CZ1246" s="717"/>
      <c r="DA1246" s="717"/>
      <c r="DB1246" s="717"/>
      <c r="DC1246" s="717"/>
      <c r="DD1246" s="717"/>
      <c r="DE1246" s="717"/>
      <c r="DF1246" s="717"/>
      <c r="DG1246" s="717"/>
      <c r="DH1246" s="717"/>
      <c r="DI1246" s="717"/>
      <c r="DJ1246" s="717"/>
      <c r="DM1246" s="711"/>
      <c r="DN1246" s="711"/>
      <c r="DO1246" s="711"/>
      <c r="DP1246" s="711"/>
      <c r="DQ1246" s="711"/>
    </row>
    <row r="1247" spans="13:121" s="709" customFormat="1" hidden="1">
      <c r="M1247" s="710"/>
      <c r="P1247" s="711"/>
      <c r="Q1247" s="712"/>
      <c r="U1247" s="711"/>
      <c r="V1247" s="711"/>
      <c r="W1247" s="711"/>
      <c r="X1247" s="711"/>
      <c r="Y1247" s="711"/>
      <c r="Z1247" s="711"/>
      <c r="AU1247" s="713"/>
      <c r="AW1247" s="712"/>
      <c r="BY1247" s="714"/>
      <c r="BZ1247" s="715"/>
      <c r="CA1247" s="716"/>
      <c r="CB1247" s="717"/>
      <c r="CC1247" s="717"/>
      <c r="CD1247" s="717"/>
      <c r="CE1247" s="717"/>
      <c r="CF1247" s="717"/>
      <c r="CG1247" s="717"/>
      <c r="CH1247" s="717"/>
      <c r="CI1247" s="717"/>
      <c r="CJ1247" s="717"/>
      <c r="CK1247" s="717"/>
      <c r="CL1247" s="717"/>
      <c r="CM1247" s="717"/>
      <c r="CN1247" s="717"/>
      <c r="CO1247" s="717"/>
      <c r="CP1247" s="717"/>
      <c r="CQ1247" s="717"/>
      <c r="CR1247" s="717"/>
      <c r="CS1247" s="717"/>
      <c r="CT1247" s="717"/>
      <c r="CU1247" s="717"/>
      <c r="CV1247" s="717"/>
      <c r="CW1247" s="717"/>
      <c r="CX1247" s="717"/>
      <c r="CY1247" s="717"/>
      <c r="CZ1247" s="717"/>
      <c r="DA1247" s="717"/>
      <c r="DB1247" s="717"/>
      <c r="DC1247" s="717"/>
      <c r="DD1247" s="717"/>
      <c r="DE1247" s="717"/>
      <c r="DF1247" s="717"/>
      <c r="DG1247" s="717"/>
      <c r="DH1247" s="717"/>
      <c r="DI1247" s="717"/>
      <c r="DJ1247" s="717"/>
      <c r="DM1247" s="711"/>
      <c r="DN1247" s="711"/>
      <c r="DO1247" s="711"/>
      <c r="DP1247" s="711"/>
      <c r="DQ1247" s="711"/>
    </row>
    <row r="1248" spans="13:121" s="709" customFormat="1" hidden="1">
      <c r="M1248" s="710"/>
      <c r="P1248" s="711"/>
      <c r="Q1248" s="712"/>
      <c r="U1248" s="711"/>
      <c r="V1248" s="711"/>
      <c r="W1248" s="711"/>
      <c r="X1248" s="711"/>
      <c r="Y1248" s="711"/>
      <c r="Z1248" s="711"/>
      <c r="AU1248" s="713"/>
      <c r="AW1248" s="712"/>
      <c r="BY1248" s="714"/>
      <c r="BZ1248" s="715"/>
      <c r="CA1248" s="716"/>
      <c r="CB1248" s="717"/>
      <c r="CC1248" s="717"/>
      <c r="CD1248" s="717"/>
      <c r="CE1248" s="717"/>
      <c r="CF1248" s="717"/>
      <c r="CG1248" s="717"/>
      <c r="CH1248" s="717"/>
      <c r="CI1248" s="717"/>
      <c r="CJ1248" s="717"/>
      <c r="CK1248" s="717"/>
      <c r="CL1248" s="717"/>
      <c r="CM1248" s="717"/>
      <c r="CN1248" s="717"/>
      <c r="CO1248" s="717"/>
      <c r="CP1248" s="717"/>
      <c r="CQ1248" s="717"/>
      <c r="CR1248" s="717"/>
      <c r="CS1248" s="717"/>
      <c r="CT1248" s="717"/>
      <c r="CU1248" s="717"/>
      <c r="CV1248" s="717"/>
      <c r="CW1248" s="717"/>
      <c r="CX1248" s="717"/>
      <c r="CY1248" s="717"/>
      <c r="CZ1248" s="717"/>
      <c r="DA1248" s="717"/>
      <c r="DB1248" s="717"/>
      <c r="DC1248" s="717"/>
      <c r="DD1248" s="717"/>
      <c r="DE1248" s="717"/>
      <c r="DF1248" s="717"/>
      <c r="DG1248" s="717"/>
      <c r="DH1248" s="717"/>
      <c r="DI1248" s="717"/>
      <c r="DJ1248" s="717"/>
      <c r="DM1248" s="711"/>
      <c r="DN1248" s="711"/>
      <c r="DO1248" s="711"/>
      <c r="DP1248" s="711"/>
      <c r="DQ1248" s="711"/>
    </row>
    <row r="1249" spans="13:121" s="709" customFormat="1" hidden="1">
      <c r="M1249" s="710"/>
      <c r="P1249" s="711"/>
      <c r="Q1249" s="712"/>
      <c r="U1249" s="711"/>
      <c r="V1249" s="711"/>
      <c r="W1249" s="711"/>
      <c r="X1249" s="711"/>
      <c r="Y1249" s="711"/>
      <c r="Z1249" s="711"/>
      <c r="AU1249" s="713"/>
      <c r="AW1249" s="712"/>
      <c r="BY1249" s="714"/>
      <c r="BZ1249" s="715"/>
      <c r="CA1249" s="716"/>
      <c r="CB1249" s="717"/>
      <c r="CC1249" s="717"/>
      <c r="CD1249" s="717"/>
      <c r="CE1249" s="717"/>
      <c r="CF1249" s="717"/>
      <c r="CG1249" s="717"/>
      <c r="CH1249" s="717"/>
      <c r="CI1249" s="717"/>
      <c r="CJ1249" s="717"/>
      <c r="CK1249" s="717"/>
      <c r="CL1249" s="717"/>
      <c r="CM1249" s="717"/>
      <c r="CN1249" s="717"/>
      <c r="CO1249" s="717"/>
      <c r="CP1249" s="717"/>
      <c r="CQ1249" s="717"/>
      <c r="CR1249" s="717"/>
      <c r="CS1249" s="717"/>
      <c r="CT1249" s="717"/>
      <c r="CU1249" s="717"/>
      <c r="CV1249" s="717"/>
      <c r="CW1249" s="717"/>
      <c r="CX1249" s="717"/>
      <c r="CY1249" s="717"/>
      <c r="CZ1249" s="717"/>
      <c r="DA1249" s="717"/>
      <c r="DB1249" s="717"/>
      <c r="DC1249" s="717"/>
      <c r="DD1249" s="717"/>
      <c r="DE1249" s="717"/>
      <c r="DF1249" s="717"/>
      <c r="DG1249" s="717"/>
      <c r="DH1249" s="717"/>
      <c r="DI1249" s="717"/>
      <c r="DJ1249" s="717"/>
      <c r="DM1249" s="711"/>
      <c r="DN1249" s="711"/>
      <c r="DO1249" s="711"/>
      <c r="DP1249" s="711"/>
      <c r="DQ1249" s="711"/>
    </row>
    <row r="1250" spans="13:121" s="709" customFormat="1" hidden="1">
      <c r="M1250" s="710"/>
      <c r="P1250" s="711"/>
      <c r="Q1250" s="712"/>
      <c r="U1250" s="711"/>
      <c r="V1250" s="711"/>
      <c r="W1250" s="711"/>
      <c r="X1250" s="711"/>
      <c r="Y1250" s="711"/>
      <c r="Z1250" s="711"/>
      <c r="AU1250" s="713"/>
      <c r="AW1250" s="712"/>
      <c r="BY1250" s="714"/>
      <c r="BZ1250" s="715"/>
      <c r="CA1250" s="716"/>
      <c r="CB1250" s="717"/>
      <c r="CC1250" s="717"/>
      <c r="CD1250" s="717"/>
      <c r="CE1250" s="717"/>
      <c r="CF1250" s="717"/>
      <c r="CG1250" s="717"/>
      <c r="CH1250" s="717"/>
      <c r="CI1250" s="717"/>
      <c r="CJ1250" s="717"/>
      <c r="CK1250" s="717"/>
      <c r="CL1250" s="717"/>
      <c r="CM1250" s="717"/>
      <c r="CN1250" s="717"/>
      <c r="CO1250" s="717"/>
      <c r="CP1250" s="717"/>
      <c r="CQ1250" s="717"/>
      <c r="CR1250" s="717"/>
      <c r="CS1250" s="717"/>
      <c r="CT1250" s="717"/>
      <c r="CU1250" s="717"/>
      <c r="CV1250" s="717"/>
      <c r="CW1250" s="717"/>
      <c r="CX1250" s="717"/>
      <c r="CY1250" s="717"/>
      <c r="CZ1250" s="717"/>
      <c r="DA1250" s="717"/>
      <c r="DB1250" s="717"/>
      <c r="DC1250" s="717"/>
      <c r="DD1250" s="717"/>
      <c r="DE1250" s="717"/>
      <c r="DF1250" s="717"/>
      <c r="DG1250" s="717"/>
      <c r="DH1250" s="717"/>
      <c r="DI1250" s="717"/>
      <c r="DJ1250" s="717"/>
      <c r="DM1250" s="711"/>
      <c r="DN1250" s="711"/>
      <c r="DO1250" s="711"/>
      <c r="DP1250" s="711"/>
      <c r="DQ1250" s="711"/>
    </row>
    <row r="1251" spans="13:121" s="709" customFormat="1" hidden="1">
      <c r="M1251" s="710"/>
      <c r="P1251" s="711"/>
      <c r="Q1251" s="712"/>
      <c r="U1251" s="711"/>
      <c r="V1251" s="711"/>
      <c r="W1251" s="711"/>
      <c r="X1251" s="711"/>
      <c r="Y1251" s="711"/>
      <c r="Z1251" s="711"/>
      <c r="AU1251" s="713"/>
      <c r="AW1251" s="712"/>
      <c r="BY1251" s="714"/>
      <c r="BZ1251" s="715"/>
      <c r="CA1251" s="716"/>
      <c r="CB1251" s="717"/>
      <c r="CC1251" s="717"/>
      <c r="CD1251" s="717"/>
      <c r="CE1251" s="717"/>
      <c r="CF1251" s="717"/>
      <c r="CG1251" s="717"/>
      <c r="CH1251" s="717"/>
      <c r="CI1251" s="717"/>
      <c r="CJ1251" s="717"/>
      <c r="CK1251" s="717"/>
      <c r="CL1251" s="717"/>
      <c r="CM1251" s="717"/>
      <c r="CN1251" s="717"/>
      <c r="CO1251" s="717"/>
      <c r="CP1251" s="717"/>
      <c r="CQ1251" s="717"/>
      <c r="CR1251" s="717"/>
      <c r="CS1251" s="717"/>
      <c r="CT1251" s="717"/>
      <c r="CU1251" s="717"/>
      <c r="CV1251" s="717"/>
      <c r="CW1251" s="717"/>
      <c r="CX1251" s="717"/>
      <c r="CY1251" s="717"/>
      <c r="CZ1251" s="717"/>
      <c r="DA1251" s="717"/>
      <c r="DB1251" s="717"/>
      <c r="DC1251" s="717"/>
      <c r="DD1251" s="717"/>
      <c r="DE1251" s="717"/>
      <c r="DF1251" s="717"/>
      <c r="DG1251" s="717"/>
      <c r="DH1251" s="717"/>
      <c r="DI1251" s="717"/>
      <c r="DJ1251" s="717"/>
      <c r="DM1251" s="711"/>
      <c r="DN1251" s="711"/>
      <c r="DO1251" s="711"/>
      <c r="DP1251" s="711"/>
      <c r="DQ1251" s="711"/>
    </row>
    <row r="1252" spans="13:121" s="709" customFormat="1" hidden="1">
      <c r="M1252" s="710"/>
      <c r="P1252" s="711"/>
      <c r="Q1252" s="712"/>
      <c r="U1252" s="711"/>
      <c r="V1252" s="711"/>
      <c r="W1252" s="711"/>
      <c r="X1252" s="711"/>
      <c r="Y1252" s="711"/>
      <c r="Z1252" s="711"/>
      <c r="AU1252" s="713"/>
      <c r="AW1252" s="712"/>
      <c r="BY1252" s="714"/>
      <c r="BZ1252" s="715"/>
      <c r="CA1252" s="716"/>
      <c r="CB1252" s="717"/>
      <c r="CC1252" s="717"/>
      <c r="CD1252" s="717"/>
      <c r="CE1252" s="717"/>
      <c r="CF1252" s="717"/>
      <c r="CG1252" s="717"/>
      <c r="CH1252" s="717"/>
      <c r="CI1252" s="717"/>
      <c r="CJ1252" s="717"/>
      <c r="CK1252" s="717"/>
      <c r="CL1252" s="717"/>
      <c r="CM1252" s="717"/>
      <c r="CN1252" s="717"/>
      <c r="CO1252" s="717"/>
      <c r="CP1252" s="717"/>
      <c r="CQ1252" s="717"/>
      <c r="CR1252" s="717"/>
      <c r="CS1252" s="717"/>
      <c r="CT1252" s="717"/>
      <c r="CU1252" s="717"/>
      <c r="CV1252" s="717"/>
      <c r="CW1252" s="717"/>
      <c r="CX1252" s="717"/>
      <c r="CY1252" s="717"/>
      <c r="CZ1252" s="717"/>
      <c r="DA1252" s="717"/>
      <c r="DB1252" s="717"/>
      <c r="DC1252" s="717"/>
      <c r="DD1252" s="717"/>
      <c r="DE1252" s="717"/>
      <c r="DF1252" s="717"/>
      <c r="DG1252" s="717"/>
      <c r="DH1252" s="717"/>
      <c r="DI1252" s="717"/>
      <c r="DJ1252" s="717"/>
      <c r="DM1252" s="711"/>
      <c r="DN1252" s="711"/>
      <c r="DO1252" s="711"/>
      <c r="DP1252" s="711"/>
      <c r="DQ1252" s="711"/>
    </row>
    <row r="1253" spans="13:121" s="709" customFormat="1" hidden="1">
      <c r="M1253" s="710"/>
      <c r="P1253" s="711"/>
      <c r="Q1253" s="712"/>
      <c r="U1253" s="711"/>
      <c r="V1253" s="711"/>
      <c r="W1253" s="711"/>
      <c r="X1253" s="711"/>
      <c r="Y1253" s="711"/>
      <c r="Z1253" s="711"/>
      <c r="AU1253" s="713"/>
      <c r="AW1253" s="712"/>
      <c r="BY1253" s="714"/>
      <c r="BZ1253" s="715"/>
      <c r="CA1253" s="716"/>
      <c r="CB1253" s="717"/>
      <c r="CC1253" s="717"/>
      <c r="CD1253" s="717"/>
      <c r="CE1253" s="717"/>
      <c r="CF1253" s="717"/>
      <c r="CG1253" s="717"/>
      <c r="CH1253" s="717"/>
      <c r="CI1253" s="717"/>
      <c r="CJ1253" s="717"/>
      <c r="CK1253" s="717"/>
      <c r="CL1253" s="717"/>
      <c r="CM1253" s="717"/>
      <c r="CN1253" s="717"/>
      <c r="CO1253" s="717"/>
      <c r="CP1253" s="717"/>
      <c r="CQ1253" s="717"/>
      <c r="CR1253" s="717"/>
      <c r="CS1253" s="717"/>
      <c r="CT1253" s="717"/>
      <c r="CU1253" s="717"/>
      <c r="CV1253" s="717"/>
      <c r="CW1253" s="717"/>
      <c r="CX1253" s="717"/>
      <c r="CY1253" s="717"/>
      <c r="CZ1253" s="717"/>
      <c r="DA1253" s="717"/>
      <c r="DB1253" s="717"/>
      <c r="DC1253" s="717"/>
      <c r="DD1253" s="717"/>
      <c r="DE1253" s="717"/>
      <c r="DF1253" s="717"/>
      <c r="DG1253" s="717"/>
      <c r="DH1253" s="717"/>
      <c r="DI1253" s="717"/>
      <c r="DJ1253" s="717"/>
      <c r="DM1253" s="711"/>
      <c r="DN1253" s="711"/>
      <c r="DO1253" s="711"/>
      <c r="DP1253" s="711"/>
      <c r="DQ1253" s="711"/>
    </row>
    <row r="1254" spans="13:121" s="709" customFormat="1" hidden="1">
      <c r="M1254" s="710"/>
      <c r="P1254" s="711"/>
      <c r="Q1254" s="712"/>
      <c r="U1254" s="711"/>
      <c r="V1254" s="711"/>
      <c r="W1254" s="711"/>
      <c r="X1254" s="711"/>
      <c r="Y1254" s="711"/>
      <c r="Z1254" s="711"/>
      <c r="AU1254" s="713"/>
      <c r="AW1254" s="712"/>
      <c r="BY1254" s="714"/>
      <c r="BZ1254" s="715"/>
      <c r="CA1254" s="716"/>
      <c r="CB1254" s="717"/>
      <c r="CC1254" s="717"/>
      <c r="CD1254" s="717"/>
      <c r="CE1254" s="717"/>
      <c r="CF1254" s="717"/>
      <c r="CG1254" s="717"/>
      <c r="CH1254" s="717"/>
      <c r="CI1254" s="717"/>
      <c r="CJ1254" s="717"/>
      <c r="CK1254" s="717"/>
      <c r="CL1254" s="717"/>
      <c r="CM1254" s="717"/>
      <c r="CN1254" s="717"/>
      <c r="CO1254" s="717"/>
      <c r="CP1254" s="717"/>
      <c r="CQ1254" s="717"/>
      <c r="CR1254" s="717"/>
      <c r="CS1254" s="717"/>
      <c r="CT1254" s="717"/>
      <c r="CU1254" s="717"/>
      <c r="CV1254" s="717"/>
      <c r="CW1254" s="717"/>
      <c r="CX1254" s="717"/>
      <c r="CY1254" s="717"/>
      <c r="CZ1254" s="717"/>
      <c r="DA1254" s="717"/>
      <c r="DB1254" s="717"/>
      <c r="DC1254" s="717"/>
      <c r="DD1254" s="717"/>
      <c r="DE1254" s="717"/>
      <c r="DF1254" s="717"/>
      <c r="DG1254" s="717"/>
      <c r="DH1254" s="717"/>
      <c r="DI1254" s="717"/>
      <c r="DJ1254" s="717"/>
      <c r="DM1254" s="711"/>
      <c r="DN1254" s="711"/>
      <c r="DO1254" s="711"/>
      <c r="DP1254" s="711"/>
      <c r="DQ1254" s="711"/>
    </row>
    <row r="1255" spans="13:121" s="709" customFormat="1" hidden="1">
      <c r="M1255" s="710"/>
      <c r="P1255" s="711"/>
      <c r="Q1255" s="712"/>
      <c r="U1255" s="711"/>
      <c r="V1255" s="711"/>
      <c r="W1255" s="711"/>
      <c r="X1255" s="711"/>
      <c r="Y1255" s="711"/>
      <c r="Z1255" s="711"/>
      <c r="AU1255" s="713"/>
      <c r="AW1255" s="712"/>
      <c r="BY1255" s="714"/>
      <c r="BZ1255" s="715"/>
      <c r="CA1255" s="716"/>
      <c r="CB1255" s="717"/>
      <c r="CC1255" s="717"/>
      <c r="CD1255" s="717"/>
      <c r="CE1255" s="717"/>
      <c r="CF1255" s="717"/>
      <c r="CG1255" s="717"/>
      <c r="CH1255" s="717"/>
      <c r="CI1255" s="717"/>
      <c r="CJ1255" s="717"/>
      <c r="CK1255" s="717"/>
      <c r="CL1255" s="717"/>
      <c r="CM1255" s="717"/>
      <c r="CN1255" s="717"/>
      <c r="CO1255" s="717"/>
      <c r="CP1255" s="717"/>
      <c r="CQ1255" s="717"/>
      <c r="CR1255" s="717"/>
      <c r="CS1255" s="717"/>
      <c r="CT1255" s="717"/>
      <c r="CU1255" s="717"/>
      <c r="CV1255" s="717"/>
      <c r="CW1255" s="717"/>
      <c r="CX1255" s="717"/>
      <c r="CY1255" s="717"/>
      <c r="CZ1255" s="717"/>
      <c r="DA1255" s="717"/>
      <c r="DB1255" s="717"/>
      <c r="DC1255" s="717"/>
      <c r="DD1255" s="717"/>
      <c r="DE1255" s="717"/>
      <c r="DF1255" s="717"/>
      <c r="DG1255" s="717"/>
      <c r="DH1255" s="717"/>
      <c r="DI1255" s="717"/>
      <c r="DJ1255" s="717"/>
      <c r="DM1255" s="711"/>
      <c r="DN1255" s="711"/>
      <c r="DO1255" s="711"/>
      <c r="DP1255" s="711"/>
      <c r="DQ1255" s="711"/>
    </row>
    <row r="1256" spans="13:121" s="709" customFormat="1" hidden="1">
      <c r="M1256" s="710"/>
      <c r="P1256" s="711"/>
      <c r="Q1256" s="712"/>
      <c r="U1256" s="711"/>
      <c r="V1256" s="711"/>
      <c r="W1256" s="711"/>
      <c r="X1256" s="711"/>
      <c r="Y1256" s="711"/>
      <c r="Z1256" s="711"/>
      <c r="AU1256" s="713"/>
      <c r="AW1256" s="712"/>
      <c r="BY1256" s="714"/>
      <c r="BZ1256" s="715"/>
      <c r="CA1256" s="716"/>
      <c r="CB1256" s="717"/>
      <c r="CC1256" s="717"/>
      <c r="CD1256" s="717"/>
      <c r="CE1256" s="717"/>
      <c r="CF1256" s="717"/>
      <c r="CG1256" s="717"/>
      <c r="CH1256" s="717"/>
      <c r="CI1256" s="717"/>
      <c r="CJ1256" s="717"/>
      <c r="CK1256" s="717"/>
      <c r="CL1256" s="717"/>
      <c r="CM1256" s="717"/>
      <c r="CN1256" s="717"/>
      <c r="CO1256" s="717"/>
      <c r="CP1256" s="717"/>
      <c r="CQ1256" s="717"/>
      <c r="CR1256" s="717"/>
      <c r="CS1256" s="717"/>
      <c r="CT1256" s="717"/>
      <c r="CU1256" s="717"/>
      <c r="CV1256" s="717"/>
      <c r="CW1256" s="717"/>
      <c r="CX1256" s="717"/>
      <c r="CY1256" s="717"/>
      <c r="CZ1256" s="717"/>
      <c r="DA1256" s="717"/>
      <c r="DB1256" s="717"/>
      <c r="DC1256" s="717"/>
      <c r="DD1256" s="717"/>
      <c r="DE1256" s="717"/>
      <c r="DF1256" s="717"/>
      <c r="DG1256" s="717"/>
      <c r="DH1256" s="717"/>
      <c r="DI1256" s="717"/>
      <c r="DJ1256" s="717"/>
      <c r="DM1256" s="711"/>
      <c r="DN1256" s="711"/>
      <c r="DO1256" s="711"/>
      <c r="DP1256" s="711"/>
      <c r="DQ1256" s="711"/>
    </row>
    <row r="1257" spans="13:121" s="709" customFormat="1" hidden="1">
      <c r="M1257" s="710"/>
      <c r="P1257" s="711"/>
      <c r="Q1257" s="712"/>
      <c r="U1257" s="711"/>
      <c r="V1257" s="711"/>
      <c r="W1257" s="711"/>
      <c r="X1257" s="711"/>
      <c r="Y1257" s="711"/>
      <c r="Z1257" s="711"/>
      <c r="AU1257" s="713"/>
      <c r="AW1257" s="712"/>
      <c r="BY1257" s="714"/>
      <c r="BZ1257" s="715"/>
      <c r="CA1257" s="716"/>
      <c r="CB1257" s="717"/>
      <c r="CC1257" s="717"/>
      <c r="CD1257" s="717"/>
      <c r="CE1257" s="717"/>
      <c r="CF1257" s="717"/>
      <c r="CG1257" s="717"/>
      <c r="CH1257" s="717"/>
      <c r="CI1257" s="717"/>
      <c r="CJ1257" s="717"/>
      <c r="CK1257" s="717"/>
      <c r="CL1257" s="717"/>
      <c r="CM1257" s="717"/>
      <c r="CN1257" s="717"/>
      <c r="CO1257" s="717"/>
      <c r="CP1257" s="717"/>
      <c r="CQ1257" s="717"/>
      <c r="CR1257" s="717"/>
      <c r="CS1257" s="717"/>
      <c r="CT1257" s="717"/>
      <c r="CU1257" s="717"/>
      <c r="CV1257" s="717"/>
      <c r="CW1257" s="717"/>
      <c r="CX1257" s="717"/>
      <c r="CY1257" s="717"/>
      <c r="CZ1257" s="717"/>
      <c r="DA1257" s="717"/>
      <c r="DB1257" s="717"/>
      <c r="DC1257" s="717"/>
      <c r="DD1257" s="717"/>
      <c r="DE1257" s="717"/>
      <c r="DF1257" s="717"/>
      <c r="DG1257" s="717"/>
      <c r="DH1257" s="717"/>
      <c r="DI1257" s="717"/>
      <c r="DJ1257" s="717"/>
      <c r="DM1257" s="711"/>
      <c r="DN1257" s="711"/>
      <c r="DO1257" s="711"/>
      <c r="DP1257" s="711"/>
      <c r="DQ1257" s="711"/>
    </row>
    <row r="1258" spans="13:121" s="709" customFormat="1" hidden="1">
      <c r="M1258" s="710"/>
      <c r="P1258" s="711"/>
      <c r="Q1258" s="712"/>
      <c r="U1258" s="711"/>
      <c r="V1258" s="711"/>
      <c r="W1258" s="711"/>
      <c r="X1258" s="711"/>
      <c r="Y1258" s="711"/>
      <c r="Z1258" s="711"/>
      <c r="AU1258" s="713"/>
      <c r="AW1258" s="712"/>
      <c r="BY1258" s="714"/>
      <c r="BZ1258" s="715"/>
      <c r="CA1258" s="716"/>
      <c r="CB1258" s="717"/>
      <c r="CC1258" s="717"/>
      <c r="CD1258" s="717"/>
      <c r="CE1258" s="717"/>
      <c r="CF1258" s="717"/>
      <c r="CG1258" s="717"/>
      <c r="CH1258" s="717"/>
      <c r="CI1258" s="717"/>
      <c r="CJ1258" s="717"/>
      <c r="CK1258" s="717"/>
      <c r="CL1258" s="717"/>
      <c r="CM1258" s="717"/>
      <c r="CN1258" s="717"/>
      <c r="CO1258" s="717"/>
      <c r="CP1258" s="717"/>
      <c r="CQ1258" s="717"/>
      <c r="CR1258" s="717"/>
      <c r="CS1258" s="717"/>
      <c r="CT1258" s="717"/>
      <c r="CU1258" s="717"/>
      <c r="CV1258" s="717"/>
      <c r="CW1258" s="717"/>
      <c r="CX1258" s="717"/>
      <c r="CY1258" s="717"/>
      <c r="CZ1258" s="717"/>
      <c r="DA1258" s="717"/>
      <c r="DB1258" s="717"/>
      <c r="DC1258" s="717"/>
      <c r="DD1258" s="717"/>
      <c r="DE1258" s="717"/>
      <c r="DF1258" s="717"/>
      <c r="DG1258" s="717"/>
      <c r="DH1258" s="717"/>
      <c r="DI1258" s="717"/>
      <c r="DJ1258" s="717"/>
      <c r="DM1258" s="711"/>
      <c r="DN1258" s="711"/>
      <c r="DO1258" s="711"/>
      <c r="DP1258" s="711"/>
      <c r="DQ1258" s="711"/>
    </row>
    <row r="1259" spans="13:121" s="709" customFormat="1" hidden="1">
      <c r="M1259" s="710"/>
      <c r="P1259" s="711"/>
      <c r="Q1259" s="712"/>
      <c r="U1259" s="711"/>
      <c r="V1259" s="711"/>
      <c r="W1259" s="711"/>
      <c r="X1259" s="711"/>
      <c r="Y1259" s="711"/>
      <c r="Z1259" s="711"/>
      <c r="AU1259" s="713"/>
      <c r="AW1259" s="712"/>
      <c r="BY1259" s="714"/>
      <c r="BZ1259" s="715"/>
      <c r="CA1259" s="716"/>
      <c r="CB1259" s="717"/>
      <c r="CC1259" s="717"/>
      <c r="CD1259" s="717"/>
      <c r="CE1259" s="717"/>
      <c r="CF1259" s="717"/>
      <c r="CG1259" s="717"/>
      <c r="CH1259" s="717"/>
      <c r="CI1259" s="717"/>
      <c r="CJ1259" s="717"/>
      <c r="CK1259" s="717"/>
      <c r="CL1259" s="717"/>
      <c r="CM1259" s="717"/>
      <c r="CN1259" s="717"/>
      <c r="CO1259" s="717"/>
      <c r="CP1259" s="717"/>
      <c r="CQ1259" s="717"/>
      <c r="CR1259" s="717"/>
      <c r="CS1259" s="717"/>
      <c r="CT1259" s="717"/>
      <c r="CU1259" s="717"/>
      <c r="CV1259" s="717"/>
      <c r="CW1259" s="717"/>
      <c r="CX1259" s="717"/>
      <c r="CY1259" s="717"/>
      <c r="CZ1259" s="717"/>
      <c r="DA1259" s="717"/>
      <c r="DB1259" s="717"/>
      <c r="DC1259" s="717"/>
      <c r="DD1259" s="717"/>
      <c r="DE1259" s="717"/>
      <c r="DF1259" s="717"/>
      <c r="DG1259" s="717"/>
      <c r="DH1259" s="717"/>
      <c r="DI1259" s="717"/>
      <c r="DJ1259" s="717"/>
      <c r="DM1259" s="711"/>
      <c r="DN1259" s="711"/>
      <c r="DO1259" s="711"/>
      <c r="DP1259" s="711"/>
      <c r="DQ1259" s="711"/>
    </row>
    <row r="1260" spans="13:121" s="709" customFormat="1" hidden="1">
      <c r="M1260" s="710"/>
      <c r="P1260" s="711"/>
      <c r="Q1260" s="712"/>
      <c r="U1260" s="711"/>
      <c r="V1260" s="711"/>
      <c r="W1260" s="711"/>
      <c r="X1260" s="711"/>
      <c r="Y1260" s="711"/>
      <c r="Z1260" s="711"/>
      <c r="AU1260" s="713"/>
      <c r="AW1260" s="712"/>
      <c r="BY1260" s="714"/>
      <c r="BZ1260" s="715"/>
      <c r="CA1260" s="716"/>
      <c r="CB1260" s="717"/>
      <c r="CC1260" s="717"/>
      <c r="CD1260" s="717"/>
      <c r="CE1260" s="717"/>
      <c r="CF1260" s="717"/>
      <c r="CG1260" s="717"/>
      <c r="CH1260" s="717"/>
      <c r="CI1260" s="717"/>
      <c r="CJ1260" s="717"/>
      <c r="CK1260" s="717"/>
      <c r="CL1260" s="717"/>
      <c r="CM1260" s="717"/>
      <c r="CN1260" s="717"/>
      <c r="CO1260" s="717"/>
      <c r="CP1260" s="717"/>
      <c r="CQ1260" s="717"/>
      <c r="CR1260" s="717"/>
      <c r="CS1260" s="717"/>
      <c r="CT1260" s="717"/>
      <c r="CU1260" s="717"/>
      <c r="CV1260" s="717"/>
      <c r="CW1260" s="717"/>
      <c r="CX1260" s="717"/>
      <c r="CY1260" s="717"/>
      <c r="CZ1260" s="717"/>
      <c r="DA1260" s="717"/>
      <c r="DB1260" s="717"/>
      <c r="DC1260" s="717"/>
      <c r="DD1260" s="717"/>
      <c r="DE1260" s="717"/>
      <c r="DF1260" s="717"/>
      <c r="DG1260" s="717"/>
      <c r="DH1260" s="717"/>
      <c r="DI1260" s="717"/>
      <c r="DJ1260" s="717"/>
      <c r="DM1260" s="711"/>
      <c r="DN1260" s="711"/>
      <c r="DO1260" s="711"/>
      <c r="DP1260" s="711"/>
      <c r="DQ1260" s="711"/>
    </row>
    <row r="1261" spans="13:121" s="709" customFormat="1" hidden="1">
      <c r="M1261" s="710"/>
      <c r="P1261" s="711"/>
      <c r="Q1261" s="712"/>
      <c r="U1261" s="711"/>
      <c r="V1261" s="711"/>
      <c r="W1261" s="711"/>
      <c r="X1261" s="711"/>
      <c r="Y1261" s="711"/>
      <c r="Z1261" s="711"/>
      <c r="AU1261" s="713"/>
      <c r="AW1261" s="712"/>
      <c r="BY1261" s="714"/>
      <c r="BZ1261" s="715"/>
      <c r="CA1261" s="716"/>
      <c r="CB1261" s="717"/>
      <c r="CC1261" s="717"/>
      <c r="CD1261" s="717"/>
      <c r="CE1261" s="717"/>
      <c r="CF1261" s="717"/>
      <c r="CG1261" s="717"/>
      <c r="CH1261" s="717"/>
      <c r="CI1261" s="717"/>
      <c r="CJ1261" s="717"/>
      <c r="CK1261" s="717"/>
      <c r="CL1261" s="717"/>
      <c r="CM1261" s="717"/>
      <c r="CN1261" s="717"/>
      <c r="CO1261" s="717"/>
      <c r="CP1261" s="717"/>
      <c r="CQ1261" s="717"/>
      <c r="CR1261" s="717"/>
      <c r="CS1261" s="717"/>
      <c r="CT1261" s="717"/>
      <c r="CU1261" s="717"/>
      <c r="CV1261" s="717"/>
      <c r="CW1261" s="717"/>
      <c r="CX1261" s="717"/>
      <c r="CY1261" s="717"/>
      <c r="CZ1261" s="717"/>
      <c r="DA1261" s="717"/>
      <c r="DB1261" s="717"/>
      <c r="DC1261" s="717"/>
      <c r="DD1261" s="717"/>
      <c r="DE1261" s="717"/>
      <c r="DF1261" s="717"/>
      <c r="DG1261" s="717"/>
      <c r="DH1261" s="717"/>
      <c r="DI1261" s="717"/>
      <c r="DJ1261" s="717"/>
      <c r="DM1261" s="711"/>
      <c r="DN1261" s="711"/>
      <c r="DO1261" s="711"/>
      <c r="DP1261" s="711"/>
      <c r="DQ1261" s="711"/>
    </row>
    <row r="1262" spans="13:121" s="709" customFormat="1" hidden="1">
      <c r="M1262" s="710"/>
      <c r="P1262" s="711"/>
      <c r="Q1262" s="712"/>
      <c r="U1262" s="711"/>
      <c r="V1262" s="711"/>
      <c r="W1262" s="711"/>
      <c r="X1262" s="711"/>
      <c r="Y1262" s="711"/>
      <c r="Z1262" s="711"/>
      <c r="AU1262" s="713"/>
      <c r="AW1262" s="712"/>
      <c r="BY1262" s="714"/>
      <c r="BZ1262" s="715"/>
      <c r="CA1262" s="716"/>
      <c r="CB1262" s="717"/>
      <c r="CC1262" s="717"/>
      <c r="CD1262" s="717"/>
      <c r="CE1262" s="717"/>
      <c r="CF1262" s="717"/>
      <c r="CG1262" s="717"/>
      <c r="CH1262" s="717"/>
      <c r="CI1262" s="717"/>
      <c r="CJ1262" s="717"/>
      <c r="CK1262" s="717"/>
      <c r="CL1262" s="717"/>
      <c r="CM1262" s="717"/>
      <c r="CN1262" s="717"/>
      <c r="CO1262" s="717"/>
      <c r="CP1262" s="717"/>
      <c r="CQ1262" s="717"/>
      <c r="CR1262" s="717"/>
      <c r="CS1262" s="717"/>
      <c r="CT1262" s="717"/>
      <c r="CU1262" s="717"/>
      <c r="CV1262" s="717"/>
      <c r="CW1262" s="717"/>
      <c r="CX1262" s="717"/>
      <c r="CY1262" s="717"/>
      <c r="CZ1262" s="717"/>
      <c r="DA1262" s="717"/>
      <c r="DB1262" s="717"/>
      <c r="DC1262" s="717"/>
      <c r="DD1262" s="717"/>
      <c r="DE1262" s="717"/>
      <c r="DF1262" s="717"/>
      <c r="DG1262" s="717"/>
      <c r="DH1262" s="717"/>
      <c r="DI1262" s="717"/>
      <c r="DJ1262" s="717"/>
      <c r="DM1262" s="711"/>
      <c r="DN1262" s="711"/>
      <c r="DO1262" s="711"/>
      <c r="DP1262" s="711"/>
      <c r="DQ1262" s="711"/>
    </row>
    <row r="1263" spans="13:121" s="709" customFormat="1" hidden="1">
      <c r="M1263" s="710"/>
      <c r="P1263" s="711"/>
      <c r="Q1263" s="712"/>
      <c r="U1263" s="711"/>
      <c r="V1263" s="711"/>
      <c r="W1263" s="711"/>
      <c r="X1263" s="711"/>
      <c r="Y1263" s="711"/>
      <c r="Z1263" s="711"/>
      <c r="AU1263" s="713"/>
      <c r="AW1263" s="712"/>
      <c r="BY1263" s="714"/>
      <c r="BZ1263" s="715"/>
      <c r="CA1263" s="716"/>
      <c r="CB1263" s="717"/>
      <c r="CC1263" s="717"/>
      <c r="CD1263" s="717"/>
      <c r="CE1263" s="717"/>
      <c r="CF1263" s="717"/>
      <c r="CG1263" s="717"/>
      <c r="CH1263" s="717"/>
      <c r="CI1263" s="717"/>
      <c r="CJ1263" s="717"/>
      <c r="CK1263" s="717"/>
      <c r="CL1263" s="717"/>
      <c r="CM1263" s="717"/>
      <c r="CN1263" s="717"/>
      <c r="CO1263" s="717"/>
      <c r="CP1263" s="717"/>
      <c r="CQ1263" s="717"/>
      <c r="CR1263" s="717"/>
      <c r="CS1263" s="717"/>
      <c r="CT1263" s="717"/>
      <c r="CU1263" s="717"/>
      <c r="CV1263" s="717"/>
      <c r="CW1263" s="717"/>
      <c r="CX1263" s="717"/>
      <c r="CY1263" s="717"/>
      <c r="CZ1263" s="717"/>
      <c r="DA1263" s="717"/>
      <c r="DB1263" s="717"/>
      <c r="DC1263" s="717"/>
      <c r="DD1263" s="717"/>
      <c r="DE1263" s="717"/>
      <c r="DF1263" s="717"/>
      <c r="DG1263" s="717"/>
      <c r="DH1263" s="717"/>
      <c r="DI1263" s="717"/>
      <c r="DJ1263" s="717"/>
      <c r="DM1263" s="711"/>
      <c r="DN1263" s="711"/>
      <c r="DO1263" s="711"/>
      <c r="DP1263" s="711"/>
      <c r="DQ1263" s="711"/>
    </row>
    <row r="1264" spans="13:121" s="709" customFormat="1" hidden="1">
      <c r="M1264" s="710"/>
      <c r="P1264" s="711"/>
      <c r="Q1264" s="712"/>
      <c r="U1264" s="711"/>
      <c r="V1264" s="711"/>
      <c r="W1264" s="711"/>
      <c r="X1264" s="711"/>
      <c r="Y1264" s="711"/>
      <c r="Z1264" s="711"/>
      <c r="AU1264" s="713"/>
      <c r="AW1264" s="712"/>
      <c r="BY1264" s="714"/>
      <c r="BZ1264" s="715"/>
      <c r="CA1264" s="716"/>
      <c r="CB1264" s="717"/>
      <c r="CC1264" s="717"/>
      <c r="CD1264" s="717"/>
      <c r="CE1264" s="717"/>
      <c r="CF1264" s="717"/>
      <c r="CG1264" s="717"/>
      <c r="CH1264" s="717"/>
      <c r="CI1264" s="717"/>
      <c r="CJ1264" s="717"/>
      <c r="CK1264" s="717"/>
      <c r="CL1264" s="717"/>
      <c r="CM1264" s="717"/>
      <c r="CN1264" s="717"/>
      <c r="CO1264" s="717"/>
      <c r="CP1264" s="717"/>
      <c r="CQ1264" s="717"/>
      <c r="CR1264" s="717"/>
      <c r="CS1264" s="717"/>
      <c r="CT1264" s="717"/>
      <c r="CU1264" s="717"/>
      <c r="CV1264" s="717"/>
      <c r="CW1264" s="717"/>
      <c r="CX1264" s="717"/>
      <c r="CY1264" s="717"/>
      <c r="CZ1264" s="717"/>
      <c r="DA1264" s="717"/>
      <c r="DB1264" s="717"/>
      <c r="DC1264" s="717"/>
      <c r="DD1264" s="717"/>
      <c r="DE1264" s="717"/>
      <c r="DF1264" s="717"/>
      <c r="DG1264" s="717"/>
      <c r="DH1264" s="717"/>
      <c r="DI1264" s="717"/>
      <c r="DJ1264" s="717"/>
      <c r="DM1264" s="711"/>
      <c r="DN1264" s="711"/>
      <c r="DO1264" s="711"/>
      <c r="DP1264" s="711"/>
      <c r="DQ1264" s="711"/>
    </row>
    <row r="1265" spans="13:121" s="709" customFormat="1" hidden="1">
      <c r="M1265" s="710"/>
      <c r="P1265" s="711"/>
      <c r="Q1265" s="712"/>
      <c r="U1265" s="711"/>
      <c r="V1265" s="711"/>
      <c r="W1265" s="711"/>
      <c r="X1265" s="711"/>
      <c r="Y1265" s="711"/>
      <c r="Z1265" s="711"/>
      <c r="AU1265" s="713"/>
      <c r="AW1265" s="712"/>
      <c r="BY1265" s="714"/>
      <c r="BZ1265" s="715"/>
      <c r="CA1265" s="716"/>
      <c r="CB1265" s="717"/>
      <c r="CC1265" s="717"/>
      <c r="CD1265" s="717"/>
      <c r="CE1265" s="717"/>
      <c r="CF1265" s="717"/>
      <c r="CG1265" s="717"/>
      <c r="CH1265" s="717"/>
      <c r="CI1265" s="717"/>
      <c r="CJ1265" s="717"/>
      <c r="CK1265" s="717"/>
      <c r="CL1265" s="717"/>
      <c r="CM1265" s="717"/>
      <c r="CN1265" s="717"/>
      <c r="CO1265" s="717"/>
      <c r="CP1265" s="717"/>
      <c r="CQ1265" s="717"/>
      <c r="CR1265" s="717"/>
      <c r="CS1265" s="717"/>
      <c r="CT1265" s="717"/>
      <c r="CU1265" s="717"/>
      <c r="CV1265" s="717"/>
      <c r="CW1265" s="717"/>
      <c r="CX1265" s="717"/>
      <c r="CY1265" s="717"/>
      <c r="CZ1265" s="717"/>
      <c r="DA1265" s="717"/>
      <c r="DB1265" s="717"/>
      <c r="DC1265" s="717"/>
      <c r="DD1265" s="717"/>
      <c r="DE1265" s="717"/>
      <c r="DF1265" s="717"/>
      <c r="DG1265" s="717"/>
      <c r="DH1265" s="717"/>
      <c r="DI1265" s="717"/>
      <c r="DJ1265" s="717"/>
      <c r="DM1265" s="711"/>
      <c r="DN1265" s="711"/>
      <c r="DO1265" s="711"/>
      <c r="DP1265" s="711"/>
      <c r="DQ1265" s="711"/>
    </row>
    <row r="1266" spans="13:121" s="709" customFormat="1" hidden="1">
      <c r="M1266" s="710"/>
      <c r="P1266" s="711"/>
      <c r="Q1266" s="712"/>
      <c r="U1266" s="711"/>
      <c r="V1266" s="711"/>
      <c r="W1266" s="711"/>
      <c r="X1266" s="711"/>
      <c r="Y1266" s="711"/>
      <c r="Z1266" s="711"/>
      <c r="AU1266" s="713"/>
      <c r="AW1266" s="712"/>
      <c r="BY1266" s="714"/>
      <c r="BZ1266" s="715"/>
      <c r="CA1266" s="716"/>
      <c r="CB1266" s="717"/>
      <c r="CC1266" s="717"/>
      <c r="CD1266" s="717"/>
      <c r="CE1266" s="717"/>
      <c r="CF1266" s="717"/>
      <c r="CG1266" s="717"/>
      <c r="CH1266" s="717"/>
      <c r="CI1266" s="717"/>
      <c r="CJ1266" s="717"/>
      <c r="CK1266" s="717"/>
      <c r="CL1266" s="717"/>
      <c r="CM1266" s="717"/>
      <c r="CN1266" s="717"/>
      <c r="CO1266" s="717"/>
      <c r="CP1266" s="717"/>
      <c r="CQ1266" s="717"/>
      <c r="CR1266" s="717"/>
      <c r="CS1266" s="717"/>
      <c r="CT1266" s="717"/>
      <c r="CU1266" s="717"/>
      <c r="CV1266" s="717"/>
      <c r="CW1266" s="717"/>
      <c r="CX1266" s="717"/>
      <c r="CY1266" s="717"/>
      <c r="CZ1266" s="717"/>
      <c r="DA1266" s="717"/>
      <c r="DB1266" s="717"/>
      <c r="DC1266" s="717"/>
      <c r="DD1266" s="717"/>
      <c r="DE1266" s="717"/>
      <c r="DF1266" s="717"/>
      <c r="DG1266" s="717"/>
      <c r="DH1266" s="717"/>
      <c r="DI1266" s="717"/>
      <c r="DJ1266" s="717"/>
      <c r="DM1266" s="711"/>
      <c r="DN1266" s="711"/>
      <c r="DO1266" s="711"/>
      <c r="DP1266" s="711"/>
      <c r="DQ1266" s="711"/>
    </row>
    <row r="1267" spans="13:121" s="709" customFormat="1" hidden="1">
      <c r="M1267" s="710"/>
      <c r="P1267" s="711"/>
      <c r="Q1267" s="712"/>
      <c r="U1267" s="711"/>
      <c r="V1267" s="711"/>
      <c r="W1267" s="711"/>
      <c r="X1267" s="711"/>
      <c r="Y1267" s="711"/>
      <c r="Z1267" s="711"/>
      <c r="AU1267" s="713"/>
      <c r="AW1267" s="712"/>
      <c r="BY1267" s="714"/>
      <c r="BZ1267" s="715"/>
      <c r="CA1267" s="716"/>
      <c r="CB1267" s="717"/>
      <c r="CC1267" s="717"/>
      <c r="CD1267" s="717"/>
      <c r="CE1267" s="717"/>
      <c r="CF1267" s="717"/>
      <c r="CG1267" s="717"/>
      <c r="CH1267" s="717"/>
      <c r="CI1267" s="717"/>
      <c r="CJ1267" s="717"/>
      <c r="CK1267" s="717"/>
      <c r="CL1267" s="717"/>
      <c r="CM1267" s="717"/>
      <c r="CN1267" s="717"/>
      <c r="CO1267" s="717"/>
      <c r="CP1267" s="717"/>
      <c r="CQ1267" s="717"/>
      <c r="CR1267" s="717"/>
      <c r="CS1267" s="717"/>
      <c r="CT1267" s="717"/>
      <c r="CU1267" s="717"/>
      <c r="CV1267" s="717"/>
      <c r="CW1267" s="717"/>
      <c r="CX1267" s="717"/>
      <c r="CY1267" s="717"/>
      <c r="CZ1267" s="717"/>
      <c r="DA1267" s="717"/>
      <c r="DB1267" s="717"/>
      <c r="DC1267" s="717"/>
      <c r="DD1267" s="717"/>
      <c r="DE1267" s="717"/>
      <c r="DF1267" s="717"/>
      <c r="DG1267" s="717"/>
      <c r="DH1267" s="717"/>
      <c r="DI1267" s="717"/>
      <c r="DJ1267" s="717"/>
      <c r="DM1267" s="711"/>
      <c r="DN1267" s="711"/>
      <c r="DO1267" s="711"/>
      <c r="DP1267" s="711"/>
      <c r="DQ1267" s="711"/>
    </row>
    <row r="1268" spans="13:121" s="709" customFormat="1" hidden="1">
      <c r="M1268" s="710"/>
      <c r="P1268" s="711"/>
      <c r="Q1268" s="712"/>
      <c r="U1268" s="711"/>
      <c r="V1268" s="711"/>
      <c r="W1268" s="711"/>
      <c r="X1268" s="711"/>
      <c r="Y1268" s="711"/>
      <c r="Z1268" s="711"/>
      <c r="AU1268" s="713"/>
      <c r="AW1268" s="712"/>
      <c r="BY1268" s="714"/>
      <c r="BZ1268" s="715"/>
      <c r="CA1268" s="716"/>
      <c r="CB1268" s="717"/>
      <c r="CC1268" s="717"/>
      <c r="CD1268" s="717"/>
      <c r="CE1268" s="717"/>
      <c r="CF1268" s="717"/>
      <c r="CG1268" s="717"/>
      <c r="CH1268" s="717"/>
      <c r="CI1268" s="717"/>
      <c r="CJ1268" s="717"/>
      <c r="CK1268" s="717"/>
      <c r="CL1268" s="717"/>
      <c r="CM1268" s="717"/>
      <c r="CN1268" s="717"/>
      <c r="CO1268" s="717"/>
      <c r="CP1268" s="717"/>
      <c r="CQ1268" s="717"/>
      <c r="CR1268" s="717"/>
      <c r="CS1268" s="717"/>
      <c r="CT1268" s="717"/>
      <c r="CU1268" s="717"/>
      <c r="CV1268" s="717"/>
      <c r="CW1268" s="717"/>
      <c r="CX1268" s="717"/>
      <c r="CY1268" s="717"/>
      <c r="CZ1268" s="717"/>
      <c r="DA1268" s="717"/>
      <c r="DB1268" s="717"/>
      <c r="DC1268" s="717"/>
      <c r="DD1268" s="717"/>
      <c r="DE1268" s="717"/>
      <c r="DF1268" s="717"/>
      <c r="DG1268" s="717"/>
      <c r="DH1268" s="717"/>
      <c r="DI1268" s="717"/>
      <c r="DJ1268" s="717"/>
      <c r="DM1268" s="711"/>
      <c r="DN1268" s="711"/>
      <c r="DO1268" s="711"/>
      <c r="DP1268" s="711"/>
      <c r="DQ1268" s="711"/>
    </row>
    <row r="1269" spans="13:121" s="709" customFormat="1" hidden="1">
      <c r="M1269" s="710"/>
      <c r="P1269" s="711"/>
      <c r="Q1269" s="712"/>
      <c r="U1269" s="711"/>
      <c r="V1269" s="711"/>
      <c r="W1269" s="711"/>
      <c r="X1269" s="711"/>
      <c r="Y1269" s="711"/>
      <c r="Z1269" s="711"/>
      <c r="AU1269" s="713"/>
      <c r="AW1269" s="712"/>
      <c r="BY1269" s="714"/>
      <c r="BZ1269" s="715"/>
      <c r="CA1269" s="716"/>
      <c r="CB1269" s="717"/>
      <c r="CC1269" s="717"/>
      <c r="CD1269" s="717"/>
      <c r="CE1269" s="717"/>
      <c r="CF1269" s="717"/>
      <c r="CG1269" s="717"/>
      <c r="CH1269" s="717"/>
      <c r="CI1269" s="717"/>
      <c r="CJ1269" s="717"/>
      <c r="CK1269" s="717"/>
      <c r="CL1269" s="717"/>
      <c r="CM1269" s="717"/>
      <c r="CN1269" s="717"/>
      <c r="CO1269" s="717"/>
      <c r="CP1269" s="717"/>
      <c r="CQ1269" s="717"/>
      <c r="CR1269" s="717"/>
      <c r="CS1269" s="717"/>
      <c r="CT1269" s="717"/>
      <c r="CU1269" s="717"/>
      <c r="CV1269" s="717"/>
      <c r="CW1269" s="717"/>
      <c r="CX1269" s="717"/>
      <c r="CY1269" s="717"/>
      <c r="CZ1269" s="717"/>
      <c r="DA1269" s="717"/>
      <c r="DB1269" s="717"/>
      <c r="DC1269" s="717"/>
      <c r="DD1269" s="717"/>
      <c r="DE1269" s="717"/>
      <c r="DF1269" s="717"/>
      <c r="DG1269" s="717"/>
      <c r="DH1269" s="717"/>
      <c r="DI1269" s="717"/>
      <c r="DJ1269" s="717"/>
      <c r="DM1269" s="711"/>
      <c r="DN1269" s="711"/>
      <c r="DO1269" s="711"/>
      <c r="DP1269" s="711"/>
      <c r="DQ1269" s="711"/>
    </row>
    <row r="1270" spans="13:121" s="709" customFormat="1" hidden="1">
      <c r="M1270" s="710"/>
      <c r="P1270" s="711"/>
      <c r="Q1270" s="712"/>
      <c r="U1270" s="711"/>
      <c r="V1270" s="711"/>
      <c r="W1270" s="711"/>
      <c r="X1270" s="711"/>
      <c r="Y1270" s="711"/>
      <c r="Z1270" s="711"/>
      <c r="AU1270" s="713"/>
      <c r="AW1270" s="712"/>
      <c r="BY1270" s="714"/>
      <c r="BZ1270" s="715"/>
      <c r="CA1270" s="716"/>
      <c r="CB1270" s="717"/>
      <c r="CC1270" s="717"/>
      <c r="CD1270" s="717"/>
      <c r="CE1270" s="717"/>
      <c r="CF1270" s="717"/>
      <c r="CG1270" s="717"/>
      <c r="CH1270" s="717"/>
      <c r="CI1270" s="717"/>
      <c r="CJ1270" s="717"/>
      <c r="CK1270" s="717"/>
      <c r="CL1270" s="717"/>
      <c r="CM1270" s="717"/>
      <c r="CN1270" s="717"/>
      <c r="CO1270" s="717"/>
      <c r="CP1270" s="717"/>
      <c r="CQ1270" s="717"/>
      <c r="CR1270" s="717"/>
      <c r="CS1270" s="717"/>
      <c r="CT1270" s="717"/>
      <c r="CU1270" s="717"/>
      <c r="CV1270" s="717"/>
      <c r="CW1270" s="717"/>
      <c r="CX1270" s="717"/>
      <c r="CY1270" s="717"/>
      <c r="CZ1270" s="717"/>
      <c r="DA1270" s="717"/>
      <c r="DB1270" s="717"/>
      <c r="DC1270" s="717"/>
      <c r="DD1270" s="717"/>
      <c r="DE1270" s="717"/>
      <c r="DF1270" s="717"/>
      <c r="DG1270" s="717"/>
      <c r="DH1270" s="717"/>
      <c r="DI1270" s="717"/>
      <c r="DJ1270" s="717"/>
      <c r="DM1270" s="711"/>
      <c r="DN1270" s="711"/>
      <c r="DO1270" s="711"/>
      <c r="DP1270" s="711"/>
      <c r="DQ1270" s="711"/>
    </row>
    <row r="1271" spans="13:121" s="709" customFormat="1" hidden="1">
      <c r="M1271" s="710"/>
      <c r="P1271" s="711"/>
      <c r="Q1271" s="712"/>
      <c r="U1271" s="711"/>
      <c r="V1271" s="711"/>
      <c r="W1271" s="711"/>
      <c r="X1271" s="711"/>
      <c r="Y1271" s="711"/>
      <c r="Z1271" s="711"/>
      <c r="AU1271" s="713"/>
      <c r="AW1271" s="712"/>
      <c r="BY1271" s="714"/>
      <c r="BZ1271" s="715"/>
      <c r="CA1271" s="716"/>
      <c r="CB1271" s="717"/>
      <c r="CC1271" s="717"/>
      <c r="CD1271" s="717"/>
      <c r="CE1271" s="717"/>
      <c r="CF1271" s="717"/>
      <c r="CG1271" s="717"/>
      <c r="CH1271" s="717"/>
      <c r="CI1271" s="717"/>
      <c r="CJ1271" s="717"/>
      <c r="CK1271" s="717"/>
      <c r="CL1271" s="717"/>
      <c r="CM1271" s="717"/>
      <c r="CN1271" s="717"/>
      <c r="CO1271" s="717"/>
      <c r="CP1271" s="717"/>
      <c r="CQ1271" s="717"/>
      <c r="CR1271" s="717"/>
      <c r="CS1271" s="717"/>
      <c r="CT1271" s="717"/>
      <c r="CU1271" s="717"/>
      <c r="CV1271" s="717"/>
      <c r="CW1271" s="717"/>
      <c r="CX1271" s="717"/>
      <c r="CY1271" s="717"/>
      <c r="CZ1271" s="717"/>
      <c r="DA1271" s="717"/>
      <c r="DB1271" s="717"/>
      <c r="DC1271" s="717"/>
      <c r="DD1271" s="717"/>
      <c r="DE1271" s="717"/>
      <c r="DF1271" s="717"/>
      <c r="DG1271" s="717"/>
      <c r="DH1271" s="717"/>
      <c r="DI1271" s="717"/>
      <c r="DJ1271" s="717"/>
      <c r="DM1271" s="711"/>
      <c r="DN1271" s="711"/>
      <c r="DO1271" s="711"/>
      <c r="DP1271" s="711"/>
      <c r="DQ1271" s="711"/>
    </row>
    <row r="1272" spans="13:121" s="709" customFormat="1" hidden="1">
      <c r="M1272" s="710"/>
      <c r="P1272" s="711"/>
      <c r="Q1272" s="712"/>
      <c r="U1272" s="711"/>
      <c r="V1272" s="711"/>
      <c r="W1272" s="711"/>
      <c r="X1272" s="711"/>
      <c r="Y1272" s="711"/>
      <c r="Z1272" s="711"/>
      <c r="AU1272" s="713"/>
      <c r="AW1272" s="712"/>
      <c r="BY1272" s="714"/>
      <c r="BZ1272" s="715"/>
      <c r="CA1272" s="716"/>
      <c r="CB1272" s="717"/>
      <c r="CC1272" s="717"/>
      <c r="CD1272" s="717"/>
      <c r="CE1272" s="717"/>
      <c r="CF1272" s="717"/>
      <c r="CG1272" s="717"/>
      <c r="CH1272" s="717"/>
      <c r="CI1272" s="717"/>
      <c r="CJ1272" s="717"/>
      <c r="CK1272" s="717"/>
      <c r="CL1272" s="717"/>
      <c r="CM1272" s="717"/>
      <c r="CN1272" s="717"/>
      <c r="CO1272" s="717"/>
      <c r="CP1272" s="717"/>
      <c r="CQ1272" s="717"/>
      <c r="CR1272" s="717"/>
      <c r="CS1272" s="717"/>
      <c r="CT1272" s="717"/>
      <c r="CU1272" s="717"/>
      <c r="CV1272" s="717"/>
      <c r="CW1272" s="717"/>
      <c r="CX1272" s="717"/>
      <c r="CY1272" s="717"/>
      <c r="CZ1272" s="717"/>
      <c r="DA1272" s="717"/>
      <c r="DB1272" s="717"/>
      <c r="DC1272" s="717"/>
      <c r="DD1272" s="717"/>
      <c r="DE1272" s="717"/>
      <c r="DF1272" s="717"/>
      <c r="DG1272" s="717"/>
      <c r="DH1272" s="717"/>
      <c r="DI1272" s="717"/>
      <c r="DJ1272" s="717"/>
      <c r="DM1272" s="711"/>
      <c r="DN1272" s="711"/>
      <c r="DO1272" s="711"/>
      <c r="DP1272" s="711"/>
      <c r="DQ1272" s="711"/>
    </row>
    <row r="1273" spans="13:121" s="709" customFormat="1" hidden="1">
      <c r="M1273" s="710"/>
      <c r="P1273" s="711"/>
      <c r="Q1273" s="712"/>
      <c r="U1273" s="711"/>
      <c r="V1273" s="711"/>
      <c r="W1273" s="711"/>
      <c r="X1273" s="711"/>
      <c r="Y1273" s="711"/>
      <c r="Z1273" s="711"/>
      <c r="AU1273" s="713"/>
      <c r="AW1273" s="712"/>
      <c r="BY1273" s="714"/>
      <c r="BZ1273" s="715"/>
      <c r="CA1273" s="716"/>
      <c r="CB1273" s="717"/>
      <c r="CC1273" s="717"/>
      <c r="CD1273" s="717"/>
      <c r="CE1273" s="717"/>
      <c r="CF1273" s="717"/>
      <c r="CG1273" s="717"/>
      <c r="CH1273" s="717"/>
      <c r="CI1273" s="717"/>
      <c r="CJ1273" s="717"/>
      <c r="CK1273" s="717"/>
      <c r="CL1273" s="717"/>
      <c r="CM1273" s="717"/>
      <c r="CN1273" s="717"/>
      <c r="CO1273" s="717"/>
      <c r="CP1273" s="717"/>
      <c r="CQ1273" s="717"/>
      <c r="CR1273" s="717"/>
      <c r="CS1273" s="717"/>
      <c r="CT1273" s="717"/>
      <c r="CU1273" s="717"/>
      <c r="CV1273" s="717"/>
      <c r="CW1273" s="717"/>
      <c r="CX1273" s="717"/>
      <c r="CY1273" s="717"/>
      <c r="CZ1273" s="717"/>
      <c r="DA1273" s="717"/>
      <c r="DB1273" s="717"/>
      <c r="DC1273" s="717"/>
      <c r="DD1273" s="717"/>
      <c r="DE1273" s="717"/>
      <c r="DF1273" s="717"/>
      <c r="DG1273" s="717"/>
      <c r="DH1273" s="717"/>
      <c r="DI1273" s="717"/>
      <c r="DJ1273" s="717"/>
      <c r="DM1273" s="711"/>
      <c r="DN1273" s="711"/>
      <c r="DO1273" s="711"/>
      <c r="DP1273" s="711"/>
      <c r="DQ1273" s="711"/>
    </row>
    <row r="1274" spans="13:121" s="709" customFormat="1" hidden="1">
      <c r="M1274" s="710"/>
      <c r="P1274" s="711"/>
      <c r="Q1274" s="712"/>
      <c r="U1274" s="711"/>
      <c r="V1274" s="711"/>
      <c r="W1274" s="711"/>
      <c r="X1274" s="711"/>
      <c r="Y1274" s="711"/>
      <c r="Z1274" s="711"/>
      <c r="AU1274" s="713"/>
      <c r="AW1274" s="712"/>
      <c r="BY1274" s="714"/>
      <c r="BZ1274" s="715"/>
      <c r="CA1274" s="716"/>
      <c r="CB1274" s="717"/>
      <c r="CC1274" s="717"/>
      <c r="CD1274" s="717"/>
      <c r="CE1274" s="717"/>
      <c r="CF1274" s="717"/>
      <c r="CG1274" s="717"/>
      <c r="CH1274" s="717"/>
      <c r="CI1274" s="717"/>
      <c r="CJ1274" s="717"/>
      <c r="CK1274" s="717"/>
      <c r="CL1274" s="717"/>
      <c r="CM1274" s="717"/>
      <c r="CN1274" s="717"/>
      <c r="CO1274" s="717"/>
      <c r="CP1274" s="717"/>
      <c r="CQ1274" s="717"/>
      <c r="CR1274" s="717"/>
      <c r="CS1274" s="717"/>
      <c r="CT1274" s="717"/>
      <c r="CU1274" s="717"/>
      <c r="CV1274" s="717"/>
      <c r="CW1274" s="717"/>
      <c r="CX1274" s="717"/>
      <c r="CY1274" s="717"/>
      <c r="CZ1274" s="717"/>
      <c r="DA1274" s="717"/>
      <c r="DB1274" s="717"/>
      <c r="DC1274" s="717"/>
      <c r="DD1274" s="717"/>
      <c r="DE1274" s="717"/>
      <c r="DF1274" s="717"/>
      <c r="DG1274" s="717"/>
      <c r="DH1274" s="717"/>
      <c r="DI1274" s="717"/>
      <c r="DJ1274" s="717"/>
      <c r="DM1274" s="711"/>
      <c r="DN1274" s="711"/>
      <c r="DO1274" s="711"/>
      <c r="DP1274" s="711"/>
      <c r="DQ1274" s="711"/>
    </row>
    <row r="1275" spans="13:121" s="709" customFormat="1" hidden="1">
      <c r="M1275" s="710"/>
      <c r="P1275" s="711"/>
      <c r="Q1275" s="712"/>
      <c r="U1275" s="711"/>
      <c r="V1275" s="711"/>
      <c r="W1275" s="711"/>
      <c r="X1275" s="711"/>
      <c r="Y1275" s="711"/>
      <c r="Z1275" s="711"/>
      <c r="AU1275" s="713"/>
      <c r="AW1275" s="712"/>
      <c r="BY1275" s="714"/>
      <c r="BZ1275" s="715"/>
      <c r="CA1275" s="716"/>
      <c r="CB1275" s="717"/>
      <c r="CC1275" s="717"/>
      <c r="CD1275" s="717"/>
      <c r="CE1275" s="717"/>
      <c r="CF1275" s="717"/>
      <c r="CG1275" s="717"/>
      <c r="CH1275" s="717"/>
      <c r="CI1275" s="717"/>
      <c r="CJ1275" s="717"/>
      <c r="CK1275" s="717"/>
      <c r="CL1275" s="717"/>
      <c r="CM1275" s="717"/>
      <c r="CN1275" s="717"/>
      <c r="CO1275" s="717"/>
      <c r="CP1275" s="717"/>
      <c r="CQ1275" s="717"/>
      <c r="CR1275" s="717"/>
      <c r="CS1275" s="717"/>
      <c r="CT1275" s="717"/>
      <c r="CU1275" s="717"/>
      <c r="CV1275" s="717"/>
      <c r="CW1275" s="717"/>
      <c r="CX1275" s="717"/>
      <c r="CY1275" s="717"/>
      <c r="CZ1275" s="717"/>
      <c r="DA1275" s="717"/>
      <c r="DB1275" s="717"/>
      <c r="DC1275" s="717"/>
      <c r="DD1275" s="717"/>
      <c r="DE1275" s="717"/>
      <c r="DF1275" s="717"/>
      <c r="DG1275" s="717"/>
      <c r="DH1275" s="717"/>
      <c r="DI1275" s="717"/>
      <c r="DJ1275" s="717"/>
      <c r="DM1275" s="711"/>
      <c r="DN1275" s="711"/>
      <c r="DO1275" s="711"/>
      <c r="DP1275" s="711"/>
      <c r="DQ1275" s="711"/>
    </row>
    <row r="1276" spans="13:121" s="709" customFormat="1" hidden="1">
      <c r="M1276" s="710"/>
      <c r="P1276" s="711"/>
      <c r="Q1276" s="712"/>
      <c r="U1276" s="711"/>
      <c r="V1276" s="711"/>
      <c r="W1276" s="711"/>
      <c r="X1276" s="711"/>
      <c r="Y1276" s="711"/>
      <c r="Z1276" s="711"/>
      <c r="AU1276" s="713"/>
      <c r="AW1276" s="712"/>
      <c r="BY1276" s="714"/>
      <c r="BZ1276" s="715"/>
      <c r="CA1276" s="716"/>
      <c r="CB1276" s="717"/>
      <c r="CC1276" s="717"/>
      <c r="CD1276" s="717"/>
      <c r="CE1276" s="717"/>
      <c r="CF1276" s="717"/>
      <c r="CG1276" s="717"/>
      <c r="CH1276" s="717"/>
      <c r="CI1276" s="717"/>
      <c r="CJ1276" s="717"/>
      <c r="CK1276" s="717"/>
      <c r="CL1276" s="717"/>
      <c r="CM1276" s="717"/>
      <c r="CN1276" s="717"/>
      <c r="CO1276" s="717"/>
      <c r="CP1276" s="717"/>
      <c r="CQ1276" s="717"/>
      <c r="CR1276" s="717"/>
      <c r="CS1276" s="717"/>
      <c r="CT1276" s="717"/>
      <c r="CU1276" s="717"/>
      <c r="CV1276" s="717"/>
      <c r="CW1276" s="717"/>
      <c r="CX1276" s="717"/>
      <c r="CY1276" s="717"/>
      <c r="CZ1276" s="717"/>
      <c r="DA1276" s="717"/>
      <c r="DB1276" s="717"/>
      <c r="DC1276" s="717"/>
      <c r="DD1276" s="717"/>
      <c r="DE1276" s="717"/>
      <c r="DF1276" s="717"/>
      <c r="DG1276" s="717"/>
      <c r="DH1276" s="717"/>
      <c r="DI1276" s="717"/>
      <c r="DJ1276" s="717"/>
      <c r="DM1276" s="711"/>
      <c r="DN1276" s="711"/>
      <c r="DO1276" s="711"/>
      <c r="DP1276" s="711"/>
      <c r="DQ1276" s="711"/>
    </row>
    <row r="1277" spans="13:121" s="709" customFormat="1" hidden="1">
      <c r="M1277" s="710"/>
      <c r="P1277" s="711"/>
      <c r="Q1277" s="712"/>
      <c r="U1277" s="711"/>
      <c r="V1277" s="711"/>
      <c r="W1277" s="711"/>
      <c r="X1277" s="711"/>
      <c r="Y1277" s="711"/>
      <c r="Z1277" s="711"/>
      <c r="AU1277" s="713"/>
      <c r="AW1277" s="712"/>
      <c r="BY1277" s="714"/>
      <c r="BZ1277" s="715"/>
      <c r="CA1277" s="716"/>
      <c r="CB1277" s="717"/>
      <c r="CC1277" s="717"/>
      <c r="CD1277" s="717"/>
      <c r="CE1277" s="717"/>
      <c r="CF1277" s="717"/>
      <c r="CG1277" s="717"/>
      <c r="CH1277" s="717"/>
      <c r="CI1277" s="717"/>
      <c r="CJ1277" s="717"/>
      <c r="CK1277" s="717"/>
      <c r="CL1277" s="717"/>
      <c r="CM1277" s="717"/>
      <c r="CN1277" s="717"/>
      <c r="CO1277" s="717"/>
      <c r="CP1277" s="717"/>
      <c r="CQ1277" s="717"/>
      <c r="CR1277" s="717"/>
      <c r="CS1277" s="717"/>
      <c r="CT1277" s="717"/>
      <c r="CU1277" s="717"/>
      <c r="CV1277" s="717"/>
      <c r="CW1277" s="717"/>
      <c r="CX1277" s="717"/>
      <c r="CY1277" s="717"/>
      <c r="CZ1277" s="717"/>
      <c r="DA1277" s="717"/>
      <c r="DB1277" s="717"/>
      <c r="DC1277" s="717"/>
      <c r="DD1277" s="717"/>
      <c r="DE1277" s="717"/>
      <c r="DF1277" s="717"/>
      <c r="DG1277" s="717"/>
      <c r="DH1277" s="717"/>
      <c r="DI1277" s="717"/>
      <c r="DJ1277" s="717"/>
      <c r="DM1277" s="711"/>
      <c r="DN1277" s="711"/>
      <c r="DO1277" s="711"/>
      <c r="DP1277" s="711"/>
      <c r="DQ1277" s="711"/>
    </row>
    <row r="1278" spans="13:121" s="709" customFormat="1" hidden="1">
      <c r="M1278" s="710"/>
      <c r="P1278" s="711"/>
      <c r="Q1278" s="712"/>
      <c r="U1278" s="711"/>
      <c r="V1278" s="711"/>
      <c r="W1278" s="711"/>
      <c r="X1278" s="711"/>
      <c r="Y1278" s="711"/>
      <c r="Z1278" s="711"/>
      <c r="AU1278" s="713"/>
      <c r="AW1278" s="712"/>
      <c r="BY1278" s="714"/>
      <c r="BZ1278" s="715"/>
      <c r="CA1278" s="716"/>
      <c r="CB1278" s="717"/>
      <c r="CC1278" s="717"/>
      <c r="CD1278" s="717"/>
      <c r="CE1278" s="717"/>
      <c r="CF1278" s="717"/>
      <c r="CG1278" s="717"/>
      <c r="CH1278" s="717"/>
      <c r="CI1278" s="717"/>
      <c r="CJ1278" s="717"/>
      <c r="CK1278" s="717"/>
      <c r="CL1278" s="717"/>
      <c r="CM1278" s="717"/>
      <c r="CN1278" s="717"/>
      <c r="CO1278" s="717"/>
      <c r="CP1278" s="717"/>
      <c r="CQ1278" s="717"/>
      <c r="CR1278" s="717"/>
      <c r="CS1278" s="717"/>
      <c r="CT1278" s="717"/>
      <c r="CU1278" s="717"/>
      <c r="CV1278" s="717"/>
      <c r="CW1278" s="717"/>
      <c r="CX1278" s="717"/>
      <c r="CY1278" s="717"/>
      <c r="CZ1278" s="717"/>
      <c r="DA1278" s="717"/>
      <c r="DB1278" s="717"/>
      <c r="DC1278" s="717"/>
      <c r="DD1278" s="717"/>
      <c r="DE1278" s="717"/>
      <c r="DF1278" s="717"/>
      <c r="DG1278" s="717"/>
      <c r="DH1278" s="717"/>
      <c r="DI1278" s="717"/>
      <c r="DJ1278" s="717"/>
      <c r="DM1278" s="711"/>
      <c r="DN1278" s="711"/>
      <c r="DO1278" s="711"/>
      <c r="DP1278" s="711"/>
      <c r="DQ1278" s="711"/>
    </row>
    <row r="1279" spans="13:121" s="709" customFormat="1" hidden="1">
      <c r="M1279" s="710"/>
      <c r="P1279" s="711"/>
      <c r="Q1279" s="712"/>
      <c r="U1279" s="711"/>
      <c r="V1279" s="711"/>
      <c r="W1279" s="711"/>
      <c r="X1279" s="711"/>
      <c r="Y1279" s="711"/>
      <c r="Z1279" s="711"/>
      <c r="AU1279" s="713"/>
      <c r="AW1279" s="712"/>
      <c r="BY1279" s="714"/>
      <c r="BZ1279" s="715"/>
      <c r="CA1279" s="716"/>
      <c r="CB1279" s="717"/>
      <c r="CC1279" s="717"/>
      <c r="CD1279" s="717"/>
      <c r="CE1279" s="717"/>
      <c r="CF1279" s="717"/>
      <c r="CG1279" s="717"/>
      <c r="CH1279" s="717"/>
      <c r="CI1279" s="717"/>
      <c r="CJ1279" s="717"/>
      <c r="CK1279" s="717"/>
      <c r="CL1279" s="717"/>
      <c r="CM1279" s="717"/>
      <c r="CN1279" s="717"/>
      <c r="CO1279" s="717"/>
      <c r="CP1279" s="717"/>
      <c r="CQ1279" s="717"/>
      <c r="CR1279" s="717"/>
      <c r="CS1279" s="717"/>
      <c r="CT1279" s="717"/>
      <c r="CU1279" s="717"/>
      <c r="CV1279" s="717"/>
      <c r="CW1279" s="717"/>
      <c r="CX1279" s="717"/>
      <c r="CY1279" s="717"/>
      <c r="CZ1279" s="717"/>
      <c r="DA1279" s="717"/>
      <c r="DB1279" s="717"/>
      <c r="DC1279" s="717"/>
      <c r="DD1279" s="717"/>
      <c r="DE1279" s="717"/>
      <c r="DF1279" s="717"/>
      <c r="DG1279" s="717"/>
      <c r="DH1279" s="717"/>
      <c r="DI1279" s="717"/>
      <c r="DJ1279" s="717"/>
      <c r="DM1279" s="711"/>
      <c r="DN1279" s="711"/>
      <c r="DO1279" s="711"/>
      <c r="DP1279" s="711"/>
      <c r="DQ1279" s="711"/>
    </row>
    <row r="1280" spans="13:121" s="709" customFormat="1" hidden="1">
      <c r="M1280" s="710"/>
      <c r="P1280" s="711"/>
      <c r="Q1280" s="712"/>
      <c r="U1280" s="711"/>
      <c r="V1280" s="711"/>
      <c r="W1280" s="711"/>
      <c r="X1280" s="711"/>
      <c r="Y1280" s="711"/>
      <c r="Z1280" s="711"/>
      <c r="AU1280" s="713"/>
      <c r="AW1280" s="712"/>
      <c r="BY1280" s="714"/>
      <c r="BZ1280" s="715"/>
      <c r="CA1280" s="716"/>
      <c r="CB1280" s="717"/>
      <c r="CC1280" s="717"/>
      <c r="CD1280" s="717"/>
      <c r="CE1280" s="717"/>
      <c r="CF1280" s="717"/>
      <c r="CG1280" s="717"/>
      <c r="CH1280" s="717"/>
      <c r="CI1280" s="717"/>
      <c r="CJ1280" s="717"/>
      <c r="CK1280" s="717"/>
      <c r="CL1280" s="717"/>
      <c r="CM1280" s="717"/>
      <c r="CN1280" s="717"/>
      <c r="CO1280" s="717"/>
      <c r="CP1280" s="717"/>
      <c r="CQ1280" s="717"/>
      <c r="CR1280" s="717"/>
      <c r="CS1280" s="717"/>
      <c r="CT1280" s="717"/>
      <c r="CU1280" s="717"/>
      <c r="CV1280" s="717"/>
      <c r="CW1280" s="717"/>
      <c r="CX1280" s="717"/>
      <c r="CY1280" s="717"/>
      <c r="CZ1280" s="717"/>
      <c r="DA1280" s="717"/>
      <c r="DB1280" s="717"/>
      <c r="DC1280" s="717"/>
      <c r="DD1280" s="717"/>
      <c r="DE1280" s="717"/>
      <c r="DF1280" s="717"/>
      <c r="DG1280" s="717"/>
      <c r="DH1280" s="717"/>
      <c r="DI1280" s="717"/>
      <c r="DJ1280" s="717"/>
      <c r="DM1280" s="711"/>
      <c r="DN1280" s="711"/>
      <c r="DO1280" s="711"/>
      <c r="DP1280" s="711"/>
      <c r="DQ1280" s="711"/>
    </row>
    <row r="1281" spans="13:121" s="709" customFormat="1" hidden="1">
      <c r="M1281" s="710"/>
      <c r="P1281" s="711"/>
      <c r="Q1281" s="712"/>
      <c r="U1281" s="711"/>
      <c r="V1281" s="711"/>
      <c r="W1281" s="711"/>
      <c r="X1281" s="711"/>
      <c r="Y1281" s="711"/>
      <c r="Z1281" s="711"/>
      <c r="AU1281" s="713"/>
      <c r="AW1281" s="712"/>
      <c r="BY1281" s="714"/>
      <c r="BZ1281" s="715"/>
      <c r="CA1281" s="716"/>
      <c r="CB1281" s="717"/>
      <c r="CC1281" s="717"/>
      <c r="CD1281" s="717"/>
      <c r="CE1281" s="717"/>
      <c r="CF1281" s="717"/>
      <c r="CG1281" s="717"/>
      <c r="CH1281" s="717"/>
      <c r="CI1281" s="717"/>
      <c r="CJ1281" s="717"/>
      <c r="CK1281" s="717"/>
      <c r="CL1281" s="717"/>
      <c r="CM1281" s="717"/>
      <c r="CN1281" s="717"/>
      <c r="CO1281" s="717"/>
      <c r="CP1281" s="717"/>
      <c r="CQ1281" s="717"/>
      <c r="CR1281" s="717"/>
      <c r="CS1281" s="717"/>
      <c r="CT1281" s="717"/>
      <c r="CU1281" s="717"/>
      <c r="CV1281" s="717"/>
      <c r="CW1281" s="717"/>
      <c r="CX1281" s="717"/>
      <c r="CY1281" s="717"/>
      <c r="CZ1281" s="717"/>
      <c r="DA1281" s="717"/>
      <c r="DB1281" s="717"/>
      <c r="DC1281" s="717"/>
      <c r="DD1281" s="717"/>
      <c r="DE1281" s="717"/>
      <c r="DF1281" s="717"/>
      <c r="DG1281" s="717"/>
      <c r="DH1281" s="717"/>
      <c r="DI1281" s="717"/>
      <c r="DJ1281" s="717"/>
      <c r="DM1281" s="711"/>
      <c r="DN1281" s="711"/>
      <c r="DO1281" s="711"/>
      <c r="DP1281" s="711"/>
      <c r="DQ1281" s="711"/>
    </row>
    <row r="1282" spans="13:121" s="709" customFormat="1" hidden="1">
      <c r="M1282" s="710"/>
      <c r="P1282" s="711"/>
      <c r="Q1282" s="712"/>
      <c r="U1282" s="711"/>
      <c r="V1282" s="711"/>
      <c r="W1282" s="711"/>
      <c r="X1282" s="711"/>
      <c r="Y1282" s="711"/>
      <c r="Z1282" s="711"/>
      <c r="AU1282" s="713"/>
      <c r="AW1282" s="712"/>
      <c r="BY1282" s="714"/>
      <c r="BZ1282" s="715"/>
      <c r="CA1282" s="716"/>
      <c r="CB1282" s="717"/>
      <c r="CC1282" s="717"/>
      <c r="CD1282" s="717"/>
      <c r="CE1282" s="717"/>
      <c r="CF1282" s="717"/>
      <c r="CG1282" s="717"/>
      <c r="CH1282" s="717"/>
      <c r="CI1282" s="717"/>
      <c r="CJ1282" s="717"/>
      <c r="CK1282" s="717"/>
      <c r="CL1282" s="717"/>
      <c r="CM1282" s="717"/>
      <c r="CN1282" s="717"/>
      <c r="CO1282" s="717"/>
      <c r="CP1282" s="717"/>
      <c r="CQ1282" s="717"/>
      <c r="CR1282" s="717"/>
      <c r="CS1282" s="717"/>
      <c r="CT1282" s="717"/>
      <c r="CU1282" s="717"/>
      <c r="CV1282" s="717"/>
      <c r="CW1282" s="717"/>
      <c r="CX1282" s="717"/>
      <c r="CY1282" s="717"/>
      <c r="CZ1282" s="717"/>
      <c r="DA1282" s="717"/>
      <c r="DB1282" s="717"/>
      <c r="DC1282" s="717"/>
      <c r="DD1282" s="717"/>
      <c r="DE1282" s="717"/>
      <c r="DF1282" s="717"/>
      <c r="DG1282" s="717"/>
      <c r="DH1282" s="717"/>
      <c r="DI1282" s="717"/>
      <c r="DJ1282" s="717"/>
      <c r="DM1282" s="711"/>
      <c r="DN1282" s="711"/>
      <c r="DO1282" s="711"/>
      <c r="DP1282" s="711"/>
      <c r="DQ1282" s="711"/>
    </row>
    <row r="1283" spans="13:121" s="709" customFormat="1" hidden="1">
      <c r="M1283" s="710"/>
      <c r="P1283" s="711"/>
      <c r="Q1283" s="712"/>
      <c r="U1283" s="711"/>
      <c r="V1283" s="711"/>
      <c r="W1283" s="711"/>
      <c r="X1283" s="711"/>
      <c r="Y1283" s="711"/>
      <c r="Z1283" s="711"/>
      <c r="AU1283" s="713"/>
      <c r="AW1283" s="712"/>
      <c r="BY1283" s="714"/>
      <c r="BZ1283" s="715"/>
      <c r="CA1283" s="716"/>
      <c r="CB1283" s="717"/>
      <c r="CC1283" s="717"/>
      <c r="CD1283" s="717"/>
      <c r="CE1283" s="717"/>
      <c r="CF1283" s="717"/>
      <c r="CG1283" s="717"/>
      <c r="CH1283" s="717"/>
      <c r="CI1283" s="717"/>
      <c r="CJ1283" s="717"/>
      <c r="CK1283" s="717"/>
      <c r="CL1283" s="717"/>
      <c r="CM1283" s="717"/>
      <c r="CN1283" s="717"/>
      <c r="CO1283" s="717"/>
      <c r="CP1283" s="717"/>
      <c r="CQ1283" s="717"/>
      <c r="CR1283" s="717"/>
      <c r="CS1283" s="717"/>
      <c r="CT1283" s="717"/>
      <c r="CU1283" s="717"/>
      <c r="CV1283" s="717"/>
      <c r="CW1283" s="717"/>
      <c r="CX1283" s="717"/>
      <c r="CY1283" s="717"/>
      <c r="CZ1283" s="717"/>
      <c r="DA1283" s="717"/>
      <c r="DB1283" s="717"/>
      <c r="DC1283" s="717"/>
      <c r="DD1283" s="717"/>
      <c r="DE1283" s="717"/>
      <c r="DF1283" s="717"/>
      <c r="DG1283" s="717"/>
      <c r="DH1283" s="717"/>
      <c r="DI1283" s="717"/>
      <c r="DJ1283" s="717"/>
      <c r="DM1283" s="711"/>
      <c r="DN1283" s="711"/>
      <c r="DO1283" s="711"/>
      <c r="DP1283" s="711"/>
      <c r="DQ1283" s="711"/>
    </row>
    <row r="1284" spans="13:121" s="709" customFormat="1" hidden="1">
      <c r="M1284" s="710"/>
      <c r="P1284" s="711"/>
      <c r="Q1284" s="712"/>
      <c r="U1284" s="711"/>
      <c r="V1284" s="711"/>
      <c r="W1284" s="711"/>
      <c r="X1284" s="711"/>
      <c r="Y1284" s="711"/>
      <c r="Z1284" s="711"/>
      <c r="AU1284" s="713"/>
      <c r="AW1284" s="712"/>
      <c r="BY1284" s="714"/>
      <c r="BZ1284" s="715"/>
      <c r="CA1284" s="716"/>
      <c r="CB1284" s="717"/>
      <c r="CC1284" s="717"/>
      <c r="CD1284" s="717"/>
      <c r="CE1284" s="717"/>
      <c r="CF1284" s="717"/>
      <c r="CG1284" s="717"/>
      <c r="CH1284" s="717"/>
      <c r="CI1284" s="717"/>
      <c r="CJ1284" s="717"/>
      <c r="CK1284" s="717"/>
      <c r="CL1284" s="717"/>
      <c r="CM1284" s="717"/>
      <c r="CN1284" s="717"/>
      <c r="CO1284" s="717"/>
      <c r="CP1284" s="717"/>
      <c r="CQ1284" s="717"/>
      <c r="CR1284" s="717"/>
      <c r="CS1284" s="717"/>
      <c r="CT1284" s="717"/>
      <c r="CU1284" s="717"/>
      <c r="CV1284" s="717"/>
      <c r="CW1284" s="717"/>
      <c r="CX1284" s="717"/>
      <c r="CY1284" s="717"/>
      <c r="CZ1284" s="717"/>
      <c r="DA1284" s="717"/>
      <c r="DB1284" s="717"/>
      <c r="DC1284" s="717"/>
      <c r="DD1284" s="717"/>
      <c r="DE1284" s="717"/>
      <c r="DF1284" s="717"/>
      <c r="DG1284" s="717"/>
      <c r="DH1284" s="717"/>
      <c r="DI1284" s="717"/>
      <c r="DJ1284" s="717"/>
      <c r="DM1284" s="711"/>
      <c r="DN1284" s="711"/>
      <c r="DO1284" s="711"/>
      <c r="DP1284" s="711"/>
      <c r="DQ1284" s="711"/>
    </row>
    <row r="1285" spans="13:121" s="709" customFormat="1" hidden="1">
      <c r="M1285" s="710"/>
      <c r="P1285" s="711"/>
      <c r="Q1285" s="712"/>
      <c r="U1285" s="711"/>
      <c r="V1285" s="711"/>
      <c r="W1285" s="711"/>
      <c r="X1285" s="711"/>
      <c r="Y1285" s="711"/>
      <c r="Z1285" s="711"/>
      <c r="AU1285" s="713"/>
      <c r="AW1285" s="712"/>
      <c r="BY1285" s="714"/>
      <c r="BZ1285" s="715"/>
      <c r="CA1285" s="716"/>
      <c r="CB1285" s="717"/>
      <c r="CC1285" s="717"/>
      <c r="CD1285" s="717"/>
      <c r="CE1285" s="717"/>
      <c r="CF1285" s="717"/>
      <c r="CG1285" s="717"/>
      <c r="CH1285" s="717"/>
      <c r="CI1285" s="717"/>
      <c r="CJ1285" s="717"/>
      <c r="CK1285" s="717"/>
      <c r="CL1285" s="717"/>
      <c r="CM1285" s="717"/>
      <c r="CN1285" s="717"/>
      <c r="CO1285" s="717"/>
      <c r="CP1285" s="717"/>
      <c r="CQ1285" s="717"/>
      <c r="CR1285" s="717"/>
      <c r="CS1285" s="717"/>
      <c r="CT1285" s="717"/>
      <c r="CU1285" s="717"/>
      <c r="CV1285" s="717"/>
      <c r="CW1285" s="717"/>
      <c r="CX1285" s="717"/>
      <c r="CY1285" s="717"/>
      <c r="CZ1285" s="717"/>
      <c r="DA1285" s="717"/>
      <c r="DB1285" s="717"/>
      <c r="DC1285" s="717"/>
      <c r="DD1285" s="717"/>
      <c r="DE1285" s="717"/>
      <c r="DF1285" s="717"/>
      <c r="DG1285" s="717"/>
      <c r="DH1285" s="717"/>
      <c r="DI1285" s="717"/>
      <c r="DJ1285" s="717"/>
      <c r="DM1285" s="711"/>
      <c r="DN1285" s="711"/>
      <c r="DO1285" s="711"/>
      <c r="DP1285" s="711"/>
      <c r="DQ1285" s="711"/>
    </row>
    <row r="1286" spans="13:121" s="709" customFormat="1" hidden="1">
      <c r="M1286" s="710"/>
      <c r="P1286" s="711"/>
      <c r="Q1286" s="712"/>
      <c r="U1286" s="711"/>
      <c r="V1286" s="711"/>
      <c r="W1286" s="711"/>
      <c r="X1286" s="711"/>
      <c r="Y1286" s="711"/>
      <c r="Z1286" s="711"/>
      <c r="AU1286" s="713"/>
      <c r="AW1286" s="712"/>
      <c r="BY1286" s="714"/>
      <c r="BZ1286" s="715"/>
      <c r="CA1286" s="716"/>
      <c r="CB1286" s="717"/>
      <c r="CC1286" s="717"/>
      <c r="CD1286" s="717"/>
      <c r="CE1286" s="717"/>
      <c r="CF1286" s="717"/>
      <c r="CG1286" s="717"/>
      <c r="CH1286" s="717"/>
      <c r="CI1286" s="717"/>
      <c r="CJ1286" s="717"/>
      <c r="CK1286" s="717"/>
      <c r="CL1286" s="717"/>
      <c r="CM1286" s="717"/>
      <c r="CN1286" s="717"/>
      <c r="CO1286" s="717"/>
      <c r="CP1286" s="717"/>
      <c r="CQ1286" s="717"/>
      <c r="CR1286" s="717"/>
      <c r="CS1286" s="717"/>
      <c r="CT1286" s="717"/>
      <c r="CU1286" s="717"/>
      <c r="CV1286" s="717"/>
      <c r="CW1286" s="717"/>
      <c r="CX1286" s="717"/>
      <c r="CY1286" s="717"/>
      <c r="CZ1286" s="717"/>
      <c r="DA1286" s="717"/>
      <c r="DB1286" s="717"/>
      <c r="DC1286" s="717"/>
      <c r="DD1286" s="717"/>
      <c r="DE1286" s="717"/>
      <c r="DF1286" s="717"/>
      <c r="DG1286" s="717"/>
      <c r="DH1286" s="717"/>
      <c r="DI1286" s="717"/>
      <c r="DJ1286" s="717"/>
      <c r="DM1286" s="711"/>
      <c r="DN1286" s="711"/>
      <c r="DO1286" s="711"/>
      <c r="DP1286" s="711"/>
      <c r="DQ1286" s="711"/>
    </row>
    <row r="1287" spans="13:121" s="709" customFormat="1" hidden="1">
      <c r="M1287" s="710"/>
      <c r="P1287" s="711"/>
      <c r="Q1287" s="712"/>
      <c r="U1287" s="711"/>
      <c r="V1287" s="711"/>
      <c r="W1287" s="711"/>
      <c r="X1287" s="711"/>
      <c r="Y1287" s="711"/>
      <c r="Z1287" s="711"/>
      <c r="AU1287" s="713"/>
      <c r="AW1287" s="712"/>
      <c r="BY1287" s="714"/>
      <c r="BZ1287" s="715"/>
      <c r="CA1287" s="716"/>
      <c r="CB1287" s="717"/>
      <c r="CC1287" s="717"/>
      <c r="CD1287" s="717"/>
      <c r="CE1287" s="717"/>
      <c r="CF1287" s="717"/>
      <c r="CG1287" s="717"/>
      <c r="CH1287" s="717"/>
      <c r="CI1287" s="717"/>
      <c r="CJ1287" s="717"/>
      <c r="CK1287" s="717"/>
      <c r="CL1287" s="717"/>
      <c r="CM1287" s="717"/>
      <c r="CN1287" s="717"/>
      <c r="CO1287" s="717"/>
      <c r="CP1287" s="717"/>
      <c r="CQ1287" s="717"/>
      <c r="CR1287" s="717"/>
      <c r="CS1287" s="717"/>
      <c r="CT1287" s="717"/>
      <c r="CU1287" s="717"/>
      <c r="CV1287" s="717"/>
      <c r="CW1287" s="717"/>
      <c r="CX1287" s="717"/>
      <c r="CY1287" s="717"/>
      <c r="CZ1287" s="717"/>
      <c r="DA1287" s="717"/>
      <c r="DB1287" s="717"/>
      <c r="DC1287" s="717"/>
      <c r="DD1287" s="717"/>
      <c r="DE1287" s="717"/>
      <c r="DF1287" s="717"/>
      <c r="DG1287" s="717"/>
      <c r="DH1287" s="717"/>
      <c r="DI1287" s="717"/>
      <c r="DJ1287" s="717"/>
      <c r="DM1287" s="711"/>
      <c r="DN1287" s="711"/>
      <c r="DO1287" s="711"/>
      <c r="DP1287" s="711"/>
      <c r="DQ1287" s="711"/>
    </row>
    <row r="1288" spans="13:121" s="709" customFormat="1" hidden="1">
      <c r="M1288" s="710"/>
      <c r="P1288" s="711"/>
      <c r="Q1288" s="712"/>
      <c r="U1288" s="711"/>
      <c r="V1288" s="711"/>
      <c r="W1288" s="711"/>
      <c r="X1288" s="711"/>
      <c r="Y1288" s="711"/>
      <c r="Z1288" s="711"/>
      <c r="AU1288" s="713"/>
      <c r="AW1288" s="712"/>
      <c r="BY1288" s="714"/>
      <c r="BZ1288" s="715"/>
      <c r="CA1288" s="716"/>
      <c r="CB1288" s="717"/>
      <c r="CC1288" s="717"/>
      <c r="CD1288" s="717"/>
      <c r="CE1288" s="717"/>
      <c r="CF1288" s="717"/>
      <c r="CG1288" s="717"/>
      <c r="CH1288" s="717"/>
      <c r="CI1288" s="717"/>
      <c r="CJ1288" s="717"/>
      <c r="CK1288" s="717"/>
      <c r="CL1288" s="717"/>
      <c r="CM1288" s="717"/>
      <c r="CN1288" s="717"/>
      <c r="CO1288" s="717"/>
      <c r="CP1288" s="717"/>
      <c r="CQ1288" s="717"/>
      <c r="CR1288" s="717"/>
      <c r="CS1288" s="717"/>
      <c r="CT1288" s="717"/>
      <c r="CU1288" s="717"/>
      <c r="CV1288" s="717"/>
      <c r="CW1288" s="717"/>
      <c r="CX1288" s="717"/>
      <c r="CY1288" s="717"/>
      <c r="CZ1288" s="717"/>
      <c r="DA1288" s="717"/>
      <c r="DB1288" s="717"/>
      <c r="DC1288" s="717"/>
      <c r="DD1288" s="717"/>
      <c r="DE1288" s="717"/>
      <c r="DF1288" s="717"/>
      <c r="DG1288" s="717"/>
      <c r="DH1288" s="717"/>
      <c r="DI1288" s="717"/>
      <c r="DJ1288" s="717"/>
      <c r="DM1288" s="711"/>
      <c r="DN1288" s="711"/>
      <c r="DO1288" s="711"/>
      <c r="DP1288" s="711"/>
      <c r="DQ1288" s="711"/>
    </row>
    <row r="1289" spans="13:121" s="709" customFormat="1" hidden="1">
      <c r="M1289" s="710"/>
      <c r="P1289" s="711"/>
      <c r="Q1289" s="712"/>
      <c r="U1289" s="711"/>
      <c r="V1289" s="711"/>
      <c r="W1289" s="711"/>
      <c r="X1289" s="711"/>
      <c r="Y1289" s="711"/>
      <c r="Z1289" s="711"/>
      <c r="AU1289" s="713"/>
      <c r="AW1289" s="712"/>
      <c r="BY1289" s="714"/>
      <c r="BZ1289" s="715"/>
      <c r="CA1289" s="716"/>
      <c r="CB1289" s="717"/>
      <c r="CC1289" s="717"/>
      <c r="CD1289" s="717"/>
      <c r="CE1289" s="717"/>
      <c r="CF1289" s="717"/>
      <c r="CG1289" s="717"/>
      <c r="CH1289" s="717"/>
      <c r="CI1289" s="717"/>
      <c r="CJ1289" s="717"/>
      <c r="CK1289" s="717"/>
      <c r="CL1289" s="717"/>
      <c r="CM1289" s="717"/>
      <c r="CN1289" s="717"/>
      <c r="CO1289" s="717"/>
      <c r="CP1289" s="717"/>
      <c r="CQ1289" s="717"/>
      <c r="CR1289" s="717"/>
      <c r="CS1289" s="717"/>
      <c r="CT1289" s="717"/>
      <c r="CU1289" s="717"/>
      <c r="CV1289" s="717"/>
      <c r="CW1289" s="717"/>
      <c r="CX1289" s="717"/>
      <c r="CY1289" s="717"/>
      <c r="CZ1289" s="717"/>
      <c r="DA1289" s="717"/>
      <c r="DB1289" s="717"/>
      <c r="DC1289" s="717"/>
      <c r="DD1289" s="717"/>
      <c r="DE1289" s="717"/>
      <c r="DF1289" s="717"/>
      <c r="DG1289" s="717"/>
      <c r="DH1289" s="717"/>
      <c r="DI1289" s="717"/>
      <c r="DJ1289" s="717"/>
      <c r="DM1289" s="711"/>
      <c r="DN1289" s="711"/>
      <c r="DO1289" s="711"/>
      <c r="DP1289" s="711"/>
      <c r="DQ1289" s="711"/>
    </row>
    <row r="1290" spans="13:121" s="709" customFormat="1" hidden="1">
      <c r="M1290" s="710"/>
      <c r="P1290" s="711"/>
      <c r="Q1290" s="712"/>
      <c r="U1290" s="711"/>
      <c r="V1290" s="711"/>
      <c r="W1290" s="711"/>
      <c r="X1290" s="711"/>
      <c r="Y1290" s="711"/>
      <c r="Z1290" s="711"/>
      <c r="AU1290" s="713"/>
      <c r="AW1290" s="712"/>
      <c r="BY1290" s="714"/>
      <c r="BZ1290" s="715"/>
      <c r="CA1290" s="716"/>
      <c r="CB1290" s="717"/>
      <c r="CC1290" s="717"/>
      <c r="CD1290" s="717"/>
      <c r="CE1290" s="717"/>
      <c r="CF1290" s="717"/>
      <c r="CG1290" s="717"/>
      <c r="CH1290" s="717"/>
      <c r="CI1290" s="717"/>
      <c r="CJ1290" s="717"/>
      <c r="CK1290" s="717"/>
      <c r="CL1290" s="717"/>
      <c r="CM1290" s="717"/>
      <c r="CN1290" s="717"/>
      <c r="CO1290" s="717"/>
      <c r="CP1290" s="717"/>
      <c r="CQ1290" s="717"/>
      <c r="CR1290" s="717"/>
      <c r="CS1290" s="717"/>
      <c r="CT1290" s="717"/>
      <c r="CU1290" s="717"/>
      <c r="CV1290" s="717"/>
      <c r="CW1290" s="717"/>
      <c r="CX1290" s="717"/>
      <c r="CY1290" s="717"/>
      <c r="CZ1290" s="717"/>
      <c r="DA1290" s="717"/>
      <c r="DB1290" s="717"/>
      <c r="DC1290" s="717"/>
      <c r="DD1290" s="717"/>
      <c r="DE1290" s="717"/>
      <c r="DF1290" s="717"/>
      <c r="DG1290" s="717"/>
      <c r="DH1290" s="717"/>
      <c r="DI1290" s="717"/>
      <c r="DJ1290" s="717"/>
      <c r="DM1290" s="711"/>
      <c r="DN1290" s="711"/>
      <c r="DO1290" s="711"/>
      <c r="DP1290" s="711"/>
      <c r="DQ1290" s="711"/>
    </row>
    <row r="1291" spans="13:121" s="709" customFormat="1" hidden="1">
      <c r="M1291" s="710"/>
      <c r="P1291" s="711"/>
      <c r="Q1291" s="712"/>
      <c r="U1291" s="711"/>
      <c r="V1291" s="711"/>
      <c r="W1291" s="711"/>
      <c r="X1291" s="711"/>
      <c r="Y1291" s="711"/>
      <c r="Z1291" s="711"/>
      <c r="AU1291" s="713"/>
      <c r="AW1291" s="712"/>
      <c r="BY1291" s="714"/>
      <c r="BZ1291" s="715"/>
      <c r="CA1291" s="716"/>
      <c r="CB1291" s="717"/>
      <c r="CC1291" s="717"/>
      <c r="CD1291" s="717"/>
      <c r="CE1291" s="717"/>
      <c r="CF1291" s="717"/>
      <c r="CG1291" s="717"/>
      <c r="CH1291" s="717"/>
      <c r="CI1291" s="717"/>
      <c r="CJ1291" s="717"/>
      <c r="CK1291" s="717"/>
      <c r="CL1291" s="717"/>
      <c r="CM1291" s="717"/>
      <c r="CN1291" s="717"/>
      <c r="CO1291" s="717"/>
      <c r="CP1291" s="717"/>
      <c r="CQ1291" s="717"/>
      <c r="CR1291" s="717"/>
      <c r="CS1291" s="717"/>
      <c r="CT1291" s="717"/>
      <c r="CU1291" s="717"/>
      <c r="CV1291" s="717"/>
      <c r="CW1291" s="717"/>
      <c r="CX1291" s="717"/>
      <c r="CY1291" s="717"/>
      <c r="CZ1291" s="717"/>
      <c r="DA1291" s="717"/>
      <c r="DB1291" s="717"/>
      <c r="DC1291" s="717"/>
      <c r="DD1291" s="717"/>
      <c r="DE1291" s="717"/>
      <c r="DF1291" s="717"/>
      <c r="DG1291" s="717"/>
      <c r="DH1291" s="717"/>
      <c r="DI1291" s="717"/>
      <c r="DJ1291" s="717"/>
      <c r="DM1291" s="711"/>
      <c r="DN1291" s="711"/>
      <c r="DO1291" s="711"/>
      <c r="DP1291" s="711"/>
      <c r="DQ1291" s="711"/>
    </row>
    <row r="1292" spans="13:121" s="709" customFormat="1" hidden="1">
      <c r="M1292" s="710"/>
      <c r="P1292" s="711"/>
      <c r="Q1292" s="712"/>
      <c r="U1292" s="711"/>
      <c r="V1292" s="711"/>
      <c r="W1292" s="711"/>
      <c r="X1292" s="711"/>
      <c r="Y1292" s="711"/>
      <c r="Z1292" s="711"/>
      <c r="AU1292" s="713"/>
      <c r="AW1292" s="712"/>
      <c r="BY1292" s="714"/>
      <c r="BZ1292" s="715"/>
      <c r="CA1292" s="716"/>
      <c r="CB1292" s="717"/>
      <c r="CC1292" s="717"/>
      <c r="CD1292" s="717"/>
      <c r="CE1292" s="717"/>
      <c r="CF1292" s="717"/>
      <c r="CG1292" s="717"/>
      <c r="CH1292" s="717"/>
      <c r="CI1292" s="717"/>
      <c r="CJ1292" s="717"/>
      <c r="CK1292" s="717"/>
      <c r="CL1292" s="717"/>
      <c r="CM1292" s="717"/>
      <c r="CN1292" s="717"/>
      <c r="CO1292" s="717"/>
      <c r="CP1292" s="717"/>
      <c r="CQ1292" s="717"/>
      <c r="CR1292" s="717"/>
      <c r="CS1292" s="717"/>
      <c r="CT1292" s="717"/>
      <c r="CU1292" s="717"/>
      <c r="CV1292" s="717"/>
      <c r="CW1292" s="717"/>
      <c r="CX1292" s="717"/>
      <c r="CY1292" s="717"/>
      <c r="CZ1292" s="717"/>
      <c r="DA1292" s="717"/>
      <c r="DB1292" s="717"/>
      <c r="DC1292" s="717"/>
      <c r="DD1292" s="717"/>
      <c r="DE1292" s="717"/>
      <c r="DF1292" s="717"/>
      <c r="DG1292" s="717"/>
      <c r="DH1292" s="717"/>
      <c r="DI1292" s="717"/>
      <c r="DJ1292" s="717"/>
      <c r="DM1292" s="711"/>
      <c r="DN1292" s="711"/>
      <c r="DO1292" s="711"/>
      <c r="DP1292" s="711"/>
      <c r="DQ1292" s="711"/>
    </row>
    <row r="1293" spans="13:121" s="709" customFormat="1" hidden="1">
      <c r="M1293" s="710"/>
      <c r="P1293" s="711"/>
      <c r="Q1293" s="712"/>
      <c r="U1293" s="711"/>
      <c r="V1293" s="711"/>
      <c r="W1293" s="711"/>
      <c r="X1293" s="711"/>
      <c r="Y1293" s="711"/>
      <c r="Z1293" s="711"/>
      <c r="AU1293" s="713"/>
      <c r="AW1293" s="712"/>
      <c r="BY1293" s="714"/>
      <c r="BZ1293" s="715"/>
      <c r="CA1293" s="716"/>
      <c r="CB1293" s="717"/>
      <c r="CC1293" s="717"/>
      <c r="CD1293" s="717"/>
      <c r="CE1293" s="717"/>
      <c r="CF1293" s="717"/>
      <c r="CG1293" s="717"/>
      <c r="CH1293" s="717"/>
      <c r="CI1293" s="717"/>
      <c r="CJ1293" s="717"/>
      <c r="CK1293" s="717"/>
      <c r="CL1293" s="717"/>
      <c r="CM1293" s="717"/>
      <c r="CN1293" s="717"/>
      <c r="CO1293" s="717"/>
      <c r="CP1293" s="717"/>
      <c r="CQ1293" s="717"/>
      <c r="CR1293" s="717"/>
      <c r="CS1293" s="717"/>
      <c r="CT1293" s="717"/>
      <c r="CU1293" s="717"/>
      <c r="CV1293" s="717"/>
      <c r="CW1293" s="717"/>
      <c r="CX1293" s="717"/>
      <c r="CY1293" s="717"/>
      <c r="CZ1293" s="717"/>
      <c r="DA1293" s="717"/>
      <c r="DB1293" s="717"/>
      <c r="DC1293" s="717"/>
      <c r="DD1293" s="717"/>
      <c r="DE1293" s="717"/>
      <c r="DF1293" s="717"/>
      <c r="DG1293" s="717"/>
      <c r="DH1293" s="717"/>
      <c r="DI1293" s="717"/>
      <c r="DJ1293" s="717"/>
      <c r="DM1293" s="711"/>
      <c r="DN1293" s="711"/>
      <c r="DO1293" s="711"/>
      <c r="DP1293" s="711"/>
      <c r="DQ1293" s="711"/>
    </row>
    <row r="1294" spans="13:121" s="709" customFormat="1" hidden="1">
      <c r="M1294" s="710"/>
      <c r="P1294" s="711"/>
      <c r="Q1294" s="712"/>
      <c r="U1294" s="711"/>
      <c r="V1294" s="711"/>
      <c r="W1294" s="711"/>
      <c r="X1294" s="711"/>
      <c r="Y1294" s="711"/>
      <c r="Z1294" s="711"/>
      <c r="AU1294" s="713"/>
      <c r="AW1294" s="712"/>
      <c r="BY1294" s="714"/>
      <c r="BZ1294" s="715"/>
      <c r="CA1294" s="716"/>
      <c r="CB1294" s="717"/>
      <c r="CC1294" s="717"/>
      <c r="CD1294" s="717"/>
      <c r="CE1294" s="717"/>
      <c r="CF1294" s="717"/>
      <c r="CG1294" s="717"/>
      <c r="CH1294" s="717"/>
      <c r="CI1294" s="717"/>
      <c r="CJ1294" s="717"/>
      <c r="CK1294" s="717"/>
      <c r="CL1294" s="717"/>
      <c r="CM1294" s="717"/>
      <c r="CN1294" s="717"/>
      <c r="CO1294" s="717"/>
      <c r="CP1294" s="717"/>
      <c r="CQ1294" s="717"/>
      <c r="CR1294" s="717"/>
      <c r="CS1294" s="717"/>
      <c r="CT1294" s="717"/>
      <c r="CU1294" s="717"/>
      <c r="CV1294" s="717"/>
      <c r="CW1294" s="717"/>
      <c r="CX1294" s="717"/>
      <c r="CY1294" s="717"/>
      <c r="CZ1294" s="717"/>
      <c r="DA1294" s="717"/>
      <c r="DB1294" s="717"/>
      <c r="DC1294" s="717"/>
      <c r="DD1294" s="717"/>
      <c r="DE1294" s="717"/>
      <c r="DF1294" s="717"/>
      <c r="DG1294" s="717"/>
      <c r="DH1294" s="717"/>
      <c r="DI1294" s="717"/>
      <c r="DJ1294" s="717"/>
      <c r="DM1294" s="711"/>
      <c r="DN1294" s="711"/>
      <c r="DO1294" s="711"/>
      <c r="DP1294" s="711"/>
      <c r="DQ1294" s="711"/>
    </row>
    <row r="1295" spans="13:121" s="709" customFormat="1" hidden="1">
      <c r="M1295" s="710"/>
      <c r="P1295" s="711"/>
      <c r="Q1295" s="712"/>
      <c r="U1295" s="711"/>
      <c r="V1295" s="711"/>
      <c r="W1295" s="711"/>
      <c r="X1295" s="711"/>
      <c r="Y1295" s="711"/>
      <c r="Z1295" s="711"/>
      <c r="AU1295" s="713"/>
      <c r="AW1295" s="712"/>
      <c r="BY1295" s="714"/>
      <c r="BZ1295" s="715"/>
      <c r="CA1295" s="716"/>
      <c r="CB1295" s="717"/>
      <c r="CC1295" s="717"/>
      <c r="CD1295" s="717"/>
      <c r="CE1295" s="717"/>
      <c r="CF1295" s="717"/>
      <c r="CG1295" s="717"/>
      <c r="CH1295" s="717"/>
      <c r="CI1295" s="717"/>
      <c r="CJ1295" s="717"/>
      <c r="CK1295" s="717"/>
      <c r="CL1295" s="717"/>
      <c r="CM1295" s="717"/>
      <c r="CN1295" s="717"/>
      <c r="CO1295" s="717"/>
      <c r="CP1295" s="717"/>
      <c r="CQ1295" s="717"/>
      <c r="CR1295" s="717"/>
      <c r="CS1295" s="717"/>
      <c r="CT1295" s="717"/>
      <c r="CU1295" s="717"/>
      <c r="CV1295" s="717"/>
      <c r="CW1295" s="717"/>
      <c r="CX1295" s="717"/>
      <c r="CY1295" s="717"/>
      <c r="CZ1295" s="717"/>
      <c r="DA1295" s="717"/>
      <c r="DB1295" s="717"/>
      <c r="DC1295" s="717"/>
      <c r="DD1295" s="717"/>
      <c r="DE1295" s="717"/>
      <c r="DF1295" s="717"/>
      <c r="DG1295" s="717"/>
      <c r="DH1295" s="717"/>
      <c r="DI1295" s="717"/>
      <c r="DJ1295" s="717"/>
      <c r="DM1295" s="711"/>
      <c r="DN1295" s="711"/>
      <c r="DO1295" s="711"/>
      <c r="DP1295" s="711"/>
      <c r="DQ1295" s="711"/>
    </row>
    <row r="1296" spans="13:121" s="709" customFormat="1" hidden="1">
      <c r="M1296" s="710"/>
      <c r="P1296" s="711"/>
      <c r="Q1296" s="712"/>
      <c r="U1296" s="711"/>
      <c r="V1296" s="711"/>
      <c r="W1296" s="711"/>
      <c r="X1296" s="711"/>
      <c r="Y1296" s="711"/>
      <c r="Z1296" s="711"/>
      <c r="AU1296" s="713"/>
      <c r="AW1296" s="712"/>
      <c r="BY1296" s="714"/>
      <c r="BZ1296" s="715"/>
      <c r="CA1296" s="716"/>
      <c r="CB1296" s="717"/>
      <c r="CC1296" s="717"/>
      <c r="CD1296" s="717"/>
      <c r="CE1296" s="717"/>
      <c r="CF1296" s="717"/>
      <c r="CG1296" s="717"/>
      <c r="CH1296" s="717"/>
      <c r="CI1296" s="717"/>
      <c r="CJ1296" s="717"/>
      <c r="CK1296" s="717"/>
      <c r="CL1296" s="717"/>
      <c r="CM1296" s="717"/>
      <c r="CN1296" s="717"/>
      <c r="CO1296" s="717"/>
      <c r="CP1296" s="717"/>
      <c r="CQ1296" s="717"/>
      <c r="CR1296" s="717"/>
      <c r="CS1296" s="717"/>
      <c r="CT1296" s="717"/>
      <c r="CU1296" s="717"/>
      <c r="CV1296" s="717"/>
      <c r="CW1296" s="717"/>
      <c r="CX1296" s="717"/>
      <c r="CY1296" s="717"/>
      <c r="CZ1296" s="717"/>
      <c r="DA1296" s="717"/>
      <c r="DB1296" s="717"/>
      <c r="DC1296" s="717"/>
      <c r="DD1296" s="717"/>
      <c r="DE1296" s="717"/>
      <c r="DF1296" s="717"/>
      <c r="DG1296" s="717"/>
      <c r="DH1296" s="717"/>
      <c r="DI1296" s="717"/>
      <c r="DJ1296" s="717"/>
      <c r="DM1296" s="711"/>
      <c r="DN1296" s="711"/>
      <c r="DO1296" s="711"/>
      <c r="DP1296" s="711"/>
      <c r="DQ1296" s="711"/>
    </row>
    <row r="1297" spans="13:121" s="709" customFormat="1" hidden="1">
      <c r="M1297" s="710"/>
      <c r="P1297" s="711"/>
      <c r="Q1297" s="712"/>
      <c r="U1297" s="711"/>
      <c r="V1297" s="711"/>
      <c r="W1297" s="711"/>
      <c r="X1297" s="711"/>
      <c r="Y1297" s="711"/>
      <c r="Z1297" s="711"/>
      <c r="AU1297" s="713"/>
      <c r="AW1297" s="712"/>
      <c r="BY1297" s="714"/>
      <c r="BZ1297" s="715"/>
      <c r="CA1297" s="716"/>
      <c r="CB1297" s="717"/>
      <c r="CC1297" s="717"/>
      <c r="CD1297" s="717"/>
      <c r="CE1297" s="717"/>
      <c r="CF1297" s="717"/>
      <c r="CG1297" s="717"/>
      <c r="CH1297" s="717"/>
      <c r="CI1297" s="717"/>
      <c r="CJ1297" s="717"/>
      <c r="CK1297" s="717"/>
      <c r="CL1297" s="717"/>
      <c r="CM1297" s="717"/>
      <c r="CN1297" s="717"/>
      <c r="CO1297" s="717"/>
      <c r="CP1297" s="717"/>
      <c r="CQ1297" s="717"/>
      <c r="CR1297" s="717"/>
      <c r="CS1297" s="717"/>
      <c r="CT1297" s="717"/>
      <c r="CU1297" s="717"/>
      <c r="CV1297" s="717"/>
      <c r="CW1297" s="717"/>
      <c r="CX1297" s="717"/>
      <c r="CY1297" s="717"/>
      <c r="CZ1297" s="717"/>
      <c r="DA1297" s="717"/>
      <c r="DB1297" s="717"/>
      <c r="DC1297" s="717"/>
      <c r="DD1297" s="717"/>
      <c r="DE1297" s="717"/>
      <c r="DF1297" s="717"/>
      <c r="DG1297" s="717"/>
      <c r="DH1297" s="717"/>
      <c r="DI1297" s="717"/>
      <c r="DJ1297" s="717"/>
      <c r="DM1297" s="711"/>
      <c r="DN1297" s="711"/>
      <c r="DO1297" s="711"/>
      <c r="DP1297" s="711"/>
      <c r="DQ1297" s="711"/>
    </row>
    <row r="1298" spans="13:121" s="709" customFormat="1" hidden="1">
      <c r="M1298" s="710"/>
      <c r="P1298" s="711"/>
      <c r="Q1298" s="712"/>
      <c r="U1298" s="711"/>
      <c r="V1298" s="711"/>
      <c r="W1298" s="711"/>
      <c r="X1298" s="711"/>
      <c r="Y1298" s="711"/>
      <c r="Z1298" s="711"/>
      <c r="AU1298" s="713"/>
      <c r="AW1298" s="712"/>
      <c r="BY1298" s="714"/>
      <c r="BZ1298" s="715"/>
      <c r="CA1298" s="716"/>
      <c r="CB1298" s="717"/>
      <c r="CC1298" s="717"/>
      <c r="CD1298" s="717"/>
      <c r="CE1298" s="717"/>
      <c r="CF1298" s="717"/>
      <c r="CG1298" s="717"/>
      <c r="CH1298" s="717"/>
      <c r="CI1298" s="717"/>
      <c r="CJ1298" s="717"/>
      <c r="CK1298" s="717"/>
      <c r="CL1298" s="717"/>
      <c r="CM1298" s="717"/>
      <c r="CN1298" s="717"/>
      <c r="CO1298" s="717"/>
      <c r="CP1298" s="717"/>
      <c r="CQ1298" s="717"/>
      <c r="CR1298" s="717"/>
      <c r="CS1298" s="717"/>
      <c r="CT1298" s="717"/>
      <c r="CU1298" s="717"/>
      <c r="CV1298" s="717"/>
      <c r="CW1298" s="717"/>
      <c r="CX1298" s="717"/>
      <c r="CY1298" s="717"/>
      <c r="CZ1298" s="717"/>
      <c r="DA1298" s="717"/>
      <c r="DB1298" s="717"/>
      <c r="DC1298" s="717"/>
      <c r="DD1298" s="717"/>
      <c r="DE1298" s="717"/>
      <c r="DF1298" s="717"/>
      <c r="DG1298" s="717"/>
      <c r="DH1298" s="717"/>
      <c r="DI1298" s="717"/>
      <c r="DJ1298" s="717"/>
      <c r="DM1298" s="711"/>
      <c r="DN1298" s="711"/>
      <c r="DO1298" s="711"/>
      <c r="DP1298" s="711"/>
      <c r="DQ1298" s="711"/>
    </row>
    <row r="1299" spans="13:121" s="709" customFormat="1" hidden="1">
      <c r="M1299" s="710"/>
      <c r="P1299" s="711"/>
      <c r="Q1299" s="712"/>
      <c r="U1299" s="711"/>
      <c r="V1299" s="711"/>
      <c r="W1299" s="711"/>
      <c r="X1299" s="711"/>
      <c r="Y1299" s="711"/>
      <c r="Z1299" s="711"/>
      <c r="AU1299" s="713"/>
      <c r="AW1299" s="712"/>
      <c r="BY1299" s="714"/>
      <c r="BZ1299" s="715"/>
      <c r="CA1299" s="716"/>
      <c r="CB1299" s="717"/>
      <c r="CC1299" s="717"/>
      <c r="CD1299" s="717"/>
      <c r="CE1299" s="717"/>
      <c r="CF1299" s="717"/>
      <c r="CG1299" s="717"/>
      <c r="CH1299" s="717"/>
      <c r="CI1299" s="717"/>
      <c r="CJ1299" s="717"/>
      <c r="CK1299" s="717"/>
      <c r="CL1299" s="717"/>
      <c r="CM1299" s="717"/>
      <c r="CN1299" s="717"/>
      <c r="CO1299" s="717"/>
      <c r="CP1299" s="717"/>
      <c r="CQ1299" s="717"/>
      <c r="CR1299" s="717"/>
      <c r="CS1299" s="717"/>
      <c r="CT1299" s="717"/>
      <c r="CU1299" s="717"/>
      <c r="CV1299" s="717"/>
      <c r="CW1299" s="717"/>
      <c r="CX1299" s="717"/>
      <c r="CY1299" s="717"/>
      <c r="CZ1299" s="717"/>
      <c r="DA1299" s="717"/>
      <c r="DB1299" s="717"/>
      <c r="DC1299" s="717"/>
      <c r="DD1299" s="717"/>
      <c r="DE1299" s="717"/>
      <c r="DF1299" s="717"/>
      <c r="DG1299" s="717"/>
      <c r="DH1299" s="717"/>
      <c r="DI1299" s="717"/>
      <c r="DJ1299" s="717"/>
      <c r="DM1299" s="711"/>
      <c r="DN1299" s="711"/>
      <c r="DO1299" s="711"/>
      <c r="DP1299" s="711"/>
      <c r="DQ1299" s="711"/>
    </row>
    <row r="1300" spans="13:121" s="709" customFormat="1" hidden="1">
      <c r="M1300" s="710"/>
      <c r="P1300" s="711"/>
      <c r="Q1300" s="712"/>
      <c r="U1300" s="711"/>
      <c r="V1300" s="711"/>
      <c r="W1300" s="711"/>
      <c r="X1300" s="711"/>
      <c r="Y1300" s="711"/>
      <c r="Z1300" s="711"/>
      <c r="AU1300" s="713"/>
      <c r="AW1300" s="712"/>
      <c r="BY1300" s="714"/>
      <c r="BZ1300" s="715"/>
      <c r="CA1300" s="716"/>
      <c r="CB1300" s="717"/>
      <c r="CC1300" s="717"/>
      <c r="CD1300" s="717"/>
      <c r="CE1300" s="717"/>
      <c r="CF1300" s="717"/>
      <c r="CG1300" s="717"/>
      <c r="CH1300" s="717"/>
      <c r="CI1300" s="717"/>
      <c r="CJ1300" s="717"/>
      <c r="CK1300" s="717"/>
      <c r="CL1300" s="717"/>
      <c r="CM1300" s="717"/>
      <c r="CN1300" s="717"/>
      <c r="CO1300" s="717"/>
      <c r="CP1300" s="717"/>
      <c r="CQ1300" s="717"/>
      <c r="CR1300" s="717"/>
      <c r="CS1300" s="717"/>
      <c r="CT1300" s="717"/>
      <c r="CU1300" s="717"/>
      <c r="CV1300" s="717"/>
      <c r="CW1300" s="717"/>
      <c r="CX1300" s="717"/>
      <c r="CY1300" s="717"/>
      <c r="CZ1300" s="717"/>
      <c r="DA1300" s="717"/>
      <c r="DB1300" s="717"/>
      <c r="DC1300" s="717"/>
      <c r="DD1300" s="717"/>
      <c r="DE1300" s="717"/>
      <c r="DF1300" s="717"/>
      <c r="DG1300" s="717"/>
      <c r="DH1300" s="717"/>
      <c r="DI1300" s="717"/>
      <c r="DJ1300" s="717"/>
      <c r="DM1300" s="711"/>
      <c r="DN1300" s="711"/>
      <c r="DO1300" s="711"/>
      <c r="DP1300" s="711"/>
      <c r="DQ1300" s="711"/>
    </row>
    <row r="1301" spans="13:121" s="709" customFormat="1" hidden="1">
      <c r="M1301" s="710"/>
      <c r="P1301" s="711"/>
      <c r="Q1301" s="712"/>
      <c r="U1301" s="711"/>
      <c r="V1301" s="711"/>
      <c r="W1301" s="711"/>
      <c r="X1301" s="711"/>
      <c r="Y1301" s="711"/>
      <c r="Z1301" s="711"/>
      <c r="AU1301" s="713"/>
      <c r="AW1301" s="712"/>
      <c r="BY1301" s="714"/>
      <c r="BZ1301" s="715"/>
      <c r="CA1301" s="716"/>
      <c r="CB1301" s="717"/>
      <c r="CC1301" s="717"/>
      <c r="CD1301" s="717"/>
      <c r="CE1301" s="717"/>
      <c r="CF1301" s="717"/>
      <c r="CG1301" s="717"/>
      <c r="CH1301" s="717"/>
      <c r="CI1301" s="717"/>
      <c r="CJ1301" s="717"/>
      <c r="CK1301" s="717"/>
      <c r="CL1301" s="717"/>
      <c r="CM1301" s="717"/>
      <c r="CN1301" s="717"/>
      <c r="CO1301" s="717"/>
      <c r="CP1301" s="717"/>
      <c r="CQ1301" s="717"/>
      <c r="CR1301" s="717"/>
      <c r="CS1301" s="717"/>
      <c r="CT1301" s="717"/>
      <c r="CU1301" s="717"/>
      <c r="CV1301" s="717"/>
      <c r="CW1301" s="717"/>
      <c r="CX1301" s="717"/>
      <c r="CY1301" s="717"/>
      <c r="CZ1301" s="717"/>
      <c r="DA1301" s="717"/>
      <c r="DB1301" s="717"/>
      <c r="DC1301" s="717"/>
      <c r="DD1301" s="717"/>
      <c r="DE1301" s="717"/>
      <c r="DF1301" s="717"/>
      <c r="DG1301" s="717"/>
      <c r="DH1301" s="717"/>
      <c r="DI1301" s="717"/>
      <c r="DJ1301" s="717"/>
      <c r="DM1301" s="711"/>
      <c r="DN1301" s="711"/>
      <c r="DO1301" s="711"/>
      <c r="DP1301" s="711"/>
      <c r="DQ1301" s="711"/>
    </row>
    <row r="1302" spans="13:121" s="709" customFormat="1" hidden="1">
      <c r="M1302" s="710"/>
      <c r="P1302" s="711"/>
      <c r="Q1302" s="712"/>
      <c r="U1302" s="711"/>
      <c r="V1302" s="711"/>
      <c r="W1302" s="711"/>
      <c r="X1302" s="711"/>
      <c r="Y1302" s="711"/>
      <c r="Z1302" s="711"/>
      <c r="AU1302" s="713"/>
      <c r="AW1302" s="712"/>
      <c r="BY1302" s="714"/>
      <c r="BZ1302" s="715"/>
      <c r="CA1302" s="716"/>
      <c r="CB1302" s="717"/>
      <c r="CC1302" s="717"/>
      <c r="CD1302" s="717"/>
      <c r="CE1302" s="717"/>
      <c r="CF1302" s="717"/>
      <c r="CG1302" s="717"/>
      <c r="CH1302" s="717"/>
      <c r="CI1302" s="717"/>
      <c r="CJ1302" s="717"/>
      <c r="CK1302" s="717"/>
      <c r="CL1302" s="717"/>
      <c r="CM1302" s="717"/>
      <c r="CN1302" s="717"/>
      <c r="CO1302" s="717"/>
      <c r="CP1302" s="717"/>
      <c r="CQ1302" s="717"/>
      <c r="CR1302" s="717"/>
      <c r="CS1302" s="717"/>
      <c r="CT1302" s="717"/>
      <c r="CU1302" s="717"/>
      <c r="CV1302" s="717"/>
      <c r="CW1302" s="717"/>
      <c r="CX1302" s="717"/>
      <c r="CY1302" s="717"/>
      <c r="CZ1302" s="717"/>
      <c r="DA1302" s="717"/>
      <c r="DB1302" s="717"/>
      <c r="DC1302" s="717"/>
      <c r="DD1302" s="717"/>
      <c r="DE1302" s="717"/>
      <c r="DF1302" s="717"/>
      <c r="DG1302" s="717"/>
      <c r="DH1302" s="717"/>
      <c r="DI1302" s="717"/>
      <c r="DJ1302" s="717"/>
      <c r="DM1302" s="711"/>
      <c r="DN1302" s="711"/>
      <c r="DO1302" s="711"/>
      <c r="DP1302" s="711"/>
      <c r="DQ1302" s="711"/>
    </row>
    <row r="1303" spans="13:121" s="709" customFormat="1" hidden="1">
      <c r="M1303" s="710"/>
      <c r="P1303" s="711"/>
      <c r="Q1303" s="712"/>
      <c r="U1303" s="711"/>
      <c r="V1303" s="711"/>
      <c r="W1303" s="711"/>
      <c r="X1303" s="711"/>
      <c r="Y1303" s="711"/>
      <c r="Z1303" s="711"/>
      <c r="AU1303" s="713"/>
      <c r="AW1303" s="712"/>
      <c r="BY1303" s="714"/>
      <c r="BZ1303" s="715"/>
      <c r="CA1303" s="716"/>
      <c r="CB1303" s="717"/>
      <c r="CC1303" s="717"/>
      <c r="CD1303" s="717"/>
      <c r="CE1303" s="717"/>
      <c r="CF1303" s="717"/>
      <c r="CG1303" s="717"/>
      <c r="CH1303" s="717"/>
      <c r="CI1303" s="717"/>
      <c r="CJ1303" s="717"/>
      <c r="CK1303" s="717"/>
      <c r="CL1303" s="717"/>
      <c r="CM1303" s="717"/>
      <c r="CN1303" s="717"/>
      <c r="CO1303" s="717"/>
      <c r="CP1303" s="717"/>
      <c r="CQ1303" s="717"/>
      <c r="CR1303" s="717"/>
      <c r="CS1303" s="717"/>
      <c r="CT1303" s="717"/>
      <c r="CU1303" s="717"/>
      <c r="CV1303" s="717"/>
      <c r="CW1303" s="717"/>
      <c r="CX1303" s="717"/>
      <c r="CY1303" s="717"/>
      <c r="CZ1303" s="717"/>
      <c r="DA1303" s="717"/>
      <c r="DB1303" s="717"/>
      <c r="DC1303" s="717"/>
      <c r="DD1303" s="717"/>
      <c r="DE1303" s="717"/>
      <c r="DF1303" s="717"/>
      <c r="DG1303" s="717"/>
      <c r="DH1303" s="717"/>
      <c r="DI1303" s="717"/>
      <c r="DJ1303" s="717"/>
      <c r="DM1303" s="711"/>
      <c r="DN1303" s="711"/>
      <c r="DO1303" s="711"/>
      <c r="DP1303" s="711"/>
      <c r="DQ1303" s="711"/>
    </row>
    <row r="1304" spans="13:121" s="709" customFormat="1" hidden="1">
      <c r="M1304" s="710"/>
      <c r="P1304" s="711"/>
      <c r="Q1304" s="712"/>
      <c r="U1304" s="711"/>
      <c r="V1304" s="711"/>
      <c r="W1304" s="711"/>
      <c r="X1304" s="711"/>
      <c r="Y1304" s="711"/>
      <c r="Z1304" s="711"/>
      <c r="AU1304" s="713"/>
      <c r="AW1304" s="712"/>
      <c r="BY1304" s="714"/>
      <c r="BZ1304" s="715"/>
      <c r="CA1304" s="716"/>
      <c r="CB1304" s="717"/>
      <c r="CC1304" s="717"/>
      <c r="CD1304" s="717"/>
      <c r="CE1304" s="717"/>
      <c r="CF1304" s="717"/>
      <c r="CG1304" s="717"/>
      <c r="CH1304" s="717"/>
      <c r="CI1304" s="717"/>
      <c r="CJ1304" s="717"/>
      <c r="CK1304" s="717"/>
      <c r="CL1304" s="717"/>
      <c r="CM1304" s="717"/>
      <c r="CN1304" s="717"/>
      <c r="CO1304" s="717"/>
      <c r="CP1304" s="717"/>
      <c r="CQ1304" s="717"/>
      <c r="CR1304" s="717"/>
      <c r="CS1304" s="717"/>
      <c r="CT1304" s="717"/>
      <c r="CU1304" s="717"/>
      <c r="CV1304" s="717"/>
      <c r="CW1304" s="717"/>
      <c r="CX1304" s="717"/>
      <c r="CY1304" s="717"/>
      <c r="CZ1304" s="717"/>
      <c r="DA1304" s="717"/>
      <c r="DB1304" s="717"/>
      <c r="DC1304" s="717"/>
      <c r="DD1304" s="717"/>
      <c r="DE1304" s="717"/>
      <c r="DF1304" s="717"/>
      <c r="DG1304" s="717"/>
      <c r="DH1304" s="717"/>
      <c r="DI1304" s="717"/>
      <c r="DJ1304" s="717"/>
      <c r="DM1304" s="711"/>
      <c r="DN1304" s="711"/>
      <c r="DO1304" s="711"/>
      <c r="DP1304" s="711"/>
      <c r="DQ1304" s="711"/>
    </row>
    <row r="1305" spans="13:121" s="709" customFormat="1" hidden="1">
      <c r="M1305" s="710"/>
      <c r="P1305" s="711"/>
      <c r="Q1305" s="712"/>
      <c r="U1305" s="711"/>
      <c r="V1305" s="711"/>
      <c r="W1305" s="711"/>
      <c r="X1305" s="711"/>
      <c r="Y1305" s="711"/>
      <c r="Z1305" s="711"/>
      <c r="AU1305" s="713"/>
      <c r="AW1305" s="712"/>
      <c r="BY1305" s="714"/>
      <c r="BZ1305" s="715"/>
      <c r="CA1305" s="716"/>
      <c r="CB1305" s="717"/>
      <c r="CC1305" s="717"/>
      <c r="CD1305" s="717"/>
      <c r="CE1305" s="717"/>
      <c r="CF1305" s="717"/>
      <c r="CG1305" s="717"/>
      <c r="CH1305" s="717"/>
      <c r="CI1305" s="717"/>
      <c r="CJ1305" s="717"/>
      <c r="CK1305" s="717"/>
      <c r="CL1305" s="717"/>
      <c r="CM1305" s="717"/>
      <c r="CN1305" s="717"/>
      <c r="CO1305" s="717"/>
      <c r="CP1305" s="717"/>
      <c r="CQ1305" s="717"/>
      <c r="CR1305" s="717"/>
      <c r="CS1305" s="717"/>
      <c r="CT1305" s="717"/>
      <c r="CU1305" s="717"/>
      <c r="CV1305" s="717"/>
      <c r="CW1305" s="717"/>
      <c r="CX1305" s="717"/>
      <c r="CY1305" s="717"/>
      <c r="CZ1305" s="717"/>
      <c r="DA1305" s="717"/>
      <c r="DB1305" s="717"/>
      <c r="DC1305" s="717"/>
      <c r="DD1305" s="717"/>
      <c r="DE1305" s="717"/>
      <c r="DF1305" s="717"/>
      <c r="DG1305" s="717"/>
      <c r="DH1305" s="717"/>
      <c r="DI1305" s="717"/>
      <c r="DJ1305" s="717"/>
      <c r="DM1305" s="711"/>
      <c r="DN1305" s="711"/>
      <c r="DO1305" s="711"/>
      <c r="DP1305" s="711"/>
      <c r="DQ1305" s="711"/>
    </row>
    <row r="1306" spans="13:121" s="709" customFormat="1" hidden="1">
      <c r="M1306" s="710"/>
      <c r="P1306" s="711"/>
      <c r="Q1306" s="712"/>
      <c r="U1306" s="711"/>
      <c r="V1306" s="711"/>
      <c r="W1306" s="711"/>
      <c r="X1306" s="711"/>
      <c r="Y1306" s="711"/>
      <c r="Z1306" s="711"/>
      <c r="AU1306" s="713"/>
      <c r="AW1306" s="712"/>
      <c r="BY1306" s="714"/>
      <c r="BZ1306" s="715"/>
      <c r="CA1306" s="716"/>
      <c r="CB1306" s="717"/>
      <c r="CC1306" s="717"/>
      <c r="CD1306" s="717"/>
      <c r="CE1306" s="717"/>
      <c r="CF1306" s="717"/>
      <c r="CG1306" s="717"/>
      <c r="CH1306" s="717"/>
      <c r="CI1306" s="717"/>
      <c r="CJ1306" s="717"/>
      <c r="CK1306" s="717"/>
      <c r="CL1306" s="717"/>
      <c r="CM1306" s="717"/>
      <c r="CN1306" s="717"/>
      <c r="CO1306" s="717"/>
      <c r="CP1306" s="717"/>
      <c r="CQ1306" s="717"/>
      <c r="CR1306" s="717"/>
      <c r="CS1306" s="717"/>
      <c r="CT1306" s="717"/>
      <c r="CU1306" s="717"/>
      <c r="CV1306" s="717"/>
      <c r="CW1306" s="717"/>
      <c r="CX1306" s="717"/>
      <c r="CY1306" s="717"/>
      <c r="CZ1306" s="717"/>
      <c r="DA1306" s="717"/>
      <c r="DB1306" s="717"/>
      <c r="DC1306" s="717"/>
      <c r="DD1306" s="717"/>
      <c r="DE1306" s="717"/>
      <c r="DF1306" s="717"/>
      <c r="DG1306" s="717"/>
      <c r="DH1306" s="717"/>
      <c r="DI1306" s="717"/>
      <c r="DJ1306" s="717"/>
      <c r="DM1306" s="711"/>
      <c r="DN1306" s="711"/>
      <c r="DO1306" s="711"/>
      <c r="DP1306" s="711"/>
      <c r="DQ1306" s="711"/>
    </row>
    <row r="1307" spans="13:121" s="709" customFormat="1" hidden="1">
      <c r="M1307" s="710"/>
      <c r="P1307" s="711"/>
      <c r="Q1307" s="712"/>
      <c r="U1307" s="711"/>
      <c r="V1307" s="711"/>
      <c r="W1307" s="711"/>
      <c r="X1307" s="711"/>
      <c r="Y1307" s="711"/>
      <c r="Z1307" s="711"/>
      <c r="AU1307" s="713"/>
      <c r="AW1307" s="712"/>
      <c r="BY1307" s="714"/>
      <c r="BZ1307" s="715"/>
      <c r="CA1307" s="716"/>
      <c r="CB1307" s="717"/>
      <c r="CC1307" s="717"/>
      <c r="CD1307" s="717"/>
      <c r="CE1307" s="717"/>
      <c r="CF1307" s="717"/>
      <c r="CG1307" s="717"/>
      <c r="CH1307" s="717"/>
      <c r="CI1307" s="717"/>
      <c r="CJ1307" s="717"/>
      <c r="CK1307" s="717"/>
      <c r="CL1307" s="717"/>
      <c r="CM1307" s="717"/>
      <c r="CN1307" s="717"/>
      <c r="CO1307" s="717"/>
      <c r="CP1307" s="717"/>
      <c r="CQ1307" s="717"/>
      <c r="CR1307" s="717"/>
      <c r="CS1307" s="717"/>
      <c r="CT1307" s="717"/>
      <c r="CU1307" s="717"/>
      <c r="CV1307" s="717"/>
      <c r="CW1307" s="717"/>
      <c r="CX1307" s="717"/>
      <c r="CY1307" s="717"/>
      <c r="CZ1307" s="717"/>
      <c r="DA1307" s="717"/>
      <c r="DB1307" s="717"/>
      <c r="DC1307" s="717"/>
      <c r="DD1307" s="717"/>
      <c r="DE1307" s="717"/>
      <c r="DF1307" s="717"/>
      <c r="DG1307" s="717"/>
      <c r="DH1307" s="717"/>
      <c r="DI1307" s="717"/>
      <c r="DJ1307" s="717"/>
      <c r="DM1307" s="711"/>
      <c r="DN1307" s="711"/>
      <c r="DO1307" s="711"/>
      <c r="DP1307" s="711"/>
      <c r="DQ1307" s="711"/>
    </row>
    <row r="1308" spans="13:121" s="709" customFormat="1" hidden="1">
      <c r="M1308" s="710"/>
      <c r="P1308" s="711"/>
      <c r="Q1308" s="712"/>
      <c r="U1308" s="711"/>
      <c r="V1308" s="711"/>
      <c r="W1308" s="711"/>
      <c r="X1308" s="711"/>
      <c r="Y1308" s="711"/>
      <c r="Z1308" s="711"/>
      <c r="AU1308" s="713"/>
      <c r="AW1308" s="712"/>
      <c r="BY1308" s="714"/>
      <c r="BZ1308" s="715"/>
      <c r="CA1308" s="716"/>
      <c r="CB1308" s="717"/>
      <c r="CC1308" s="717"/>
      <c r="CD1308" s="717"/>
      <c r="CE1308" s="717"/>
      <c r="CF1308" s="717"/>
      <c r="CG1308" s="717"/>
      <c r="CH1308" s="717"/>
      <c r="CI1308" s="717"/>
      <c r="CJ1308" s="717"/>
      <c r="CK1308" s="717"/>
      <c r="CL1308" s="717"/>
      <c r="CM1308" s="717"/>
      <c r="CN1308" s="717"/>
      <c r="CO1308" s="717"/>
      <c r="CP1308" s="717"/>
      <c r="CQ1308" s="717"/>
      <c r="CR1308" s="717"/>
      <c r="CS1308" s="717"/>
      <c r="CT1308" s="717"/>
      <c r="CU1308" s="717"/>
      <c r="CV1308" s="717"/>
      <c r="CW1308" s="717"/>
      <c r="CX1308" s="717"/>
      <c r="CY1308" s="717"/>
      <c r="CZ1308" s="717"/>
      <c r="DA1308" s="717"/>
      <c r="DB1308" s="717"/>
      <c r="DC1308" s="717"/>
      <c r="DD1308" s="717"/>
      <c r="DE1308" s="717"/>
      <c r="DF1308" s="717"/>
      <c r="DG1308" s="717"/>
      <c r="DH1308" s="717"/>
      <c r="DI1308" s="717"/>
      <c r="DJ1308" s="717"/>
      <c r="DM1308" s="711"/>
      <c r="DN1308" s="711"/>
      <c r="DO1308" s="711"/>
      <c r="DP1308" s="711"/>
      <c r="DQ1308" s="711"/>
    </row>
    <row r="1309" spans="13:121" s="709" customFormat="1" hidden="1">
      <c r="M1309" s="710"/>
      <c r="P1309" s="711"/>
      <c r="Q1309" s="712"/>
      <c r="U1309" s="711"/>
      <c r="V1309" s="711"/>
      <c r="W1309" s="711"/>
      <c r="X1309" s="711"/>
      <c r="Y1309" s="711"/>
      <c r="Z1309" s="711"/>
      <c r="AU1309" s="713"/>
      <c r="AW1309" s="712"/>
      <c r="BY1309" s="714"/>
      <c r="BZ1309" s="715"/>
      <c r="CA1309" s="716"/>
      <c r="CB1309" s="717"/>
      <c r="CC1309" s="717"/>
      <c r="CD1309" s="717"/>
      <c r="CE1309" s="717"/>
      <c r="CF1309" s="717"/>
      <c r="CG1309" s="717"/>
      <c r="CH1309" s="717"/>
      <c r="CI1309" s="717"/>
      <c r="CJ1309" s="717"/>
      <c r="CK1309" s="717"/>
      <c r="CL1309" s="717"/>
      <c r="CM1309" s="717"/>
      <c r="CN1309" s="717"/>
      <c r="CO1309" s="717"/>
      <c r="CP1309" s="717"/>
      <c r="CQ1309" s="717"/>
      <c r="CR1309" s="717"/>
      <c r="CS1309" s="717"/>
      <c r="CT1309" s="717"/>
      <c r="CU1309" s="717"/>
      <c r="CV1309" s="717"/>
      <c r="CW1309" s="717"/>
      <c r="CX1309" s="717"/>
      <c r="CY1309" s="717"/>
      <c r="CZ1309" s="717"/>
      <c r="DA1309" s="717"/>
      <c r="DB1309" s="717"/>
      <c r="DC1309" s="717"/>
      <c r="DD1309" s="717"/>
      <c r="DE1309" s="717"/>
      <c r="DF1309" s="717"/>
      <c r="DG1309" s="717"/>
      <c r="DH1309" s="717"/>
      <c r="DI1309" s="717"/>
      <c r="DJ1309" s="717"/>
      <c r="DM1309" s="711"/>
      <c r="DN1309" s="711"/>
      <c r="DO1309" s="711"/>
      <c r="DP1309" s="711"/>
      <c r="DQ1309" s="711"/>
    </row>
    <row r="1310" spans="13:121" s="709" customFormat="1" hidden="1">
      <c r="M1310" s="710"/>
      <c r="P1310" s="711"/>
      <c r="Q1310" s="712"/>
      <c r="U1310" s="711"/>
      <c r="V1310" s="711"/>
      <c r="W1310" s="711"/>
      <c r="X1310" s="711"/>
      <c r="Y1310" s="711"/>
      <c r="Z1310" s="711"/>
      <c r="AU1310" s="713"/>
      <c r="AW1310" s="712"/>
      <c r="BY1310" s="714"/>
      <c r="BZ1310" s="715"/>
      <c r="CA1310" s="716"/>
      <c r="CB1310" s="717"/>
      <c r="CC1310" s="717"/>
      <c r="CD1310" s="717"/>
      <c r="CE1310" s="717"/>
      <c r="CF1310" s="717"/>
      <c r="CG1310" s="717"/>
      <c r="CH1310" s="717"/>
      <c r="CI1310" s="717"/>
      <c r="CJ1310" s="717"/>
      <c r="CK1310" s="717"/>
      <c r="CL1310" s="717"/>
      <c r="CM1310" s="717"/>
      <c r="CN1310" s="717"/>
      <c r="CO1310" s="717"/>
      <c r="CP1310" s="717"/>
      <c r="CQ1310" s="717"/>
      <c r="CR1310" s="717"/>
      <c r="CS1310" s="717"/>
      <c r="CT1310" s="717"/>
      <c r="CU1310" s="717"/>
      <c r="CV1310" s="717"/>
      <c r="CW1310" s="717"/>
      <c r="CX1310" s="717"/>
      <c r="CY1310" s="717"/>
      <c r="CZ1310" s="717"/>
      <c r="DA1310" s="717"/>
      <c r="DB1310" s="717"/>
      <c r="DC1310" s="717"/>
      <c r="DD1310" s="717"/>
      <c r="DE1310" s="717"/>
      <c r="DF1310" s="717"/>
      <c r="DG1310" s="717"/>
      <c r="DH1310" s="717"/>
      <c r="DI1310" s="717"/>
      <c r="DJ1310" s="717"/>
      <c r="DM1310" s="711"/>
      <c r="DN1310" s="711"/>
      <c r="DO1310" s="711"/>
      <c r="DP1310" s="711"/>
      <c r="DQ1310" s="711"/>
    </row>
    <row r="1311" spans="13:121" s="709" customFormat="1" hidden="1">
      <c r="M1311" s="710"/>
      <c r="P1311" s="711"/>
      <c r="Q1311" s="712"/>
      <c r="U1311" s="711"/>
      <c r="V1311" s="711"/>
      <c r="W1311" s="711"/>
      <c r="X1311" s="711"/>
      <c r="Y1311" s="711"/>
      <c r="Z1311" s="711"/>
      <c r="AU1311" s="713"/>
      <c r="AW1311" s="712"/>
      <c r="BY1311" s="714"/>
      <c r="BZ1311" s="715"/>
      <c r="CA1311" s="716"/>
      <c r="CB1311" s="717"/>
      <c r="CC1311" s="717"/>
      <c r="CD1311" s="717"/>
      <c r="CE1311" s="717"/>
      <c r="CF1311" s="717"/>
      <c r="CG1311" s="717"/>
      <c r="CH1311" s="717"/>
      <c r="CI1311" s="717"/>
      <c r="CJ1311" s="717"/>
      <c r="CK1311" s="717"/>
      <c r="CL1311" s="717"/>
      <c r="CM1311" s="717"/>
      <c r="CN1311" s="717"/>
      <c r="CO1311" s="717"/>
      <c r="CP1311" s="717"/>
      <c r="CQ1311" s="717"/>
      <c r="CR1311" s="717"/>
      <c r="CS1311" s="717"/>
      <c r="CT1311" s="717"/>
      <c r="CU1311" s="717"/>
      <c r="CV1311" s="717"/>
      <c r="CW1311" s="717"/>
      <c r="CX1311" s="717"/>
      <c r="CY1311" s="717"/>
      <c r="CZ1311" s="717"/>
      <c r="DA1311" s="717"/>
      <c r="DB1311" s="717"/>
      <c r="DC1311" s="717"/>
      <c r="DD1311" s="717"/>
      <c r="DE1311" s="717"/>
      <c r="DF1311" s="717"/>
      <c r="DG1311" s="717"/>
      <c r="DH1311" s="717"/>
      <c r="DI1311" s="717"/>
      <c r="DJ1311" s="717"/>
      <c r="DM1311" s="711"/>
      <c r="DN1311" s="711"/>
      <c r="DO1311" s="711"/>
      <c r="DP1311" s="711"/>
      <c r="DQ1311" s="711"/>
    </row>
    <row r="1312" spans="13:121" s="709" customFormat="1" hidden="1">
      <c r="M1312" s="710"/>
      <c r="P1312" s="711"/>
      <c r="Q1312" s="712"/>
      <c r="U1312" s="711"/>
      <c r="V1312" s="711"/>
      <c r="W1312" s="711"/>
      <c r="X1312" s="711"/>
      <c r="Y1312" s="711"/>
      <c r="Z1312" s="711"/>
      <c r="AU1312" s="713"/>
      <c r="AW1312" s="712"/>
      <c r="BY1312" s="714"/>
      <c r="BZ1312" s="715"/>
      <c r="CA1312" s="716"/>
      <c r="CB1312" s="717"/>
      <c r="CC1312" s="717"/>
      <c r="CD1312" s="717"/>
      <c r="CE1312" s="717"/>
      <c r="CF1312" s="717"/>
      <c r="CG1312" s="717"/>
      <c r="CH1312" s="717"/>
      <c r="CI1312" s="717"/>
      <c r="CJ1312" s="717"/>
      <c r="CK1312" s="717"/>
      <c r="CL1312" s="717"/>
      <c r="CM1312" s="717"/>
      <c r="CN1312" s="717"/>
      <c r="CO1312" s="717"/>
      <c r="CP1312" s="717"/>
      <c r="CQ1312" s="717"/>
      <c r="CR1312" s="717"/>
      <c r="CS1312" s="717"/>
      <c r="CT1312" s="717"/>
      <c r="CU1312" s="717"/>
      <c r="CV1312" s="717"/>
      <c r="CW1312" s="717"/>
      <c r="CX1312" s="717"/>
      <c r="CY1312" s="717"/>
      <c r="CZ1312" s="717"/>
      <c r="DA1312" s="717"/>
      <c r="DB1312" s="717"/>
      <c r="DC1312" s="717"/>
      <c r="DD1312" s="717"/>
      <c r="DE1312" s="717"/>
      <c r="DF1312" s="717"/>
      <c r="DG1312" s="717"/>
      <c r="DH1312" s="717"/>
      <c r="DI1312" s="717"/>
      <c r="DJ1312" s="717"/>
      <c r="DM1312" s="711"/>
      <c r="DN1312" s="711"/>
      <c r="DO1312" s="711"/>
      <c r="DP1312" s="711"/>
      <c r="DQ1312" s="711"/>
    </row>
    <row r="1313" spans="13:121" s="709" customFormat="1" hidden="1">
      <c r="M1313" s="710"/>
      <c r="P1313" s="711"/>
      <c r="Q1313" s="712"/>
      <c r="U1313" s="711"/>
      <c r="V1313" s="711"/>
      <c r="W1313" s="711"/>
      <c r="X1313" s="711"/>
      <c r="Y1313" s="711"/>
      <c r="Z1313" s="711"/>
      <c r="AU1313" s="713"/>
      <c r="AW1313" s="712"/>
      <c r="BY1313" s="714"/>
      <c r="BZ1313" s="715"/>
      <c r="CA1313" s="716"/>
      <c r="CB1313" s="717"/>
      <c r="CC1313" s="717"/>
      <c r="CD1313" s="717"/>
      <c r="CE1313" s="717"/>
      <c r="CF1313" s="717"/>
      <c r="CG1313" s="717"/>
      <c r="CH1313" s="717"/>
      <c r="CI1313" s="717"/>
      <c r="CJ1313" s="717"/>
      <c r="CK1313" s="717"/>
      <c r="CL1313" s="717"/>
      <c r="CM1313" s="717"/>
      <c r="CN1313" s="717"/>
      <c r="CO1313" s="717"/>
      <c r="CP1313" s="717"/>
      <c r="CQ1313" s="717"/>
      <c r="CR1313" s="717"/>
      <c r="CS1313" s="717"/>
      <c r="CT1313" s="717"/>
      <c r="CU1313" s="717"/>
      <c r="CV1313" s="717"/>
      <c r="CW1313" s="717"/>
      <c r="CX1313" s="717"/>
      <c r="CY1313" s="717"/>
      <c r="CZ1313" s="717"/>
      <c r="DA1313" s="717"/>
      <c r="DB1313" s="717"/>
      <c r="DC1313" s="717"/>
      <c r="DD1313" s="717"/>
      <c r="DE1313" s="717"/>
      <c r="DF1313" s="717"/>
      <c r="DG1313" s="717"/>
      <c r="DH1313" s="717"/>
      <c r="DI1313" s="717"/>
      <c r="DJ1313" s="717"/>
      <c r="DM1313" s="711"/>
      <c r="DN1313" s="711"/>
      <c r="DO1313" s="711"/>
      <c r="DP1313" s="711"/>
      <c r="DQ1313" s="711"/>
    </row>
    <row r="1314" spans="13:121" s="709" customFormat="1" hidden="1">
      <c r="M1314" s="710"/>
      <c r="P1314" s="711"/>
      <c r="Q1314" s="712"/>
      <c r="U1314" s="711"/>
      <c r="V1314" s="711"/>
      <c r="W1314" s="711"/>
      <c r="X1314" s="711"/>
      <c r="Y1314" s="711"/>
      <c r="Z1314" s="711"/>
      <c r="AU1314" s="713"/>
      <c r="AW1314" s="712"/>
      <c r="BY1314" s="714"/>
      <c r="BZ1314" s="715"/>
      <c r="CA1314" s="716"/>
      <c r="CB1314" s="717"/>
      <c r="CC1314" s="717"/>
      <c r="CD1314" s="717"/>
      <c r="CE1314" s="717"/>
      <c r="CF1314" s="717"/>
      <c r="CG1314" s="717"/>
      <c r="CH1314" s="717"/>
      <c r="CI1314" s="717"/>
      <c r="CJ1314" s="717"/>
      <c r="CK1314" s="717"/>
      <c r="CL1314" s="717"/>
      <c r="CM1314" s="717"/>
      <c r="CN1314" s="717"/>
      <c r="CO1314" s="717"/>
      <c r="CP1314" s="717"/>
      <c r="CQ1314" s="717"/>
      <c r="CR1314" s="717"/>
      <c r="CS1314" s="717"/>
      <c r="CT1314" s="717"/>
      <c r="CU1314" s="717"/>
      <c r="CV1314" s="717"/>
      <c r="CW1314" s="717"/>
      <c r="CX1314" s="717"/>
      <c r="CY1314" s="717"/>
      <c r="CZ1314" s="717"/>
      <c r="DA1314" s="717"/>
      <c r="DB1314" s="717"/>
      <c r="DC1314" s="717"/>
      <c r="DD1314" s="717"/>
      <c r="DE1314" s="717"/>
      <c r="DF1314" s="717"/>
      <c r="DG1314" s="717"/>
      <c r="DH1314" s="717"/>
      <c r="DI1314" s="717"/>
      <c r="DJ1314" s="717"/>
      <c r="DM1314" s="711"/>
      <c r="DN1314" s="711"/>
      <c r="DO1314" s="711"/>
      <c r="DP1314" s="711"/>
      <c r="DQ1314" s="711"/>
    </row>
    <row r="1315" spans="13:121" s="709" customFormat="1" hidden="1">
      <c r="M1315" s="710"/>
      <c r="P1315" s="711"/>
      <c r="Q1315" s="712"/>
      <c r="U1315" s="711"/>
      <c r="V1315" s="711"/>
      <c r="W1315" s="711"/>
      <c r="X1315" s="711"/>
      <c r="Y1315" s="711"/>
      <c r="Z1315" s="711"/>
      <c r="AU1315" s="713"/>
      <c r="AW1315" s="712"/>
      <c r="BY1315" s="714"/>
      <c r="BZ1315" s="715"/>
      <c r="CA1315" s="716"/>
      <c r="CB1315" s="717"/>
      <c r="CC1315" s="717"/>
      <c r="CD1315" s="717"/>
      <c r="CE1315" s="717"/>
      <c r="CF1315" s="717"/>
      <c r="CG1315" s="717"/>
      <c r="CH1315" s="717"/>
      <c r="CI1315" s="717"/>
      <c r="CJ1315" s="717"/>
      <c r="CK1315" s="717"/>
      <c r="CL1315" s="717"/>
      <c r="CM1315" s="717"/>
      <c r="CN1315" s="717"/>
      <c r="CO1315" s="717"/>
      <c r="CP1315" s="717"/>
      <c r="CQ1315" s="717"/>
      <c r="CR1315" s="717"/>
      <c r="CS1315" s="717"/>
      <c r="CT1315" s="717"/>
      <c r="CU1315" s="717"/>
      <c r="CV1315" s="717"/>
      <c r="CW1315" s="717"/>
      <c r="CX1315" s="717"/>
      <c r="CY1315" s="717"/>
      <c r="CZ1315" s="717"/>
      <c r="DA1315" s="717"/>
      <c r="DB1315" s="717"/>
      <c r="DC1315" s="717"/>
      <c r="DD1315" s="717"/>
      <c r="DE1315" s="717"/>
      <c r="DF1315" s="717"/>
      <c r="DG1315" s="717"/>
      <c r="DH1315" s="717"/>
      <c r="DI1315" s="717"/>
      <c r="DJ1315" s="717"/>
      <c r="DM1315" s="711"/>
      <c r="DN1315" s="711"/>
      <c r="DO1315" s="711"/>
      <c r="DP1315" s="711"/>
      <c r="DQ1315" s="711"/>
    </row>
    <row r="1316" spans="13:121" s="709" customFormat="1" hidden="1">
      <c r="M1316" s="710"/>
      <c r="P1316" s="711"/>
      <c r="Q1316" s="712"/>
      <c r="U1316" s="711"/>
      <c r="V1316" s="711"/>
      <c r="W1316" s="711"/>
      <c r="X1316" s="711"/>
      <c r="Y1316" s="711"/>
      <c r="Z1316" s="711"/>
      <c r="AU1316" s="713"/>
      <c r="AW1316" s="712"/>
      <c r="BY1316" s="714"/>
      <c r="BZ1316" s="715"/>
      <c r="CA1316" s="716"/>
      <c r="CB1316" s="717"/>
      <c r="CC1316" s="717"/>
      <c r="CD1316" s="717"/>
      <c r="CE1316" s="717"/>
      <c r="CF1316" s="717"/>
      <c r="CG1316" s="717"/>
      <c r="CH1316" s="717"/>
      <c r="CI1316" s="717"/>
      <c r="CJ1316" s="717"/>
      <c r="CK1316" s="717"/>
      <c r="CL1316" s="717"/>
      <c r="CM1316" s="717"/>
      <c r="CN1316" s="717"/>
      <c r="CO1316" s="717"/>
      <c r="CP1316" s="717"/>
      <c r="CQ1316" s="717"/>
      <c r="CR1316" s="717"/>
      <c r="CS1316" s="717"/>
      <c r="CT1316" s="717"/>
      <c r="CU1316" s="717"/>
      <c r="CV1316" s="717"/>
      <c r="CW1316" s="717"/>
      <c r="CX1316" s="717"/>
      <c r="CY1316" s="717"/>
      <c r="CZ1316" s="717"/>
      <c r="DA1316" s="717"/>
      <c r="DB1316" s="717"/>
      <c r="DC1316" s="717"/>
      <c r="DD1316" s="717"/>
      <c r="DE1316" s="717"/>
      <c r="DF1316" s="717"/>
      <c r="DG1316" s="717"/>
      <c r="DH1316" s="717"/>
      <c r="DI1316" s="717"/>
      <c r="DJ1316" s="717"/>
      <c r="DM1316" s="711"/>
      <c r="DN1316" s="711"/>
      <c r="DO1316" s="711"/>
      <c r="DP1316" s="711"/>
      <c r="DQ1316" s="711"/>
    </row>
    <row r="1317" spans="13:121" s="709" customFormat="1" hidden="1">
      <c r="M1317" s="710"/>
      <c r="P1317" s="711"/>
      <c r="Q1317" s="712"/>
      <c r="U1317" s="711"/>
      <c r="V1317" s="711"/>
      <c r="W1317" s="711"/>
      <c r="X1317" s="711"/>
      <c r="Y1317" s="711"/>
      <c r="Z1317" s="711"/>
      <c r="AU1317" s="713"/>
      <c r="AW1317" s="712"/>
      <c r="BY1317" s="714"/>
      <c r="BZ1317" s="715"/>
      <c r="CA1317" s="716"/>
      <c r="CB1317" s="717"/>
      <c r="CC1317" s="717"/>
      <c r="CD1317" s="717"/>
      <c r="CE1317" s="717"/>
      <c r="CF1317" s="717"/>
      <c r="CG1317" s="717"/>
      <c r="CH1317" s="717"/>
      <c r="CI1317" s="717"/>
      <c r="CJ1317" s="717"/>
      <c r="CK1317" s="717"/>
      <c r="CL1317" s="717"/>
      <c r="CM1317" s="717"/>
      <c r="CN1317" s="717"/>
      <c r="CO1317" s="717"/>
      <c r="CP1317" s="717"/>
      <c r="CQ1317" s="717"/>
      <c r="CR1317" s="717"/>
      <c r="CS1317" s="717"/>
      <c r="CT1317" s="717"/>
      <c r="CU1317" s="717"/>
      <c r="CV1317" s="717"/>
      <c r="CW1317" s="717"/>
      <c r="CX1317" s="717"/>
      <c r="CY1317" s="717"/>
      <c r="CZ1317" s="717"/>
      <c r="DA1317" s="717"/>
      <c r="DB1317" s="717"/>
      <c r="DC1317" s="717"/>
      <c r="DD1317" s="717"/>
      <c r="DE1317" s="717"/>
      <c r="DF1317" s="717"/>
      <c r="DG1317" s="717"/>
      <c r="DH1317" s="717"/>
      <c r="DI1317" s="717"/>
      <c r="DJ1317" s="717"/>
      <c r="DM1317" s="711"/>
      <c r="DN1317" s="711"/>
      <c r="DO1317" s="711"/>
      <c r="DP1317" s="711"/>
      <c r="DQ1317" s="711"/>
    </row>
    <row r="1318" spans="13:121" s="709" customFormat="1" hidden="1">
      <c r="M1318" s="710"/>
      <c r="P1318" s="711"/>
      <c r="Q1318" s="712"/>
      <c r="U1318" s="711"/>
      <c r="V1318" s="711"/>
      <c r="W1318" s="711"/>
      <c r="X1318" s="711"/>
      <c r="Y1318" s="711"/>
      <c r="Z1318" s="711"/>
      <c r="AU1318" s="713"/>
      <c r="AW1318" s="712"/>
      <c r="BY1318" s="714"/>
      <c r="BZ1318" s="715"/>
      <c r="CA1318" s="716"/>
      <c r="CB1318" s="717"/>
      <c r="CC1318" s="717"/>
      <c r="CD1318" s="717"/>
      <c r="CE1318" s="717"/>
      <c r="CF1318" s="717"/>
      <c r="CG1318" s="717"/>
      <c r="CH1318" s="717"/>
      <c r="CI1318" s="717"/>
      <c r="CJ1318" s="717"/>
      <c r="CK1318" s="717"/>
      <c r="CL1318" s="717"/>
      <c r="CM1318" s="717"/>
      <c r="CN1318" s="717"/>
      <c r="CO1318" s="717"/>
      <c r="CP1318" s="717"/>
      <c r="CQ1318" s="717"/>
      <c r="CR1318" s="717"/>
      <c r="CS1318" s="717"/>
      <c r="CT1318" s="717"/>
      <c r="CU1318" s="717"/>
      <c r="CV1318" s="717"/>
      <c r="CW1318" s="717"/>
      <c r="CX1318" s="717"/>
      <c r="CY1318" s="717"/>
      <c r="CZ1318" s="717"/>
      <c r="DA1318" s="717"/>
      <c r="DB1318" s="717"/>
      <c r="DC1318" s="717"/>
      <c r="DD1318" s="717"/>
      <c r="DE1318" s="717"/>
      <c r="DF1318" s="717"/>
      <c r="DG1318" s="717"/>
      <c r="DH1318" s="717"/>
      <c r="DI1318" s="717"/>
      <c r="DJ1318" s="717"/>
      <c r="DM1318" s="711"/>
      <c r="DN1318" s="711"/>
      <c r="DO1318" s="711"/>
      <c r="DP1318" s="711"/>
      <c r="DQ1318" s="711"/>
    </row>
    <row r="1319" spans="13:121" s="709" customFormat="1" hidden="1">
      <c r="M1319" s="710"/>
      <c r="P1319" s="711"/>
      <c r="Q1319" s="712"/>
      <c r="U1319" s="711"/>
      <c r="V1319" s="711"/>
      <c r="W1319" s="711"/>
      <c r="X1319" s="711"/>
      <c r="Y1319" s="711"/>
      <c r="Z1319" s="711"/>
      <c r="AU1319" s="713"/>
      <c r="AW1319" s="712"/>
      <c r="BY1319" s="714"/>
      <c r="BZ1319" s="715"/>
      <c r="CA1319" s="716"/>
      <c r="CB1319" s="717"/>
      <c r="CC1319" s="717"/>
      <c r="CD1319" s="717"/>
      <c r="CE1319" s="717"/>
      <c r="CF1319" s="717"/>
      <c r="CG1319" s="717"/>
      <c r="CH1319" s="717"/>
      <c r="CI1319" s="717"/>
      <c r="CJ1319" s="717"/>
      <c r="CK1319" s="717"/>
      <c r="CL1319" s="717"/>
      <c r="CM1319" s="717"/>
      <c r="CN1319" s="717"/>
      <c r="CO1319" s="717"/>
      <c r="CP1319" s="717"/>
      <c r="CQ1319" s="717"/>
      <c r="CR1319" s="717"/>
      <c r="CS1319" s="717"/>
      <c r="CT1319" s="717"/>
      <c r="CU1319" s="717"/>
      <c r="CV1319" s="717"/>
      <c r="CW1319" s="717"/>
      <c r="CX1319" s="717"/>
      <c r="CY1319" s="717"/>
      <c r="CZ1319" s="717"/>
      <c r="DA1319" s="717"/>
      <c r="DB1319" s="717"/>
      <c r="DC1319" s="717"/>
      <c r="DD1319" s="717"/>
      <c r="DE1319" s="717"/>
      <c r="DF1319" s="717"/>
      <c r="DG1319" s="717"/>
      <c r="DH1319" s="717"/>
      <c r="DI1319" s="717"/>
      <c r="DJ1319" s="717"/>
      <c r="DM1319" s="711"/>
      <c r="DN1319" s="711"/>
      <c r="DO1319" s="711"/>
      <c r="DP1319" s="711"/>
      <c r="DQ1319" s="711"/>
    </row>
    <row r="1320" spans="13:121" s="709" customFormat="1" hidden="1">
      <c r="M1320" s="710"/>
      <c r="P1320" s="711"/>
      <c r="Q1320" s="712"/>
      <c r="U1320" s="711"/>
      <c r="V1320" s="711"/>
      <c r="W1320" s="711"/>
      <c r="X1320" s="711"/>
      <c r="Y1320" s="711"/>
      <c r="Z1320" s="711"/>
      <c r="AU1320" s="713"/>
      <c r="AW1320" s="712"/>
      <c r="BY1320" s="714"/>
      <c r="BZ1320" s="715"/>
      <c r="CA1320" s="716"/>
      <c r="CB1320" s="717"/>
      <c r="CC1320" s="717"/>
      <c r="CD1320" s="717"/>
      <c r="CE1320" s="717"/>
      <c r="CF1320" s="717"/>
      <c r="CG1320" s="717"/>
      <c r="CH1320" s="717"/>
      <c r="CI1320" s="717"/>
      <c r="CJ1320" s="717"/>
      <c r="CK1320" s="717"/>
      <c r="CL1320" s="717"/>
      <c r="CM1320" s="717"/>
      <c r="CN1320" s="717"/>
      <c r="CO1320" s="717"/>
      <c r="CP1320" s="717"/>
      <c r="CQ1320" s="717"/>
      <c r="CR1320" s="717"/>
      <c r="CS1320" s="717"/>
      <c r="CT1320" s="717"/>
      <c r="CU1320" s="717"/>
      <c r="CV1320" s="717"/>
      <c r="CW1320" s="717"/>
      <c r="CX1320" s="717"/>
      <c r="CY1320" s="717"/>
      <c r="CZ1320" s="717"/>
      <c r="DA1320" s="717"/>
      <c r="DB1320" s="717"/>
      <c r="DC1320" s="717"/>
      <c r="DD1320" s="717"/>
      <c r="DE1320" s="717"/>
      <c r="DF1320" s="717"/>
      <c r="DG1320" s="717"/>
      <c r="DH1320" s="717"/>
      <c r="DI1320" s="717"/>
      <c r="DJ1320" s="717"/>
      <c r="DM1320" s="711"/>
      <c r="DN1320" s="711"/>
      <c r="DO1320" s="711"/>
      <c r="DP1320" s="711"/>
      <c r="DQ1320" s="711"/>
    </row>
    <row r="1321" spans="13:121" s="709" customFormat="1" hidden="1">
      <c r="M1321" s="710"/>
      <c r="P1321" s="711"/>
      <c r="Q1321" s="712"/>
      <c r="U1321" s="711"/>
      <c r="V1321" s="711"/>
      <c r="W1321" s="711"/>
      <c r="X1321" s="711"/>
      <c r="Y1321" s="711"/>
      <c r="Z1321" s="711"/>
      <c r="AU1321" s="713"/>
      <c r="AW1321" s="712"/>
      <c r="BY1321" s="714"/>
      <c r="BZ1321" s="715"/>
      <c r="CA1321" s="716"/>
      <c r="CB1321" s="717"/>
      <c r="CC1321" s="717"/>
      <c r="CD1321" s="717"/>
      <c r="CE1321" s="717"/>
      <c r="CF1321" s="717"/>
      <c r="CG1321" s="717"/>
      <c r="CH1321" s="717"/>
      <c r="CI1321" s="717"/>
      <c r="CJ1321" s="717"/>
      <c r="CK1321" s="717"/>
      <c r="CL1321" s="717"/>
      <c r="CM1321" s="717"/>
      <c r="CN1321" s="717"/>
      <c r="CO1321" s="717"/>
      <c r="CP1321" s="717"/>
      <c r="CQ1321" s="717"/>
      <c r="CR1321" s="717"/>
      <c r="CS1321" s="717"/>
      <c r="CT1321" s="717"/>
      <c r="CU1321" s="717"/>
      <c r="CV1321" s="717"/>
      <c r="CW1321" s="717"/>
      <c r="CX1321" s="717"/>
      <c r="CY1321" s="717"/>
      <c r="CZ1321" s="717"/>
      <c r="DA1321" s="717"/>
      <c r="DB1321" s="717"/>
      <c r="DC1321" s="717"/>
      <c r="DD1321" s="717"/>
      <c r="DE1321" s="717"/>
      <c r="DF1321" s="717"/>
      <c r="DG1321" s="717"/>
      <c r="DH1321" s="717"/>
      <c r="DI1321" s="717"/>
      <c r="DJ1321" s="717"/>
      <c r="DM1321" s="711"/>
      <c r="DN1321" s="711"/>
      <c r="DO1321" s="711"/>
      <c r="DP1321" s="711"/>
      <c r="DQ1321" s="711"/>
    </row>
    <row r="1322" spans="13:121" s="709" customFormat="1" hidden="1">
      <c r="M1322" s="710"/>
      <c r="P1322" s="711"/>
      <c r="Q1322" s="712"/>
      <c r="U1322" s="711"/>
      <c r="V1322" s="711"/>
      <c r="W1322" s="711"/>
      <c r="X1322" s="711"/>
      <c r="Y1322" s="711"/>
      <c r="Z1322" s="711"/>
      <c r="AU1322" s="713"/>
      <c r="AW1322" s="712"/>
      <c r="BY1322" s="714"/>
      <c r="BZ1322" s="715"/>
      <c r="CA1322" s="716"/>
      <c r="CB1322" s="717"/>
      <c r="CC1322" s="717"/>
      <c r="CD1322" s="717"/>
      <c r="CE1322" s="717"/>
      <c r="CF1322" s="717"/>
      <c r="CG1322" s="717"/>
      <c r="CH1322" s="717"/>
      <c r="CI1322" s="717"/>
      <c r="CJ1322" s="717"/>
      <c r="CK1322" s="717"/>
      <c r="CL1322" s="717"/>
      <c r="CM1322" s="717"/>
      <c r="CN1322" s="717"/>
      <c r="CO1322" s="717"/>
      <c r="CP1322" s="717"/>
      <c r="CQ1322" s="717"/>
      <c r="CR1322" s="717"/>
      <c r="CS1322" s="717"/>
      <c r="CT1322" s="717"/>
      <c r="CU1322" s="717"/>
      <c r="CV1322" s="717"/>
      <c r="CW1322" s="717"/>
      <c r="CX1322" s="717"/>
      <c r="CY1322" s="717"/>
      <c r="CZ1322" s="717"/>
      <c r="DA1322" s="717"/>
      <c r="DB1322" s="717"/>
      <c r="DC1322" s="717"/>
      <c r="DD1322" s="717"/>
      <c r="DE1322" s="717"/>
      <c r="DF1322" s="717"/>
      <c r="DG1322" s="717"/>
      <c r="DH1322" s="717"/>
      <c r="DI1322" s="717"/>
      <c r="DJ1322" s="717"/>
      <c r="DM1322" s="711"/>
      <c r="DN1322" s="711"/>
      <c r="DO1322" s="711"/>
      <c r="DP1322" s="711"/>
      <c r="DQ1322" s="711"/>
    </row>
    <row r="1323" spans="13:121" s="709" customFormat="1" hidden="1">
      <c r="M1323" s="710"/>
      <c r="P1323" s="711"/>
      <c r="Q1323" s="712"/>
      <c r="U1323" s="711"/>
      <c r="V1323" s="711"/>
      <c r="W1323" s="711"/>
      <c r="X1323" s="711"/>
      <c r="Y1323" s="711"/>
      <c r="Z1323" s="711"/>
      <c r="AU1323" s="713"/>
      <c r="AW1323" s="712"/>
      <c r="BY1323" s="714"/>
      <c r="BZ1323" s="715"/>
      <c r="CA1323" s="716"/>
      <c r="CB1323" s="717"/>
      <c r="CC1323" s="717"/>
      <c r="CD1323" s="717"/>
      <c r="CE1323" s="717"/>
      <c r="CF1323" s="717"/>
      <c r="CG1323" s="717"/>
      <c r="CH1323" s="717"/>
      <c r="CI1323" s="717"/>
      <c r="CJ1323" s="717"/>
      <c r="CK1323" s="717"/>
      <c r="CL1323" s="717"/>
      <c r="CM1323" s="717"/>
      <c r="CN1323" s="717"/>
      <c r="CO1323" s="717"/>
      <c r="CP1323" s="717"/>
      <c r="CQ1323" s="717"/>
      <c r="CR1323" s="717"/>
      <c r="CS1323" s="717"/>
      <c r="CT1323" s="717"/>
      <c r="CU1323" s="717"/>
      <c r="CV1323" s="717"/>
      <c r="CW1323" s="717"/>
      <c r="CX1323" s="717"/>
      <c r="CY1323" s="717"/>
      <c r="CZ1323" s="717"/>
      <c r="DA1323" s="717"/>
      <c r="DB1323" s="717"/>
      <c r="DC1323" s="717"/>
      <c r="DD1323" s="717"/>
      <c r="DE1323" s="717"/>
      <c r="DF1323" s="717"/>
      <c r="DG1323" s="717"/>
      <c r="DH1323" s="717"/>
      <c r="DI1323" s="717"/>
      <c r="DJ1323" s="717"/>
      <c r="DM1323" s="711"/>
      <c r="DN1323" s="711"/>
      <c r="DO1323" s="711"/>
      <c r="DP1323" s="711"/>
      <c r="DQ1323" s="711"/>
    </row>
    <row r="1324" spans="13:121" s="709" customFormat="1" hidden="1">
      <c r="M1324" s="710"/>
      <c r="P1324" s="711"/>
      <c r="Q1324" s="712"/>
      <c r="U1324" s="711"/>
      <c r="V1324" s="711"/>
      <c r="W1324" s="711"/>
      <c r="X1324" s="711"/>
      <c r="Y1324" s="711"/>
      <c r="Z1324" s="711"/>
      <c r="AU1324" s="713"/>
      <c r="AW1324" s="712"/>
      <c r="BY1324" s="714"/>
      <c r="BZ1324" s="715"/>
      <c r="CA1324" s="716"/>
      <c r="CB1324" s="717"/>
      <c r="CC1324" s="717"/>
      <c r="CD1324" s="717"/>
      <c r="CE1324" s="717"/>
      <c r="CF1324" s="717"/>
      <c r="CG1324" s="717"/>
      <c r="CH1324" s="717"/>
      <c r="CI1324" s="717"/>
      <c r="CJ1324" s="717"/>
      <c r="CK1324" s="717"/>
      <c r="CL1324" s="717"/>
      <c r="CM1324" s="717"/>
      <c r="CN1324" s="717"/>
      <c r="CO1324" s="717"/>
      <c r="CP1324" s="717"/>
      <c r="CQ1324" s="717"/>
      <c r="CR1324" s="717"/>
      <c r="CS1324" s="717"/>
      <c r="CT1324" s="717"/>
      <c r="CU1324" s="717"/>
      <c r="CV1324" s="717"/>
      <c r="CW1324" s="717"/>
      <c r="CX1324" s="717"/>
      <c r="CY1324" s="717"/>
      <c r="CZ1324" s="717"/>
      <c r="DA1324" s="717"/>
      <c r="DB1324" s="717"/>
      <c r="DC1324" s="717"/>
      <c r="DD1324" s="717"/>
      <c r="DE1324" s="717"/>
      <c r="DF1324" s="717"/>
      <c r="DG1324" s="717"/>
      <c r="DH1324" s="717"/>
      <c r="DI1324" s="717"/>
      <c r="DJ1324" s="717"/>
      <c r="DM1324" s="711"/>
      <c r="DN1324" s="711"/>
      <c r="DO1324" s="711"/>
      <c r="DP1324" s="711"/>
      <c r="DQ1324" s="711"/>
    </row>
    <row r="1325" spans="13:121" s="709" customFormat="1" hidden="1">
      <c r="M1325" s="710"/>
      <c r="P1325" s="711"/>
      <c r="Q1325" s="712"/>
      <c r="U1325" s="711"/>
      <c r="V1325" s="711"/>
      <c r="W1325" s="711"/>
      <c r="X1325" s="711"/>
      <c r="Y1325" s="711"/>
      <c r="Z1325" s="711"/>
      <c r="AU1325" s="713"/>
      <c r="AW1325" s="712"/>
      <c r="BY1325" s="714"/>
      <c r="BZ1325" s="715"/>
      <c r="CA1325" s="716"/>
      <c r="CB1325" s="717"/>
      <c r="CC1325" s="717"/>
      <c r="CD1325" s="717"/>
      <c r="CE1325" s="717"/>
      <c r="CF1325" s="717"/>
      <c r="CG1325" s="717"/>
      <c r="CH1325" s="717"/>
      <c r="CI1325" s="717"/>
      <c r="CJ1325" s="717"/>
      <c r="CK1325" s="717"/>
      <c r="CL1325" s="717"/>
      <c r="CM1325" s="717"/>
      <c r="CN1325" s="717"/>
      <c r="CO1325" s="717"/>
      <c r="CP1325" s="717"/>
      <c r="CQ1325" s="717"/>
      <c r="CR1325" s="717"/>
      <c r="CS1325" s="717"/>
      <c r="CT1325" s="717"/>
      <c r="CU1325" s="717"/>
      <c r="CV1325" s="717"/>
      <c r="CW1325" s="717"/>
      <c r="CX1325" s="717"/>
      <c r="CY1325" s="717"/>
      <c r="CZ1325" s="717"/>
      <c r="DA1325" s="717"/>
      <c r="DB1325" s="717"/>
      <c r="DC1325" s="717"/>
      <c r="DD1325" s="717"/>
      <c r="DE1325" s="717"/>
      <c r="DF1325" s="717"/>
      <c r="DG1325" s="717"/>
      <c r="DH1325" s="717"/>
      <c r="DI1325" s="717"/>
      <c r="DJ1325" s="717"/>
      <c r="DM1325" s="711"/>
      <c r="DN1325" s="711"/>
      <c r="DO1325" s="711"/>
      <c r="DP1325" s="711"/>
      <c r="DQ1325" s="711"/>
    </row>
    <row r="1326" spans="13:121" s="709" customFormat="1" hidden="1">
      <c r="M1326" s="710"/>
      <c r="P1326" s="711"/>
      <c r="Q1326" s="712"/>
      <c r="U1326" s="711"/>
      <c r="V1326" s="711"/>
      <c r="W1326" s="711"/>
      <c r="X1326" s="711"/>
      <c r="Y1326" s="711"/>
      <c r="Z1326" s="711"/>
      <c r="AU1326" s="713"/>
      <c r="AW1326" s="712"/>
      <c r="BY1326" s="714"/>
      <c r="BZ1326" s="715"/>
      <c r="CA1326" s="716"/>
      <c r="CB1326" s="717"/>
      <c r="CC1326" s="717"/>
      <c r="CD1326" s="717"/>
      <c r="CE1326" s="717"/>
      <c r="CF1326" s="717"/>
      <c r="CG1326" s="717"/>
      <c r="CH1326" s="717"/>
      <c r="CI1326" s="717"/>
      <c r="CJ1326" s="717"/>
      <c r="CK1326" s="717"/>
      <c r="CL1326" s="717"/>
      <c r="CM1326" s="717"/>
      <c r="CN1326" s="717"/>
      <c r="CO1326" s="717"/>
      <c r="CP1326" s="717"/>
      <c r="CQ1326" s="717"/>
      <c r="CR1326" s="717"/>
      <c r="CS1326" s="717"/>
      <c r="CT1326" s="717"/>
      <c r="CU1326" s="717"/>
      <c r="CV1326" s="717"/>
      <c r="CW1326" s="717"/>
      <c r="CX1326" s="717"/>
      <c r="CY1326" s="717"/>
      <c r="CZ1326" s="717"/>
      <c r="DA1326" s="717"/>
      <c r="DB1326" s="717"/>
      <c r="DC1326" s="717"/>
      <c r="DD1326" s="717"/>
      <c r="DE1326" s="717"/>
      <c r="DF1326" s="717"/>
      <c r="DG1326" s="717"/>
      <c r="DH1326" s="717"/>
      <c r="DI1326" s="717"/>
      <c r="DJ1326" s="717"/>
      <c r="DM1326" s="711"/>
      <c r="DN1326" s="711"/>
      <c r="DO1326" s="711"/>
      <c r="DP1326" s="711"/>
      <c r="DQ1326" s="711"/>
    </row>
    <row r="1327" spans="13:121" s="709" customFormat="1" hidden="1">
      <c r="M1327" s="710"/>
      <c r="P1327" s="711"/>
      <c r="Q1327" s="712"/>
      <c r="U1327" s="711"/>
      <c r="V1327" s="711"/>
      <c r="W1327" s="711"/>
      <c r="X1327" s="711"/>
      <c r="Y1327" s="711"/>
      <c r="Z1327" s="711"/>
      <c r="AU1327" s="713"/>
      <c r="AW1327" s="712"/>
      <c r="BY1327" s="714"/>
      <c r="BZ1327" s="715"/>
      <c r="CA1327" s="716"/>
      <c r="CB1327" s="717"/>
      <c r="CC1327" s="717"/>
      <c r="CD1327" s="717"/>
      <c r="CE1327" s="717"/>
      <c r="CF1327" s="717"/>
      <c r="CG1327" s="717"/>
      <c r="CH1327" s="717"/>
      <c r="CI1327" s="717"/>
      <c r="CJ1327" s="717"/>
      <c r="CK1327" s="717"/>
      <c r="CL1327" s="717"/>
      <c r="CM1327" s="717"/>
      <c r="CN1327" s="717"/>
      <c r="CO1327" s="717"/>
      <c r="CP1327" s="717"/>
      <c r="CQ1327" s="717"/>
      <c r="CR1327" s="717"/>
      <c r="CS1327" s="717"/>
      <c r="CT1327" s="717"/>
      <c r="CU1327" s="717"/>
      <c r="CV1327" s="717"/>
      <c r="CW1327" s="717"/>
      <c r="CX1327" s="717"/>
      <c r="CY1327" s="717"/>
      <c r="CZ1327" s="717"/>
      <c r="DA1327" s="717"/>
      <c r="DB1327" s="717"/>
      <c r="DC1327" s="717"/>
      <c r="DD1327" s="717"/>
      <c r="DE1327" s="717"/>
      <c r="DF1327" s="717"/>
      <c r="DG1327" s="717"/>
      <c r="DH1327" s="717"/>
      <c r="DI1327" s="717"/>
      <c r="DJ1327" s="717"/>
      <c r="DM1327" s="711"/>
      <c r="DN1327" s="711"/>
      <c r="DO1327" s="711"/>
      <c r="DP1327" s="711"/>
      <c r="DQ1327" s="711"/>
    </row>
    <row r="1328" spans="13:121" s="709" customFormat="1" hidden="1">
      <c r="M1328" s="710"/>
      <c r="P1328" s="711"/>
      <c r="Q1328" s="712"/>
      <c r="U1328" s="711"/>
      <c r="V1328" s="711"/>
      <c r="W1328" s="711"/>
      <c r="X1328" s="711"/>
      <c r="Y1328" s="711"/>
      <c r="Z1328" s="711"/>
      <c r="AU1328" s="713"/>
      <c r="AW1328" s="712"/>
      <c r="BY1328" s="714"/>
      <c r="BZ1328" s="715"/>
      <c r="CA1328" s="716"/>
      <c r="CB1328" s="717"/>
      <c r="CC1328" s="717"/>
      <c r="CD1328" s="717"/>
      <c r="CE1328" s="717"/>
      <c r="CF1328" s="717"/>
      <c r="CG1328" s="717"/>
      <c r="CH1328" s="717"/>
      <c r="CI1328" s="717"/>
      <c r="CJ1328" s="717"/>
      <c r="CK1328" s="717"/>
      <c r="CL1328" s="717"/>
      <c r="CM1328" s="717"/>
      <c r="CN1328" s="717"/>
      <c r="CO1328" s="717"/>
      <c r="CP1328" s="717"/>
      <c r="CQ1328" s="717"/>
      <c r="CR1328" s="717"/>
      <c r="CS1328" s="717"/>
      <c r="CT1328" s="717"/>
      <c r="CU1328" s="717"/>
      <c r="CV1328" s="717"/>
      <c r="CW1328" s="717"/>
      <c r="CX1328" s="717"/>
      <c r="CY1328" s="717"/>
      <c r="CZ1328" s="717"/>
      <c r="DA1328" s="717"/>
      <c r="DB1328" s="717"/>
      <c r="DC1328" s="717"/>
      <c r="DD1328" s="717"/>
      <c r="DE1328" s="717"/>
      <c r="DF1328" s="717"/>
      <c r="DG1328" s="717"/>
      <c r="DH1328" s="717"/>
      <c r="DI1328" s="717"/>
      <c r="DJ1328" s="717"/>
      <c r="DM1328" s="711"/>
      <c r="DN1328" s="711"/>
      <c r="DO1328" s="711"/>
      <c r="DP1328" s="711"/>
      <c r="DQ1328" s="711"/>
    </row>
    <row r="1329" spans="13:121" s="709" customFormat="1" hidden="1">
      <c r="M1329" s="710"/>
      <c r="P1329" s="711"/>
      <c r="Q1329" s="712"/>
      <c r="U1329" s="711"/>
      <c r="V1329" s="711"/>
      <c r="W1329" s="711"/>
      <c r="X1329" s="711"/>
      <c r="Y1329" s="711"/>
      <c r="Z1329" s="711"/>
      <c r="AU1329" s="713"/>
      <c r="AW1329" s="712"/>
      <c r="BY1329" s="714"/>
      <c r="BZ1329" s="715"/>
      <c r="CA1329" s="716"/>
      <c r="CB1329" s="717"/>
      <c r="CC1329" s="717"/>
      <c r="CD1329" s="717"/>
      <c r="CE1329" s="717"/>
      <c r="CF1329" s="717"/>
      <c r="CG1329" s="717"/>
      <c r="CH1329" s="717"/>
      <c r="CI1329" s="717"/>
      <c r="CJ1329" s="717"/>
      <c r="CK1329" s="717"/>
      <c r="CL1329" s="717"/>
      <c r="CM1329" s="717"/>
      <c r="CN1329" s="717"/>
      <c r="CO1329" s="717"/>
      <c r="CP1329" s="717"/>
      <c r="CQ1329" s="717"/>
      <c r="CR1329" s="717"/>
      <c r="CS1329" s="717"/>
      <c r="CT1329" s="717"/>
      <c r="CU1329" s="717"/>
      <c r="CV1329" s="717"/>
      <c r="CW1329" s="717"/>
      <c r="CX1329" s="717"/>
      <c r="CY1329" s="717"/>
      <c r="CZ1329" s="717"/>
      <c r="DA1329" s="717"/>
      <c r="DB1329" s="717"/>
      <c r="DC1329" s="717"/>
      <c r="DD1329" s="717"/>
      <c r="DE1329" s="717"/>
      <c r="DF1329" s="717"/>
      <c r="DG1329" s="717"/>
      <c r="DH1329" s="717"/>
      <c r="DI1329" s="717"/>
      <c r="DJ1329" s="717"/>
      <c r="DM1329" s="711"/>
      <c r="DN1329" s="711"/>
      <c r="DO1329" s="711"/>
      <c r="DP1329" s="711"/>
      <c r="DQ1329" s="711"/>
    </row>
    <row r="1330" spans="13:121" s="709" customFormat="1" hidden="1">
      <c r="M1330" s="710"/>
      <c r="P1330" s="711"/>
      <c r="Q1330" s="712"/>
      <c r="U1330" s="711"/>
      <c r="V1330" s="711"/>
      <c r="W1330" s="711"/>
      <c r="X1330" s="711"/>
      <c r="Y1330" s="711"/>
      <c r="Z1330" s="711"/>
      <c r="AU1330" s="713"/>
      <c r="AW1330" s="712"/>
      <c r="BY1330" s="714"/>
      <c r="BZ1330" s="715"/>
      <c r="CA1330" s="716"/>
      <c r="CB1330" s="717"/>
      <c r="CC1330" s="717"/>
      <c r="CD1330" s="717"/>
      <c r="CE1330" s="717"/>
      <c r="CF1330" s="717"/>
      <c r="CG1330" s="717"/>
      <c r="CH1330" s="717"/>
      <c r="CI1330" s="717"/>
      <c r="CJ1330" s="717"/>
      <c r="CK1330" s="717"/>
      <c r="CL1330" s="717"/>
      <c r="CM1330" s="717"/>
      <c r="CN1330" s="717"/>
      <c r="CO1330" s="717"/>
      <c r="CP1330" s="717"/>
      <c r="CQ1330" s="717"/>
      <c r="CR1330" s="717"/>
      <c r="CS1330" s="717"/>
      <c r="CT1330" s="717"/>
      <c r="CU1330" s="717"/>
      <c r="CV1330" s="717"/>
      <c r="CW1330" s="717"/>
      <c r="CX1330" s="717"/>
      <c r="CY1330" s="717"/>
      <c r="CZ1330" s="717"/>
      <c r="DA1330" s="717"/>
      <c r="DB1330" s="717"/>
      <c r="DC1330" s="717"/>
      <c r="DD1330" s="717"/>
      <c r="DE1330" s="717"/>
      <c r="DF1330" s="717"/>
      <c r="DG1330" s="717"/>
      <c r="DH1330" s="717"/>
      <c r="DI1330" s="717"/>
      <c r="DJ1330" s="717"/>
      <c r="DM1330" s="711"/>
      <c r="DN1330" s="711"/>
      <c r="DO1330" s="711"/>
      <c r="DP1330" s="711"/>
      <c r="DQ1330" s="711"/>
    </row>
    <row r="1331" spans="13:121" s="709" customFormat="1" hidden="1">
      <c r="M1331" s="710"/>
      <c r="P1331" s="711"/>
      <c r="Q1331" s="712"/>
      <c r="U1331" s="711"/>
      <c r="V1331" s="711"/>
      <c r="W1331" s="711"/>
      <c r="X1331" s="711"/>
      <c r="Y1331" s="711"/>
      <c r="Z1331" s="711"/>
      <c r="AU1331" s="713"/>
      <c r="AW1331" s="712"/>
      <c r="BY1331" s="714"/>
      <c r="BZ1331" s="715"/>
      <c r="CA1331" s="716"/>
      <c r="CB1331" s="717"/>
      <c r="CC1331" s="717"/>
      <c r="CD1331" s="717"/>
      <c r="CE1331" s="717"/>
      <c r="CF1331" s="717"/>
      <c r="CG1331" s="717"/>
      <c r="CH1331" s="717"/>
      <c r="CI1331" s="717"/>
      <c r="CJ1331" s="717"/>
      <c r="CK1331" s="717"/>
      <c r="CL1331" s="717"/>
      <c r="CM1331" s="717"/>
      <c r="CN1331" s="717"/>
      <c r="CO1331" s="717"/>
      <c r="CP1331" s="717"/>
      <c r="CQ1331" s="717"/>
      <c r="CR1331" s="717"/>
      <c r="CS1331" s="717"/>
      <c r="CT1331" s="717"/>
      <c r="CU1331" s="717"/>
      <c r="CV1331" s="717"/>
      <c r="CW1331" s="717"/>
      <c r="CX1331" s="717"/>
      <c r="CY1331" s="717"/>
      <c r="CZ1331" s="717"/>
      <c r="DA1331" s="717"/>
      <c r="DB1331" s="717"/>
      <c r="DC1331" s="717"/>
      <c r="DD1331" s="717"/>
      <c r="DE1331" s="717"/>
      <c r="DF1331" s="717"/>
      <c r="DG1331" s="717"/>
      <c r="DH1331" s="717"/>
      <c r="DI1331" s="717"/>
      <c r="DJ1331" s="717"/>
      <c r="DM1331" s="711"/>
      <c r="DN1331" s="711"/>
      <c r="DO1331" s="711"/>
      <c r="DP1331" s="711"/>
      <c r="DQ1331" s="711"/>
    </row>
    <row r="1332" spans="13:121" s="709" customFormat="1" hidden="1">
      <c r="M1332" s="710"/>
      <c r="P1332" s="711"/>
      <c r="Q1332" s="712"/>
      <c r="U1332" s="711"/>
      <c r="V1332" s="711"/>
      <c r="W1332" s="711"/>
      <c r="X1332" s="711"/>
      <c r="Y1332" s="711"/>
      <c r="Z1332" s="711"/>
      <c r="AU1332" s="713"/>
      <c r="AW1332" s="712"/>
      <c r="BY1332" s="714"/>
      <c r="BZ1332" s="715"/>
      <c r="CA1332" s="716"/>
      <c r="CB1332" s="717"/>
      <c r="CC1332" s="717"/>
      <c r="CD1332" s="717"/>
      <c r="CE1332" s="717"/>
      <c r="CF1332" s="717"/>
      <c r="CG1332" s="717"/>
      <c r="CH1332" s="717"/>
      <c r="CI1332" s="717"/>
      <c r="CJ1332" s="717"/>
      <c r="CK1332" s="717"/>
      <c r="CL1332" s="717"/>
      <c r="CM1332" s="717"/>
      <c r="CN1332" s="717"/>
      <c r="CO1332" s="717"/>
      <c r="CP1332" s="717"/>
      <c r="CQ1332" s="717"/>
      <c r="CR1332" s="717"/>
      <c r="CS1332" s="717"/>
      <c r="CT1332" s="717"/>
      <c r="CU1332" s="717"/>
      <c r="CV1332" s="717"/>
      <c r="CW1332" s="717"/>
      <c r="CX1332" s="717"/>
      <c r="CY1332" s="717"/>
      <c r="CZ1332" s="717"/>
      <c r="DA1332" s="717"/>
      <c r="DB1332" s="717"/>
      <c r="DC1332" s="717"/>
      <c r="DD1332" s="717"/>
      <c r="DE1332" s="717"/>
      <c r="DF1332" s="717"/>
      <c r="DG1332" s="717"/>
      <c r="DH1332" s="717"/>
      <c r="DI1332" s="717"/>
      <c r="DJ1332" s="717"/>
      <c r="DM1332" s="711"/>
      <c r="DN1332" s="711"/>
      <c r="DO1332" s="711"/>
      <c r="DP1332" s="711"/>
      <c r="DQ1332" s="711"/>
    </row>
    <row r="1333" spans="13:121" s="709" customFormat="1" hidden="1">
      <c r="M1333" s="710"/>
      <c r="P1333" s="711"/>
      <c r="Q1333" s="712"/>
      <c r="U1333" s="711"/>
      <c r="V1333" s="711"/>
      <c r="W1333" s="711"/>
      <c r="X1333" s="711"/>
      <c r="Y1333" s="711"/>
      <c r="Z1333" s="711"/>
      <c r="AU1333" s="713"/>
      <c r="AW1333" s="712"/>
      <c r="BY1333" s="714"/>
      <c r="BZ1333" s="715"/>
      <c r="CA1333" s="716"/>
      <c r="CB1333" s="717"/>
      <c r="CC1333" s="717"/>
      <c r="CD1333" s="717"/>
      <c r="CE1333" s="717"/>
      <c r="CF1333" s="717"/>
      <c r="CG1333" s="717"/>
      <c r="CH1333" s="717"/>
      <c r="CI1333" s="717"/>
      <c r="CJ1333" s="717"/>
      <c r="CK1333" s="717"/>
      <c r="CL1333" s="717"/>
      <c r="CM1333" s="717"/>
      <c r="CN1333" s="717"/>
      <c r="CO1333" s="717"/>
      <c r="CP1333" s="717"/>
      <c r="CQ1333" s="717"/>
      <c r="CR1333" s="717"/>
      <c r="CS1333" s="717"/>
      <c r="CT1333" s="717"/>
      <c r="CU1333" s="717"/>
      <c r="CV1333" s="717"/>
      <c r="CW1333" s="717"/>
      <c r="CX1333" s="717"/>
      <c r="CY1333" s="717"/>
      <c r="CZ1333" s="717"/>
      <c r="DA1333" s="717"/>
      <c r="DB1333" s="717"/>
      <c r="DC1333" s="717"/>
      <c r="DD1333" s="717"/>
      <c r="DE1333" s="717"/>
      <c r="DF1333" s="717"/>
      <c r="DG1333" s="717"/>
      <c r="DH1333" s="717"/>
      <c r="DI1333" s="717"/>
      <c r="DJ1333" s="717"/>
      <c r="DM1333" s="711"/>
      <c r="DN1333" s="711"/>
      <c r="DO1333" s="711"/>
      <c r="DP1333" s="711"/>
      <c r="DQ1333" s="711"/>
    </row>
    <row r="1334" spans="13:121" s="709" customFormat="1" hidden="1">
      <c r="M1334" s="710"/>
      <c r="P1334" s="711"/>
      <c r="Q1334" s="712"/>
      <c r="U1334" s="711"/>
      <c r="V1334" s="711"/>
      <c r="W1334" s="711"/>
      <c r="X1334" s="711"/>
      <c r="Y1334" s="711"/>
      <c r="Z1334" s="711"/>
      <c r="AU1334" s="713"/>
      <c r="AW1334" s="712"/>
      <c r="BY1334" s="714"/>
      <c r="BZ1334" s="715"/>
      <c r="CA1334" s="716"/>
      <c r="CB1334" s="717"/>
      <c r="CC1334" s="717"/>
      <c r="CD1334" s="717"/>
      <c r="CE1334" s="717"/>
      <c r="CF1334" s="717"/>
      <c r="CG1334" s="717"/>
      <c r="CH1334" s="717"/>
      <c r="CI1334" s="717"/>
      <c r="CJ1334" s="717"/>
      <c r="CK1334" s="717"/>
      <c r="CL1334" s="717"/>
      <c r="CM1334" s="717"/>
      <c r="CN1334" s="717"/>
      <c r="CO1334" s="717"/>
      <c r="CP1334" s="717"/>
      <c r="CQ1334" s="717"/>
      <c r="CR1334" s="717"/>
      <c r="CS1334" s="717"/>
      <c r="CT1334" s="717"/>
      <c r="CU1334" s="717"/>
      <c r="CV1334" s="717"/>
      <c r="CW1334" s="717"/>
      <c r="CX1334" s="717"/>
      <c r="CY1334" s="717"/>
      <c r="CZ1334" s="717"/>
      <c r="DA1334" s="717"/>
      <c r="DB1334" s="717"/>
      <c r="DC1334" s="717"/>
      <c r="DD1334" s="717"/>
      <c r="DE1334" s="717"/>
      <c r="DF1334" s="717"/>
      <c r="DG1334" s="717"/>
      <c r="DH1334" s="717"/>
      <c r="DI1334" s="717"/>
      <c r="DJ1334" s="717"/>
      <c r="DM1334" s="711"/>
      <c r="DN1334" s="711"/>
      <c r="DO1334" s="711"/>
      <c r="DP1334" s="711"/>
      <c r="DQ1334" s="711"/>
    </row>
    <row r="1335" spans="13:121" s="709" customFormat="1" hidden="1">
      <c r="M1335" s="710"/>
      <c r="P1335" s="711"/>
      <c r="Q1335" s="712"/>
      <c r="U1335" s="711"/>
      <c r="V1335" s="711"/>
      <c r="W1335" s="711"/>
      <c r="X1335" s="711"/>
      <c r="Y1335" s="711"/>
      <c r="Z1335" s="711"/>
      <c r="AU1335" s="713"/>
      <c r="AW1335" s="712"/>
      <c r="BY1335" s="714"/>
      <c r="BZ1335" s="715"/>
      <c r="CA1335" s="716"/>
      <c r="CB1335" s="717"/>
      <c r="CC1335" s="717"/>
      <c r="CD1335" s="717"/>
      <c r="CE1335" s="717"/>
      <c r="CF1335" s="717"/>
      <c r="CG1335" s="717"/>
      <c r="CH1335" s="717"/>
      <c r="CI1335" s="717"/>
      <c r="CJ1335" s="717"/>
      <c r="CK1335" s="717"/>
      <c r="CL1335" s="717"/>
      <c r="CM1335" s="717"/>
      <c r="CN1335" s="717"/>
      <c r="CO1335" s="717"/>
      <c r="CP1335" s="717"/>
      <c r="CQ1335" s="717"/>
      <c r="CR1335" s="717"/>
      <c r="CS1335" s="717"/>
      <c r="CT1335" s="717"/>
      <c r="CU1335" s="717"/>
      <c r="CV1335" s="717"/>
      <c r="CW1335" s="717"/>
      <c r="CX1335" s="717"/>
      <c r="CY1335" s="717"/>
      <c r="CZ1335" s="717"/>
      <c r="DA1335" s="717"/>
      <c r="DB1335" s="717"/>
      <c r="DC1335" s="717"/>
      <c r="DD1335" s="717"/>
      <c r="DE1335" s="717"/>
      <c r="DF1335" s="717"/>
      <c r="DG1335" s="717"/>
      <c r="DH1335" s="717"/>
      <c r="DI1335" s="717"/>
      <c r="DJ1335" s="717"/>
      <c r="DM1335" s="711"/>
      <c r="DN1335" s="711"/>
      <c r="DO1335" s="711"/>
      <c r="DP1335" s="711"/>
      <c r="DQ1335" s="711"/>
    </row>
    <row r="1336" spans="13:121" s="709" customFormat="1" hidden="1">
      <c r="M1336" s="710"/>
      <c r="P1336" s="711"/>
      <c r="Q1336" s="712"/>
      <c r="U1336" s="711"/>
      <c r="V1336" s="711"/>
      <c r="W1336" s="711"/>
      <c r="X1336" s="711"/>
      <c r="Y1336" s="711"/>
      <c r="Z1336" s="711"/>
      <c r="AU1336" s="713"/>
      <c r="AW1336" s="712"/>
      <c r="BY1336" s="714"/>
      <c r="BZ1336" s="715"/>
      <c r="CA1336" s="716"/>
      <c r="CB1336" s="717"/>
      <c r="CC1336" s="717"/>
      <c r="CD1336" s="717"/>
      <c r="CE1336" s="717"/>
      <c r="CF1336" s="717"/>
      <c r="CG1336" s="717"/>
      <c r="CH1336" s="717"/>
      <c r="CI1336" s="717"/>
      <c r="CJ1336" s="717"/>
      <c r="CK1336" s="717"/>
      <c r="CL1336" s="717"/>
      <c r="CM1336" s="717"/>
      <c r="CN1336" s="717"/>
      <c r="CO1336" s="717"/>
      <c r="CP1336" s="717"/>
      <c r="CQ1336" s="717"/>
      <c r="CR1336" s="717"/>
      <c r="CS1336" s="717"/>
      <c r="CT1336" s="717"/>
      <c r="CU1336" s="717"/>
      <c r="CV1336" s="717"/>
      <c r="CW1336" s="717"/>
      <c r="CX1336" s="717"/>
      <c r="CY1336" s="717"/>
      <c r="CZ1336" s="717"/>
      <c r="DA1336" s="717"/>
      <c r="DB1336" s="717"/>
      <c r="DC1336" s="717"/>
      <c r="DD1336" s="717"/>
      <c r="DE1336" s="717"/>
      <c r="DF1336" s="717"/>
      <c r="DG1336" s="717"/>
      <c r="DH1336" s="717"/>
      <c r="DI1336" s="717"/>
      <c r="DJ1336" s="717"/>
      <c r="DM1336" s="711"/>
      <c r="DN1336" s="711"/>
      <c r="DO1336" s="711"/>
      <c r="DP1336" s="711"/>
      <c r="DQ1336" s="711"/>
    </row>
    <row r="1337" spans="13:121" s="709" customFormat="1" hidden="1">
      <c r="M1337" s="710"/>
      <c r="P1337" s="711"/>
      <c r="Q1337" s="712"/>
      <c r="U1337" s="711"/>
      <c r="V1337" s="711"/>
      <c r="W1337" s="711"/>
      <c r="X1337" s="711"/>
      <c r="Y1337" s="711"/>
      <c r="Z1337" s="711"/>
      <c r="AU1337" s="713"/>
      <c r="AW1337" s="712"/>
      <c r="BY1337" s="714"/>
      <c r="BZ1337" s="715"/>
      <c r="CA1337" s="716"/>
      <c r="CB1337" s="717"/>
      <c r="CC1337" s="717"/>
      <c r="CD1337" s="717"/>
      <c r="CE1337" s="717"/>
      <c r="CF1337" s="717"/>
      <c r="CG1337" s="717"/>
      <c r="CH1337" s="717"/>
      <c r="CI1337" s="717"/>
      <c r="CJ1337" s="717"/>
      <c r="CK1337" s="717"/>
      <c r="CL1337" s="717"/>
      <c r="CM1337" s="717"/>
      <c r="CN1337" s="717"/>
      <c r="CO1337" s="717"/>
      <c r="CP1337" s="717"/>
      <c r="CQ1337" s="717"/>
      <c r="CR1337" s="717"/>
      <c r="CS1337" s="717"/>
      <c r="CT1337" s="717"/>
      <c r="CU1337" s="717"/>
      <c r="CV1337" s="717"/>
      <c r="CW1337" s="717"/>
      <c r="CX1337" s="717"/>
      <c r="CY1337" s="717"/>
      <c r="CZ1337" s="717"/>
      <c r="DA1337" s="717"/>
      <c r="DB1337" s="717"/>
      <c r="DC1337" s="717"/>
      <c r="DD1337" s="717"/>
      <c r="DE1337" s="717"/>
      <c r="DF1337" s="717"/>
      <c r="DG1337" s="717"/>
      <c r="DH1337" s="717"/>
      <c r="DI1337" s="717"/>
      <c r="DJ1337" s="717"/>
      <c r="DM1337" s="711"/>
      <c r="DN1337" s="711"/>
      <c r="DO1337" s="711"/>
      <c r="DP1337" s="711"/>
      <c r="DQ1337" s="711"/>
    </row>
    <row r="1338" spans="13:121" s="709" customFormat="1" hidden="1">
      <c r="M1338" s="710"/>
      <c r="P1338" s="711"/>
      <c r="Q1338" s="712"/>
      <c r="U1338" s="711"/>
      <c r="V1338" s="711"/>
      <c r="W1338" s="711"/>
      <c r="X1338" s="711"/>
      <c r="Y1338" s="711"/>
      <c r="Z1338" s="711"/>
      <c r="AU1338" s="713"/>
      <c r="AW1338" s="712"/>
      <c r="BY1338" s="714"/>
      <c r="BZ1338" s="715"/>
      <c r="CA1338" s="716"/>
      <c r="CB1338" s="717"/>
      <c r="CC1338" s="717"/>
      <c r="CD1338" s="717"/>
      <c r="CE1338" s="717"/>
      <c r="CF1338" s="717"/>
      <c r="CG1338" s="717"/>
      <c r="CH1338" s="717"/>
      <c r="CI1338" s="717"/>
      <c r="CJ1338" s="717"/>
      <c r="CK1338" s="717"/>
      <c r="CL1338" s="717"/>
      <c r="CM1338" s="717"/>
      <c r="CN1338" s="717"/>
      <c r="CO1338" s="717"/>
      <c r="CP1338" s="717"/>
      <c r="CQ1338" s="717"/>
      <c r="CR1338" s="717"/>
      <c r="CS1338" s="717"/>
      <c r="CT1338" s="717"/>
      <c r="CU1338" s="717"/>
      <c r="CV1338" s="717"/>
      <c r="CW1338" s="717"/>
      <c r="CX1338" s="717"/>
      <c r="CY1338" s="717"/>
      <c r="CZ1338" s="717"/>
      <c r="DA1338" s="717"/>
      <c r="DB1338" s="717"/>
      <c r="DC1338" s="717"/>
      <c r="DD1338" s="717"/>
      <c r="DE1338" s="717"/>
      <c r="DF1338" s="717"/>
      <c r="DG1338" s="717"/>
      <c r="DH1338" s="717"/>
      <c r="DI1338" s="717"/>
      <c r="DJ1338" s="717"/>
      <c r="DM1338" s="711"/>
      <c r="DN1338" s="711"/>
      <c r="DO1338" s="711"/>
      <c r="DP1338" s="711"/>
      <c r="DQ1338" s="711"/>
    </row>
    <row r="1339" spans="13:121" s="709" customFormat="1" hidden="1">
      <c r="M1339" s="710"/>
      <c r="P1339" s="711"/>
      <c r="Q1339" s="712"/>
      <c r="U1339" s="711"/>
      <c r="V1339" s="711"/>
      <c r="W1339" s="711"/>
      <c r="X1339" s="711"/>
      <c r="Y1339" s="711"/>
      <c r="Z1339" s="711"/>
      <c r="AU1339" s="713"/>
      <c r="AW1339" s="712"/>
      <c r="BY1339" s="714"/>
      <c r="BZ1339" s="715"/>
      <c r="CA1339" s="716"/>
      <c r="CB1339" s="717"/>
      <c r="CC1339" s="717"/>
      <c r="CD1339" s="717"/>
      <c r="CE1339" s="717"/>
      <c r="CF1339" s="717"/>
      <c r="CG1339" s="717"/>
      <c r="CH1339" s="717"/>
      <c r="CI1339" s="717"/>
      <c r="CJ1339" s="717"/>
      <c r="CK1339" s="717"/>
      <c r="CL1339" s="717"/>
      <c r="CM1339" s="717"/>
      <c r="CN1339" s="717"/>
      <c r="CO1339" s="717"/>
      <c r="CP1339" s="717"/>
      <c r="CQ1339" s="717"/>
      <c r="CR1339" s="717"/>
      <c r="CS1339" s="717"/>
      <c r="CT1339" s="717"/>
      <c r="CU1339" s="717"/>
      <c r="CV1339" s="717"/>
      <c r="CW1339" s="717"/>
      <c r="CX1339" s="717"/>
      <c r="CY1339" s="717"/>
      <c r="CZ1339" s="717"/>
      <c r="DA1339" s="717"/>
      <c r="DB1339" s="717"/>
      <c r="DC1339" s="717"/>
      <c r="DD1339" s="717"/>
      <c r="DE1339" s="717"/>
      <c r="DF1339" s="717"/>
      <c r="DG1339" s="717"/>
      <c r="DH1339" s="717"/>
      <c r="DI1339" s="717"/>
      <c r="DJ1339" s="717"/>
      <c r="DM1339" s="711"/>
      <c r="DN1339" s="711"/>
      <c r="DO1339" s="711"/>
      <c r="DP1339" s="711"/>
      <c r="DQ1339" s="711"/>
    </row>
    <row r="1340" spans="13:121" s="709" customFormat="1" hidden="1">
      <c r="M1340" s="710"/>
      <c r="P1340" s="711"/>
      <c r="Q1340" s="712"/>
      <c r="U1340" s="711"/>
      <c r="V1340" s="711"/>
      <c r="W1340" s="711"/>
      <c r="X1340" s="711"/>
      <c r="Y1340" s="711"/>
      <c r="Z1340" s="711"/>
      <c r="AU1340" s="713"/>
      <c r="AW1340" s="712"/>
      <c r="BY1340" s="714"/>
      <c r="BZ1340" s="715"/>
      <c r="CA1340" s="716"/>
      <c r="CB1340" s="717"/>
      <c r="CC1340" s="717"/>
      <c r="CD1340" s="717"/>
      <c r="CE1340" s="717"/>
      <c r="CF1340" s="717"/>
      <c r="CG1340" s="717"/>
      <c r="CH1340" s="717"/>
      <c r="CI1340" s="717"/>
      <c r="CJ1340" s="717"/>
      <c r="CK1340" s="717"/>
      <c r="CL1340" s="717"/>
      <c r="CM1340" s="717"/>
      <c r="CN1340" s="717"/>
      <c r="CO1340" s="717"/>
      <c r="CP1340" s="717"/>
      <c r="CQ1340" s="717"/>
      <c r="CR1340" s="717"/>
      <c r="CS1340" s="717"/>
      <c r="CT1340" s="717"/>
      <c r="CU1340" s="717"/>
      <c r="CV1340" s="717"/>
      <c r="CW1340" s="717"/>
      <c r="CX1340" s="717"/>
      <c r="CY1340" s="717"/>
      <c r="CZ1340" s="717"/>
      <c r="DA1340" s="717"/>
      <c r="DB1340" s="717"/>
      <c r="DC1340" s="717"/>
      <c r="DD1340" s="717"/>
      <c r="DE1340" s="717"/>
      <c r="DF1340" s="717"/>
      <c r="DG1340" s="717"/>
      <c r="DH1340" s="717"/>
      <c r="DI1340" s="717"/>
      <c r="DJ1340" s="717"/>
      <c r="DM1340" s="711"/>
      <c r="DN1340" s="711"/>
      <c r="DO1340" s="711"/>
      <c r="DP1340" s="711"/>
      <c r="DQ1340" s="711"/>
    </row>
    <row r="1341" spans="13:121" s="709" customFormat="1" hidden="1">
      <c r="M1341" s="710"/>
      <c r="P1341" s="711"/>
      <c r="Q1341" s="712"/>
      <c r="U1341" s="711"/>
      <c r="V1341" s="711"/>
      <c r="W1341" s="711"/>
      <c r="X1341" s="711"/>
      <c r="Y1341" s="711"/>
      <c r="Z1341" s="711"/>
      <c r="AU1341" s="713"/>
      <c r="AW1341" s="712"/>
      <c r="BY1341" s="714"/>
      <c r="BZ1341" s="715"/>
      <c r="CA1341" s="716"/>
      <c r="CB1341" s="717"/>
      <c r="CC1341" s="717"/>
      <c r="CD1341" s="717"/>
      <c r="CE1341" s="717"/>
      <c r="CF1341" s="717"/>
      <c r="CG1341" s="717"/>
      <c r="CH1341" s="717"/>
      <c r="CI1341" s="717"/>
      <c r="CJ1341" s="717"/>
      <c r="CK1341" s="717"/>
      <c r="CL1341" s="717"/>
      <c r="CM1341" s="717"/>
      <c r="CN1341" s="717"/>
      <c r="CO1341" s="717"/>
      <c r="CP1341" s="717"/>
      <c r="CQ1341" s="717"/>
      <c r="CR1341" s="717"/>
      <c r="CS1341" s="717"/>
      <c r="CT1341" s="717"/>
      <c r="CU1341" s="717"/>
      <c r="CV1341" s="717"/>
      <c r="CW1341" s="717"/>
      <c r="CX1341" s="717"/>
      <c r="CY1341" s="717"/>
      <c r="CZ1341" s="717"/>
      <c r="DA1341" s="717"/>
      <c r="DB1341" s="717"/>
      <c r="DC1341" s="717"/>
      <c r="DD1341" s="717"/>
      <c r="DE1341" s="717"/>
      <c r="DF1341" s="717"/>
      <c r="DG1341" s="717"/>
      <c r="DH1341" s="717"/>
      <c r="DI1341" s="717"/>
      <c r="DJ1341" s="717"/>
      <c r="DM1341" s="711"/>
      <c r="DN1341" s="711"/>
      <c r="DO1341" s="711"/>
      <c r="DP1341" s="711"/>
      <c r="DQ1341" s="711"/>
    </row>
    <row r="1342" spans="13:121" s="709" customFormat="1" hidden="1">
      <c r="M1342" s="710"/>
      <c r="P1342" s="711"/>
      <c r="Q1342" s="712"/>
      <c r="U1342" s="711"/>
      <c r="V1342" s="711"/>
      <c r="W1342" s="711"/>
      <c r="X1342" s="711"/>
      <c r="Y1342" s="711"/>
      <c r="Z1342" s="711"/>
      <c r="AU1342" s="713"/>
      <c r="AW1342" s="712"/>
      <c r="BY1342" s="714"/>
      <c r="BZ1342" s="715"/>
      <c r="CA1342" s="716"/>
      <c r="CB1342" s="717"/>
      <c r="CC1342" s="717"/>
      <c r="CD1342" s="717"/>
      <c r="CE1342" s="717"/>
      <c r="CF1342" s="717"/>
      <c r="CG1342" s="717"/>
      <c r="CH1342" s="717"/>
      <c r="CI1342" s="717"/>
      <c r="CJ1342" s="717"/>
      <c r="CK1342" s="717"/>
      <c r="CL1342" s="717"/>
      <c r="CM1342" s="717"/>
      <c r="CN1342" s="717"/>
      <c r="CO1342" s="717"/>
      <c r="CP1342" s="717"/>
      <c r="CQ1342" s="717"/>
      <c r="CR1342" s="717"/>
      <c r="CS1342" s="717"/>
      <c r="CT1342" s="717"/>
      <c r="CU1342" s="717"/>
      <c r="CV1342" s="717"/>
      <c r="CW1342" s="717"/>
      <c r="CX1342" s="717"/>
      <c r="CY1342" s="717"/>
      <c r="CZ1342" s="717"/>
      <c r="DA1342" s="717"/>
      <c r="DB1342" s="717"/>
      <c r="DC1342" s="717"/>
      <c r="DD1342" s="717"/>
      <c r="DE1342" s="717"/>
      <c r="DF1342" s="717"/>
      <c r="DG1342" s="717"/>
      <c r="DH1342" s="717"/>
      <c r="DI1342" s="717"/>
      <c r="DJ1342" s="717"/>
      <c r="DM1342" s="711"/>
      <c r="DN1342" s="711"/>
      <c r="DO1342" s="711"/>
      <c r="DP1342" s="711"/>
      <c r="DQ1342" s="711"/>
    </row>
    <row r="1343" spans="13:121" s="709" customFormat="1" hidden="1">
      <c r="M1343" s="710"/>
      <c r="P1343" s="711"/>
      <c r="Q1343" s="712"/>
      <c r="U1343" s="711"/>
      <c r="V1343" s="711"/>
      <c r="W1343" s="711"/>
      <c r="X1343" s="711"/>
      <c r="Y1343" s="711"/>
      <c r="Z1343" s="711"/>
      <c r="AU1343" s="713"/>
      <c r="AW1343" s="712"/>
      <c r="BY1343" s="714"/>
      <c r="BZ1343" s="715"/>
      <c r="CA1343" s="716"/>
      <c r="CB1343" s="717"/>
      <c r="CC1343" s="717"/>
      <c r="CD1343" s="717"/>
      <c r="CE1343" s="717"/>
      <c r="CF1343" s="717"/>
      <c r="CG1343" s="717"/>
      <c r="CH1343" s="717"/>
      <c r="CI1343" s="717"/>
      <c r="CJ1343" s="717"/>
      <c r="CK1343" s="717"/>
      <c r="CL1343" s="717"/>
      <c r="CM1343" s="717"/>
      <c r="CN1343" s="717"/>
      <c r="CO1343" s="717"/>
      <c r="CP1343" s="717"/>
      <c r="CQ1343" s="717"/>
      <c r="CR1343" s="717"/>
      <c r="CS1343" s="717"/>
      <c r="CT1343" s="717"/>
      <c r="CU1343" s="717"/>
      <c r="CV1343" s="717"/>
      <c r="CW1343" s="717"/>
      <c r="CX1343" s="717"/>
      <c r="CY1343" s="717"/>
      <c r="CZ1343" s="717"/>
      <c r="DA1343" s="717"/>
      <c r="DB1343" s="717"/>
      <c r="DC1343" s="717"/>
      <c r="DD1343" s="717"/>
      <c r="DE1343" s="717"/>
      <c r="DF1343" s="717"/>
      <c r="DG1343" s="717"/>
      <c r="DH1343" s="717"/>
      <c r="DI1343" s="717"/>
      <c r="DJ1343" s="717"/>
      <c r="DM1343" s="711"/>
      <c r="DN1343" s="711"/>
      <c r="DO1343" s="711"/>
      <c r="DP1343" s="711"/>
      <c r="DQ1343" s="711"/>
    </row>
    <row r="1344" spans="13:121" s="709" customFormat="1" hidden="1">
      <c r="M1344" s="710"/>
      <c r="P1344" s="711"/>
      <c r="Q1344" s="712"/>
      <c r="U1344" s="711"/>
      <c r="V1344" s="711"/>
      <c r="W1344" s="711"/>
      <c r="X1344" s="711"/>
      <c r="Y1344" s="711"/>
      <c r="Z1344" s="711"/>
      <c r="AU1344" s="713"/>
      <c r="AW1344" s="712"/>
      <c r="BY1344" s="714"/>
      <c r="BZ1344" s="715"/>
      <c r="CA1344" s="716"/>
      <c r="CB1344" s="717"/>
      <c r="CC1344" s="717"/>
      <c r="CD1344" s="717"/>
      <c r="CE1344" s="717"/>
      <c r="CF1344" s="717"/>
      <c r="CG1344" s="717"/>
      <c r="CH1344" s="717"/>
      <c r="CI1344" s="717"/>
      <c r="CJ1344" s="717"/>
      <c r="CK1344" s="717"/>
      <c r="CL1344" s="717"/>
      <c r="CM1344" s="717"/>
      <c r="CN1344" s="717"/>
      <c r="CO1344" s="717"/>
      <c r="CP1344" s="717"/>
      <c r="CQ1344" s="717"/>
      <c r="CR1344" s="717"/>
      <c r="CS1344" s="717"/>
      <c r="CT1344" s="717"/>
      <c r="CU1344" s="717"/>
      <c r="CV1344" s="717"/>
      <c r="CW1344" s="717"/>
      <c r="CX1344" s="717"/>
      <c r="CY1344" s="717"/>
      <c r="CZ1344" s="717"/>
      <c r="DA1344" s="717"/>
      <c r="DB1344" s="717"/>
      <c r="DC1344" s="717"/>
      <c r="DD1344" s="717"/>
      <c r="DE1344" s="717"/>
      <c r="DF1344" s="717"/>
      <c r="DG1344" s="717"/>
      <c r="DH1344" s="717"/>
      <c r="DI1344" s="717"/>
      <c r="DJ1344" s="717"/>
      <c r="DM1344" s="711"/>
      <c r="DN1344" s="711"/>
      <c r="DO1344" s="711"/>
      <c r="DP1344" s="711"/>
      <c r="DQ1344" s="711"/>
    </row>
    <row r="1345" spans="13:121" s="709" customFormat="1" hidden="1">
      <c r="M1345" s="710"/>
      <c r="P1345" s="711"/>
      <c r="Q1345" s="712"/>
      <c r="U1345" s="711"/>
      <c r="V1345" s="711"/>
      <c r="W1345" s="711"/>
      <c r="X1345" s="711"/>
      <c r="Y1345" s="711"/>
      <c r="Z1345" s="711"/>
      <c r="AU1345" s="713"/>
      <c r="AW1345" s="712"/>
      <c r="BY1345" s="714"/>
      <c r="BZ1345" s="715"/>
      <c r="CA1345" s="716"/>
      <c r="CB1345" s="717"/>
      <c r="CC1345" s="717"/>
      <c r="CD1345" s="717"/>
      <c r="CE1345" s="717"/>
      <c r="CF1345" s="717"/>
      <c r="CG1345" s="717"/>
      <c r="CH1345" s="717"/>
      <c r="CI1345" s="717"/>
      <c r="CJ1345" s="717"/>
      <c r="CK1345" s="717"/>
      <c r="CL1345" s="717"/>
      <c r="CM1345" s="717"/>
      <c r="CN1345" s="717"/>
      <c r="CO1345" s="717"/>
      <c r="CP1345" s="717"/>
      <c r="CQ1345" s="717"/>
      <c r="CR1345" s="717"/>
      <c r="CS1345" s="717"/>
      <c r="CT1345" s="717"/>
      <c r="CU1345" s="717"/>
      <c r="CV1345" s="717"/>
      <c r="CW1345" s="717"/>
      <c r="CX1345" s="717"/>
      <c r="CY1345" s="717"/>
      <c r="CZ1345" s="717"/>
      <c r="DA1345" s="717"/>
      <c r="DB1345" s="717"/>
      <c r="DC1345" s="717"/>
      <c r="DD1345" s="717"/>
      <c r="DE1345" s="717"/>
      <c r="DF1345" s="717"/>
      <c r="DG1345" s="717"/>
      <c r="DH1345" s="717"/>
      <c r="DI1345" s="717"/>
      <c r="DJ1345" s="717"/>
      <c r="DM1345" s="711"/>
      <c r="DN1345" s="711"/>
      <c r="DO1345" s="711"/>
      <c r="DP1345" s="711"/>
      <c r="DQ1345" s="711"/>
    </row>
    <row r="1346" spans="13:121" s="709" customFormat="1" hidden="1">
      <c r="M1346" s="710"/>
      <c r="P1346" s="711"/>
      <c r="Q1346" s="712"/>
      <c r="U1346" s="711"/>
      <c r="V1346" s="711"/>
      <c r="W1346" s="711"/>
      <c r="X1346" s="711"/>
      <c r="Y1346" s="711"/>
      <c r="Z1346" s="711"/>
      <c r="AU1346" s="713"/>
      <c r="AW1346" s="712"/>
      <c r="BY1346" s="714"/>
      <c r="BZ1346" s="715"/>
      <c r="CA1346" s="716"/>
      <c r="CB1346" s="717"/>
      <c r="CC1346" s="717"/>
      <c r="CD1346" s="717"/>
      <c r="CE1346" s="717"/>
      <c r="CF1346" s="717"/>
      <c r="CG1346" s="717"/>
      <c r="CH1346" s="717"/>
      <c r="CI1346" s="717"/>
      <c r="CJ1346" s="717"/>
      <c r="CK1346" s="717"/>
      <c r="CL1346" s="717"/>
      <c r="CM1346" s="717"/>
      <c r="CN1346" s="717"/>
      <c r="CO1346" s="717"/>
      <c r="CP1346" s="717"/>
      <c r="CQ1346" s="717"/>
      <c r="CR1346" s="717"/>
      <c r="CS1346" s="717"/>
      <c r="CT1346" s="717"/>
      <c r="CU1346" s="717"/>
      <c r="CV1346" s="717"/>
      <c r="CW1346" s="717"/>
      <c r="CX1346" s="717"/>
      <c r="CY1346" s="717"/>
      <c r="CZ1346" s="717"/>
      <c r="DA1346" s="717"/>
      <c r="DB1346" s="717"/>
      <c r="DC1346" s="717"/>
      <c r="DD1346" s="717"/>
      <c r="DE1346" s="717"/>
      <c r="DF1346" s="717"/>
      <c r="DG1346" s="717"/>
      <c r="DH1346" s="717"/>
      <c r="DI1346" s="717"/>
      <c r="DJ1346" s="717"/>
      <c r="DM1346" s="711"/>
      <c r="DN1346" s="711"/>
      <c r="DO1346" s="711"/>
      <c r="DP1346" s="711"/>
      <c r="DQ1346" s="711"/>
    </row>
    <row r="1347" spans="13:121" s="709" customFormat="1" hidden="1">
      <c r="M1347" s="710"/>
      <c r="P1347" s="711"/>
      <c r="Q1347" s="712"/>
      <c r="U1347" s="711"/>
      <c r="V1347" s="711"/>
      <c r="W1347" s="711"/>
      <c r="X1347" s="711"/>
      <c r="Y1347" s="711"/>
      <c r="Z1347" s="711"/>
      <c r="AU1347" s="713"/>
      <c r="AW1347" s="712"/>
      <c r="BY1347" s="714"/>
      <c r="BZ1347" s="715"/>
      <c r="CA1347" s="716"/>
      <c r="CB1347" s="717"/>
      <c r="CC1347" s="717"/>
      <c r="CD1347" s="717"/>
      <c r="CE1347" s="717"/>
      <c r="CF1347" s="717"/>
      <c r="CG1347" s="717"/>
      <c r="CH1347" s="717"/>
      <c r="CI1347" s="717"/>
      <c r="CJ1347" s="717"/>
      <c r="CK1347" s="717"/>
      <c r="CL1347" s="717"/>
      <c r="CM1347" s="717"/>
      <c r="CN1347" s="717"/>
      <c r="CO1347" s="717"/>
      <c r="CP1347" s="717"/>
      <c r="CQ1347" s="717"/>
      <c r="CR1347" s="717"/>
      <c r="CS1347" s="717"/>
      <c r="CT1347" s="717"/>
      <c r="CU1347" s="717"/>
      <c r="CV1347" s="717"/>
      <c r="CW1347" s="717"/>
      <c r="CX1347" s="717"/>
      <c r="CY1347" s="717"/>
      <c r="CZ1347" s="717"/>
      <c r="DA1347" s="717"/>
      <c r="DB1347" s="717"/>
      <c r="DC1347" s="717"/>
      <c r="DD1347" s="717"/>
      <c r="DE1347" s="717"/>
      <c r="DF1347" s="717"/>
      <c r="DG1347" s="717"/>
      <c r="DH1347" s="717"/>
      <c r="DI1347" s="717"/>
      <c r="DJ1347" s="717"/>
      <c r="DM1347" s="711"/>
      <c r="DN1347" s="711"/>
      <c r="DO1347" s="711"/>
      <c r="DP1347" s="711"/>
      <c r="DQ1347" s="711"/>
    </row>
    <row r="1348" spans="13:121" s="709" customFormat="1" hidden="1">
      <c r="M1348" s="710"/>
      <c r="P1348" s="711"/>
      <c r="Q1348" s="712"/>
      <c r="U1348" s="711"/>
      <c r="V1348" s="711"/>
      <c r="W1348" s="711"/>
      <c r="X1348" s="711"/>
      <c r="Y1348" s="711"/>
      <c r="Z1348" s="711"/>
      <c r="AU1348" s="713"/>
      <c r="AW1348" s="712"/>
      <c r="BY1348" s="714"/>
      <c r="BZ1348" s="715"/>
      <c r="CA1348" s="716"/>
      <c r="CB1348" s="717"/>
      <c r="CC1348" s="717"/>
      <c r="CD1348" s="717"/>
      <c r="CE1348" s="717"/>
      <c r="CF1348" s="717"/>
      <c r="CG1348" s="717"/>
      <c r="CH1348" s="717"/>
      <c r="CI1348" s="717"/>
      <c r="CJ1348" s="717"/>
      <c r="CK1348" s="717"/>
      <c r="CL1348" s="717"/>
      <c r="CM1348" s="717"/>
      <c r="CN1348" s="717"/>
      <c r="CO1348" s="717"/>
      <c r="CP1348" s="717"/>
      <c r="CQ1348" s="717"/>
      <c r="CR1348" s="717"/>
      <c r="CS1348" s="717"/>
      <c r="CT1348" s="717"/>
      <c r="CU1348" s="717"/>
      <c r="CV1348" s="717"/>
      <c r="CW1348" s="717"/>
      <c r="CX1348" s="717"/>
      <c r="CY1348" s="717"/>
      <c r="CZ1348" s="717"/>
      <c r="DA1348" s="717"/>
      <c r="DB1348" s="717"/>
      <c r="DC1348" s="717"/>
      <c r="DD1348" s="717"/>
      <c r="DE1348" s="717"/>
      <c r="DF1348" s="717"/>
      <c r="DG1348" s="717"/>
      <c r="DH1348" s="717"/>
      <c r="DI1348" s="717"/>
      <c r="DJ1348" s="717"/>
      <c r="DM1348" s="711"/>
      <c r="DN1348" s="711"/>
      <c r="DO1348" s="711"/>
      <c r="DP1348" s="711"/>
      <c r="DQ1348" s="711"/>
    </row>
    <row r="1349" spans="13:121" s="709" customFormat="1" hidden="1">
      <c r="M1349" s="710"/>
      <c r="P1349" s="711"/>
      <c r="Q1349" s="712"/>
      <c r="U1349" s="711"/>
      <c r="V1349" s="711"/>
      <c r="W1349" s="711"/>
      <c r="X1349" s="711"/>
      <c r="Y1349" s="711"/>
      <c r="Z1349" s="711"/>
      <c r="AU1349" s="713"/>
      <c r="AW1349" s="712"/>
      <c r="BY1349" s="714"/>
      <c r="BZ1349" s="715"/>
      <c r="CA1349" s="716"/>
      <c r="CB1349" s="717"/>
      <c r="CC1349" s="717"/>
      <c r="CD1349" s="717"/>
      <c r="CE1349" s="717"/>
      <c r="CF1349" s="717"/>
      <c r="CG1349" s="717"/>
      <c r="CH1349" s="717"/>
      <c r="CI1349" s="717"/>
      <c r="CJ1349" s="717"/>
      <c r="CK1349" s="717"/>
      <c r="CL1349" s="717"/>
      <c r="CM1349" s="717"/>
      <c r="CN1349" s="717"/>
      <c r="CO1349" s="717"/>
      <c r="CP1349" s="717"/>
      <c r="CQ1349" s="717"/>
      <c r="CR1349" s="717"/>
      <c r="CS1349" s="717"/>
      <c r="CT1349" s="717"/>
      <c r="CU1349" s="717"/>
      <c r="CV1349" s="717"/>
      <c r="CW1349" s="717"/>
      <c r="CX1349" s="717"/>
      <c r="CY1349" s="717"/>
      <c r="CZ1349" s="717"/>
      <c r="DA1349" s="717"/>
      <c r="DB1349" s="717"/>
      <c r="DC1349" s="717"/>
      <c r="DD1349" s="717"/>
      <c r="DE1349" s="717"/>
      <c r="DF1349" s="717"/>
      <c r="DG1349" s="717"/>
      <c r="DH1349" s="717"/>
      <c r="DI1349" s="717"/>
      <c r="DJ1349" s="717"/>
      <c r="DM1349" s="711"/>
      <c r="DN1349" s="711"/>
      <c r="DO1349" s="711"/>
      <c r="DP1349" s="711"/>
      <c r="DQ1349" s="711"/>
    </row>
    <row r="1350" spans="13:121" s="709" customFormat="1" hidden="1">
      <c r="M1350" s="710"/>
      <c r="P1350" s="711"/>
      <c r="Q1350" s="712"/>
      <c r="U1350" s="711"/>
      <c r="V1350" s="711"/>
      <c r="W1350" s="711"/>
      <c r="X1350" s="711"/>
      <c r="Y1350" s="711"/>
      <c r="Z1350" s="711"/>
      <c r="AU1350" s="713"/>
      <c r="AW1350" s="712"/>
      <c r="BY1350" s="714"/>
      <c r="BZ1350" s="715"/>
      <c r="CA1350" s="716"/>
      <c r="CB1350" s="717"/>
      <c r="CC1350" s="717"/>
      <c r="CD1350" s="717"/>
      <c r="CE1350" s="717"/>
      <c r="CF1350" s="717"/>
      <c r="CG1350" s="717"/>
      <c r="CH1350" s="717"/>
      <c r="CI1350" s="717"/>
      <c r="CJ1350" s="717"/>
      <c r="CK1350" s="717"/>
      <c r="CL1350" s="717"/>
      <c r="CM1350" s="717"/>
      <c r="CN1350" s="717"/>
      <c r="CO1350" s="717"/>
      <c r="CP1350" s="717"/>
      <c r="CQ1350" s="717"/>
      <c r="CR1350" s="717"/>
      <c r="CS1350" s="717"/>
      <c r="CT1350" s="717"/>
      <c r="CU1350" s="717"/>
      <c r="CV1350" s="717"/>
      <c r="CW1350" s="717"/>
      <c r="CX1350" s="717"/>
      <c r="CY1350" s="717"/>
      <c r="CZ1350" s="717"/>
      <c r="DA1350" s="717"/>
      <c r="DB1350" s="717"/>
      <c r="DC1350" s="717"/>
      <c r="DD1350" s="717"/>
      <c r="DE1350" s="717"/>
      <c r="DF1350" s="717"/>
      <c r="DG1350" s="717"/>
      <c r="DH1350" s="717"/>
      <c r="DI1350" s="717"/>
      <c r="DJ1350" s="717"/>
      <c r="DM1350" s="711"/>
      <c r="DN1350" s="711"/>
      <c r="DO1350" s="711"/>
      <c r="DP1350" s="711"/>
      <c r="DQ1350" s="711"/>
    </row>
    <row r="1351" spans="13:121" s="709" customFormat="1" hidden="1">
      <c r="M1351" s="710"/>
      <c r="P1351" s="711"/>
      <c r="Q1351" s="712"/>
      <c r="U1351" s="711"/>
      <c r="V1351" s="711"/>
      <c r="W1351" s="711"/>
      <c r="X1351" s="711"/>
      <c r="Y1351" s="711"/>
      <c r="Z1351" s="711"/>
      <c r="AU1351" s="713"/>
      <c r="AW1351" s="712"/>
      <c r="BY1351" s="714"/>
      <c r="BZ1351" s="715"/>
      <c r="CA1351" s="716"/>
      <c r="CB1351" s="717"/>
      <c r="CC1351" s="717"/>
      <c r="CD1351" s="717"/>
      <c r="CE1351" s="717"/>
      <c r="CF1351" s="717"/>
      <c r="CG1351" s="717"/>
      <c r="CH1351" s="717"/>
      <c r="CI1351" s="717"/>
      <c r="CJ1351" s="717"/>
      <c r="CK1351" s="717"/>
      <c r="CL1351" s="717"/>
      <c r="CM1351" s="717"/>
      <c r="CN1351" s="717"/>
      <c r="CO1351" s="717"/>
      <c r="CP1351" s="717"/>
      <c r="CQ1351" s="717"/>
      <c r="CR1351" s="717"/>
      <c r="CS1351" s="717"/>
      <c r="CT1351" s="717"/>
      <c r="CU1351" s="717"/>
      <c r="CV1351" s="717"/>
      <c r="CW1351" s="717"/>
      <c r="CX1351" s="717"/>
      <c r="CY1351" s="717"/>
      <c r="CZ1351" s="717"/>
      <c r="DA1351" s="717"/>
      <c r="DB1351" s="717"/>
      <c r="DC1351" s="717"/>
      <c r="DD1351" s="717"/>
      <c r="DE1351" s="717"/>
      <c r="DF1351" s="717"/>
      <c r="DG1351" s="717"/>
      <c r="DH1351" s="717"/>
      <c r="DI1351" s="717"/>
      <c r="DJ1351" s="717"/>
      <c r="DM1351" s="711"/>
      <c r="DN1351" s="711"/>
      <c r="DO1351" s="711"/>
      <c r="DP1351" s="711"/>
      <c r="DQ1351" s="711"/>
    </row>
    <row r="1352" spans="13:121" s="709" customFormat="1" hidden="1">
      <c r="M1352" s="710"/>
      <c r="P1352" s="711"/>
      <c r="Q1352" s="712"/>
      <c r="U1352" s="711"/>
      <c r="V1352" s="711"/>
      <c r="W1352" s="711"/>
      <c r="X1352" s="711"/>
      <c r="Y1352" s="711"/>
      <c r="Z1352" s="711"/>
      <c r="AU1352" s="713"/>
      <c r="AW1352" s="712"/>
      <c r="BY1352" s="714"/>
      <c r="BZ1352" s="715"/>
      <c r="CA1352" s="716"/>
      <c r="CB1352" s="717"/>
      <c r="CC1352" s="717"/>
      <c r="CD1352" s="717"/>
      <c r="CE1352" s="717"/>
      <c r="CF1352" s="717"/>
      <c r="CG1352" s="717"/>
      <c r="CH1352" s="717"/>
      <c r="CI1352" s="717"/>
      <c r="CJ1352" s="717"/>
      <c r="CK1352" s="717"/>
      <c r="CL1352" s="717"/>
      <c r="CM1352" s="717"/>
      <c r="CN1352" s="717"/>
      <c r="CO1352" s="717"/>
      <c r="CP1352" s="717"/>
      <c r="CQ1352" s="717"/>
      <c r="CR1352" s="717"/>
      <c r="CS1352" s="717"/>
      <c r="CT1352" s="717"/>
      <c r="CU1352" s="717"/>
      <c r="CV1352" s="717"/>
      <c r="CW1352" s="717"/>
      <c r="CX1352" s="717"/>
      <c r="CY1352" s="717"/>
      <c r="CZ1352" s="717"/>
      <c r="DA1352" s="717"/>
      <c r="DB1352" s="717"/>
      <c r="DC1352" s="717"/>
      <c r="DD1352" s="717"/>
      <c r="DE1352" s="717"/>
      <c r="DF1352" s="717"/>
      <c r="DG1352" s="717"/>
      <c r="DH1352" s="717"/>
      <c r="DI1352" s="717"/>
      <c r="DJ1352" s="717"/>
      <c r="DM1352" s="711"/>
      <c r="DN1352" s="711"/>
      <c r="DO1352" s="711"/>
      <c r="DP1352" s="711"/>
      <c r="DQ1352" s="711"/>
    </row>
    <row r="1353" spans="13:121" s="709" customFormat="1" hidden="1">
      <c r="M1353" s="710"/>
      <c r="P1353" s="711"/>
      <c r="Q1353" s="712"/>
      <c r="U1353" s="711"/>
      <c r="V1353" s="711"/>
      <c r="W1353" s="711"/>
      <c r="X1353" s="711"/>
      <c r="Y1353" s="711"/>
      <c r="Z1353" s="711"/>
      <c r="AU1353" s="713"/>
      <c r="AW1353" s="712"/>
      <c r="BY1353" s="714"/>
      <c r="BZ1353" s="715"/>
      <c r="CA1353" s="716"/>
      <c r="CB1353" s="717"/>
      <c r="CC1353" s="717"/>
      <c r="CD1353" s="717"/>
      <c r="CE1353" s="717"/>
      <c r="CF1353" s="717"/>
      <c r="CG1353" s="717"/>
      <c r="CH1353" s="717"/>
      <c r="CI1353" s="717"/>
      <c r="CJ1353" s="717"/>
      <c r="CK1353" s="717"/>
      <c r="CL1353" s="717"/>
      <c r="CM1353" s="717"/>
      <c r="CN1353" s="717"/>
      <c r="CO1353" s="717"/>
      <c r="CP1353" s="717"/>
      <c r="CQ1353" s="717"/>
      <c r="CR1353" s="717"/>
      <c r="CS1353" s="717"/>
      <c r="CT1353" s="717"/>
      <c r="CU1353" s="717"/>
      <c r="CV1353" s="717"/>
      <c r="CW1353" s="717"/>
      <c r="CX1353" s="717"/>
      <c r="CY1353" s="717"/>
      <c r="CZ1353" s="717"/>
      <c r="DA1353" s="717"/>
      <c r="DB1353" s="717"/>
      <c r="DC1353" s="717"/>
      <c r="DD1353" s="717"/>
      <c r="DE1353" s="717"/>
      <c r="DF1353" s="717"/>
      <c r="DG1353" s="717"/>
      <c r="DH1353" s="717"/>
      <c r="DI1353" s="717"/>
      <c r="DJ1353" s="717"/>
      <c r="DM1353" s="711"/>
      <c r="DN1353" s="711"/>
      <c r="DO1353" s="711"/>
      <c r="DP1353" s="711"/>
      <c r="DQ1353" s="711"/>
    </row>
    <row r="1354" spans="13:121" s="709" customFormat="1" hidden="1">
      <c r="M1354" s="710"/>
      <c r="P1354" s="711"/>
      <c r="Q1354" s="712"/>
      <c r="U1354" s="711"/>
      <c r="V1354" s="711"/>
      <c r="W1354" s="711"/>
      <c r="X1354" s="711"/>
      <c r="Y1354" s="711"/>
      <c r="Z1354" s="711"/>
      <c r="AU1354" s="713"/>
      <c r="AW1354" s="712"/>
      <c r="BY1354" s="714"/>
      <c r="BZ1354" s="715"/>
      <c r="CA1354" s="716"/>
      <c r="CB1354" s="717"/>
      <c r="CC1354" s="717"/>
      <c r="CD1354" s="717"/>
      <c r="CE1354" s="717"/>
      <c r="CF1354" s="717"/>
      <c r="CG1354" s="717"/>
      <c r="CH1354" s="717"/>
      <c r="CI1354" s="717"/>
      <c r="CJ1354" s="717"/>
      <c r="CK1354" s="717"/>
      <c r="CL1354" s="717"/>
      <c r="CM1354" s="717"/>
      <c r="CN1354" s="717"/>
      <c r="CO1354" s="717"/>
      <c r="CP1354" s="717"/>
      <c r="CQ1354" s="717"/>
      <c r="CR1354" s="717"/>
      <c r="CS1354" s="717"/>
      <c r="CT1354" s="717"/>
      <c r="CU1354" s="717"/>
      <c r="CV1354" s="717"/>
      <c r="CW1354" s="717"/>
      <c r="CX1354" s="717"/>
      <c r="CY1354" s="717"/>
      <c r="CZ1354" s="717"/>
      <c r="DA1354" s="717"/>
      <c r="DB1354" s="717"/>
      <c r="DC1354" s="717"/>
      <c r="DD1354" s="717"/>
      <c r="DE1354" s="717"/>
      <c r="DF1354" s="717"/>
      <c r="DG1354" s="717"/>
      <c r="DH1354" s="717"/>
      <c r="DI1354" s="717"/>
      <c r="DJ1354" s="717"/>
      <c r="DM1354" s="711"/>
      <c r="DN1354" s="711"/>
      <c r="DO1354" s="711"/>
      <c r="DP1354" s="711"/>
      <c r="DQ1354" s="711"/>
    </row>
    <row r="1355" spans="13:121" s="709" customFormat="1" hidden="1">
      <c r="M1355" s="710"/>
      <c r="P1355" s="711"/>
      <c r="Q1355" s="712"/>
      <c r="U1355" s="711"/>
      <c r="V1355" s="711"/>
      <c r="W1355" s="711"/>
      <c r="X1355" s="711"/>
      <c r="Y1355" s="711"/>
      <c r="Z1355" s="711"/>
      <c r="AU1355" s="713"/>
      <c r="AW1355" s="712"/>
      <c r="BY1355" s="714"/>
      <c r="BZ1355" s="715"/>
      <c r="CA1355" s="716"/>
      <c r="CB1355" s="717"/>
      <c r="CC1355" s="717"/>
      <c r="CD1355" s="717"/>
      <c r="CE1355" s="717"/>
      <c r="CF1355" s="717"/>
      <c r="CG1355" s="717"/>
      <c r="CH1355" s="717"/>
      <c r="CI1355" s="717"/>
      <c r="CJ1355" s="717"/>
      <c r="CK1355" s="717"/>
      <c r="CL1355" s="717"/>
      <c r="CM1355" s="717"/>
      <c r="CN1355" s="717"/>
      <c r="CO1355" s="717"/>
      <c r="CP1355" s="717"/>
      <c r="CQ1355" s="717"/>
      <c r="CR1355" s="717"/>
      <c r="CS1355" s="717"/>
      <c r="CT1355" s="717"/>
      <c r="CU1355" s="717"/>
      <c r="CV1355" s="717"/>
      <c r="CW1355" s="717"/>
      <c r="CX1355" s="717"/>
      <c r="CY1355" s="717"/>
      <c r="CZ1355" s="717"/>
      <c r="DA1355" s="717"/>
      <c r="DB1355" s="717"/>
      <c r="DC1355" s="717"/>
      <c r="DD1355" s="717"/>
      <c r="DE1355" s="717"/>
      <c r="DF1355" s="717"/>
      <c r="DG1355" s="717"/>
      <c r="DH1355" s="717"/>
      <c r="DI1355" s="717"/>
      <c r="DJ1355" s="717"/>
      <c r="DM1355" s="711"/>
      <c r="DN1355" s="711"/>
      <c r="DO1355" s="711"/>
      <c r="DP1355" s="711"/>
      <c r="DQ1355" s="711"/>
    </row>
    <row r="1356" spans="13:121" s="709" customFormat="1" hidden="1">
      <c r="M1356" s="710"/>
      <c r="P1356" s="711"/>
      <c r="Q1356" s="712"/>
      <c r="U1356" s="711"/>
      <c r="V1356" s="711"/>
      <c r="W1356" s="711"/>
      <c r="X1356" s="711"/>
      <c r="Y1356" s="711"/>
      <c r="Z1356" s="711"/>
      <c r="AU1356" s="713"/>
      <c r="AW1356" s="712"/>
      <c r="BY1356" s="714"/>
      <c r="BZ1356" s="715"/>
      <c r="CA1356" s="716"/>
      <c r="CB1356" s="717"/>
      <c r="CC1356" s="717"/>
      <c r="CD1356" s="717"/>
      <c r="CE1356" s="717"/>
      <c r="CF1356" s="717"/>
      <c r="CG1356" s="717"/>
      <c r="CH1356" s="717"/>
      <c r="CI1356" s="717"/>
      <c r="CJ1356" s="717"/>
      <c r="CK1356" s="717"/>
      <c r="CL1356" s="717"/>
      <c r="CM1356" s="717"/>
      <c r="CN1356" s="717"/>
      <c r="CO1356" s="717"/>
      <c r="CP1356" s="717"/>
      <c r="CQ1356" s="717"/>
      <c r="CR1356" s="717"/>
      <c r="CS1356" s="717"/>
      <c r="CT1356" s="717"/>
      <c r="CU1356" s="717"/>
      <c r="CV1356" s="717"/>
      <c r="CW1356" s="717"/>
      <c r="CX1356" s="717"/>
      <c r="CY1356" s="717"/>
      <c r="CZ1356" s="717"/>
      <c r="DA1356" s="717"/>
      <c r="DB1356" s="717"/>
      <c r="DC1356" s="717"/>
      <c r="DD1356" s="717"/>
      <c r="DE1356" s="717"/>
      <c r="DF1356" s="717"/>
      <c r="DG1356" s="717"/>
      <c r="DH1356" s="717"/>
      <c r="DI1356" s="717"/>
      <c r="DJ1356" s="717"/>
      <c r="DM1356" s="711"/>
      <c r="DN1356" s="711"/>
      <c r="DO1356" s="711"/>
      <c r="DP1356" s="711"/>
      <c r="DQ1356" s="711"/>
    </row>
    <row r="1357" spans="13:121" s="709" customFormat="1" hidden="1">
      <c r="M1357" s="710"/>
      <c r="P1357" s="711"/>
      <c r="Q1357" s="712"/>
      <c r="U1357" s="711"/>
      <c r="V1357" s="711"/>
      <c r="W1357" s="711"/>
      <c r="X1357" s="711"/>
      <c r="Y1357" s="711"/>
      <c r="Z1357" s="711"/>
      <c r="AU1357" s="713"/>
      <c r="AW1357" s="712"/>
      <c r="BY1357" s="714"/>
      <c r="BZ1357" s="715"/>
      <c r="CA1357" s="716"/>
      <c r="CB1357" s="717"/>
      <c r="CC1357" s="717"/>
      <c r="CD1357" s="717"/>
      <c r="CE1357" s="717"/>
      <c r="CF1357" s="717"/>
      <c r="CG1357" s="717"/>
      <c r="CH1357" s="717"/>
      <c r="CI1357" s="717"/>
      <c r="CJ1357" s="717"/>
      <c r="CK1357" s="717"/>
      <c r="CL1357" s="717"/>
      <c r="CM1357" s="717"/>
      <c r="CN1357" s="717"/>
      <c r="CO1357" s="717"/>
      <c r="CP1357" s="717"/>
      <c r="CQ1357" s="717"/>
      <c r="CR1357" s="717"/>
      <c r="CS1357" s="717"/>
      <c r="CT1357" s="717"/>
      <c r="CU1357" s="717"/>
      <c r="CV1357" s="717"/>
      <c r="CW1357" s="717"/>
      <c r="CX1357" s="717"/>
      <c r="CY1357" s="717"/>
      <c r="CZ1357" s="717"/>
      <c r="DA1357" s="717"/>
      <c r="DB1357" s="717"/>
      <c r="DC1357" s="717"/>
      <c r="DD1357" s="717"/>
      <c r="DE1357" s="717"/>
      <c r="DF1357" s="717"/>
      <c r="DG1357" s="717"/>
      <c r="DH1357" s="717"/>
      <c r="DI1357" s="717"/>
      <c r="DJ1357" s="717"/>
      <c r="DM1357" s="711"/>
      <c r="DN1357" s="711"/>
      <c r="DO1357" s="711"/>
      <c r="DP1357" s="711"/>
      <c r="DQ1357" s="711"/>
    </row>
    <row r="1358" spans="13:121" s="709" customFormat="1" hidden="1">
      <c r="M1358" s="710"/>
      <c r="P1358" s="711"/>
      <c r="Q1358" s="712"/>
      <c r="U1358" s="711"/>
      <c r="V1358" s="711"/>
      <c r="W1358" s="711"/>
      <c r="X1358" s="711"/>
      <c r="Y1358" s="711"/>
      <c r="Z1358" s="711"/>
      <c r="AU1358" s="713"/>
      <c r="AW1358" s="712"/>
      <c r="BY1358" s="714"/>
      <c r="BZ1358" s="715"/>
      <c r="CA1358" s="716"/>
      <c r="CB1358" s="717"/>
      <c r="CC1358" s="717"/>
      <c r="CD1358" s="717"/>
      <c r="CE1358" s="717"/>
      <c r="CF1358" s="717"/>
      <c r="CG1358" s="717"/>
      <c r="CH1358" s="717"/>
      <c r="CI1358" s="717"/>
      <c r="CJ1358" s="717"/>
      <c r="CK1358" s="717"/>
      <c r="CL1358" s="717"/>
      <c r="CM1358" s="717"/>
      <c r="CN1358" s="717"/>
      <c r="CO1358" s="717"/>
      <c r="CP1358" s="717"/>
      <c r="CQ1358" s="717"/>
      <c r="CR1358" s="717"/>
      <c r="CS1358" s="717"/>
      <c r="CT1358" s="717"/>
      <c r="CU1358" s="717"/>
      <c r="CV1358" s="717"/>
      <c r="CW1358" s="717"/>
      <c r="CX1358" s="717"/>
      <c r="CY1358" s="717"/>
      <c r="CZ1358" s="717"/>
      <c r="DA1358" s="717"/>
      <c r="DB1358" s="717"/>
      <c r="DC1358" s="717"/>
      <c r="DD1358" s="717"/>
      <c r="DE1358" s="717"/>
      <c r="DF1358" s="717"/>
      <c r="DG1358" s="717"/>
      <c r="DH1358" s="717"/>
      <c r="DI1358" s="717"/>
      <c r="DJ1358" s="717"/>
      <c r="DM1358" s="711"/>
      <c r="DN1358" s="711"/>
      <c r="DO1358" s="711"/>
      <c r="DP1358" s="711"/>
      <c r="DQ1358" s="711"/>
    </row>
    <row r="1359" spans="13:121" s="709" customFormat="1" hidden="1">
      <c r="M1359" s="710"/>
      <c r="P1359" s="711"/>
      <c r="Q1359" s="712"/>
      <c r="U1359" s="711"/>
      <c r="V1359" s="711"/>
      <c r="W1359" s="711"/>
      <c r="X1359" s="711"/>
      <c r="Y1359" s="711"/>
      <c r="Z1359" s="711"/>
      <c r="AU1359" s="713"/>
      <c r="AW1359" s="712"/>
      <c r="BY1359" s="714"/>
      <c r="BZ1359" s="715"/>
      <c r="CA1359" s="716"/>
      <c r="CB1359" s="717"/>
      <c r="CC1359" s="717"/>
      <c r="CD1359" s="717"/>
      <c r="CE1359" s="717"/>
      <c r="CF1359" s="717"/>
      <c r="CG1359" s="717"/>
      <c r="CH1359" s="717"/>
      <c r="CI1359" s="717"/>
      <c r="CJ1359" s="717"/>
      <c r="CK1359" s="717"/>
      <c r="CL1359" s="717"/>
      <c r="CM1359" s="717"/>
      <c r="CN1359" s="717"/>
      <c r="CO1359" s="717"/>
      <c r="CP1359" s="717"/>
      <c r="CQ1359" s="717"/>
      <c r="CR1359" s="717"/>
      <c r="CS1359" s="717"/>
      <c r="CT1359" s="717"/>
      <c r="CU1359" s="717"/>
      <c r="CV1359" s="717"/>
      <c r="CW1359" s="717"/>
      <c r="CX1359" s="717"/>
      <c r="CY1359" s="717"/>
      <c r="CZ1359" s="717"/>
      <c r="DA1359" s="717"/>
      <c r="DB1359" s="717"/>
      <c r="DC1359" s="717"/>
      <c r="DD1359" s="717"/>
      <c r="DE1359" s="717"/>
      <c r="DF1359" s="717"/>
      <c r="DG1359" s="717"/>
      <c r="DH1359" s="717"/>
      <c r="DI1359" s="717"/>
      <c r="DJ1359" s="717"/>
      <c r="DM1359" s="711"/>
      <c r="DN1359" s="711"/>
      <c r="DO1359" s="711"/>
      <c r="DP1359" s="711"/>
      <c r="DQ1359" s="711"/>
    </row>
    <row r="1360" spans="13:121" s="709" customFormat="1" hidden="1">
      <c r="M1360" s="710"/>
      <c r="P1360" s="711"/>
      <c r="Q1360" s="712"/>
      <c r="U1360" s="711"/>
      <c r="V1360" s="711"/>
      <c r="W1360" s="711"/>
      <c r="X1360" s="711"/>
      <c r="Y1360" s="711"/>
      <c r="Z1360" s="711"/>
      <c r="AU1360" s="713"/>
      <c r="AW1360" s="712"/>
      <c r="BY1360" s="714"/>
      <c r="BZ1360" s="715"/>
      <c r="CA1360" s="716"/>
      <c r="CB1360" s="717"/>
      <c r="CC1360" s="717"/>
      <c r="CD1360" s="717"/>
      <c r="CE1360" s="717"/>
      <c r="CF1360" s="717"/>
      <c r="CG1360" s="717"/>
      <c r="CH1360" s="717"/>
      <c r="CI1360" s="717"/>
      <c r="CJ1360" s="717"/>
      <c r="CK1360" s="717"/>
      <c r="CL1360" s="717"/>
      <c r="CM1360" s="717"/>
      <c r="CN1360" s="717"/>
      <c r="CO1360" s="717"/>
      <c r="CP1360" s="717"/>
      <c r="CQ1360" s="717"/>
      <c r="CR1360" s="717"/>
      <c r="CS1360" s="717"/>
      <c r="CT1360" s="717"/>
      <c r="CU1360" s="717"/>
      <c r="CV1360" s="717"/>
      <c r="CW1360" s="717"/>
      <c r="CX1360" s="717"/>
      <c r="CY1360" s="717"/>
      <c r="CZ1360" s="717"/>
      <c r="DA1360" s="717"/>
      <c r="DB1360" s="717"/>
      <c r="DC1360" s="717"/>
      <c r="DD1360" s="717"/>
      <c r="DE1360" s="717"/>
      <c r="DF1360" s="717"/>
      <c r="DG1360" s="717"/>
      <c r="DH1360" s="717"/>
      <c r="DI1360" s="717"/>
      <c r="DJ1360" s="717"/>
      <c r="DM1360" s="711"/>
      <c r="DN1360" s="711"/>
      <c r="DO1360" s="711"/>
      <c r="DP1360" s="711"/>
      <c r="DQ1360" s="711"/>
    </row>
    <row r="1361" spans="13:121" s="709" customFormat="1" hidden="1">
      <c r="M1361" s="710"/>
      <c r="P1361" s="711"/>
      <c r="Q1361" s="712"/>
      <c r="U1361" s="711"/>
      <c r="V1361" s="711"/>
      <c r="W1361" s="711"/>
      <c r="X1361" s="711"/>
      <c r="Y1361" s="711"/>
      <c r="Z1361" s="711"/>
      <c r="AU1361" s="713"/>
      <c r="AW1361" s="712"/>
      <c r="BY1361" s="714"/>
      <c r="BZ1361" s="715"/>
      <c r="CA1361" s="716"/>
      <c r="CB1361" s="717"/>
      <c r="CC1361" s="717"/>
      <c r="CD1361" s="717"/>
      <c r="CE1361" s="717"/>
      <c r="CF1361" s="717"/>
      <c r="CG1361" s="717"/>
      <c r="CH1361" s="717"/>
      <c r="CI1361" s="717"/>
      <c r="CJ1361" s="717"/>
      <c r="CK1361" s="717"/>
      <c r="CL1361" s="717"/>
      <c r="CM1361" s="717"/>
      <c r="CN1361" s="717"/>
      <c r="CO1361" s="717"/>
      <c r="CP1361" s="717"/>
      <c r="CQ1361" s="717"/>
      <c r="CR1361" s="717"/>
      <c r="CS1361" s="717"/>
      <c r="CT1361" s="717"/>
      <c r="CU1361" s="717"/>
      <c r="CV1361" s="717"/>
      <c r="CW1361" s="717"/>
      <c r="CX1361" s="717"/>
      <c r="CY1361" s="717"/>
      <c r="CZ1361" s="717"/>
      <c r="DA1361" s="717"/>
      <c r="DB1361" s="717"/>
      <c r="DC1361" s="717"/>
      <c r="DD1361" s="717"/>
      <c r="DE1361" s="717"/>
      <c r="DF1361" s="717"/>
      <c r="DG1361" s="717"/>
      <c r="DH1361" s="717"/>
      <c r="DI1361" s="717"/>
      <c r="DJ1361" s="717"/>
      <c r="DM1361" s="711"/>
      <c r="DN1361" s="711"/>
      <c r="DO1361" s="711"/>
      <c r="DP1361" s="711"/>
      <c r="DQ1361" s="711"/>
    </row>
    <row r="1362" spans="13:121" s="709" customFormat="1" hidden="1">
      <c r="M1362" s="710"/>
      <c r="P1362" s="711"/>
      <c r="Q1362" s="712"/>
      <c r="U1362" s="711"/>
      <c r="V1362" s="711"/>
      <c r="W1362" s="711"/>
      <c r="X1362" s="711"/>
      <c r="Y1362" s="711"/>
      <c r="Z1362" s="711"/>
      <c r="AU1362" s="713"/>
      <c r="AW1362" s="712"/>
      <c r="BY1362" s="714"/>
      <c r="BZ1362" s="715"/>
      <c r="CA1362" s="716"/>
      <c r="CB1362" s="717"/>
      <c r="CC1362" s="717"/>
      <c r="CD1362" s="717"/>
      <c r="CE1362" s="717"/>
      <c r="CF1362" s="717"/>
      <c r="CG1362" s="717"/>
      <c r="CH1362" s="717"/>
      <c r="CI1362" s="717"/>
      <c r="CJ1362" s="717"/>
      <c r="CK1362" s="717"/>
      <c r="CL1362" s="717"/>
      <c r="CM1362" s="717"/>
      <c r="CN1362" s="717"/>
      <c r="CO1362" s="717"/>
      <c r="CP1362" s="717"/>
      <c r="CQ1362" s="717"/>
      <c r="CR1362" s="717"/>
      <c r="CS1362" s="717"/>
      <c r="CT1362" s="717"/>
      <c r="CU1362" s="717"/>
      <c r="CV1362" s="717"/>
      <c r="CW1362" s="717"/>
      <c r="CX1362" s="717"/>
      <c r="CY1362" s="717"/>
      <c r="CZ1362" s="717"/>
      <c r="DA1362" s="717"/>
      <c r="DB1362" s="717"/>
      <c r="DC1362" s="717"/>
      <c r="DD1362" s="717"/>
      <c r="DE1362" s="717"/>
      <c r="DF1362" s="717"/>
      <c r="DG1362" s="717"/>
      <c r="DH1362" s="717"/>
      <c r="DI1362" s="717"/>
      <c r="DJ1362" s="717"/>
      <c r="DM1362" s="711"/>
      <c r="DN1362" s="711"/>
      <c r="DO1362" s="711"/>
      <c r="DP1362" s="711"/>
      <c r="DQ1362" s="711"/>
    </row>
    <row r="1363" spans="13:121" s="709" customFormat="1" hidden="1">
      <c r="M1363" s="710"/>
      <c r="P1363" s="711"/>
      <c r="Q1363" s="712"/>
      <c r="U1363" s="711"/>
      <c r="V1363" s="711"/>
      <c r="W1363" s="711"/>
      <c r="X1363" s="711"/>
      <c r="Y1363" s="711"/>
      <c r="Z1363" s="711"/>
      <c r="AU1363" s="713"/>
      <c r="AW1363" s="712"/>
      <c r="BY1363" s="714"/>
      <c r="BZ1363" s="715"/>
      <c r="CA1363" s="716"/>
      <c r="CB1363" s="717"/>
      <c r="CC1363" s="717"/>
      <c r="CD1363" s="717"/>
      <c r="CE1363" s="717"/>
      <c r="CF1363" s="717"/>
      <c r="CG1363" s="717"/>
      <c r="CH1363" s="717"/>
      <c r="CI1363" s="717"/>
      <c r="CJ1363" s="717"/>
      <c r="CK1363" s="717"/>
      <c r="CL1363" s="717"/>
      <c r="CM1363" s="717"/>
      <c r="CN1363" s="717"/>
      <c r="CO1363" s="717"/>
      <c r="CP1363" s="717"/>
      <c r="CQ1363" s="717"/>
      <c r="CR1363" s="717"/>
      <c r="CS1363" s="717"/>
      <c r="CT1363" s="717"/>
      <c r="CU1363" s="717"/>
      <c r="CV1363" s="717"/>
      <c r="CW1363" s="717"/>
      <c r="CX1363" s="717"/>
      <c r="CY1363" s="717"/>
      <c r="CZ1363" s="717"/>
      <c r="DA1363" s="717"/>
      <c r="DB1363" s="717"/>
      <c r="DC1363" s="717"/>
      <c r="DD1363" s="717"/>
      <c r="DE1363" s="717"/>
      <c r="DF1363" s="717"/>
      <c r="DG1363" s="717"/>
      <c r="DH1363" s="717"/>
      <c r="DI1363" s="717"/>
      <c r="DJ1363" s="717"/>
      <c r="DM1363" s="711"/>
      <c r="DN1363" s="711"/>
      <c r="DO1363" s="711"/>
      <c r="DP1363" s="711"/>
      <c r="DQ1363" s="711"/>
    </row>
    <row r="1364" spans="13:121" s="709" customFormat="1" hidden="1">
      <c r="M1364" s="710"/>
      <c r="P1364" s="711"/>
      <c r="Q1364" s="712"/>
      <c r="U1364" s="711"/>
      <c r="V1364" s="711"/>
      <c r="W1364" s="711"/>
      <c r="X1364" s="711"/>
      <c r="Y1364" s="711"/>
      <c r="Z1364" s="711"/>
      <c r="AU1364" s="713"/>
      <c r="AW1364" s="712"/>
      <c r="BY1364" s="714"/>
      <c r="BZ1364" s="715"/>
      <c r="CA1364" s="716"/>
      <c r="CB1364" s="717"/>
      <c r="CC1364" s="717"/>
      <c r="CD1364" s="717"/>
      <c r="CE1364" s="717"/>
      <c r="CF1364" s="717"/>
      <c r="CG1364" s="717"/>
      <c r="CH1364" s="717"/>
      <c r="CI1364" s="717"/>
      <c r="CJ1364" s="717"/>
      <c r="CK1364" s="717"/>
      <c r="CL1364" s="717"/>
      <c r="CM1364" s="717"/>
      <c r="CN1364" s="717"/>
      <c r="CO1364" s="717"/>
      <c r="CP1364" s="717"/>
      <c r="CQ1364" s="717"/>
      <c r="CR1364" s="717"/>
      <c r="CS1364" s="717"/>
      <c r="CT1364" s="717"/>
      <c r="CU1364" s="717"/>
      <c r="CV1364" s="717"/>
      <c r="CW1364" s="717"/>
      <c r="CX1364" s="717"/>
      <c r="CY1364" s="717"/>
      <c r="CZ1364" s="717"/>
      <c r="DA1364" s="717"/>
      <c r="DB1364" s="717"/>
      <c r="DC1364" s="717"/>
      <c r="DD1364" s="717"/>
      <c r="DE1364" s="717"/>
      <c r="DF1364" s="717"/>
      <c r="DG1364" s="717"/>
      <c r="DH1364" s="717"/>
      <c r="DI1364" s="717"/>
      <c r="DJ1364" s="717"/>
      <c r="DM1364" s="711"/>
      <c r="DN1364" s="711"/>
      <c r="DO1364" s="711"/>
      <c r="DP1364" s="711"/>
      <c r="DQ1364" s="711"/>
    </row>
    <row r="1365" spans="13:121" s="709" customFormat="1" hidden="1">
      <c r="M1365" s="710"/>
      <c r="P1365" s="711"/>
      <c r="Q1365" s="712"/>
      <c r="U1365" s="711"/>
      <c r="V1365" s="711"/>
      <c r="W1365" s="711"/>
      <c r="X1365" s="711"/>
      <c r="Y1365" s="711"/>
      <c r="Z1365" s="711"/>
      <c r="AU1365" s="713"/>
      <c r="AW1365" s="712"/>
      <c r="BY1365" s="714"/>
      <c r="BZ1365" s="715"/>
      <c r="CA1365" s="716"/>
      <c r="CB1365" s="717"/>
      <c r="CC1365" s="717"/>
      <c r="CD1365" s="717"/>
      <c r="CE1365" s="717"/>
      <c r="CF1365" s="717"/>
      <c r="CG1365" s="717"/>
      <c r="CH1365" s="717"/>
      <c r="CI1365" s="717"/>
      <c r="CJ1365" s="717"/>
      <c r="CK1365" s="717"/>
      <c r="CL1365" s="717"/>
      <c r="CM1365" s="717"/>
      <c r="CN1365" s="717"/>
      <c r="CO1365" s="717"/>
      <c r="CP1365" s="717"/>
      <c r="CQ1365" s="717"/>
      <c r="CR1365" s="717"/>
      <c r="CS1365" s="717"/>
      <c r="CT1365" s="717"/>
      <c r="CU1365" s="717"/>
      <c r="CV1365" s="717"/>
      <c r="CW1365" s="717"/>
      <c r="CX1365" s="717"/>
      <c r="CY1365" s="717"/>
      <c r="CZ1365" s="717"/>
      <c r="DA1365" s="717"/>
      <c r="DB1365" s="717"/>
      <c r="DC1365" s="717"/>
      <c r="DD1365" s="717"/>
      <c r="DE1365" s="717"/>
      <c r="DF1365" s="717"/>
      <c r="DG1365" s="717"/>
      <c r="DH1365" s="717"/>
      <c r="DI1365" s="717"/>
      <c r="DJ1365" s="717"/>
      <c r="DM1365" s="711"/>
      <c r="DN1365" s="711"/>
      <c r="DO1365" s="711"/>
      <c r="DP1365" s="711"/>
      <c r="DQ1365" s="711"/>
    </row>
    <row r="1366" spans="13:121" s="709" customFormat="1" hidden="1">
      <c r="M1366" s="710"/>
      <c r="P1366" s="711"/>
      <c r="Q1366" s="712"/>
      <c r="U1366" s="711"/>
      <c r="V1366" s="711"/>
      <c r="W1366" s="711"/>
      <c r="X1366" s="711"/>
      <c r="Y1366" s="711"/>
      <c r="Z1366" s="711"/>
      <c r="AU1366" s="713"/>
      <c r="AW1366" s="712"/>
      <c r="BY1366" s="714"/>
      <c r="BZ1366" s="715"/>
      <c r="CA1366" s="716"/>
      <c r="CB1366" s="717"/>
      <c r="CC1366" s="717"/>
      <c r="CD1366" s="717"/>
      <c r="CE1366" s="717"/>
      <c r="CF1366" s="717"/>
      <c r="CG1366" s="717"/>
      <c r="CH1366" s="717"/>
      <c r="CI1366" s="717"/>
      <c r="CJ1366" s="717"/>
      <c r="CK1366" s="717"/>
      <c r="CL1366" s="717"/>
      <c r="CM1366" s="717"/>
      <c r="CN1366" s="717"/>
      <c r="CO1366" s="717"/>
      <c r="CP1366" s="717"/>
      <c r="CQ1366" s="717"/>
      <c r="CR1366" s="717"/>
      <c r="CS1366" s="717"/>
      <c r="CT1366" s="717"/>
      <c r="CU1366" s="717"/>
      <c r="CV1366" s="717"/>
      <c r="CW1366" s="717"/>
      <c r="CX1366" s="717"/>
      <c r="CY1366" s="717"/>
      <c r="CZ1366" s="717"/>
      <c r="DA1366" s="717"/>
      <c r="DB1366" s="717"/>
      <c r="DC1366" s="717"/>
      <c r="DD1366" s="717"/>
      <c r="DE1366" s="717"/>
      <c r="DF1366" s="717"/>
      <c r="DG1366" s="717"/>
      <c r="DH1366" s="717"/>
      <c r="DI1366" s="717"/>
      <c r="DJ1366" s="717"/>
      <c r="DM1366" s="711"/>
      <c r="DN1366" s="711"/>
      <c r="DO1366" s="711"/>
      <c r="DP1366" s="711"/>
      <c r="DQ1366" s="711"/>
    </row>
    <row r="1367" spans="13:121" s="709" customFormat="1" hidden="1">
      <c r="M1367" s="710"/>
      <c r="P1367" s="711"/>
      <c r="Q1367" s="712"/>
      <c r="U1367" s="711"/>
      <c r="V1367" s="711"/>
      <c r="W1367" s="711"/>
      <c r="X1367" s="711"/>
      <c r="Y1367" s="711"/>
      <c r="Z1367" s="711"/>
      <c r="AU1367" s="713"/>
      <c r="AW1367" s="712"/>
      <c r="BY1367" s="714"/>
      <c r="BZ1367" s="715"/>
      <c r="CA1367" s="716"/>
      <c r="CB1367" s="717"/>
      <c r="CC1367" s="717"/>
      <c r="CD1367" s="717"/>
      <c r="CE1367" s="717"/>
      <c r="CF1367" s="717"/>
      <c r="CG1367" s="717"/>
      <c r="CH1367" s="717"/>
      <c r="CI1367" s="717"/>
      <c r="CJ1367" s="717"/>
      <c r="CK1367" s="717"/>
      <c r="CL1367" s="717"/>
      <c r="CM1367" s="717"/>
      <c r="CN1367" s="717"/>
      <c r="CO1367" s="717"/>
      <c r="CP1367" s="717"/>
      <c r="CQ1367" s="717"/>
      <c r="CR1367" s="717"/>
      <c r="CS1367" s="717"/>
      <c r="CT1367" s="717"/>
      <c r="CU1367" s="717"/>
      <c r="CV1367" s="717"/>
      <c r="CW1367" s="717"/>
      <c r="CX1367" s="717"/>
      <c r="CY1367" s="717"/>
      <c r="CZ1367" s="717"/>
      <c r="DA1367" s="717"/>
      <c r="DB1367" s="717"/>
      <c r="DC1367" s="717"/>
      <c r="DD1367" s="717"/>
      <c r="DE1367" s="717"/>
      <c r="DF1367" s="717"/>
      <c r="DG1367" s="717"/>
      <c r="DH1367" s="717"/>
      <c r="DI1367" s="717"/>
      <c r="DJ1367" s="717"/>
      <c r="DM1367" s="711"/>
      <c r="DN1367" s="711"/>
      <c r="DO1367" s="711"/>
      <c r="DP1367" s="711"/>
      <c r="DQ1367" s="711"/>
    </row>
    <row r="1368" spans="13:121" s="709" customFormat="1" hidden="1">
      <c r="M1368" s="710"/>
      <c r="P1368" s="711"/>
      <c r="Q1368" s="712"/>
      <c r="U1368" s="711"/>
      <c r="V1368" s="711"/>
      <c r="W1368" s="711"/>
      <c r="X1368" s="711"/>
      <c r="Y1368" s="711"/>
      <c r="Z1368" s="711"/>
      <c r="AU1368" s="713"/>
      <c r="AW1368" s="712"/>
      <c r="BY1368" s="714"/>
      <c r="BZ1368" s="715"/>
      <c r="CA1368" s="716"/>
      <c r="CB1368" s="717"/>
      <c r="CC1368" s="717"/>
      <c r="CD1368" s="717"/>
      <c r="CE1368" s="717"/>
      <c r="CF1368" s="717"/>
      <c r="CG1368" s="717"/>
      <c r="CH1368" s="717"/>
      <c r="CI1368" s="717"/>
      <c r="CJ1368" s="717"/>
      <c r="CK1368" s="717"/>
      <c r="CL1368" s="717"/>
      <c r="CM1368" s="717"/>
      <c r="CN1368" s="717"/>
      <c r="CO1368" s="717"/>
      <c r="CP1368" s="717"/>
      <c r="CQ1368" s="717"/>
      <c r="CR1368" s="717"/>
      <c r="CS1368" s="717"/>
      <c r="CT1368" s="717"/>
      <c r="CU1368" s="717"/>
      <c r="CV1368" s="717"/>
      <c r="CW1368" s="717"/>
      <c r="CX1368" s="717"/>
      <c r="CY1368" s="717"/>
      <c r="CZ1368" s="717"/>
      <c r="DA1368" s="717"/>
      <c r="DB1368" s="717"/>
      <c r="DC1368" s="717"/>
      <c r="DD1368" s="717"/>
      <c r="DE1368" s="717"/>
      <c r="DF1368" s="717"/>
      <c r="DG1368" s="717"/>
      <c r="DH1368" s="717"/>
      <c r="DI1368" s="717"/>
      <c r="DJ1368" s="717"/>
      <c r="DM1368" s="711"/>
      <c r="DN1368" s="711"/>
      <c r="DO1368" s="711"/>
      <c r="DP1368" s="711"/>
      <c r="DQ1368" s="711"/>
    </row>
    <row r="1369" spans="13:121" s="709" customFormat="1" hidden="1">
      <c r="M1369" s="710"/>
      <c r="P1369" s="711"/>
      <c r="Q1369" s="712"/>
      <c r="U1369" s="711"/>
      <c r="V1369" s="711"/>
      <c r="W1369" s="711"/>
      <c r="X1369" s="711"/>
      <c r="Y1369" s="711"/>
      <c r="Z1369" s="711"/>
      <c r="AU1369" s="713"/>
      <c r="AW1369" s="712"/>
      <c r="BY1369" s="714"/>
      <c r="BZ1369" s="715"/>
      <c r="CA1369" s="716"/>
      <c r="CB1369" s="717"/>
      <c r="CC1369" s="717"/>
      <c r="CD1369" s="717"/>
      <c r="CE1369" s="717"/>
      <c r="CF1369" s="717"/>
      <c r="CG1369" s="717"/>
      <c r="CH1369" s="717"/>
      <c r="CI1369" s="717"/>
      <c r="CJ1369" s="717"/>
      <c r="CK1369" s="717"/>
      <c r="CL1369" s="717"/>
      <c r="CM1369" s="717"/>
      <c r="CN1369" s="717"/>
      <c r="CO1369" s="717"/>
      <c r="CP1369" s="717"/>
      <c r="CQ1369" s="717"/>
      <c r="CR1369" s="717"/>
      <c r="CS1369" s="717"/>
      <c r="CT1369" s="717"/>
      <c r="CU1369" s="717"/>
      <c r="CV1369" s="717"/>
      <c r="CW1369" s="717"/>
      <c r="CX1369" s="717"/>
      <c r="CY1369" s="717"/>
      <c r="CZ1369" s="717"/>
      <c r="DA1369" s="717"/>
      <c r="DB1369" s="717"/>
      <c r="DC1369" s="717"/>
      <c r="DD1369" s="717"/>
      <c r="DE1369" s="717"/>
      <c r="DF1369" s="717"/>
      <c r="DG1369" s="717"/>
      <c r="DH1369" s="717"/>
      <c r="DI1369" s="717"/>
      <c r="DJ1369" s="717"/>
      <c r="DM1369" s="711"/>
      <c r="DN1369" s="711"/>
      <c r="DO1369" s="711"/>
      <c r="DP1369" s="711"/>
      <c r="DQ1369" s="711"/>
    </row>
    <row r="1370" spans="13:121" s="709" customFormat="1" hidden="1">
      <c r="M1370" s="710"/>
      <c r="P1370" s="711"/>
      <c r="Q1370" s="712"/>
      <c r="U1370" s="711"/>
      <c r="V1370" s="711"/>
      <c r="W1370" s="711"/>
      <c r="X1370" s="711"/>
      <c r="Y1370" s="711"/>
      <c r="Z1370" s="711"/>
      <c r="AU1370" s="713"/>
      <c r="AW1370" s="712"/>
      <c r="BY1370" s="714"/>
      <c r="BZ1370" s="715"/>
      <c r="CA1370" s="716"/>
      <c r="CB1370" s="717"/>
      <c r="CC1370" s="717"/>
      <c r="CD1370" s="717"/>
      <c r="CE1370" s="717"/>
      <c r="CF1370" s="717"/>
      <c r="CG1370" s="717"/>
      <c r="CH1370" s="717"/>
      <c r="CI1370" s="717"/>
      <c r="CJ1370" s="717"/>
      <c r="CK1370" s="717"/>
      <c r="CL1370" s="717"/>
      <c r="CM1370" s="717"/>
      <c r="CN1370" s="717"/>
      <c r="CO1370" s="717"/>
      <c r="CP1370" s="717"/>
      <c r="CQ1370" s="717"/>
      <c r="CR1370" s="717"/>
      <c r="CS1370" s="717"/>
      <c r="CT1370" s="717"/>
      <c r="CU1370" s="717"/>
      <c r="CV1370" s="717"/>
      <c r="CW1370" s="717"/>
      <c r="CX1370" s="717"/>
      <c r="CY1370" s="717"/>
      <c r="CZ1370" s="717"/>
      <c r="DA1370" s="717"/>
      <c r="DB1370" s="717"/>
      <c r="DC1370" s="717"/>
      <c r="DD1370" s="717"/>
      <c r="DE1370" s="717"/>
      <c r="DF1370" s="717"/>
      <c r="DG1370" s="717"/>
      <c r="DH1370" s="717"/>
      <c r="DI1370" s="717"/>
      <c r="DJ1370" s="717"/>
      <c r="DM1370" s="711"/>
      <c r="DN1370" s="711"/>
      <c r="DO1370" s="711"/>
      <c r="DP1370" s="711"/>
      <c r="DQ1370" s="711"/>
    </row>
    <row r="1371" spans="13:121" s="709" customFormat="1" hidden="1">
      <c r="M1371" s="710"/>
      <c r="P1371" s="711"/>
      <c r="Q1371" s="712"/>
      <c r="U1371" s="711"/>
      <c r="V1371" s="711"/>
      <c r="W1371" s="711"/>
      <c r="X1371" s="711"/>
      <c r="Y1371" s="711"/>
      <c r="Z1371" s="711"/>
      <c r="AU1371" s="713"/>
      <c r="AW1371" s="712"/>
      <c r="BY1371" s="714"/>
      <c r="BZ1371" s="715"/>
      <c r="CA1371" s="716"/>
      <c r="CB1371" s="717"/>
      <c r="CC1371" s="717"/>
      <c r="CD1371" s="717"/>
      <c r="CE1371" s="717"/>
      <c r="CF1371" s="717"/>
      <c r="CG1371" s="717"/>
      <c r="CH1371" s="717"/>
      <c r="CI1371" s="717"/>
      <c r="CJ1371" s="717"/>
      <c r="CK1371" s="717"/>
      <c r="CL1371" s="717"/>
      <c r="CM1371" s="717"/>
      <c r="CN1371" s="717"/>
      <c r="CO1371" s="717"/>
      <c r="CP1371" s="717"/>
      <c r="CQ1371" s="717"/>
      <c r="CR1371" s="717"/>
      <c r="CS1371" s="717"/>
      <c r="CT1371" s="717"/>
      <c r="CU1371" s="717"/>
      <c r="CV1371" s="717"/>
      <c r="CW1371" s="717"/>
      <c r="CX1371" s="717"/>
      <c r="CY1371" s="717"/>
      <c r="CZ1371" s="717"/>
      <c r="DA1371" s="717"/>
      <c r="DB1371" s="717"/>
      <c r="DC1371" s="717"/>
      <c r="DD1371" s="717"/>
      <c r="DE1371" s="717"/>
      <c r="DF1371" s="717"/>
      <c r="DG1371" s="717"/>
      <c r="DH1371" s="717"/>
      <c r="DI1371" s="717"/>
      <c r="DJ1371" s="717"/>
      <c r="DM1371" s="711"/>
      <c r="DN1371" s="711"/>
      <c r="DO1371" s="711"/>
      <c r="DP1371" s="711"/>
      <c r="DQ1371" s="711"/>
    </row>
    <row r="1372" spans="13:121" s="709" customFormat="1" hidden="1">
      <c r="M1372" s="710"/>
      <c r="P1372" s="711"/>
      <c r="Q1372" s="712"/>
      <c r="U1372" s="711"/>
      <c r="V1372" s="711"/>
      <c r="W1372" s="711"/>
      <c r="X1372" s="711"/>
      <c r="Y1372" s="711"/>
      <c r="Z1372" s="711"/>
      <c r="AU1372" s="713"/>
      <c r="AW1372" s="712"/>
      <c r="BY1372" s="714"/>
      <c r="BZ1372" s="715"/>
      <c r="CA1372" s="716"/>
      <c r="CB1372" s="717"/>
      <c r="CC1372" s="717"/>
      <c r="CD1372" s="717"/>
      <c r="CE1372" s="717"/>
      <c r="CF1372" s="717"/>
      <c r="CG1372" s="717"/>
      <c r="CH1372" s="717"/>
      <c r="CI1372" s="717"/>
      <c r="CJ1372" s="717"/>
      <c r="CK1372" s="717"/>
      <c r="CL1372" s="717"/>
      <c r="CM1372" s="717"/>
      <c r="CN1372" s="717"/>
      <c r="CO1372" s="717"/>
      <c r="CP1372" s="717"/>
      <c r="CQ1372" s="717"/>
      <c r="CR1372" s="717"/>
      <c r="CS1372" s="717"/>
      <c r="CT1372" s="717"/>
      <c r="CU1372" s="717"/>
      <c r="CV1372" s="717"/>
      <c r="CW1372" s="717"/>
      <c r="CX1372" s="717"/>
      <c r="CY1372" s="717"/>
      <c r="CZ1372" s="717"/>
      <c r="DA1372" s="717"/>
      <c r="DB1372" s="717"/>
      <c r="DC1372" s="717"/>
      <c r="DD1372" s="717"/>
      <c r="DE1372" s="717"/>
      <c r="DF1372" s="717"/>
      <c r="DG1372" s="717"/>
      <c r="DH1372" s="717"/>
      <c r="DI1372" s="717"/>
      <c r="DJ1372" s="717"/>
      <c r="DM1372" s="711"/>
      <c r="DN1372" s="711"/>
      <c r="DO1372" s="711"/>
      <c r="DP1372" s="711"/>
      <c r="DQ1372" s="711"/>
    </row>
    <row r="1373" spans="13:121" s="709" customFormat="1" hidden="1">
      <c r="M1373" s="710"/>
      <c r="P1373" s="711"/>
      <c r="Q1373" s="712"/>
      <c r="U1373" s="711"/>
      <c r="V1373" s="711"/>
      <c r="W1373" s="711"/>
      <c r="X1373" s="711"/>
      <c r="Y1373" s="711"/>
      <c r="Z1373" s="711"/>
      <c r="AU1373" s="713"/>
      <c r="AW1373" s="712"/>
      <c r="BY1373" s="714"/>
      <c r="BZ1373" s="715"/>
      <c r="CA1373" s="716"/>
      <c r="CB1373" s="717"/>
      <c r="CC1373" s="717"/>
      <c r="CD1373" s="717"/>
      <c r="CE1373" s="717"/>
      <c r="CF1373" s="717"/>
      <c r="CG1373" s="717"/>
      <c r="CH1373" s="717"/>
      <c r="CI1373" s="717"/>
      <c r="CJ1373" s="717"/>
      <c r="CK1373" s="717"/>
      <c r="CL1373" s="717"/>
      <c r="CM1373" s="717"/>
      <c r="CN1373" s="717"/>
      <c r="CO1373" s="717"/>
      <c r="CP1373" s="717"/>
      <c r="CQ1373" s="717"/>
      <c r="CR1373" s="717"/>
      <c r="CS1373" s="717"/>
      <c r="CT1373" s="717"/>
      <c r="CU1373" s="717"/>
      <c r="CV1373" s="717"/>
      <c r="CW1373" s="717"/>
      <c r="CX1373" s="717"/>
      <c r="CY1373" s="717"/>
      <c r="CZ1373" s="717"/>
      <c r="DA1373" s="717"/>
      <c r="DB1373" s="717"/>
      <c r="DC1373" s="717"/>
      <c r="DD1373" s="717"/>
      <c r="DE1373" s="717"/>
      <c r="DF1373" s="717"/>
      <c r="DG1373" s="717"/>
      <c r="DH1373" s="717"/>
      <c r="DI1373" s="717"/>
      <c r="DJ1373" s="717"/>
      <c r="DM1373" s="711"/>
      <c r="DN1373" s="711"/>
      <c r="DO1373" s="711"/>
      <c r="DP1373" s="711"/>
      <c r="DQ1373" s="711"/>
    </row>
    <row r="1374" spans="13:121" s="709" customFormat="1" hidden="1">
      <c r="M1374" s="710"/>
      <c r="P1374" s="711"/>
      <c r="Q1374" s="712"/>
      <c r="U1374" s="711"/>
      <c r="V1374" s="711"/>
      <c r="W1374" s="711"/>
      <c r="X1374" s="711"/>
      <c r="Y1374" s="711"/>
      <c r="Z1374" s="711"/>
      <c r="AU1374" s="713"/>
      <c r="AW1374" s="712"/>
      <c r="BY1374" s="714"/>
      <c r="BZ1374" s="715"/>
      <c r="CA1374" s="716"/>
      <c r="CB1374" s="717"/>
      <c r="CC1374" s="717"/>
      <c r="CD1374" s="717"/>
      <c r="CE1374" s="717"/>
      <c r="CF1374" s="717"/>
      <c r="CG1374" s="717"/>
      <c r="CH1374" s="717"/>
      <c r="CI1374" s="717"/>
      <c r="CJ1374" s="717"/>
      <c r="CK1374" s="717"/>
      <c r="CL1374" s="717"/>
      <c r="CM1374" s="717"/>
      <c r="CN1374" s="717"/>
      <c r="CO1374" s="717"/>
      <c r="CP1374" s="717"/>
      <c r="CQ1374" s="717"/>
      <c r="CR1374" s="717"/>
      <c r="CS1374" s="717"/>
      <c r="CT1374" s="717"/>
      <c r="CU1374" s="717"/>
      <c r="CV1374" s="717"/>
      <c r="CW1374" s="717"/>
      <c r="CX1374" s="717"/>
      <c r="CY1374" s="717"/>
      <c r="CZ1374" s="717"/>
      <c r="DA1374" s="717"/>
      <c r="DB1374" s="717"/>
      <c r="DC1374" s="717"/>
      <c r="DD1374" s="717"/>
      <c r="DE1374" s="717"/>
      <c r="DF1374" s="717"/>
      <c r="DG1374" s="717"/>
      <c r="DH1374" s="717"/>
      <c r="DI1374" s="717"/>
      <c r="DJ1374" s="717"/>
      <c r="DM1374" s="711"/>
      <c r="DN1374" s="711"/>
      <c r="DO1374" s="711"/>
      <c r="DP1374" s="711"/>
      <c r="DQ1374" s="711"/>
    </row>
    <row r="1375" spans="13:121" s="709" customFormat="1" hidden="1">
      <c r="M1375" s="710"/>
      <c r="P1375" s="711"/>
      <c r="Q1375" s="712"/>
      <c r="U1375" s="711"/>
      <c r="V1375" s="711"/>
      <c r="W1375" s="711"/>
      <c r="X1375" s="711"/>
      <c r="Y1375" s="711"/>
      <c r="Z1375" s="711"/>
      <c r="AU1375" s="713"/>
      <c r="AW1375" s="712"/>
      <c r="BY1375" s="714"/>
      <c r="BZ1375" s="715"/>
      <c r="CA1375" s="716"/>
      <c r="CB1375" s="717"/>
      <c r="CC1375" s="717"/>
      <c r="CD1375" s="717"/>
      <c r="CE1375" s="717"/>
      <c r="CF1375" s="717"/>
      <c r="CG1375" s="717"/>
      <c r="CH1375" s="717"/>
      <c r="CI1375" s="717"/>
      <c r="CJ1375" s="717"/>
      <c r="CK1375" s="717"/>
      <c r="CL1375" s="717"/>
      <c r="CM1375" s="717"/>
      <c r="CN1375" s="717"/>
      <c r="CO1375" s="717"/>
      <c r="CP1375" s="717"/>
      <c r="CQ1375" s="717"/>
      <c r="CR1375" s="717"/>
      <c r="CS1375" s="717"/>
      <c r="CT1375" s="717"/>
      <c r="CU1375" s="717"/>
      <c r="CV1375" s="717"/>
      <c r="CW1375" s="717"/>
      <c r="CX1375" s="717"/>
      <c r="CY1375" s="717"/>
      <c r="CZ1375" s="717"/>
      <c r="DA1375" s="717"/>
      <c r="DB1375" s="717"/>
      <c r="DC1375" s="717"/>
      <c r="DD1375" s="717"/>
      <c r="DE1375" s="717"/>
      <c r="DF1375" s="717"/>
      <c r="DG1375" s="717"/>
      <c r="DH1375" s="717"/>
      <c r="DI1375" s="717"/>
      <c r="DJ1375" s="717"/>
      <c r="DM1375" s="711"/>
      <c r="DN1375" s="711"/>
      <c r="DO1375" s="711"/>
      <c r="DP1375" s="711"/>
      <c r="DQ1375" s="711"/>
    </row>
    <row r="1376" spans="13:121" s="709" customFormat="1" hidden="1">
      <c r="M1376" s="710"/>
      <c r="P1376" s="711"/>
      <c r="Q1376" s="712"/>
      <c r="U1376" s="711"/>
      <c r="V1376" s="711"/>
      <c r="W1376" s="711"/>
      <c r="X1376" s="711"/>
      <c r="Y1376" s="711"/>
      <c r="Z1376" s="711"/>
      <c r="AU1376" s="713"/>
      <c r="AW1376" s="712"/>
      <c r="BY1376" s="714"/>
      <c r="BZ1376" s="715"/>
      <c r="CA1376" s="716"/>
      <c r="CB1376" s="717"/>
      <c r="CC1376" s="717"/>
      <c r="CD1376" s="717"/>
      <c r="CE1376" s="717"/>
      <c r="CF1376" s="717"/>
      <c r="CG1376" s="717"/>
      <c r="CH1376" s="717"/>
      <c r="CI1376" s="717"/>
      <c r="CJ1376" s="717"/>
      <c r="CK1376" s="717"/>
      <c r="CL1376" s="717"/>
      <c r="CM1376" s="717"/>
      <c r="CN1376" s="717"/>
      <c r="CO1376" s="717"/>
      <c r="CP1376" s="717"/>
      <c r="CQ1376" s="717"/>
      <c r="CR1376" s="717"/>
      <c r="CS1376" s="717"/>
      <c r="CT1376" s="717"/>
      <c r="CU1376" s="717"/>
      <c r="CV1376" s="717"/>
      <c r="CW1376" s="717"/>
      <c r="CX1376" s="717"/>
      <c r="CY1376" s="717"/>
      <c r="CZ1376" s="717"/>
      <c r="DA1376" s="717"/>
      <c r="DB1376" s="717"/>
      <c r="DC1376" s="717"/>
      <c r="DD1376" s="717"/>
      <c r="DE1376" s="717"/>
      <c r="DF1376" s="717"/>
      <c r="DG1376" s="717"/>
      <c r="DH1376" s="717"/>
      <c r="DI1376" s="717"/>
      <c r="DJ1376" s="717"/>
      <c r="DM1376" s="711"/>
      <c r="DN1376" s="711"/>
      <c r="DO1376" s="711"/>
      <c r="DP1376" s="711"/>
      <c r="DQ1376" s="711"/>
    </row>
    <row r="1377" spans="13:121" s="709" customFormat="1" hidden="1">
      <c r="M1377" s="710"/>
      <c r="P1377" s="711"/>
      <c r="Q1377" s="712"/>
      <c r="U1377" s="711"/>
      <c r="V1377" s="711"/>
      <c r="W1377" s="711"/>
      <c r="X1377" s="711"/>
      <c r="Y1377" s="711"/>
      <c r="Z1377" s="711"/>
      <c r="AU1377" s="713"/>
      <c r="AW1377" s="712"/>
      <c r="BY1377" s="714"/>
      <c r="BZ1377" s="715"/>
      <c r="CA1377" s="716"/>
      <c r="CB1377" s="717"/>
      <c r="CC1377" s="717"/>
      <c r="CD1377" s="717"/>
      <c r="CE1377" s="717"/>
      <c r="CF1377" s="717"/>
      <c r="CG1377" s="717"/>
      <c r="CH1377" s="717"/>
      <c r="CI1377" s="717"/>
      <c r="CJ1377" s="717"/>
      <c r="CK1377" s="717"/>
      <c r="CL1377" s="717"/>
      <c r="CM1377" s="717"/>
      <c r="CN1377" s="717"/>
      <c r="CO1377" s="717"/>
      <c r="CP1377" s="717"/>
      <c r="CQ1377" s="717"/>
      <c r="CR1377" s="717"/>
      <c r="CS1377" s="717"/>
      <c r="CT1377" s="717"/>
      <c r="CU1377" s="717"/>
      <c r="CV1377" s="717"/>
      <c r="CW1377" s="717"/>
      <c r="CX1377" s="717"/>
      <c r="CY1377" s="717"/>
      <c r="CZ1377" s="717"/>
      <c r="DA1377" s="717"/>
      <c r="DB1377" s="717"/>
      <c r="DC1377" s="717"/>
      <c r="DD1377" s="717"/>
      <c r="DE1377" s="717"/>
      <c r="DF1377" s="717"/>
      <c r="DG1377" s="717"/>
      <c r="DH1377" s="717"/>
      <c r="DI1377" s="717"/>
      <c r="DJ1377" s="717"/>
      <c r="DM1377" s="711"/>
      <c r="DN1377" s="711"/>
      <c r="DO1377" s="711"/>
      <c r="DP1377" s="711"/>
      <c r="DQ1377" s="711"/>
    </row>
    <row r="1378" spans="13:121" s="709" customFormat="1" hidden="1">
      <c r="M1378" s="710"/>
      <c r="P1378" s="711"/>
      <c r="Q1378" s="712"/>
      <c r="U1378" s="711"/>
      <c r="V1378" s="711"/>
      <c r="W1378" s="711"/>
      <c r="X1378" s="711"/>
      <c r="Y1378" s="711"/>
      <c r="Z1378" s="711"/>
      <c r="AU1378" s="713"/>
      <c r="AW1378" s="712"/>
      <c r="BY1378" s="714"/>
      <c r="BZ1378" s="715"/>
      <c r="CA1378" s="716"/>
      <c r="CB1378" s="717"/>
      <c r="CC1378" s="717"/>
      <c r="CD1378" s="717"/>
      <c r="CE1378" s="717"/>
      <c r="CF1378" s="717"/>
      <c r="CG1378" s="717"/>
      <c r="CH1378" s="717"/>
      <c r="CI1378" s="717"/>
      <c r="CJ1378" s="717"/>
      <c r="CK1378" s="717"/>
      <c r="CL1378" s="717"/>
      <c r="CM1378" s="717"/>
      <c r="CN1378" s="717"/>
      <c r="CO1378" s="717"/>
      <c r="CP1378" s="717"/>
      <c r="CQ1378" s="717"/>
      <c r="CR1378" s="717"/>
      <c r="CS1378" s="717"/>
      <c r="CT1378" s="717"/>
      <c r="CU1378" s="717"/>
      <c r="CV1378" s="717"/>
      <c r="CW1378" s="717"/>
      <c r="CX1378" s="717"/>
      <c r="CY1378" s="717"/>
      <c r="CZ1378" s="717"/>
      <c r="DA1378" s="717"/>
      <c r="DB1378" s="717"/>
      <c r="DC1378" s="717"/>
      <c r="DD1378" s="717"/>
      <c r="DE1378" s="717"/>
      <c r="DF1378" s="717"/>
      <c r="DG1378" s="717"/>
      <c r="DH1378" s="717"/>
      <c r="DI1378" s="717"/>
      <c r="DJ1378" s="717"/>
      <c r="DM1378" s="711"/>
      <c r="DN1378" s="711"/>
      <c r="DO1378" s="711"/>
      <c r="DP1378" s="711"/>
      <c r="DQ1378" s="711"/>
    </row>
    <row r="1379" spans="13:121" s="709" customFormat="1" hidden="1">
      <c r="M1379" s="710"/>
      <c r="P1379" s="711"/>
      <c r="Q1379" s="712"/>
      <c r="U1379" s="711"/>
      <c r="V1379" s="711"/>
      <c r="W1379" s="711"/>
      <c r="X1379" s="711"/>
      <c r="Y1379" s="711"/>
      <c r="Z1379" s="711"/>
      <c r="AU1379" s="713"/>
      <c r="AW1379" s="712"/>
      <c r="BY1379" s="714"/>
      <c r="BZ1379" s="715"/>
      <c r="CA1379" s="716"/>
      <c r="CB1379" s="717"/>
      <c r="CC1379" s="717"/>
      <c r="CD1379" s="717"/>
      <c r="CE1379" s="717"/>
      <c r="CF1379" s="717"/>
      <c r="CG1379" s="717"/>
      <c r="CH1379" s="717"/>
      <c r="CI1379" s="717"/>
      <c r="CJ1379" s="717"/>
      <c r="CK1379" s="717"/>
      <c r="CL1379" s="717"/>
      <c r="CM1379" s="717"/>
      <c r="CN1379" s="717"/>
      <c r="CO1379" s="717"/>
      <c r="CP1379" s="717"/>
      <c r="CQ1379" s="717"/>
      <c r="CR1379" s="717"/>
      <c r="CS1379" s="717"/>
      <c r="CT1379" s="717"/>
      <c r="CU1379" s="717"/>
      <c r="CV1379" s="717"/>
      <c r="CW1379" s="717"/>
      <c r="CX1379" s="717"/>
      <c r="CY1379" s="717"/>
      <c r="CZ1379" s="717"/>
      <c r="DA1379" s="717"/>
      <c r="DB1379" s="717"/>
      <c r="DC1379" s="717"/>
      <c r="DD1379" s="717"/>
      <c r="DE1379" s="717"/>
      <c r="DF1379" s="717"/>
      <c r="DG1379" s="717"/>
      <c r="DH1379" s="717"/>
      <c r="DI1379" s="717"/>
      <c r="DJ1379" s="717"/>
      <c r="DM1379" s="711"/>
      <c r="DN1379" s="711"/>
      <c r="DO1379" s="711"/>
      <c r="DP1379" s="711"/>
      <c r="DQ1379" s="711"/>
    </row>
    <row r="1380" spans="13:121" s="709" customFormat="1" hidden="1">
      <c r="M1380" s="710"/>
      <c r="P1380" s="711"/>
      <c r="Q1380" s="712"/>
      <c r="U1380" s="711"/>
      <c r="V1380" s="711"/>
      <c r="W1380" s="711"/>
      <c r="X1380" s="711"/>
      <c r="Y1380" s="711"/>
      <c r="Z1380" s="711"/>
      <c r="AU1380" s="713"/>
      <c r="AW1380" s="712"/>
      <c r="BY1380" s="714"/>
      <c r="BZ1380" s="715"/>
      <c r="CA1380" s="716"/>
      <c r="CB1380" s="717"/>
      <c r="CC1380" s="717"/>
      <c r="CD1380" s="717"/>
      <c r="CE1380" s="717"/>
      <c r="CF1380" s="717"/>
      <c r="CG1380" s="717"/>
      <c r="CH1380" s="717"/>
      <c r="CI1380" s="717"/>
      <c r="CJ1380" s="717"/>
      <c r="CK1380" s="717"/>
      <c r="CL1380" s="717"/>
      <c r="CM1380" s="717"/>
      <c r="CN1380" s="717"/>
      <c r="CO1380" s="717"/>
      <c r="CP1380" s="717"/>
      <c r="CQ1380" s="717"/>
      <c r="CR1380" s="717"/>
      <c r="CS1380" s="717"/>
      <c r="CT1380" s="717"/>
      <c r="CU1380" s="717"/>
      <c r="CV1380" s="717"/>
      <c r="CW1380" s="717"/>
      <c r="CX1380" s="717"/>
      <c r="CY1380" s="717"/>
      <c r="CZ1380" s="717"/>
      <c r="DA1380" s="717"/>
      <c r="DB1380" s="717"/>
      <c r="DC1380" s="717"/>
      <c r="DD1380" s="717"/>
      <c r="DE1380" s="717"/>
      <c r="DF1380" s="717"/>
      <c r="DG1380" s="717"/>
      <c r="DH1380" s="717"/>
      <c r="DI1380" s="717"/>
      <c r="DJ1380" s="717"/>
      <c r="DM1380" s="711"/>
      <c r="DN1380" s="711"/>
      <c r="DO1380" s="711"/>
      <c r="DP1380" s="711"/>
      <c r="DQ1380" s="711"/>
    </row>
    <row r="1381" spans="13:121" s="709" customFormat="1" hidden="1">
      <c r="M1381" s="710"/>
      <c r="P1381" s="711"/>
      <c r="Q1381" s="712"/>
      <c r="U1381" s="711"/>
      <c r="V1381" s="711"/>
      <c r="W1381" s="711"/>
      <c r="X1381" s="711"/>
      <c r="Y1381" s="711"/>
      <c r="Z1381" s="711"/>
      <c r="AU1381" s="713"/>
      <c r="AW1381" s="712"/>
      <c r="BY1381" s="714"/>
      <c r="BZ1381" s="715"/>
      <c r="CA1381" s="716"/>
      <c r="CB1381" s="717"/>
      <c r="CC1381" s="717"/>
      <c r="CD1381" s="717"/>
      <c r="CE1381" s="717"/>
      <c r="CF1381" s="717"/>
      <c r="CG1381" s="717"/>
      <c r="CH1381" s="717"/>
      <c r="CI1381" s="717"/>
      <c r="CJ1381" s="717"/>
      <c r="CK1381" s="717"/>
      <c r="CL1381" s="717"/>
      <c r="CM1381" s="717"/>
      <c r="CN1381" s="717"/>
      <c r="CO1381" s="717"/>
      <c r="CP1381" s="717"/>
      <c r="CQ1381" s="717"/>
      <c r="CR1381" s="717"/>
      <c r="CS1381" s="717"/>
      <c r="CT1381" s="717"/>
      <c r="CU1381" s="717"/>
      <c r="CV1381" s="717"/>
      <c r="CW1381" s="717"/>
      <c r="CX1381" s="717"/>
      <c r="CY1381" s="717"/>
      <c r="CZ1381" s="717"/>
      <c r="DA1381" s="717"/>
      <c r="DB1381" s="717"/>
      <c r="DC1381" s="717"/>
      <c r="DD1381" s="717"/>
      <c r="DE1381" s="717"/>
      <c r="DF1381" s="717"/>
      <c r="DG1381" s="717"/>
      <c r="DH1381" s="717"/>
      <c r="DI1381" s="717"/>
      <c r="DJ1381" s="717"/>
      <c r="DM1381" s="711"/>
      <c r="DN1381" s="711"/>
      <c r="DO1381" s="711"/>
      <c r="DP1381" s="711"/>
      <c r="DQ1381" s="711"/>
    </row>
    <row r="1382" spans="13:121" s="709" customFormat="1" hidden="1">
      <c r="M1382" s="710"/>
      <c r="P1382" s="711"/>
      <c r="Q1382" s="712"/>
      <c r="U1382" s="711"/>
      <c r="V1382" s="711"/>
      <c r="W1382" s="711"/>
      <c r="X1382" s="711"/>
      <c r="Y1382" s="711"/>
      <c r="Z1382" s="711"/>
      <c r="AU1382" s="713"/>
      <c r="AW1382" s="712"/>
      <c r="BY1382" s="714"/>
      <c r="BZ1382" s="715"/>
      <c r="CA1382" s="716"/>
      <c r="CB1382" s="717"/>
      <c r="CC1382" s="717"/>
      <c r="CD1382" s="717"/>
      <c r="CE1382" s="717"/>
      <c r="CF1382" s="717"/>
      <c r="CG1382" s="717"/>
      <c r="CH1382" s="717"/>
      <c r="CI1382" s="717"/>
      <c r="CJ1382" s="717"/>
      <c r="CK1382" s="717"/>
      <c r="CL1382" s="717"/>
      <c r="CM1382" s="717"/>
      <c r="CN1382" s="717"/>
      <c r="CO1382" s="717"/>
      <c r="CP1382" s="717"/>
      <c r="CQ1382" s="717"/>
      <c r="CR1382" s="717"/>
      <c r="CS1382" s="717"/>
      <c r="CT1382" s="717"/>
      <c r="CU1382" s="717"/>
      <c r="CV1382" s="717"/>
      <c r="CW1382" s="717"/>
      <c r="CX1382" s="717"/>
      <c r="CY1382" s="717"/>
      <c r="CZ1382" s="717"/>
      <c r="DA1382" s="717"/>
      <c r="DB1382" s="717"/>
      <c r="DC1382" s="717"/>
      <c r="DD1382" s="717"/>
      <c r="DE1382" s="717"/>
      <c r="DF1382" s="717"/>
      <c r="DG1382" s="717"/>
      <c r="DH1382" s="717"/>
      <c r="DI1382" s="717"/>
      <c r="DJ1382" s="717"/>
      <c r="DM1382" s="711"/>
      <c r="DN1382" s="711"/>
      <c r="DO1382" s="711"/>
      <c r="DP1382" s="711"/>
      <c r="DQ1382" s="711"/>
    </row>
    <row r="1383" spans="13:121" s="709" customFormat="1" hidden="1">
      <c r="M1383" s="710"/>
      <c r="P1383" s="711"/>
      <c r="Q1383" s="712"/>
      <c r="U1383" s="711"/>
      <c r="V1383" s="711"/>
      <c r="W1383" s="711"/>
      <c r="X1383" s="711"/>
      <c r="Y1383" s="711"/>
      <c r="Z1383" s="711"/>
      <c r="AU1383" s="713"/>
      <c r="AW1383" s="712"/>
      <c r="BY1383" s="714"/>
      <c r="BZ1383" s="715"/>
      <c r="CA1383" s="716"/>
      <c r="CB1383" s="717"/>
      <c r="CC1383" s="717"/>
      <c r="CD1383" s="717"/>
      <c r="CE1383" s="717"/>
      <c r="CF1383" s="717"/>
      <c r="CG1383" s="717"/>
      <c r="CH1383" s="717"/>
      <c r="CI1383" s="717"/>
      <c r="CJ1383" s="717"/>
      <c r="CK1383" s="717"/>
      <c r="CL1383" s="717"/>
      <c r="CM1383" s="717"/>
      <c r="CN1383" s="717"/>
      <c r="CO1383" s="717"/>
      <c r="CP1383" s="717"/>
      <c r="CQ1383" s="717"/>
      <c r="CR1383" s="717"/>
      <c r="CS1383" s="717"/>
      <c r="CT1383" s="717"/>
      <c r="CU1383" s="717"/>
      <c r="CV1383" s="717"/>
      <c r="CW1383" s="717"/>
      <c r="CX1383" s="717"/>
      <c r="CY1383" s="717"/>
      <c r="CZ1383" s="717"/>
      <c r="DA1383" s="717"/>
      <c r="DB1383" s="717"/>
      <c r="DC1383" s="717"/>
      <c r="DD1383" s="717"/>
      <c r="DE1383" s="717"/>
      <c r="DF1383" s="717"/>
      <c r="DG1383" s="717"/>
      <c r="DH1383" s="717"/>
      <c r="DI1383" s="717"/>
      <c r="DJ1383" s="717"/>
      <c r="DM1383" s="711"/>
      <c r="DN1383" s="711"/>
      <c r="DO1383" s="711"/>
      <c r="DP1383" s="711"/>
      <c r="DQ1383" s="711"/>
    </row>
    <row r="1384" spans="13:121" s="709" customFormat="1" hidden="1">
      <c r="M1384" s="710"/>
      <c r="P1384" s="711"/>
      <c r="Q1384" s="712"/>
      <c r="U1384" s="711"/>
      <c r="V1384" s="711"/>
      <c r="W1384" s="711"/>
      <c r="X1384" s="711"/>
      <c r="Y1384" s="711"/>
      <c r="Z1384" s="711"/>
      <c r="AU1384" s="713"/>
      <c r="AW1384" s="712"/>
      <c r="BY1384" s="714"/>
      <c r="BZ1384" s="715"/>
      <c r="CA1384" s="716"/>
      <c r="CB1384" s="717"/>
      <c r="CC1384" s="717"/>
      <c r="CD1384" s="717"/>
      <c r="CE1384" s="717"/>
      <c r="CF1384" s="717"/>
      <c r="CG1384" s="717"/>
      <c r="CH1384" s="717"/>
      <c r="CI1384" s="717"/>
      <c r="CJ1384" s="717"/>
      <c r="CK1384" s="717"/>
      <c r="CL1384" s="717"/>
      <c r="CM1384" s="717"/>
      <c r="CN1384" s="717"/>
      <c r="CO1384" s="717"/>
      <c r="CP1384" s="717"/>
      <c r="CQ1384" s="717"/>
      <c r="CR1384" s="717"/>
      <c r="CS1384" s="717"/>
      <c r="CT1384" s="717"/>
      <c r="CU1384" s="717"/>
      <c r="CV1384" s="717"/>
      <c r="CW1384" s="717"/>
      <c r="CX1384" s="717"/>
      <c r="CY1384" s="717"/>
      <c r="CZ1384" s="717"/>
      <c r="DA1384" s="717"/>
      <c r="DB1384" s="717"/>
      <c r="DC1384" s="717"/>
      <c r="DD1384" s="717"/>
      <c r="DE1384" s="717"/>
      <c r="DF1384" s="717"/>
      <c r="DG1384" s="717"/>
      <c r="DH1384" s="717"/>
      <c r="DI1384" s="717"/>
      <c r="DJ1384" s="717"/>
      <c r="DM1384" s="711"/>
      <c r="DN1384" s="711"/>
      <c r="DO1384" s="711"/>
      <c r="DP1384" s="711"/>
      <c r="DQ1384" s="711"/>
    </row>
    <row r="1385" spans="13:121" s="709" customFormat="1" hidden="1">
      <c r="M1385" s="710"/>
      <c r="P1385" s="711"/>
      <c r="Q1385" s="712"/>
      <c r="U1385" s="711"/>
      <c r="V1385" s="711"/>
      <c r="W1385" s="711"/>
      <c r="X1385" s="711"/>
      <c r="Y1385" s="711"/>
      <c r="Z1385" s="711"/>
      <c r="AU1385" s="713"/>
      <c r="AW1385" s="712"/>
      <c r="BY1385" s="714"/>
      <c r="BZ1385" s="715"/>
      <c r="CA1385" s="716"/>
      <c r="CB1385" s="717"/>
      <c r="CC1385" s="717"/>
      <c r="CD1385" s="717"/>
      <c r="CE1385" s="717"/>
      <c r="CF1385" s="717"/>
      <c r="CG1385" s="717"/>
      <c r="CH1385" s="717"/>
      <c r="CI1385" s="717"/>
      <c r="CJ1385" s="717"/>
      <c r="CK1385" s="717"/>
      <c r="CL1385" s="717"/>
      <c r="CM1385" s="717"/>
      <c r="CN1385" s="717"/>
      <c r="CO1385" s="717"/>
      <c r="CP1385" s="717"/>
      <c r="CQ1385" s="717"/>
      <c r="CR1385" s="717"/>
      <c r="CS1385" s="717"/>
      <c r="CT1385" s="717"/>
      <c r="CU1385" s="717"/>
      <c r="CV1385" s="717"/>
      <c r="CW1385" s="717"/>
      <c r="CX1385" s="717"/>
      <c r="CY1385" s="717"/>
      <c r="CZ1385" s="717"/>
      <c r="DA1385" s="717"/>
      <c r="DB1385" s="717"/>
      <c r="DC1385" s="717"/>
      <c r="DD1385" s="717"/>
      <c r="DE1385" s="717"/>
      <c r="DF1385" s="717"/>
      <c r="DG1385" s="717"/>
      <c r="DH1385" s="717"/>
      <c r="DI1385" s="717"/>
      <c r="DJ1385" s="717"/>
      <c r="DM1385" s="711"/>
      <c r="DN1385" s="711"/>
      <c r="DO1385" s="711"/>
      <c r="DP1385" s="711"/>
      <c r="DQ1385" s="711"/>
    </row>
    <row r="1386" spans="13:121" s="709" customFormat="1" hidden="1">
      <c r="M1386" s="710"/>
      <c r="P1386" s="711"/>
      <c r="Q1386" s="712"/>
      <c r="U1386" s="711"/>
      <c r="V1386" s="711"/>
      <c r="W1386" s="711"/>
      <c r="X1386" s="711"/>
      <c r="Y1386" s="711"/>
      <c r="Z1386" s="711"/>
      <c r="AU1386" s="713"/>
      <c r="AW1386" s="712"/>
      <c r="BY1386" s="714"/>
      <c r="BZ1386" s="715"/>
      <c r="CA1386" s="716"/>
      <c r="CB1386" s="717"/>
      <c r="CC1386" s="717"/>
      <c r="CD1386" s="717"/>
      <c r="CE1386" s="717"/>
      <c r="CF1386" s="717"/>
      <c r="CG1386" s="717"/>
      <c r="CH1386" s="717"/>
      <c r="CI1386" s="717"/>
      <c r="CJ1386" s="717"/>
      <c r="CK1386" s="717"/>
      <c r="CL1386" s="717"/>
      <c r="CM1386" s="717"/>
      <c r="CN1386" s="717"/>
      <c r="CO1386" s="717"/>
      <c r="CP1386" s="717"/>
      <c r="CQ1386" s="717"/>
      <c r="CR1386" s="717"/>
      <c r="CS1386" s="717"/>
      <c r="CT1386" s="717"/>
      <c r="CU1386" s="717"/>
      <c r="CV1386" s="717"/>
      <c r="CW1386" s="717"/>
      <c r="CX1386" s="717"/>
      <c r="CY1386" s="717"/>
      <c r="CZ1386" s="717"/>
      <c r="DA1386" s="717"/>
      <c r="DB1386" s="717"/>
      <c r="DC1386" s="717"/>
      <c r="DD1386" s="717"/>
      <c r="DE1386" s="717"/>
      <c r="DF1386" s="717"/>
      <c r="DG1386" s="717"/>
      <c r="DH1386" s="717"/>
      <c r="DI1386" s="717"/>
      <c r="DJ1386" s="717"/>
      <c r="DM1386" s="711"/>
      <c r="DN1386" s="711"/>
      <c r="DO1386" s="711"/>
      <c r="DP1386" s="711"/>
      <c r="DQ1386" s="711"/>
    </row>
    <row r="1387" spans="13:121" s="709" customFormat="1" hidden="1">
      <c r="M1387" s="710"/>
      <c r="P1387" s="711"/>
      <c r="Q1387" s="712"/>
      <c r="U1387" s="711"/>
      <c r="V1387" s="711"/>
      <c r="W1387" s="711"/>
      <c r="X1387" s="711"/>
      <c r="Y1387" s="711"/>
      <c r="Z1387" s="711"/>
      <c r="AU1387" s="713"/>
      <c r="AW1387" s="712"/>
      <c r="BY1387" s="714"/>
      <c r="BZ1387" s="715"/>
      <c r="CA1387" s="716"/>
      <c r="CB1387" s="717"/>
      <c r="CC1387" s="717"/>
      <c r="CD1387" s="717"/>
      <c r="CE1387" s="717"/>
      <c r="CF1387" s="717"/>
      <c r="CG1387" s="717"/>
      <c r="CH1387" s="717"/>
      <c r="CI1387" s="717"/>
      <c r="CJ1387" s="717"/>
      <c r="CK1387" s="717"/>
      <c r="CL1387" s="717"/>
      <c r="CM1387" s="717"/>
      <c r="CN1387" s="717"/>
      <c r="CO1387" s="717"/>
      <c r="CP1387" s="717"/>
      <c r="CQ1387" s="717"/>
      <c r="CR1387" s="717"/>
      <c r="CS1387" s="717"/>
      <c r="CT1387" s="717"/>
      <c r="CU1387" s="717"/>
      <c r="CV1387" s="717"/>
      <c r="CW1387" s="717"/>
      <c r="CX1387" s="717"/>
      <c r="CY1387" s="717"/>
      <c r="CZ1387" s="717"/>
      <c r="DA1387" s="717"/>
      <c r="DB1387" s="717"/>
      <c r="DC1387" s="717"/>
      <c r="DD1387" s="717"/>
      <c r="DE1387" s="717"/>
      <c r="DF1387" s="717"/>
      <c r="DG1387" s="717"/>
      <c r="DH1387" s="717"/>
      <c r="DI1387" s="717"/>
      <c r="DJ1387" s="717"/>
      <c r="DM1387" s="711"/>
      <c r="DN1387" s="711"/>
      <c r="DO1387" s="711"/>
      <c r="DP1387" s="711"/>
      <c r="DQ1387" s="711"/>
    </row>
    <row r="1388" spans="13:121" s="709" customFormat="1" hidden="1">
      <c r="M1388" s="710"/>
      <c r="P1388" s="711"/>
      <c r="Q1388" s="712"/>
      <c r="U1388" s="711"/>
      <c r="V1388" s="711"/>
      <c r="W1388" s="711"/>
      <c r="X1388" s="711"/>
      <c r="Y1388" s="711"/>
      <c r="Z1388" s="711"/>
      <c r="AU1388" s="713"/>
      <c r="AW1388" s="712"/>
      <c r="BY1388" s="714"/>
      <c r="BZ1388" s="715"/>
      <c r="CA1388" s="716"/>
      <c r="CB1388" s="717"/>
      <c r="CC1388" s="717"/>
      <c r="CD1388" s="717"/>
      <c r="CE1388" s="717"/>
      <c r="CF1388" s="717"/>
      <c r="CG1388" s="717"/>
      <c r="CH1388" s="717"/>
      <c r="CI1388" s="717"/>
      <c r="CJ1388" s="717"/>
      <c r="CK1388" s="717"/>
      <c r="CL1388" s="717"/>
      <c r="CM1388" s="717"/>
      <c r="CN1388" s="717"/>
      <c r="CO1388" s="717"/>
      <c r="CP1388" s="717"/>
      <c r="CQ1388" s="717"/>
      <c r="CR1388" s="717"/>
      <c r="CS1388" s="717"/>
      <c r="CT1388" s="717"/>
      <c r="CU1388" s="717"/>
      <c r="CV1388" s="717"/>
      <c r="CW1388" s="717"/>
      <c r="CX1388" s="717"/>
      <c r="CY1388" s="717"/>
      <c r="CZ1388" s="717"/>
      <c r="DA1388" s="717"/>
      <c r="DB1388" s="717"/>
      <c r="DC1388" s="717"/>
      <c r="DD1388" s="717"/>
      <c r="DE1388" s="717"/>
      <c r="DF1388" s="717"/>
      <c r="DG1388" s="717"/>
      <c r="DH1388" s="717"/>
      <c r="DI1388" s="717"/>
      <c r="DJ1388" s="717"/>
      <c r="DM1388" s="711"/>
      <c r="DN1388" s="711"/>
      <c r="DO1388" s="711"/>
      <c r="DP1388" s="711"/>
      <c r="DQ1388" s="711"/>
    </row>
    <row r="1389" spans="13:121" s="709" customFormat="1" hidden="1">
      <c r="M1389" s="710"/>
      <c r="P1389" s="711"/>
      <c r="Q1389" s="712"/>
      <c r="U1389" s="711"/>
      <c r="V1389" s="711"/>
      <c r="W1389" s="711"/>
      <c r="X1389" s="711"/>
      <c r="Y1389" s="711"/>
      <c r="Z1389" s="711"/>
      <c r="AU1389" s="713"/>
      <c r="AW1389" s="712"/>
      <c r="BY1389" s="714"/>
      <c r="BZ1389" s="715"/>
      <c r="CA1389" s="716"/>
      <c r="CB1389" s="717"/>
      <c r="CC1389" s="717"/>
      <c r="CD1389" s="717"/>
      <c r="CE1389" s="717"/>
      <c r="CF1389" s="717"/>
      <c r="CG1389" s="717"/>
      <c r="CH1389" s="717"/>
      <c r="CI1389" s="717"/>
      <c r="CJ1389" s="717"/>
      <c r="CK1389" s="717"/>
      <c r="CL1389" s="717"/>
      <c r="CM1389" s="717"/>
      <c r="CN1389" s="717"/>
      <c r="CO1389" s="717"/>
      <c r="CP1389" s="717"/>
      <c r="CQ1389" s="717"/>
      <c r="CR1389" s="717"/>
      <c r="CS1389" s="717"/>
      <c r="CT1389" s="717"/>
      <c r="CU1389" s="717"/>
      <c r="CV1389" s="717"/>
      <c r="CW1389" s="717"/>
      <c r="CX1389" s="717"/>
      <c r="CY1389" s="717"/>
      <c r="CZ1389" s="717"/>
      <c r="DA1389" s="717"/>
      <c r="DB1389" s="717"/>
      <c r="DC1389" s="717"/>
      <c r="DD1389" s="717"/>
      <c r="DE1389" s="717"/>
      <c r="DF1389" s="717"/>
      <c r="DG1389" s="717"/>
      <c r="DH1389" s="717"/>
      <c r="DI1389" s="717"/>
      <c r="DJ1389" s="717"/>
      <c r="DM1389" s="711"/>
      <c r="DN1389" s="711"/>
      <c r="DO1389" s="711"/>
      <c r="DP1389" s="711"/>
      <c r="DQ1389" s="711"/>
    </row>
    <row r="1390" spans="13:121" s="709" customFormat="1" hidden="1">
      <c r="M1390" s="710"/>
      <c r="P1390" s="711"/>
      <c r="Q1390" s="712"/>
      <c r="U1390" s="711"/>
      <c r="V1390" s="711"/>
      <c r="W1390" s="711"/>
      <c r="X1390" s="711"/>
      <c r="Y1390" s="711"/>
      <c r="Z1390" s="711"/>
      <c r="AU1390" s="713"/>
      <c r="AW1390" s="712"/>
      <c r="BY1390" s="714"/>
      <c r="BZ1390" s="715"/>
      <c r="CA1390" s="716"/>
      <c r="CB1390" s="717"/>
      <c r="CC1390" s="717"/>
      <c r="CD1390" s="717"/>
      <c r="CE1390" s="717"/>
      <c r="CF1390" s="717"/>
      <c r="CG1390" s="717"/>
      <c r="CH1390" s="717"/>
      <c r="CI1390" s="717"/>
      <c r="CJ1390" s="717"/>
      <c r="CK1390" s="717"/>
      <c r="CL1390" s="717"/>
      <c r="CM1390" s="717"/>
      <c r="CN1390" s="717"/>
      <c r="CO1390" s="717"/>
      <c r="CP1390" s="717"/>
      <c r="CQ1390" s="717"/>
      <c r="CR1390" s="717"/>
      <c r="CS1390" s="717"/>
      <c r="CT1390" s="717"/>
      <c r="CU1390" s="717"/>
      <c r="CV1390" s="717"/>
      <c r="CW1390" s="717"/>
      <c r="CX1390" s="717"/>
      <c r="CY1390" s="717"/>
      <c r="CZ1390" s="717"/>
      <c r="DA1390" s="717"/>
      <c r="DB1390" s="717"/>
      <c r="DC1390" s="717"/>
      <c r="DD1390" s="717"/>
      <c r="DE1390" s="717"/>
      <c r="DF1390" s="717"/>
      <c r="DG1390" s="717"/>
      <c r="DH1390" s="717"/>
      <c r="DI1390" s="717"/>
      <c r="DJ1390" s="717"/>
      <c r="DM1390" s="711"/>
      <c r="DN1390" s="711"/>
      <c r="DO1390" s="711"/>
      <c r="DP1390" s="711"/>
      <c r="DQ1390" s="711"/>
    </row>
    <row r="1391" spans="13:121" s="709" customFormat="1" hidden="1">
      <c r="M1391" s="710"/>
      <c r="P1391" s="711"/>
      <c r="Q1391" s="712"/>
      <c r="U1391" s="711"/>
      <c r="V1391" s="711"/>
      <c r="W1391" s="711"/>
      <c r="X1391" s="711"/>
      <c r="Y1391" s="711"/>
      <c r="Z1391" s="711"/>
      <c r="AU1391" s="713"/>
      <c r="AW1391" s="712"/>
      <c r="BY1391" s="714"/>
      <c r="BZ1391" s="715"/>
      <c r="CA1391" s="716"/>
      <c r="CB1391" s="717"/>
      <c r="CC1391" s="717"/>
      <c r="CD1391" s="717"/>
      <c r="CE1391" s="717"/>
      <c r="CF1391" s="717"/>
      <c r="CG1391" s="717"/>
      <c r="CH1391" s="717"/>
      <c r="CI1391" s="717"/>
      <c r="CJ1391" s="717"/>
      <c r="CK1391" s="717"/>
      <c r="CL1391" s="717"/>
      <c r="CM1391" s="717"/>
      <c r="CN1391" s="717"/>
      <c r="CO1391" s="717"/>
      <c r="CP1391" s="717"/>
      <c r="CQ1391" s="717"/>
      <c r="CR1391" s="717"/>
      <c r="CS1391" s="717"/>
      <c r="CT1391" s="717"/>
      <c r="CU1391" s="717"/>
      <c r="CV1391" s="717"/>
      <c r="CW1391" s="717"/>
      <c r="CX1391" s="717"/>
      <c r="CY1391" s="717"/>
      <c r="CZ1391" s="717"/>
      <c r="DA1391" s="717"/>
      <c r="DB1391" s="717"/>
      <c r="DC1391" s="717"/>
      <c r="DD1391" s="717"/>
      <c r="DE1391" s="717"/>
      <c r="DF1391" s="717"/>
      <c r="DG1391" s="717"/>
      <c r="DH1391" s="717"/>
      <c r="DI1391" s="717"/>
      <c r="DJ1391" s="717"/>
      <c r="DM1391" s="711"/>
      <c r="DN1391" s="711"/>
      <c r="DO1391" s="711"/>
      <c r="DP1391" s="711"/>
      <c r="DQ1391" s="711"/>
    </row>
    <row r="1392" spans="13:121" s="709" customFormat="1" hidden="1">
      <c r="M1392" s="710"/>
      <c r="P1392" s="711"/>
      <c r="Q1392" s="712"/>
      <c r="U1392" s="711"/>
      <c r="V1392" s="711"/>
      <c r="W1392" s="711"/>
      <c r="X1392" s="711"/>
      <c r="Y1392" s="711"/>
      <c r="Z1392" s="711"/>
      <c r="AU1392" s="713"/>
      <c r="AW1392" s="712"/>
      <c r="BY1392" s="714"/>
      <c r="BZ1392" s="715"/>
      <c r="CA1392" s="716"/>
      <c r="CB1392" s="717"/>
      <c r="CC1392" s="717"/>
      <c r="CD1392" s="717"/>
      <c r="CE1392" s="717"/>
      <c r="CF1392" s="717"/>
      <c r="CG1392" s="717"/>
      <c r="CH1392" s="717"/>
      <c r="CI1392" s="717"/>
      <c r="CJ1392" s="717"/>
      <c r="CK1392" s="717"/>
      <c r="CL1392" s="717"/>
      <c r="CM1392" s="717"/>
      <c r="CN1392" s="717"/>
      <c r="CO1392" s="717"/>
      <c r="CP1392" s="717"/>
      <c r="CQ1392" s="717"/>
      <c r="CR1392" s="717"/>
      <c r="CS1392" s="717"/>
      <c r="CT1392" s="717"/>
      <c r="CU1392" s="717"/>
      <c r="CV1392" s="717"/>
      <c r="CW1392" s="717"/>
      <c r="CX1392" s="717"/>
      <c r="CY1392" s="717"/>
      <c r="CZ1392" s="717"/>
      <c r="DA1392" s="717"/>
      <c r="DB1392" s="717"/>
      <c r="DC1392" s="717"/>
      <c r="DD1392" s="717"/>
      <c r="DE1392" s="717"/>
      <c r="DF1392" s="717"/>
      <c r="DG1392" s="717"/>
      <c r="DH1392" s="717"/>
      <c r="DI1392" s="717"/>
      <c r="DJ1392" s="717"/>
      <c r="DM1392" s="711"/>
      <c r="DN1392" s="711"/>
      <c r="DO1392" s="711"/>
      <c r="DP1392" s="711"/>
      <c r="DQ1392" s="711"/>
    </row>
    <row r="1393" spans="13:121" s="709" customFormat="1" hidden="1">
      <c r="M1393" s="710"/>
      <c r="P1393" s="711"/>
      <c r="Q1393" s="712"/>
      <c r="U1393" s="711"/>
      <c r="V1393" s="711"/>
      <c r="W1393" s="711"/>
      <c r="X1393" s="711"/>
      <c r="Y1393" s="711"/>
      <c r="Z1393" s="711"/>
      <c r="AU1393" s="713"/>
      <c r="AW1393" s="712"/>
      <c r="BY1393" s="714"/>
      <c r="BZ1393" s="715"/>
      <c r="CA1393" s="716"/>
      <c r="CB1393" s="717"/>
      <c r="CC1393" s="717"/>
      <c r="CD1393" s="717"/>
      <c r="CE1393" s="717"/>
      <c r="CF1393" s="717"/>
      <c r="CG1393" s="717"/>
      <c r="CH1393" s="717"/>
      <c r="CI1393" s="717"/>
      <c r="CJ1393" s="717"/>
      <c r="CK1393" s="717"/>
      <c r="CL1393" s="717"/>
      <c r="CM1393" s="717"/>
      <c r="CN1393" s="717"/>
      <c r="CO1393" s="717"/>
      <c r="CP1393" s="717"/>
      <c r="CQ1393" s="717"/>
      <c r="CR1393" s="717"/>
      <c r="CS1393" s="717"/>
      <c r="CT1393" s="717"/>
      <c r="CU1393" s="717"/>
      <c r="CV1393" s="717"/>
      <c r="CW1393" s="717"/>
      <c r="CX1393" s="717"/>
      <c r="CY1393" s="717"/>
      <c r="CZ1393" s="717"/>
      <c r="DA1393" s="717"/>
      <c r="DB1393" s="717"/>
      <c r="DC1393" s="717"/>
      <c r="DD1393" s="717"/>
      <c r="DE1393" s="717"/>
      <c r="DF1393" s="717"/>
      <c r="DG1393" s="717"/>
      <c r="DH1393" s="717"/>
      <c r="DI1393" s="717"/>
      <c r="DJ1393" s="717"/>
      <c r="DM1393" s="711"/>
      <c r="DN1393" s="711"/>
      <c r="DO1393" s="711"/>
      <c r="DP1393" s="711"/>
      <c r="DQ1393" s="711"/>
    </row>
    <row r="1394" spans="13:121" s="709" customFormat="1" hidden="1">
      <c r="M1394" s="710"/>
      <c r="P1394" s="711"/>
      <c r="Q1394" s="712"/>
      <c r="U1394" s="711"/>
      <c r="V1394" s="711"/>
      <c r="W1394" s="711"/>
      <c r="X1394" s="711"/>
      <c r="Y1394" s="711"/>
      <c r="Z1394" s="711"/>
      <c r="AU1394" s="713"/>
      <c r="AW1394" s="712"/>
      <c r="BY1394" s="714"/>
      <c r="BZ1394" s="715"/>
      <c r="CA1394" s="716"/>
      <c r="CB1394" s="717"/>
      <c r="CC1394" s="717"/>
      <c r="CD1394" s="717"/>
      <c r="CE1394" s="717"/>
      <c r="CF1394" s="717"/>
      <c r="CG1394" s="717"/>
      <c r="CH1394" s="717"/>
      <c r="CI1394" s="717"/>
      <c r="CJ1394" s="717"/>
      <c r="CK1394" s="717"/>
      <c r="CL1394" s="717"/>
      <c r="CM1394" s="717"/>
      <c r="CN1394" s="717"/>
      <c r="CO1394" s="717"/>
      <c r="CP1394" s="717"/>
      <c r="CQ1394" s="717"/>
      <c r="CR1394" s="717"/>
      <c r="CS1394" s="717"/>
      <c r="CT1394" s="717"/>
      <c r="CU1394" s="717"/>
      <c r="CV1394" s="717"/>
      <c r="CW1394" s="717"/>
      <c r="CX1394" s="717"/>
      <c r="CY1394" s="717"/>
      <c r="CZ1394" s="717"/>
      <c r="DA1394" s="717"/>
      <c r="DB1394" s="717"/>
      <c r="DC1394" s="717"/>
      <c r="DD1394" s="717"/>
      <c r="DE1394" s="717"/>
      <c r="DF1394" s="717"/>
      <c r="DG1394" s="717"/>
      <c r="DH1394" s="717"/>
      <c r="DI1394" s="717"/>
      <c r="DJ1394" s="717"/>
      <c r="DM1394" s="711"/>
      <c r="DN1394" s="711"/>
      <c r="DO1394" s="711"/>
      <c r="DP1394" s="711"/>
      <c r="DQ1394" s="711"/>
    </row>
    <row r="1395" spans="13:121" s="709" customFormat="1" hidden="1">
      <c r="M1395" s="710"/>
      <c r="P1395" s="711"/>
      <c r="Q1395" s="712"/>
      <c r="U1395" s="711"/>
      <c r="V1395" s="711"/>
      <c r="W1395" s="711"/>
      <c r="X1395" s="711"/>
      <c r="Y1395" s="711"/>
      <c r="Z1395" s="711"/>
      <c r="AU1395" s="713"/>
      <c r="AW1395" s="712"/>
      <c r="BY1395" s="714"/>
      <c r="BZ1395" s="715"/>
      <c r="CA1395" s="716"/>
      <c r="CB1395" s="717"/>
      <c r="CC1395" s="717"/>
      <c r="CD1395" s="717"/>
      <c r="CE1395" s="717"/>
      <c r="CF1395" s="717"/>
      <c r="CG1395" s="717"/>
      <c r="CH1395" s="717"/>
      <c r="CI1395" s="717"/>
      <c r="CJ1395" s="717"/>
      <c r="CK1395" s="717"/>
      <c r="CL1395" s="717"/>
      <c r="CM1395" s="717"/>
      <c r="CN1395" s="717"/>
      <c r="CO1395" s="717"/>
      <c r="CP1395" s="717"/>
      <c r="CQ1395" s="717"/>
      <c r="CR1395" s="717"/>
      <c r="CS1395" s="717"/>
      <c r="CT1395" s="717"/>
      <c r="CU1395" s="717"/>
      <c r="CV1395" s="717"/>
      <c r="CW1395" s="717"/>
      <c r="CX1395" s="717"/>
      <c r="CY1395" s="717"/>
      <c r="CZ1395" s="717"/>
      <c r="DA1395" s="717"/>
      <c r="DB1395" s="717"/>
      <c r="DC1395" s="717"/>
      <c r="DD1395" s="717"/>
      <c r="DE1395" s="717"/>
      <c r="DF1395" s="717"/>
      <c r="DG1395" s="717"/>
      <c r="DH1395" s="717"/>
      <c r="DI1395" s="717"/>
      <c r="DJ1395" s="717"/>
      <c r="DM1395" s="711"/>
      <c r="DN1395" s="711"/>
      <c r="DO1395" s="711"/>
      <c r="DP1395" s="711"/>
      <c r="DQ1395" s="711"/>
    </row>
    <row r="1396" spans="13:121" s="709" customFormat="1" hidden="1">
      <c r="M1396" s="710"/>
      <c r="P1396" s="711"/>
      <c r="Q1396" s="712"/>
      <c r="U1396" s="711"/>
      <c r="V1396" s="711"/>
      <c r="W1396" s="711"/>
      <c r="X1396" s="711"/>
      <c r="Y1396" s="711"/>
      <c r="Z1396" s="711"/>
      <c r="AU1396" s="713"/>
      <c r="AW1396" s="712"/>
      <c r="BY1396" s="714"/>
      <c r="BZ1396" s="715"/>
      <c r="CA1396" s="716"/>
      <c r="CB1396" s="717"/>
      <c r="CC1396" s="717"/>
      <c r="CD1396" s="717"/>
      <c r="CE1396" s="717"/>
      <c r="CF1396" s="717"/>
      <c r="CG1396" s="717"/>
      <c r="CH1396" s="717"/>
      <c r="CI1396" s="717"/>
      <c r="CJ1396" s="717"/>
      <c r="CK1396" s="717"/>
      <c r="CL1396" s="717"/>
      <c r="CM1396" s="717"/>
      <c r="CN1396" s="717"/>
      <c r="CO1396" s="717"/>
      <c r="CP1396" s="717"/>
      <c r="CQ1396" s="717"/>
      <c r="CR1396" s="717"/>
      <c r="CS1396" s="717"/>
      <c r="CT1396" s="717"/>
      <c r="CU1396" s="717"/>
      <c r="CV1396" s="717"/>
      <c r="CW1396" s="717"/>
      <c r="CX1396" s="717"/>
      <c r="CY1396" s="717"/>
      <c r="CZ1396" s="717"/>
      <c r="DA1396" s="717"/>
      <c r="DB1396" s="717"/>
      <c r="DC1396" s="717"/>
      <c r="DD1396" s="717"/>
      <c r="DE1396" s="717"/>
      <c r="DF1396" s="717"/>
      <c r="DG1396" s="717"/>
      <c r="DH1396" s="717"/>
      <c r="DI1396" s="717"/>
      <c r="DJ1396" s="717"/>
      <c r="DM1396" s="711"/>
      <c r="DN1396" s="711"/>
      <c r="DO1396" s="711"/>
      <c r="DP1396" s="711"/>
      <c r="DQ1396" s="711"/>
    </row>
    <row r="1397" spans="13:121" s="709" customFormat="1" hidden="1">
      <c r="M1397" s="710"/>
      <c r="P1397" s="711"/>
      <c r="Q1397" s="712"/>
      <c r="U1397" s="711"/>
      <c r="V1397" s="711"/>
      <c r="W1397" s="711"/>
      <c r="X1397" s="711"/>
      <c r="Y1397" s="711"/>
      <c r="Z1397" s="711"/>
      <c r="AU1397" s="713"/>
      <c r="AW1397" s="712"/>
      <c r="BY1397" s="714"/>
      <c r="BZ1397" s="715"/>
      <c r="CA1397" s="716"/>
      <c r="CB1397" s="717"/>
      <c r="CC1397" s="717"/>
      <c r="CD1397" s="717"/>
      <c r="CE1397" s="717"/>
      <c r="CF1397" s="717"/>
      <c r="CG1397" s="717"/>
      <c r="CH1397" s="717"/>
      <c r="CI1397" s="717"/>
      <c r="CJ1397" s="717"/>
      <c r="CK1397" s="717"/>
      <c r="CL1397" s="717"/>
      <c r="CM1397" s="717"/>
      <c r="CN1397" s="717"/>
      <c r="CO1397" s="717"/>
      <c r="CP1397" s="717"/>
      <c r="CQ1397" s="717"/>
      <c r="CR1397" s="717"/>
      <c r="CS1397" s="717"/>
      <c r="CT1397" s="717"/>
      <c r="CU1397" s="717"/>
      <c r="CV1397" s="717"/>
      <c r="CW1397" s="717"/>
      <c r="CX1397" s="717"/>
      <c r="CY1397" s="717"/>
      <c r="CZ1397" s="717"/>
      <c r="DA1397" s="717"/>
      <c r="DB1397" s="717"/>
      <c r="DC1397" s="717"/>
      <c r="DD1397" s="717"/>
      <c r="DE1397" s="717"/>
      <c r="DF1397" s="717"/>
      <c r="DG1397" s="717"/>
      <c r="DH1397" s="717"/>
      <c r="DI1397" s="717"/>
      <c r="DJ1397" s="717"/>
      <c r="DM1397" s="711"/>
      <c r="DN1397" s="711"/>
      <c r="DO1397" s="711"/>
      <c r="DP1397" s="711"/>
      <c r="DQ1397" s="711"/>
    </row>
    <row r="1398" spans="13:121" s="709" customFormat="1" hidden="1">
      <c r="M1398" s="710"/>
      <c r="P1398" s="711"/>
      <c r="Q1398" s="712"/>
      <c r="U1398" s="711"/>
      <c r="V1398" s="711"/>
      <c r="W1398" s="711"/>
      <c r="X1398" s="711"/>
      <c r="Y1398" s="711"/>
      <c r="Z1398" s="711"/>
      <c r="AU1398" s="713"/>
      <c r="AW1398" s="712"/>
      <c r="BY1398" s="714"/>
      <c r="BZ1398" s="715"/>
      <c r="CA1398" s="716"/>
      <c r="CB1398" s="717"/>
      <c r="CC1398" s="717"/>
      <c r="CD1398" s="717"/>
      <c r="CE1398" s="717"/>
      <c r="CF1398" s="717"/>
      <c r="CG1398" s="717"/>
      <c r="CH1398" s="717"/>
      <c r="CI1398" s="717"/>
      <c r="CJ1398" s="717"/>
      <c r="CK1398" s="717"/>
      <c r="CL1398" s="717"/>
      <c r="CM1398" s="717"/>
      <c r="CN1398" s="717"/>
      <c r="CO1398" s="717"/>
      <c r="CP1398" s="717"/>
      <c r="CQ1398" s="717"/>
      <c r="CR1398" s="717"/>
      <c r="CS1398" s="717"/>
      <c r="CT1398" s="717"/>
      <c r="CU1398" s="717"/>
      <c r="CV1398" s="717"/>
      <c r="CW1398" s="717"/>
      <c r="CX1398" s="717"/>
      <c r="CY1398" s="717"/>
      <c r="CZ1398" s="717"/>
      <c r="DA1398" s="717"/>
      <c r="DB1398" s="717"/>
      <c r="DC1398" s="717"/>
      <c r="DD1398" s="717"/>
      <c r="DE1398" s="717"/>
      <c r="DF1398" s="717"/>
      <c r="DG1398" s="717"/>
      <c r="DH1398" s="717"/>
      <c r="DI1398" s="717"/>
      <c r="DJ1398" s="717"/>
      <c r="DM1398" s="711"/>
      <c r="DN1398" s="711"/>
      <c r="DO1398" s="711"/>
      <c r="DP1398" s="711"/>
      <c r="DQ1398" s="711"/>
    </row>
    <row r="1399" spans="13:121" s="709" customFormat="1" hidden="1">
      <c r="M1399" s="710"/>
      <c r="P1399" s="711"/>
      <c r="Q1399" s="712"/>
      <c r="U1399" s="711"/>
      <c r="V1399" s="711"/>
      <c r="W1399" s="711"/>
      <c r="X1399" s="711"/>
      <c r="Y1399" s="711"/>
      <c r="Z1399" s="711"/>
      <c r="AU1399" s="713"/>
      <c r="AW1399" s="712"/>
      <c r="BY1399" s="714"/>
      <c r="BZ1399" s="715"/>
      <c r="CA1399" s="716"/>
      <c r="CB1399" s="717"/>
      <c r="CC1399" s="717"/>
      <c r="CD1399" s="717"/>
      <c r="CE1399" s="717"/>
      <c r="CF1399" s="717"/>
      <c r="CG1399" s="717"/>
      <c r="CH1399" s="717"/>
      <c r="CI1399" s="717"/>
      <c r="CJ1399" s="717"/>
      <c r="CK1399" s="717"/>
      <c r="CL1399" s="717"/>
      <c r="CM1399" s="717"/>
      <c r="CN1399" s="717"/>
      <c r="CO1399" s="717"/>
      <c r="CP1399" s="717"/>
      <c r="CQ1399" s="717"/>
      <c r="CR1399" s="717"/>
      <c r="CS1399" s="717"/>
      <c r="CT1399" s="717"/>
      <c r="CU1399" s="717"/>
      <c r="CV1399" s="717"/>
      <c r="CW1399" s="717"/>
      <c r="CX1399" s="717"/>
      <c r="CY1399" s="717"/>
      <c r="CZ1399" s="717"/>
      <c r="DA1399" s="717"/>
      <c r="DB1399" s="717"/>
      <c r="DC1399" s="717"/>
      <c r="DD1399" s="717"/>
      <c r="DE1399" s="717"/>
      <c r="DF1399" s="717"/>
      <c r="DG1399" s="717"/>
      <c r="DH1399" s="717"/>
      <c r="DI1399" s="717"/>
      <c r="DJ1399" s="717"/>
      <c r="DM1399" s="711"/>
      <c r="DN1399" s="711"/>
      <c r="DO1399" s="711"/>
      <c r="DP1399" s="711"/>
      <c r="DQ1399" s="711"/>
    </row>
    <row r="1400" spans="13:121" s="709" customFormat="1" hidden="1">
      <c r="M1400" s="710"/>
      <c r="P1400" s="711"/>
      <c r="Q1400" s="712"/>
      <c r="U1400" s="711"/>
      <c r="V1400" s="711"/>
      <c r="W1400" s="711"/>
      <c r="X1400" s="711"/>
      <c r="Y1400" s="711"/>
      <c r="Z1400" s="711"/>
      <c r="AU1400" s="713"/>
      <c r="AW1400" s="712"/>
      <c r="BY1400" s="714"/>
      <c r="BZ1400" s="715"/>
      <c r="CA1400" s="716"/>
      <c r="CB1400" s="717"/>
      <c r="CC1400" s="717"/>
      <c r="CD1400" s="717"/>
      <c r="CE1400" s="717"/>
      <c r="CF1400" s="717"/>
      <c r="CG1400" s="717"/>
      <c r="CH1400" s="717"/>
      <c r="CI1400" s="717"/>
      <c r="CJ1400" s="717"/>
      <c r="CK1400" s="717"/>
      <c r="CL1400" s="717"/>
      <c r="CM1400" s="717"/>
      <c r="CN1400" s="717"/>
      <c r="CO1400" s="717"/>
      <c r="CP1400" s="717"/>
      <c r="CQ1400" s="717"/>
      <c r="CR1400" s="717"/>
      <c r="CS1400" s="717"/>
      <c r="CT1400" s="717"/>
      <c r="CU1400" s="717"/>
      <c r="CV1400" s="717"/>
      <c r="CW1400" s="717"/>
      <c r="CX1400" s="717"/>
      <c r="CY1400" s="717"/>
      <c r="CZ1400" s="717"/>
      <c r="DA1400" s="717"/>
      <c r="DB1400" s="717"/>
      <c r="DC1400" s="717"/>
      <c r="DD1400" s="717"/>
      <c r="DE1400" s="717"/>
      <c r="DF1400" s="717"/>
      <c r="DG1400" s="717"/>
      <c r="DH1400" s="717"/>
      <c r="DI1400" s="717"/>
      <c r="DJ1400" s="717"/>
      <c r="DM1400" s="711"/>
      <c r="DN1400" s="711"/>
      <c r="DO1400" s="711"/>
      <c r="DP1400" s="711"/>
      <c r="DQ1400" s="711"/>
    </row>
    <row r="1401" spans="13:121" s="709" customFormat="1" hidden="1">
      <c r="M1401" s="710"/>
      <c r="P1401" s="711"/>
      <c r="Q1401" s="712"/>
      <c r="U1401" s="711"/>
      <c r="V1401" s="711"/>
      <c r="W1401" s="711"/>
      <c r="X1401" s="711"/>
      <c r="Y1401" s="711"/>
      <c r="Z1401" s="711"/>
      <c r="AU1401" s="713"/>
      <c r="AW1401" s="712"/>
      <c r="BY1401" s="714"/>
      <c r="BZ1401" s="715"/>
      <c r="CA1401" s="716"/>
      <c r="CB1401" s="717"/>
      <c r="CC1401" s="717"/>
      <c r="CD1401" s="717"/>
      <c r="CE1401" s="717"/>
      <c r="CF1401" s="717"/>
      <c r="CG1401" s="717"/>
      <c r="CH1401" s="717"/>
      <c r="CI1401" s="717"/>
      <c r="CJ1401" s="717"/>
      <c r="CK1401" s="717"/>
      <c r="CL1401" s="717"/>
      <c r="CM1401" s="717"/>
      <c r="CN1401" s="717"/>
      <c r="CO1401" s="717"/>
      <c r="CP1401" s="717"/>
      <c r="CQ1401" s="717"/>
      <c r="CR1401" s="717"/>
      <c r="CS1401" s="717"/>
      <c r="CT1401" s="717"/>
      <c r="CU1401" s="717"/>
      <c r="CV1401" s="717"/>
      <c r="CW1401" s="717"/>
      <c r="CX1401" s="717"/>
      <c r="CY1401" s="717"/>
      <c r="CZ1401" s="717"/>
      <c r="DA1401" s="717"/>
      <c r="DB1401" s="717"/>
      <c r="DC1401" s="717"/>
      <c r="DD1401" s="717"/>
      <c r="DE1401" s="717"/>
      <c r="DF1401" s="717"/>
      <c r="DG1401" s="717"/>
      <c r="DH1401" s="717"/>
      <c r="DI1401" s="717"/>
      <c r="DJ1401" s="717"/>
      <c r="DM1401" s="711"/>
      <c r="DN1401" s="711"/>
      <c r="DO1401" s="711"/>
      <c r="DP1401" s="711"/>
      <c r="DQ1401" s="711"/>
    </row>
    <row r="1402" spans="13:121" s="709" customFormat="1" hidden="1">
      <c r="M1402" s="710"/>
      <c r="P1402" s="711"/>
      <c r="Q1402" s="712"/>
      <c r="U1402" s="711"/>
      <c r="V1402" s="711"/>
      <c r="W1402" s="711"/>
      <c r="X1402" s="711"/>
      <c r="Y1402" s="711"/>
      <c r="Z1402" s="711"/>
      <c r="AU1402" s="713"/>
      <c r="AW1402" s="712"/>
      <c r="BY1402" s="714"/>
      <c r="BZ1402" s="715"/>
      <c r="CA1402" s="716"/>
      <c r="CB1402" s="717"/>
      <c r="CC1402" s="717"/>
      <c r="CD1402" s="717"/>
      <c r="CE1402" s="717"/>
      <c r="CF1402" s="717"/>
      <c r="CG1402" s="717"/>
      <c r="CH1402" s="717"/>
      <c r="CI1402" s="717"/>
      <c r="CJ1402" s="717"/>
      <c r="CK1402" s="717"/>
      <c r="CL1402" s="717"/>
      <c r="CM1402" s="717"/>
      <c r="CN1402" s="717"/>
      <c r="CO1402" s="717"/>
      <c r="CP1402" s="717"/>
      <c r="CQ1402" s="717"/>
      <c r="CR1402" s="717"/>
      <c r="CS1402" s="717"/>
      <c r="CT1402" s="717"/>
      <c r="CU1402" s="717"/>
      <c r="CV1402" s="717"/>
      <c r="CW1402" s="717"/>
      <c r="CX1402" s="717"/>
      <c r="CY1402" s="717"/>
      <c r="CZ1402" s="717"/>
      <c r="DA1402" s="717"/>
      <c r="DB1402" s="717"/>
      <c r="DC1402" s="717"/>
      <c r="DD1402" s="717"/>
      <c r="DE1402" s="717"/>
      <c r="DF1402" s="717"/>
      <c r="DG1402" s="717"/>
      <c r="DH1402" s="717"/>
      <c r="DI1402" s="717"/>
      <c r="DJ1402" s="717"/>
      <c r="DM1402" s="711"/>
      <c r="DN1402" s="711"/>
      <c r="DO1402" s="711"/>
      <c r="DP1402" s="711"/>
      <c r="DQ1402" s="711"/>
    </row>
    <row r="1403" spans="13:121" s="709" customFormat="1" hidden="1">
      <c r="M1403" s="710"/>
      <c r="P1403" s="711"/>
      <c r="Q1403" s="712"/>
      <c r="U1403" s="711"/>
      <c r="V1403" s="711"/>
      <c r="W1403" s="711"/>
      <c r="X1403" s="711"/>
      <c r="Y1403" s="711"/>
      <c r="Z1403" s="711"/>
      <c r="AU1403" s="713"/>
      <c r="AW1403" s="712"/>
      <c r="BY1403" s="714"/>
      <c r="BZ1403" s="715"/>
      <c r="CA1403" s="716"/>
      <c r="CB1403" s="717"/>
      <c r="CC1403" s="717"/>
      <c r="CD1403" s="717"/>
      <c r="CE1403" s="717"/>
      <c r="CF1403" s="717"/>
      <c r="CG1403" s="717"/>
      <c r="CH1403" s="717"/>
      <c r="CI1403" s="717"/>
      <c r="CJ1403" s="717"/>
      <c r="CK1403" s="717"/>
      <c r="CL1403" s="717"/>
      <c r="CM1403" s="717"/>
      <c r="CN1403" s="717"/>
      <c r="CO1403" s="717"/>
      <c r="CP1403" s="717"/>
      <c r="CQ1403" s="717"/>
      <c r="CR1403" s="717"/>
      <c r="CS1403" s="717"/>
      <c r="CT1403" s="717"/>
      <c r="CU1403" s="717"/>
      <c r="CV1403" s="717"/>
      <c r="CW1403" s="717"/>
      <c r="CX1403" s="717"/>
      <c r="CY1403" s="717"/>
      <c r="CZ1403" s="717"/>
      <c r="DA1403" s="717"/>
      <c r="DB1403" s="717"/>
      <c r="DC1403" s="717"/>
      <c r="DD1403" s="717"/>
      <c r="DE1403" s="717"/>
      <c r="DF1403" s="717"/>
      <c r="DG1403" s="717"/>
      <c r="DH1403" s="717"/>
      <c r="DI1403" s="717"/>
      <c r="DJ1403" s="717"/>
      <c r="DM1403" s="711"/>
      <c r="DN1403" s="711"/>
      <c r="DO1403" s="711"/>
      <c r="DP1403" s="711"/>
      <c r="DQ1403" s="711"/>
    </row>
    <row r="1404" spans="13:121" s="709" customFormat="1" hidden="1">
      <c r="M1404" s="710"/>
      <c r="P1404" s="711"/>
      <c r="Q1404" s="712"/>
      <c r="U1404" s="711"/>
      <c r="V1404" s="711"/>
      <c r="W1404" s="711"/>
      <c r="X1404" s="711"/>
      <c r="Y1404" s="711"/>
      <c r="Z1404" s="711"/>
      <c r="AU1404" s="713"/>
      <c r="AW1404" s="712"/>
      <c r="BY1404" s="714"/>
      <c r="BZ1404" s="715"/>
      <c r="CA1404" s="716"/>
      <c r="CB1404" s="717"/>
      <c r="CC1404" s="717"/>
      <c r="CD1404" s="717"/>
      <c r="CE1404" s="717"/>
      <c r="CF1404" s="717"/>
      <c r="CG1404" s="717"/>
      <c r="CH1404" s="717"/>
      <c r="CI1404" s="717"/>
      <c r="CJ1404" s="717"/>
      <c r="CK1404" s="717"/>
      <c r="CL1404" s="717"/>
      <c r="CM1404" s="717"/>
      <c r="CN1404" s="717"/>
      <c r="CO1404" s="717"/>
      <c r="CP1404" s="717"/>
      <c r="CQ1404" s="717"/>
      <c r="CR1404" s="717"/>
      <c r="CS1404" s="717"/>
      <c r="CT1404" s="717"/>
      <c r="CU1404" s="717"/>
      <c r="CV1404" s="717"/>
      <c r="CW1404" s="717"/>
      <c r="CX1404" s="717"/>
      <c r="CY1404" s="717"/>
      <c r="CZ1404" s="717"/>
      <c r="DA1404" s="717"/>
      <c r="DB1404" s="717"/>
      <c r="DC1404" s="717"/>
      <c r="DD1404" s="717"/>
      <c r="DE1404" s="717"/>
      <c r="DF1404" s="717"/>
      <c r="DG1404" s="717"/>
      <c r="DH1404" s="717"/>
      <c r="DI1404" s="717"/>
      <c r="DJ1404" s="717"/>
      <c r="DM1404" s="711"/>
      <c r="DN1404" s="711"/>
      <c r="DO1404" s="711"/>
      <c r="DP1404" s="711"/>
      <c r="DQ1404" s="711"/>
    </row>
    <row r="1405" spans="13:121" s="709" customFormat="1" hidden="1">
      <c r="M1405" s="710"/>
      <c r="P1405" s="711"/>
      <c r="Q1405" s="712"/>
      <c r="U1405" s="711"/>
      <c r="V1405" s="711"/>
      <c r="W1405" s="711"/>
      <c r="X1405" s="711"/>
      <c r="Y1405" s="711"/>
      <c r="Z1405" s="711"/>
      <c r="AU1405" s="713"/>
      <c r="AW1405" s="712"/>
      <c r="BY1405" s="714"/>
      <c r="BZ1405" s="715"/>
      <c r="CA1405" s="716"/>
      <c r="CB1405" s="717"/>
      <c r="CC1405" s="717"/>
      <c r="CD1405" s="717"/>
      <c r="CE1405" s="717"/>
      <c r="CF1405" s="717"/>
      <c r="CG1405" s="717"/>
      <c r="CH1405" s="717"/>
      <c r="CI1405" s="717"/>
      <c r="CJ1405" s="717"/>
      <c r="CK1405" s="717"/>
      <c r="CL1405" s="717"/>
      <c r="CM1405" s="717"/>
      <c r="CN1405" s="717"/>
      <c r="CO1405" s="717"/>
      <c r="CP1405" s="717"/>
      <c r="CQ1405" s="717"/>
      <c r="CR1405" s="717"/>
      <c r="CS1405" s="717"/>
      <c r="CT1405" s="717"/>
      <c r="CU1405" s="717"/>
      <c r="CV1405" s="717"/>
      <c r="CW1405" s="717"/>
      <c r="CX1405" s="717"/>
      <c r="CY1405" s="717"/>
      <c r="CZ1405" s="717"/>
      <c r="DA1405" s="717"/>
      <c r="DB1405" s="717"/>
      <c r="DC1405" s="717"/>
      <c r="DD1405" s="717"/>
      <c r="DE1405" s="717"/>
      <c r="DF1405" s="717"/>
      <c r="DG1405" s="717"/>
      <c r="DH1405" s="717"/>
      <c r="DI1405" s="717"/>
      <c r="DJ1405" s="717"/>
      <c r="DM1405" s="711"/>
      <c r="DN1405" s="711"/>
      <c r="DO1405" s="711"/>
      <c r="DP1405" s="711"/>
      <c r="DQ1405" s="711"/>
    </row>
    <row r="1406" spans="13:121" s="709" customFormat="1" hidden="1">
      <c r="M1406" s="710"/>
      <c r="P1406" s="711"/>
      <c r="Q1406" s="712"/>
      <c r="U1406" s="711"/>
      <c r="V1406" s="711"/>
      <c r="W1406" s="711"/>
      <c r="X1406" s="711"/>
      <c r="Y1406" s="711"/>
      <c r="Z1406" s="711"/>
      <c r="AU1406" s="713"/>
      <c r="AW1406" s="712"/>
      <c r="BY1406" s="714"/>
      <c r="BZ1406" s="715"/>
      <c r="CA1406" s="716"/>
      <c r="CB1406" s="717"/>
      <c r="CC1406" s="717"/>
      <c r="CD1406" s="717"/>
      <c r="CE1406" s="717"/>
      <c r="CF1406" s="717"/>
      <c r="CG1406" s="717"/>
      <c r="CH1406" s="717"/>
      <c r="CI1406" s="717"/>
      <c r="CJ1406" s="717"/>
      <c r="CK1406" s="717"/>
      <c r="CL1406" s="717"/>
      <c r="CM1406" s="717"/>
      <c r="CN1406" s="717"/>
      <c r="CO1406" s="717"/>
      <c r="CP1406" s="717"/>
      <c r="CQ1406" s="717"/>
      <c r="CR1406" s="717"/>
      <c r="CS1406" s="717"/>
      <c r="CT1406" s="717"/>
      <c r="CU1406" s="717"/>
      <c r="CV1406" s="717"/>
      <c r="CW1406" s="717"/>
      <c r="CX1406" s="717"/>
      <c r="CY1406" s="717"/>
      <c r="CZ1406" s="717"/>
      <c r="DA1406" s="717"/>
      <c r="DB1406" s="717"/>
      <c r="DC1406" s="717"/>
      <c r="DD1406" s="717"/>
      <c r="DE1406" s="717"/>
      <c r="DF1406" s="717"/>
      <c r="DG1406" s="717"/>
      <c r="DH1406" s="717"/>
      <c r="DI1406" s="717"/>
      <c r="DJ1406" s="717"/>
      <c r="DM1406" s="711"/>
      <c r="DN1406" s="711"/>
      <c r="DO1406" s="711"/>
      <c r="DP1406" s="711"/>
      <c r="DQ1406" s="711"/>
    </row>
    <row r="1407" spans="13:121" s="709" customFormat="1" hidden="1">
      <c r="M1407" s="710"/>
      <c r="P1407" s="711"/>
      <c r="Q1407" s="712"/>
      <c r="U1407" s="711"/>
      <c r="V1407" s="711"/>
      <c r="W1407" s="711"/>
      <c r="X1407" s="711"/>
      <c r="Y1407" s="711"/>
      <c r="Z1407" s="711"/>
      <c r="AU1407" s="713"/>
      <c r="AW1407" s="712"/>
      <c r="BY1407" s="714"/>
      <c r="BZ1407" s="715"/>
      <c r="CA1407" s="716"/>
      <c r="CB1407" s="717"/>
      <c r="CC1407" s="717"/>
      <c r="CD1407" s="717"/>
      <c r="CE1407" s="717"/>
      <c r="CF1407" s="717"/>
      <c r="CG1407" s="717"/>
      <c r="CH1407" s="717"/>
      <c r="CI1407" s="717"/>
      <c r="CJ1407" s="717"/>
      <c r="CK1407" s="717"/>
      <c r="CL1407" s="717"/>
      <c r="CM1407" s="717"/>
      <c r="CN1407" s="717"/>
      <c r="CO1407" s="717"/>
      <c r="CP1407" s="717"/>
      <c r="CQ1407" s="717"/>
      <c r="CR1407" s="717"/>
      <c r="CS1407" s="717"/>
      <c r="CT1407" s="717"/>
      <c r="CU1407" s="717"/>
      <c r="CV1407" s="717"/>
      <c r="CW1407" s="717"/>
      <c r="CX1407" s="717"/>
      <c r="CY1407" s="717"/>
      <c r="CZ1407" s="717"/>
      <c r="DA1407" s="717"/>
      <c r="DB1407" s="717"/>
      <c r="DC1407" s="717"/>
      <c r="DD1407" s="717"/>
      <c r="DE1407" s="717"/>
      <c r="DF1407" s="717"/>
      <c r="DG1407" s="717"/>
      <c r="DH1407" s="717"/>
      <c r="DI1407" s="717"/>
      <c r="DJ1407" s="717"/>
      <c r="DM1407" s="711"/>
      <c r="DN1407" s="711"/>
      <c r="DO1407" s="711"/>
      <c r="DP1407" s="711"/>
      <c r="DQ1407" s="711"/>
    </row>
    <row r="1408" spans="13:121" s="709" customFormat="1" hidden="1">
      <c r="M1408" s="710"/>
      <c r="P1408" s="711"/>
      <c r="Q1408" s="712"/>
      <c r="U1408" s="711"/>
      <c r="V1408" s="711"/>
      <c r="W1408" s="711"/>
      <c r="X1408" s="711"/>
      <c r="Y1408" s="711"/>
      <c r="Z1408" s="711"/>
      <c r="AU1408" s="713"/>
      <c r="AW1408" s="712"/>
      <c r="BY1408" s="714"/>
      <c r="BZ1408" s="715"/>
      <c r="CA1408" s="716"/>
      <c r="CB1408" s="717"/>
      <c r="CC1408" s="717"/>
      <c r="CD1408" s="717"/>
      <c r="CE1408" s="717"/>
      <c r="CF1408" s="717"/>
      <c r="CG1408" s="717"/>
      <c r="CH1408" s="717"/>
      <c r="CI1408" s="717"/>
      <c r="CJ1408" s="717"/>
      <c r="CK1408" s="717"/>
      <c r="CL1408" s="717"/>
      <c r="CM1408" s="717"/>
      <c r="CN1408" s="717"/>
      <c r="CO1408" s="717"/>
      <c r="CP1408" s="717"/>
      <c r="CQ1408" s="717"/>
      <c r="CR1408" s="717"/>
      <c r="CS1408" s="717"/>
      <c r="CT1408" s="717"/>
      <c r="CU1408" s="717"/>
      <c r="CV1408" s="717"/>
      <c r="CW1408" s="717"/>
      <c r="CX1408" s="717"/>
      <c r="CY1408" s="717"/>
      <c r="CZ1408" s="717"/>
      <c r="DA1408" s="717"/>
      <c r="DB1408" s="717"/>
      <c r="DC1408" s="717"/>
      <c r="DD1408" s="717"/>
      <c r="DE1408" s="717"/>
      <c r="DF1408" s="717"/>
      <c r="DG1408" s="717"/>
      <c r="DH1408" s="717"/>
      <c r="DI1408" s="717"/>
      <c r="DJ1408" s="717"/>
      <c r="DM1408" s="711"/>
      <c r="DN1408" s="711"/>
      <c r="DO1408" s="711"/>
      <c r="DP1408" s="711"/>
      <c r="DQ1408" s="711"/>
    </row>
    <row r="1409" spans="13:121" s="709" customFormat="1" hidden="1">
      <c r="M1409" s="710"/>
      <c r="P1409" s="711"/>
      <c r="Q1409" s="712"/>
      <c r="U1409" s="711"/>
      <c r="V1409" s="711"/>
      <c r="W1409" s="711"/>
      <c r="X1409" s="711"/>
      <c r="Y1409" s="711"/>
      <c r="Z1409" s="711"/>
      <c r="AU1409" s="713"/>
      <c r="AW1409" s="712"/>
      <c r="BY1409" s="714"/>
      <c r="BZ1409" s="715"/>
      <c r="CA1409" s="716"/>
      <c r="CB1409" s="717"/>
      <c r="CC1409" s="717"/>
      <c r="CD1409" s="717"/>
      <c r="CE1409" s="717"/>
      <c r="CF1409" s="717"/>
      <c r="CG1409" s="717"/>
      <c r="CH1409" s="717"/>
      <c r="CI1409" s="717"/>
      <c r="CJ1409" s="717"/>
      <c r="CK1409" s="717"/>
      <c r="CL1409" s="717"/>
      <c r="CM1409" s="717"/>
      <c r="CN1409" s="717"/>
      <c r="CO1409" s="717"/>
      <c r="CP1409" s="717"/>
      <c r="CQ1409" s="717"/>
      <c r="CR1409" s="717"/>
      <c r="CS1409" s="717"/>
      <c r="CT1409" s="717"/>
      <c r="CU1409" s="717"/>
      <c r="CV1409" s="717"/>
      <c r="CW1409" s="717"/>
      <c r="CX1409" s="717"/>
      <c r="CY1409" s="717"/>
      <c r="CZ1409" s="717"/>
      <c r="DA1409" s="717"/>
      <c r="DB1409" s="717"/>
      <c r="DC1409" s="717"/>
      <c r="DD1409" s="717"/>
      <c r="DE1409" s="717"/>
      <c r="DF1409" s="717"/>
      <c r="DG1409" s="717"/>
      <c r="DH1409" s="717"/>
      <c r="DI1409" s="717"/>
      <c r="DJ1409" s="717"/>
      <c r="DM1409" s="711"/>
      <c r="DN1409" s="711"/>
      <c r="DO1409" s="711"/>
      <c r="DP1409" s="711"/>
      <c r="DQ1409" s="711"/>
    </row>
    <row r="1410" spans="13:121" s="709" customFormat="1" hidden="1">
      <c r="M1410" s="710"/>
      <c r="P1410" s="711"/>
      <c r="Q1410" s="712"/>
      <c r="U1410" s="711"/>
      <c r="V1410" s="711"/>
      <c r="W1410" s="711"/>
      <c r="X1410" s="711"/>
      <c r="Y1410" s="711"/>
      <c r="Z1410" s="711"/>
      <c r="AU1410" s="713"/>
      <c r="AW1410" s="712"/>
      <c r="BY1410" s="714"/>
      <c r="BZ1410" s="715"/>
      <c r="CA1410" s="716"/>
      <c r="CB1410" s="717"/>
      <c r="CC1410" s="717"/>
      <c r="CD1410" s="717"/>
      <c r="CE1410" s="717"/>
      <c r="CF1410" s="717"/>
      <c r="CG1410" s="717"/>
      <c r="CH1410" s="717"/>
      <c r="CI1410" s="717"/>
      <c r="CJ1410" s="717"/>
      <c r="CK1410" s="717"/>
      <c r="CL1410" s="717"/>
      <c r="CM1410" s="717"/>
      <c r="CN1410" s="717"/>
      <c r="CO1410" s="717"/>
      <c r="CP1410" s="717"/>
      <c r="CQ1410" s="717"/>
      <c r="CR1410" s="717"/>
      <c r="CS1410" s="717"/>
      <c r="CT1410" s="717"/>
      <c r="CU1410" s="717"/>
      <c r="CV1410" s="717"/>
      <c r="CW1410" s="717"/>
      <c r="CX1410" s="717"/>
      <c r="CY1410" s="717"/>
      <c r="CZ1410" s="717"/>
      <c r="DA1410" s="717"/>
      <c r="DB1410" s="717"/>
      <c r="DC1410" s="717"/>
      <c r="DD1410" s="717"/>
      <c r="DE1410" s="717"/>
      <c r="DF1410" s="717"/>
      <c r="DG1410" s="717"/>
      <c r="DH1410" s="717"/>
      <c r="DI1410" s="717"/>
      <c r="DJ1410" s="717"/>
      <c r="DM1410" s="711"/>
      <c r="DN1410" s="711"/>
      <c r="DO1410" s="711"/>
      <c r="DP1410" s="711"/>
      <c r="DQ1410" s="711"/>
    </row>
    <row r="1411" spans="13:121" s="709" customFormat="1" hidden="1">
      <c r="M1411" s="710"/>
      <c r="P1411" s="711"/>
      <c r="Q1411" s="712"/>
      <c r="U1411" s="711"/>
      <c r="V1411" s="711"/>
      <c r="W1411" s="711"/>
      <c r="X1411" s="711"/>
      <c r="Y1411" s="711"/>
      <c r="Z1411" s="711"/>
      <c r="AU1411" s="713"/>
      <c r="AW1411" s="712"/>
      <c r="BY1411" s="714"/>
      <c r="BZ1411" s="715"/>
      <c r="CA1411" s="716"/>
      <c r="CB1411" s="717"/>
      <c r="CC1411" s="717"/>
      <c r="CD1411" s="717"/>
      <c r="CE1411" s="717"/>
      <c r="CF1411" s="717"/>
      <c r="CG1411" s="717"/>
      <c r="CH1411" s="717"/>
      <c r="CI1411" s="717"/>
      <c r="CJ1411" s="717"/>
      <c r="CK1411" s="717"/>
      <c r="CL1411" s="717"/>
      <c r="CM1411" s="717"/>
      <c r="CN1411" s="717"/>
      <c r="CO1411" s="717"/>
      <c r="CP1411" s="717"/>
      <c r="CQ1411" s="717"/>
      <c r="CR1411" s="717"/>
      <c r="CS1411" s="717"/>
      <c r="CT1411" s="717"/>
      <c r="CU1411" s="717"/>
      <c r="CV1411" s="717"/>
      <c r="CW1411" s="717"/>
      <c r="CX1411" s="717"/>
      <c r="CY1411" s="717"/>
      <c r="CZ1411" s="717"/>
      <c r="DA1411" s="717"/>
      <c r="DB1411" s="717"/>
      <c r="DC1411" s="717"/>
      <c r="DD1411" s="717"/>
      <c r="DE1411" s="717"/>
      <c r="DF1411" s="717"/>
      <c r="DG1411" s="717"/>
      <c r="DH1411" s="717"/>
      <c r="DI1411" s="717"/>
      <c r="DJ1411" s="717"/>
      <c r="DM1411" s="711"/>
      <c r="DN1411" s="711"/>
      <c r="DO1411" s="711"/>
      <c r="DP1411" s="711"/>
      <c r="DQ1411" s="711"/>
    </row>
    <row r="1412" spans="13:121" s="709" customFormat="1" hidden="1">
      <c r="M1412" s="710"/>
      <c r="P1412" s="711"/>
      <c r="Q1412" s="712"/>
      <c r="U1412" s="711"/>
      <c r="V1412" s="711"/>
      <c r="W1412" s="711"/>
      <c r="X1412" s="711"/>
      <c r="Y1412" s="711"/>
      <c r="Z1412" s="711"/>
      <c r="AU1412" s="713"/>
      <c r="AW1412" s="712"/>
      <c r="BY1412" s="714"/>
      <c r="BZ1412" s="715"/>
      <c r="CA1412" s="716"/>
      <c r="CB1412" s="717"/>
      <c r="CC1412" s="717"/>
      <c r="CD1412" s="717"/>
      <c r="CE1412" s="717"/>
      <c r="CF1412" s="717"/>
      <c r="CG1412" s="717"/>
      <c r="CH1412" s="717"/>
      <c r="CI1412" s="717"/>
      <c r="CJ1412" s="717"/>
      <c r="CK1412" s="717"/>
      <c r="CL1412" s="717"/>
      <c r="CM1412" s="717"/>
      <c r="CN1412" s="717"/>
      <c r="CO1412" s="717"/>
      <c r="CP1412" s="717"/>
      <c r="CQ1412" s="717"/>
      <c r="CR1412" s="717"/>
      <c r="CS1412" s="717"/>
      <c r="CT1412" s="717"/>
      <c r="CU1412" s="717"/>
      <c r="CV1412" s="717"/>
      <c r="CW1412" s="717"/>
      <c r="CX1412" s="717"/>
      <c r="CY1412" s="717"/>
      <c r="CZ1412" s="717"/>
      <c r="DA1412" s="717"/>
      <c r="DB1412" s="717"/>
      <c r="DC1412" s="717"/>
      <c r="DD1412" s="717"/>
      <c r="DE1412" s="717"/>
      <c r="DF1412" s="717"/>
      <c r="DG1412" s="717"/>
      <c r="DH1412" s="717"/>
      <c r="DI1412" s="717"/>
      <c r="DJ1412" s="717"/>
      <c r="DM1412" s="711"/>
      <c r="DN1412" s="711"/>
      <c r="DO1412" s="711"/>
      <c r="DP1412" s="711"/>
      <c r="DQ1412" s="711"/>
    </row>
    <row r="1413" spans="13:121" s="709" customFormat="1" hidden="1">
      <c r="M1413" s="710"/>
      <c r="P1413" s="711"/>
      <c r="Q1413" s="712"/>
      <c r="U1413" s="711"/>
      <c r="V1413" s="711"/>
      <c r="W1413" s="711"/>
      <c r="X1413" s="711"/>
      <c r="Y1413" s="711"/>
      <c r="Z1413" s="711"/>
      <c r="AU1413" s="713"/>
      <c r="AW1413" s="712"/>
      <c r="BY1413" s="714"/>
      <c r="BZ1413" s="715"/>
      <c r="CA1413" s="716"/>
      <c r="CB1413" s="717"/>
      <c r="CC1413" s="717"/>
      <c r="CD1413" s="717"/>
      <c r="CE1413" s="717"/>
      <c r="CF1413" s="717"/>
      <c r="CG1413" s="717"/>
      <c r="CH1413" s="717"/>
      <c r="CI1413" s="717"/>
      <c r="CJ1413" s="717"/>
      <c r="CK1413" s="717"/>
      <c r="CL1413" s="717"/>
      <c r="CM1413" s="717"/>
      <c r="CN1413" s="717"/>
      <c r="CO1413" s="717"/>
      <c r="CP1413" s="717"/>
      <c r="CQ1413" s="717"/>
      <c r="CR1413" s="717"/>
      <c r="CS1413" s="717"/>
      <c r="CT1413" s="717"/>
      <c r="CU1413" s="717"/>
      <c r="CV1413" s="717"/>
      <c r="CW1413" s="717"/>
      <c r="CX1413" s="717"/>
      <c r="CY1413" s="717"/>
      <c r="CZ1413" s="717"/>
      <c r="DA1413" s="717"/>
      <c r="DB1413" s="717"/>
      <c r="DC1413" s="717"/>
      <c r="DD1413" s="717"/>
      <c r="DE1413" s="717"/>
      <c r="DF1413" s="717"/>
      <c r="DG1413" s="717"/>
      <c r="DH1413" s="717"/>
      <c r="DI1413" s="717"/>
      <c r="DJ1413" s="717"/>
      <c r="DM1413" s="711"/>
      <c r="DN1413" s="711"/>
      <c r="DO1413" s="711"/>
      <c r="DP1413" s="711"/>
      <c r="DQ1413" s="711"/>
    </row>
    <row r="1414" spans="13:121" s="709" customFormat="1" hidden="1">
      <c r="M1414" s="710"/>
      <c r="P1414" s="711"/>
      <c r="Q1414" s="712"/>
      <c r="U1414" s="711"/>
      <c r="V1414" s="711"/>
      <c r="W1414" s="711"/>
      <c r="X1414" s="711"/>
      <c r="Y1414" s="711"/>
      <c r="Z1414" s="711"/>
      <c r="AU1414" s="713"/>
      <c r="AW1414" s="712"/>
      <c r="BY1414" s="714"/>
      <c r="BZ1414" s="715"/>
      <c r="CA1414" s="716"/>
      <c r="CB1414" s="717"/>
      <c r="CC1414" s="717"/>
      <c r="CD1414" s="717"/>
      <c r="CE1414" s="717"/>
      <c r="CF1414" s="717"/>
      <c r="CG1414" s="717"/>
      <c r="CH1414" s="717"/>
      <c r="CI1414" s="717"/>
      <c r="CJ1414" s="717"/>
      <c r="CK1414" s="717"/>
      <c r="CL1414" s="717"/>
      <c r="CM1414" s="717"/>
      <c r="CN1414" s="717"/>
      <c r="CO1414" s="717"/>
      <c r="CP1414" s="717"/>
      <c r="CQ1414" s="717"/>
      <c r="CR1414" s="717"/>
      <c r="CS1414" s="717"/>
      <c r="CT1414" s="717"/>
      <c r="CU1414" s="717"/>
      <c r="CV1414" s="717"/>
      <c r="CW1414" s="717"/>
      <c r="CX1414" s="717"/>
      <c r="CY1414" s="717"/>
      <c r="CZ1414" s="717"/>
      <c r="DA1414" s="717"/>
      <c r="DB1414" s="717"/>
      <c r="DC1414" s="717"/>
      <c r="DD1414" s="717"/>
      <c r="DE1414" s="717"/>
      <c r="DF1414" s="717"/>
      <c r="DG1414" s="717"/>
      <c r="DH1414" s="717"/>
      <c r="DI1414" s="717"/>
      <c r="DJ1414" s="717"/>
      <c r="DM1414" s="711"/>
      <c r="DN1414" s="711"/>
      <c r="DO1414" s="711"/>
      <c r="DP1414" s="711"/>
      <c r="DQ1414" s="711"/>
    </row>
    <row r="1415" spans="13:121" s="709" customFormat="1" hidden="1">
      <c r="M1415" s="710"/>
      <c r="P1415" s="711"/>
      <c r="Q1415" s="712"/>
      <c r="U1415" s="711"/>
      <c r="V1415" s="711"/>
      <c r="W1415" s="711"/>
      <c r="X1415" s="711"/>
      <c r="Y1415" s="711"/>
      <c r="Z1415" s="711"/>
      <c r="AU1415" s="713"/>
      <c r="AW1415" s="712"/>
      <c r="BY1415" s="714"/>
      <c r="BZ1415" s="715"/>
      <c r="CA1415" s="716"/>
      <c r="CB1415" s="717"/>
      <c r="CC1415" s="717"/>
      <c r="CD1415" s="717"/>
      <c r="CE1415" s="717"/>
      <c r="CF1415" s="717"/>
      <c r="CG1415" s="717"/>
      <c r="CH1415" s="717"/>
      <c r="CI1415" s="717"/>
      <c r="CJ1415" s="717"/>
      <c r="CK1415" s="717"/>
      <c r="CL1415" s="717"/>
      <c r="CM1415" s="717"/>
      <c r="CN1415" s="717"/>
      <c r="CO1415" s="717"/>
      <c r="CP1415" s="717"/>
      <c r="CQ1415" s="717"/>
      <c r="CR1415" s="717"/>
      <c r="CS1415" s="717"/>
      <c r="CT1415" s="717"/>
      <c r="CU1415" s="717"/>
      <c r="CV1415" s="717"/>
      <c r="CW1415" s="717"/>
      <c r="CX1415" s="717"/>
      <c r="CY1415" s="717"/>
      <c r="CZ1415" s="717"/>
      <c r="DA1415" s="717"/>
      <c r="DB1415" s="717"/>
      <c r="DC1415" s="717"/>
      <c r="DD1415" s="717"/>
      <c r="DE1415" s="717"/>
      <c r="DF1415" s="717"/>
      <c r="DG1415" s="717"/>
      <c r="DH1415" s="717"/>
      <c r="DI1415" s="717"/>
      <c r="DJ1415" s="717"/>
      <c r="DM1415" s="711"/>
      <c r="DN1415" s="711"/>
      <c r="DO1415" s="711"/>
      <c r="DP1415" s="711"/>
      <c r="DQ1415" s="711"/>
    </row>
    <row r="1416" spans="13:121" s="709" customFormat="1" hidden="1">
      <c r="M1416" s="710"/>
      <c r="P1416" s="711"/>
      <c r="Q1416" s="712"/>
      <c r="U1416" s="711"/>
      <c r="V1416" s="711"/>
      <c r="W1416" s="711"/>
      <c r="X1416" s="711"/>
      <c r="Y1416" s="711"/>
      <c r="Z1416" s="711"/>
      <c r="AU1416" s="713"/>
      <c r="AW1416" s="712"/>
      <c r="BY1416" s="714"/>
      <c r="BZ1416" s="715"/>
      <c r="CA1416" s="716"/>
      <c r="CB1416" s="717"/>
      <c r="CC1416" s="717"/>
      <c r="CD1416" s="717"/>
      <c r="CE1416" s="717"/>
      <c r="CF1416" s="717"/>
      <c r="CG1416" s="717"/>
      <c r="CH1416" s="717"/>
      <c r="CI1416" s="717"/>
      <c r="CJ1416" s="717"/>
      <c r="CK1416" s="717"/>
      <c r="CL1416" s="717"/>
      <c r="CM1416" s="717"/>
      <c r="CN1416" s="717"/>
      <c r="CO1416" s="717"/>
      <c r="CP1416" s="717"/>
      <c r="CQ1416" s="717"/>
      <c r="CR1416" s="717"/>
      <c r="CS1416" s="717"/>
      <c r="CT1416" s="717"/>
      <c r="CU1416" s="717"/>
      <c r="CV1416" s="717"/>
      <c r="CW1416" s="717"/>
      <c r="CX1416" s="717"/>
      <c r="CY1416" s="717"/>
      <c r="CZ1416" s="717"/>
      <c r="DA1416" s="717"/>
      <c r="DB1416" s="717"/>
      <c r="DC1416" s="717"/>
      <c r="DD1416" s="717"/>
      <c r="DE1416" s="717"/>
      <c r="DF1416" s="717"/>
      <c r="DG1416" s="717"/>
      <c r="DH1416" s="717"/>
      <c r="DI1416" s="717"/>
      <c r="DJ1416" s="717"/>
      <c r="DM1416" s="711"/>
      <c r="DN1416" s="711"/>
      <c r="DO1416" s="711"/>
      <c r="DP1416" s="711"/>
      <c r="DQ1416" s="711"/>
    </row>
    <row r="1417" spans="13:121" s="709" customFormat="1" hidden="1">
      <c r="M1417" s="710"/>
      <c r="P1417" s="711"/>
      <c r="Q1417" s="712"/>
      <c r="U1417" s="711"/>
      <c r="V1417" s="711"/>
      <c r="W1417" s="711"/>
      <c r="X1417" s="711"/>
      <c r="Y1417" s="711"/>
      <c r="Z1417" s="711"/>
      <c r="AU1417" s="713"/>
      <c r="AW1417" s="712"/>
      <c r="BY1417" s="714"/>
      <c r="BZ1417" s="715"/>
      <c r="CA1417" s="716"/>
      <c r="CB1417" s="717"/>
      <c r="CC1417" s="717"/>
      <c r="CD1417" s="717"/>
      <c r="CE1417" s="717"/>
      <c r="CF1417" s="717"/>
      <c r="CG1417" s="717"/>
      <c r="CH1417" s="717"/>
      <c r="CI1417" s="717"/>
      <c r="CJ1417" s="717"/>
      <c r="CK1417" s="717"/>
      <c r="CL1417" s="717"/>
      <c r="CM1417" s="717"/>
      <c r="CN1417" s="717"/>
      <c r="CO1417" s="717"/>
      <c r="CP1417" s="717"/>
      <c r="CQ1417" s="717"/>
      <c r="CR1417" s="717"/>
      <c r="CS1417" s="717"/>
      <c r="CT1417" s="717"/>
      <c r="CU1417" s="717"/>
      <c r="CV1417" s="717"/>
      <c r="CW1417" s="717"/>
      <c r="CX1417" s="717"/>
      <c r="CY1417" s="717"/>
      <c r="CZ1417" s="717"/>
      <c r="DA1417" s="717"/>
      <c r="DB1417" s="717"/>
      <c r="DC1417" s="717"/>
      <c r="DD1417" s="717"/>
      <c r="DE1417" s="717"/>
      <c r="DF1417" s="717"/>
      <c r="DG1417" s="717"/>
      <c r="DH1417" s="717"/>
      <c r="DI1417" s="717"/>
      <c r="DJ1417" s="717"/>
      <c r="DM1417" s="711"/>
      <c r="DN1417" s="711"/>
      <c r="DO1417" s="711"/>
      <c r="DP1417" s="711"/>
      <c r="DQ1417" s="711"/>
    </row>
    <row r="1418" spans="13:121" s="709" customFormat="1" hidden="1">
      <c r="M1418" s="710"/>
      <c r="P1418" s="711"/>
      <c r="Q1418" s="712"/>
      <c r="U1418" s="711"/>
      <c r="V1418" s="711"/>
      <c r="W1418" s="711"/>
      <c r="X1418" s="711"/>
      <c r="Y1418" s="711"/>
      <c r="Z1418" s="711"/>
      <c r="AU1418" s="713"/>
      <c r="AW1418" s="712"/>
      <c r="BY1418" s="714"/>
      <c r="BZ1418" s="715"/>
      <c r="CA1418" s="716"/>
      <c r="CB1418" s="717"/>
      <c r="CC1418" s="717"/>
      <c r="CD1418" s="717"/>
      <c r="CE1418" s="717"/>
      <c r="CF1418" s="717"/>
      <c r="CG1418" s="717"/>
      <c r="CH1418" s="717"/>
      <c r="CI1418" s="717"/>
      <c r="CJ1418" s="717"/>
      <c r="CK1418" s="717"/>
      <c r="CL1418" s="717"/>
      <c r="CM1418" s="717"/>
      <c r="CN1418" s="717"/>
      <c r="CO1418" s="717"/>
      <c r="CP1418" s="717"/>
      <c r="CQ1418" s="717"/>
      <c r="CR1418" s="717"/>
      <c r="CS1418" s="717"/>
      <c r="CT1418" s="717"/>
      <c r="CU1418" s="717"/>
      <c r="CV1418" s="717"/>
      <c r="CW1418" s="717"/>
      <c r="CX1418" s="717"/>
      <c r="CY1418" s="717"/>
      <c r="CZ1418" s="717"/>
      <c r="DA1418" s="717"/>
      <c r="DB1418" s="717"/>
      <c r="DC1418" s="717"/>
      <c r="DD1418" s="717"/>
      <c r="DE1418" s="717"/>
      <c r="DF1418" s="717"/>
      <c r="DG1418" s="717"/>
      <c r="DH1418" s="717"/>
      <c r="DI1418" s="717"/>
      <c r="DJ1418" s="717"/>
      <c r="DM1418" s="711"/>
      <c r="DN1418" s="711"/>
      <c r="DO1418" s="711"/>
      <c r="DP1418" s="711"/>
      <c r="DQ1418" s="711"/>
    </row>
    <row r="1419" spans="13:121" s="709" customFormat="1" hidden="1">
      <c r="M1419" s="710"/>
      <c r="P1419" s="711"/>
      <c r="Q1419" s="712"/>
      <c r="U1419" s="711"/>
      <c r="V1419" s="711"/>
      <c r="W1419" s="711"/>
      <c r="X1419" s="711"/>
      <c r="Y1419" s="711"/>
      <c r="Z1419" s="711"/>
      <c r="AU1419" s="713"/>
      <c r="AW1419" s="712"/>
      <c r="BY1419" s="714"/>
      <c r="BZ1419" s="715"/>
      <c r="CA1419" s="716"/>
      <c r="CB1419" s="717"/>
      <c r="CC1419" s="717"/>
      <c r="CD1419" s="717"/>
      <c r="CE1419" s="717"/>
      <c r="CF1419" s="717"/>
      <c r="CG1419" s="717"/>
      <c r="CH1419" s="717"/>
      <c r="CI1419" s="717"/>
      <c r="CJ1419" s="717"/>
      <c r="CK1419" s="717"/>
      <c r="CL1419" s="717"/>
      <c r="CM1419" s="717"/>
      <c r="CN1419" s="717"/>
      <c r="CO1419" s="717"/>
      <c r="CP1419" s="717"/>
      <c r="CQ1419" s="717"/>
      <c r="CR1419" s="717"/>
      <c r="CS1419" s="717"/>
      <c r="CT1419" s="717"/>
      <c r="CU1419" s="717"/>
      <c r="CV1419" s="717"/>
      <c r="CW1419" s="717"/>
      <c r="CX1419" s="717"/>
      <c r="CY1419" s="717"/>
      <c r="CZ1419" s="717"/>
      <c r="DA1419" s="717"/>
      <c r="DB1419" s="717"/>
      <c r="DC1419" s="717"/>
      <c r="DD1419" s="717"/>
      <c r="DE1419" s="717"/>
      <c r="DF1419" s="717"/>
      <c r="DG1419" s="717"/>
      <c r="DH1419" s="717"/>
      <c r="DI1419" s="717"/>
      <c r="DJ1419" s="717"/>
      <c r="DM1419" s="711"/>
      <c r="DN1419" s="711"/>
      <c r="DO1419" s="711"/>
      <c r="DP1419" s="711"/>
      <c r="DQ1419" s="711"/>
    </row>
    <row r="1420" spans="13:121" s="709" customFormat="1" hidden="1">
      <c r="M1420" s="710"/>
      <c r="P1420" s="711"/>
      <c r="Q1420" s="712"/>
      <c r="U1420" s="711"/>
      <c r="V1420" s="711"/>
      <c r="W1420" s="711"/>
      <c r="X1420" s="711"/>
      <c r="Y1420" s="711"/>
      <c r="Z1420" s="711"/>
      <c r="AU1420" s="713"/>
      <c r="AW1420" s="712"/>
      <c r="BY1420" s="714"/>
      <c r="BZ1420" s="715"/>
      <c r="CA1420" s="716"/>
      <c r="CB1420" s="717"/>
      <c r="CC1420" s="717"/>
      <c r="CD1420" s="717"/>
      <c r="CE1420" s="717"/>
      <c r="CF1420" s="717"/>
      <c r="CG1420" s="717"/>
      <c r="CH1420" s="717"/>
      <c r="CI1420" s="717"/>
      <c r="CJ1420" s="717"/>
      <c r="CK1420" s="717"/>
      <c r="CL1420" s="717"/>
      <c r="CM1420" s="717"/>
      <c r="CN1420" s="717"/>
      <c r="CO1420" s="717"/>
      <c r="CP1420" s="717"/>
      <c r="CQ1420" s="717"/>
      <c r="CR1420" s="717"/>
      <c r="CS1420" s="717"/>
      <c r="CT1420" s="717"/>
      <c r="CU1420" s="717"/>
      <c r="CV1420" s="717"/>
      <c r="CW1420" s="717"/>
      <c r="CX1420" s="717"/>
      <c r="CY1420" s="717"/>
      <c r="CZ1420" s="717"/>
      <c r="DA1420" s="717"/>
      <c r="DB1420" s="717"/>
      <c r="DC1420" s="717"/>
      <c r="DD1420" s="717"/>
      <c r="DE1420" s="717"/>
      <c r="DF1420" s="717"/>
      <c r="DG1420" s="717"/>
      <c r="DH1420" s="717"/>
      <c r="DI1420" s="717"/>
      <c r="DJ1420" s="717"/>
      <c r="DM1420" s="711"/>
      <c r="DN1420" s="711"/>
      <c r="DO1420" s="711"/>
      <c r="DP1420" s="711"/>
      <c r="DQ1420" s="711"/>
    </row>
    <row r="1421" spans="13:121" s="709" customFormat="1" hidden="1">
      <c r="M1421" s="710"/>
      <c r="P1421" s="711"/>
      <c r="Q1421" s="712"/>
      <c r="U1421" s="711"/>
      <c r="V1421" s="711"/>
      <c r="W1421" s="711"/>
      <c r="X1421" s="711"/>
      <c r="Y1421" s="711"/>
      <c r="Z1421" s="711"/>
      <c r="AU1421" s="713"/>
      <c r="AW1421" s="712"/>
      <c r="BY1421" s="714"/>
      <c r="BZ1421" s="715"/>
      <c r="CA1421" s="716"/>
      <c r="CB1421" s="717"/>
      <c r="CC1421" s="717"/>
      <c r="CD1421" s="717"/>
      <c r="CE1421" s="717"/>
      <c r="CF1421" s="717"/>
      <c r="CG1421" s="717"/>
      <c r="CH1421" s="717"/>
      <c r="CI1421" s="717"/>
      <c r="CJ1421" s="717"/>
      <c r="CK1421" s="717"/>
      <c r="CL1421" s="717"/>
      <c r="CM1421" s="717"/>
      <c r="CN1421" s="717"/>
      <c r="CO1421" s="717"/>
      <c r="CP1421" s="717"/>
      <c r="CQ1421" s="717"/>
      <c r="CR1421" s="717"/>
      <c r="CS1421" s="717"/>
      <c r="CT1421" s="717"/>
      <c r="CU1421" s="717"/>
      <c r="CV1421" s="717"/>
      <c r="CW1421" s="717"/>
      <c r="CX1421" s="717"/>
      <c r="CY1421" s="717"/>
      <c r="CZ1421" s="717"/>
      <c r="DA1421" s="717"/>
      <c r="DB1421" s="717"/>
      <c r="DC1421" s="717"/>
      <c r="DD1421" s="717"/>
      <c r="DE1421" s="717"/>
      <c r="DF1421" s="717"/>
      <c r="DG1421" s="717"/>
      <c r="DH1421" s="717"/>
      <c r="DI1421" s="717"/>
      <c r="DJ1421" s="717"/>
      <c r="DM1421" s="711"/>
      <c r="DN1421" s="711"/>
      <c r="DO1421" s="711"/>
      <c r="DP1421" s="711"/>
      <c r="DQ1421" s="711"/>
    </row>
    <row r="1422" spans="13:121" s="709" customFormat="1" hidden="1">
      <c r="M1422" s="710"/>
      <c r="P1422" s="711"/>
      <c r="Q1422" s="712"/>
      <c r="U1422" s="711"/>
      <c r="V1422" s="711"/>
      <c r="W1422" s="711"/>
      <c r="X1422" s="711"/>
      <c r="Y1422" s="711"/>
      <c r="Z1422" s="711"/>
      <c r="AU1422" s="713"/>
      <c r="AW1422" s="712"/>
      <c r="BY1422" s="714"/>
      <c r="BZ1422" s="715"/>
      <c r="CA1422" s="716"/>
      <c r="CB1422" s="717"/>
      <c r="CC1422" s="717"/>
      <c r="CD1422" s="717"/>
      <c r="CE1422" s="717"/>
      <c r="CF1422" s="717"/>
      <c r="CG1422" s="717"/>
      <c r="CH1422" s="717"/>
      <c r="CI1422" s="717"/>
      <c r="CJ1422" s="717"/>
      <c r="CK1422" s="717"/>
      <c r="CL1422" s="717"/>
      <c r="CM1422" s="717"/>
      <c r="CN1422" s="717"/>
      <c r="CO1422" s="717"/>
      <c r="CP1422" s="717"/>
      <c r="CQ1422" s="717"/>
      <c r="CR1422" s="717"/>
      <c r="CS1422" s="717"/>
      <c r="CT1422" s="717"/>
      <c r="CU1422" s="717"/>
      <c r="CV1422" s="717"/>
      <c r="CW1422" s="717"/>
      <c r="CX1422" s="717"/>
      <c r="CY1422" s="717"/>
      <c r="CZ1422" s="717"/>
      <c r="DA1422" s="717"/>
      <c r="DB1422" s="717"/>
      <c r="DC1422" s="717"/>
      <c r="DD1422" s="717"/>
      <c r="DE1422" s="717"/>
      <c r="DF1422" s="717"/>
      <c r="DG1422" s="717"/>
      <c r="DH1422" s="717"/>
      <c r="DI1422" s="717"/>
      <c r="DJ1422" s="717"/>
      <c r="DM1422" s="711"/>
      <c r="DN1422" s="711"/>
      <c r="DO1422" s="711"/>
      <c r="DP1422" s="711"/>
      <c r="DQ1422" s="711"/>
    </row>
    <row r="1423" spans="13:121" s="709" customFormat="1" hidden="1">
      <c r="M1423" s="710"/>
      <c r="P1423" s="711"/>
      <c r="Q1423" s="712"/>
      <c r="U1423" s="711"/>
      <c r="V1423" s="711"/>
      <c r="W1423" s="711"/>
      <c r="X1423" s="711"/>
      <c r="Y1423" s="711"/>
      <c r="Z1423" s="711"/>
      <c r="AU1423" s="713"/>
      <c r="AW1423" s="712"/>
      <c r="BY1423" s="714"/>
      <c r="BZ1423" s="715"/>
      <c r="CA1423" s="716"/>
      <c r="CB1423" s="717"/>
      <c r="CC1423" s="717"/>
      <c r="CD1423" s="717"/>
      <c r="CE1423" s="717"/>
      <c r="CF1423" s="717"/>
      <c r="CG1423" s="717"/>
      <c r="CH1423" s="717"/>
      <c r="CI1423" s="717"/>
      <c r="CJ1423" s="717"/>
      <c r="CK1423" s="717"/>
      <c r="CL1423" s="717"/>
      <c r="CM1423" s="717"/>
      <c r="CN1423" s="717"/>
      <c r="CO1423" s="717"/>
      <c r="CP1423" s="717"/>
      <c r="CQ1423" s="717"/>
      <c r="CR1423" s="717"/>
      <c r="CS1423" s="717"/>
      <c r="CT1423" s="717"/>
      <c r="CU1423" s="717"/>
      <c r="CV1423" s="717"/>
      <c r="CW1423" s="717"/>
      <c r="CX1423" s="717"/>
      <c r="CY1423" s="717"/>
      <c r="CZ1423" s="717"/>
      <c r="DA1423" s="717"/>
      <c r="DB1423" s="717"/>
      <c r="DC1423" s="717"/>
      <c r="DD1423" s="717"/>
      <c r="DE1423" s="717"/>
      <c r="DF1423" s="717"/>
      <c r="DG1423" s="717"/>
      <c r="DH1423" s="717"/>
      <c r="DI1423" s="717"/>
      <c r="DJ1423" s="717"/>
      <c r="DM1423" s="711"/>
      <c r="DN1423" s="711"/>
      <c r="DO1423" s="711"/>
      <c r="DP1423" s="711"/>
      <c r="DQ1423" s="711"/>
    </row>
    <row r="1424" spans="13:121" s="709" customFormat="1" hidden="1">
      <c r="M1424" s="710"/>
      <c r="P1424" s="711"/>
      <c r="Q1424" s="712"/>
      <c r="U1424" s="711"/>
      <c r="V1424" s="711"/>
      <c r="W1424" s="711"/>
      <c r="X1424" s="711"/>
      <c r="Y1424" s="711"/>
      <c r="Z1424" s="711"/>
      <c r="AU1424" s="713"/>
      <c r="AW1424" s="712"/>
      <c r="BY1424" s="714"/>
      <c r="BZ1424" s="715"/>
      <c r="CA1424" s="716"/>
      <c r="CB1424" s="717"/>
      <c r="CC1424" s="717"/>
      <c r="CD1424" s="717"/>
      <c r="CE1424" s="717"/>
      <c r="CF1424" s="717"/>
      <c r="CG1424" s="717"/>
      <c r="CH1424" s="717"/>
      <c r="CI1424" s="717"/>
      <c r="CJ1424" s="717"/>
      <c r="CK1424" s="717"/>
      <c r="CL1424" s="717"/>
      <c r="CM1424" s="717"/>
      <c r="CN1424" s="717"/>
      <c r="CO1424" s="717"/>
      <c r="CP1424" s="717"/>
      <c r="CQ1424" s="717"/>
      <c r="CR1424" s="717"/>
      <c r="CS1424" s="717"/>
      <c r="CT1424" s="717"/>
      <c r="CU1424" s="717"/>
      <c r="CV1424" s="717"/>
      <c r="CW1424" s="717"/>
      <c r="CX1424" s="717"/>
      <c r="CY1424" s="717"/>
      <c r="CZ1424" s="717"/>
      <c r="DA1424" s="717"/>
      <c r="DB1424" s="717"/>
      <c r="DC1424" s="717"/>
      <c r="DD1424" s="717"/>
      <c r="DE1424" s="717"/>
      <c r="DF1424" s="717"/>
      <c r="DG1424" s="717"/>
      <c r="DH1424" s="717"/>
      <c r="DI1424" s="717"/>
      <c r="DJ1424" s="717"/>
      <c r="DM1424" s="711"/>
      <c r="DN1424" s="711"/>
      <c r="DO1424" s="711"/>
      <c r="DP1424" s="711"/>
      <c r="DQ1424" s="711"/>
    </row>
    <row r="1425" spans="13:121" s="709" customFormat="1" hidden="1">
      <c r="M1425" s="710"/>
      <c r="P1425" s="711"/>
      <c r="Q1425" s="712"/>
      <c r="U1425" s="711"/>
      <c r="V1425" s="711"/>
      <c r="W1425" s="711"/>
      <c r="X1425" s="711"/>
      <c r="Y1425" s="711"/>
      <c r="Z1425" s="711"/>
      <c r="AU1425" s="713"/>
      <c r="AW1425" s="712"/>
      <c r="BY1425" s="714"/>
      <c r="BZ1425" s="715"/>
      <c r="CA1425" s="716"/>
      <c r="CB1425" s="717"/>
      <c r="CC1425" s="717"/>
      <c r="CD1425" s="717"/>
      <c r="CE1425" s="717"/>
      <c r="CF1425" s="717"/>
      <c r="CG1425" s="717"/>
      <c r="CH1425" s="717"/>
      <c r="CI1425" s="717"/>
      <c r="CJ1425" s="717"/>
      <c r="CK1425" s="717"/>
      <c r="CL1425" s="717"/>
      <c r="CM1425" s="717"/>
      <c r="CN1425" s="717"/>
      <c r="CO1425" s="717"/>
      <c r="CP1425" s="717"/>
      <c r="CQ1425" s="717"/>
      <c r="CR1425" s="717"/>
      <c r="CS1425" s="717"/>
      <c r="CT1425" s="717"/>
      <c r="CU1425" s="717"/>
      <c r="CV1425" s="717"/>
      <c r="CW1425" s="717"/>
      <c r="CX1425" s="717"/>
      <c r="CY1425" s="717"/>
      <c r="CZ1425" s="717"/>
      <c r="DA1425" s="717"/>
      <c r="DB1425" s="717"/>
      <c r="DC1425" s="717"/>
      <c r="DD1425" s="717"/>
      <c r="DE1425" s="717"/>
      <c r="DF1425" s="717"/>
      <c r="DG1425" s="717"/>
      <c r="DH1425" s="717"/>
      <c r="DI1425" s="717"/>
      <c r="DJ1425" s="717"/>
      <c r="DM1425" s="711"/>
      <c r="DN1425" s="711"/>
      <c r="DO1425" s="711"/>
      <c r="DP1425" s="711"/>
      <c r="DQ1425" s="711"/>
    </row>
    <row r="1426" spans="13:121" s="709" customFormat="1" hidden="1">
      <c r="M1426" s="710"/>
      <c r="P1426" s="711"/>
      <c r="Q1426" s="712"/>
      <c r="U1426" s="711"/>
      <c r="V1426" s="711"/>
      <c r="W1426" s="711"/>
      <c r="X1426" s="711"/>
      <c r="Y1426" s="711"/>
      <c r="Z1426" s="711"/>
      <c r="AU1426" s="713"/>
      <c r="AW1426" s="712"/>
      <c r="BY1426" s="714"/>
      <c r="BZ1426" s="715"/>
      <c r="CA1426" s="716"/>
      <c r="CB1426" s="717"/>
      <c r="CC1426" s="717"/>
      <c r="CD1426" s="717"/>
      <c r="CE1426" s="717"/>
      <c r="CF1426" s="717"/>
      <c r="CG1426" s="717"/>
      <c r="CH1426" s="717"/>
      <c r="CI1426" s="717"/>
      <c r="CJ1426" s="717"/>
      <c r="CK1426" s="717"/>
      <c r="CL1426" s="717"/>
      <c r="CM1426" s="717"/>
      <c r="CN1426" s="717"/>
      <c r="CO1426" s="717"/>
      <c r="CP1426" s="717"/>
      <c r="CQ1426" s="717"/>
      <c r="CR1426" s="717"/>
      <c r="CS1426" s="717"/>
      <c r="CT1426" s="717"/>
      <c r="CU1426" s="717"/>
      <c r="CV1426" s="717"/>
      <c r="CW1426" s="717"/>
      <c r="CX1426" s="717"/>
      <c r="CY1426" s="717"/>
      <c r="CZ1426" s="717"/>
      <c r="DA1426" s="717"/>
      <c r="DB1426" s="717"/>
      <c r="DC1426" s="717"/>
      <c r="DD1426" s="717"/>
      <c r="DE1426" s="717"/>
      <c r="DF1426" s="717"/>
      <c r="DG1426" s="717"/>
      <c r="DH1426" s="717"/>
      <c r="DI1426" s="717"/>
      <c r="DJ1426" s="717"/>
      <c r="DM1426" s="711"/>
      <c r="DN1426" s="711"/>
      <c r="DO1426" s="711"/>
      <c r="DP1426" s="711"/>
      <c r="DQ1426" s="711"/>
    </row>
    <row r="1427" spans="13:121" s="709" customFormat="1" hidden="1">
      <c r="M1427" s="710"/>
      <c r="P1427" s="711"/>
      <c r="Q1427" s="712"/>
      <c r="U1427" s="711"/>
      <c r="V1427" s="711"/>
      <c r="W1427" s="711"/>
      <c r="X1427" s="711"/>
      <c r="Y1427" s="711"/>
      <c r="Z1427" s="711"/>
      <c r="AU1427" s="713"/>
      <c r="AW1427" s="712"/>
      <c r="BY1427" s="714"/>
      <c r="BZ1427" s="715"/>
      <c r="CA1427" s="716"/>
      <c r="CB1427" s="717"/>
      <c r="CC1427" s="717"/>
      <c r="CD1427" s="717"/>
      <c r="CE1427" s="717"/>
      <c r="CF1427" s="717"/>
      <c r="CG1427" s="717"/>
      <c r="CH1427" s="717"/>
      <c r="CI1427" s="717"/>
      <c r="CJ1427" s="717"/>
      <c r="CK1427" s="717"/>
      <c r="CL1427" s="717"/>
      <c r="CM1427" s="717"/>
      <c r="CN1427" s="717"/>
      <c r="CO1427" s="717"/>
      <c r="CP1427" s="717"/>
      <c r="CQ1427" s="717"/>
      <c r="CR1427" s="717"/>
      <c r="CS1427" s="717"/>
      <c r="CT1427" s="717"/>
      <c r="CU1427" s="717"/>
      <c r="CV1427" s="717"/>
      <c r="CW1427" s="717"/>
      <c r="CX1427" s="717"/>
      <c r="CY1427" s="717"/>
      <c r="CZ1427" s="717"/>
      <c r="DA1427" s="717"/>
      <c r="DB1427" s="717"/>
      <c r="DC1427" s="717"/>
      <c r="DD1427" s="717"/>
      <c r="DE1427" s="717"/>
      <c r="DF1427" s="717"/>
      <c r="DG1427" s="717"/>
      <c r="DH1427" s="717"/>
      <c r="DI1427" s="717"/>
      <c r="DJ1427" s="717"/>
      <c r="DM1427" s="711"/>
      <c r="DN1427" s="711"/>
      <c r="DO1427" s="711"/>
      <c r="DP1427" s="711"/>
      <c r="DQ1427" s="711"/>
    </row>
    <row r="1428" spans="13:121" s="709" customFormat="1" hidden="1">
      <c r="M1428" s="710"/>
      <c r="P1428" s="711"/>
      <c r="Q1428" s="712"/>
      <c r="U1428" s="711"/>
      <c r="V1428" s="711"/>
      <c r="W1428" s="711"/>
      <c r="X1428" s="711"/>
      <c r="Y1428" s="711"/>
      <c r="Z1428" s="711"/>
      <c r="AU1428" s="713"/>
      <c r="AW1428" s="712"/>
      <c r="BY1428" s="714"/>
      <c r="BZ1428" s="715"/>
      <c r="CA1428" s="716"/>
      <c r="CB1428" s="717"/>
      <c r="CC1428" s="717"/>
      <c r="CD1428" s="717"/>
      <c r="CE1428" s="717"/>
      <c r="CF1428" s="717"/>
      <c r="CG1428" s="717"/>
      <c r="CH1428" s="717"/>
      <c r="CI1428" s="717"/>
      <c r="CJ1428" s="717"/>
      <c r="CK1428" s="717"/>
      <c r="CL1428" s="717"/>
      <c r="CM1428" s="717"/>
      <c r="CN1428" s="717"/>
      <c r="CO1428" s="717"/>
      <c r="CP1428" s="717"/>
      <c r="CQ1428" s="717"/>
      <c r="CR1428" s="717"/>
      <c r="CS1428" s="717"/>
      <c r="CT1428" s="717"/>
      <c r="CU1428" s="717"/>
      <c r="CV1428" s="717"/>
      <c r="CW1428" s="717"/>
      <c r="CX1428" s="717"/>
      <c r="CY1428" s="717"/>
      <c r="CZ1428" s="717"/>
      <c r="DA1428" s="717"/>
      <c r="DB1428" s="717"/>
      <c r="DC1428" s="717"/>
      <c r="DD1428" s="717"/>
      <c r="DE1428" s="717"/>
      <c r="DF1428" s="717"/>
      <c r="DG1428" s="717"/>
      <c r="DH1428" s="717"/>
      <c r="DI1428" s="717"/>
      <c r="DJ1428" s="717"/>
      <c r="DM1428" s="711"/>
      <c r="DN1428" s="711"/>
      <c r="DO1428" s="711"/>
      <c r="DP1428" s="711"/>
      <c r="DQ1428" s="711"/>
    </row>
    <row r="1429" spans="13:121" s="709" customFormat="1" hidden="1">
      <c r="M1429" s="710"/>
      <c r="P1429" s="711"/>
      <c r="Q1429" s="712"/>
      <c r="U1429" s="711"/>
      <c r="V1429" s="711"/>
      <c r="W1429" s="711"/>
      <c r="X1429" s="711"/>
      <c r="Y1429" s="711"/>
      <c r="Z1429" s="711"/>
      <c r="AU1429" s="713"/>
      <c r="AW1429" s="712"/>
      <c r="BY1429" s="714"/>
      <c r="BZ1429" s="715"/>
      <c r="CA1429" s="716"/>
      <c r="CB1429" s="717"/>
      <c r="CC1429" s="717"/>
      <c r="CD1429" s="717"/>
      <c r="CE1429" s="717"/>
      <c r="CF1429" s="717"/>
      <c r="CG1429" s="717"/>
      <c r="CH1429" s="717"/>
      <c r="CI1429" s="717"/>
      <c r="CJ1429" s="717"/>
      <c r="CK1429" s="717"/>
      <c r="CL1429" s="717"/>
      <c r="CM1429" s="717"/>
      <c r="CN1429" s="717"/>
      <c r="CO1429" s="717"/>
      <c r="CP1429" s="717"/>
      <c r="CQ1429" s="717"/>
      <c r="CR1429" s="717"/>
      <c r="CS1429" s="717"/>
      <c r="CT1429" s="717"/>
      <c r="CU1429" s="717"/>
      <c r="CV1429" s="717"/>
      <c r="CW1429" s="717"/>
      <c r="CX1429" s="717"/>
      <c r="CY1429" s="717"/>
      <c r="CZ1429" s="717"/>
      <c r="DA1429" s="717"/>
      <c r="DB1429" s="717"/>
      <c r="DC1429" s="717"/>
      <c r="DD1429" s="717"/>
      <c r="DE1429" s="717"/>
      <c r="DF1429" s="717"/>
      <c r="DG1429" s="717"/>
      <c r="DH1429" s="717"/>
      <c r="DI1429" s="717"/>
      <c r="DJ1429" s="717"/>
      <c r="DM1429" s="711"/>
      <c r="DN1429" s="711"/>
      <c r="DO1429" s="711"/>
      <c r="DP1429" s="711"/>
      <c r="DQ1429" s="711"/>
    </row>
    <row r="1430" spans="13:121" s="709" customFormat="1" hidden="1">
      <c r="M1430" s="710"/>
      <c r="P1430" s="711"/>
      <c r="Q1430" s="712"/>
      <c r="U1430" s="711"/>
      <c r="V1430" s="711"/>
      <c r="W1430" s="711"/>
      <c r="X1430" s="711"/>
      <c r="Y1430" s="711"/>
      <c r="Z1430" s="711"/>
      <c r="AU1430" s="713"/>
      <c r="AW1430" s="712"/>
      <c r="BY1430" s="714"/>
      <c r="BZ1430" s="715"/>
      <c r="CA1430" s="716"/>
      <c r="CB1430" s="717"/>
      <c r="CC1430" s="717"/>
      <c r="CD1430" s="717"/>
      <c r="CE1430" s="717"/>
      <c r="CF1430" s="717"/>
      <c r="CG1430" s="717"/>
      <c r="CH1430" s="717"/>
      <c r="CI1430" s="717"/>
      <c r="CJ1430" s="717"/>
      <c r="CK1430" s="717"/>
      <c r="CL1430" s="717"/>
      <c r="CM1430" s="717"/>
      <c r="CN1430" s="717"/>
      <c r="CO1430" s="717"/>
      <c r="CP1430" s="717"/>
      <c r="CQ1430" s="717"/>
      <c r="CR1430" s="717"/>
      <c r="CS1430" s="717"/>
      <c r="CT1430" s="717"/>
      <c r="CU1430" s="717"/>
      <c r="CV1430" s="717"/>
      <c r="CW1430" s="717"/>
      <c r="CX1430" s="717"/>
      <c r="CY1430" s="717"/>
      <c r="CZ1430" s="717"/>
      <c r="DA1430" s="717"/>
      <c r="DB1430" s="717"/>
      <c r="DC1430" s="717"/>
      <c r="DD1430" s="717"/>
      <c r="DE1430" s="717"/>
      <c r="DF1430" s="717"/>
      <c r="DG1430" s="717"/>
      <c r="DH1430" s="717"/>
      <c r="DI1430" s="717"/>
      <c r="DJ1430" s="717"/>
      <c r="DM1430" s="711"/>
      <c r="DN1430" s="711"/>
      <c r="DO1430" s="711"/>
      <c r="DP1430" s="711"/>
      <c r="DQ1430" s="711"/>
    </row>
    <row r="1431" spans="13:121" s="709" customFormat="1" hidden="1">
      <c r="M1431" s="710"/>
      <c r="P1431" s="711"/>
      <c r="Q1431" s="712"/>
      <c r="U1431" s="711"/>
      <c r="V1431" s="711"/>
      <c r="W1431" s="711"/>
      <c r="X1431" s="711"/>
      <c r="Y1431" s="711"/>
      <c r="Z1431" s="711"/>
      <c r="AU1431" s="713"/>
      <c r="AW1431" s="712"/>
      <c r="BY1431" s="714"/>
      <c r="BZ1431" s="715"/>
      <c r="CA1431" s="716"/>
      <c r="CB1431" s="717"/>
      <c r="CC1431" s="717"/>
      <c r="CD1431" s="717"/>
      <c r="CE1431" s="717"/>
      <c r="CF1431" s="717"/>
      <c r="CG1431" s="717"/>
      <c r="CH1431" s="717"/>
      <c r="CI1431" s="717"/>
      <c r="CJ1431" s="717"/>
      <c r="CK1431" s="717"/>
      <c r="CL1431" s="717"/>
      <c r="CM1431" s="717"/>
      <c r="CN1431" s="717"/>
      <c r="CO1431" s="717"/>
      <c r="CP1431" s="717"/>
      <c r="CQ1431" s="717"/>
      <c r="CR1431" s="717"/>
      <c r="CS1431" s="717"/>
      <c r="CT1431" s="717"/>
      <c r="CU1431" s="717"/>
      <c r="CV1431" s="717"/>
      <c r="CW1431" s="717"/>
      <c r="CX1431" s="717"/>
      <c r="CY1431" s="717"/>
      <c r="CZ1431" s="717"/>
      <c r="DA1431" s="717"/>
      <c r="DB1431" s="717"/>
      <c r="DC1431" s="717"/>
      <c r="DD1431" s="717"/>
      <c r="DE1431" s="717"/>
      <c r="DF1431" s="717"/>
      <c r="DG1431" s="717"/>
      <c r="DH1431" s="717"/>
      <c r="DI1431" s="717"/>
      <c r="DJ1431" s="717"/>
      <c r="DM1431" s="711"/>
      <c r="DN1431" s="711"/>
      <c r="DO1431" s="711"/>
      <c r="DP1431" s="711"/>
      <c r="DQ1431" s="711"/>
    </row>
    <row r="1432" spans="13:121" s="709" customFormat="1" hidden="1">
      <c r="M1432" s="710"/>
      <c r="P1432" s="711"/>
      <c r="Q1432" s="712"/>
      <c r="U1432" s="711"/>
      <c r="V1432" s="711"/>
      <c r="W1432" s="711"/>
      <c r="X1432" s="711"/>
      <c r="Y1432" s="711"/>
      <c r="Z1432" s="711"/>
      <c r="AU1432" s="713"/>
      <c r="AW1432" s="712"/>
      <c r="BY1432" s="714"/>
      <c r="BZ1432" s="715"/>
      <c r="CA1432" s="716"/>
      <c r="CB1432" s="717"/>
      <c r="CC1432" s="717"/>
      <c r="CD1432" s="717"/>
      <c r="CE1432" s="717"/>
      <c r="CF1432" s="717"/>
      <c r="CG1432" s="717"/>
      <c r="CH1432" s="717"/>
      <c r="CI1432" s="717"/>
      <c r="CJ1432" s="717"/>
      <c r="CK1432" s="717"/>
      <c r="CL1432" s="717"/>
      <c r="CM1432" s="717"/>
      <c r="CN1432" s="717"/>
      <c r="CO1432" s="717"/>
      <c r="CP1432" s="717"/>
      <c r="CQ1432" s="717"/>
      <c r="CR1432" s="717"/>
      <c r="CS1432" s="717"/>
      <c r="CT1432" s="717"/>
      <c r="CU1432" s="717"/>
      <c r="CV1432" s="717"/>
      <c r="CW1432" s="717"/>
      <c r="CX1432" s="717"/>
      <c r="CY1432" s="717"/>
      <c r="CZ1432" s="717"/>
      <c r="DA1432" s="717"/>
      <c r="DB1432" s="717"/>
      <c r="DC1432" s="717"/>
      <c r="DD1432" s="717"/>
      <c r="DE1432" s="717"/>
      <c r="DF1432" s="717"/>
      <c r="DG1432" s="717"/>
      <c r="DH1432" s="717"/>
      <c r="DI1432" s="717"/>
      <c r="DJ1432" s="717"/>
      <c r="DM1432" s="711"/>
      <c r="DN1432" s="711"/>
      <c r="DO1432" s="711"/>
      <c r="DP1432" s="711"/>
      <c r="DQ1432" s="711"/>
    </row>
    <row r="1433" spans="13:121" s="709" customFormat="1" hidden="1">
      <c r="M1433" s="710"/>
      <c r="P1433" s="711"/>
      <c r="Q1433" s="712"/>
      <c r="U1433" s="711"/>
      <c r="V1433" s="711"/>
      <c r="W1433" s="711"/>
      <c r="X1433" s="711"/>
      <c r="Y1433" s="711"/>
      <c r="Z1433" s="711"/>
      <c r="AU1433" s="713"/>
      <c r="AW1433" s="712"/>
      <c r="BY1433" s="714"/>
      <c r="BZ1433" s="715"/>
      <c r="CA1433" s="716"/>
      <c r="CB1433" s="717"/>
      <c r="CC1433" s="717"/>
      <c r="CD1433" s="717"/>
      <c r="CE1433" s="717"/>
      <c r="CF1433" s="717"/>
      <c r="CG1433" s="717"/>
      <c r="CH1433" s="717"/>
      <c r="CI1433" s="717"/>
      <c r="CJ1433" s="717"/>
      <c r="CK1433" s="717"/>
      <c r="CL1433" s="717"/>
      <c r="CM1433" s="717"/>
      <c r="CN1433" s="717"/>
      <c r="CO1433" s="717"/>
      <c r="CP1433" s="717"/>
      <c r="CQ1433" s="717"/>
      <c r="CR1433" s="717"/>
      <c r="CS1433" s="717"/>
      <c r="CT1433" s="717"/>
      <c r="CU1433" s="717"/>
      <c r="CV1433" s="717"/>
      <c r="CW1433" s="717"/>
      <c r="CX1433" s="717"/>
      <c r="CY1433" s="717"/>
      <c r="CZ1433" s="717"/>
      <c r="DA1433" s="717"/>
      <c r="DB1433" s="717"/>
      <c r="DC1433" s="717"/>
      <c r="DD1433" s="717"/>
      <c r="DE1433" s="717"/>
      <c r="DF1433" s="717"/>
      <c r="DG1433" s="717"/>
      <c r="DH1433" s="717"/>
      <c r="DI1433" s="717"/>
      <c r="DJ1433" s="717"/>
      <c r="DM1433" s="711"/>
      <c r="DN1433" s="711"/>
      <c r="DO1433" s="711"/>
      <c r="DP1433" s="711"/>
      <c r="DQ1433" s="711"/>
    </row>
    <row r="1434" spans="13:121" s="709" customFormat="1" hidden="1">
      <c r="M1434" s="710"/>
      <c r="P1434" s="711"/>
      <c r="Q1434" s="712"/>
      <c r="U1434" s="711"/>
      <c r="V1434" s="711"/>
      <c r="W1434" s="711"/>
      <c r="X1434" s="711"/>
      <c r="Y1434" s="711"/>
      <c r="Z1434" s="711"/>
      <c r="AU1434" s="713"/>
      <c r="AW1434" s="712"/>
      <c r="BY1434" s="714"/>
      <c r="BZ1434" s="715"/>
      <c r="CA1434" s="716"/>
      <c r="CB1434" s="717"/>
      <c r="CC1434" s="717"/>
      <c r="CD1434" s="717"/>
      <c r="CE1434" s="717"/>
      <c r="CF1434" s="717"/>
      <c r="CG1434" s="717"/>
      <c r="CH1434" s="717"/>
      <c r="CI1434" s="717"/>
      <c r="CJ1434" s="717"/>
      <c r="CK1434" s="717"/>
      <c r="CL1434" s="717"/>
      <c r="CM1434" s="717"/>
      <c r="CN1434" s="717"/>
      <c r="CO1434" s="717"/>
      <c r="CP1434" s="717"/>
      <c r="CQ1434" s="717"/>
      <c r="CR1434" s="717"/>
      <c r="CS1434" s="717"/>
      <c r="CT1434" s="717"/>
      <c r="CU1434" s="717"/>
      <c r="CV1434" s="717"/>
      <c r="CW1434" s="717"/>
      <c r="CX1434" s="717"/>
      <c r="CY1434" s="717"/>
      <c r="CZ1434" s="717"/>
      <c r="DA1434" s="717"/>
      <c r="DB1434" s="717"/>
      <c r="DC1434" s="717"/>
      <c r="DD1434" s="717"/>
      <c r="DE1434" s="717"/>
      <c r="DF1434" s="717"/>
      <c r="DG1434" s="717"/>
      <c r="DH1434" s="717"/>
      <c r="DI1434" s="717"/>
      <c r="DJ1434" s="717"/>
      <c r="DM1434" s="711"/>
      <c r="DN1434" s="711"/>
      <c r="DO1434" s="711"/>
      <c r="DP1434" s="711"/>
      <c r="DQ1434" s="711"/>
    </row>
    <row r="1435" spans="13:121" s="709" customFormat="1" hidden="1">
      <c r="M1435" s="710"/>
      <c r="P1435" s="711"/>
      <c r="Q1435" s="712"/>
      <c r="U1435" s="711"/>
      <c r="V1435" s="711"/>
      <c r="W1435" s="711"/>
      <c r="X1435" s="711"/>
      <c r="Y1435" s="711"/>
      <c r="Z1435" s="711"/>
      <c r="AU1435" s="713"/>
      <c r="AW1435" s="712"/>
      <c r="BY1435" s="714"/>
      <c r="BZ1435" s="715"/>
      <c r="CA1435" s="716"/>
      <c r="CB1435" s="717"/>
      <c r="CC1435" s="717"/>
      <c r="CD1435" s="717"/>
      <c r="CE1435" s="717"/>
      <c r="CF1435" s="717"/>
      <c r="CG1435" s="717"/>
      <c r="CH1435" s="717"/>
      <c r="CI1435" s="717"/>
      <c r="CJ1435" s="717"/>
      <c r="CK1435" s="717"/>
      <c r="CL1435" s="717"/>
      <c r="CM1435" s="717"/>
      <c r="CN1435" s="717"/>
      <c r="CO1435" s="717"/>
      <c r="CP1435" s="717"/>
      <c r="CQ1435" s="717"/>
      <c r="CR1435" s="717"/>
      <c r="CS1435" s="717"/>
      <c r="CT1435" s="717"/>
      <c r="CU1435" s="717"/>
      <c r="CV1435" s="717"/>
      <c r="CW1435" s="717"/>
      <c r="CX1435" s="717"/>
      <c r="CY1435" s="717"/>
      <c r="CZ1435" s="717"/>
      <c r="DA1435" s="717"/>
      <c r="DB1435" s="717"/>
      <c r="DC1435" s="717"/>
      <c r="DD1435" s="717"/>
      <c r="DE1435" s="717"/>
      <c r="DF1435" s="717"/>
      <c r="DG1435" s="717"/>
      <c r="DH1435" s="717"/>
      <c r="DI1435" s="717"/>
      <c r="DJ1435" s="717"/>
      <c r="DM1435" s="711"/>
      <c r="DN1435" s="711"/>
      <c r="DO1435" s="711"/>
      <c r="DP1435" s="711"/>
      <c r="DQ1435" s="711"/>
    </row>
    <row r="1436" spans="13:121" s="709" customFormat="1" hidden="1">
      <c r="M1436" s="710"/>
      <c r="P1436" s="711"/>
      <c r="Q1436" s="712"/>
      <c r="U1436" s="711"/>
      <c r="V1436" s="711"/>
      <c r="W1436" s="711"/>
      <c r="X1436" s="711"/>
      <c r="Y1436" s="711"/>
      <c r="Z1436" s="711"/>
      <c r="AU1436" s="713"/>
      <c r="AW1436" s="712"/>
      <c r="BY1436" s="714"/>
      <c r="BZ1436" s="715"/>
      <c r="CA1436" s="716"/>
      <c r="CB1436" s="717"/>
      <c r="CC1436" s="717"/>
      <c r="CD1436" s="717"/>
      <c r="CE1436" s="717"/>
      <c r="CF1436" s="717"/>
      <c r="CG1436" s="717"/>
      <c r="CH1436" s="717"/>
      <c r="CI1436" s="717"/>
      <c r="CJ1436" s="717"/>
      <c r="CK1436" s="717"/>
      <c r="CL1436" s="717"/>
      <c r="CM1436" s="717"/>
      <c r="CN1436" s="717"/>
      <c r="CO1436" s="717"/>
      <c r="CP1436" s="717"/>
      <c r="CQ1436" s="717"/>
      <c r="CR1436" s="717"/>
      <c r="CS1436" s="717"/>
      <c r="CT1436" s="717"/>
      <c r="CU1436" s="717"/>
      <c r="CV1436" s="717"/>
      <c r="CW1436" s="717"/>
      <c r="CX1436" s="717"/>
      <c r="CY1436" s="717"/>
      <c r="CZ1436" s="717"/>
      <c r="DA1436" s="717"/>
      <c r="DB1436" s="717"/>
      <c r="DC1436" s="717"/>
      <c r="DD1436" s="717"/>
      <c r="DE1436" s="717"/>
      <c r="DF1436" s="717"/>
      <c r="DG1436" s="717"/>
      <c r="DH1436" s="717"/>
      <c r="DI1436" s="717"/>
      <c r="DJ1436" s="717"/>
      <c r="DM1436" s="711"/>
      <c r="DN1436" s="711"/>
      <c r="DO1436" s="711"/>
      <c r="DP1436" s="711"/>
      <c r="DQ1436" s="711"/>
    </row>
    <row r="1437" spans="13:121" s="709" customFormat="1" hidden="1">
      <c r="M1437" s="710"/>
      <c r="P1437" s="711"/>
      <c r="Q1437" s="712"/>
      <c r="U1437" s="711"/>
      <c r="V1437" s="711"/>
      <c r="W1437" s="711"/>
      <c r="X1437" s="711"/>
      <c r="Y1437" s="711"/>
      <c r="Z1437" s="711"/>
      <c r="AU1437" s="713"/>
      <c r="AW1437" s="712"/>
      <c r="BY1437" s="714"/>
      <c r="BZ1437" s="715"/>
      <c r="CA1437" s="716"/>
      <c r="CB1437" s="717"/>
      <c r="CC1437" s="717"/>
      <c r="CD1437" s="717"/>
      <c r="CE1437" s="717"/>
      <c r="CF1437" s="717"/>
      <c r="CG1437" s="717"/>
      <c r="CH1437" s="717"/>
      <c r="CI1437" s="717"/>
      <c r="CJ1437" s="717"/>
      <c r="CK1437" s="717"/>
      <c r="CL1437" s="717"/>
      <c r="CM1437" s="717"/>
      <c r="CN1437" s="717"/>
      <c r="CO1437" s="717"/>
      <c r="CP1437" s="717"/>
      <c r="CQ1437" s="717"/>
      <c r="CR1437" s="717"/>
      <c r="CS1437" s="717"/>
      <c r="CT1437" s="717"/>
      <c r="CU1437" s="717"/>
      <c r="CV1437" s="717"/>
      <c r="CW1437" s="717"/>
      <c r="CX1437" s="717"/>
      <c r="CY1437" s="717"/>
      <c r="CZ1437" s="717"/>
      <c r="DA1437" s="717"/>
      <c r="DB1437" s="717"/>
      <c r="DC1437" s="717"/>
      <c r="DD1437" s="717"/>
      <c r="DE1437" s="717"/>
      <c r="DF1437" s="717"/>
      <c r="DG1437" s="717"/>
      <c r="DH1437" s="717"/>
      <c r="DI1437" s="717"/>
      <c r="DJ1437" s="717"/>
      <c r="DM1437" s="711"/>
      <c r="DN1437" s="711"/>
      <c r="DO1437" s="711"/>
      <c r="DP1437" s="711"/>
      <c r="DQ1437" s="711"/>
    </row>
    <row r="1438" spans="13:121" s="709" customFormat="1" hidden="1">
      <c r="M1438" s="710"/>
      <c r="P1438" s="711"/>
      <c r="Q1438" s="712"/>
      <c r="U1438" s="711"/>
      <c r="V1438" s="711"/>
      <c r="W1438" s="711"/>
      <c r="X1438" s="711"/>
      <c r="Y1438" s="711"/>
      <c r="Z1438" s="711"/>
      <c r="AU1438" s="713"/>
      <c r="AW1438" s="712"/>
      <c r="BY1438" s="714"/>
      <c r="BZ1438" s="715"/>
      <c r="CA1438" s="716"/>
      <c r="CB1438" s="717"/>
      <c r="CC1438" s="717"/>
      <c r="CD1438" s="717"/>
      <c r="CE1438" s="717"/>
      <c r="CF1438" s="717"/>
      <c r="CG1438" s="717"/>
      <c r="CH1438" s="717"/>
      <c r="CI1438" s="717"/>
      <c r="CJ1438" s="717"/>
      <c r="CK1438" s="717"/>
      <c r="CL1438" s="717"/>
      <c r="CM1438" s="717"/>
      <c r="CN1438" s="717"/>
      <c r="CO1438" s="717"/>
      <c r="CP1438" s="717"/>
      <c r="CQ1438" s="717"/>
      <c r="CR1438" s="717"/>
      <c r="CS1438" s="717"/>
      <c r="CT1438" s="717"/>
      <c r="CU1438" s="717"/>
      <c r="CV1438" s="717"/>
      <c r="CW1438" s="717"/>
      <c r="CX1438" s="717"/>
      <c r="CY1438" s="717"/>
      <c r="CZ1438" s="717"/>
      <c r="DA1438" s="717"/>
      <c r="DB1438" s="717"/>
      <c r="DC1438" s="717"/>
      <c r="DD1438" s="717"/>
      <c r="DE1438" s="717"/>
      <c r="DF1438" s="717"/>
      <c r="DG1438" s="717"/>
      <c r="DH1438" s="717"/>
      <c r="DI1438" s="717"/>
      <c r="DJ1438" s="717"/>
      <c r="DM1438" s="711"/>
      <c r="DN1438" s="711"/>
      <c r="DO1438" s="711"/>
      <c r="DP1438" s="711"/>
      <c r="DQ1438" s="711"/>
    </row>
    <row r="1439" spans="13:121" s="709" customFormat="1" hidden="1">
      <c r="M1439" s="710"/>
      <c r="P1439" s="711"/>
      <c r="Q1439" s="712"/>
      <c r="U1439" s="711"/>
      <c r="V1439" s="711"/>
      <c r="W1439" s="711"/>
      <c r="X1439" s="711"/>
      <c r="Y1439" s="711"/>
      <c r="Z1439" s="711"/>
      <c r="AU1439" s="713"/>
      <c r="AW1439" s="712"/>
      <c r="BY1439" s="714"/>
      <c r="BZ1439" s="715"/>
      <c r="CA1439" s="716"/>
      <c r="CB1439" s="717"/>
      <c r="CC1439" s="717"/>
      <c r="CD1439" s="717"/>
      <c r="CE1439" s="717"/>
      <c r="CF1439" s="717"/>
      <c r="CG1439" s="717"/>
      <c r="CH1439" s="717"/>
      <c r="CI1439" s="717"/>
      <c r="CJ1439" s="717"/>
      <c r="CK1439" s="717"/>
      <c r="CL1439" s="717"/>
      <c r="CM1439" s="717"/>
      <c r="CN1439" s="717"/>
      <c r="CO1439" s="717"/>
      <c r="CP1439" s="717"/>
      <c r="CQ1439" s="717"/>
      <c r="CR1439" s="717"/>
      <c r="CS1439" s="717"/>
      <c r="CT1439" s="717"/>
      <c r="CU1439" s="717"/>
      <c r="CV1439" s="717"/>
      <c r="CW1439" s="717"/>
      <c r="CX1439" s="717"/>
      <c r="CY1439" s="717"/>
      <c r="CZ1439" s="717"/>
      <c r="DA1439" s="717"/>
      <c r="DB1439" s="717"/>
      <c r="DC1439" s="717"/>
      <c r="DD1439" s="717"/>
      <c r="DE1439" s="717"/>
      <c r="DF1439" s="717"/>
      <c r="DG1439" s="717"/>
      <c r="DH1439" s="717"/>
      <c r="DI1439" s="717"/>
      <c r="DJ1439" s="717"/>
      <c r="DM1439" s="711"/>
      <c r="DN1439" s="711"/>
      <c r="DO1439" s="711"/>
      <c r="DP1439" s="711"/>
      <c r="DQ1439" s="711"/>
    </row>
    <row r="1440" spans="13:121" s="709" customFormat="1" hidden="1">
      <c r="M1440" s="710"/>
      <c r="P1440" s="711"/>
      <c r="Q1440" s="712"/>
      <c r="U1440" s="711"/>
      <c r="V1440" s="711"/>
      <c r="W1440" s="711"/>
      <c r="X1440" s="711"/>
      <c r="Y1440" s="711"/>
      <c r="Z1440" s="711"/>
      <c r="AU1440" s="713"/>
      <c r="AW1440" s="712"/>
      <c r="BY1440" s="714"/>
      <c r="BZ1440" s="715"/>
      <c r="CA1440" s="716"/>
      <c r="CB1440" s="717"/>
      <c r="CC1440" s="717"/>
      <c r="CD1440" s="717"/>
      <c r="CE1440" s="717"/>
      <c r="CF1440" s="717"/>
      <c r="CG1440" s="717"/>
      <c r="CH1440" s="717"/>
      <c r="CI1440" s="717"/>
      <c r="CJ1440" s="717"/>
      <c r="CK1440" s="717"/>
      <c r="CL1440" s="717"/>
      <c r="CM1440" s="717"/>
      <c r="CN1440" s="717"/>
      <c r="CO1440" s="717"/>
      <c r="CP1440" s="717"/>
      <c r="CQ1440" s="717"/>
      <c r="CR1440" s="717"/>
      <c r="CS1440" s="717"/>
      <c r="CT1440" s="717"/>
      <c r="CU1440" s="717"/>
      <c r="CV1440" s="717"/>
      <c r="CW1440" s="717"/>
      <c r="CX1440" s="717"/>
      <c r="CY1440" s="717"/>
      <c r="CZ1440" s="717"/>
      <c r="DA1440" s="717"/>
      <c r="DB1440" s="717"/>
      <c r="DC1440" s="717"/>
      <c r="DD1440" s="717"/>
      <c r="DE1440" s="717"/>
      <c r="DF1440" s="717"/>
      <c r="DG1440" s="717"/>
      <c r="DH1440" s="717"/>
      <c r="DI1440" s="717"/>
      <c r="DJ1440" s="717"/>
      <c r="DM1440" s="711"/>
      <c r="DN1440" s="711"/>
      <c r="DO1440" s="711"/>
      <c r="DP1440" s="711"/>
      <c r="DQ1440" s="711"/>
    </row>
    <row r="1441" spans="13:121" s="709" customFormat="1" hidden="1">
      <c r="M1441" s="710"/>
      <c r="P1441" s="711"/>
      <c r="Q1441" s="712"/>
      <c r="U1441" s="711"/>
      <c r="V1441" s="711"/>
      <c r="W1441" s="711"/>
      <c r="X1441" s="711"/>
      <c r="Y1441" s="711"/>
      <c r="Z1441" s="711"/>
      <c r="AU1441" s="713"/>
      <c r="AW1441" s="712"/>
      <c r="BY1441" s="714"/>
      <c r="BZ1441" s="715"/>
      <c r="CA1441" s="716"/>
      <c r="CB1441" s="717"/>
      <c r="CC1441" s="717"/>
      <c r="CD1441" s="717"/>
      <c r="CE1441" s="717"/>
      <c r="CF1441" s="717"/>
      <c r="CG1441" s="717"/>
      <c r="CH1441" s="717"/>
      <c r="CI1441" s="717"/>
      <c r="CJ1441" s="717"/>
      <c r="CK1441" s="717"/>
      <c r="CL1441" s="717"/>
      <c r="CM1441" s="717"/>
      <c r="CN1441" s="717"/>
      <c r="CO1441" s="717"/>
      <c r="CP1441" s="717"/>
      <c r="CQ1441" s="717"/>
      <c r="CR1441" s="717"/>
      <c r="CS1441" s="717"/>
      <c r="CT1441" s="717"/>
      <c r="CU1441" s="717"/>
      <c r="CV1441" s="717"/>
      <c r="CW1441" s="717"/>
      <c r="CX1441" s="717"/>
      <c r="CY1441" s="717"/>
      <c r="CZ1441" s="717"/>
      <c r="DA1441" s="717"/>
      <c r="DB1441" s="717"/>
      <c r="DC1441" s="717"/>
      <c r="DD1441" s="717"/>
      <c r="DE1441" s="717"/>
      <c r="DF1441" s="717"/>
      <c r="DG1441" s="717"/>
      <c r="DH1441" s="717"/>
      <c r="DI1441" s="717"/>
      <c r="DJ1441" s="717"/>
      <c r="DM1441" s="711"/>
      <c r="DN1441" s="711"/>
      <c r="DO1441" s="711"/>
      <c r="DP1441" s="711"/>
      <c r="DQ1441" s="711"/>
    </row>
    <row r="1442" spans="13:121" s="709" customFormat="1" hidden="1">
      <c r="M1442" s="710"/>
      <c r="P1442" s="711"/>
      <c r="Q1442" s="712"/>
      <c r="U1442" s="711"/>
      <c r="V1442" s="711"/>
      <c r="W1442" s="711"/>
      <c r="X1442" s="711"/>
      <c r="Y1442" s="711"/>
      <c r="Z1442" s="711"/>
      <c r="AU1442" s="713"/>
      <c r="AW1442" s="712"/>
      <c r="BY1442" s="714"/>
      <c r="BZ1442" s="715"/>
      <c r="CA1442" s="716"/>
      <c r="CB1442" s="717"/>
      <c r="CC1442" s="717"/>
      <c r="CD1442" s="717"/>
      <c r="CE1442" s="717"/>
      <c r="CF1442" s="717"/>
      <c r="CG1442" s="717"/>
      <c r="CH1442" s="717"/>
      <c r="CI1442" s="717"/>
      <c r="CJ1442" s="717"/>
      <c r="CK1442" s="717"/>
      <c r="CL1442" s="717"/>
      <c r="CM1442" s="717"/>
      <c r="CN1442" s="717"/>
      <c r="CO1442" s="717"/>
      <c r="CP1442" s="717"/>
      <c r="CQ1442" s="717"/>
      <c r="CR1442" s="717"/>
      <c r="CS1442" s="717"/>
      <c r="CT1442" s="717"/>
      <c r="CU1442" s="717"/>
      <c r="CV1442" s="717"/>
      <c r="CW1442" s="717"/>
      <c r="CX1442" s="717"/>
      <c r="CY1442" s="717"/>
      <c r="CZ1442" s="717"/>
      <c r="DA1442" s="717"/>
      <c r="DB1442" s="717"/>
      <c r="DC1442" s="717"/>
      <c r="DD1442" s="717"/>
      <c r="DE1442" s="717"/>
      <c r="DF1442" s="717"/>
      <c r="DG1442" s="717"/>
      <c r="DH1442" s="717"/>
      <c r="DI1442" s="717"/>
      <c r="DJ1442" s="717"/>
      <c r="DM1442" s="711"/>
      <c r="DN1442" s="711"/>
      <c r="DO1442" s="711"/>
      <c r="DP1442" s="711"/>
      <c r="DQ1442" s="711"/>
    </row>
    <row r="1443" spans="13:121" s="709" customFormat="1" hidden="1">
      <c r="M1443" s="710"/>
      <c r="P1443" s="711"/>
      <c r="Q1443" s="712"/>
      <c r="U1443" s="711"/>
      <c r="V1443" s="711"/>
      <c r="W1443" s="711"/>
      <c r="X1443" s="711"/>
      <c r="Y1443" s="711"/>
      <c r="Z1443" s="711"/>
      <c r="AU1443" s="713"/>
      <c r="AW1443" s="712"/>
      <c r="BY1443" s="714"/>
      <c r="BZ1443" s="715"/>
      <c r="CA1443" s="716"/>
      <c r="CB1443" s="717"/>
      <c r="CC1443" s="717"/>
      <c r="CD1443" s="717"/>
      <c r="CE1443" s="717"/>
      <c r="CF1443" s="717"/>
      <c r="CG1443" s="717"/>
      <c r="CH1443" s="717"/>
      <c r="CI1443" s="717"/>
      <c r="CJ1443" s="717"/>
      <c r="CK1443" s="717"/>
      <c r="CL1443" s="717"/>
      <c r="CM1443" s="717"/>
      <c r="CN1443" s="717"/>
      <c r="CO1443" s="717"/>
      <c r="CP1443" s="717"/>
      <c r="CQ1443" s="717"/>
      <c r="CR1443" s="717"/>
      <c r="CS1443" s="717"/>
      <c r="CT1443" s="717"/>
      <c r="CU1443" s="717"/>
      <c r="CV1443" s="717"/>
      <c r="CW1443" s="717"/>
      <c r="CX1443" s="717"/>
      <c r="CY1443" s="717"/>
      <c r="CZ1443" s="717"/>
      <c r="DA1443" s="717"/>
      <c r="DB1443" s="717"/>
      <c r="DC1443" s="717"/>
      <c r="DD1443" s="717"/>
      <c r="DE1443" s="717"/>
      <c r="DF1443" s="717"/>
      <c r="DG1443" s="717"/>
      <c r="DH1443" s="717"/>
      <c r="DI1443" s="717"/>
      <c r="DJ1443" s="717"/>
      <c r="DM1443" s="711"/>
      <c r="DN1443" s="711"/>
      <c r="DO1443" s="711"/>
      <c r="DP1443" s="711"/>
      <c r="DQ1443" s="711"/>
    </row>
    <row r="1444" spans="13:121" s="709" customFormat="1" hidden="1">
      <c r="M1444" s="710"/>
      <c r="P1444" s="711"/>
      <c r="Q1444" s="712"/>
      <c r="U1444" s="711"/>
      <c r="V1444" s="711"/>
      <c r="W1444" s="711"/>
      <c r="X1444" s="711"/>
      <c r="Y1444" s="711"/>
      <c r="Z1444" s="711"/>
      <c r="AU1444" s="713"/>
      <c r="AW1444" s="712"/>
      <c r="BY1444" s="714"/>
      <c r="BZ1444" s="715"/>
      <c r="CA1444" s="716"/>
      <c r="CB1444" s="717"/>
      <c r="CC1444" s="717"/>
      <c r="CD1444" s="717"/>
      <c r="CE1444" s="717"/>
      <c r="CF1444" s="717"/>
      <c r="CG1444" s="717"/>
      <c r="CH1444" s="717"/>
      <c r="CI1444" s="717"/>
      <c r="CJ1444" s="717"/>
      <c r="CK1444" s="717"/>
      <c r="CL1444" s="717"/>
      <c r="CM1444" s="717"/>
      <c r="CN1444" s="717"/>
      <c r="CO1444" s="717"/>
      <c r="CP1444" s="717"/>
      <c r="CQ1444" s="717"/>
      <c r="CR1444" s="717"/>
      <c r="CS1444" s="717"/>
      <c r="CT1444" s="717"/>
      <c r="CU1444" s="717"/>
      <c r="CV1444" s="717"/>
      <c r="CW1444" s="717"/>
      <c r="CX1444" s="717"/>
      <c r="CY1444" s="717"/>
      <c r="CZ1444" s="717"/>
      <c r="DA1444" s="717"/>
      <c r="DB1444" s="717"/>
      <c r="DC1444" s="717"/>
      <c r="DD1444" s="717"/>
      <c r="DE1444" s="717"/>
      <c r="DF1444" s="717"/>
      <c r="DG1444" s="717"/>
      <c r="DH1444" s="717"/>
      <c r="DI1444" s="717"/>
      <c r="DJ1444" s="717"/>
      <c r="DM1444" s="711"/>
      <c r="DN1444" s="711"/>
      <c r="DO1444" s="711"/>
      <c r="DP1444" s="711"/>
      <c r="DQ1444" s="711"/>
    </row>
    <row r="1445" spans="13:121" s="709" customFormat="1" hidden="1">
      <c r="M1445" s="710"/>
      <c r="P1445" s="711"/>
      <c r="Q1445" s="712"/>
      <c r="U1445" s="711"/>
      <c r="V1445" s="711"/>
      <c r="W1445" s="711"/>
      <c r="X1445" s="711"/>
      <c r="Y1445" s="711"/>
      <c r="Z1445" s="711"/>
      <c r="AU1445" s="713"/>
      <c r="AW1445" s="712"/>
      <c r="BY1445" s="714"/>
      <c r="BZ1445" s="715"/>
      <c r="CA1445" s="716"/>
      <c r="CB1445" s="717"/>
      <c r="CC1445" s="717"/>
      <c r="CD1445" s="717"/>
      <c r="CE1445" s="717"/>
      <c r="CF1445" s="717"/>
      <c r="CG1445" s="717"/>
      <c r="CH1445" s="717"/>
      <c r="CI1445" s="717"/>
      <c r="CJ1445" s="717"/>
      <c r="CK1445" s="717"/>
      <c r="CL1445" s="717"/>
      <c r="CM1445" s="717"/>
      <c r="CN1445" s="717"/>
      <c r="CO1445" s="717"/>
      <c r="CP1445" s="717"/>
      <c r="CQ1445" s="717"/>
      <c r="CR1445" s="717"/>
      <c r="CS1445" s="717"/>
      <c r="CT1445" s="717"/>
      <c r="CU1445" s="717"/>
      <c r="CV1445" s="717"/>
      <c r="CW1445" s="717"/>
      <c r="CX1445" s="717"/>
      <c r="CY1445" s="717"/>
      <c r="CZ1445" s="717"/>
      <c r="DA1445" s="717"/>
      <c r="DB1445" s="717"/>
      <c r="DC1445" s="717"/>
      <c r="DD1445" s="717"/>
      <c r="DE1445" s="717"/>
      <c r="DF1445" s="717"/>
      <c r="DG1445" s="717"/>
      <c r="DH1445" s="717"/>
      <c r="DI1445" s="717"/>
      <c r="DJ1445" s="717"/>
      <c r="DM1445" s="711"/>
      <c r="DN1445" s="711"/>
      <c r="DO1445" s="711"/>
      <c r="DP1445" s="711"/>
      <c r="DQ1445" s="711"/>
    </row>
    <row r="1446" spans="13:121" s="709" customFormat="1" hidden="1">
      <c r="M1446" s="710"/>
      <c r="P1446" s="711"/>
      <c r="Q1446" s="712"/>
      <c r="U1446" s="711"/>
      <c r="V1446" s="711"/>
      <c r="W1446" s="711"/>
      <c r="X1446" s="711"/>
      <c r="Y1446" s="711"/>
      <c r="Z1446" s="711"/>
      <c r="AU1446" s="713"/>
      <c r="AW1446" s="712"/>
      <c r="BY1446" s="714"/>
      <c r="BZ1446" s="715"/>
      <c r="CA1446" s="716"/>
      <c r="CB1446" s="717"/>
      <c r="CC1446" s="717"/>
      <c r="CD1446" s="717"/>
      <c r="CE1446" s="717"/>
      <c r="CF1446" s="717"/>
      <c r="CG1446" s="717"/>
      <c r="CH1446" s="717"/>
      <c r="CI1446" s="717"/>
      <c r="CJ1446" s="717"/>
      <c r="CK1446" s="717"/>
      <c r="CL1446" s="717"/>
      <c r="CM1446" s="717"/>
      <c r="CN1446" s="717"/>
      <c r="CO1446" s="717"/>
      <c r="CP1446" s="717"/>
      <c r="CQ1446" s="717"/>
      <c r="CR1446" s="717"/>
      <c r="CS1446" s="717"/>
      <c r="CT1446" s="717"/>
      <c r="CU1446" s="717"/>
      <c r="CV1446" s="717"/>
      <c r="CW1446" s="717"/>
      <c r="CX1446" s="717"/>
      <c r="CY1446" s="717"/>
      <c r="CZ1446" s="717"/>
      <c r="DA1446" s="717"/>
      <c r="DB1446" s="717"/>
      <c r="DC1446" s="717"/>
      <c r="DD1446" s="717"/>
      <c r="DE1446" s="717"/>
      <c r="DF1446" s="717"/>
      <c r="DG1446" s="717"/>
      <c r="DH1446" s="717"/>
      <c r="DI1446" s="717"/>
      <c r="DJ1446" s="717"/>
      <c r="DM1446" s="711"/>
      <c r="DN1446" s="711"/>
      <c r="DO1446" s="711"/>
      <c r="DP1446" s="711"/>
      <c r="DQ1446" s="711"/>
    </row>
    <row r="1447" spans="13:121" s="709" customFormat="1" hidden="1">
      <c r="M1447" s="710"/>
      <c r="P1447" s="711"/>
      <c r="Q1447" s="712"/>
      <c r="U1447" s="711"/>
      <c r="V1447" s="711"/>
      <c r="W1447" s="711"/>
      <c r="X1447" s="711"/>
      <c r="Y1447" s="711"/>
      <c r="Z1447" s="711"/>
      <c r="AU1447" s="713"/>
      <c r="AW1447" s="712"/>
      <c r="BY1447" s="714"/>
      <c r="BZ1447" s="715"/>
      <c r="CA1447" s="716"/>
      <c r="CB1447" s="717"/>
      <c r="CC1447" s="717"/>
      <c r="CD1447" s="717"/>
      <c r="CE1447" s="717"/>
      <c r="CF1447" s="717"/>
      <c r="CG1447" s="717"/>
      <c r="CH1447" s="717"/>
      <c r="CI1447" s="717"/>
      <c r="CJ1447" s="717"/>
      <c r="CK1447" s="717"/>
      <c r="CL1447" s="717"/>
      <c r="CM1447" s="717"/>
      <c r="CN1447" s="717"/>
      <c r="CO1447" s="717"/>
      <c r="CP1447" s="717"/>
      <c r="CQ1447" s="717"/>
      <c r="CR1447" s="717"/>
      <c r="CS1447" s="717"/>
      <c r="CT1447" s="717"/>
      <c r="CU1447" s="717"/>
      <c r="CV1447" s="717"/>
      <c r="CW1447" s="717"/>
      <c r="CX1447" s="717"/>
      <c r="CY1447" s="717"/>
      <c r="CZ1447" s="717"/>
      <c r="DA1447" s="717"/>
      <c r="DB1447" s="717"/>
      <c r="DC1447" s="717"/>
      <c r="DD1447" s="717"/>
      <c r="DE1447" s="717"/>
      <c r="DF1447" s="717"/>
      <c r="DG1447" s="717"/>
      <c r="DH1447" s="717"/>
      <c r="DI1447" s="717"/>
      <c r="DJ1447" s="717"/>
      <c r="DM1447" s="711"/>
      <c r="DN1447" s="711"/>
      <c r="DO1447" s="711"/>
      <c r="DP1447" s="711"/>
      <c r="DQ1447" s="711"/>
    </row>
    <row r="1448" spans="13:121" s="709" customFormat="1" hidden="1">
      <c r="M1448" s="710"/>
      <c r="P1448" s="711"/>
      <c r="Q1448" s="712"/>
      <c r="U1448" s="711"/>
      <c r="V1448" s="711"/>
      <c r="W1448" s="711"/>
      <c r="X1448" s="711"/>
      <c r="Y1448" s="711"/>
      <c r="Z1448" s="711"/>
      <c r="AU1448" s="713"/>
      <c r="AW1448" s="712"/>
      <c r="BY1448" s="714"/>
      <c r="BZ1448" s="715"/>
      <c r="CA1448" s="716"/>
      <c r="CB1448" s="717"/>
      <c r="CC1448" s="717"/>
      <c r="CD1448" s="717"/>
      <c r="CE1448" s="717"/>
      <c r="CF1448" s="717"/>
      <c r="CG1448" s="717"/>
      <c r="CH1448" s="717"/>
      <c r="CI1448" s="717"/>
      <c r="CJ1448" s="717"/>
      <c r="CK1448" s="717"/>
      <c r="CL1448" s="717"/>
      <c r="CM1448" s="717"/>
      <c r="CN1448" s="717"/>
      <c r="CO1448" s="717"/>
      <c r="CP1448" s="717"/>
      <c r="CQ1448" s="717"/>
      <c r="CR1448" s="717"/>
      <c r="CS1448" s="717"/>
      <c r="CT1448" s="717"/>
      <c r="CU1448" s="717"/>
      <c r="CV1448" s="717"/>
      <c r="CW1448" s="717"/>
      <c r="CX1448" s="717"/>
      <c r="CY1448" s="717"/>
      <c r="CZ1448" s="717"/>
      <c r="DA1448" s="717"/>
      <c r="DB1448" s="717"/>
      <c r="DC1448" s="717"/>
      <c r="DD1448" s="717"/>
      <c r="DE1448" s="717"/>
      <c r="DF1448" s="717"/>
      <c r="DG1448" s="717"/>
      <c r="DH1448" s="717"/>
      <c r="DI1448" s="717"/>
      <c r="DJ1448" s="717"/>
      <c r="DM1448" s="711"/>
      <c r="DN1448" s="711"/>
      <c r="DO1448" s="711"/>
      <c r="DP1448" s="711"/>
      <c r="DQ1448" s="711"/>
    </row>
    <row r="1449" spans="13:121" s="709" customFormat="1" hidden="1">
      <c r="M1449" s="710"/>
      <c r="P1449" s="711"/>
      <c r="Q1449" s="712"/>
      <c r="U1449" s="711"/>
      <c r="V1449" s="711"/>
      <c r="W1449" s="711"/>
      <c r="X1449" s="711"/>
      <c r="Y1449" s="711"/>
      <c r="Z1449" s="711"/>
      <c r="AU1449" s="713"/>
      <c r="AW1449" s="712"/>
      <c r="BY1449" s="714"/>
      <c r="BZ1449" s="715"/>
      <c r="CA1449" s="716"/>
      <c r="CB1449" s="717"/>
      <c r="CC1449" s="717"/>
      <c r="CD1449" s="717"/>
      <c r="CE1449" s="717"/>
      <c r="CF1449" s="717"/>
      <c r="CG1449" s="717"/>
      <c r="CH1449" s="717"/>
      <c r="CI1449" s="717"/>
      <c r="CJ1449" s="717"/>
      <c r="CK1449" s="717"/>
      <c r="CL1449" s="717"/>
      <c r="CM1449" s="717"/>
      <c r="CN1449" s="717"/>
      <c r="CO1449" s="717"/>
      <c r="CP1449" s="717"/>
      <c r="CQ1449" s="717"/>
      <c r="CR1449" s="717"/>
      <c r="CS1449" s="717"/>
      <c r="CT1449" s="717"/>
      <c r="CU1449" s="717"/>
      <c r="CV1449" s="717"/>
      <c r="CW1449" s="717"/>
      <c r="CX1449" s="717"/>
      <c r="CY1449" s="717"/>
      <c r="CZ1449" s="717"/>
      <c r="DA1449" s="717"/>
      <c r="DB1449" s="717"/>
      <c r="DC1449" s="717"/>
      <c r="DD1449" s="717"/>
      <c r="DE1449" s="717"/>
      <c r="DF1449" s="717"/>
      <c r="DG1449" s="717"/>
      <c r="DH1449" s="717"/>
      <c r="DI1449" s="717"/>
      <c r="DJ1449" s="717"/>
      <c r="DM1449" s="711"/>
      <c r="DN1449" s="711"/>
      <c r="DO1449" s="711"/>
      <c r="DP1449" s="711"/>
      <c r="DQ1449" s="711"/>
    </row>
    <row r="1450" spans="13:121" s="709" customFormat="1" hidden="1">
      <c r="M1450" s="710"/>
      <c r="P1450" s="711"/>
      <c r="Q1450" s="712"/>
      <c r="U1450" s="711"/>
      <c r="V1450" s="711"/>
      <c r="W1450" s="711"/>
      <c r="X1450" s="711"/>
      <c r="Y1450" s="711"/>
      <c r="Z1450" s="711"/>
      <c r="AU1450" s="713"/>
      <c r="AW1450" s="712"/>
      <c r="BY1450" s="714"/>
      <c r="BZ1450" s="715"/>
      <c r="CA1450" s="716"/>
      <c r="CB1450" s="717"/>
      <c r="CC1450" s="717"/>
      <c r="CD1450" s="717"/>
      <c r="CE1450" s="717"/>
      <c r="CF1450" s="717"/>
      <c r="CG1450" s="717"/>
      <c r="CH1450" s="717"/>
      <c r="CI1450" s="717"/>
      <c r="CJ1450" s="717"/>
      <c r="CK1450" s="717"/>
      <c r="CL1450" s="717"/>
      <c r="CM1450" s="717"/>
      <c r="CN1450" s="717"/>
      <c r="CO1450" s="717"/>
      <c r="CP1450" s="717"/>
      <c r="CQ1450" s="717"/>
      <c r="CR1450" s="717"/>
      <c r="CS1450" s="717"/>
      <c r="CT1450" s="717"/>
      <c r="CU1450" s="717"/>
      <c r="CV1450" s="717"/>
      <c r="CW1450" s="717"/>
      <c r="CX1450" s="717"/>
      <c r="CY1450" s="717"/>
      <c r="CZ1450" s="717"/>
      <c r="DA1450" s="717"/>
      <c r="DB1450" s="717"/>
      <c r="DC1450" s="717"/>
      <c r="DD1450" s="717"/>
      <c r="DE1450" s="717"/>
      <c r="DF1450" s="717"/>
      <c r="DG1450" s="717"/>
      <c r="DH1450" s="717"/>
      <c r="DI1450" s="717"/>
      <c r="DJ1450" s="717"/>
      <c r="DM1450" s="711"/>
      <c r="DN1450" s="711"/>
      <c r="DO1450" s="711"/>
      <c r="DP1450" s="711"/>
      <c r="DQ1450" s="711"/>
    </row>
    <row r="1451" spans="13:121" s="709" customFormat="1" hidden="1">
      <c r="M1451" s="710"/>
      <c r="P1451" s="711"/>
      <c r="Q1451" s="712"/>
      <c r="U1451" s="711"/>
      <c r="V1451" s="711"/>
      <c r="W1451" s="711"/>
      <c r="X1451" s="711"/>
      <c r="Y1451" s="711"/>
      <c r="Z1451" s="711"/>
      <c r="AU1451" s="713"/>
      <c r="AW1451" s="712"/>
      <c r="BY1451" s="714"/>
      <c r="BZ1451" s="715"/>
      <c r="CA1451" s="716"/>
      <c r="CB1451" s="717"/>
      <c r="CC1451" s="717"/>
      <c r="CD1451" s="717"/>
      <c r="CE1451" s="717"/>
      <c r="CF1451" s="717"/>
      <c r="CG1451" s="717"/>
      <c r="CH1451" s="717"/>
      <c r="CI1451" s="717"/>
      <c r="CJ1451" s="717"/>
      <c r="CK1451" s="717"/>
      <c r="CL1451" s="717"/>
      <c r="CM1451" s="717"/>
      <c r="CN1451" s="717"/>
      <c r="CO1451" s="717"/>
      <c r="CP1451" s="717"/>
      <c r="CQ1451" s="717"/>
      <c r="CR1451" s="717"/>
      <c r="CS1451" s="717"/>
      <c r="CT1451" s="717"/>
      <c r="CU1451" s="717"/>
      <c r="CV1451" s="717"/>
      <c r="CW1451" s="717"/>
      <c r="CX1451" s="717"/>
      <c r="CY1451" s="717"/>
      <c r="CZ1451" s="717"/>
      <c r="DA1451" s="717"/>
      <c r="DB1451" s="717"/>
      <c r="DC1451" s="717"/>
      <c r="DD1451" s="717"/>
      <c r="DE1451" s="717"/>
      <c r="DF1451" s="717"/>
      <c r="DG1451" s="717"/>
      <c r="DH1451" s="717"/>
      <c r="DI1451" s="717"/>
      <c r="DJ1451" s="717"/>
      <c r="DM1451" s="711"/>
      <c r="DN1451" s="711"/>
      <c r="DO1451" s="711"/>
      <c r="DP1451" s="711"/>
      <c r="DQ1451" s="711"/>
    </row>
    <row r="1452" spans="13:121" s="709" customFormat="1" hidden="1">
      <c r="M1452" s="710"/>
      <c r="P1452" s="711"/>
      <c r="Q1452" s="712"/>
      <c r="U1452" s="711"/>
      <c r="V1452" s="711"/>
      <c r="W1452" s="711"/>
      <c r="X1452" s="711"/>
      <c r="Y1452" s="711"/>
      <c r="Z1452" s="711"/>
      <c r="AU1452" s="713"/>
      <c r="AW1452" s="712"/>
      <c r="BY1452" s="714"/>
      <c r="BZ1452" s="715"/>
      <c r="CA1452" s="716"/>
      <c r="CB1452" s="717"/>
      <c r="CC1452" s="717"/>
      <c r="CD1452" s="717"/>
      <c r="CE1452" s="717"/>
      <c r="CF1452" s="717"/>
      <c r="CG1452" s="717"/>
      <c r="CH1452" s="717"/>
      <c r="CI1452" s="717"/>
      <c r="CJ1452" s="717"/>
      <c r="CK1452" s="717"/>
      <c r="CL1452" s="717"/>
      <c r="CM1452" s="717"/>
      <c r="CN1452" s="717"/>
      <c r="CO1452" s="717"/>
      <c r="CP1452" s="717"/>
      <c r="CQ1452" s="717"/>
      <c r="CR1452" s="717"/>
      <c r="CS1452" s="717"/>
      <c r="CT1452" s="717"/>
      <c r="CU1452" s="717"/>
      <c r="CV1452" s="717"/>
      <c r="CW1452" s="717"/>
      <c r="CX1452" s="717"/>
      <c r="CY1452" s="717"/>
      <c r="CZ1452" s="717"/>
      <c r="DA1452" s="717"/>
      <c r="DB1452" s="717"/>
      <c r="DC1452" s="717"/>
      <c r="DD1452" s="717"/>
      <c r="DE1452" s="717"/>
      <c r="DF1452" s="717"/>
      <c r="DG1452" s="717"/>
      <c r="DH1452" s="717"/>
      <c r="DI1452" s="717"/>
      <c r="DJ1452" s="717"/>
      <c r="DM1452" s="711"/>
      <c r="DN1452" s="711"/>
      <c r="DO1452" s="711"/>
      <c r="DP1452" s="711"/>
      <c r="DQ1452" s="711"/>
    </row>
    <row r="1453" spans="13:121" s="709" customFormat="1" hidden="1">
      <c r="M1453" s="710"/>
      <c r="P1453" s="711"/>
      <c r="Q1453" s="712"/>
      <c r="U1453" s="711"/>
      <c r="V1453" s="711"/>
      <c r="W1453" s="711"/>
      <c r="X1453" s="711"/>
      <c r="Y1453" s="711"/>
      <c r="Z1453" s="711"/>
      <c r="AU1453" s="713"/>
      <c r="AW1453" s="712"/>
      <c r="BY1453" s="714"/>
      <c r="BZ1453" s="715"/>
      <c r="CA1453" s="716"/>
      <c r="CB1453" s="717"/>
      <c r="CC1453" s="717"/>
      <c r="CD1453" s="717"/>
      <c r="CE1453" s="717"/>
      <c r="CF1453" s="717"/>
      <c r="CG1453" s="717"/>
      <c r="CH1453" s="717"/>
      <c r="CI1453" s="717"/>
      <c r="CJ1453" s="717"/>
      <c r="CK1453" s="717"/>
      <c r="CL1453" s="717"/>
      <c r="CM1453" s="717"/>
      <c r="CN1453" s="717"/>
      <c r="CO1453" s="717"/>
      <c r="CP1453" s="717"/>
      <c r="CQ1453" s="717"/>
      <c r="CR1453" s="717"/>
      <c r="CS1453" s="717"/>
      <c r="CT1453" s="717"/>
      <c r="CU1453" s="717"/>
      <c r="CV1453" s="717"/>
      <c r="CW1453" s="717"/>
      <c r="CX1453" s="717"/>
      <c r="CY1453" s="717"/>
      <c r="CZ1453" s="717"/>
      <c r="DA1453" s="717"/>
      <c r="DB1453" s="717"/>
      <c r="DC1453" s="717"/>
      <c r="DD1453" s="717"/>
      <c r="DE1453" s="717"/>
      <c r="DF1453" s="717"/>
      <c r="DG1453" s="717"/>
      <c r="DH1453" s="717"/>
      <c r="DI1453" s="717"/>
      <c r="DJ1453" s="717"/>
      <c r="DM1453" s="711"/>
      <c r="DN1453" s="711"/>
      <c r="DO1453" s="711"/>
      <c r="DP1453" s="711"/>
      <c r="DQ1453" s="711"/>
    </row>
    <row r="1454" spans="13:121" s="709" customFormat="1" hidden="1">
      <c r="M1454" s="710"/>
      <c r="P1454" s="711"/>
      <c r="Q1454" s="712"/>
      <c r="U1454" s="711"/>
      <c r="V1454" s="711"/>
      <c r="W1454" s="711"/>
      <c r="X1454" s="711"/>
      <c r="Y1454" s="711"/>
      <c r="Z1454" s="711"/>
      <c r="AU1454" s="713"/>
      <c r="AW1454" s="712"/>
      <c r="BY1454" s="714"/>
      <c r="BZ1454" s="715"/>
      <c r="CA1454" s="716"/>
      <c r="CB1454" s="717"/>
      <c r="CC1454" s="717"/>
      <c r="CD1454" s="717"/>
      <c r="CE1454" s="717"/>
      <c r="CF1454" s="717"/>
      <c r="CG1454" s="717"/>
      <c r="CH1454" s="717"/>
      <c r="CI1454" s="717"/>
      <c r="CJ1454" s="717"/>
      <c r="CK1454" s="717"/>
      <c r="CL1454" s="717"/>
      <c r="CM1454" s="717"/>
      <c r="CN1454" s="717"/>
      <c r="CO1454" s="717"/>
      <c r="CP1454" s="717"/>
      <c r="CQ1454" s="717"/>
      <c r="CR1454" s="717"/>
      <c r="CS1454" s="717"/>
      <c r="CT1454" s="717"/>
      <c r="CU1454" s="717"/>
      <c r="CV1454" s="717"/>
      <c r="CW1454" s="717"/>
      <c r="CX1454" s="717"/>
      <c r="CY1454" s="717"/>
      <c r="CZ1454" s="717"/>
      <c r="DA1454" s="717"/>
      <c r="DB1454" s="717"/>
      <c r="DC1454" s="717"/>
      <c r="DD1454" s="717"/>
      <c r="DE1454" s="717"/>
      <c r="DF1454" s="717"/>
      <c r="DG1454" s="717"/>
      <c r="DH1454" s="717"/>
      <c r="DI1454" s="717"/>
      <c r="DJ1454" s="717"/>
      <c r="DM1454" s="711"/>
      <c r="DN1454" s="711"/>
      <c r="DO1454" s="711"/>
      <c r="DP1454" s="711"/>
      <c r="DQ1454" s="711"/>
    </row>
    <row r="1455" spans="13:121" s="709" customFormat="1" hidden="1">
      <c r="M1455" s="710"/>
      <c r="P1455" s="711"/>
      <c r="Q1455" s="712"/>
      <c r="U1455" s="711"/>
      <c r="V1455" s="711"/>
      <c r="W1455" s="711"/>
      <c r="X1455" s="711"/>
      <c r="Y1455" s="711"/>
      <c r="Z1455" s="711"/>
      <c r="AU1455" s="713"/>
      <c r="AW1455" s="712"/>
      <c r="BY1455" s="714"/>
      <c r="BZ1455" s="715"/>
      <c r="CA1455" s="716"/>
      <c r="CB1455" s="717"/>
      <c r="CC1455" s="717"/>
      <c r="CD1455" s="717"/>
      <c r="CE1455" s="717"/>
      <c r="CF1455" s="717"/>
      <c r="CG1455" s="717"/>
      <c r="CH1455" s="717"/>
      <c r="CI1455" s="717"/>
      <c r="CJ1455" s="717"/>
      <c r="CK1455" s="717"/>
      <c r="CL1455" s="717"/>
      <c r="CM1455" s="717"/>
      <c r="CN1455" s="717"/>
      <c r="CO1455" s="717"/>
      <c r="CP1455" s="717"/>
      <c r="CQ1455" s="717"/>
      <c r="CR1455" s="717"/>
      <c r="CS1455" s="717"/>
      <c r="CT1455" s="717"/>
      <c r="CU1455" s="717"/>
      <c r="CV1455" s="717"/>
      <c r="CW1455" s="717"/>
      <c r="CX1455" s="717"/>
      <c r="CY1455" s="717"/>
      <c r="CZ1455" s="717"/>
      <c r="DA1455" s="717"/>
      <c r="DB1455" s="717"/>
      <c r="DC1455" s="717"/>
      <c r="DD1455" s="717"/>
      <c r="DE1455" s="717"/>
      <c r="DF1455" s="717"/>
      <c r="DG1455" s="717"/>
      <c r="DH1455" s="717"/>
      <c r="DI1455" s="717"/>
      <c r="DJ1455" s="717"/>
      <c r="DM1455" s="711"/>
      <c r="DN1455" s="711"/>
      <c r="DO1455" s="711"/>
      <c r="DP1455" s="711"/>
      <c r="DQ1455" s="711"/>
    </row>
    <row r="1456" spans="13:121" s="709" customFormat="1" hidden="1">
      <c r="M1456" s="710"/>
      <c r="P1456" s="711"/>
      <c r="Q1456" s="712"/>
      <c r="U1456" s="711"/>
      <c r="V1456" s="711"/>
      <c r="W1456" s="711"/>
      <c r="X1456" s="711"/>
      <c r="Y1456" s="711"/>
      <c r="Z1456" s="711"/>
      <c r="AU1456" s="713"/>
      <c r="AW1456" s="712"/>
      <c r="BY1456" s="714"/>
      <c r="BZ1456" s="715"/>
      <c r="CA1456" s="716"/>
      <c r="CB1456" s="717"/>
      <c r="CC1456" s="717"/>
      <c r="CD1456" s="717"/>
      <c r="CE1456" s="717"/>
      <c r="CF1456" s="717"/>
      <c r="CG1456" s="717"/>
      <c r="CH1456" s="717"/>
      <c r="CI1456" s="717"/>
      <c r="CJ1456" s="717"/>
      <c r="CK1456" s="717"/>
      <c r="CL1456" s="717"/>
      <c r="CM1456" s="717"/>
      <c r="CN1456" s="717"/>
      <c r="CO1456" s="717"/>
      <c r="CP1456" s="717"/>
      <c r="CQ1456" s="717"/>
      <c r="CR1456" s="717"/>
      <c r="CS1456" s="717"/>
      <c r="CT1456" s="717"/>
      <c r="CU1456" s="717"/>
      <c r="CV1456" s="717"/>
      <c r="CW1456" s="717"/>
      <c r="CX1456" s="717"/>
      <c r="CY1456" s="717"/>
      <c r="CZ1456" s="717"/>
      <c r="DA1456" s="717"/>
      <c r="DB1456" s="717"/>
      <c r="DC1456" s="717"/>
      <c r="DD1456" s="717"/>
      <c r="DE1456" s="717"/>
      <c r="DF1456" s="717"/>
      <c r="DG1456" s="717"/>
      <c r="DH1456" s="717"/>
      <c r="DI1456" s="717"/>
      <c r="DJ1456" s="717"/>
      <c r="DM1456" s="711"/>
      <c r="DN1456" s="711"/>
      <c r="DO1456" s="711"/>
      <c r="DP1456" s="711"/>
      <c r="DQ1456" s="711"/>
    </row>
    <row r="1457" spans="13:121" s="709" customFormat="1" hidden="1">
      <c r="M1457" s="710"/>
      <c r="P1457" s="711"/>
      <c r="Q1457" s="712"/>
      <c r="U1457" s="711"/>
      <c r="V1457" s="711"/>
      <c r="W1457" s="711"/>
      <c r="X1457" s="711"/>
      <c r="Y1457" s="711"/>
      <c r="Z1457" s="711"/>
      <c r="AU1457" s="713"/>
      <c r="AW1457" s="712"/>
      <c r="BY1457" s="714"/>
      <c r="BZ1457" s="715"/>
      <c r="CA1457" s="716"/>
      <c r="CB1457" s="717"/>
      <c r="CC1457" s="717"/>
      <c r="CD1457" s="717"/>
      <c r="CE1457" s="717"/>
      <c r="CF1457" s="717"/>
      <c r="CG1457" s="717"/>
      <c r="CH1457" s="717"/>
      <c r="CI1457" s="717"/>
      <c r="CJ1457" s="717"/>
      <c r="CK1457" s="717"/>
      <c r="CL1457" s="717"/>
      <c r="CM1457" s="717"/>
      <c r="CN1457" s="717"/>
      <c r="CO1457" s="717"/>
      <c r="CP1457" s="717"/>
      <c r="CQ1457" s="717"/>
      <c r="CR1457" s="717"/>
      <c r="CS1457" s="717"/>
      <c r="CT1457" s="717"/>
      <c r="CU1457" s="717"/>
      <c r="CV1457" s="717"/>
      <c r="CW1457" s="717"/>
      <c r="CX1457" s="717"/>
      <c r="CY1457" s="717"/>
      <c r="CZ1457" s="717"/>
      <c r="DA1457" s="717"/>
      <c r="DB1457" s="717"/>
      <c r="DC1457" s="717"/>
      <c r="DD1457" s="717"/>
      <c r="DE1457" s="717"/>
      <c r="DF1457" s="717"/>
      <c r="DG1457" s="717"/>
      <c r="DH1457" s="717"/>
      <c r="DI1457" s="717"/>
      <c r="DJ1457" s="717"/>
      <c r="DM1457" s="711"/>
      <c r="DN1457" s="711"/>
      <c r="DO1457" s="711"/>
      <c r="DP1457" s="711"/>
      <c r="DQ1457" s="711"/>
    </row>
    <row r="1458" spans="13:121" s="709" customFormat="1" hidden="1">
      <c r="M1458" s="710"/>
      <c r="P1458" s="711"/>
      <c r="Q1458" s="712"/>
      <c r="U1458" s="711"/>
      <c r="V1458" s="711"/>
      <c r="W1458" s="711"/>
      <c r="X1458" s="711"/>
      <c r="Y1458" s="711"/>
      <c r="Z1458" s="711"/>
      <c r="AU1458" s="713"/>
      <c r="AW1458" s="712"/>
      <c r="BY1458" s="714"/>
      <c r="BZ1458" s="715"/>
      <c r="CA1458" s="716"/>
      <c r="CB1458" s="717"/>
      <c r="CC1458" s="717"/>
      <c r="CD1458" s="717"/>
      <c r="CE1458" s="717"/>
      <c r="CF1458" s="717"/>
      <c r="CG1458" s="717"/>
      <c r="CH1458" s="717"/>
      <c r="CI1458" s="717"/>
      <c r="CJ1458" s="717"/>
      <c r="CK1458" s="717"/>
      <c r="CL1458" s="717"/>
      <c r="CM1458" s="717"/>
      <c r="CN1458" s="717"/>
      <c r="CO1458" s="717"/>
      <c r="CP1458" s="717"/>
      <c r="CQ1458" s="717"/>
      <c r="CR1458" s="717"/>
      <c r="CS1458" s="717"/>
      <c r="CT1458" s="717"/>
      <c r="CU1458" s="717"/>
      <c r="CV1458" s="717"/>
      <c r="CW1458" s="717"/>
      <c r="CX1458" s="717"/>
      <c r="CY1458" s="717"/>
      <c r="CZ1458" s="717"/>
      <c r="DA1458" s="717"/>
      <c r="DB1458" s="717"/>
      <c r="DC1458" s="717"/>
      <c r="DD1458" s="717"/>
      <c r="DE1458" s="717"/>
      <c r="DF1458" s="717"/>
      <c r="DG1458" s="717"/>
      <c r="DH1458" s="717"/>
      <c r="DI1458" s="717"/>
      <c r="DJ1458" s="717"/>
      <c r="DM1458" s="711"/>
      <c r="DN1458" s="711"/>
      <c r="DO1458" s="711"/>
      <c r="DP1458" s="711"/>
      <c r="DQ1458" s="711"/>
    </row>
    <row r="1459" spans="13:121" s="709" customFormat="1" hidden="1">
      <c r="M1459" s="710"/>
      <c r="P1459" s="711"/>
      <c r="Q1459" s="712"/>
      <c r="U1459" s="711"/>
      <c r="V1459" s="711"/>
      <c r="W1459" s="711"/>
      <c r="X1459" s="711"/>
      <c r="Y1459" s="711"/>
      <c r="Z1459" s="711"/>
      <c r="AU1459" s="713"/>
      <c r="AW1459" s="712"/>
      <c r="BY1459" s="714"/>
      <c r="BZ1459" s="715"/>
      <c r="CA1459" s="716"/>
      <c r="CB1459" s="717"/>
      <c r="CC1459" s="717"/>
      <c r="CD1459" s="717"/>
      <c r="CE1459" s="717"/>
      <c r="CF1459" s="717"/>
      <c r="CG1459" s="717"/>
      <c r="CH1459" s="717"/>
      <c r="CI1459" s="717"/>
      <c r="CJ1459" s="717"/>
      <c r="CK1459" s="717"/>
      <c r="CL1459" s="717"/>
      <c r="CM1459" s="717"/>
      <c r="CN1459" s="717"/>
      <c r="CO1459" s="717"/>
      <c r="CP1459" s="717"/>
      <c r="CQ1459" s="717"/>
      <c r="CR1459" s="717"/>
      <c r="CS1459" s="717"/>
      <c r="CT1459" s="717"/>
      <c r="CU1459" s="717"/>
      <c r="CV1459" s="717"/>
      <c r="CW1459" s="717"/>
      <c r="CX1459" s="717"/>
      <c r="CY1459" s="717"/>
      <c r="CZ1459" s="717"/>
      <c r="DA1459" s="717"/>
      <c r="DB1459" s="717"/>
      <c r="DC1459" s="717"/>
      <c r="DD1459" s="717"/>
      <c r="DE1459" s="717"/>
      <c r="DF1459" s="717"/>
      <c r="DG1459" s="717"/>
      <c r="DH1459" s="717"/>
      <c r="DI1459" s="717"/>
      <c r="DJ1459" s="717"/>
      <c r="DM1459" s="711"/>
      <c r="DN1459" s="711"/>
      <c r="DO1459" s="711"/>
      <c r="DP1459" s="711"/>
      <c r="DQ1459" s="711"/>
    </row>
    <row r="1460" spans="13:121" s="709" customFormat="1" hidden="1">
      <c r="M1460" s="710"/>
      <c r="P1460" s="711"/>
      <c r="Q1460" s="712"/>
      <c r="U1460" s="711"/>
      <c r="V1460" s="711"/>
      <c r="W1460" s="711"/>
      <c r="X1460" s="711"/>
      <c r="Y1460" s="711"/>
      <c r="Z1460" s="711"/>
      <c r="AU1460" s="713"/>
      <c r="AW1460" s="712"/>
      <c r="BY1460" s="714"/>
      <c r="BZ1460" s="715"/>
      <c r="CA1460" s="716"/>
      <c r="CB1460" s="717"/>
      <c r="CC1460" s="717"/>
      <c r="CD1460" s="717"/>
      <c r="CE1460" s="717"/>
      <c r="CF1460" s="717"/>
      <c r="CG1460" s="717"/>
      <c r="CH1460" s="717"/>
      <c r="CI1460" s="717"/>
      <c r="CJ1460" s="717"/>
      <c r="CK1460" s="717"/>
      <c r="CL1460" s="717"/>
      <c r="CM1460" s="717"/>
      <c r="CN1460" s="717"/>
      <c r="CO1460" s="717"/>
      <c r="CP1460" s="717"/>
      <c r="CQ1460" s="717"/>
      <c r="CR1460" s="717"/>
      <c r="CS1460" s="717"/>
      <c r="CT1460" s="717"/>
      <c r="CU1460" s="717"/>
      <c r="CV1460" s="717"/>
      <c r="CW1460" s="717"/>
      <c r="CX1460" s="717"/>
      <c r="CY1460" s="717"/>
      <c r="CZ1460" s="717"/>
      <c r="DA1460" s="717"/>
      <c r="DB1460" s="717"/>
      <c r="DC1460" s="717"/>
      <c r="DD1460" s="717"/>
      <c r="DE1460" s="717"/>
      <c r="DF1460" s="717"/>
      <c r="DG1460" s="717"/>
      <c r="DH1460" s="717"/>
      <c r="DI1460" s="717"/>
      <c r="DJ1460" s="717"/>
      <c r="DM1460" s="711"/>
      <c r="DN1460" s="711"/>
      <c r="DO1460" s="711"/>
      <c r="DP1460" s="711"/>
      <c r="DQ1460" s="711"/>
    </row>
    <row r="1461" spans="13:121" s="709" customFormat="1" hidden="1">
      <c r="M1461" s="710"/>
      <c r="P1461" s="711"/>
      <c r="Q1461" s="712"/>
      <c r="U1461" s="711"/>
      <c r="V1461" s="711"/>
      <c r="W1461" s="711"/>
      <c r="X1461" s="711"/>
      <c r="Y1461" s="711"/>
      <c r="Z1461" s="711"/>
      <c r="AU1461" s="713"/>
      <c r="AW1461" s="712"/>
      <c r="BY1461" s="714"/>
      <c r="BZ1461" s="715"/>
      <c r="CA1461" s="716"/>
      <c r="CB1461" s="717"/>
      <c r="CC1461" s="717"/>
      <c r="CD1461" s="717"/>
      <c r="CE1461" s="717"/>
      <c r="CF1461" s="717"/>
      <c r="CG1461" s="717"/>
      <c r="CH1461" s="717"/>
      <c r="CI1461" s="717"/>
      <c r="CJ1461" s="717"/>
      <c r="CK1461" s="717"/>
      <c r="CL1461" s="717"/>
      <c r="CM1461" s="717"/>
      <c r="CN1461" s="717"/>
      <c r="CO1461" s="717"/>
      <c r="CP1461" s="717"/>
      <c r="CQ1461" s="717"/>
      <c r="CR1461" s="717"/>
      <c r="CS1461" s="717"/>
      <c r="CT1461" s="717"/>
      <c r="CU1461" s="717"/>
      <c r="CV1461" s="717"/>
      <c r="CW1461" s="717"/>
      <c r="CX1461" s="717"/>
      <c r="CY1461" s="717"/>
      <c r="CZ1461" s="717"/>
      <c r="DA1461" s="717"/>
      <c r="DB1461" s="717"/>
      <c r="DC1461" s="717"/>
      <c r="DD1461" s="717"/>
      <c r="DE1461" s="717"/>
      <c r="DF1461" s="717"/>
      <c r="DG1461" s="717"/>
      <c r="DH1461" s="717"/>
      <c r="DI1461" s="717"/>
      <c r="DJ1461" s="717"/>
      <c r="DM1461" s="711"/>
      <c r="DN1461" s="711"/>
      <c r="DO1461" s="711"/>
      <c r="DP1461" s="711"/>
      <c r="DQ1461" s="711"/>
    </row>
    <row r="1462" spans="13:121" s="709" customFormat="1" hidden="1">
      <c r="M1462" s="710"/>
      <c r="P1462" s="711"/>
      <c r="Q1462" s="712"/>
      <c r="U1462" s="711"/>
      <c r="V1462" s="711"/>
      <c r="W1462" s="711"/>
      <c r="X1462" s="711"/>
      <c r="Y1462" s="711"/>
      <c r="Z1462" s="711"/>
      <c r="AU1462" s="713"/>
      <c r="AW1462" s="712"/>
      <c r="BY1462" s="714"/>
      <c r="BZ1462" s="715"/>
      <c r="CA1462" s="716"/>
      <c r="CB1462" s="717"/>
      <c r="CC1462" s="717"/>
      <c r="CD1462" s="717"/>
      <c r="CE1462" s="717"/>
      <c r="CF1462" s="717"/>
      <c r="CG1462" s="717"/>
      <c r="CH1462" s="717"/>
      <c r="CI1462" s="717"/>
      <c r="CJ1462" s="717"/>
      <c r="CK1462" s="717"/>
      <c r="CL1462" s="717"/>
      <c r="CM1462" s="717"/>
      <c r="CN1462" s="717"/>
      <c r="CO1462" s="717"/>
      <c r="CP1462" s="717"/>
      <c r="CQ1462" s="717"/>
      <c r="CR1462" s="717"/>
      <c r="CS1462" s="717"/>
      <c r="CT1462" s="717"/>
      <c r="CU1462" s="717"/>
      <c r="CV1462" s="717"/>
      <c r="CW1462" s="717"/>
      <c r="CX1462" s="717"/>
      <c r="CY1462" s="717"/>
      <c r="CZ1462" s="717"/>
      <c r="DA1462" s="717"/>
      <c r="DB1462" s="717"/>
      <c r="DC1462" s="717"/>
      <c r="DD1462" s="717"/>
      <c r="DE1462" s="717"/>
      <c r="DF1462" s="717"/>
      <c r="DG1462" s="717"/>
      <c r="DH1462" s="717"/>
      <c r="DI1462" s="717"/>
      <c r="DJ1462" s="717"/>
      <c r="DM1462" s="711"/>
      <c r="DN1462" s="711"/>
      <c r="DO1462" s="711"/>
      <c r="DP1462" s="711"/>
      <c r="DQ1462" s="711"/>
    </row>
    <row r="1463" spans="13:121" s="709" customFormat="1" hidden="1">
      <c r="M1463" s="710"/>
      <c r="P1463" s="711"/>
      <c r="Q1463" s="712"/>
      <c r="U1463" s="711"/>
      <c r="V1463" s="711"/>
      <c r="W1463" s="711"/>
      <c r="X1463" s="711"/>
      <c r="Y1463" s="711"/>
      <c r="Z1463" s="711"/>
      <c r="AU1463" s="713"/>
      <c r="AW1463" s="712"/>
      <c r="BY1463" s="714"/>
      <c r="BZ1463" s="715"/>
      <c r="CA1463" s="716"/>
      <c r="CB1463" s="717"/>
      <c r="CC1463" s="717"/>
      <c r="CD1463" s="717"/>
      <c r="CE1463" s="717"/>
      <c r="CF1463" s="717"/>
      <c r="CG1463" s="717"/>
      <c r="CH1463" s="717"/>
      <c r="CI1463" s="717"/>
      <c r="CJ1463" s="717"/>
      <c r="CK1463" s="717"/>
      <c r="CL1463" s="717"/>
      <c r="CM1463" s="717"/>
      <c r="CN1463" s="717"/>
      <c r="CO1463" s="717"/>
      <c r="CP1463" s="717"/>
      <c r="CQ1463" s="717"/>
      <c r="CR1463" s="717"/>
      <c r="CS1463" s="717"/>
      <c r="CT1463" s="717"/>
      <c r="CU1463" s="717"/>
      <c r="CV1463" s="717"/>
      <c r="CW1463" s="717"/>
      <c r="CX1463" s="717"/>
      <c r="CY1463" s="717"/>
      <c r="CZ1463" s="717"/>
      <c r="DA1463" s="717"/>
      <c r="DB1463" s="717"/>
      <c r="DC1463" s="717"/>
      <c r="DD1463" s="717"/>
      <c r="DE1463" s="717"/>
      <c r="DF1463" s="717"/>
      <c r="DG1463" s="717"/>
      <c r="DH1463" s="717"/>
      <c r="DI1463" s="717"/>
      <c r="DJ1463" s="717"/>
      <c r="DM1463" s="711"/>
      <c r="DN1463" s="711"/>
      <c r="DO1463" s="711"/>
      <c r="DP1463" s="711"/>
      <c r="DQ1463" s="711"/>
    </row>
    <row r="1464" spans="13:121" s="709" customFormat="1" hidden="1">
      <c r="M1464" s="710"/>
      <c r="P1464" s="711"/>
      <c r="Q1464" s="712"/>
      <c r="U1464" s="711"/>
      <c r="V1464" s="711"/>
      <c r="W1464" s="711"/>
      <c r="X1464" s="711"/>
      <c r="Y1464" s="711"/>
      <c r="Z1464" s="711"/>
      <c r="AU1464" s="713"/>
      <c r="AW1464" s="712"/>
      <c r="BY1464" s="714"/>
      <c r="BZ1464" s="715"/>
      <c r="CA1464" s="716"/>
      <c r="CB1464" s="717"/>
      <c r="CC1464" s="717"/>
      <c r="CD1464" s="717"/>
      <c r="CE1464" s="717"/>
      <c r="CF1464" s="717"/>
      <c r="CG1464" s="717"/>
      <c r="CH1464" s="717"/>
      <c r="CI1464" s="717"/>
      <c r="CJ1464" s="717"/>
      <c r="CK1464" s="717"/>
      <c r="CL1464" s="717"/>
      <c r="CM1464" s="717"/>
      <c r="CN1464" s="717"/>
      <c r="CO1464" s="717"/>
      <c r="CP1464" s="717"/>
      <c r="CQ1464" s="717"/>
      <c r="CR1464" s="717"/>
      <c r="CS1464" s="717"/>
      <c r="CT1464" s="717"/>
      <c r="CU1464" s="717"/>
      <c r="CV1464" s="717"/>
      <c r="CW1464" s="717"/>
      <c r="CX1464" s="717"/>
      <c r="CY1464" s="717"/>
      <c r="CZ1464" s="717"/>
      <c r="DA1464" s="717"/>
      <c r="DB1464" s="717"/>
      <c r="DC1464" s="717"/>
      <c r="DD1464" s="717"/>
      <c r="DE1464" s="717"/>
      <c r="DF1464" s="717"/>
      <c r="DG1464" s="717"/>
      <c r="DH1464" s="717"/>
      <c r="DI1464" s="717"/>
      <c r="DJ1464" s="717"/>
      <c r="DM1464" s="711"/>
      <c r="DN1464" s="711"/>
      <c r="DO1464" s="711"/>
      <c r="DP1464" s="711"/>
      <c r="DQ1464" s="711"/>
    </row>
    <row r="1465" spans="13:121" s="709" customFormat="1" hidden="1">
      <c r="M1465" s="710"/>
      <c r="P1465" s="711"/>
      <c r="Q1465" s="712"/>
      <c r="U1465" s="711"/>
      <c r="V1465" s="711"/>
      <c r="W1465" s="711"/>
      <c r="X1465" s="711"/>
      <c r="Y1465" s="711"/>
      <c r="Z1465" s="711"/>
      <c r="AU1465" s="713"/>
      <c r="AW1465" s="712"/>
      <c r="BY1465" s="714"/>
      <c r="BZ1465" s="715"/>
      <c r="CA1465" s="716"/>
      <c r="CB1465" s="717"/>
      <c r="CC1465" s="717"/>
      <c r="CD1465" s="717"/>
      <c r="CE1465" s="717"/>
      <c r="CF1465" s="717"/>
      <c r="CG1465" s="717"/>
      <c r="CH1465" s="717"/>
      <c r="CI1465" s="717"/>
      <c r="CJ1465" s="717"/>
      <c r="CK1465" s="717"/>
      <c r="CL1465" s="717"/>
      <c r="CM1465" s="717"/>
      <c r="CN1465" s="717"/>
      <c r="CO1465" s="717"/>
      <c r="CP1465" s="717"/>
      <c r="CQ1465" s="717"/>
      <c r="CR1465" s="717"/>
      <c r="CS1465" s="717"/>
      <c r="CT1465" s="717"/>
      <c r="CU1465" s="717"/>
      <c r="CV1465" s="717"/>
      <c r="CW1465" s="717"/>
      <c r="CX1465" s="717"/>
      <c r="CY1465" s="717"/>
      <c r="CZ1465" s="717"/>
      <c r="DA1465" s="717"/>
      <c r="DB1465" s="717"/>
      <c r="DC1465" s="717"/>
      <c r="DD1465" s="717"/>
      <c r="DE1465" s="717"/>
      <c r="DF1465" s="717"/>
      <c r="DG1465" s="717"/>
      <c r="DH1465" s="717"/>
      <c r="DI1465" s="717"/>
      <c r="DJ1465" s="717"/>
      <c r="DM1465" s="711"/>
      <c r="DN1465" s="711"/>
      <c r="DO1465" s="711"/>
      <c r="DP1465" s="711"/>
      <c r="DQ1465" s="711"/>
    </row>
    <row r="1466" spans="13:121" s="709" customFormat="1" hidden="1">
      <c r="M1466" s="710"/>
      <c r="P1466" s="711"/>
      <c r="Q1466" s="712"/>
      <c r="U1466" s="711"/>
      <c r="V1466" s="711"/>
      <c r="W1466" s="711"/>
      <c r="X1466" s="711"/>
      <c r="Y1466" s="711"/>
      <c r="Z1466" s="711"/>
      <c r="AU1466" s="713"/>
      <c r="AW1466" s="712"/>
      <c r="BY1466" s="714"/>
      <c r="BZ1466" s="715"/>
      <c r="CA1466" s="716"/>
      <c r="CB1466" s="717"/>
      <c r="CC1466" s="717"/>
      <c r="CD1466" s="717"/>
      <c r="CE1466" s="717"/>
      <c r="CF1466" s="717"/>
      <c r="CG1466" s="717"/>
      <c r="CH1466" s="717"/>
      <c r="CI1466" s="717"/>
      <c r="CJ1466" s="717"/>
      <c r="CK1466" s="717"/>
      <c r="CL1466" s="717"/>
      <c r="CM1466" s="717"/>
      <c r="CN1466" s="717"/>
      <c r="CO1466" s="717"/>
      <c r="CP1466" s="717"/>
      <c r="CQ1466" s="717"/>
      <c r="CR1466" s="717"/>
      <c r="CS1466" s="717"/>
      <c r="CT1466" s="717"/>
      <c r="CU1466" s="717"/>
      <c r="CV1466" s="717"/>
      <c r="CW1466" s="717"/>
      <c r="CX1466" s="717"/>
      <c r="CY1466" s="717"/>
      <c r="CZ1466" s="717"/>
      <c r="DA1466" s="717"/>
      <c r="DB1466" s="717"/>
      <c r="DC1466" s="717"/>
      <c r="DD1466" s="717"/>
      <c r="DE1466" s="717"/>
      <c r="DF1466" s="717"/>
      <c r="DG1466" s="717"/>
      <c r="DH1466" s="717"/>
      <c r="DI1466" s="717"/>
      <c r="DJ1466" s="717"/>
      <c r="DM1466" s="711"/>
      <c r="DN1466" s="711"/>
      <c r="DO1466" s="711"/>
      <c r="DP1466" s="711"/>
      <c r="DQ1466" s="711"/>
    </row>
    <row r="1467" spans="13:121" s="709" customFormat="1" hidden="1">
      <c r="M1467" s="710"/>
      <c r="P1467" s="711"/>
      <c r="Q1467" s="712"/>
      <c r="U1467" s="711"/>
      <c r="V1467" s="711"/>
      <c r="W1467" s="711"/>
      <c r="X1467" s="711"/>
      <c r="Y1467" s="711"/>
      <c r="Z1467" s="711"/>
      <c r="AU1467" s="713"/>
      <c r="AW1467" s="712"/>
      <c r="BY1467" s="714"/>
      <c r="BZ1467" s="715"/>
      <c r="CA1467" s="716"/>
      <c r="CB1467" s="717"/>
      <c r="CC1467" s="717"/>
      <c r="CD1467" s="717"/>
      <c r="CE1467" s="717"/>
      <c r="CF1467" s="717"/>
      <c r="CG1467" s="717"/>
      <c r="CH1467" s="717"/>
      <c r="CI1467" s="717"/>
      <c r="CJ1467" s="717"/>
      <c r="CK1467" s="717"/>
      <c r="CL1467" s="717"/>
      <c r="CM1467" s="717"/>
      <c r="CN1467" s="717"/>
      <c r="CO1467" s="717"/>
      <c r="CP1467" s="717"/>
      <c r="CQ1467" s="717"/>
      <c r="CR1467" s="717"/>
      <c r="CS1467" s="717"/>
      <c r="CT1467" s="717"/>
      <c r="CU1467" s="717"/>
      <c r="CV1467" s="717"/>
      <c r="CW1467" s="717"/>
      <c r="CX1467" s="717"/>
      <c r="CY1467" s="717"/>
      <c r="CZ1467" s="717"/>
      <c r="DA1467" s="717"/>
      <c r="DB1467" s="717"/>
      <c r="DC1467" s="717"/>
      <c r="DD1467" s="717"/>
      <c r="DE1467" s="717"/>
      <c r="DF1467" s="717"/>
      <c r="DG1467" s="717"/>
      <c r="DH1467" s="717"/>
      <c r="DI1467" s="717"/>
      <c r="DJ1467" s="717"/>
      <c r="DM1467" s="711"/>
      <c r="DN1467" s="711"/>
      <c r="DO1467" s="711"/>
      <c r="DP1467" s="711"/>
      <c r="DQ1467" s="711"/>
    </row>
    <row r="1468" spans="13:121" s="709" customFormat="1" hidden="1">
      <c r="M1468" s="710"/>
      <c r="P1468" s="711"/>
      <c r="Q1468" s="712"/>
      <c r="U1468" s="711"/>
      <c r="V1468" s="711"/>
      <c r="W1468" s="711"/>
      <c r="X1468" s="711"/>
      <c r="Y1468" s="711"/>
      <c r="Z1468" s="711"/>
      <c r="AU1468" s="713"/>
      <c r="AW1468" s="712"/>
      <c r="BY1468" s="714"/>
      <c r="BZ1468" s="715"/>
      <c r="CA1468" s="716"/>
      <c r="CB1468" s="717"/>
      <c r="CC1468" s="717"/>
      <c r="CD1468" s="717"/>
      <c r="CE1468" s="717"/>
      <c r="CF1468" s="717"/>
      <c r="CG1468" s="717"/>
      <c r="CH1468" s="717"/>
      <c r="CI1468" s="717"/>
      <c r="CJ1468" s="717"/>
      <c r="CK1468" s="717"/>
      <c r="CL1468" s="717"/>
      <c r="CM1468" s="717"/>
      <c r="CN1468" s="717"/>
      <c r="CO1468" s="717"/>
      <c r="CP1468" s="717"/>
      <c r="CQ1468" s="717"/>
      <c r="CR1468" s="717"/>
      <c r="CS1468" s="717"/>
      <c r="CT1468" s="717"/>
      <c r="CU1468" s="717"/>
      <c r="CV1468" s="717"/>
      <c r="CW1468" s="717"/>
      <c r="CX1468" s="717"/>
      <c r="CY1468" s="717"/>
      <c r="CZ1468" s="717"/>
      <c r="DA1468" s="717"/>
      <c r="DB1468" s="717"/>
      <c r="DC1468" s="717"/>
      <c r="DD1468" s="717"/>
      <c r="DE1468" s="717"/>
      <c r="DF1468" s="717"/>
      <c r="DG1468" s="717"/>
      <c r="DH1468" s="717"/>
      <c r="DI1468" s="717"/>
      <c r="DJ1468" s="717"/>
      <c r="DM1468" s="711"/>
      <c r="DN1468" s="711"/>
      <c r="DO1468" s="711"/>
      <c r="DP1468" s="711"/>
      <c r="DQ1468" s="711"/>
    </row>
    <row r="1469" spans="13:121" s="709" customFormat="1" hidden="1">
      <c r="M1469" s="710"/>
      <c r="P1469" s="711"/>
      <c r="Q1469" s="712"/>
      <c r="U1469" s="711"/>
      <c r="V1469" s="711"/>
      <c r="W1469" s="711"/>
      <c r="X1469" s="711"/>
      <c r="Y1469" s="711"/>
      <c r="Z1469" s="711"/>
      <c r="AU1469" s="713"/>
      <c r="AW1469" s="712"/>
      <c r="BY1469" s="714"/>
      <c r="BZ1469" s="715"/>
      <c r="CA1469" s="716"/>
      <c r="CB1469" s="717"/>
      <c r="CC1469" s="717"/>
      <c r="CD1469" s="717"/>
      <c r="CE1469" s="717"/>
      <c r="CF1469" s="717"/>
      <c r="CG1469" s="717"/>
      <c r="CH1469" s="717"/>
      <c r="CI1469" s="717"/>
      <c r="CJ1469" s="717"/>
      <c r="CK1469" s="717"/>
      <c r="CL1469" s="717"/>
      <c r="CM1469" s="717"/>
      <c r="CN1469" s="717"/>
      <c r="CO1469" s="717"/>
      <c r="CP1469" s="717"/>
      <c r="CQ1469" s="717"/>
      <c r="CR1469" s="717"/>
      <c r="CS1469" s="717"/>
      <c r="CT1469" s="717"/>
      <c r="CU1469" s="717"/>
      <c r="CV1469" s="717"/>
      <c r="CW1469" s="717"/>
      <c r="CX1469" s="717"/>
      <c r="CY1469" s="717"/>
      <c r="CZ1469" s="717"/>
      <c r="DA1469" s="717"/>
      <c r="DB1469" s="717"/>
      <c r="DC1469" s="717"/>
      <c r="DD1469" s="717"/>
      <c r="DE1469" s="717"/>
      <c r="DF1469" s="717"/>
      <c r="DG1469" s="717"/>
      <c r="DH1469" s="717"/>
      <c r="DI1469" s="717"/>
      <c r="DJ1469" s="717"/>
      <c r="DM1469" s="711"/>
      <c r="DN1469" s="711"/>
      <c r="DO1469" s="711"/>
      <c r="DP1469" s="711"/>
      <c r="DQ1469" s="711"/>
    </row>
    <row r="1470" spans="13:121" s="709" customFormat="1" hidden="1">
      <c r="M1470" s="710"/>
      <c r="P1470" s="711"/>
      <c r="Q1470" s="712"/>
      <c r="U1470" s="711"/>
      <c r="V1470" s="711"/>
      <c r="W1470" s="711"/>
      <c r="X1470" s="711"/>
      <c r="Y1470" s="711"/>
      <c r="Z1470" s="711"/>
      <c r="AU1470" s="713"/>
      <c r="AW1470" s="712"/>
      <c r="BY1470" s="714"/>
      <c r="BZ1470" s="715"/>
      <c r="CA1470" s="716"/>
      <c r="CB1470" s="717"/>
      <c r="CC1470" s="717"/>
      <c r="CD1470" s="717"/>
      <c r="CE1470" s="717"/>
      <c r="CF1470" s="717"/>
      <c r="CG1470" s="717"/>
      <c r="CH1470" s="717"/>
      <c r="CI1470" s="717"/>
      <c r="CJ1470" s="717"/>
      <c r="CK1470" s="717"/>
      <c r="CL1470" s="717"/>
      <c r="CM1470" s="717"/>
      <c r="CN1470" s="717"/>
      <c r="CO1470" s="717"/>
      <c r="CP1470" s="717"/>
      <c r="CQ1470" s="717"/>
      <c r="CR1470" s="717"/>
      <c r="CS1470" s="717"/>
      <c r="CT1470" s="717"/>
      <c r="CU1470" s="717"/>
      <c r="CV1470" s="717"/>
      <c r="CW1470" s="717"/>
      <c r="CX1470" s="717"/>
      <c r="CY1470" s="717"/>
      <c r="CZ1470" s="717"/>
      <c r="DA1470" s="717"/>
      <c r="DB1470" s="717"/>
      <c r="DC1470" s="717"/>
      <c r="DD1470" s="717"/>
      <c r="DE1470" s="717"/>
      <c r="DF1470" s="717"/>
      <c r="DG1470" s="717"/>
      <c r="DH1470" s="717"/>
      <c r="DI1470" s="717"/>
      <c r="DJ1470" s="717"/>
      <c r="DM1470" s="711"/>
      <c r="DN1470" s="711"/>
      <c r="DO1470" s="711"/>
      <c r="DP1470" s="711"/>
      <c r="DQ1470" s="711"/>
    </row>
    <row r="1471" spans="13:121" s="709" customFormat="1" hidden="1">
      <c r="M1471" s="710"/>
      <c r="P1471" s="711"/>
      <c r="Q1471" s="712"/>
      <c r="U1471" s="711"/>
      <c r="V1471" s="711"/>
      <c r="W1471" s="711"/>
      <c r="X1471" s="711"/>
      <c r="Y1471" s="711"/>
      <c r="Z1471" s="711"/>
      <c r="AU1471" s="713"/>
      <c r="AW1471" s="712"/>
      <c r="BY1471" s="714"/>
      <c r="BZ1471" s="715"/>
      <c r="CA1471" s="716"/>
      <c r="CB1471" s="717"/>
      <c r="CC1471" s="717"/>
      <c r="CD1471" s="717"/>
      <c r="CE1471" s="717"/>
      <c r="CF1471" s="717"/>
      <c r="CG1471" s="717"/>
      <c r="CH1471" s="717"/>
      <c r="CI1471" s="717"/>
      <c r="CJ1471" s="717"/>
      <c r="CK1471" s="717"/>
      <c r="CL1471" s="717"/>
      <c r="CM1471" s="717"/>
      <c r="CN1471" s="717"/>
      <c r="CO1471" s="717"/>
      <c r="CP1471" s="717"/>
      <c r="CQ1471" s="717"/>
      <c r="CR1471" s="717"/>
      <c r="CS1471" s="717"/>
      <c r="CT1471" s="717"/>
      <c r="CU1471" s="717"/>
      <c r="CV1471" s="717"/>
      <c r="CW1471" s="717"/>
      <c r="CX1471" s="717"/>
      <c r="CY1471" s="717"/>
      <c r="CZ1471" s="717"/>
      <c r="DA1471" s="717"/>
      <c r="DB1471" s="717"/>
      <c r="DC1471" s="717"/>
      <c r="DD1471" s="717"/>
      <c r="DE1471" s="717"/>
      <c r="DF1471" s="717"/>
      <c r="DG1471" s="717"/>
      <c r="DH1471" s="717"/>
      <c r="DI1471" s="717"/>
      <c r="DJ1471" s="717"/>
      <c r="DM1471" s="711"/>
      <c r="DN1471" s="711"/>
      <c r="DO1471" s="711"/>
      <c r="DP1471" s="711"/>
      <c r="DQ1471" s="711"/>
    </row>
    <row r="1472" spans="13:121" s="709" customFormat="1" hidden="1">
      <c r="M1472" s="710"/>
      <c r="P1472" s="711"/>
      <c r="Q1472" s="712"/>
      <c r="U1472" s="711"/>
      <c r="V1472" s="711"/>
      <c r="W1472" s="711"/>
      <c r="X1472" s="711"/>
      <c r="Y1472" s="711"/>
      <c r="Z1472" s="711"/>
      <c r="AU1472" s="713"/>
      <c r="AW1472" s="712"/>
      <c r="BY1472" s="714"/>
      <c r="BZ1472" s="715"/>
      <c r="CA1472" s="716"/>
      <c r="CB1472" s="717"/>
      <c r="CC1472" s="717"/>
      <c r="CD1472" s="717"/>
      <c r="CE1472" s="717"/>
      <c r="CF1472" s="717"/>
      <c r="CG1472" s="717"/>
      <c r="CH1472" s="717"/>
      <c r="CI1472" s="717"/>
      <c r="CJ1472" s="717"/>
      <c r="CK1472" s="717"/>
      <c r="CL1472" s="717"/>
      <c r="CM1472" s="717"/>
      <c r="CN1472" s="717"/>
      <c r="CO1472" s="717"/>
      <c r="CP1472" s="717"/>
      <c r="CQ1472" s="717"/>
      <c r="CR1472" s="717"/>
      <c r="CS1472" s="717"/>
      <c r="CT1472" s="717"/>
      <c r="CU1472" s="717"/>
      <c r="CV1472" s="717"/>
      <c r="CW1472" s="717"/>
      <c r="CX1472" s="717"/>
      <c r="CY1472" s="717"/>
      <c r="CZ1472" s="717"/>
      <c r="DA1472" s="717"/>
      <c r="DB1472" s="717"/>
      <c r="DC1472" s="717"/>
      <c r="DD1472" s="717"/>
      <c r="DE1472" s="717"/>
      <c r="DF1472" s="717"/>
      <c r="DG1472" s="717"/>
      <c r="DH1472" s="717"/>
      <c r="DI1472" s="717"/>
      <c r="DJ1472" s="717"/>
      <c r="DM1472" s="711"/>
      <c r="DN1472" s="711"/>
      <c r="DO1472" s="711"/>
      <c r="DP1472" s="711"/>
      <c r="DQ1472" s="711"/>
    </row>
    <row r="1473" spans="13:121" s="709" customFormat="1" hidden="1">
      <c r="M1473" s="710"/>
      <c r="P1473" s="711"/>
      <c r="Q1473" s="712"/>
      <c r="U1473" s="711"/>
      <c r="V1473" s="711"/>
      <c r="W1473" s="711"/>
      <c r="X1473" s="711"/>
      <c r="Y1473" s="711"/>
      <c r="Z1473" s="711"/>
      <c r="AU1473" s="713"/>
      <c r="AW1473" s="712"/>
      <c r="BY1473" s="714"/>
      <c r="BZ1473" s="715"/>
      <c r="CA1473" s="716"/>
      <c r="CB1473" s="717"/>
      <c r="CC1473" s="717"/>
      <c r="CD1473" s="717"/>
      <c r="CE1473" s="717"/>
      <c r="CF1473" s="717"/>
      <c r="CG1473" s="717"/>
      <c r="CH1473" s="717"/>
      <c r="CI1473" s="717"/>
      <c r="CJ1473" s="717"/>
      <c r="CK1473" s="717"/>
      <c r="CL1473" s="717"/>
      <c r="CM1473" s="717"/>
      <c r="CN1473" s="717"/>
      <c r="CO1473" s="717"/>
      <c r="CP1473" s="717"/>
      <c r="CQ1473" s="717"/>
      <c r="CR1473" s="717"/>
      <c r="CS1473" s="717"/>
      <c r="CT1473" s="717"/>
      <c r="CU1473" s="717"/>
      <c r="CV1473" s="717"/>
      <c r="CW1473" s="717"/>
      <c r="CX1473" s="717"/>
      <c r="CY1473" s="717"/>
      <c r="CZ1473" s="717"/>
      <c r="DA1473" s="717"/>
      <c r="DB1473" s="717"/>
      <c r="DC1473" s="717"/>
      <c r="DD1473" s="717"/>
      <c r="DE1473" s="717"/>
      <c r="DF1473" s="717"/>
      <c r="DG1473" s="717"/>
      <c r="DH1473" s="717"/>
      <c r="DI1473" s="717"/>
      <c r="DJ1473" s="717"/>
      <c r="DM1473" s="711"/>
      <c r="DN1473" s="711"/>
      <c r="DO1473" s="711"/>
      <c r="DP1473" s="711"/>
      <c r="DQ1473" s="711"/>
    </row>
    <row r="1474" spans="13:121" s="709" customFormat="1" hidden="1">
      <c r="M1474" s="710"/>
      <c r="P1474" s="711"/>
      <c r="Q1474" s="712"/>
      <c r="U1474" s="711"/>
      <c r="V1474" s="711"/>
      <c r="W1474" s="711"/>
      <c r="X1474" s="711"/>
      <c r="Y1474" s="711"/>
      <c r="Z1474" s="711"/>
      <c r="AU1474" s="713"/>
      <c r="AW1474" s="712"/>
      <c r="BY1474" s="714"/>
      <c r="BZ1474" s="715"/>
      <c r="CA1474" s="716"/>
      <c r="CB1474" s="717"/>
      <c r="CC1474" s="717"/>
      <c r="CD1474" s="717"/>
      <c r="CE1474" s="717"/>
      <c r="CF1474" s="717"/>
      <c r="CG1474" s="717"/>
      <c r="CH1474" s="717"/>
      <c r="CI1474" s="717"/>
      <c r="CJ1474" s="717"/>
      <c r="CK1474" s="717"/>
      <c r="CL1474" s="717"/>
      <c r="CM1474" s="717"/>
      <c r="CN1474" s="717"/>
      <c r="CO1474" s="717"/>
      <c r="CP1474" s="717"/>
      <c r="CQ1474" s="717"/>
      <c r="CR1474" s="717"/>
      <c r="CS1474" s="717"/>
      <c r="CT1474" s="717"/>
      <c r="CU1474" s="717"/>
      <c r="CV1474" s="717"/>
      <c r="CW1474" s="717"/>
      <c r="CX1474" s="717"/>
      <c r="CY1474" s="717"/>
      <c r="CZ1474" s="717"/>
      <c r="DA1474" s="717"/>
      <c r="DB1474" s="717"/>
      <c r="DC1474" s="717"/>
      <c r="DD1474" s="717"/>
      <c r="DE1474" s="717"/>
      <c r="DF1474" s="717"/>
      <c r="DG1474" s="717"/>
      <c r="DH1474" s="717"/>
      <c r="DI1474" s="717"/>
      <c r="DJ1474" s="717"/>
      <c r="DM1474" s="711"/>
      <c r="DN1474" s="711"/>
      <c r="DO1474" s="711"/>
      <c r="DP1474" s="711"/>
      <c r="DQ1474" s="711"/>
    </row>
    <row r="1475" spans="13:121" s="709" customFormat="1" hidden="1">
      <c r="M1475" s="710"/>
      <c r="P1475" s="711"/>
      <c r="Q1475" s="712"/>
      <c r="U1475" s="711"/>
      <c r="V1475" s="711"/>
      <c r="W1475" s="711"/>
      <c r="X1475" s="711"/>
      <c r="Y1475" s="711"/>
      <c r="Z1475" s="711"/>
      <c r="AU1475" s="713"/>
      <c r="AW1475" s="712"/>
      <c r="BY1475" s="714"/>
      <c r="BZ1475" s="715"/>
      <c r="CA1475" s="716"/>
      <c r="CB1475" s="717"/>
      <c r="CC1475" s="717"/>
      <c r="CD1475" s="717"/>
      <c r="CE1475" s="717"/>
      <c r="CF1475" s="717"/>
      <c r="CG1475" s="717"/>
      <c r="CH1475" s="717"/>
      <c r="CI1475" s="717"/>
      <c r="CJ1475" s="717"/>
      <c r="CK1475" s="717"/>
      <c r="CL1475" s="717"/>
      <c r="CM1475" s="717"/>
      <c r="CN1475" s="717"/>
      <c r="CO1475" s="717"/>
      <c r="CP1475" s="717"/>
      <c r="CQ1475" s="717"/>
      <c r="CR1475" s="717"/>
      <c r="CS1475" s="717"/>
      <c r="CT1475" s="717"/>
      <c r="CU1475" s="717"/>
      <c r="CV1475" s="717"/>
      <c r="CW1475" s="717"/>
      <c r="CX1475" s="717"/>
      <c r="CY1475" s="717"/>
      <c r="CZ1475" s="717"/>
      <c r="DA1475" s="717"/>
      <c r="DB1475" s="717"/>
      <c r="DC1475" s="717"/>
      <c r="DD1475" s="717"/>
      <c r="DE1475" s="717"/>
      <c r="DF1475" s="717"/>
      <c r="DG1475" s="717"/>
      <c r="DH1475" s="717"/>
      <c r="DI1475" s="717"/>
      <c r="DJ1475" s="717"/>
      <c r="DM1475" s="711"/>
      <c r="DN1475" s="711"/>
      <c r="DO1475" s="711"/>
      <c r="DP1475" s="711"/>
      <c r="DQ1475" s="711"/>
    </row>
    <row r="1476" spans="13:121" s="709" customFormat="1" hidden="1">
      <c r="M1476" s="710"/>
      <c r="P1476" s="711"/>
      <c r="Q1476" s="712"/>
      <c r="U1476" s="711"/>
      <c r="V1476" s="711"/>
      <c r="W1476" s="711"/>
      <c r="X1476" s="711"/>
      <c r="Y1476" s="711"/>
      <c r="Z1476" s="711"/>
      <c r="AU1476" s="713"/>
      <c r="AW1476" s="712"/>
      <c r="BY1476" s="714"/>
      <c r="BZ1476" s="715"/>
      <c r="CA1476" s="716"/>
      <c r="CB1476" s="717"/>
      <c r="CC1476" s="717"/>
      <c r="CD1476" s="717"/>
      <c r="CE1476" s="717"/>
      <c r="CF1476" s="717"/>
      <c r="CG1476" s="717"/>
      <c r="CH1476" s="717"/>
      <c r="CI1476" s="717"/>
      <c r="CJ1476" s="717"/>
      <c r="CK1476" s="717"/>
      <c r="CL1476" s="717"/>
      <c r="CM1476" s="717"/>
      <c r="CN1476" s="717"/>
      <c r="CO1476" s="717"/>
      <c r="CP1476" s="717"/>
      <c r="CQ1476" s="717"/>
      <c r="CR1476" s="717"/>
      <c r="CS1476" s="717"/>
      <c r="CT1476" s="717"/>
      <c r="CU1476" s="717"/>
      <c r="CV1476" s="717"/>
      <c r="CW1476" s="717"/>
      <c r="CX1476" s="717"/>
      <c r="CY1476" s="717"/>
      <c r="CZ1476" s="717"/>
      <c r="DA1476" s="717"/>
      <c r="DB1476" s="717"/>
      <c r="DC1476" s="717"/>
      <c r="DD1476" s="717"/>
      <c r="DE1476" s="717"/>
      <c r="DF1476" s="717"/>
      <c r="DG1476" s="717"/>
      <c r="DH1476" s="717"/>
      <c r="DI1476" s="717"/>
      <c r="DJ1476" s="717"/>
      <c r="DM1476" s="711"/>
      <c r="DN1476" s="711"/>
      <c r="DO1476" s="711"/>
      <c r="DP1476" s="711"/>
      <c r="DQ1476" s="711"/>
    </row>
    <row r="1477" spans="13:121" s="709" customFormat="1" hidden="1">
      <c r="M1477" s="710"/>
      <c r="P1477" s="711"/>
      <c r="Q1477" s="712"/>
      <c r="U1477" s="711"/>
      <c r="V1477" s="711"/>
      <c r="W1477" s="711"/>
      <c r="X1477" s="711"/>
      <c r="Y1477" s="711"/>
      <c r="Z1477" s="711"/>
      <c r="AU1477" s="713"/>
      <c r="AW1477" s="712"/>
      <c r="BY1477" s="714"/>
      <c r="BZ1477" s="715"/>
      <c r="CA1477" s="716"/>
      <c r="CB1477" s="717"/>
      <c r="CC1477" s="717"/>
      <c r="CD1477" s="717"/>
      <c r="CE1477" s="717"/>
      <c r="CF1477" s="717"/>
      <c r="CG1477" s="717"/>
      <c r="CH1477" s="717"/>
      <c r="CI1477" s="717"/>
      <c r="CJ1477" s="717"/>
      <c r="CK1477" s="717"/>
      <c r="CL1477" s="717"/>
      <c r="CM1477" s="717"/>
      <c r="CN1477" s="717"/>
      <c r="CO1477" s="717"/>
      <c r="CP1477" s="717"/>
      <c r="CQ1477" s="717"/>
      <c r="CR1477" s="717"/>
      <c r="CS1477" s="717"/>
      <c r="CT1477" s="717"/>
      <c r="CU1477" s="717"/>
      <c r="CV1477" s="717"/>
      <c r="CW1477" s="717"/>
      <c r="CX1477" s="717"/>
      <c r="CY1477" s="717"/>
      <c r="CZ1477" s="717"/>
      <c r="DA1477" s="717"/>
      <c r="DB1477" s="717"/>
      <c r="DC1477" s="717"/>
      <c r="DD1477" s="717"/>
      <c r="DE1477" s="717"/>
      <c r="DF1477" s="717"/>
      <c r="DG1477" s="717"/>
      <c r="DH1477" s="717"/>
      <c r="DI1477" s="717"/>
      <c r="DJ1477" s="717"/>
      <c r="DM1477" s="711"/>
      <c r="DN1477" s="711"/>
      <c r="DO1477" s="711"/>
      <c r="DP1477" s="711"/>
      <c r="DQ1477" s="711"/>
    </row>
    <row r="1478" spans="13:121" s="709" customFormat="1" hidden="1">
      <c r="M1478" s="710"/>
      <c r="P1478" s="711"/>
      <c r="Q1478" s="712"/>
      <c r="U1478" s="711"/>
      <c r="V1478" s="711"/>
      <c r="W1478" s="711"/>
      <c r="X1478" s="711"/>
      <c r="Y1478" s="711"/>
      <c r="Z1478" s="711"/>
      <c r="AU1478" s="713"/>
      <c r="AW1478" s="712"/>
      <c r="BY1478" s="714"/>
      <c r="BZ1478" s="715"/>
      <c r="CA1478" s="716"/>
      <c r="CB1478" s="717"/>
      <c r="CC1478" s="717"/>
      <c r="CD1478" s="717"/>
      <c r="CE1478" s="717"/>
      <c r="CF1478" s="717"/>
      <c r="CG1478" s="717"/>
      <c r="CH1478" s="717"/>
      <c r="CI1478" s="717"/>
      <c r="CJ1478" s="717"/>
      <c r="CK1478" s="717"/>
      <c r="CL1478" s="717"/>
      <c r="CM1478" s="717"/>
      <c r="CN1478" s="717"/>
      <c r="CO1478" s="717"/>
      <c r="CP1478" s="717"/>
      <c r="CQ1478" s="717"/>
      <c r="CR1478" s="717"/>
      <c r="CS1478" s="717"/>
      <c r="CT1478" s="717"/>
      <c r="CU1478" s="717"/>
      <c r="CV1478" s="717"/>
      <c r="CW1478" s="717"/>
      <c r="CX1478" s="717"/>
      <c r="CY1478" s="717"/>
      <c r="CZ1478" s="717"/>
      <c r="DA1478" s="717"/>
      <c r="DB1478" s="717"/>
      <c r="DC1478" s="717"/>
      <c r="DD1478" s="717"/>
      <c r="DE1478" s="717"/>
      <c r="DF1478" s="717"/>
      <c r="DG1478" s="717"/>
      <c r="DH1478" s="717"/>
      <c r="DI1478" s="717"/>
      <c r="DJ1478" s="717"/>
      <c r="DM1478" s="711"/>
      <c r="DN1478" s="711"/>
      <c r="DO1478" s="711"/>
      <c r="DP1478" s="711"/>
      <c r="DQ1478" s="711"/>
    </row>
    <row r="1479" spans="13:121" s="709" customFormat="1" hidden="1">
      <c r="M1479" s="710"/>
      <c r="P1479" s="711"/>
      <c r="Q1479" s="712"/>
      <c r="U1479" s="711"/>
      <c r="V1479" s="711"/>
      <c r="W1479" s="711"/>
      <c r="X1479" s="711"/>
      <c r="Y1479" s="711"/>
      <c r="Z1479" s="711"/>
      <c r="AU1479" s="713"/>
      <c r="AW1479" s="712"/>
      <c r="BY1479" s="714"/>
      <c r="BZ1479" s="715"/>
      <c r="CA1479" s="716"/>
      <c r="CB1479" s="717"/>
      <c r="CC1479" s="717"/>
      <c r="CD1479" s="717"/>
      <c r="CE1479" s="717"/>
      <c r="CF1479" s="717"/>
      <c r="CG1479" s="717"/>
      <c r="CH1479" s="717"/>
      <c r="CI1479" s="717"/>
      <c r="CJ1479" s="717"/>
      <c r="CK1479" s="717"/>
      <c r="CL1479" s="717"/>
      <c r="CM1479" s="717"/>
      <c r="CN1479" s="717"/>
      <c r="CO1479" s="717"/>
      <c r="CP1479" s="717"/>
      <c r="CQ1479" s="717"/>
      <c r="CR1479" s="717"/>
      <c r="CS1479" s="717"/>
      <c r="CT1479" s="717"/>
      <c r="CU1479" s="717"/>
      <c r="CV1479" s="717"/>
      <c r="CW1479" s="717"/>
      <c r="CX1479" s="717"/>
      <c r="CY1479" s="717"/>
      <c r="CZ1479" s="717"/>
      <c r="DA1479" s="717"/>
      <c r="DB1479" s="717"/>
      <c r="DC1479" s="717"/>
      <c r="DD1479" s="717"/>
      <c r="DE1479" s="717"/>
      <c r="DF1479" s="717"/>
      <c r="DG1479" s="717"/>
      <c r="DH1479" s="717"/>
      <c r="DI1479" s="717"/>
      <c r="DJ1479" s="717"/>
      <c r="DM1479" s="711"/>
      <c r="DN1479" s="711"/>
      <c r="DO1479" s="711"/>
      <c r="DP1479" s="711"/>
      <c r="DQ1479" s="711"/>
    </row>
    <row r="1480" spans="13:121" s="709" customFormat="1" hidden="1">
      <c r="M1480" s="710"/>
      <c r="P1480" s="711"/>
      <c r="Q1480" s="712"/>
      <c r="U1480" s="711"/>
      <c r="V1480" s="711"/>
      <c r="W1480" s="711"/>
      <c r="X1480" s="711"/>
      <c r="Y1480" s="711"/>
      <c r="Z1480" s="711"/>
      <c r="AU1480" s="713"/>
      <c r="AW1480" s="712"/>
      <c r="BY1480" s="714"/>
      <c r="BZ1480" s="715"/>
      <c r="CA1480" s="716"/>
      <c r="CB1480" s="717"/>
      <c r="CC1480" s="717"/>
      <c r="CD1480" s="717"/>
      <c r="CE1480" s="717"/>
      <c r="CF1480" s="717"/>
      <c r="CG1480" s="717"/>
      <c r="CH1480" s="717"/>
      <c r="CI1480" s="717"/>
      <c r="CJ1480" s="717"/>
      <c r="CK1480" s="717"/>
      <c r="CL1480" s="717"/>
      <c r="CM1480" s="717"/>
      <c r="CN1480" s="717"/>
      <c r="CO1480" s="717"/>
      <c r="CP1480" s="717"/>
      <c r="CQ1480" s="717"/>
      <c r="CR1480" s="717"/>
      <c r="CS1480" s="717"/>
      <c r="CT1480" s="717"/>
      <c r="CU1480" s="717"/>
      <c r="CV1480" s="717"/>
      <c r="CW1480" s="717"/>
      <c r="CX1480" s="717"/>
      <c r="CY1480" s="717"/>
      <c r="CZ1480" s="717"/>
      <c r="DA1480" s="717"/>
      <c r="DB1480" s="717"/>
      <c r="DC1480" s="717"/>
      <c r="DD1480" s="717"/>
      <c r="DE1480" s="717"/>
      <c r="DF1480" s="717"/>
      <c r="DG1480" s="717"/>
      <c r="DH1480" s="717"/>
      <c r="DI1480" s="717"/>
      <c r="DJ1480" s="717"/>
      <c r="DM1480" s="711"/>
      <c r="DN1480" s="711"/>
      <c r="DO1480" s="711"/>
      <c r="DP1480" s="711"/>
      <c r="DQ1480" s="711"/>
    </row>
    <row r="1481" spans="13:121" s="709" customFormat="1" hidden="1">
      <c r="M1481" s="710"/>
      <c r="P1481" s="711"/>
      <c r="Q1481" s="712"/>
      <c r="U1481" s="711"/>
      <c r="V1481" s="711"/>
      <c r="W1481" s="711"/>
      <c r="X1481" s="711"/>
      <c r="Y1481" s="711"/>
      <c r="Z1481" s="711"/>
      <c r="AU1481" s="713"/>
      <c r="AW1481" s="712"/>
      <c r="BY1481" s="714"/>
      <c r="BZ1481" s="715"/>
      <c r="CA1481" s="716"/>
      <c r="CB1481" s="717"/>
      <c r="CC1481" s="717"/>
      <c r="CD1481" s="717"/>
      <c r="CE1481" s="717"/>
      <c r="CF1481" s="717"/>
      <c r="CG1481" s="717"/>
      <c r="CH1481" s="717"/>
      <c r="CI1481" s="717"/>
      <c r="CJ1481" s="717"/>
      <c r="CK1481" s="717"/>
      <c r="CL1481" s="717"/>
      <c r="CM1481" s="717"/>
      <c r="CN1481" s="717"/>
      <c r="CO1481" s="717"/>
      <c r="CP1481" s="717"/>
      <c r="CQ1481" s="717"/>
      <c r="CR1481" s="717"/>
      <c r="CS1481" s="717"/>
      <c r="CT1481" s="717"/>
      <c r="CU1481" s="717"/>
      <c r="CV1481" s="717"/>
      <c r="CW1481" s="717"/>
      <c r="CX1481" s="717"/>
      <c r="CY1481" s="717"/>
      <c r="CZ1481" s="717"/>
      <c r="DA1481" s="717"/>
      <c r="DB1481" s="717"/>
      <c r="DC1481" s="717"/>
      <c r="DD1481" s="717"/>
      <c r="DE1481" s="717"/>
      <c r="DF1481" s="717"/>
      <c r="DG1481" s="717"/>
      <c r="DH1481" s="717"/>
      <c r="DI1481" s="717"/>
      <c r="DJ1481" s="717"/>
      <c r="DM1481" s="711"/>
      <c r="DN1481" s="711"/>
      <c r="DO1481" s="711"/>
      <c r="DP1481" s="711"/>
      <c r="DQ1481" s="711"/>
    </row>
    <row r="1482" spans="13:121" s="709" customFormat="1" hidden="1">
      <c r="M1482" s="710"/>
      <c r="P1482" s="711"/>
      <c r="Q1482" s="712"/>
      <c r="U1482" s="711"/>
      <c r="V1482" s="711"/>
      <c r="W1482" s="711"/>
      <c r="X1482" s="711"/>
      <c r="Y1482" s="711"/>
      <c r="Z1482" s="711"/>
      <c r="AU1482" s="713"/>
      <c r="AW1482" s="712"/>
      <c r="BY1482" s="714"/>
      <c r="BZ1482" s="715"/>
      <c r="CA1482" s="716"/>
      <c r="CB1482" s="717"/>
      <c r="CC1482" s="717"/>
      <c r="CD1482" s="717"/>
      <c r="CE1482" s="717"/>
      <c r="CF1482" s="717"/>
      <c r="CG1482" s="717"/>
      <c r="CH1482" s="717"/>
      <c r="CI1482" s="717"/>
      <c r="CJ1482" s="717"/>
      <c r="CK1482" s="717"/>
      <c r="CL1482" s="717"/>
      <c r="CM1482" s="717"/>
      <c r="CN1482" s="717"/>
      <c r="CO1482" s="717"/>
      <c r="CP1482" s="717"/>
      <c r="CQ1482" s="717"/>
      <c r="CR1482" s="717"/>
      <c r="CS1482" s="717"/>
      <c r="CT1482" s="717"/>
      <c r="CU1482" s="717"/>
      <c r="CV1482" s="717"/>
      <c r="CW1482" s="717"/>
      <c r="CX1482" s="717"/>
      <c r="CY1482" s="717"/>
      <c r="CZ1482" s="717"/>
      <c r="DA1482" s="717"/>
      <c r="DB1482" s="717"/>
      <c r="DC1482" s="717"/>
      <c r="DD1482" s="717"/>
      <c r="DE1482" s="717"/>
      <c r="DF1482" s="717"/>
      <c r="DG1482" s="717"/>
      <c r="DH1482" s="717"/>
      <c r="DI1482" s="717"/>
      <c r="DJ1482" s="717"/>
      <c r="DM1482" s="711"/>
      <c r="DN1482" s="711"/>
      <c r="DO1482" s="711"/>
      <c r="DP1482" s="711"/>
      <c r="DQ1482" s="711"/>
    </row>
    <row r="1483" spans="13:121" s="709" customFormat="1" hidden="1">
      <c r="M1483" s="710"/>
      <c r="P1483" s="711"/>
      <c r="Q1483" s="712"/>
      <c r="U1483" s="711"/>
      <c r="V1483" s="711"/>
      <c r="W1483" s="711"/>
      <c r="X1483" s="711"/>
      <c r="Y1483" s="711"/>
      <c r="Z1483" s="711"/>
      <c r="AU1483" s="713"/>
      <c r="AW1483" s="712"/>
      <c r="BY1483" s="714"/>
      <c r="BZ1483" s="715"/>
      <c r="CA1483" s="716"/>
      <c r="CB1483" s="717"/>
      <c r="CC1483" s="717"/>
      <c r="CD1483" s="717"/>
      <c r="CE1483" s="717"/>
      <c r="CF1483" s="717"/>
      <c r="CG1483" s="717"/>
      <c r="CH1483" s="717"/>
      <c r="CI1483" s="717"/>
      <c r="CJ1483" s="717"/>
      <c r="CK1483" s="717"/>
      <c r="CL1483" s="717"/>
      <c r="CM1483" s="717"/>
      <c r="CN1483" s="717"/>
      <c r="CO1483" s="717"/>
      <c r="CP1483" s="717"/>
      <c r="CQ1483" s="717"/>
      <c r="CR1483" s="717"/>
      <c r="CS1483" s="717"/>
      <c r="CT1483" s="717"/>
      <c r="CU1483" s="717"/>
      <c r="CV1483" s="717"/>
      <c r="CW1483" s="717"/>
      <c r="CX1483" s="717"/>
      <c r="CY1483" s="717"/>
      <c r="CZ1483" s="717"/>
      <c r="DA1483" s="717"/>
      <c r="DB1483" s="717"/>
      <c r="DC1483" s="717"/>
      <c r="DD1483" s="717"/>
      <c r="DE1483" s="717"/>
      <c r="DF1483" s="717"/>
      <c r="DG1483" s="717"/>
      <c r="DH1483" s="717"/>
      <c r="DI1483" s="717"/>
      <c r="DJ1483" s="717"/>
      <c r="DM1483" s="711"/>
      <c r="DN1483" s="711"/>
      <c r="DO1483" s="711"/>
      <c r="DP1483" s="711"/>
      <c r="DQ1483" s="711"/>
    </row>
    <row r="1484" spans="13:121" s="709" customFormat="1" hidden="1">
      <c r="M1484" s="710"/>
      <c r="P1484" s="711"/>
      <c r="Q1484" s="712"/>
      <c r="U1484" s="711"/>
      <c r="V1484" s="711"/>
      <c r="W1484" s="711"/>
      <c r="X1484" s="711"/>
      <c r="Y1484" s="711"/>
      <c r="Z1484" s="711"/>
      <c r="AU1484" s="713"/>
      <c r="AW1484" s="712"/>
      <c r="BY1484" s="714"/>
      <c r="BZ1484" s="715"/>
      <c r="CA1484" s="716"/>
      <c r="CB1484" s="717"/>
      <c r="CC1484" s="717"/>
      <c r="CD1484" s="717"/>
      <c r="CE1484" s="717"/>
      <c r="CF1484" s="717"/>
      <c r="CG1484" s="717"/>
      <c r="CH1484" s="717"/>
      <c r="CI1484" s="717"/>
      <c r="CJ1484" s="717"/>
      <c r="CK1484" s="717"/>
      <c r="CL1484" s="717"/>
      <c r="CM1484" s="717"/>
      <c r="CN1484" s="717"/>
      <c r="CO1484" s="717"/>
      <c r="CP1484" s="717"/>
      <c r="CQ1484" s="717"/>
      <c r="CR1484" s="717"/>
      <c r="CS1484" s="717"/>
      <c r="CT1484" s="717"/>
      <c r="CU1484" s="717"/>
      <c r="CV1484" s="717"/>
      <c r="CW1484" s="717"/>
      <c r="CX1484" s="717"/>
      <c r="CY1484" s="717"/>
      <c r="CZ1484" s="717"/>
      <c r="DA1484" s="717"/>
      <c r="DB1484" s="717"/>
      <c r="DC1484" s="717"/>
      <c r="DD1484" s="717"/>
      <c r="DE1484" s="717"/>
      <c r="DF1484" s="717"/>
      <c r="DG1484" s="717"/>
      <c r="DH1484" s="717"/>
      <c r="DI1484" s="717"/>
      <c r="DJ1484" s="717"/>
      <c r="DM1484" s="711"/>
      <c r="DN1484" s="711"/>
      <c r="DO1484" s="711"/>
      <c r="DP1484" s="711"/>
      <c r="DQ1484" s="711"/>
    </row>
    <row r="1485" spans="13:121" s="709" customFormat="1" hidden="1">
      <c r="M1485" s="710"/>
      <c r="P1485" s="711"/>
      <c r="Q1485" s="712"/>
      <c r="U1485" s="711"/>
      <c r="V1485" s="711"/>
      <c r="W1485" s="711"/>
      <c r="X1485" s="711"/>
      <c r="Y1485" s="711"/>
      <c r="Z1485" s="711"/>
      <c r="AU1485" s="713"/>
      <c r="AW1485" s="712"/>
      <c r="BY1485" s="714"/>
      <c r="BZ1485" s="715"/>
      <c r="CA1485" s="716"/>
      <c r="CB1485" s="717"/>
      <c r="CC1485" s="717"/>
      <c r="CD1485" s="717"/>
      <c r="CE1485" s="717"/>
      <c r="CF1485" s="717"/>
      <c r="CG1485" s="717"/>
      <c r="CH1485" s="717"/>
      <c r="CI1485" s="717"/>
      <c r="CJ1485" s="717"/>
      <c r="CK1485" s="717"/>
      <c r="CL1485" s="717"/>
      <c r="CM1485" s="717"/>
      <c r="CN1485" s="717"/>
      <c r="CO1485" s="717"/>
      <c r="CP1485" s="717"/>
      <c r="CQ1485" s="717"/>
      <c r="CR1485" s="717"/>
      <c r="CS1485" s="717"/>
      <c r="CT1485" s="717"/>
      <c r="CU1485" s="717"/>
      <c r="CV1485" s="717"/>
      <c r="CW1485" s="717"/>
      <c r="CX1485" s="717"/>
      <c r="CY1485" s="717"/>
      <c r="CZ1485" s="717"/>
      <c r="DA1485" s="717"/>
      <c r="DB1485" s="717"/>
      <c r="DC1485" s="717"/>
      <c r="DD1485" s="717"/>
      <c r="DE1485" s="717"/>
      <c r="DF1485" s="717"/>
      <c r="DG1485" s="717"/>
      <c r="DH1485" s="717"/>
      <c r="DI1485" s="717"/>
      <c r="DJ1485" s="717"/>
      <c r="DM1485" s="711"/>
      <c r="DN1485" s="711"/>
      <c r="DO1485" s="711"/>
      <c r="DP1485" s="711"/>
      <c r="DQ1485" s="711"/>
    </row>
    <row r="1486" spans="13:121" s="709" customFormat="1" hidden="1">
      <c r="M1486" s="710"/>
      <c r="P1486" s="711"/>
      <c r="Q1486" s="712"/>
      <c r="U1486" s="711"/>
      <c r="V1486" s="711"/>
      <c r="W1486" s="711"/>
      <c r="X1486" s="711"/>
      <c r="Y1486" s="711"/>
      <c r="Z1486" s="711"/>
      <c r="AU1486" s="713"/>
      <c r="AW1486" s="712"/>
      <c r="BY1486" s="714"/>
      <c r="BZ1486" s="715"/>
      <c r="CA1486" s="716"/>
      <c r="CB1486" s="717"/>
      <c r="CC1486" s="717"/>
      <c r="CD1486" s="717"/>
      <c r="CE1486" s="717"/>
      <c r="CF1486" s="717"/>
      <c r="CG1486" s="717"/>
      <c r="CH1486" s="717"/>
      <c r="CI1486" s="717"/>
      <c r="CJ1486" s="717"/>
      <c r="CK1486" s="717"/>
      <c r="CL1486" s="717"/>
      <c r="CM1486" s="717"/>
      <c r="CN1486" s="717"/>
      <c r="CO1486" s="717"/>
      <c r="CP1486" s="717"/>
      <c r="CQ1486" s="717"/>
      <c r="CR1486" s="717"/>
      <c r="CS1486" s="717"/>
      <c r="CT1486" s="717"/>
      <c r="CU1486" s="717"/>
      <c r="CV1486" s="717"/>
      <c r="CW1486" s="717"/>
      <c r="CX1486" s="717"/>
      <c r="CY1486" s="717"/>
      <c r="CZ1486" s="717"/>
      <c r="DA1486" s="717"/>
      <c r="DB1486" s="717"/>
      <c r="DC1486" s="717"/>
      <c r="DD1486" s="717"/>
      <c r="DE1486" s="717"/>
      <c r="DF1486" s="717"/>
      <c r="DG1486" s="717"/>
      <c r="DH1486" s="717"/>
      <c r="DI1486" s="717"/>
      <c r="DJ1486" s="717"/>
      <c r="DM1486" s="711"/>
      <c r="DN1486" s="711"/>
      <c r="DO1486" s="711"/>
      <c r="DP1486" s="711"/>
      <c r="DQ1486" s="711"/>
    </row>
    <row r="1487" spans="13:121" s="709" customFormat="1" hidden="1">
      <c r="M1487" s="710"/>
      <c r="P1487" s="711"/>
      <c r="Q1487" s="712"/>
      <c r="U1487" s="711"/>
      <c r="V1487" s="711"/>
      <c r="W1487" s="711"/>
      <c r="X1487" s="711"/>
      <c r="Y1487" s="711"/>
      <c r="Z1487" s="711"/>
      <c r="AU1487" s="713"/>
      <c r="AW1487" s="712"/>
      <c r="BY1487" s="714"/>
      <c r="BZ1487" s="715"/>
      <c r="CA1487" s="716"/>
      <c r="CB1487" s="717"/>
      <c r="CC1487" s="717"/>
      <c r="CD1487" s="717"/>
      <c r="CE1487" s="717"/>
      <c r="CF1487" s="717"/>
      <c r="CG1487" s="717"/>
      <c r="CH1487" s="717"/>
      <c r="CI1487" s="717"/>
      <c r="CJ1487" s="717"/>
      <c r="CK1487" s="717"/>
      <c r="CL1487" s="717"/>
      <c r="CM1487" s="717"/>
      <c r="CN1487" s="717"/>
      <c r="CO1487" s="717"/>
      <c r="CP1487" s="717"/>
      <c r="CQ1487" s="717"/>
      <c r="CR1487" s="717"/>
      <c r="CS1487" s="717"/>
      <c r="CT1487" s="717"/>
      <c r="CU1487" s="717"/>
      <c r="CV1487" s="717"/>
      <c r="CW1487" s="717"/>
      <c r="CX1487" s="717"/>
      <c r="CY1487" s="717"/>
      <c r="CZ1487" s="717"/>
      <c r="DA1487" s="717"/>
      <c r="DB1487" s="717"/>
      <c r="DC1487" s="717"/>
      <c r="DD1487" s="717"/>
      <c r="DE1487" s="717"/>
      <c r="DF1487" s="717"/>
      <c r="DG1487" s="717"/>
      <c r="DH1487" s="717"/>
      <c r="DI1487" s="717"/>
      <c r="DJ1487" s="717"/>
      <c r="DM1487" s="711"/>
      <c r="DN1487" s="711"/>
      <c r="DO1487" s="711"/>
      <c r="DP1487" s="711"/>
      <c r="DQ1487" s="711"/>
    </row>
    <row r="1488" spans="13:121" s="709" customFormat="1" hidden="1">
      <c r="M1488" s="710"/>
      <c r="P1488" s="711"/>
      <c r="Q1488" s="712"/>
      <c r="U1488" s="711"/>
      <c r="V1488" s="711"/>
      <c r="W1488" s="711"/>
      <c r="X1488" s="711"/>
      <c r="Y1488" s="711"/>
      <c r="Z1488" s="711"/>
      <c r="AU1488" s="713"/>
      <c r="AW1488" s="712"/>
      <c r="BY1488" s="714"/>
      <c r="BZ1488" s="715"/>
      <c r="CA1488" s="716"/>
      <c r="CB1488" s="717"/>
      <c r="CC1488" s="717"/>
      <c r="CD1488" s="717"/>
      <c r="CE1488" s="717"/>
      <c r="CF1488" s="717"/>
      <c r="CG1488" s="717"/>
      <c r="CH1488" s="717"/>
      <c r="CI1488" s="717"/>
      <c r="CJ1488" s="717"/>
      <c r="CK1488" s="717"/>
      <c r="CL1488" s="717"/>
      <c r="CM1488" s="717"/>
      <c r="CN1488" s="717"/>
      <c r="CO1488" s="717"/>
      <c r="CP1488" s="717"/>
      <c r="CQ1488" s="717"/>
      <c r="CR1488" s="717"/>
      <c r="CS1488" s="717"/>
      <c r="CT1488" s="717"/>
      <c r="CU1488" s="717"/>
      <c r="CV1488" s="717"/>
      <c r="CW1488" s="717"/>
      <c r="CX1488" s="717"/>
      <c r="CY1488" s="717"/>
      <c r="CZ1488" s="717"/>
      <c r="DA1488" s="717"/>
      <c r="DB1488" s="717"/>
      <c r="DC1488" s="717"/>
      <c r="DD1488" s="717"/>
      <c r="DE1488" s="717"/>
      <c r="DF1488" s="717"/>
      <c r="DG1488" s="717"/>
      <c r="DH1488" s="717"/>
      <c r="DI1488" s="717"/>
      <c r="DJ1488" s="717"/>
      <c r="DM1488" s="711"/>
      <c r="DN1488" s="711"/>
      <c r="DO1488" s="711"/>
      <c r="DP1488" s="711"/>
      <c r="DQ1488" s="711"/>
    </row>
    <row r="1489" spans="13:121" s="709" customFormat="1" hidden="1">
      <c r="M1489" s="710"/>
      <c r="P1489" s="711"/>
      <c r="Q1489" s="712"/>
      <c r="U1489" s="711"/>
      <c r="V1489" s="711"/>
      <c r="W1489" s="711"/>
      <c r="X1489" s="711"/>
      <c r="Y1489" s="711"/>
      <c r="Z1489" s="711"/>
      <c r="AU1489" s="713"/>
      <c r="AW1489" s="712"/>
      <c r="BY1489" s="714"/>
      <c r="BZ1489" s="715"/>
      <c r="CA1489" s="716"/>
      <c r="CB1489" s="717"/>
      <c r="CC1489" s="717"/>
      <c r="CD1489" s="717"/>
      <c r="CE1489" s="717"/>
      <c r="CF1489" s="717"/>
      <c r="CG1489" s="717"/>
      <c r="CH1489" s="717"/>
      <c r="CI1489" s="717"/>
      <c r="CJ1489" s="717"/>
      <c r="CK1489" s="717"/>
      <c r="CL1489" s="717"/>
      <c r="CM1489" s="717"/>
      <c r="CN1489" s="717"/>
      <c r="CO1489" s="717"/>
      <c r="CP1489" s="717"/>
      <c r="CQ1489" s="717"/>
      <c r="CR1489" s="717"/>
      <c r="CS1489" s="717"/>
      <c r="CT1489" s="717"/>
      <c r="CU1489" s="717"/>
      <c r="CV1489" s="717"/>
      <c r="CW1489" s="717"/>
      <c r="CX1489" s="717"/>
      <c r="CY1489" s="717"/>
      <c r="CZ1489" s="717"/>
      <c r="DA1489" s="717"/>
      <c r="DB1489" s="717"/>
      <c r="DC1489" s="717"/>
      <c r="DD1489" s="717"/>
      <c r="DE1489" s="717"/>
      <c r="DF1489" s="717"/>
      <c r="DG1489" s="717"/>
      <c r="DH1489" s="717"/>
      <c r="DI1489" s="717"/>
      <c r="DJ1489" s="717"/>
      <c r="DM1489" s="711"/>
      <c r="DN1489" s="711"/>
      <c r="DO1489" s="711"/>
      <c r="DP1489" s="711"/>
      <c r="DQ1489" s="711"/>
    </row>
    <row r="1490" spans="13:121" s="709" customFormat="1" hidden="1">
      <c r="M1490" s="710"/>
      <c r="P1490" s="711"/>
      <c r="Q1490" s="712"/>
      <c r="U1490" s="711"/>
      <c r="V1490" s="711"/>
      <c r="W1490" s="711"/>
      <c r="X1490" s="711"/>
      <c r="Y1490" s="711"/>
      <c r="Z1490" s="711"/>
      <c r="AU1490" s="713"/>
      <c r="AW1490" s="712"/>
      <c r="BY1490" s="714"/>
      <c r="BZ1490" s="715"/>
      <c r="CA1490" s="716"/>
      <c r="CB1490" s="717"/>
      <c r="CC1490" s="717"/>
      <c r="CD1490" s="717"/>
      <c r="CE1490" s="717"/>
      <c r="CF1490" s="717"/>
      <c r="CG1490" s="717"/>
      <c r="CH1490" s="717"/>
      <c r="CI1490" s="717"/>
      <c r="CJ1490" s="717"/>
      <c r="CK1490" s="717"/>
      <c r="CL1490" s="717"/>
      <c r="CM1490" s="717"/>
      <c r="CN1490" s="717"/>
      <c r="CO1490" s="717"/>
      <c r="CP1490" s="717"/>
      <c r="CQ1490" s="717"/>
      <c r="CR1490" s="717"/>
      <c r="CS1490" s="717"/>
      <c r="CT1490" s="717"/>
      <c r="CU1490" s="717"/>
      <c r="CV1490" s="717"/>
      <c r="CW1490" s="717"/>
      <c r="CX1490" s="717"/>
      <c r="CY1490" s="717"/>
      <c r="CZ1490" s="717"/>
      <c r="DA1490" s="717"/>
      <c r="DB1490" s="717"/>
      <c r="DC1490" s="717"/>
      <c r="DD1490" s="717"/>
      <c r="DE1490" s="717"/>
      <c r="DF1490" s="717"/>
      <c r="DG1490" s="717"/>
      <c r="DH1490" s="717"/>
      <c r="DI1490" s="717"/>
      <c r="DJ1490" s="717"/>
      <c r="DM1490" s="711"/>
      <c r="DN1490" s="711"/>
      <c r="DO1490" s="711"/>
      <c r="DP1490" s="711"/>
      <c r="DQ1490" s="711"/>
    </row>
    <row r="1491" spans="13:121" s="709" customFormat="1" hidden="1">
      <c r="M1491" s="710"/>
      <c r="P1491" s="711"/>
      <c r="Q1491" s="712"/>
      <c r="U1491" s="711"/>
      <c r="V1491" s="711"/>
      <c r="W1491" s="711"/>
      <c r="X1491" s="711"/>
      <c r="Y1491" s="711"/>
      <c r="Z1491" s="711"/>
      <c r="AU1491" s="713"/>
      <c r="AW1491" s="712"/>
      <c r="BY1491" s="714"/>
      <c r="BZ1491" s="715"/>
      <c r="CA1491" s="716"/>
      <c r="CB1491" s="717"/>
      <c r="CC1491" s="717"/>
      <c r="CD1491" s="717"/>
      <c r="CE1491" s="717"/>
      <c r="CF1491" s="717"/>
      <c r="CG1491" s="717"/>
      <c r="CH1491" s="717"/>
      <c r="CI1491" s="717"/>
      <c r="CJ1491" s="717"/>
      <c r="CK1491" s="717"/>
      <c r="CL1491" s="717"/>
      <c r="CM1491" s="717"/>
      <c r="CN1491" s="717"/>
      <c r="CO1491" s="717"/>
      <c r="CP1491" s="717"/>
      <c r="CQ1491" s="717"/>
      <c r="CR1491" s="717"/>
      <c r="CS1491" s="717"/>
      <c r="CT1491" s="717"/>
      <c r="CU1491" s="717"/>
      <c r="CV1491" s="717"/>
      <c r="CW1491" s="717"/>
      <c r="CX1491" s="717"/>
      <c r="CY1491" s="717"/>
      <c r="CZ1491" s="717"/>
      <c r="DA1491" s="717"/>
      <c r="DB1491" s="717"/>
      <c r="DC1491" s="717"/>
      <c r="DD1491" s="717"/>
      <c r="DE1491" s="717"/>
      <c r="DF1491" s="717"/>
      <c r="DG1491" s="717"/>
      <c r="DH1491" s="717"/>
      <c r="DI1491" s="717"/>
      <c r="DJ1491" s="717"/>
      <c r="DM1491" s="711"/>
      <c r="DN1491" s="711"/>
      <c r="DO1491" s="711"/>
      <c r="DP1491" s="711"/>
      <c r="DQ1491" s="711"/>
    </row>
    <row r="1492" spans="13:121" s="709" customFormat="1" hidden="1">
      <c r="M1492" s="710"/>
      <c r="P1492" s="711"/>
      <c r="Q1492" s="712"/>
      <c r="U1492" s="711"/>
      <c r="V1492" s="711"/>
      <c r="W1492" s="711"/>
      <c r="X1492" s="711"/>
      <c r="Y1492" s="711"/>
      <c r="Z1492" s="711"/>
      <c r="AU1492" s="713"/>
      <c r="AW1492" s="712"/>
      <c r="BY1492" s="714"/>
      <c r="BZ1492" s="715"/>
      <c r="CA1492" s="716"/>
      <c r="CB1492" s="717"/>
      <c r="CC1492" s="717"/>
      <c r="CD1492" s="717"/>
      <c r="CE1492" s="717"/>
      <c r="CF1492" s="717"/>
      <c r="CG1492" s="717"/>
      <c r="CH1492" s="717"/>
      <c r="CI1492" s="717"/>
      <c r="CJ1492" s="717"/>
      <c r="CK1492" s="717"/>
      <c r="CL1492" s="717"/>
      <c r="CM1492" s="717"/>
      <c r="CN1492" s="717"/>
      <c r="CO1492" s="717"/>
      <c r="CP1492" s="717"/>
      <c r="CQ1492" s="717"/>
      <c r="CR1492" s="717"/>
      <c r="CS1492" s="717"/>
      <c r="CT1492" s="717"/>
      <c r="CU1492" s="717"/>
      <c r="CV1492" s="717"/>
      <c r="CW1492" s="717"/>
      <c r="CX1492" s="717"/>
      <c r="CY1492" s="717"/>
      <c r="CZ1492" s="717"/>
      <c r="DA1492" s="717"/>
      <c r="DB1492" s="717"/>
      <c r="DC1492" s="717"/>
      <c r="DD1492" s="717"/>
      <c r="DE1492" s="717"/>
      <c r="DF1492" s="717"/>
      <c r="DG1492" s="717"/>
      <c r="DH1492" s="717"/>
      <c r="DI1492" s="717"/>
      <c r="DJ1492" s="717"/>
      <c r="DM1492" s="711"/>
      <c r="DN1492" s="711"/>
      <c r="DO1492" s="711"/>
      <c r="DP1492" s="711"/>
      <c r="DQ1492" s="711"/>
    </row>
    <row r="1493" spans="13:121" s="709" customFormat="1" hidden="1">
      <c r="M1493" s="710"/>
      <c r="P1493" s="711"/>
      <c r="Q1493" s="712"/>
      <c r="U1493" s="711"/>
      <c r="V1493" s="711"/>
      <c r="W1493" s="711"/>
      <c r="X1493" s="711"/>
      <c r="Y1493" s="711"/>
      <c r="Z1493" s="711"/>
      <c r="AU1493" s="713"/>
      <c r="AW1493" s="712"/>
      <c r="BY1493" s="714"/>
      <c r="BZ1493" s="715"/>
      <c r="CA1493" s="716"/>
      <c r="CB1493" s="717"/>
      <c r="CC1493" s="717"/>
      <c r="CD1493" s="717"/>
      <c r="CE1493" s="717"/>
      <c r="CF1493" s="717"/>
      <c r="CG1493" s="717"/>
      <c r="CH1493" s="717"/>
      <c r="CI1493" s="717"/>
      <c r="CJ1493" s="717"/>
      <c r="CK1493" s="717"/>
      <c r="CL1493" s="717"/>
      <c r="CM1493" s="717"/>
      <c r="CN1493" s="717"/>
      <c r="CO1493" s="717"/>
      <c r="CP1493" s="717"/>
      <c r="CQ1493" s="717"/>
      <c r="CR1493" s="717"/>
      <c r="CS1493" s="717"/>
      <c r="CT1493" s="717"/>
      <c r="CU1493" s="717"/>
      <c r="CV1493" s="717"/>
      <c r="CW1493" s="717"/>
      <c r="CX1493" s="717"/>
      <c r="CY1493" s="717"/>
      <c r="CZ1493" s="717"/>
      <c r="DA1493" s="717"/>
      <c r="DB1493" s="717"/>
      <c r="DC1493" s="717"/>
      <c r="DD1493" s="717"/>
      <c r="DE1493" s="717"/>
      <c r="DF1493" s="717"/>
      <c r="DG1493" s="717"/>
      <c r="DH1493" s="717"/>
      <c r="DI1493" s="717"/>
      <c r="DJ1493" s="717"/>
      <c r="DM1493" s="711"/>
      <c r="DN1493" s="711"/>
      <c r="DO1493" s="711"/>
      <c r="DP1493" s="711"/>
      <c r="DQ1493" s="711"/>
    </row>
    <row r="1494" spans="13:121" s="709" customFormat="1" hidden="1">
      <c r="M1494" s="710"/>
      <c r="P1494" s="711"/>
      <c r="Q1494" s="712"/>
      <c r="U1494" s="711"/>
      <c r="V1494" s="711"/>
      <c r="W1494" s="711"/>
      <c r="X1494" s="711"/>
      <c r="Y1494" s="711"/>
      <c r="Z1494" s="711"/>
      <c r="AU1494" s="713"/>
      <c r="AW1494" s="712"/>
      <c r="BY1494" s="714"/>
      <c r="BZ1494" s="715"/>
      <c r="CA1494" s="716"/>
      <c r="CB1494" s="717"/>
      <c r="CC1494" s="717"/>
      <c r="CD1494" s="717"/>
      <c r="CE1494" s="717"/>
      <c r="CF1494" s="717"/>
      <c r="CG1494" s="717"/>
      <c r="CH1494" s="717"/>
      <c r="CI1494" s="717"/>
      <c r="CJ1494" s="717"/>
      <c r="CK1494" s="717"/>
      <c r="CL1494" s="717"/>
      <c r="CM1494" s="717"/>
      <c r="CN1494" s="717"/>
      <c r="CO1494" s="717"/>
      <c r="CP1494" s="717"/>
      <c r="CQ1494" s="717"/>
      <c r="CR1494" s="717"/>
      <c r="CS1494" s="717"/>
      <c r="CT1494" s="717"/>
      <c r="CU1494" s="717"/>
      <c r="CV1494" s="717"/>
      <c r="CW1494" s="717"/>
      <c r="CX1494" s="717"/>
      <c r="CY1494" s="717"/>
      <c r="CZ1494" s="717"/>
      <c r="DA1494" s="717"/>
      <c r="DB1494" s="717"/>
      <c r="DC1494" s="717"/>
      <c r="DD1494" s="717"/>
      <c r="DE1494" s="717"/>
      <c r="DF1494" s="717"/>
      <c r="DG1494" s="717"/>
      <c r="DH1494" s="717"/>
      <c r="DI1494" s="717"/>
      <c r="DJ1494" s="717"/>
      <c r="DM1494" s="711"/>
      <c r="DN1494" s="711"/>
      <c r="DO1494" s="711"/>
      <c r="DP1494" s="711"/>
      <c r="DQ1494" s="711"/>
    </row>
    <row r="1495" spans="13:121" s="709" customFormat="1" hidden="1">
      <c r="M1495" s="710"/>
      <c r="P1495" s="711"/>
      <c r="Q1495" s="712"/>
      <c r="U1495" s="711"/>
      <c r="V1495" s="711"/>
      <c r="W1495" s="711"/>
      <c r="X1495" s="711"/>
      <c r="Y1495" s="711"/>
      <c r="Z1495" s="711"/>
      <c r="AU1495" s="713"/>
      <c r="AW1495" s="712"/>
      <c r="BY1495" s="714"/>
      <c r="BZ1495" s="715"/>
      <c r="CA1495" s="716"/>
      <c r="CB1495" s="717"/>
      <c r="CC1495" s="717"/>
      <c r="CD1495" s="717"/>
      <c r="CE1495" s="717"/>
      <c r="CF1495" s="717"/>
      <c r="CG1495" s="717"/>
      <c r="CH1495" s="717"/>
      <c r="CI1495" s="717"/>
      <c r="CJ1495" s="717"/>
      <c r="CK1495" s="717"/>
      <c r="CL1495" s="717"/>
      <c r="CM1495" s="717"/>
      <c r="CN1495" s="717"/>
      <c r="CO1495" s="717"/>
      <c r="CP1495" s="717"/>
      <c r="CQ1495" s="717"/>
      <c r="CR1495" s="717"/>
      <c r="CS1495" s="717"/>
      <c r="CT1495" s="717"/>
      <c r="CU1495" s="717"/>
      <c r="CV1495" s="717"/>
      <c r="CW1495" s="717"/>
      <c r="CX1495" s="717"/>
      <c r="CY1495" s="717"/>
      <c r="CZ1495" s="717"/>
      <c r="DA1495" s="717"/>
      <c r="DB1495" s="717"/>
      <c r="DC1495" s="717"/>
      <c r="DD1495" s="717"/>
      <c r="DE1495" s="717"/>
      <c r="DF1495" s="717"/>
      <c r="DG1495" s="717"/>
      <c r="DH1495" s="717"/>
      <c r="DI1495" s="717"/>
      <c r="DJ1495" s="717"/>
      <c r="DM1495" s="711"/>
      <c r="DN1495" s="711"/>
      <c r="DO1495" s="711"/>
      <c r="DP1495" s="711"/>
      <c r="DQ1495" s="711"/>
    </row>
    <row r="1496" spans="13:121" s="709" customFormat="1" hidden="1">
      <c r="M1496" s="710"/>
      <c r="P1496" s="711"/>
      <c r="Q1496" s="712"/>
      <c r="U1496" s="711"/>
      <c r="V1496" s="711"/>
      <c r="W1496" s="711"/>
      <c r="X1496" s="711"/>
      <c r="Y1496" s="711"/>
      <c r="Z1496" s="711"/>
      <c r="AU1496" s="713"/>
      <c r="AW1496" s="712"/>
      <c r="BY1496" s="714"/>
      <c r="BZ1496" s="715"/>
      <c r="CA1496" s="716"/>
      <c r="CB1496" s="717"/>
      <c r="CC1496" s="717"/>
      <c r="CD1496" s="717"/>
      <c r="CE1496" s="717"/>
      <c r="CF1496" s="717"/>
      <c r="CG1496" s="717"/>
      <c r="CH1496" s="717"/>
      <c r="CI1496" s="717"/>
      <c r="CJ1496" s="717"/>
      <c r="CK1496" s="717"/>
      <c r="CL1496" s="717"/>
      <c r="CM1496" s="717"/>
      <c r="CN1496" s="717"/>
      <c r="CO1496" s="717"/>
      <c r="CP1496" s="717"/>
      <c r="CQ1496" s="717"/>
      <c r="CR1496" s="717"/>
      <c r="CS1496" s="717"/>
      <c r="CT1496" s="717"/>
      <c r="CU1496" s="717"/>
      <c r="CV1496" s="717"/>
      <c r="CW1496" s="717"/>
      <c r="CX1496" s="717"/>
      <c r="CY1496" s="717"/>
      <c r="CZ1496" s="717"/>
      <c r="DA1496" s="717"/>
      <c r="DB1496" s="717"/>
      <c r="DC1496" s="717"/>
      <c r="DD1496" s="717"/>
      <c r="DE1496" s="717"/>
      <c r="DF1496" s="717"/>
      <c r="DG1496" s="717"/>
      <c r="DH1496" s="717"/>
      <c r="DI1496" s="717"/>
      <c r="DJ1496" s="717"/>
      <c r="DM1496" s="711"/>
      <c r="DN1496" s="711"/>
      <c r="DO1496" s="711"/>
      <c r="DP1496" s="711"/>
      <c r="DQ1496" s="711"/>
    </row>
    <row r="1497" spans="13:121" s="709" customFormat="1" hidden="1">
      <c r="M1497" s="710"/>
      <c r="P1497" s="711"/>
      <c r="Q1497" s="712"/>
      <c r="U1497" s="711"/>
      <c r="V1497" s="711"/>
      <c r="W1497" s="711"/>
      <c r="X1497" s="711"/>
      <c r="Y1497" s="711"/>
      <c r="Z1497" s="711"/>
      <c r="AU1497" s="713"/>
      <c r="AW1497" s="712"/>
      <c r="BY1497" s="714"/>
      <c r="BZ1497" s="715"/>
      <c r="CA1497" s="716"/>
      <c r="CB1497" s="717"/>
      <c r="CC1497" s="717"/>
      <c r="CD1497" s="717"/>
      <c r="CE1497" s="717"/>
      <c r="CF1497" s="717"/>
      <c r="CG1497" s="717"/>
      <c r="CH1497" s="717"/>
      <c r="CI1497" s="717"/>
      <c r="CJ1497" s="717"/>
      <c r="CK1497" s="717"/>
      <c r="CL1497" s="717"/>
      <c r="CM1497" s="717"/>
      <c r="CN1497" s="717"/>
      <c r="CO1497" s="717"/>
      <c r="CP1497" s="717"/>
      <c r="CQ1497" s="717"/>
      <c r="CR1497" s="717"/>
      <c r="CS1497" s="717"/>
      <c r="CT1497" s="717"/>
      <c r="CU1497" s="717"/>
      <c r="CV1497" s="717"/>
      <c r="CW1497" s="717"/>
      <c r="CX1497" s="717"/>
      <c r="CY1497" s="717"/>
      <c r="CZ1497" s="717"/>
      <c r="DA1497" s="717"/>
      <c r="DB1497" s="717"/>
      <c r="DC1497" s="717"/>
      <c r="DD1497" s="717"/>
      <c r="DE1497" s="717"/>
      <c r="DF1497" s="717"/>
      <c r="DG1497" s="717"/>
      <c r="DH1497" s="717"/>
      <c r="DI1497" s="717"/>
      <c r="DJ1497" s="717"/>
      <c r="DM1497" s="711"/>
      <c r="DN1497" s="711"/>
      <c r="DO1497" s="711"/>
      <c r="DP1497" s="711"/>
      <c r="DQ1497" s="711"/>
    </row>
    <row r="1498" spans="13:121" s="709" customFormat="1" hidden="1">
      <c r="M1498" s="710"/>
      <c r="P1498" s="711"/>
      <c r="Q1498" s="712"/>
      <c r="U1498" s="711"/>
      <c r="V1498" s="711"/>
      <c r="W1498" s="711"/>
      <c r="X1498" s="711"/>
      <c r="Y1498" s="711"/>
      <c r="Z1498" s="711"/>
      <c r="AU1498" s="713"/>
      <c r="AW1498" s="712"/>
      <c r="BY1498" s="714"/>
      <c r="BZ1498" s="715"/>
      <c r="CA1498" s="716"/>
      <c r="CB1498" s="717"/>
      <c r="CC1498" s="717"/>
      <c r="CD1498" s="717"/>
      <c r="CE1498" s="717"/>
      <c r="CF1498" s="717"/>
      <c r="CG1498" s="717"/>
      <c r="CH1498" s="717"/>
      <c r="CI1498" s="717"/>
      <c r="CJ1498" s="717"/>
      <c r="CK1498" s="717"/>
      <c r="CL1498" s="717"/>
      <c r="CM1498" s="717"/>
      <c r="CN1498" s="717"/>
      <c r="CO1498" s="717"/>
      <c r="CP1498" s="717"/>
      <c r="CQ1498" s="717"/>
      <c r="CR1498" s="717"/>
      <c r="CS1498" s="717"/>
      <c r="CT1498" s="717"/>
      <c r="CU1498" s="717"/>
      <c r="CV1498" s="717"/>
      <c r="CW1498" s="717"/>
      <c r="CX1498" s="717"/>
      <c r="CY1498" s="717"/>
      <c r="CZ1498" s="717"/>
      <c r="DA1498" s="717"/>
      <c r="DB1498" s="717"/>
      <c r="DC1498" s="717"/>
      <c r="DD1498" s="717"/>
      <c r="DE1498" s="717"/>
      <c r="DF1498" s="717"/>
      <c r="DG1498" s="717"/>
      <c r="DH1498" s="717"/>
      <c r="DI1498" s="717"/>
      <c r="DJ1498" s="717"/>
      <c r="DM1498" s="711"/>
      <c r="DN1498" s="711"/>
      <c r="DO1498" s="711"/>
      <c r="DP1498" s="711"/>
      <c r="DQ1498" s="711"/>
    </row>
    <row r="1499" spans="13:121" s="709" customFormat="1" hidden="1">
      <c r="M1499" s="710"/>
      <c r="P1499" s="711"/>
      <c r="Q1499" s="712"/>
      <c r="U1499" s="711"/>
      <c r="V1499" s="711"/>
      <c r="W1499" s="711"/>
      <c r="X1499" s="711"/>
      <c r="Y1499" s="711"/>
      <c r="Z1499" s="711"/>
      <c r="AU1499" s="713"/>
      <c r="AW1499" s="712"/>
      <c r="BY1499" s="714"/>
      <c r="BZ1499" s="715"/>
      <c r="CA1499" s="716"/>
      <c r="CB1499" s="717"/>
      <c r="CC1499" s="717"/>
      <c r="CD1499" s="717"/>
      <c r="CE1499" s="717"/>
      <c r="CF1499" s="717"/>
      <c r="CG1499" s="717"/>
      <c r="CH1499" s="717"/>
      <c r="CI1499" s="717"/>
      <c r="CJ1499" s="717"/>
      <c r="CK1499" s="717"/>
      <c r="CL1499" s="717"/>
      <c r="CM1499" s="717"/>
      <c r="CN1499" s="717"/>
      <c r="CO1499" s="717"/>
      <c r="CP1499" s="717"/>
      <c r="CQ1499" s="717"/>
      <c r="CR1499" s="717"/>
      <c r="CS1499" s="717"/>
      <c r="CT1499" s="717"/>
      <c r="CU1499" s="717"/>
      <c r="CV1499" s="717"/>
      <c r="CW1499" s="717"/>
      <c r="CX1499" s="717"/>
      <c r="CY1499" s="717"/>
      <c r="CZ1499" s="717"/>
      <c r="DA1499" s="717"/>
      <c r="DB1499" s="717"/>
      <c r="DC1499" s="717"/>
      <c r="DD1499" s="717"/>
      <c r="DE1499" s="717"/>
      <c r="DF1499" s="717"/>
      <c r="DG1499" s="717"/>
      <c r="DH1499" s="717"/>
      <c r="DI1499" s="717"/>
      <c r="DJ1499" s="717"/>
      <c r="DM1499" s="711"/>
      <c r="DN1499" s="711"/>
      <c r="DO1499" s="711"/>
      <c r="DP1499" s="711"/>
      <c r="DQ1499" s="711"/>
    </row>
    <row r="1500" spans="13:121" s="709" customFormat="1" hidden="1">
      <c r="M1500" s="710"/>
      <c r="P1500" s="711"/>
      <c r="Q1500" s="712"/>
      <c r="U1500" s="711"/>
      <c r="V1500" s="711"/>
      <c r="W1500" s="711"/>
      <c r="X1500" s="711"/>
      <c r="Y1500" s="711"/>
      <c r="Z1500" s="711"/>
      <c r="AU1500" s="713"/>
      <c r="AW1500" s="712"/>
      <c r="BY1500" s="714"/>
      <c r="BZ1500" s="715"/>
      <c r="CA1500" s="716"/>
      <c r="CB1500" s="717"/>
      <c r="CC1500" s="717"/>
      <c r="CD1500" s="717"/>
      <c r="CE1500" s="717"/>
      <c r="CF1500" s="717"/>
      <c r="CG1500" s="717"/>
      <c r="CH1500" s="717"/>
      <c r="CI1500" s="717"/>
      <c r="CJ1500" s="717"/>
      <c r="CK1500" s="717"/>
      <c r="CL1500" s="717"/>
      <c r="CM1500" s="717"/>
      <c r="CN1500" s="717"/>
      <c r="CO1500" s="717"/>
      <c r="CP1500" s="717"/>
      <c r="CQ1500" s="717"/>
      <c r="CR1500" s="717"/>
      <c r="CS1500" s="717"/>
      <c r="CT1500" s="717"/>
      <c r="CU1500" s="717"/>
      <c r="CV1500" s="717"/>
      <c r="CW1500" s="717"/>
      <c r="CX1500" s="717"/>
      <c r="CY1500" s="717"/>
      <c r="CZ1500" s="717"/>
      <c r="DA1500" s="717"/>
      <c r="DB1500" s="717"/>
      <c r="DC1500" s="717"/>
      <c r="DD1500" s="717"/>
      <c r="DE1500" s="717"/>
      <c r="DF1500" s="717"/>
      <c r="DG1500" s="717"/>
      <c r="DH1500" s="717"/>
      <c r="DI1500" s="717"/>
      <c r="DJ1500" s="717"/>
      <c r="DM1500" s="711"/>
      <c r="DN1500" s="711"/>
      <c r="DO1500" s="711"/>
      <c r="DP1500" s="711"/>
      <c r="DQ1500" s="711"/>
    </row>
    <row r="1501" spans="13:121" s="709" customFormat="1" hidden="1">
      <c r="M1501" s="710"/>
      <c r="P1501" s="711"/>
      <c r="Q1501" s="712"/>
      <c r="U1501" s="711"/>
      <c r="V1501" s="711"/>
      <c r="W1501" s="711"/>
      <c r="X1501" s="711"/>
      <c r="Y1501" s="711"/>
      <c r="Z1501" s="711"/>
      <c r="AU1501" s="713"/>
      <c r="AW1501" s="712"/>
      <c r="BY1501" s="714"/>
      <c r="BZ1501" s="715"/>
      <c r="CA1501" s="716"/>
      <c r="CB1501" s="717"/>
      <c r="CC1501" s="717"/>
      <c r="CD1501" s="717"/>
      <c r="CE1501" s="717"/>
      <c r="CF1501" s="717"/>
      <c r="CG1501" s="717"/>
      <c r="CH1501" s="717"/>
      <c r="CI1501" s="717"/>
      <c r="CJ1501" s="717"/>
      <c r="CK1501" s="717"/>
      <c r="CL1501" s="717"/>
      <c r="CM1501" s="717"/>
      <c r="CN1501" s="717"/>
      <c r="CO1501" s="717"/>
      <c r="CP1501" s="717"/>
      <c r="CQ1501" s="717"/>
      <c r="CR1501" s="717"/>
      <c r="CS1501" s="717"/>
      <c r="CT1501" s="717"/>
      <c r="CU1501" s="717"/>
      <c r="CV1501" s="717"/>
      <c r="CW1501" s="717"/>
      <c r="CX1501" s="717"/>
      <c r="CY1501" s="717"/>
      <c r="CZ1501" s="717"/>
      <c r="DA1501" s="717"/>
      <c r="DB1501" s="717"/>
      <c r="DC1501" s="717"/>
      <c r="DD1501" s="717"/>
      <c r="DE1501" s="717"/>
      <c r="DF1501" s="717"/>
      <c r="DG1501" s="717"/>
      <c r="DH1501" s="717"/>
      <c r="DI1501" s="717"/>
      <c r="DJ1501" s="717"/>
      <c r="DM1501" s="711"/>
      <c r="DN1501" s="711"/>
      <c r="DO1501" s="711"/>
      <c r="DP1501" s="711"/>
      <c r="DQ1501" s="711"/>
    </row>
    <row r="1502" spans="13:121" s="709" customFormat="1" hidden="1">
      <c r="M1502" s="710"/>
      <c r="P1502" s="711"/>
      <c r="Q1502" s="712"/>
      <c r="U1502" s="711"/>
      <c r="V1502" s="711"/>
      <c r="W1502" s="711"/>
      <c r="X1502" s="711"/>
      <c r="Y1502" s="711"/>
      <c r="Z1502" s="711"/>
      <c r="AU1502" s="713"/>
      <c r="AW1502" s="712"/>
      <c r="BY1502" s="714"/>
      <c r="BZ1502" s="715"/>
      <c r="CA1502" s="716"/>
      <c r="CB1502" s="717"/>
      <c r="CC1502" s="717"/>
      <c r="CD1502" s="717"/>
      <c r="CE1502" s="717"/>
      <c r="CF1502" s="717"/>
      <c r="CG1502" s="717"/>
      <c r="CH1502" s="717"/>
      <c r="CI1502" s="717"/>
      <c r="CJ1502" s="717"/>
      <c r="CK1502" s="717"/>
      <c r="CL1502" s="717"/>
      <c r="CM1502" s="717"/>
      <c r="CN1502" s="717"/>
      <c r="CO1502" s="717"/>
      <c r="CP1502" s="717"/>
      <c r="CQ1502" s="717"/>
      <c r="CR1502" s="717"/>
      <c r="CS1502" s="717"/>
      <c r="CT1502" s="717"/>
      <c r="CU1502" s="717"/>
      <c r="CV1502" s="717"/>
      <c r="CW1502" s="717"/>
      <c r="CX1502" s="717"/>
      <c r="CY1502" s="717"/>
      <c r="CZ1502" s="717"/>
      <c r="DA1502" s="717"/>
      <c r="DB1502" s="717"/>
      <c r="DC1502" s="717"/>
      <c r="DD1502" s="717"/>
      <c r="DE1502" s="717"/>
      <c r="DF1502" s="717"/>
      <c r="DG1502" s="717"/>
      <c r="DH1502" s="717"/>
      <c r="DI1502" s="717"/>
      <c r="DJ1502" s="717"/>
      <c r="DM1502" s="711"/>
      <c r="DN1502" s="711"/>
      <c r="DO1502" s="711"/>
      <c r="DP1502" s="711"/>
      <c r="DQ1502" s="711"/>
    </row>
    <row r="1503" spans="13:121" s="709" customFormat="1" hidden="1">
      <c r="M1503" s="710"/>
      <c r="P1503" s="711"/>
      <c r="Q1503" s="712"/>
      <c r="U1503" s="711"/>
      <c r="V1503" s="711"/>
      <c r="W1503" s="711"/>
      <c r="X1503" s="711"/>
      <c r="Y1503" s="711"/>
      <c r="Z1503" s="711"/>
      <c r="AU1503" s="713"/>
      <c r="AW1503" s="712"/>
      <c r="BY1503" s="714"/>
      <c r="BZ1503" s="715"/>
      <c r="CA1503" s="716"/>
      <c r="CB1503" s="717"/>
      <c r="CC1503" s="717"/>
      <c r="CD1503" s="717"/>
      <c r="CE1503" s="717"/>
      <c r="CF1503" s="717"/>
      <c r="CG1503" s="717"/>
      <c r="CH1503" s="717"/>
      <c r="CI1503" s="717"/>
      <c r="CJ1503" s="717"/>
      <c r="CK1503" s="717"/>
      <c r="CL1503" s="717"/>
      <c r="CM1503" s="717"/>
      <c r="CN1503" s="717"/>
      <c r="CO1503" s="717"/>
      <c r="CP1503" s="717"/>
      <c r="CQ1503" s="717"/>
      <c r="CR1503" s="717"/>
      <c r="CS1503" s="717"/>
      <c r="CT1503" s="717"/>
      <c r="CU1503" s="717"/>
      <c r="CV1503" s="717"/>
      <c r="CW1503" s="717"/>
      <c r="CX1503" s="717"/>
      <c r="CY1503" s="717"/>
      <c r="CZ1503" s="717"/>
      <c r="DA1503" s="717"/>
      <c r="DB1503" s="717"/>
      <c r="DC1503" s="717"/>
      <c r="DD1503" s="717"/>
      <c r="DE1503" s="717"/>
      <c r="DF1503" s="717"/>
      <c r="DG1503" s="717"/>
      <c r="DH1503" s="717"/>
      <c r="DI1503" s="717"/>
      <c r="DJ1503" s="717"/>
      <c r="DM1503" s="711"/>
      <c r="DN1503" s="711"/>
      <c r="DO1503" s="711"/>
      <c r="DP1503" s="711"/>
      <c r="DQ1503" s="711"/>
    </row>
    <row r="1504" spans="13:121" s="709" customFormat="1" hidden="1">
      <c r="M1504" s="710"/>
      <c r="P1504" s="711"/>
      <c r="Q1504" s="712"/>
      <c r="U1504" s="711"/>
      <c r="V1504" s="711"/>
      <c r="W1504" s="711"/>
      <c r="X1504" s="711"/>
      <c r="Y1504" s="711"/>
      <c r="Z1504" s="711"/>
      <c r="AU1504" s="713"/>
      <c r="AW1504" s="712"/>
      <c r="BY1504" s="714"/>
      <c r="BZ1504" s="715"/>
      <c r="CA1504" s="716"/>
      <c r="CB1504" s="717"/>
      <c r="CC1504" s="717"/>
      <c r="CD1504" s="717"/>
      <c r="CE1504" s="717"/>
      <c r="CF1504" s="717"/>
      <c r="CG1504" s="717"/>
      <c r="CH1504" s="717"/>
      <c r="CI1504" s="717"/>
      <c r="CJ1504" s="717"/>
      <c r="CK1504" s="717"/>
      <c r="CL1504" s="717"/>
      <c r="CM1504" s="717"/>
      <c r="CN1504" s="717"/>
      <c r="CO1504" s="717"/>
      <c r="CP1504" s="717"/>
      <c r="CQ1504" s="717"/>
      <c r="CR1504" s="717"/>
      <c r="CS1504" s="717"/>
      <c r="CT1504" s="717"/>
      <c r="CU1504" s="717"/>
      <c r="CV1504" s="717"/>
      <c r="CW1504" s="717"/>
      <c r="CX1504" s="717"/>
      <c r="CY1504" s="717"/>
      <c r="CZ1504" s="717"/>
      <c r="DA1504" s="717"/>
      <c r="DB1504" s="717"/>
      <c r="DC1504" s="717"/>
      <c r="DD1504" s="717"/>
      <c r="DE1504" s="717"/>
      <c r="DF1504" s="717"/>
      <c r="DG1504" s="717"/>
      <c r="DH1504" s="717"/>
      <c r="DI1504" s="717"/>
      <c r="DJ1504" s="717"/>
      <c r="DM1504" s="711"/>
      <c r="DN1504" s="711"/>
      <c r="DO1504" s="711"/>
      <c r="DP1504" s="711"/>
      <c r="DQ1504" s="711"/>
    </row>
    <row r="1505" spans="13:121" s="709" customFormat="1" hidden="1">
      <c r="M1505" s="710"/>
      <c r="P1505" s="711"/>
      <c r="Q1505" s="712"/>
      <c r="U1505" s="711"/>
      <c r="V1505" s="711"/>
      <c r="W1505" s="711"/>
      <c r="X1505" s="711"/>
      <c r="Y1505" s="711"/>
      <c r="Z1505" s="711"/>
      <c r="AU1505" s="713"/>
      <c r="AW1505" s="712"/>
      <c r="BY1505" s="714"/>
      <c r="BZ1505" s="715"/>
      <c r="CA1505" s="716"/>
      <c r="CB1505" s="717"/>
      <c r="CC1505" s="717"/>
      <c r="CD1505" s="717"/>
      <c r="CE1505" s="717"/>
      <c r="CF1505" s="717"/>
      <c r="CG1505" s="717"/>
      <c r="CH1505" s="717"/>
      <c r="CI1505" s="717"/>
      <c r="CJ1505" s="717"/>
      <c r="CK1505" s="717"/>
      <c r="CL1505" s="717"/>
      <c r="CM1505" s="717"/>
      <c r="CN1505" s="717"/>
      <c r="CO1505" s="717"/>
      <c r="CP1505" s="717"/>
      <c r="CQ1505" s="717"/>
      <c r="CR1505" s="717"/>
      <c r="CS1505" s="717"/>
      <c r="CT1505" s="717"/>
      <c r="CU1505" s="717"/>
      <c r="CV1505" s="717"/>
      <c r="CW1505" s="717"/>
      <c r="CX1505" s="717"/>
      <c r="CY1505" s="717"/>
      <c r="CZ1505" s="717"/>
      <c r="DA1505" s="717"/>
      <c r="DB1505" s="717"/>
      <c r="DC1505" s="717"/>
      <c r="DD1505" s="717"/>
      <c r="DE1505" s="717"/>
      <c r="DF1505" s="717"/>
      <c r="DG1505" s="717"/>
      <c r="DH1505" s="717"/>
      <c r="DI1505" s="717"/>
      <c r="DJ1505" s="717"/>
      <c r="DM1505" s="711"/>
      <c r="DN1505" s="711"/>
      <c r="DO1505" s="711"/>
      <c r="DP1505" s="711"/>
      <c r="DQ1505" s="711"/>
    </row>
    <row r="1506" spans="13:121" s="709" customFormat="1" hidden="1">
      <c r="M1506" s="710"/>
      <c r="P1506" s="711"/>
      <c r="Q1506" s="712"/>
      <c r="U1506" s="711"/>
      <c r="V1506" s="711"/>
      <c r="W1506" s="711"/>
      <c r="X1506" s="711"/>
      <c r="Y1506" s="711"/>
      <c r="Z1506" s="711"/>
      <c r="AU1506" s="713"/>
      <c r="AW1506" s="712"/>
      <c r="BY1506" s="714"/>
      <c r="BZ1506" s="715"/>
      <c r="CA1506" s="716"/>
      <c r="CB1506" s="717"/>
      <c r="CC1506" s="717"/>
      <c r="CD1506" s="717"/>
      <c r="CE1506" s="717"/>
      <c r="CF1506" s="717"/>
      <c r="CG1506" s="717"/>
      <c r="CH1506" s="717"/>
      <c r="CI1506" s="717"/>
      <c r="CJ1506" s="717"/>
      <c r="CK1506" s="717"/>
      <c r="CL1506" s="717"/>
      <c r="CM1506" s="717"/>
      <c r="CN1506" s="717"/>
      <c r="CO1506" s="717"/>
      <c r="CP1506" s="717"/>
      <c r="CQ1506" s="717"/>
      <c r="CR1506" s="717"/>
      <c r="CS1506" s="717"/>
      <c r="CT1506" s="717"/>
      <c r="CU1506" s="717"/>
      <c r="CV1506" s="717"/>
      <c r="CW1506" s="717"/>
      <c r="CX1506" s="717"/>
      <c r="CY1506" s="717"/>
      <c r="CZ1506" s="717"/>
      <c r="DA1506" s="717"/>
      <c r="DB1506" s="717"/>
      <c r="DC1506" s="717"/>
      <c r="DD1506" s="717"/>
      <c r="DE1506" s="717"/>
      <c r="DF1506" s="717"/>
      <c r="DG1506" s="717"/>
      <c r="DH1506" s="717"/>
      <c r="DI1506" s="717"/>
      <c r="DJ1506" s="717"/>
      <c r="DM1506" s="711"/>
      <c r="DN1506" s="711"/>
      <c r="DO1506" s="711"/>
      <c r="DP1506" s="711"/>
      <c r="DQ1506" s="711"/>
    </row>
    <row r="1507" spans="13:121" s="709" customFormat="1" hidden="1">
      <c r="M1507" s="710"/>
      <c r="P1507" s="711"/>
      <c r="Q1507" s="712"/>
      <c r="U1507" s="711"/>
      <c r="V1507" s="711"/>
      <c r="W1507" s="711"/>
      <c r="X1507" s="711"/>
      <c r="Y1507" s="711"/>
      <c r="Z1507" s="711"/>
      <c r="AU1507" s="713"/>
      <c r="AW1507" s="712"/>
      <c r="BY1507" s="714"/>
      <c r="BZ1507" s="715"/>
      <c r="CA1507" s="716"/>
      <c r="CB1507" s="717"/>
      <c r="CC1507" s="717"/>
      <c r="CD1507" s="717"/>
      <c r="CE1507" s="717"/>
      <c r="CF1507" s="717"/>
      <c r="CG1507" s="717"/>
      <c r="CH1507" s="717"/>
      <c r="CI1507" s="717"/>
      <c r="CJ1507" s="717"/>
      <c r="CK1507" s="717"/>
      <c r="CL1507" s="717"/>
      <c r="CM1507" s="717"/>
      <c r="CN1507" s="717"/>
      <c r="CO1507" s="717"/>
      <c r="CP1507" s="717"/>
      <c r="CQ1507" s="717"/>
      <c r="CR1507" s="717"/>
      <c r="CS1507" s="717"/>
      <c r="CT1507" s="717"/>
      <c r="CU1507" s="717"/>
      <c r="CV1507" s="717"/>
      <c r="CW1507" s="717"/>
      <c r="CX1507" s="717"/>
      <c r="CY1507" s="717"/>
      <c r="CZ1507" s="717"/>
      <c r="DA1507" s="717"/>
      <c r="DB1507" s="717"/>
      <c r="DC1507" s="717"/>
      <c r="DD1507" s="717"/>
      <c r="DE1507" s="717"/>
      <c r="DF1507" s="717"/>
      <c r="DG1507" s="717"/>
      <c r="DH1507" s="717"/>
      <c r="DI1507" s="717"/>
      <c r="DJ1507" s="717"/>
      <c r="DM1507" s="711"/>
      <c r="DN1507" s="711"/>
      <c r="DO1507" s="711"/>
      <c r="DP1507" s="711"/>
      <c r="DQ1507" s="711"/>
    </row>
    <row r="1508" spans="13:121" s="709" customFormat="1" hidden="1">
      <c r="M1508" s="710"/>
      <c r="P1508" s="711"/>
      <c r="Q1508" s="712"/>
      <c r="U1508" s="711"/>
      <c r="V1508" s="711"/>
      <c r="W1508" s="711"/>
      <c r="X1508" s="711"/>
      <c r="Y1508" s="711"/>
      <c r="Z1508" s="711"/>
      <c r="AU1508" s="713"/>
      <c r="AW1508" s="712"/>
      <c r="BY1508" s="714"/>
      <c r="BZ1508" s="715"/>
      <c r="CA1508" s="716"/>
      <c r="CB1508" s="717"/>
      <c r="CC1508" s="717"/>
      <c r="CD1508" s="717"/>
      <c r="CE1508" s="717"/>
      <c r="CF1508" s="717"/>
      <c r="CG1508" s="717"/>
      <c r="CH1508" s="717"/>
      <c r="CI1508" s="717"/>
      <c r="CJ1508" s="717"/>
      <c r="CK1508" s="717"/>
      <c r="CL1508" s="717"/>
      <c r="CM1508" s="717"/>
      <c r="CN1508" s="717"/>
      <c r="CO1508" s="717"/>
      <c r="CP1508" s="717"/>
      <c r="CQ1508" s="717"/>
      <c r="CR1508" s="717"/>
      <c r="CS1508" s="717"/>
      <c r="CT1508" s="717"/>
      <c r="CU1508" s="717"/>
      <c r="CV1508" s="717"/>
      <c r="CW1508" s="717"/>
      <c r="CX1508" s="717"/>
      <c r="CY1508" s="717"/>
      <c r="CZ1508" s="717"/>
      <c r="DA1508" s="717"/>
      <c r="DB1508" s="717"/>
      <c r="DC1508" s="717"/>
      <c r="DD1508" s="717"/>
      <c r="DE1508" s="717"/>
      <c r="DF1508" s="717"/>
      <c r="DG1508" s="717"/>
      <c r="DH1508" s="717"/>
      <c r="DI1508" s="717"/>
      <c r="DJ1508" s="717"/>
      <c r="DM1508" s="711"/>
      <c r="DN1508" s="711"/>
      <c r="DO1508" s="711"/>
      <c r="DP1508" s="711"/>
      <c r="DQ1508" s="711"/>
    </row>
    <row r="1509" spans="13:121" s="709" customFormat="1" hidden="1">
      <c r="M1509" s="710"/>
      <c r="P1509" s="711"/>
      <c r="Q1509" s="712"/>
      <c r="U1509" s="711"/>
      <c r="V1509" s="711"/>
      <c r="W1509" s="711"/>
      <c r="X1509" s="711"/>
      <c r="Y1509" s="711"/>
      <c r="Z1509" s="711"/>
      <c r="AU1509" s="713"/>
      <c r="AW1509" s="712"/>
      <c r="BY1509" s="714"/>
      <c r="BZ1509" s="715"/>
      <c r="CA1509" s="716"/>
      <c r="CB1509" s="717"/>
      <c r="CC1509" s="717"/>
      <c r="CD1509" s="717"/>
      <c r="CE1509" s="717"/>
      <c r="CF1509" s="717"/>
      <c r="CG1509" s="717"/>
      <c r="CH1509" s="717"/>
      <c r="CI1509" s="717"/>
      <c r="CJ1509" s="717"/>
      <c r="CK1509" s="717"/>
      <c r="CL1509" s="717"/>
      <c r="CM1509" s="717"/>
      <c r="CN1509" s="717"/>
      <c r="CO1509" s="717"/>
      <c r="CP1509" s="717"/>
      <c r="CQ1509" s="717"/>
      <c r="CR1509" s="717"/>
      <c r="CS1509" s="717"/>
      <c r="CT1509" s="717"/>
      <c r="CU1509" s="717"/>
      <c r="CV1509" s="717"/>
      <c r="CW1509" s="717"/>
      <c r="CX1509" s="717"/>
      <c r="CY1509" s="717"/>
      <c r="CZ1509" s="717"/>
      <c r="DA1509" s="717"/>
      <c r="DB1509" s="717"/>
      <c r="DC1509" s="717"/>
      <c r="DD1509" s="717"/>
      <c r="DE1509" s="717"/>
      <c r="DF1509" s="717"/>
      <c r="DG1509" s="717"/>
      <c r="DH1509" s="717"/>
      <c r="DI1509" s="717"/>
      <c r="DJ1509" s="717"/>
      <c r="DM1509" s="711"/>
      <c r="DN1509" s="711"/>
      <c r="DO1509" s="711"/>
      <c r="DP1509" s="711"/>
      <c r="DQ1509" s="711"/>
    </row>
    <row r="1510" spans="13:121" s="709" customFormat="1" hidden="1">
      <c r="M1510" s="710"/>
      <c r="P1510" s="711"/>
      <c r="Q1510" s="712"/>
      <c r="U1510" s="711"/>
      <c r="V1510" s="711"/>
      <c r="W1510" s="711"/>
      <c r="X1510" s="711"/>
      <c r="Y1510" s="711"/>
      <c r="Z1510" s="711"/>
      <c r="AU1510" s="713"/>
      <c r="AW1510" s="712"/>
      <c r="BY1510" s="714"/>
      <c r="BZ1510" s="715"/>
      <c r="CA1510" s="716"/>
      <c r="CB1510" s="717"/>
      <c r="CC1510" s="717"/>
      <c r="CD1510" s="717"/>
      <c r="CE1510" s="717"/>
      <c r="CF1510" s="717"/>
      <c r="CG1510" s="717"/>
      <c r="CH1510" s="717"/>
      <c r="CI1510" s="717"/>
      <c r="CJ1510" s="717"/>
      <c r="CK1510" s="717"/>
      <c r="CL1510" s="717"/>
      <c r="CM1510" s="717"/>
      <c r="CN1510" s="717"/>
      <c r="CO1510" s="717"/>
      <c r="CP1510" s="717"/>
      <c r="CQ1510" s="717"/>
      <c r="CR1510" s="717"/>
      <c r="CS1510" s="717"/>
      <c r="CT1510" s="717"/>
      <c r="CU1510" s="717"/>
      <c r="CV1510" s="717"/>
      <c r="CW1510" s="717"/>
      <c r="CX1510" s="717"/>
      <c r="CY1510" s="717"/>
      <c r="CZ1510" s="717"/>
      <c r="DA1510" s="717"/>
      <c r="DB1510" s="717"/>
      <c r="DC1510" s="717"/>
      <c r="DD1510" s="717"/>
      <c r="DE1510" s="717"/>
      <c r="DF1510" s="717"/>
      <c r="DG1510" s="717"/>
      <c r="DH1510" s="717"/>
      <c r="DI1510" s="717"/>
      <c r="DJ1510" s="717"/>
      <c r="DM1510" s="711"/>
      <c r="DN1510" s="711"/>
      <c r="DO1510" s="711"/>
      <c r="DP1510" s="711"/>
      <c r="DQ1510" s="711"/>
    </row>
    <row r="1511" spans="13:121" s="709" customFormat="1" hidden="1">
      <c r="M1511" s="710"/>
      <c r="P1511" s="711"/>
      <c r="Q1511" s="712"/>
      <c r="U1511" s="711"/>
      <c r="V1511" s="711"/>
      <c r="W1511" s="711"/>
      <c r="X1511" s="711"/>
      <c r="Y1511" s="711"/>
      <c r="Z1511" s="711"/>
      <c r="AU1511" s="713"/>
      <c r="AW1511" s="712"/>
      <c r="BY1511" s="714"/>
      <c r="BZ1511" s="715"/>
      <c r="CA1511" s="716"/>
      <c r="CB1511" s="717"/>
      <c r="CC1511" s="717"/>
      <c r="CD1511" s="717"/>
      <c r="CE1511" s="717"/>
      <c r="CF1511" s="717"/>
      <c r="CG1511" s="717"/>
      <c r="CH1511" s="717"/>
      <c r="CI1511" s="717"/>
      <c r="CJ1511" s="717"/>
      <c r="CK1511" s="717"/>
      <c r="CL1511" s="717"/>
      <c r="CM1511" s="717"/>
      <c r="CN1511" s="717"/>
      <c r="CO1511" s="717"/>
      <c r="CP1511" s="717"/>
      <c r="CQ1511" s="717"/>
      <c r="CR1511" s="717"/>
      <c r="CS1511" s="717"/>
      <c r="CT1511" s="717"/>
      <c r="CU1511" s="717"/>
      <c r="CV1511" s="717"/>
      <c r="CW1511" s="717"/>
      <c r="CX1511" s="717"/>
      <c r="CY1511" s="717"/>
      <c r="CZ1511" s="717"/>
      <c r="DA1511" s="717"/>
      <c r="DB1511" s="717"/>
      <c r="DC1511" s="717"/>
      <c r="DD1511" s="717"/>
      <c r="DE1511" s="717"/>
      <c r="DF1511" s="717"/>
      <c r="DG1511" s="717"/>
      <c r="DH1511" s="717"/>
      <c r="DI1511" s="717"/>
      <c r="DJ1511" s="717"/>
      <c r="DM1511" s="711"/>
      <c r="DN1511" s="711"/>
      <c r="DO1511" s="711"/>
      <c r="DP1511" s="711"/>
      <c r="DQ1511" s="711"/>
    </row>
    <row r="1512" spans="13:121" s="709" customFormat="1" hidden="1">
      <c r="M1512" s="710"/>
      <c r="P1512" s="711"/>
      <c r="Q1512" s="712"/>
      <c r="U1512" s="711"/>
      <c r="V1512" s="711"/>
      <c r="W1512" s="711"/>
      <c r="X1512" s="711"/>
      <c r="Y1512" s="711"/>
      <c r="Z1512" s="711"/>
      <c r="AU1512" s="713"/>
      <c r="AW1512" s="712"/>
      <c r="BY1512" s="714"/>
      <c r="BZ1512" s="715"/>
      <c r="CA1512" s="716"/>
      <c r="CB1512" s="717"/>
      <c r="CC1512" s="717"/>
      <c r="CD1512" s="717"/>
      <c r="CE1512" s="717"/>
      <c r="CF1512" s="717"/>
      <c r="CG1512" s="717"/>
      <c r="CH1512" s="717"/>
      <c r="CI1512" s="717"/>
      <c r="CJ1512" s="717"/>
      <c r="CK1512" s="717"/>
      <c r="CL1512" s="717"/>
      <c r="CM1512" s="717"/>
      <c r="CN1512" s="717"/>
      <c r="CO1512" s="717"/>
      <c r="CP1512" s="717"/>
      <c r="CQ1512" s="717"/>
      <c r="CR1512" s="717"/>
      <c r="CS1512" s="717"/>
      <c r="CT1512" s="717"/>
      <c r="CU1512" s="717"/>
      <c r="CV1512" s="717"/>
      <c r="CW1512" s="717"/>
      <c r="CX1512" s="717"/>
      <c r="CY1512" s="717"/>
      <c r="CZ1512" s="717"/>
      <c r="DA1512" s="717"/>
      <c r="DB1512" s="717"/>
      <c r="DC1512" s="717"/>
      <c r="DD1512" s="717"/>
      <c r="DE1512" s="717"/>
      <c r="DF1512" s="717"/>
      <c r="DG1512" s="717"/>
      <c r="DH1512" s="717"/>
      <c r="DI1512" s="717"/>
      <c r="DJ1512" s="717"/>
      <c r="DM1512" s="711"/>
      <c r="DN1512" s="711"/>
      <c r="DO1512" s="711"/>
      <c r="DP1512" s="711"/>
      <c r="DQ1512" s="711"/>
    </row>
    <row r="1513" spans="13:121" s="709" customFormat="1" hidden="1">
      <c r="M1513" s="710"/>
      <c r="P1513" s="711"/>
      <c r="Q1513" s="712"/>
      <c r="U1513" s="711"/>
      <c r="V1513" s="711"/>
      <c r="W1513" s="711"/>
      <c r="X1513" s="711"/>
      <c r="Y1513" s="711"/>
      <c r="Z1513" s="711"/>
      <c r="AU1513" s="713"/>
      <c r="AW1513" s="712"/>
      <c r="BY1513" s="714"/>
      <c r="BZ1513" s="715"/>
      <c r="CA1513" s="716"/>
      <c r="CB1513" s="717"/>
      <c r="CC1513" s="717"/>
      <c r="CD1513" s="717"/>
      <c r="CE1513" s="717"/>
      <c r="CF1513" s="717"/>
      <c r="CG1513" s="717"/>
      <c r="CH1513" s="717"/>
      <c r="CI1513" s="717"/>
      <c r="CJ1513" s="717"/>
      <c r="CK1513" s="717"/>
      <c r="CL1513" s="717"/>
      <c r="CM1513" s="717"/>
      <c r="CN1513" s="717"/>
      <c r="CO1513" s="717"/>
      <c r="CP1513" s="717"/>
      <c r="CQ1513" s="717"/>
      <c r="CR1513" s="717"/>
      <c r="CS1513" s="717"/>
      <c r="CT1513" s="717"/>
      <c r="CU1513" s="717"/>
      <c r="CV1513" s="717"/>
      <c r="CW1513" s="717"/>
      <c r="CX1513" s="717"/>
      <c r="CY1513" s="717"/>
      <c r="CZ1513" s="717"/>
      <c r="DA1513" s="717"/>
      <c r="DB1513" s="717"/>
      <c r="DC1513" s="717"/>
      <c r="DD1513" s="717"/>
      <c r="DE1513" s="717"/>
      <c r="DF1513" s="717"/>
      <c r="DG1513" s="717"/>
      <c r="DH1513" s="717"/>
      <c r="DI1513" s="717"/>
      <c r="DJ1513" s="717"/>
      <c r="DM1513" s="711"/>
      <c r="DN1513" s="711"/>
      <c r="DO1513" s="711"/>
      <c r="DP1513" s="711"/>
      <c r="DQ1513" s="711"/>
    </row>
    <row r="1514" spans="13:121" s="709" customFormat="1" hidden="1">
      <c r="M1514" s="710"/>
      <c r="P1514" s="711"/>
      <c r="Q1514" s="712"/>
      <c r="U1514" s="711"/>
      <c r="V1514" s="711"/>
      <c r="W1514" s="711"/>
      <c r="X1514" s="711"/>
      <c r="Y1514" s="711"/>
      <c r="Z1514" s="711"/>
      <c r="AU1514" s="713"/>
      <c r="AW1514" s="712"/>
      <c r="BY1514" s="714"/>
      <c r="BZ1514" s="715"/>
      <c r="CA1514" s="716"/>
      <c r="CB1514" s="717"/>
      <c r="CC1514" s="717"/>
      <c r="CD1514" s="717"/>
      <c r="CE1514" s="717"/>
      <c r="CF1514" s="717"/>
      <c r="CG1514" s="717"/>
      <c r="CH1514" s="717"/>
      <c r="CI1514" s="717"/>
      <c r="CJ1514" s="717"/>
      <c r="CK1514" s="717"/>
      <c r="CL1514" s="717"/>
      <c r="CM1514" s="717"/>
      <c r="CN1514" s="717"/>
      <c r="CO1514" s="717"/>
      <c r="CP1514" s="717"/>
      <c r="CQ1514" s="717"/>
      <c r="CR1514" s="717"/>
      <c r="CS1514" s="717"/>
      <c r="CT1514" s="717"/>
      <c r="CU1514" s="717"/>
      <c r="CV1514" s="717"/>
      <c r="CW1514" s="717"/>
      <c r="CX1514" s="717"/>
      <c r="CY1514" s="717"/>
      <c r="CZ1514" s="717"/>
      <c r="DA1514" s="717"/>
      <c r="DB1514" s="717"/>
      <c r="DC1514" s="717"/>
      <c r="DD1514" s="717"/>
      <c r="DE1514" s="717"/>
      <c r="DF1514" s="717"/>
      <c r="DG1514" s="717"/>
      <c r="DH1514" s="717"/>
      <c r="DI1514" s="717"/>
      <c r="DJ1514" s="717"/>
      <c r="DM1514" s="711"/>
      <c r="DN1514" s="711"/>
      <c r="DO1514" s="711"/>
      <c r="DP1514" s="711"/>
      <c r="DQ1514" s="711"/>
    </row>
    <row r="1515" spans="13:121" s="709" customFormat="1" hidden="1">
      <c r="M1515" s="710"/>
      <c r="P1515" s="711"/>
      <c r="Q1515" s="712"/>
      <c r="U1515" s="711"/>
      <c r="V1515" s="711"/>
      <c r="W1515" s="711"/>
      <c r="X1515" s="711"/>
      <c r="Y1515" s="711"/>
      <c r="Z1515" s="711"/>
      <c r="AU1515" s="713"/>
      <c r="AW1515" s="712"/>
      <c r="BY1515" s="714"/>
      <c r="BZ1515" s="715"/>
      <c r="CA1515" s="716"/>
      <c r="CB1515" s="717"/>
      <c r="CC1515" s="717"/>
      <c r="CD1515" s="717"/>
      <c r="CE1515" s="717"/>
      <c r="CF1515" s="717"/>
      <c r="CG1515" s="717"/>
      <c r="CH1515" s="717"/>
      <c r="CI1515" s="717"/>
      <c r="CJ1515" s="717"/>
      <c r="CK1515" s="717"/>
      <c r="CL1515" s="717"/>
      <c r="CM1515" s="717"/>
      <c r="CN1515" s="717"/>
      <c r="CO1515" s="717"/>
      <c r="CP1515" s="717"/>
      <c r="CQ1515" s="717"/>
      <c r="CR1515" s="717"/>
      <c r="CS1515" s="717"/>
      <c r="CT1515" s="717"/>
      <c r="CU1515" s="717"/>
      <c r="CV1515" s="717"/>
      <c r="CW1515" s="717"/>
      <c r="CX1515" s="717"/>
      <c r="CY1515" s="717"/>
      <c r="CZ1515" s="717"/>
      <c r="DA1515" s="717"/>
      <c r="DB1515" s="717"/>
      <c r="DC1515" s="717"/>
      <c r="DD1515" s="717"/>
      <c r="DE1515" s="717"/>
      <c r="DF1515" s="717"/>
      <c r="DG1515" s="717"/>
      <c r="DH1515" s="717"/>
      <c r="DI1515" s="717"/>
      <c r="DJ1515" s="717"/>
      <c r="DM1515" s="711"/>
      <c r="DN1515" s="711"/>
      <c r="DO1515" s="711"/>
      <c r="DP1515" s="711"/>
      <c r="DQ1515" s="711"/>
    </row>
    <row r="1516" spans="13:121" s="709" customFormat="1" hidden="1">
      <c r="M1516" s="710"/>
      <c r="P1516" s="711"/>
      <c r="Q1516" s="712"/>
      <c r="U1516" s="711"/>
      <c r="V1516" s="711"/>
      <c r="W1516" s="711"/>
      <c r="X1516" s="711"/>
      <c r="Y1516" s="711"/>
      <c r="Z1516" s="711"/>
      <c r="AU1516" s="713"/>
      <c r="AW1516" s="712"/>
      <c r="BY1516" s="714"/>
      <c r="BZ1516" s="715"/>
      <c r="CA1516" s="716"/>
      <c r="CB1516" s="717"/>
      <c r="CC1516" s="717"/>
      <c r="CD1516" s="717"/>
      <c r="CE1516" s="717"/>
      <c r="CF1516" s="717"/>
      <c r="CG1516" s="717"/>
      <c r="CH1516" s="717"/>
      <c r="CI1516" s="717"/>
      <c r="CJ1516" s="717"/>
      <c r="CK1516" s="717"/>
      <c r="CL1516" s="717"/>
      <c r="CM1516" s="717"/>
      <c r="CN1516" s="717"/>
      <c r="CO1516" s="717"/>
      <c r="CP1516" s="717"/>
      <c r="CQ1516" s="717"/>
      <c r="CR1516" s="717"/>
      <c r="CS1516" s="717"/>
      <c r="CT1516" s="717"/>
      <c r="CU1516" s="717"/>
      <c r="CV1516" s="717"/>
      <c r="CW1516" s="717"/>
      <c r="CX1516" s="717"/>
      <c r="CY1516" s="717"/>
      <c r="CZ1516" s="717"/>
      <c r="DA1516" s="717"/>
      <c r="DB1516" s="717"/>
      <c r="DC1516" s="717"/>
      <c r="DD1516" s="717"/>
      <c r="DE1516" s="717"/>
      <c r="DF1516" s="717"/>
      <c r="DG1516" s="717"/>
      <c r="DH1516" s="717"/>
      <c r="DI1516" s="717"/>
      <c r="DJ1516" s="717"/>
      <c r="DM1516" s="711"/>
      <c r="DN1516" s="711"/>
      <c r="DO1516" s="711"/>
      <c r="DP1516" s="711"/>
      <c r="DQ1516" s="711"/>
    </row>
    <row r="1517" spans="13:121" s="709" customFormat="1" hidden="1">
      <c r="M1517" s="710"/>
      <c r="P1517" s="711"/>
      <c r="Q1517" s="712"/>
      <c r="U1517" s="711"/>
      <c r="V1517" s="711"/>
      <c r="W1517" s="711"/>
      <c r="X1517" s="711"/>
      <c r="Y1517" s="711"/>
      <c r="Z1517" s="711"/>
      <c r="AU1517" s="713"/>
      <c r="AW1517" s="712"/>
      <c r="BY1517" s="714"/>
      <c r="BZ1517" s="715"/>
      <c r="CA1517" s="716"/>
      <c r="CB1517" s="717"/>
      <c r="CC1517" s="717"/>
      <c r="CD1517" s="717"/>
      <c r="CE1517" s="717"/>
      <c r="CF1517" s="717"/>
      <c r="CG1517" s="717"/>
      <c r="CH1517" s="717"/>
      <c r="CI1517" s="717"/>
      <c r="CJ1517" s="717"/>
      <c r="CK1517" s="717"/>
      <c r="CL1517" s="717"/>
      <c r="CM1517" s="717"/>
      <c r="CN1517" s="717"/>
      <c r="CO1517" s="717"/>
      <c r="CP1517" s="717"/>
      <c r="CQ1517" s="717"/>
      <c r="CR1517" s="717"/>
      <c r="CS1517" s="717"/>
      <c r="CT1517" s="717"/>
      <c r="CU1517" s="717"/>
      <c r="CV1517" s="717"/>
      <c r="CW1517" s="717"/>
      <c r="CX1517" s="717"/>
      <c r="CY1517" s="717"/>
      <c r="CZ1517" s="717"/>
      <c r="DA1517" s="717"/>
      <c r="DB1517" s="717"/>
      <c r="DC1517" s="717"/>
      <c r="DD1517" s="717"/>
      <c r="DE1517" s="717"/>
      <c r="DF1517" s="717"/>
      <c r="DG1517" s="717"/>
      <c r="DH1517" s="717"/>
      <c r="DI1517" s="717"/>
      <c r="DJ1517" s="717"/>
      <c r="DM1517" s="711"/>
      <c r="DN1517" s="711"/>
      <c r="DO1517" s="711"/>
      <c r="DP1517" s="711"/>
      <c r="DQ1517" s="711"/>
    </row>
    <row r="1518" spans="13:121" s="709" customFormat="1" hidden="1">
      <c r="M1518" s="710"/>
      <c r="P1518" s="711"/>
      <c r="Q1518" s="712"/>
      <c r="U1518" s="711"/>
      <c r="V1518" s="711"/>
      <c r="W1518" s="711"/>
      <c r="X1518" s="711"/>
      <c r="Y1518" s="711"/>
      <c r="Z1518" s="711"/>
      <c r="AU1518" s="713"/>
      <c r="AW1518" s="712"/>
      <c r="BY1518" s="714"/>
      <c r="BZ1518" s="715"/>
      <c r="CA1518" s="716"/>
      <c r="CB1518" s="717"/>
      <c r="CC1518" s="717"/>
      <c r="CD1518" s="717"/>
      <c r="CE1518" s="717"/>
      <c r="CF1518" s="717"/>
      <c r="CG1518" s="717"/>
      <c r="CH1518" s="717"/>
      <c r="CI1518" s="717"/>
      <c r="CJ1518" s="717"/>
      <c r="CK1518" s="717"/>
      <c r="CL1518" s="717"/>
      <c r="CM1518" s="717"/>
      <c r="CN1518" s="717"/>
      <c r="CO1518" s="717"/>
      <c r="CP1518" s="717"/>
      <c r="CQ1518" s="717"/>
      <c r="CR1518" s="717"/>
      <c r="CS1518" s="717"/>
      <c r="CT1518" s="717"/>
      <c r="CU1518" s="717"/>
      <c r="CV1518" s="717"/>
      <c r="CW1518" s="717"/>
      <c r="CX1518" s="717"/>
      <c r="CY1518" s="717"/>
      <c r="CZ1518" s="717"/>
      <c r="DA1518" s="717"/>
      <c r="DB1518" s="717"/>
      <c r="DC1518" s="717"/>
      <c r="DD1518" s="717"/>
      <c r="DE1518" s="717"/>
      <c r="DF1518" s="717"/>
      <c r="DG1518" s="717"/>
      <c r="DH1518" s="717"/>
      <c r="DI1518" s="717"/>
      <c r="DJ1518" s="717"/>
      <c r="DM1518" s="711"/>
      <c r="DN1518" s="711"/>
      <c r="DO1518" s="711"/>
      <c r="DP1518" s="711"/>
      <c r="DQ1518" s="711"/>
    </row>
    <row r="1519" spans="13:121" s="709" customFormat="1" hidden="1">
      <c r="M1519" s="710"/>
      <c r="P1519" s="711"/>
      <c r="Q1519" s="712"/>
      <c r="U1519" s="711"/>
      <c r="V1519" s="711"/>
      <c r="W1519" s="711"/>
      <c r="X1519" s="711"/>
      <c r="Y1519" s="711"/>
      <c r="Z1519" s="711"/>
      <c r="AU1519" s="713"/>
      <c r="AW1519" s="712"/>
      <c r="BY1519" s="714"/>
      <c r="BZ1519" s="715"/>
      <c r="CA1519" s="716"/>
      <c r="CB1519" s="717"/>
      <c r="CC1519" s="717"/>
      <c r="CD1519" s="717"/>
      <c r="CE1519" s="717"/>
      <c r="CF1519" s="717"/>
      <c r="CG1519" s="717"/>
      <c r="CH1519" s="717"/>
      <c r="CI1519" s="717"/>
      <c r="CJ1519" s="717"/>
      <c r="CK1519" s="717"/>
      <c r="CL1519" s="717"/>
      <c r="CM1519" s="717"/>
      <c r="CN1519" s="717"/>
      <c r="CO1519" s="717"/>
      <c r="CP1519" s="717"/>
      <c r="CQ1519" s="717"/>
      <c r="CR1519" s="717"/>
      <c r="CS1519" s="717"/>
      <c r="CT1519" s="717"/>
      <c r="CU1519" s="717"/>
      <c r="CV1519" s="717"/>
      <c r="CW1519" s="717"/>
      <c r="CX1519" s="717"/>
      <c r="CY1519" s="717"/>
      <c r="CZ1519" s="717"/>
      <c r="DA1519" s="717"/>
      <c r="DB1519" s="717"/>
      <c r="DC1519" s="717"/>
      <c r="DD1519" s="717"/>
      <c r="DE1519" s="717"/>
      <c r="DF1519" s="717"/>
      <c r="DG1519" s="717"/>
      <c r="DH1519" s="717"/>
      <c r="DI1519" s="717"/>
      <c r="DJ1519" s="717"/>
      <c r="DM1519" s="711"/>
      <c r="DN1519" s="711"/>
      <c r="DO1519" s="711"/>
      <c r="DP1519" s="711"/>
      <c r="DQ1519" s="711"/>
    </row>
    <row r="1520" spans="13:121" s="709" customFormat="1" hidden="1">
      <c r="M1520" s="710"/>
      <c r="P1520" s="711"/>
      <c r="Q1520" s="712"/>
      <c r="U1520" s="711"/>
      <c r="V1520" s="711"/>
      <c r="W1520" s="711"/>
      <c r="X1520" s="711"/>
      <c r="Y1520" s="711"/>
      <c r="Z1520" s="711"/>
      <c r="AU1520" s="713"/>
      <c r="AW1520" s="712"/>
      <c r="BY1520" s="714"/>
      <c r="BZ1520" s="715"/>
      <c r="CA1520" s="716"/>
      <c r="CB1520" s="717"/>
      <c r="CC1520" s="717"/>
      <c r="CD1520" s="717"/>
      <c r="CE1520" s="717"/>
      <c r="CF1520" s="717"/>
      <c r="CG1520" s="717"/>
      <c r="CH1520" s="717"/>
      <c r="CI1520" s="717"/>
      <c r="CJ1520" s="717"/>
      <c r="CK1520" s="717"/>
      <c r="CL1520" s="717"/>
      <c r="CM1520" s="717"/>
      <c r="CN1520" s="717"/>
      <c r="CO1520" s="717"/>
      <c r="CP1520" s="717"/>
      <c r="CQ1520" s="717"/>
      <c r="CR1520" s="717"/>
      <c r="CS1520" s="717"/>
      <c r="CT1520" s="717"/>
      <c r="CU1520" s="717"/>
      <c r="CV1520" s="717"/>
      <c r="CW1520" s="717"/>
      <c r="CX1520" s="717"/>
      <c r="CY1520" s="717"/>
      <c r="CZ1520" s="717"/>
      <c r="DA1520" s="717"/>
      <c r="DB1520" s="717"/>
      <c r="DC1520" s="717"/>
      <c r="DD1520" s="717"/>
      <c r="DE1520" s="717"/>
      <c r="DF1520" s="717"/>
      <c r="DG1520" s="717"/>
      <c r="DH1520" s="717"/>
      <c r="DI1520" s="717"/>
      <c r="DJ1520" s="717"/>
      <c r="DM1520" s="711"/>
      <c r="DN1520" s="711"/>
      <c r="DO1520" s="711"/>
      <c r="DP1520" s="711"/>
      <c r="DQ1520" s="711"/>
    </row>
    <row r="1521" spans="13:121" s="709" customFormat="1" hidden="1">
      <c r="M1521" s="710"/>
      <c r="P1521" s="711"/>
      <c r="Q1521" s="712"/>
      <c r="U1521" s="711"/>
      <c r="V1521" s="711"/>
      <c r="W1521" s="711"/>
      <c r="X1521" s="711"/>
      <c r="Y1521" s="711"/>
      <c r="Z1521" s="711"/>
      <c r="AU1521" s="713"/>
      <c r="AW1521" s="712"/>
      <c r="BY1521" s="714"/>
      <c r="BZ1521" s="715"/>
      <c r="CA1521" s="716"/>
      <c r="CB1521" s="717"/>
      <c r="CC1521" s="717"/>
      <c r="CD1521" s="717"/>
      <c r="CE1521" s="717"/>
      <c r="CF1521" s="717"/>
      <c r="CG1521" s="717"/>
      <c r="CH1521" s="717"/>
      <c r="CI1521" s="717"/>
      <c r="CJ1521" s="717"/>
      <c r="CK1521" s="717"/>
      <c r="CL1521" s="717"/>
      <c r="CM1521" s="717"/>
      <c r="CN1521" s="717"/>
      <c r="CO1521" s="717"/>
      <c r="CP1521" s="717"/>
      <c r="CQ1521" s="717"/>
      <c r="CR1521" s="717"/>
      <c r="CS1521" s="717"/>
      <c r="CT1521" s="717"/>
      <c r="CU1521" s="717"/>
      <c r="CV1521" s="717"/>
      <c r="CW1521" s="717"/>
      <c r="CX1521" s="717"/>
      <c r="CY1521" s="717"/>
      <c r="CZ1521" s="717"/>
      <c r="DA1521" s="717"/>
      <c r="DB1521" s="717"/>
      <c r="DC1521" s="717"/>
      <c r="DD1521" s="717"/>
      <c r="DE1521" s="717"/>
      <c r="DF1521" s="717"/>
      <c r="DG1521" s="717"/>
      <c r="DH1521" s="717"/>
      <c r="DI1521" s="717"/>
      <c r="DJ1521" s="717"/>
      <c r="DM1521" s="711"/>
      <c r="DN1521" s="711"/>
      <c r="DO1521" s="711"/>
      <c r="DP1521" s="711"/>
      <c r="DQ1521" s="711"/>
    </row>
    <row r="1522" spans="13:121" s="709" customFormat="1" hidden="1">
      <c r="M1522" s="710"/>
      <c r="P1522" s="711"/>
      <c r="Q1522" s="712"/>
      <c r="U1522" s="711"/>
      <c r="V1522" s="711"/>
      <c r="W1522" s="711"/>
      <c r="X1522" s="711"/>
      <c r="Y1522" s="711"/>
      <c r="Z1522" s="711"/>
      <c r="AU1522" s="713"/>
      <c r="AW1522" s="712"/>
      <c r="BY1522" s="714"/>
      <c r="BZ1522" s="715"/>
      <c r="CA1522" s="716"/>
      <c r="CB1522" s="717"/>
      <c r="CC1522" s="717"/>
      <c r="CD1522" s="717"/>
      <c r="CE1522" s="717"/>
      <c r="CF1522" s="717"/>
      <c r="CG1522" s="717"/>
      <c r="CH1522" s="717"/>
      <c r="CI1522" s="717"/>
      <c r="CJ1522" s="717"/>
      <c r="CK1522" s="717"/>
      <c r="CL1522" s="717"/>
      <c r="CM1522" s="717"/>
      <c r="CN1522" s="717"/>
      <c r="CO1522" s="717"/>
      <c r="CP1522" s="717"/>
      <c r="CQ1522" s="717"/>
      <c r="CR1522" s="717"/>
      <c r="CS1522" s="717"/>
      <c r="CT1522" s="717"/>
      <c r="CU1522" s="717"/>
      <c r="CV1522" s="717"/>
      <c r="CW1522" s="717"/>
      <c r="CX1522" s="717"/>
      <c r="CY1522" s="717"/>
      <c r="CZ1522" s="717"/>
      <c r="DA1522" s="717"/>
      <c r="DB1522" s="717"/>
      <c r="DC1522" s="717"/>
      <c r="DD1522" s="717"/>
      <c r="DE1522" s="717"/>
      <c r="DF1522" s="717"/>
      <c r="DG1522" s="717"/>
      <c r="DH1522" s="717"/>
      <c r="DI1522" s="717"/>
      <c r="DJ1522" s="717"/>
      <c r="DM1522" s="711"/>
      <c r="DN1522" s="711"/>
      <c r="DO1522" s="711"/>
      <c r="DP1522" s="711"/>
      <c r="DQ1522" s="711"/>
    </row>
    <row r="1523" spans="13:121" s="709" customFormat="1" hidden="1">
      <c r="M1523" s="710"/>
      <c r="P1523" s="711"/>
      <c r="Q1523" s="712"/>
      <c r="U1523" s="711"/>
      <c r="V1523" s="711"/>
      <c r="W1523" s="711"/>
      <c r="X1523" s="711"/>
      <c r="Y1523" s="711"/>
      <c r="Z1523" s="711"/>
      <c r="AU1523" s="713"/>
      <c r="AW1523" s="712"/>
      <c r="BY1523" s="714"/>
      <c r="BZ1523" s="715"/>
      <c r="CA1523" s="716"/>
      <c r="CB1523" s="717"/>
      <c r="CC1523" s="717"/>
      <c r="CD1523" s="717"/>
      <c r="CE1523" s="717"/>
      <c r="CF1523" s="717"/>
      <c r="CG1523" s="717"/>
      <c r="CH1523" s="717"/>
      <c r="CI1523" s="717"/>
      <c r="CJ1523" s="717"/>
      <c r="CK1523" s="717"/>
      <c r="CL1523" s="717"/>
      <c r="CM1523" s="717"/>
      <c r="CN1523" s="717"/>
      <c r="CO1523" s="717"/>
      <c r="CP1523" s="717"/>
      <c r="CQ1523" s="717"/>
      <c r="CR1523" s="717"/>
      <c r="CS1523" s="717"/>
      <c r="CT1523" s="717"/>
      <c r="CU1523" s="717"/>
      <c r="CV1523" s="717"/>
      <c r="CW1523" s="717"/>
      <c r="CX1523" s="717"/>
      <c r="CY1523" s="717"/>
      <c r="CZ1523" s="717"/>
      <c r="DA1523" s="717"/>
      <c r="DB1523" s="717"/>
      <c r="DC1523" s="717"/>
      <c r="DD1523" s="717"/>
      <c r="DE1523" s="717"/>
      <c r="DF1523" s="717"/>
      <c r="DG1523" s="717"/>
      <c r="DH1523" s="717"/>
      <c r="DI1523" s="717"/>
      <c r="DJ1523" s="717"/>
      <c r="DM1523" s="711"/>
      <c r="DN1523" s="711"/>
      <c r="DO1523" s="711"/>
      <c r="DP1523" s="711"/>
      <c r="DQ1523" s="711"/>
    </row>
    <row r="1524" spans="13:121" s="709" customFormat="1" hidden="1">
      <c r="M1524" s="710"/>
      <c r="P1524" s="711"/>
      <c r="Q1524" s="712"/>
      <c r="U1524" s="711"/>
      <c r="V1524" s="711"/>
      <c r="W1524" s="711"/>
      <c r="X1524" s="711"/>
      <c r="Y1524" s="711"/>
      <c r="Z1524" s="711"/>
      <c r="AU1524" s="713"/>
      <c r="AW1524" s="712"/>
      <c r="BY1524" s="714"/>
      <c r="BZ1524" s="715"/>
      <c r="CA1524" s="716"/>
      <c r="CB1524" s="717"/>
      <c r="CC1524" s="717"/>
      <c r="CD1524" s="717"/>
      <c r="CE1524" s="717"/>
      <c r="CF1524" s="717"/>
      <c r="CG1524" s="717"/>
      <c r="CH1524" s="717"/>
      <c r="CI1524" s="717"/>
      <c r="CJ1524" s="717"/>
      <c r="CK1524" s="717"/>
      <c r="CL1524" s="717"/>
      <c r="CM1524" s="717"/>
      <c r="CN1524" s="717"/>
      <c r="CO1524" s="717"/>
      <c r="CP1524" s="717"/>
      <c r="CQ1524" s="717"/>
      <c r="CR1524" s="717"/>
      <c r="CS1524" s="717"/>
      <c r="CT1524" s="717"/>
      <c r="CU1524" s="717"/>
      <c r="CV1524" s="717"/>
      <c r="CW1524" s="717"/>
      <c r="CX1524" s="717"/>
      <c r="CY1524" s="717"/>
      <c r="CZ1524" s="717"/>
      <c r="DA1524" s="717"/>
      <c r="DB1524" s="717"/>
      <c r="DC1524" s="717"/>
      <c r="DD1524" s="717"/>
      <c r="DE1524" s="717"/>
      <c r="DF1524" s="717"/>
      <c r="DG1524" s="717"/>
      <c r="DH1524" s="717"/>
      <c r="DI1524" s="717"/>
      <c r="DJ1524" s="717"/>
      <c r="DM1524" s="711"/>
      <c r="DN1524" s="711"/>
      <c r="DO1524" s="711"/>
      <c r="DP1524" s="711"/>
      <c r="DQ1524" s="711"/>
    </row>
    <row r="1525" spans="13:121" s="709" customFormat="1" hidden="1">
      <c r="M1525" s="710"/>
      <c r="P1525" s="711"/>
      <c r="Q1525" s="712"/>
      <c r="U1525" s="711"/>
      <c r="V1525" s="711"/>
      <c r="W1525" s="711"/>
      <c r="X1525" s="711"/>
      <c r="Y1525" s="711"/>
      <c r="Z1525" s="711"/>
      <c r="AU1525" s="713"/>
      <c r="AW1525" s="712"/>
      <c r="BY1525" s="714"/>
      <c r="BZ1525" s="715"/>
      <c r="CA1525" s="716"/>
      <c r="CB1525" s="717"/>
      <c r="CC1525" s="717"/>
      <c r="CD1525" s="717"/>
      <c r="CE1525" s="717"/>
      <c r="CF1525" s="717"/>
      <c r="CG1525" s="717"/>
      <c r="CH1525" s="717"/>
      <c r="CI1525" s="717"/>
      <c r="CJ1525" s="717"/>
      <c r="CK1525" s="717"/>
      <c r="CL1525" s="717"/>
      <c r="CM1525" s="717"/>
      <c r="CN1525" s="717"/>
      <c r="CO1525" s="717"/>
      <c r="CP1525" s="717"/>
      <c r="CQ1525" s="717"/>
      <c r="CR1525" s="717"/>
      <c r="CS1525" s="717"/>
      <c r="CT1525" s="717"/>
      <c r="CU1525" s="717"/>
      <c r="CV1525" s="717"/>
      <c r="CW1525" s="717"/>
      <c r="CX1525" s="717"/>
      <c r="CY1525" s="717"/>
      <c r="CZ1525" s="717"/>
      <c r="DA1525" s="717"/>
      <c r="DB1525" s="717"/>
      <c r="DC1525" s="717"/>
      <c r="DD1525" s="717"/>
      <c r="DE1525" s="717"/>
      <c r="DF1525" s="717"/>
      <c r="DG1525" s="717"/>
      <c r="DH1525" s="717"/>
      <c r="DI1525" s="717"/>
      <c r="DJ1525" s="717"/>
      <c r="DM1525" s="711"/>
      <c r="DN1525" s="711"/>
      <c r="DO1525" s="711"/>
      <c r="DP1525" s="711"/>
      <c r="DQ1525" s="711"/>
    </row>
    <row r="1526" spans="13:121" s="709" customFormat="1" hidden="1">
      <c r="M1526" s="710"/>
      <c r="P1526" s="711"/>
      <c r="Q1526" s="712"/>
      <c r="U1526" s="711"/>
      <c r="V1526" s="711"/>
      <c r="W1526" s="711"/>
      <c r="X1526" s="711"/>
      <c r="Y1526" s="711"/>
      <c r="Z1526" s="711"/>
      <c r="AU1526" s="713"/>
      <c r="AW1526" s="712"/>
      <c r="BY1526" s="714"/>
      <c r="BZ1526" s="715"/>
      <c r="CA1526" s="716"/>
      <c r="CB1526" s="717"/>
      <c r="CC1526" s="717"/>
      <c r="CD1526" s="717"/>
      <c r="CE1526" s="717"/>
      <c r="CF1526" s="717"/>
      <c r="CG1526" s="717"/>
      <c r="CH1526" s="717"/>
      <c r="CI1526" s="717"/>
      <c r="CJ1526" s="717"/>
      <c r="CK1526" s="717"/>
      <c r="CL1526" s="717"/>
      <c r="CM1526" s="717"/>
      <c r="CN1526" s="717"/>
      <c r="CO1526" s="717"/>
      <c r="CP1526" s="717"/>
      <c r="CQ1526" s="717"/>
      <c r="CR1526" s="717"/>
      <c r="CS1526" s="717"/>
      <c r="CT1526" s="717"/>
      <c r="CU1526" s="717"/>
      <c r="CV1526" s="717"/>
      <c r="CW1526" s="717"/>
      <c r="CX1526" s="717"/>
      <c r="CY1526" s="717"/>
      <c r="CZ1526" s="717"/>
      <c r="DA1526" s="717"/>
      <c r="DB1526" s="717"/>
      <c r="DC1526" s="717"/>
      <c r="DD1526" s="717"/>
      <c r="DE1526" s="717"/>
      <c r="DF1526" s="717"/>
      <c r="DG1526" s="717"/>
      <c r="DH1526" s="717"/>
      <c r="DI1526" s="717"/>
      <c r="DJ1526" s="717"/>
      <c r="DM1526" s="711"/>
      <c r="DN1526" s="711"/>
      <c r="DO1526" s="711"/>
      <c r="DP1526" s="711"/>
      <c r="DQ1526" s="711"/>
    </row>
    <row r="1527" spans="13:121" s="709" customFormat="1" hidden="1">
      <c r="M1527" s="710"/>
      <c r="P1527" s="711"/>
      <c r="Q1527" s="712"/>
      <c r="U1527" s="711"/>
      <c r="V1527" s="711"/>
      <c r="W1527" s="711"/>
      <c r="X1527" s="711"/>
      <c r="Y1527" s="711"/>
      <c r="Z1527" s="711"/>
      <c r="AU1527" s="713"/>
      <c r="AW1527" s="712"/>
      <c r="BY1527" s="714"/>
      <c r="BZ1527" s="715"/>
      <c r="CA1527" s="716"/>
      <c r="CB1527" s="717"/>
      <c r="CC1527" s="717"/>
      <c r="CD1527" s="717"/>
      <c r="CE1527" s="717"/>
      <c r="CF1527" s="717"/>
      <c r="CG1527" s="717"/>
      <c r="CH1527" s="717"/>
      <c r="CI1527" s="717"/>
      <c r="CJ1527" s="717"/>
      <c r="CK1527" s="717"/>
      <c r="CL1527" s="717"/>
      <c r="CM1527" s="717"/>
      <c r="CN1527" s="717"/>
      <c r="CO1527" s="717"/>
      <c r="CP1527" s="717"/>
      <c r="CQ1527" s="717"/>
      <c r="CR1527" s="717"/>
      <c r="CS1527" s="717"/>
      <c r="CT1527" s="717"/>
      <c r="CU1527" s="717"/>
      <c r="CV1527" s="717"/>
      <c r="CW1527" s="717"/>
      <c r="CX1527" s="717"/>
      <c r="CY1527" s="717"/>
      <c r="CZ1527" s="717"/>
      <c r="DA1527" s="717"/>
      <c r="DB1527" s="717"/>
      <c r="DC1527" s="717"/>
      <c r="DD1527" s="717"/>
      <c r="DE1527" s="717"/>
      <c r="DF1527" s="717"/>
      <c r="DG1527" s="717"/>
      <c r="DH1527" s="717"/>
      <c r="DI1527" s="717"/>
      <c r="DJ1527" s="717"/>
      <c r="DM1527" s="711"/>
      <c r="DN1527" s="711"/>
      <c r="DO1527" s="711"/>
      <c r="DP1527" s="711"/>
      <c r="DQ1527" s="711"/>
    </row>
    <row r="1528" spans="13:121" s="709" customFormat="1" hidden="1">
      <c r="M1528" s="710"/>
      <c r="P1528" s="711"/>
      <c r="Q1528" s="712"/>
      <c r="U1528" s="711"/>
      <c r="V1528" s="711"/>
      <c r="W1528" s="711"/>
      <c r="X1528" s="711"/>
      <c r="Y1528" s="711"/>
      <c r="Z1528" s="711"/>
      <c r="AU1528" s="713"/>
      <c r="AW1528" s="712"/>
      <c r="BY1528" s="714"/>
      <c r="BZ1528" s="715"/>
      <c r="CA1528" s="716"/>
      <c r="CB1528" s="717"/>
      <c r="CC1528" s="717"/>
      <c r="CD1528" s="717"/>
      <c r="CE1528" s="717"/>
      <c r="CF1528" s="717"/>
      <c r="CG1528" s="717"/>
      <c r="CH1528" s="717"/>
      <c r="CI1528" s="717"/>
      <c r="CJ1528" s="717"/>
      <c r="CK1528" s="717"/>
      <c r="CL1528" s="717"/>
      <c r="CM1528" s="717"/>
      <c r="CN1528" s="717"/>
      <c r="CO1528" s="717"/>
      <c r="CP1528" s="717"/>
      <c r="CQ1528" s="717"/>
      <c r="CR1528" s="717"/>
      <c r="CS1528" s="717"/>
      <c r="CT1528" s="717"/>
      <c r="CU1528" s="717"/>
      <c r="CV1528" s="717"/>
      <c r="CW1528" s="717"/>
      <c r="CX1528" s="717"/>
      <c r="CY1528" s="717"/>
      <c r="CZ1528" s="717"/>
      <c r="DA1528" s="717"/>
      <c r="DB1528" s="717"/>
      <c r="DC1528" s="717"/>
      <c r="DD1528" s="717"/>
      <c r="DE1528" s="717"/>
      <c r="DF1528" s="717"/>
      <c r="DG1528" s="717"/>
      <c r="DH1528" s="717"/>
      <c r="DI1528" s="717"/>
      <c r="DJ1528" s="717"/>
      <c r="DM1528" s="711"/>
      <c r="DN1528" s="711"/>
      <c r="DO1528" s="711"/>
      <c r="DP1528" s="711"/>
      <c r="DQ1528" s="711"/>
    </row>
    <row r="1529" spans="13:121" s="709" customFormat="1" hidden="1">
      <c r="M1529" s="710"/>
      <c r="P1529" s="711"/>
      <c r="Q1529" s="712"/>
      <c r="U1529" s="711"/>
      <c r="V1529" s="711"/>
      <c r="W1529" s="711"/>
      <c r="X1529" s="711"/>
      <c r="Y1529" s="711"/>
      <c r="Z1529" s="711"/>
      <c r="AU1529" s="713"/>
      <c r="AW1529" s="712"/>
      <c r="BY1529" s="714"/>
      <c r="BZ1529" s="715"/>
      <c r="CA1529" s="716"/>
      <c r="CB1529" s="717"/>
      <c r="CC1529" s="717"/>
      <c r="CD1529" s="717"/>
      <c r="CE1529" s="717"/>
      <c r="CF1529" s="717"/>
      <c r="CG1529" s="717"/>
      <c r="CH1529" s="717"/>
      <c r="CI1529" s="717"/>
      <c r="CJ1529" s="717"/>
      <c r="CK1529" s="717"/>
      <c r="CL1529" s="717"/>
      <c r="CM1529" s="717"/>
      <c r="CN1529" s="717"/>
      <c r="CO1529" s="717"/>
      <c r="CP1529" s="717"/>
      <c r="CQ1529" s="717"/>
      <c r="CR1529" s="717"/>
      <c r="CS1529" s="717"/>
      <c r="CT1529" s="717"/>
      <c r="CU1529" s="717"/>
      <c r="CV1529" s="717"/>
      <c r="CW1529" s="717"/>
      <c r="CX1529" s="717"/>
      <c r="CY1529" s="717"/>
      <c r="CZ1529" s="717"/>
      <c r="DA1529" s="717"/>
      <c r="DB1529" s="717"/>
      <c r="DC1529" s="717"/>
      <c r="DD1529" s="717"/>
      <c r="DE1529" s="717"/>
      <c r="DF1529" s="717"/>
      <c r="DG1529" s="717"/>
      <c r="DH1529" s="717"/>
      <c r="DI1529" s="717"/>
      <c r="DJ1529" s="717"/>
      <c r="DM1529" s="711"/>
      <c r="DN1529" s="711"/>
      <c r="DO1529" s="711"/>
      <c r="DP1529" s="711"/>
      <c r="DQ1529" s="711"/>
    </row>
    <row r="1530" spans="13:121" s="709" customFormat="1" hidden="1">
      <c r="M1530" s="710"/>
      <c r="P1530" s="711"/>
      <c r="Q1530" s="712"/>
      <c r="U1530" s="711"/>
      <c r="V1530" s="711"/>
      <c r="W1530" s="711"/>
      <c r="X1530" s="711"/>
      <c r="Y1530" s="711"/>
      <c r="Z1530" s="711"/>
      <c r="AU1530" s="713"/>
      <c r="AW1530" s="712"/>
      <c r="BY1530" s="714"/>
      <c r="BZ1530" s="715"/>
      <c r="CA1530" s="716"/>
      <c r="CB1530" s="717"/>
      <c r="CC1530" s="717"/>
      <c r="CD1530" s="717"/>
      <c r="CE1530" s="717"/>
      <c r="CF1530" s="717"/>
      <c r="CG1530" s="717"/>
      <c r="CH1530" s="717"/>
      <c r="CI1530" s="717"/>
      <c r="CJ1530" s="717"/>
      <c r="CK1530" s="717"/>
      <c r="CL1530" s="717"/>
      <c r="CM1530" s="717"/>
      <c r="CN1530" s="717"/>
      <c r="CO1530" s="717"/>
      <c r="CP1530" s="717"/>
      <c r="CQ1530" s="717"/>
      <c r="CR1530" s="717"/>
      <c r="CS1530" s="717"/>
      <c r="CT1530" s="717"/>
      <c r="CU1530" s="717"/>
      <c r="CV1530" s="717"/>
      <c r="CW1530" s="717"/>
      <c r="CX1530" s="717"/>
      <c r="CY1530" s="717"/>
      <c r="CZ1530" s="717"/>
      <c r="DA1530" s="717"/>
      <c r="DB1530" s="717"/>
      <c r="DC1530" s="717"/>
      <c r="DD1530" s="717"/>
      <c r="DE1530" s="717"/>
      <c r="DF1530" s="717"/>
      <c r="DG1530" s="717"/>
      <c r="DH1530" s="717"/>
      <c r="DI1530" s="717"/>
      <c r="DJ1530" s="717"/>
      <c r="DM1530" s="711"/>
      <c r="DN1530" s="711"/>
      <c r="DO1530" s="711"/>
      <c r="DP1530" s="711"/>
      <c r="DQ1530" s="711"/>
    </row>
    <row r="1531" spans="13:121" s="709" customFormat="1" hidden="1">
      <c r="M1531" s="710"/>
      <c r="P1531" s="711"/>
      <c r="Q1531" s="712"/>
      <c r="U1531" s="711"/>
      <c r="V1531" s="711"/>
      <c r="W1531" s="711"/>
      <c r="X1531" s="711"/>
      <c r="Y1531" s="711"/>
      <c r="Z1531" s="711"/>
      <c r="AU1531" s="713"/>
      <c r="AW1531" s="712"/>
      <c r="BY1531" s="714"/>
      <c r="BZ1531" s="715"/>
      <c r="CA1531" s="716"/>
      <c r="CB1531" s="717"/>
      <c r="CC1531" s="717"/>
      <c r="CD1531" s="717"/>
      <c r="CE1531" s="717"/>
      <c r="CF1531" s="717"/>
      <c r="CG1531" s="717"/>
      <c r="CH1531" s="717"/>
      <c r="CI1531" s="717"/>
      <c r="CJ1531" s="717"/>
      <c r="CK1531" s="717"/>
      <c r="CL1531" s="717"/>
      <c r="CM1531" s="717"/>
      <c r="CN1531" s="717"/>
      <c r="CO1531" s="717"/>
      <c r="CP1531" s="717"/>
      <c r="CQ1531" s="717"/>
      <c r="CR1531" s="717"/>
      <c r="CS1531" s="717"/>
      <c r="CT1531" s="717"/>
      <c r="CU1531" s="717"/>
      <c r="CV1531" s="717"/>
      <c r="CW1531" s="717"/>
      <c r="CX1531" s="717"/>
      <c r="CY1531" s="717"/>
      <c r="CZ1531" s="717"/>
      <c r="DA1531" s="717"/>
      <c r="DB1531" s="717"/>
      <c r="DC1531" s="717"/>
      <c r="DD1531" s="717"/>
      <c r="DE1531" s="717"/>
      <c r="DF1531" s="717"/>
      <c r="DG1531" s="717"/>
      <c r="DH1531" s="717"/>
      <c r="DI1531" s="717"/>
      <c r="DJ1531" s="717"/>
      <c r="DM1531" s="711"/>
      <c r="DN1531" s="711"/>
      <c r="DO1531" s="711"/>
      <c r="DP1531" s="711"/>
      <c r="DQ1531" s="711"/>
    </row>
    <row r="1532" spans="13:121" s="709" customFormat="1" hidden="1">
      <c r="M1532" s="710"/>
      <c r="P1532" s="711"/>
      <c r="Q1532" s="712"/>
      <c r="U1532" s="711"/>
      <c r="V1532" s="711"/>
      <c r="W1532" s="711"/>
      <c r="X1532" s="711"/>
      <c r="Y1532" s="711"/>
      <c r="Z1532" s="711"/>
      <c r="AU1532" s="713"/>
      <c r="AW1532" s="712"/>
      <c r="BY1532" s="714"/>
      <c r="BZ1532" s="715"/>
      <c r="CA1532" s="716"/>
      <c r="CB1532" s="717"/>
      <c r="CC1532" s="717"/>
      <c r="CD1532" s="717"/>
      <c r="CE1532" s="717"/>
      <c r="CF1532" s="717"/>
      <c r="CG1532" s="717"/>
      <c r="CH1532" s="717"/>
      <c r="CI1532" s="717"/>
      <c r="CJ1532" s="717"/>
      <c r="CK1532" s="717"/>
      <c r="CL1532" s="717"/>
      <c r="CM1532" s="717"/>
      <c r="CN1532" s="717"/>
      <c r="CO1532" s="717"/>
      <c r="CP1532" s="717"/>
      <c r="CQ1532" s="717"/>
      <c r="CR1532" s="717"/>
      <c r="CS1532" s="717"/>
      <c r="CT1532" s="717"/>
      <c r="CU1532" s="717"/>
      <c r="CV1532" s="717"/>
      <c r="CW1532" s="717"/>
      <c r="CX1532" s="717"/>
      <c r="CY1532" s="717"/>
      <c r="CZ1532" s="717"/>
      <c r="DA1532" s="717"/>
      <c r="DB1532" s="717"/>
      <c r="DC1532" s="717"/>
      <c r="DD1532" s="717"/>
      <c r="DE1532" s="717"/>
      <c r="DF1532" s="717"/>
      <c r="DG1532" s="717"/>
      <c r="DH1532" s="717"/>
      <c r="DI1532" s="717"/>
      <c r="DJ1532" s="717"/>
      <c r="DM1532" s="711"/>
      <c r="DN1532" s="711"/>
      <c r="DO1532" s="711"/>
      <c r="DP1532" s="711"/>
      <c r="DQ1532" s="711"/>
    </row>
    <row r="1533" spans="13:121" s="709" customFormat="1" hidden="1">
      <c r="M1533" s="710"/>
      <c r="P1533" s="711"/>
      <c r="Q1533" s="712"/>
      <c r="U1533" s="711"/>
      <c r="V1533" s="711"/>
      <c r="W1533" s="711"/>
      <c r="X1533" s="711"/>
      <c r="Y1533" s="711"/>
      <c r="Z1533" s="711"/>
      <c r="AU1533" s="713"/>
      <c r="AW1533" s="712"/>
      <c r="BY1533" s="714"/>
      <c r="BZ1533" s="715"/>
      <c r="CA1533" s="716"/>
      <c r="CB1533" s="717"/>
      <c r="CC1533" s="717"/>
      <c r="CD1533" s="717"/>
      <c r="CE1533" s="717"/>
      <c r="CF1533" s="717"/>
      <c r="CG1533" s="717"/>
      <c r="CH1533" s="717"/>
      <c r="CI1533" s="717"/>
      <c r="CJ1533" s="717"/>
      <c r="CK1533" s="717"/>
      <c r="CL1533" s="717"/>
      <c r="CM1533" s="717"/>
      <c r="CN1533" s="717"/>
      <c r="CO1533" s="717"/>
      <c r="CP1533" s="717"/>
      <c r="CQ1533" s="717"/>
      <c r="CR1533" s="717"/>
      <c r="CS1533" s="717"/>
      <c r="CT1533" s="717"/>
      <c r="CU1533" s="717"/>
      <c r="CV1533" s="717"/>
      <c r="CW1533" s="717"/>
      <c r="CX1533" s="717"/>
      <c r="CY1533" s="717"/>
      <c r="CZ1533" s="717"/>
      <c r="DA1533" s="717"/>
      <c r="DB1533" s="717"/>
      <c r="DC1533" s="717"/>
      <c r="DD1533" s="717"/>
      <c r="DE1533" s="717"/>
      <c r="DF1533" s="717"/>
      <c r="DG1533" s="717"/>
      <c r="DH1533" s="717"/>
      <c r="DI1533" s="717"/>
      <c r="DJ1533" s="717"/>
      <c r="DM1533" s="711"/>
      <c r="DN1533" s="711"/>
      <c r="DO1533" s="711"/>
      <c r="DP1533" s="711"/>
      <c r="DQ1533" s="711"/>
    </row>
    <row r="1534" spans="13:121" s="709" customFormat="1" hidden="1">
      <c r="M1534" s="710"/>
      <c r="P1534" s="711"/>
      <c r="Q1534" s="712"/>
      <c r="U1534" s="711"/>
      <c r="V1534" s="711"/>
      <c r="W1534" s="711"/>
      <c r="X1534" s="711"/>
      <c r="Y1534" s="711"/>
      <c r="Z1534" s="711"/>
      <c r="AU1534" s="713"/>
      <c r="AW1534" s="712"/>
      <c r="BY1534" s="714"/>
      <c r="BZ1534" s="715"/>
      <c r="CA1534" s="716"/>
      <c r="CB1534" s="717"/>
      <c r="CC1534" s="717"/>
      <c r="CD1534" s="717"/>
      <c r="CE1534" s="717"/>
      <c r="CF1534" s="717"/>
      <c r="CG1534" s="717"/>
      <c r="CH1534" s="717"/>
      <c r="CI1534" s="717"/>
      <c r="CJ1534" s="717"/>
      <c r="CK1534" s="717"/>
      <c r="CL1534" s="717"/>
      <c r="CM1534" s="717"/>
      <c r="CN1534" s="717"/>
      <c r="CO1534" s="717"/>
      <c r="CP1534" s="717"/>
      <c r="CQ1534" s="717"/>
      <c r="CR1534" s="717"/>
      <c r="CS1534" s="717"/>
      <c r="CT1534" s="717"/>
      <c r="CU1534" s="717"/>
      <c r="CV1534" s="717"/>
      <c r="CW1534" s="717"/>
      <c r="CX1534" s="717"/>
      <c r="CY1534" s="717"/>
      <c r="CZ1534" s="717"/>
      <c r="DA1534" s="717"/>
      <c r="DB1534" s="717"/>
      <c r="DC1534" s="717"/>
      <c r="DD1534" s="717"/>
      <c r="DE1534" s="717"/>
      <c r="DF1534" s="717"/>
      <c r="DG1534" s="717"/>
      <c r="DH1534" s="717"/>
      <c r="DI1534" s="717"/>
      <c r="DJ1534" s="717"/>
      <c r="DM1534" s="711"/>
      <c r="DN1534" s="711"/>
      <c r="DO1534" s="711"/>
      <c r="DP1534" s="711"/>
      <c r="DQ1534" s="711"/>
    </row>
    <row r="1535" spans="13:121" s="709" customFormat="1" hidden="1">
      <c r="M1535" s="710"/>
      <c r="P1535" s="711"/>
      <c r="Q1535" s="712"/>
      <c r="U1535" s="711"/>
      <c r="V1535" s="711"/>
      <c r="W1535" s="711"/>
      <c r="X1535" s="711"/>
      <c r="Y1535" s="711"/>
      <c r="Z1535" s="711"/>
      <c r="AU1535" s="713"/>
      <c r="AW1535" s="712"/>
      <c r="BY1535" s="714"/>
      <c r="BZ1535" s="715"/>
      <c r="CA1535" s="716"/>
      <c r="CB1535" s="717"/>
      <c r="CC1535" s="717"/>
      <c r="CD1535" s="717"/>
      <c r="CE1535" s="717"/>
      <c r="CF1535" s="717"/>
      <c r="CG1535" s="717"/>
      <c r="CH1535" s="717"/>
      <c r="CI1535" s="717"/>
      <c r="CJ1535" s="717"/>
      <c r="CK1535" s="717"/>
      <c r="CL1535" s="717"/>
      <c r="CM1535" s="717"/>
      <c r="CN1535" s="717"/>
      <c r="CO1535" s="717"/>
      <c r="CP1535" s="717"/>
      <c r="CQ1535" s="717"/>
      <c r="CR1535" s="717"/>
      <c r="CS1535" s="717"/>
      <c r="CT1535" s="717"/>
      <c r="CU1535" s="717"/>
      <c r="CV1535" s="717"/>
      <c r="CW1535" s="717"/>
      <c r="CX1535" s="717"/>
      <c r="CY1535" s="717"/>
      <c r="CZ1535" s="717"/>
      <c r="DA1535" s="717"/>
      <c r="DB1535" s="717"/>
      <c r="DC1535" s="717"/>
      <c r="DD1535" s="717"/>
      <c r="DE1535" s="717"/>
      <c r="DF1535" s="717"/>
      <c r="DG1535" s="717"/>
      <c r="DH1535" s="717"/>
      <c r="DI1535" s="717"/>
      <c r="DJ1535" s="717"/>
      <c r="DM1535" s="711"/>
      <c r="DN1535" s="711"/>
      <c r="DO1535" s="711"/>
      <c r="DP1535" s="711"/>
      <c r="DQ1535" s="711"/>
    </row>
    <row r="1536" spans="13:121" s="709" customFormat="1" hidden="1">
      <c r="M1536" s="710"/>
      <c r="P1536" s="711"/>
      <c r="Q1536" s="712"/>
      <c r="U1536" s="711"/>
      <c r="V1536" s="711"/>
      <c r="W1536" s="711"/>
      <c r="X1536" s="711"/>
      <c r="Y1536" s="711"/>
      <c r="Z1536" s="711"/>
      <c r="AU1536" s="713"/>
      <c r="AW1536" s="712"/>
      <c r="BY1536" s="714"/>
      <c r="BZ1536" s="715"/>
      <c r="CA1536" s="716"/>
      <c r="CB1536" s="717"/>
      <c r="CC1536" s="717"/>
      <c r="CD1536" s="717"/>
      <c r="CE1536" s="717"/>
      <c r="CF1536" s="717"/>
      <c r="CG1536" s="717"/>
      <c r="CH1536" s="717"/>
      <c r="CI1536" s="717"/>
      <c r="CJ1536" s="717"/>
      <c r="CK1536" s="717"/>
      <c r="CL1536" s="717"/>
      <c r="CM1536" s="717"/>
      <c r="CN1536" s="717"/>
      <c r="CO1536" s="717"/>
      <c r="CP1536" s="717"/>
      <c r="CQ1536" s="717"/>
      <c r="CR1536" s="717"/>
      <c r="CS1536" s="717"/>
      <c r="CT1536" s="717"/>
      <c r="CU1536" s="717"/>
      <c r="CV1536" s="717"/>
      <c r="CW1536" s="717"/>
      <c r="CX1536" s="717"/>
      <c r="CY1536" s="717"/>
      <c r="CZ1536" s="717"/>
      <c r="DA1536" s="717"/>
      <c r="DB1536" s="717"/>
      <c r="DC1536" s="717"/>
      <c r="DD1536" s="717"/>
      <c r="DE1536" s="717"/>
      <c r="DF1536" s="717"/>
      <c r="DG1536" s="717"/>
      <c r="DH1536" s="717"/>
      <c r="DI1536" s="717"/>
      <c r="DJ1536" s="717"/>
      <c r="DM1536" s="711"/>
      <c r="DN1536" s="711"/>
      <c r="DO1536" s="711"/>
      <c r="DP1536" s="711"/>
      <c r="DQ1536" s="711"/>
    </row>
    <row r="1537" spans="13:121" s="709" customFormat="1" hidden="1">
      <c r="M1537" s="710"/>
      <c r="P1537" s="711"/>
      <c r="Q1537" s="712"/>
      <c r="U1537" s="711"/>
      <c r="V1537" s="711"/>
      <c r="W1537" s="711"/>
      <c r="X1537" s="711"/>
      <c r="Y1537" s="711"/>
      <c r="Z1537" s="711"/>
      <c r="AU1537" s="713"/>
      <c r="AW1537" s="712"/>
      <c r="BY1537" s="714"/>
      <c r="BZ1537" s="715"/>
      <c r="CA1537" s="716"/>
      <c r="CB1537" s="717"/>
      <c r="CC1537" s="717"/>
      <c r="CD1537" s="717"/>
      <c r="CE1537" s="717"/>
      <c r="CF1537" s="717"/>
      <c r="CG1537" s="717"/>
      <c r="CH1537" s="717"/>
      <c r="CI1537" s="717"/>
      <c r="CJ1537" s="717"/>
      <c r="CK1537" s="717"/>
      <c r="CL1537" s="717"/>
      <c r="CM1537" s="717"/>
      <c r="CN1537" s="717"/>
      <c r="CO1537" s="717"/>
      <c r="CP1537" s="717"/>
      <c r="CQ1537" s="717"/>
      <c r="CR1537" s="717"/>
      <c r="CS1537" s="717"/>
      <c r="CT1537" s="717"/>
      <c r="CU1537" s="717"/>
      <c r="CV1537" s="717"/>
      <c r="CW1537" s="717"/>
      <c r="CX1537" s="717"/>
      <c r="CY1537" s="717"/>
      <c r="CZ1537" s="717"/>
      <c r="DA1537" s="717"/>
      <c r="DB1537" s="717"/>
      <c r="DC1537" s="717"/>
      <c r="DD1537" s="717"/>
      <c r="DE1537" s="717"/>
      <c r="DF1537" s="717"/>
      <c r="DG1537" s="717"/>
      <c r="DH1537" s="717"/>
      <c r="DI1537" s="717"/>
      <c r="DJ1537" s="717"/>
      <c r="DM1537" s="711"/>
      <c r="DN1537" s="711"/>
      <c r="DO1537" s="711"/>
      <c r="DP1537" s="711"/>
      <c r="DQ1537" s="711"/>
    </row>
    <row r="1538" spans="13:121" s="709" customFormat="1" hidden="1">
      <c r="M1538" s="710"/>
      <c r="P1538" s="711"/>
      <c r="Q1538" s="712"/>
      <c r="U1538" s="711"/>
      <c r="V1538" s="711"/>
      <c r="W1538" s="711"/>
      <c r="X1538" s="711"/>
      <c r="Y1538" s="711"/>
      <c r="Z1538" s="711"/>
      <c r="AU1538" s="713"/>
      <c r="AW1538" s="712"/>
      <c r="BY1538" s="714"/>
      <c r="BZ1538" s="715"/>
      <c r="CA1538" s="716"/>
      <c r="CB1538" s="717"/>
      <c r="CC1538" s="717"/>
      <c r="CD1538" s="717"/>
      <c r="CE1538" s="717"/>
      <c r="CF1538" s="717"/>
      <c r="CG1538" s="717"/>
      <c r="CH1538" s="717"/>
      <c r="CI1538" s="717"/>
      <c r="CJ1538" s="717"/>
      <c r="CK1538" s="717"/>
      <c r="CL1538" s="717"/>
      <c r="CM1538" s="717"/>
      <c r="CN1538" s="717"/>
      <c r="CO1538" s="717"/>
      <c r="CP1538" s="717"/>
      <c r="CQ1538" s="717"/>
      <c r="CR1538" s="717"/>
      <c r="CS1538" s="717"/>
      <c r="CT1538" s="717"/>
      <c r="CU1538" s="717"/>
      <c r="CV1538" s="717"/>
      <c r="CW1538" s="717"/>
      <c r="CX1538" s="717"/>
      <c r="CY1538" s="717"/>
      <c r="CZ1538" s="717"/>
      <c r="DA1538" s="717"/>
      <c r="DB1538" s="717"/>
      <c r="DC1538" s="717"/>
      <c r="DD1538" s="717"/>
      <c r="DE1538" s="717"/>
      <c r="DF1538" s="717"/>
      <c r="DG1538" s="717"/>
      <c r="DH1538" s="717"/>
      <c r="DI1538" s="717"/>
      <c r="DJ1538" s="717"/>
      <c r="DM1538" s="711"/>
      <c r="DN1538" s="711"/>
      <c r="DO1538" s="711"/>
      <c r="DP1538" s="711"/>
      <c r="DQ1538" s="711"/>
    </row>
    <row r="1539" spans="13:121" s="709" customFormat="1" hidden="1">
      <c r="M1539" s="710"/>
      <c r="P1539" s="711"/>
      <c r="Q1539" s="712"/>
      <c r="U1539" s="711"/>
      <c r="V1539" s="711"/>
      <c r="W1539" s="711"/>
      <c r="X1539" s="711"/>
      <c r="Y1539" s="711"/>
      <c r="Z1539" s="711"/>
      <c r="AU1539" s="713"/>
      <c r="AW1539" s="712"/>
      <c r="BY1539" s="714"/>
      <c r="BZ1539" s="715"/>
      <c r="CA1539" s="716"/>
      <c r="CB1539" s="717"/>
      <c r="CC1539" s="717"/>
      <c r="CD1539" s="717"/>
      <c r="CE1539" s="717"/>
      <c r="CF1539" s="717"/>
      <c r="CG1539" s="717"/>
      <c r="CH1539" s="717"/>
      <c r="CI1539" s="717"/>
      <c r="CJ1539" s="717"/>
      <c r="CK1539" s="717"/>
      <c r="CL1539" s="717"/>
      <c r="CM1539" s="717"/>
      <c r="CN1539" s="717"/>
      <c r="CO1539" s="717"/>
      <c r="CP1539" s="717"/>
      <c r="CQ1539" s="717"/>
      <c r="CR1539" s="717"/>
      <c r="CS1539" s="717"/>
      <c r="CT1539" s="717"/>
      <c r="CU1539" s="717"/>
      <c r="CV1539" s="717"/>
      <c r="CW1539" s="717"/>
      <c r="CX1539" s="717"/>
      <c r="CY1539" s="717"/>
      <c r="CZ1539" s="717"/>
      <c r="DA1539" s="717"/>
      <c r="DB1539" s="717"/>
      <c r="DC1539" s="717"/>
      <c r="DD1539" s="717"/>
      <c r="DE1539" s="717"/>
      <c r="DF1539" s="717"/>
      <c r="DG1539" s="717"/>
      <c r="DH1539" s="717"/>
      <c r="DI1539" s="717"/>
      <c r="DJ1539" s="717"/>
      <c r="DM1539" s="711"/>
      <c r="DN1539" s="711"/>
      <c r="DO1539" s="711"/>
      <c r="DP1539" s="711"/>
      <c r="DQ1539" s="711"/>
    </row>
    <row r="1540" spans="13:121" s="709" customFormat="1" hidden="1">
      <c r="M1540" s="710"/>
      <c r="P1540" s="711"/>
      <c r="Q1540" s="712"/>
      <c r="U1540" s="711"/>
      <c r="V1540" s="711"/>
      <c r="W1540" s="711"/>
      <c r="X1540" s="711"/>
      <c r="Y1540" s="711"/>
      <c r="Z1540" s="711"/>
      <c r="AU1540" s="713"/>
      <c r="AW1540" s="712"/>
      <c r="BY1540" s="714"/>
      <c r="BZ1540" s="715"/>
      <c r="CA1540" s="716"/>
      <c r="CB1540" s="717"/>
      <c r="CC1540" s="717"/>
      <c r="CD1540" s="717"/>
      <c r="CE1540" s="717"/>
      <c r="CF1540" s="717"/>
      <c r="CG1540" s="717"/>
      <c r="CH1540" s="717"/>
      <c r="CI1540" s="717"/>
      <c r="CJ1540" s="717"/>
      <c r="CK1540" s="717"/>
      <c r="CL1540" s="717"/>
      <c r="CM1540" s="717"/>
      <c r="CN1540" s="717"/>
      <c r="CO1540" s="717"/>
      <c r="CP1540" s="717"/>
      <c r="CQ1540" s="717"/>
      <c r="CR1540" s="717"/>
      <c r="CS1540" s="717"/>
      <c r="CT1540" s="717"/>
      <c r="CU1540" s="717"/>
      <c r="CV1540" s="717"/>
      <c r="CW1540" s="717"/>
      <c r="CX1540" s="717"/>
      <c r="CY1540" s="717"/>
      <c r="CZ1540" s="717"/>
      <c r="DA1540" s="717"/>
      <c r="DB1540" s="717"/>
      <c r="DC1540" s="717"/>
      <c r="DD1540" s="717"/>
      <c r="DE1540" s="717"/>
      <c r="DF1540" s="717"/>
      <c r="DG1540" s="717"/>
      <c r="DH1540" s="717"/>
      <c r="DI1540" s="717"/>
      <c r="DJ1540" s="717"/>
      <c r="DM1540" s="711"/>
      <c r="DN1540" s="711"/>
      <c r="DO1540" s="711"/>
      <c r="DP1540" s="711"/>
      <c r="DQ1540" s="711"/>
    </row>
    <row r="1541" spans="13:121" s="709" customFormat="1" hidden="1">
      <c r="M1541" s="710"/>
      <c r="P1541" s="711"/>
      <c r="Q1541" s="712"/>
      <c r="U1541" s="711"/>
      <c r="V1541" s="711"/>
      <c r="W1541" s="711"/>
      <c r="X1541" s="711"/>
      <c r="Y1541" s="711"/>
      <c r="Z1541" s="711"/>
      <c r="AU1541" s="713"/>
      <c r="AW1541" s="712"/>
      <c r="BY1541" s="714"/>
      <c r="BZ1541" s="715"/>
      <c r="CA1541" s="716"/>
      <c r="CB1541" s="717"/>
      <c r="CC1541" s="717"/>
      <c r="CD1541" s="717"/>
      <c r="CE1541" s="717"/>
      <c r="CF1541" s="717"/>
      <c r="CG1541" s="717"/>
      <c r="CH1541" s="717"/>
      <c r="CI1541" s="717"/>
      <c r="CJ1541" s="717"/>
      <c r="CK1541" s="717"/>
      <c r="CL1541" s="717"/>
      <c r="CM1541" s="717"/>
      <c r="CN1541" s="717"/>
      <c r="CO1541" s="717"/>
      <c r="CP1541" s="717"/>
      <c r="CQ1541" s="717"/>
      <c r="CR1541" s="717"/>
      <c r="CS1541" s="717"/>
      <c r="CT1541" s="717"/>
      <c r="CU1541" s="717"/>
      <c r="CV1541" s="717"/>
      <c r="CW1541" s="717"/>
      <c r="CX1541" s="717"/>
      <c r="CY1541" s="717"/>
      <c r="CZ1541" s="717"/>
      <c r="DA1541" s="717"/>
      <c r="DB1541" s="717"/>
      <c r="DC1541" s="717"/>
      <c r="DD1541" s="717"/>
      <c r="DE1541" s="717"/>
      <c r="DF1541" s="717"/>
      <c r="DG1541" s="717"/>
      <c r="DH1541" s="717"/>
      <c r="DI1541" s="717"/>
      <c r="DJ1541" s="717"/>
      <c r="DM1541" s="711"/>
      <c r="DN1541" s="711"/>
      <c r="DO1541" s="711"/>
      <c r="DP1541" s="711"/>
      <c r="DQ1541" s="711"/>
    </row>
    <row r="1542" spans="13:121" s="709" customFormat="1" hidden="1">
      <c r="M1542" s="710"/>
      <c r="P1542" s="711"/>
      <c r="Q1542" s="712"/>
      <c r="U1542" s="711"/>
      <c r="V1542" s="711"/>
      <c r="W1542" s="711"/>
      <c r="X1542" s="711"/>
      <c r="Y1542" s="711"/>
      <c r="Z1542" s="711"/>
      <c r="AU1542" s="713"/>
      <c r="AW1542" s="712"/>
      <c r="BY1542" s="714"/>
      <c r="BZ1542" s="715"/>
      <c r="CA1542" s="716"/>
      <c r="CB1542" s="717"/>
      <c r="CC1542" s="717"/>
      <c r="CD1542" s="717"/>
      <c r="CE1542" s="717"/>
      <c r="CF1542" s="717"/>
      <c r="CG1542" s="717"/>
      <c r="CH1542" s="717"/>
      <c r="CI1542" s="717"/>
      <c r="CJ1542" s="717"/>
      <c r="CK1542" s="717"/>
      <c r="CL1542" s="717"/>
      <c r="CM1542" s="717"/>
      <c r="CN1542" s="717"/>
      <c r="CO1542" s="717"/>
      <c r="CP1542" s="717"/>
      <c r="CQ1542" s="717"/>
      <c r="CR1542" s="717"/>
      <c r="CS1542" s="717"/>
      <c r="CT1542" s="717"/>
      <c r="CU1542" s="717"/>
      <c r="CV1542" s="717"/>
      <c r="CW1542" s="717"/>
      <c r="CX1542" s="717"/>
      <c r="CY1542" s="717"/>
      <c r="CZ1542" s="717"/>
      <c r="DA1542" s="717"/>
      <c r="DB1542" s="717"/>
      <c r="DC1542" s="717"/>
      <c r="DD1542" s="717"/>
      <c r="DE1542" s="717"/>
      <c r="DF1542" s="717"/>
      <c r="DG1542" s="717"/>
      <c r="DH1542" s="717"/>
      <c r="DI1542" s="717"/>
      <c r="DJ1542" s="717"/>
      <c r="DM1542" s="711"/>
      <c r="DN1542" s="711"/>
      <c r="DO1542" s="711"/>
      <c r="DP1542" s="711"/>
      <c r="DQ1542" s="711"/>
    </row>
    <row r="1543" spans="13:121" s="709" customFormat="1" hidden="1">
      <c r="M1543" s="710"/>
      <c r="P1543" s="711"/>
      <c r="Q1543" s="712"/>
      <c r="U1543" s="711"/>
      <c r="V1543" s="711"/>
      <c r="W1543" s="711"/>
      <c r="X1543" s="711"/>
      <c r="Y1543" s="711"/>
      <c r="Z1543" s="711"/>
      <c r="AU1543" s="713"/>
      <c r="AW1543" s="712"/>
      <c r="BY1543" s="714"/>
      <c r="BZ1543" s="715"/>
      <c r="CA1543" s="716"/>
      <c r="CB1543" s="717"/>
      <c r="CC1543" s="717"/>
      <c r="CD1543" s="717"/>
      <c r="CE1543" s="717"/>
      <c r="CF1543" s="717"/>
      <c r="CG1543" s="717"/>
      <c r="CH1543" s="717"/>
      <c r="CI1543" s="717"/>
      <c r="CJ1543" s="717"/>
      <c r="CK1543" s="717"/>
      <c r="CL1543" s="717"/>
      <c r="CM1543" s="717"/>
      <c r="CN1543" s="717"/>
      <c r="CO1543" s="717"/>
      <c r="CP1543" s="717"/>
      <c r="CQ1543" s="717"/>
      <c r="CR1543" s="717"/>
      <c r="CS1543" s="717"/>
      <c r="CT1543" s="717"/>
      <c r="CU1543" s="717"/>
      <c r="CV1543" s="717"/>
      <c r="CW1543" s="717"/>
      <c r="CX1543" s="717"/>
      <c r="CY1543" s="717"/>
      <c r="CZ1543" s="717"/>
      <c r="DA1543" s="717"/>
      <c r="DB1543" s="717"/>
      <c r="DC1543" s="717"/>
      <c r="DD1543" s="717"/>
      <c r="DE1543" s="717"/>
      <c r="DF1543" s="717"/>
      <c r="DG1543" s="717"/>
      <c r="DH1543" s="717"/>
      <c r="DI1543" s="717"/>
      <c r="DJ1543" s="717"/>
      <c r="DM1543" s="711"/>
      <c r="DN1543" s="711"/>
      <c r="DO1543" s="711"/>
      <c r="DP1543" s="711"/>
      <c r="DQ1543" s="711"/>
    </row>
    <row r="1544" spans="13:121" s="709" customFormat="1" hidden="1">
      <c r="M1544" s="710"/>
      <c r="P1544" s="711"/>
      <c r="Q1544" s="712"/>
      <c r="U1544" s="711"/>
      <c r="V1544" s="711"/>
      <c r="W1544" s="711"/>
      <c r="X1544" s="711"/>
      <c r="Y1544" s="711"/>
      <c r="Z1544" s="711"/>
      <c r="AU1544" s="713"/>
      <c r="AW1544" s="712"/>
      <c r="BY1544" s="714"/>
      <c r="BZ1544" s="715"/>
      <c r="CA1544" s="716"/>
      <c r="CB1544" s="717"/>
      <c r="CC1544" s="717"/>
      <c r="CD1544" s="717"/>
      <c r="CE1544" s="717"/>
      <c r="CF1544" s="717"/>
      <c r="CG1544" s="717"/>
      <c r="CH1544" s="717"/>
      <c r="CI1544" s="717"/>
      <c r="CJ1544" s="717"/>
      <c r="CK1544" s="717"/>
      <c r="CL1544" s="717"/>
      <c r="CM1544" s="717"/>
      <c r="CN1544" s="717"/>
      <c r="CO1544" s="717"/>
      <c r="CP1544" s="717"/>
      <c r="CQ1544" s="717"/>
      <c r="CR1544" s="717"/>
      <c r="CS1544" s="717"/>
      <c r="CT1544" s="717"/>
      <c r="CU1544" s="717"/>
      <c r="CV1544" s="717"/>
      <c r="CW1544" s="717"/>
      <c r="CX1544" s="717"/>
      <c r="CY1544" s="717"/>
      <c r="CZ1544" s="717"/>
      <c r="DA1544" s="717"/>
      <c r="DB1544" s="717"/>
      <c r="DC1544" s="717"/>
      <c r="DD1544" s="717"/>
      <c r="DE1544" s="717"/>
      <c r="DF1544" s="717"/>
      <c r="DG1544" s="717"/>
      <c r="DH1544" s="717"/>
      <c r="DI1544" s="717"/>
      <c r="DJ1544" s="717"/>
      <c r="DM1544" s="711"/>
      <c r="DN1544" s="711"/>
      <c r="DO1544" s="711"/>
      <c r="DP1544" s="711"/>
      <c r="DQ1544" s="711"/>
    </row>
    <row r="1545" spans="13:121" s="709" customFormat="1" hidden="1">
      <c r="M1545" s="710"/>
      <c r="P1545" s="711"/>
      <c r="Q1545" s="712"/>
      <c r="U1545" s="711"/>
      <c r="V1545" s="711"/>
      <c r="W1545" s="711"/>
      <c r="X1545" s="711"/>
      <c r="Y1545" s="711"/>
      <c r="Z1545" s="711"/>
      <c r="AU1545" s="713"/>
      <c r="AW1545" s="712"/>
      <c r="BY1545" s="714"/>
      <c r="BZ1545" s="715"/>
      <c r="CA1545" s="716"/>
      <c r="CB1545" s="717"/>
      <c r="CC1545" s="717"/>
      <c r="CD1545" s="717"/>
      <c r="CE1545" s="717"/>
      <c r="CF1545" s="717"/>
      <c r="CG1545" s="717"/>
      <c r="CH1545" s="717"/>
      <c r="CI1545" s="717"/>
      <c r="CJ1545" s="717"/>
      <c r="CK1545" s="717"/>
      <c r="CL1545" s="717"/>
      <c r="CM1545" s="717"/>
      <c r="CN1545" s="717"/>
      <c r="CO1545" s="717"/>
      <c r="CP1545" s="717"/>
      <c r="CQ1545" s="717"/>
      <c r="CR1545" s="717"/>
      <c r="CS1545" s="717"/>
      <c r="CT1545" s="717"/>
      <c r="CU1545" s="717"/>
      <c r="CV1545" s="717"/>
      <c r="CW1545" s="717"/>
      <c r="CX1545" s="717"/>
      <c r="CY1545" s="717"/>
      <c r="CZ1545" s="717"/>
      <c r="DA1545" s="717"/>
      <c r="DB1545" s="717"/>
      <c r="DC1545" s="717"/>
      <c r="DD1545" s="717"/>
      <c r="DE1545" s="717"/>
      <c r="DF1545" s="717"/>
      <c r="DG1545" s="717"/>
      <c r="DH1545" s="717"/>
      <c r="DI1545" s="717"/>
      <c r="DJ1545" s="717"/>
      <c r="DM1545" s="711"/>
      <c r="DN1545" s="711"/>
      <c r="DO1545" s="711"/>
      <c r="DP1545" s="711"/>
      <c r="DQ1545" s="711"/>
    </row>
    <row r="1546" spans="13:121" s="709" customFormat="1" hidden="1">
      <c r="M1546" s="710"/>
      <c r="P1546" s="711"/>
      <c r="Q1546" s="712"/>
      <c r="U1546" s="711"/>
      <c r="V1546" s="711"/>
      <c r="W1546" s="711"/>
      <c r="X1546" s="711"/>
      <c r="Y1546" s="711"/>
      <c r="Z1546" s="711"/>
      <c r="AU1546" s="713"/>
      <c r="AW1546" s="712"/>
      <c r="BY1546" s="714"/>
      <c r="BZ1546" s="715"/>
      <c r="CA1546" s="716"/>
      <c r="CB1546" s="717"/>
      <c r="CC1546" s="717"/>
      <c r="CD1546" s="717"/>
      <c r="CE1546" s="717"/>
      <c r="CF1546" s="717"/>
      <c r="CG1546" s="717"/>
      <c r="CH1546" s="717"/>
      <c r="CI1546" s="717"/>
      <c r="CJ1546" s="717"/>
      <c r="CK1546" s="717"/>
      <c r="CL1546" s="717"/>
      <c r="CM1546" s="717"/>
      <c r="CN1546" s="717"/>
      <c r="CO1546" s="717"/>
      <c r="CP1546" s="717"/>
      <c r="CQ1546" s="717"/>
      <c r="CR1546" s="717"/>
      <c r="CS1546" s="717"/>
      <c r="CT1546" s="717"/>
      <c r="CU1546" s="717"/>
      <c r="CV1546" s="717"/>
      <c r="CW1546" s="717"/>
      <c r="CX1546" s="717"/>
      <c r="CY1546" s="717"/>
      <c r="CZ1546" s="717"/>
      <c r="DA1546" s="717"/>
      <c r="DB1546" s="717"/>
      <c r="DC1546" s="717"/>
      <c r="DD1546" s="717"/>
      <c r="DE1546" s="717"/>
      <c r="DF1546" s="717"/>
      <c r="DG1546" s="717"/>
      <c r="DH1546" s="717"/>
      <c r="DI1546" s="717"/>
      <c r="DJ1546" s="717"/>
      <c r="DM1546" s="711"/>
      <c r="DN1546" s="711"/>
      <c r="DO1546" s="711"/>
      <c r="DP1546" s="711"/>
      <c r="DQ1546" s="711"/>
    </row>
    <row r="1547" spans="13:121" s="709" customFormat="1" hidden="1">
      <c r="M1547" s="710"/>
      <c r="P1547" s="711"/>
      <c r="Q1547" s="712"/>
      <c r="U1547" s="711"/>
      <c r="V1547" s="711"/>
      <c r="W1547" s="711"/>
      <c r="X1547" s="711"/>
      <c r="Y1547" s="711"/>
      <c r="Z1547" s="711"/>
      <c r="AU1547" s="713"/>
      <c r="AW1547" s="712"/>
      <c r="BY1547" s="714"/>
      <c r="BZ1547" s="715"/>
      <c r="CA1547" s="716"/>
      <c r="CB1547" s="717"/>
      <c r="CC1547" s="717"/>
      <c r="CD1547" s="717"/>
      <c r="CE1547" s="717"/>
      <c r="CF1547" s="717"/>
      <c r="CG1547" s="717"/>
      <c r="CH1547" s="717"/>
      <c r="CI1547" s="717"/>
      <c r="CJ1547" s="717"/>
      <c r="CK1547" s="717"/>
      <c r="CL1547" s="717"/>
      <c r="CM1547" s="717"/>
      <c r="CN1547" s="717"/>
      <c r="CO1547" s="717"/>
      <c r="CP1547" s="717"/>
      <c r="CQ1547" s="717"/>
      <c r="CR1547" s="717"/>
      <c r="CS1547" s="717"/>
      <c r="CT1547" s="717"/>
      <c r="CU1547" s="717"/>
      <c r="CV1547" s="717"/>
      <c r="CW1547" s="717"/>
      <c r="CX1547" s="717"/>
      <c r="CY1547" s="717"/>
      <c r="CZ1547" s="717"/>
      <c r="DA1547" s="717"/>
      <c r="DB1547" s="717"/>
      <c r="DC1547" s="717"/>
      <c r="DD1547" s="717"/>
      <c r="DE1547" s="717"/>
      <c r="DF1547" s="717"/>
      <c r="DG1547" s="717"/>
      <c r="DH1547" s="717"/>
      <c r="DI1547" s="717"/>
      <c r="DJ1547" s="717"/>
      <c r="DM1547" s="711"/>
      <c r="DN1547" s="711"/>
      <c r="DO1547" s="711"/>
      <c r="DP1547" s="711"/>
      <c r="DQ1547" s="711"/>
    </row>
    <row r="1548" spans="13:121" s="709" customFormat="1" hidden="1">
      <c r="M1548" s="710"/>
      <c r="P1548" s="711"/>
      <c r="Q1548" s="712"/>
      <c r="U1548" s="711"/>
      <c r="V1548" s="711"/>
      <c r="W1548" s="711"/>
      <c r="X1548" s="711"/>
      <c r="Y1548" s="711"/>
      <c r="Z1548" s="711"/>
      <c r="AU1548" s="713"/>
      <c r="AW1548" s="712"/>
      <c r="BY1548" s="714"/>
      <c r="BZ1548" s="715"/>
      <c r="CA1548" s="716"/>
      <c r="CB1548" s="717"/>
      <c r="CC1548" s="717"/>
      <c r="CD1548" s="717"/>
      <c r="CE1548" s="717"/>
      <c r="CF1548" s="717"/>
      <c r="CG1548" s="717"/>
      <c r="CH1548" s="717"/>
      <c r="CI1548" s="717"/>
      <c r="CJ1548" s="717"/>
      <c r="CK1548" s="717"/>
      <c r="CL1548" s="717"/>
      <c r="CM1548" s="717"/>
      <c r="CN1548" s="717"/>
      <c r="CO1548" s="717"/>
      <c r="CP1548" s="717"/>
      <c r="CQ1548" s="717"/>
      <c r="CR1548" s="717"/>
      <c r="CS1548" s="717"/>
      <c r="CT1548" s="717"/>
      <c r="CU1548" s="717"/>
      <c r="CV1548" s="717"/>
      <c r="CW1548" s="717"/>
      <c r="CX1548" s="717"/>
      <c r="CY1548" s="717"/>
      <c r="CZ1548" s="717"/>
      <c r="DA1548" s="717"/>
      <c r="DB1548" s="717"/>
      <c r="DC1548" s="717"/>
      <c r="DD1548" s="717"/>
      <c r="DE1548" s="717"/>
      <c r="DF1548" s="717"/>
      <c r="DG1548" s="717"/>
      <c r="DH1548" s="717"/>
      <c r="DI1548" s="717"/>
      <c r="DJ1548" s="717"/>
      <c r="DM1548" s="711"/>
      <c r="DN1548" s="711"/>
      <c r="DO1548" s="711"/>
      <c r="DP1548" s="711"/>
      <c r="DQ1548" s="711"/>
    </row>
    <row r="1549" spans="13:121" s="709" customFormat="1" hidden="1">
      <c r="M1549" s="710"/>
      <c r="P1549" s="711"/>
      <c r="Q1549" s="712"/>
      <c r="U1549" s="711"/>
      <c r="V1549" s="711"/>
      <c r="W1549" s="711"/>
      <c r="X1549" s="711"/>
      <c r="Y1549" s="711"/>
      <c r="Z1549" s="711"/>
      <c r="AU1549" s="713"/>
      <c r="AW1549" s="712"/>
      <c r="BY1549" s="714"/>
      <c r="BZ1549" s="715"/>
      <c r="CA1549" s="716"/>
      <c r="CB1549" s="717"/>
      <c r="CC1549" s="717"/>
      <c r="CD1549" s="717"/>
      <c r="CE1549" s="717"/>
      <c r="CF1549" s="717"/>
      <c r="CG1549" s="717"/>
      <c r="CH1549" s="717"/>
      <c r="CI1549" s="717"/>
      <c r="CJ1549" s="717"/>
      <c r="CK1549" s="717"/>
      <c r="CL1549" s="717"/>
      <c r="CM1549" s="717"/>
      <c r="CN1549" s="717"/>
      <c r="CO1549" s="717"/>
      <c r="CP1549" s="717"/>
      <c r="CQ1549" s="717"/>
      <c r="CR1549" s="717"/>
      <c r="CS1549" s="717"/>
      <c r="CT1549" s="717"/>
      <c r="CU1549" s="717"/>
      <c r="CV1549" s="717"/>
      <c r="CW1549" s="717"/>
      <c r="CX1549" s="717"/>
      <c r="CY1549" s="717"/>
      <c r="CZ1549" s="717"/>
      <c r="DA1549" s="717"/>
      <c r="DB1549" s="717"/>
      <c r="DC1549" s="717"/>
      <c r="DD1549" s="717"/>
      <c r="DE1549" s="717"/>
      <c r="DF1549" s="717"/>
      <c r="DG1549" s="717"/>
      <c r="DH1549" s="717"/>
      <c r="DI1549" s="717"/>
      <c r="DJ1549" s="717"/>
      <c r="DM1549" s="711"/>
      <c r="DN1549" s="711"/>
      <c r="DO1549" s="711"/>
      <c r="DP1549" s="711"/>
      <c r="DQ1549" s="711"/>
    </row>
    <row r="1550" spans="13:121" s="709" customFormat="1" hidden="1">
      <c r="M1550" s="710"/>
      <c r="P1550" s="711"/>
      <c r="Q1550" s="712"/>
      <c r="U1550" s="711"/>
      <c r="V1550" s="711"/>
      <c r="W1550" s="711"/>
      <c r="X1550" s="711"/>
      <c r="Y1550" s="711"/>
      <c r="Z1550" s="711"/>
      <c r="AU1550" s="713"/>
      <c r="AW1550" s="712"/>
      <c r="BY1550" s="714"/>
      <c r="BZ1550" s="715"/>
      <c r="CA1550" s="716"/>
      <c r="CB1550" s="717"/>
      <c r="CC1550" s="717"/>
      <c r="CD1550" s="717"/>
      <c r="CE1550" s="717"/>
      <c r="CF1550" s="717"/>
      <c r="CG1550" s="717"/>
      <c r="CH1550" s="717"/>
      <c r="CI1550" s="717"/>
      <c r="CJ1550" s="717"/>
      <c r="CK1550" s="717"/>
      <c r="CL1550" s="717"/>
      <c r="CM1550" s="717"/>
      <c r="CN1550" s="717"/>
      <c r="CO1550" s="717"/>
      <c r="CP1550" s="717"/>
      <c r="CQ1550" s="717"/>
      <c r="CR1550" s="717"/>
      <c r="CS1550" s="717"/>
      <c r="CT1550" s="717"/>
      <c r="CU1550" s="717"/>
      <c r="CV1550" s="717"/>
      <c r="CW1550" s="717"/>
      <c r="CX1550" s="717"/>
      <c r="CY1550" s="717"/>
      <c r="CZ1550" s="717"/>
      <c r="DA1550" s="717"/>
      <c r="DB1550" s="717"/>
      <c r="DC1550" s="717"/>
      <c r="DD1550" s="717"/>
      <c r="DE1550" s="717"/>
      <c r="DF1550" s="717"/>
      <c r="DG1550" s="717"/>
      <c r="DH1550" s="717"/>
      <c r="DI1550" s="717"/>
      <c r="DJ1550" s="717"/>
      <c r="DM1550" s="711"/>
      <c r="DN1550" s="711"/>
      <c r="DO1550" s="711"/>
      <c r="DP1550" s="711"/>
      <c r="DQ1550" s="711"/>
    </row>
    <row r="1551" spans="13:121" s="709" customFormat="1" hidden="1">
      <c r="M1551" s="710"/>
      <c r="P1551" s="711"/>
      <c r="Q1551" s="712"/>
      <c r="U1551" s="711"/>
      <c r="V1551" s="711"/>
      <c r="W1551" s="711"/>
      <c r="X1551" s="711"/>
      <c r="Y1551" s="711"/>
      <c r="Z1551" s="711"/>
      <c r="AU1551" s="713"/>
      <c r="AW1551" s="712"/>
      <c r="BY1551" s="714"/>
      <c r="BZ1551" s="715"/>
      <c r="CA1551" s="716"/>
      <c r="CB1551" s="717"/>
      <c r="CC1551" s="717"/>
      <c r="CD1551" s="717"/>
      <c r="CE1551" s="717"/>
      <c r="CF1551" s="717"/>
      <c r="CG1551" s="717"/>
      <c r="CH1551" s="717"/>
      <c r="CI1551" s="717"/>
      <c r="CJ1551" s="717"/>
      <c r="CK1551" s="717"/>
      <c r="CL1551" s="717"/>
      <c r="CM1551" s="717"/>
      <c r="CN1551" s="717"/>
      <c r="CO1551" s="717"/>
      <c r="CP1551" s="717"/>
      <c r="CQ1551" s="717"/>
      <c r="CR1551" s="717"/>
      <c r="CS1551" s="717"/>
      <c r="CT1551" s="717"/>
      <c r="CU1551" s="717"/>
      <c r="CV1551" s="717"/>
      <c r="CW1551" s="717"/>
      <c r="CX1551" s="717"/>
      <c r="CY1551" s="717"/>
      <c r="CZ1551" s="717"/>
      <c r="DA1551" s="717"/>
      <c r="DB1551" s="717"/>
      <c r="DC1551" s="717"/>
      <c r="DD1551" s="717"/>
      <c r="DE1551" s="717"/>
      <c r="DF1551" s="717"/>
      <c r="DG1551" s="717"/>
      <c r="DH1551" s="717"/>
      <c r="DI1551" s="717"/>
      <c r="DJ1551" s="717"/>
      <c r="DM1551" s="711"/>
      <c r="DN1551" s="711"/>
      <c r="DO1551" s="711"/>
      <c r="DP1551" s="711"/>
      <c r="DQ1551" s="711"/>
    </row>
    <row r="1552" spans="13:121" s="709" customFormat="1" hidden="1">
      <c r="M1552" s="710"/>
      <c r="P1552" s="711"/>
      <c r="Q1552" s="712"/>
      <c r="U1552" s="711"/>
      <c r="V1552" s="711"/>
      <c r="W1552" s="711"/>
      <c r="X1552" s="711"/>
      <c r="Y1552" s="711"/>
      <c r="Z1552" s="711"/>
      <c r="AU1552" s="713"/>
      <c r="AW1552" s="712"/>
      <c r="BY1552" s="714"/>
      <c r="BZ1552" s="715"/>
      <c r="CA1552" s="716"/>
      <c r="CB1552" s="717"/>
      <c r="CC1552" s="717"/>
      <c r="CD1552" s="717"/>
      <c r="CE1552" s="717"/>
      <c r="CF1552" s="717"/>
      <c r="CG1552" s="717"/>
      <c r="CH1552" s="717"/>
      <c r="CI1552" s="717"/>
      <c r="CJ1552" s="717"/>
      <c r="CK1552" s="717"/>
      <c r="CL1552" s="717"/>
      <c r="CM1552" s="717"/>
      <c r="CN1552" s="717"/>
      <c r="CO1552" s="717"/>
      <c r="CP1552" s="717"/>
      <c r="CQ1552" s="717"/>
      <c r="CR1552" s="717"/>
      <c r="CS1552" s="717"/>
      <c r="CT1552" s="717"/>
      <c r="CU1552" s="717"/>
      <c r="CV1552" s="717"/>
      <c r="CW1552" s="717"/>
      <c r="CX1552" s="717"/>
      <c r="CY1552" s="717"/>
      <c r="CZ1552" s="717"/>
      <c r="DA1552" s="717"/>
      <c r="DB1552" s="717"/>
      <c r="DC1552" s="717"/>
      <c r="DD1552" s="717"/>
      <c r="DE1552" s="717"/>
      <c r="DF1552" s="717"/>
      <c r="DG1552" s="717"/>
      <c r="DH1552" s="717"/>
      <c r="DI1552" s="717"/>
      <c r="DJ1552" s="717"/>
      <c r="DM1552" s="711"/>
      <c r="DN1552" s="711"/>
      <c r="DO1552" s="711"/>
      <c r="DP1552" s="711"/>
      <c r="DQ1552" s="711"/>
    </row>
    <row r="1553" spans="13:121" s="709" customFormat="1" hidden="1">
      <c r="M1553" s="710"/>
      <c r="P1553" s="711"/>
      <c r="Q1553" s="712"/>
      <c r="U1553" s="711"/>
      <c r="V1553" s="711"/>
      <c r="W1553" s="711"/>
      <c r="X1553" s="711"/>
      <c r="Y1553" s="711"/>
      <c r="Z1553" s="711"/>
      <c r="AU1553" s="713"/>
      <c r="AW1553" s="712"/>
      <c r="BY1553" s="714"/>
      <c r="BZ1553" s="715"/>
      <c r="CA1553" s="716"/>
      <c r="CB1553" s="717"/>
      <c r="CC1553" s="717"/>
      <c r="CD1553" s="717"/>
      <c r="CE1553" s="717"/>
      <c r="CF1553" s="717"/>
      <c r="CG1553" s="717"/>
      <c r="CH1553" s="717"/>
      <c r="CI1553" s="717"/>
      <c r="CJ1553" s="717"/>
      <c r="CK1553" s="717"/>
      <c r="CL1553" s="717"/>
      <c r="CM1553" s="717"/>
      <c r="CN1553" s="717"/>
      <c r="CO1553" s="717"/>
      <c r="CP1553" s="717"/>
      <c r="CQ1553" s="717"/>
      <c r="CR1553" s="717"/>
      <c r="CS1553" s="717"/>
      <c r="CT1553" s="717"/>
      <c r="CU1553" s="717"/>
      <c r="CV1553" s="717"/>
      <c r="CW1553" s="717"/>
      <c r="CX1553" s="717"/>
      <c r="CY1553" s="717"/>
      <c r="CZ1553" s="717"/>
      <c r="DA1553" s="717"/>
      <c r="DB1553" s="717"/>
      <c r="DC1553" s="717"/>
      <c r="DD1553" s="717"/>
      <c r="DE1553" s="717"/>
      <c r="DF1553" s="717"/>
      <c r="DG1553" s="717"/>
      <c r="DH1553" s="717"/>
      <c r="DI1553" s="717"/>
      <c r="DJ1553" s="717"/>
      <c r="DM1553" s="711"/>
      <c r="DN1553" s="711"/>
      <c r="DO1553" s="711"/>
      <c r="DP1553" s="711"/>
      <c r="DQ1553" s="711"/>
    </row>
    <row r="1554" spans="13:121" s="709" customFormat="1" hidden="1">
      <c r="M1554" s="710"/>
      <c r="P1554" s="711"/>
      <c r="Q1554" s="712"/>
      <c r="U1554" s="711"/>
      <c r="V1554" s="711"/>
      <c r="W1554" s="711"/>
      <c r="X1554" s="711"/>
      <c r="Y1554" s="711"/>
      <c r="Z1554" s="711"/>
      <c r="AU1554" s="713"/>
      <c r="AW1554" s="712"/>
      <c r="BY1554" s="714"/>
      <c r="BZ1554" s="715"/>
      <c r="CA1554" s="716"/>
      <c r="CB1554" s="717"/>
      <c r="CC1554" s="717"/>
      <c r="CD1554" s="717"/>
      <c r="CE1554" s="717"/>
      <c r="CF1554" s="717"/>
      <c r="CG1554" s="717"/>
      <c r="CH1554" s="717"/>
      <c r="CI1554" s="717"/>
      <c r="CJ1554" s="717"/>
      <c r="CK1554" s="717"/>
      <c r="CL1554" s="717"/>
      <c r="CM1554" s="717"/>
      <c r="CN1554" s="717"/>
      <c r="CO1554" s="717"/>
      <c r="CP1554" s="717"/>
      <c r="CQ1554" s="717"/>
      <c r="CR1554" s="717"/>
      <c r="CS1554" s="717"/>
      <c r="CT1554" s="717"/>
      <c r="CU1554" s="717"/>
      <c r="CV1554" s="717"/>
      <c r="CW1554" s="717"/>
      <c r="CX1554" s="717"/>
      <c r="CY1554" s="717"/>
      <c r="CZ1554" s="717"/>
      <c r="DA1554" s="717"/>
      <c r="DB1554" s="717"/>
      <c r="DC1554" s="717"/>
      <c r="DD1554" s="717"/>
      <c r="DE1554" s="717"/>
      <c r="DF1554" s="717"/>
      <c r="DG1554" s="717"/>
      <c r="DH1554" s="717"/>
      <c r="DI1554" s="717"/>
      <c r="DJ1554" s="717"/>
      <c r="DM1554" s="711"/>
      <c r="DN1554" s="711"/>
      <c r="DO1554" s="711"/>
      <c r="DP1554" s="711"/>
      <c r="DQ1554" s="711"/>
    </row>
    <row r="1555" spans="13:121" s="709" customFormat="1" hidden="1">
      <c r="M1555" s="710"/>
      <c r="P1555" s="711"/>
      <c r="Q1555" s="712"/>
      <c r="U1555" s="711"/>
      <c r="V1555" s="711"/>
      <c r="W1555" s="711"/>
      <c r="X1555" s="711"/>
      <c r="Y1555" s="711"/>
      <c r="Z1555" s="711"/>
      <c r="AU1555" s="713"/>
      <c r="AW1555" s="712"/>
      <c r="BY1555" s="714"/>
      <c r="BZ1555" s="715"/>
      <c r="CA1555" s="716"/>
      <c r="CB1555" s="717"/>
      <c r="CC1555" s="717"/>
      <c r="CD1555" s="717"/>
      <c r="CE1555" s="717"/>
      <c r="CF1555" s="717"/>
      <c r="CG1555" s="717"/>
      <c r="CH1555" s="717"/>
      <c r="CI1555" s="717"/>
      <c r="CJ1555" s="717"/>
      <c r="CK1555" s="717"/>
      <c r="CL1555" s="717"/>
      <c r="CM1555" s="717"/>
      <c r="CN1555" s="717"/>
      <c r="CO1555" s="717"/>
      <c r="CP1555" s="717"/>
      <c r="CQ1555" s="717"/>
      <c r="CR1555" s="717"/>
      <c r="CS1555" s="717"/>
      <c r="CT1555" s="717"/>
      <c r="CU1555" s="717"/>
      <c r="CV1555" s="717"/>
      <c r="CW1555" s="717"/>
      <c r="CX1555" s="717"/>
      <c r="CY1555" s="717"/>
      <c r="CZ1555" s="717"/>
      <c r="DA1555" s="717"/>
      <c r="DB1555" s="717"/>
      <c r="DC1555" s="717"/>
      <c r="DD1555" s="717"/>
      <c r="DE1555" s="717"/>
      <c r="DF1555" s="717"/>
      <c r="DG1555" s="717"/>
      <c r="DH1555" s="717"/>
      <c r="DI1555" s="717"/>
      <c r="DJ1555" s="717"/>
      <c r="DM1555" s="711"/>
      <c r="DN1555" s="711"/>
      <c r="DO1555" s="711"/>
      <c r="DP1555" s="711"/>
      <c r="DQ1555" s="711"/>
    </row>
    <row r="1556" spans="13:121" s="709" customFormat="1" hidden="1">
      <c r="M1556" s="710"/>
      <c r="P1556" s="711"/>
      <c r="Q1556" s="712"/>
      <c r="U1556" s="711"/>
      <c r="V1556" s="711"/>
      <c r="W1556" s="711"/>
      <c r="X1556" s="711"/>
      <c r="Y1556" s="711"/>
      <c r="Z1556" s="711"/>
      <c r="AU1556" s="713"/>
      <c r="AW1556" s="712"/>
      <c r="BY1556" s="714"/>
      <c r="BZ1556" s="715"/>
      <c r="CA1556" s="716"/>
      <c r="CB1556" s="717"/>
      <c r="CC1556" s="717"/>
      <c r="CD1556" s="717"/>
      <c r="CE1556" s="717"/>
      <c r="CF1556" s="717"/>
      <c r="CG1556" s="717"/>
      <c r="CH1556" s="717"/>
      <c r="CI1556" s="717"/>
      <c r="CJ1556" s="717"/>
      <c r="CK1556" s="717"/>
      <c r="CL1556" s="717"/>
      <c r="CM1556" s="717"/>
      <c r="CN1556" s="717"/>
      <c r="CO1556" s="717"/>
      <c r="CP1556" s="717"/>
      <c r="CQ1556" s="717"/>
      <c r="CR1556" s="717"/>
      <c r="CS1556" s="717"/>
      <c r="CT1556" s="717"/>
      <c r="CU1556" s="717"/>
      <c r="CV1556" s="717"/>
      <c r="CW1556" s="717"/>
      <c r="CX1556" s="717"/>
      <c r="CY1556" s="717"/>
      <c r="CZ1556" s="717"/>
      <c r="DA1556" s="717"/>
      <c r="DB1556" s="717"/>
      <c r="DC1556" s="717"/>
      <c r="DD1556" s="717"/>
      <c r="DE1556" s="717"/>
      <c r="DF1556" s="717"/>
      <c r="DG1556" s="717"/>
      <c r="DH1556" s="717"/>
      <c r="DI1556" s="717"/>
      <c r="DJ1556" s="717"/>
      <c r="DM1556" s="711"/>
      <c r="DN1556" s="711"/>
      <c r="DO1556" s="711"/>
      <c r="DP1556" s="711"/>
      <c r="DQ1556" s="711"/>
    </row>
    <row r="1557" spans="13:121" s="709" customFormat="1" hidden="1">
      <c r="M1557" s="710"/>
      <c r="P1557" s="711"/>
      <c r="Q1557" s="712"/>
      <c r="U1557" s="711"/>
      <c r="V1557" s="711"/>
      <c r="W1557" s="711"/>
      <c r="X1557" s="711"/>
      <c r="Y1557" s="711"/>
      <c r="Z1557" s="711"/>
      <c r="AU1557" s="713"/>
      <c r="AW1557" s="712"/>
      <c r="BY1557" s="714"/>
      <c r="BZ1557" s="715"/>
      <c r="CA1557" s="716"/>
      <c r="CB1557" s="717"/>
      <c r="CC1557" s="717"/>
      <c r="CD1557" s="717"/>
      <c r="CE1557" s="717"/>
      <c r="CF1557" s="717"/>
      <c r="CG1557" s="717"/>
      <c r="CH1557" s="717"/>
      <c r="CI1557" s="717"/>
      <c r="CJ1557" s="717"/>
      <c r="CK1557" s="717"/>
      <c r="CL1557" s="717"/>
      <c r="CM1557" s="717"/>
      <c r="CN1557" s="717"/>
      <c r="CO1557" s="717"/>
      <c r="CP1557" s="717"/>
      <c r="CQ1557" s="717"/>
      <c r="CR1557" s="717"/>
      <c r="CS1557" s="717"/>
      <c r="CT1557" s="717"/>
      <c r="CU1557" s="717"/>
      <c r="CV1557" s="717"/>
      <c r="CW1557" s="717"/>
      <c r="CX1557" s="717"/>
      <c r="CY1557" s="717"/>
      <c r="CZ1557" s="717"/>
      <c r="DA1557" s="717"/>
      <c r="DB1557" s="717"/>
      <c r="DC1557" s="717"/>
      <c r="DD1557" s="717"/>
      <c r="DE1557" s="717"/>
      <c r="DF1557" s="717"/>
      <c r="DG1557" s="717"/>
      <c r="DH1557" s="717"/>
      <c r="DI1557" s="717"/>
      <c r="DJ1557" s="717"/>
      <c r="DM1557" s="711"/>
      <c r="DN1557" s="711"/>
      <c r="DO1557" s="711"/>
      <c r="DP1557" s="711"/>
      <c r="DQ1557" s="711"/>
    </row>
    <row r="1558" spans="13:121" s="709" customFormat="1" hidden="1">
      <c r="M1558" s="710"/>
      <c r="P1558" s="711"/>
      <c r="Q1558" s="712"/>
      <c r="U1558" s="711"/>
      <c r="V1558" s="711"/>
      <c r="W1558" s="711"/>
      <c r="X1558" s="711"/>
      <c r="Y1558" s="711"/>
      <c r="Z1558" s="711"/>
      <c r="AU1558" s="713"/>
      <c r="AW1558" s="712"/>
      <c r="BY1558" s="714"/>
      <c r="BZ1558" s="715"/>
      <c r="CA1558" s="716"/>
      <c r="CB1558" s="717"/>
      <c r="CC1558" s="717"/>
      <c r="CD1558" s="717"/>
      <c r="CE1558" s="717"/>
      <c r="CF1558" s="717"/>
      <c r="CG1558" s="717"/>
      <c r="CH1558" s="717"/>
      <c r="CI1558" s="717"/>
      <c r="CJ1558" s="717"/>
      <c r="CK1558" s="717"/>
      <c r="CL1558" s="717"/>
      <c r="CM1558" s="717"/>
      <c r="CN1558" s="717"/>
      <c r="CO1558" s="717"/>
      <c r="CP1558" s="717"/>
      <c r="CQ1558" s="717"/>
      <c r="CR1558" s="717"/>
      <c r="CS1558" s="717"/>
      <c r="CT1558" s="717"/>
      <c r="CU1558" s="717"/>
      <c r="CV1558" s="717"/>
      <c r="CW1558" s="717"/>
      <c r="CX1558" s="717"/>
      <c r="CY1558" s="717"/>
      <c r="CZ1558" s="717"/>
      <c r="DA1558" s="717"/>
      <c r="DB1558" s="717"/>
      <c r="DC1558" s="717"/>
      <c r="DD1558" s="717"/>
      <c r="DE1558" s="717"/>
      <c r="DF1558" s="717"/>
      <c r="DG1558" s="717"/>
      <c r="DH1558" s="717"/>
      <c r="DI1558" s="717"/>
      <c r="DJ1558" s="717"/>
      <c r="DM1558" s="711"/>
      <c r="DN1558" s="711"/>
      <c r="DO1558" s="711"/>
      <c r="DP1558" s="711"/>
      <c r="DQ1558" s="711"/>
    </row>
    <row r="1559" spans="13:121" s="709" customFormat="1" hidden="1">
      <c r="M1559" s="710"/>
      <c r="P1559" s="711"/>
      <c r="Q1559" s="712"/>
      <c r="U1559" s="711"/>
      <c r="V1559" s="711"/>
      <c r="W1559" s="711"/>
      <c r="X1559" s="711"/>
      <c r="Y1559" s="711"/>
      <c r="Z1559" s="711"/>
      <c r="AU1559" s="713"/>
      <c r="AW1559" s="712"/>
      <c r="BY1559" s="714"/>
      <c r="BZ1559" s="715"/>
      <c r="CA1559" s="716"/>
      <c r="CB1559" s="717"/>
      <c r="CC1559" s="717"/>
      <c r="CD1559" s="717"/>
      <c r="CE1559" s="717"/>
      <c r="CF1559" s="717"/>
      <c r="CG1559" s="717"/>
      <c r="CH1559" s="717"/>
      <c r="CI1559" s="717"/>
      <c r="CJ1559" s="717"/>
      <c r="CK1559" s="717"/>
      <c r="CL1559" s="717"/>
      <c r="CM1559" s="717"/>
      <c r="CN1559" s="717"/>
      <c r="CO1559" s="717"/>
      <c r="CP1559" s="717"/>
      <c r="CQ1559" s="717"/>
      <c r="CR1559" s="717"/>
      <c r="CS1559" s="717"/>
      <c r="CT1559" s="717"/>
      <c r="CU1559" s="717"/>
      <c r="CV1559" s="717"/>
      <c r="CW1559" s="717"/>
      <c r="CX1559" s="717"/>
      <c r="CY1559" s="717"/>
      <c r="CZ1559" s="717"/>
      <c r="DA1559" s="717"/>
      <c r="DB1559" s="717"/>
      <c r="DC1559" s="717"/>
      <c r="DD1559" s="717"/>
      <c r="DE1559" s="717"/>
      <c r="DF1559" s="717"/>
      <c r="DG1559" s="717"/>
      <c r="DH1559" s="717"/>
      <c r="DI1559" s="717"/>
      <c r="DJ1559" s="717"/>
      <c r="DM1559" s="711"/>
      <c r="DN1559" s="711"/>
      <c r="DO1559" s="711"/>
      <c r="DP1559" s="711"/>
      <c r="DQ1559" s="711"/>
    </row>
    <row r="1560" spans="13:121" s="709" customFormat="1" hidden="1">
      <c r="M1560" s="710"/>
      <c r="P1560" s="711"/>
      <c r="Q1560" s="712"/>
      <c r="U1560" s="711"/>
      <c r="V1560" s="711"/>
      <c r="W1560" s="711"/>
      <c r="X1560" s="711"/>
      <c r="Y1560" s="711"/>
      <c r="Z1560" s="711"/>
      <c r="AU1560" s="713"/>
      <c r="AW1560" s="712"/>
      <c r="BY1560" s="714"/>
      <c r="BZ1560" s="715"/>
      <c r="CA1560" s="716"/>
      <c r="CB1560" s="717"/>
      <c r="CC1560" s="717"/>
      <c r="CD1560" s="717"/>
      <c r="CE1560" s="717"/>
      <c r="CF1560" s="717"/>
      <c r="CG1560" s="717"/>
      <c r="CH1560" s="717"/>
      <c r="CI1560" s="717"/>
      <c r="CJ1560" s="717"/>
      <c r="CK1560" s="717"/>
      <c r="CL1560" s="717"/>
      <c r="CM1560" s="717"/>
      <c r="CN1560" s="717"/>
      <c r="CO1560" s="717"/>
      <c r="CP1560" s="717"/>
      <c r="CQ1560" s="717"/>
      <c r="CR1560" s="717"/>
      <c r="CS1560" s="717"/>
      <c r="CT1560" s="717"/>
      <c r="CU1560" s="717"/>
      <c r="CV1560" s="717"/>
      <c r="CW1560" s="717"/>
      <c r="CX1560" s="717"/>
      <c r="CY1560" s="717"/>
      <c r="CZ1560" s="717"/>
      <c r="DA1560" s="717"/>
      <c r="DB1560" s="717"/>
      <c r="DC1560" s="717"/>
      <c r="DD1560" s="717"/>
      <c r="DE1560" s="717"/>
      <c r="DF1560" s="717"/>
      <c r="DG1560" s="717"/>
      <c r="DH1560" s="717"/>
      <c r="DI1560" s="717"/>
      <c r="DJ1560" s="717"/>
      <c r="DM1560" s="711"/>
      <c r="DN1560" s="711"/>
      <c r="DO1560" s="711"/>
      <c r="DP1560" s="711"/>
      <c r="DQ1560" s="711"/>
    </row>
    <row r="1561" spans="13:121" s="709" customFormat="1" hidden="1">
      <c r="M1561" s="710"/>
      <c r="P1561" s="711"/>
      <c r="Q1561" s="712"/>
      <c r="U1561" s="711"/>
      <c r="V1561" s="711"/>
      <c r="W1561" s="711"/>
      <c r="X1561" s="711"/>
      <c r="Y1561" s="711"/>
      <c r="Z1561" s="711"/>
      <c r="AU1561" s="713"/>
      <c r="AW1561" s="712"/>
      <c r="BY1561" s="714"/>
      <c r="BZ1561" s="715"/>
      <c r="CA1561" s="716"/>
      <c r="CB1561" s="717"/>
      <c r="CC1561" s="717"/>
      <c r="CD1561" s="717"/>
      <c r="CE1561" s="717"/>
      <c r="CF1561" s="717"/>
      <c r="CG1561" s="717"/>
      <c r="CH1561" s="717"/>
      <c r="CI1561" s="717"/>
      <c r="CJ1561" s="717"/>
      <c r="CK1561" s="717"/>
      <c r="CL1561" s="717"/>
      <c r="CM1561" s="717"/>
      <c r="CN1561" s="717"/>
      <c r="CO1561" s="717"/>
      <c r="CP1561" s="717"/>
      <c r="CQ1561" s="717"/>
      <c r="CR1561" s="717"/>
      <c r="CS1561" s="717"/>
      <c r="CT1561" s="717"/>
      <c r="CU1561" s="717"/>
      <c r="CV1561" s="717"/>
      <c r="CW1561" s="717"/>
      <c r="CX1561" s="717"/>
      <c r="CY1561" s="717"/>
      <c r="CZ1561" s="717"/>
      <c r="DA1561" s="717"/>
      <c r="DB1561" s="717"/>
      <c r="DC1561" s="717"/>
      <c r="DD1561" s="717"/>
      <c r="DE1561" s="717"/>
      <c r="DF1561" s="717"/>
      <c r="DG1561" s="717"/>
      <c r="DH1561" s="717"/>
      <c r="DI1561" s="717"/>
      <c r="DJ1561" s="717"/>
      <c r="DM1561" s="711"/>
      <c r="DN1561" s="711"/>
      <c r="DO1561" s="711"/>
      <c r="DP1561" s="711"/>
      <c r="DQ1561" s="711"/>
    </row>
    <row r="1562" spans="13:121" s="709" customFormat="1" hidden="1">
      <c r="M1562" s="710"/>
      <c r="P1562" s="711"/>
      <c r="Q1562" s="712"/>
      <c r="U1562" s="711"/>
      <c r="V1562" s="711"/>
      <c r="W1562" s="711"/>
      <c r="X1562" s="711"/>
      <c r="Y1562" s="711"/>
      <c r="Z1562" s="711"/>
      <c r="AU1562" s="713"/>
      <c r="AW1562" s="712"/>
      <c r="BY1562" s="714"/>
      <c r="BZ1562" s="715"/>
      <c r="CA1562" s="716"/>
      <c r="CB1562" s="717"/>
      <c r="CC1562" s="717"/>
      <c r="CD1562" s="717"/>
      <c r="CE1562" s="717"/>
      <c r="CF1562" s="717"/>
      <c r="CG1562" s="717"/>
      <c r="CH1562" s="717"/>
      <c r="CI1562" s="717"/>
      <c r="CJ1562" s="717"/>
      <c r="CK1562" s="717"/>
      <c r="CL1562" s="717"/>
      <c r="CM1562" s="717"/>
      <c r="CN1562" s="717"/>
      <c r="CO1562" s="717"/>
      <c r="CP1562" s="717"/>
      <c r="CQ1562" s="717"/>
      <c r="CR1562" s="717"/>
      <c r="CS1562" s="717"/>
      <c r="CT1562" s="717"/>
      <c r="CU1562" s="717"/>
      <c r="CV1562" s="717"/>
      <c r="CW1562" s="717"/>
      <c r="CX1562" s="717"/>
      <c r="CY1562" s="717"/>
      <c r="CZ1562" s="717"/>
      <c r="DA1562" s="717"/>
      <c r="DB1562" s="717"/>
      <c r="DC1562" s="717"/>
      <c r="DD1562" s="717"/>
      <c r="DE1562" s="717"/>
      <c r="DF1562" s="717"/>
      <c r="DG1562" s="717"/>
      <c r="DH1562" s="717"/>
      <c r="DI1562" s="717"/>
      <c r="DJ1562" s="717"/>
      <c r="DM1562" s="711"/>
      <c r="DN1562" s="711"/>
      <c r="DO1562" s="711"/>
      <c r="DP1562" s="711"/>
      <c r="DQ1562" s="711"/>
    </row>
    <row r="1563" spans="13:121" s="709" customFormat="1" hidden="1">
      <c r="M1563" s="710"/>
      <c r="P1563" s="711"/>
      <c r="Q1563" s="712"/>
      <c r="U1563" s="711"/>
      <c r="V1563" s="711"/>
      <c r="W1563" s="711"/>
      <c r="X1563" s="711"/>
      <c r="Y1563" s="711"/>
      <c r="Z1563" s="711"/>
      <c r="AU1563" s="713"/>
      <c r="AW1563" s="712"/>
      <c r="BY1563" s="714"/>
      <c r="BZ1563" s="715"/>
      <c r="CA1563" s="716"/>
      <c r="CB1563" s="717"/>
      <c r="CC1563" s="717"/>
      <c r="CD1563" s="717"/>
      <c r="CE1563" s="717"/>
      <c r="CF1563" s="717"/>
      <c r="CG1563" s="717"/>
      <c r="CH1563" s="717"/>
      <c r="CI1563" s="717"/>
      <c r="CJ1563" s="717"/>
      <c r="CK1563" s="717"/>
      <c r="CL1563" s="717"/>
      <c r="CM1563" s="717"/>
      <c r="CN1563" s="717"/>
      <c r="CO1563" s="717"/>
      <c r="CP1563" s="717"/>
      <c r="CQ1563" s="717"/>
      <c r="CR1563" s="717"/>
      <c r="CS1563" s="717"/>
      <c r="CT1563" s="717"/>
      <c r="CU1563" s="717"/>
      <c r="CV1563" s="717"/>
      <c r="CW1563" s="717"/>
      <c r="CX1563" s="717"/>
      <c r="CY1563" s="717"/>
      <c r="CZ1563" s="717"/>
      <c r="DA1563" s="717"/>
      <c r="DB1563" s="717"/>
      <c r="DC1563" s="717"/>
      <c r="DD1563" s="717"/>
      <c r="DE1563" s="717"/>
      <c r="DF1563" s="717"/>
      <c r="DG1563" s="717"/>
      <c r="DH1563" s="717"/>
      <c r="DI1563" s="717"/>
      <c r="DJ1563" s="717"/>
      <c r="DM1563" s="711"/>
      <c r="DN1563" s="711"/>
      <c r="DO1563" s="711"/>
      <c r="DP1563" s="711"/>
      <c r="DQ1563" s="711"/>
    </row>
    <row r="1564" spans="13:121" s="709" customFormat="1" hidden="1">
      <c r="M1564" s="710"/>
      <c r="P1564" s="711"/>
      <c r="Q1564" s="712"/>
      <c r="U1564" s="711"/>
      <c r="V1564" s="711"/>
      <c r="W1564" s="711"/>
      <c r="X1564" s="711"/>
      <c r="Y1564" s="711"/>
      <c r="Z1564" s="711"/>
      <c r="AU1564" s="713"/>
      <c r="AW1564" s="712"/>
      <c r="BY1564" s="714"/>
      <c r="BZ1564" s="715"/>
      <c r="CA1564" s="716"/>
      <c r="CB1564" s="717"/>
      <c r="CC1564" s="717"/>
      <c r="CD1564" s="717"/>
      <c r="CE1564" s="717"/>
      <c r="CF1564" s="717"/>
      <c r="CG1564" s="717"/>
      <c r="CH1564" s="717"/>
      <c r="CI1564" s="717"/>
      <c r="CJ1564" s="717"/>
      <c r="CK1564" s="717"/>
      <c r="CL1564" s="717"/>
      <c r="CM1564" s="717"/>
      <c r="CN1564" s="717"/>
      <c r="CO1564" s="717"/>
      <c r="CP1564" s="717"/>
      <c r="CQ1564" s="717"/>
      <c r="CR1564" s="717"/>
      <c r="CS1564" s="717"/>
      <c r="CT1564" s="717"/>
      <c r="CU1564" s="717"/>
      <c r="CV1564" s="717"/>
      <c r="CW1564" s="717"/>
      <c r="CX1564" s="717"/>
      <c r="CY1564" s="717"/>
      <c r="CZ1564" s="717"/>
      <c r="DA1564" s="717"/>
      <c r="DB1564" s="717"/>
      <c r="DC1564" s="717"/>
      <c r="DD1564" s="717"/>
      <c r="DE1564" s="717"/>
      <c r="DF1564" s="717"/>
      <c r="DG1564" s="717"/>
      <c r="DH1564" s="717"/>
      <c r="DI1564" s="717"/>
      <c r="DJ1564" s="717"/>
      <c r="DM1564" s="711"/>
      <c r="DN1564" s="711"/>
      <c r="DO1564" s="711"/>
      <c r="DP1564" s="711"/>
      <c r="DQ1564" s="711"/>
    </row>
    <row r="1565" spans="13:121" s="709" customFormat="1" hidden="1">
      <c r="M1565" s="710"/>
      <c r="P1565" s="711"/>
      <c r="Q1565" s="712"/>
      <c r="U1565" s="711"/>
      <c r="V1565" s="711"/>
      <c r="W1565" s="711"/>
      <c r="X1565" s="711"/>
      <c r="Y1565" s="711"/>
      <c r="Z1565" s="711"/>
      <c r="AU1565" s="713"/>
      <c r="AW1565" s="712"/>
      <c r="BY1565" s="714"/>
      <c r="BZ1565" s="715"/>
      <c r="CA1565" s="716"/>
      <c r="CB1565" s="717"/>
      <c r="CC1565" s="717"/>
      <c r="CD1565" s="717"/>
      <c r="CE1565" s="717"/>
      <c r="CF1565" s="717"/>
      <c r="CG1565" s="717"/>
      <c r="CH1565" s="717"/>
      <c r="CI1565" s="717"/>
      <c r="CJ1565" s="717"/>
      <c r="CK1565" s="717"/>
      <c r="CL1565" s="717"/>
      <c r="CM1565" s="717"/>
      <c r="CN1565" s="717"/>
      <c r="CO1565" s="717"/>
      <c r="CP1565" s="717"/>
      <c r="CQ1565" s="717"/>
      <c r="CR1565" s="717"/>
      <c r="CS1565" s="717"/>
      <c r="CT1565" s="717"/>
      <c r="CU1565" s="717"/>
      <c r="CV1565" s="717"/>
      <c r="CW1565" s="717"/>
      <c r="CX1565" s="717"/>
      <c r="CY1565" s="717"/>
      <c r="CZ1565" s="717"/>
      <c r="DA1565" s="717"/>
      <c r="DB1565" s="717"/>
      <c r="DC1565" s="717"/>
      <c r="DD1565" s="717"/>
      <c r="DE1565" s="717"/>
      <c r="DF1565" s="717"/>
      <c r="DG1565" s="717"/>
      <c r="DH1565" s="717"/>
      <c r="DI1565" s="717"/>
      <c r="DJ1565" s="717"/>
      <c r="DM1565" s="711"/>
      <c r="DN1565" s="711"/>
      <c r="DO1565" s="711"/>
      <c r="DP1565" s="711"/>
      <c r="DQ1565" s="711"/>
    </row>
    <row r="1566" spans="13:121" s="709" customFormat="1" hidden="1">
      <c r="M1566" s="710"/>
      <c r="P1566" s="711"/>
      <c r="Q1566" s="712"/>
      <c r="U1566" s="711"/>
      <c r="V1566" s="711"/>
      <c r="W1566" s="711"/>
      <c r="X1566" s="711"/>
      <c r="Y1566" s="711"/>
      <c r="Z1566" s="711"/>
      <c r="AU1566" s="713"/>
      <c r="AW1566" s="712"/>
      <c r="BY1566" s="714"/>
      <c r="BZ1566" s="715"/>
      <c r="CA1566" s="716"/>
      <c r="CB1566" s="717"/>
      <c r="CC1566" s="717"/>
      <c r="CD1566" s="717"/>
      <c r="CE1566" s="717"/>
      <c r="CF1566" s="717"/>
      <c r="CG1566" s="717"/>
      <c r="CH1566" s="717"/>
      <c r="CI1566" s="717"/>
      <c r="CJ1566" s="717"/>
      <c r="CK1566" s="717"/>
      <c r="CL1566" s="717"/>
      <c r="CM1566" s="717"/>
      <c r="CN1566" s="717"/>
      <c r="CO1566" s="717"/>
      <c r="CP1566" s="717"/>
      <c r="CQ1566" s="717"/>
      <c r="CR1566" s="717"/>
      <c r="CS1566" s="717"/>
      <c r="CT1566" s="717"/>
      <c r="CU1566" s="717"/>
      <c r="CV1566" s="717"/>
      <c r="CW1566" s="717"/>
      <c r="CX1566" s="717"/>
      <c r="CY1566" s="717"/>
      <c r="CZ1566" s="717"/>
      <c r="DA1566" s="717"/>
      <c r="DB1566" s="717"/>
      <c r="DC1566" s="717"/>
      <c r="DD1566" s="717"/>
      <c r="DE1566" s="717"/>
      <c r="DF1566" s="717"/>
      <c r="DG1566" s="717"/>
      <c r="DH1566" s="717"/>
      <c r="DI1566" s="717"/>
      <c r="DJ1566" s="717"/>
      <c r="DM1566" s="711"/>
      <c r="DN1566" s="711"/>
      <c r="DO1566" s="711"/>
      <c r="DP1566" s="711"/>
      <c r="DQ1566" s="711"/>
    </row>
    <row r="1567" spans="13:121" s="709" customFormat="1" hidden="1">
      <c r="M1567" s="710"/>
      <c r="P1567" s="711"/>
      <c r="Q1567" s="712"/>
      <c r="U1567" s="711"/>
      <c r="V1567" s="711"/>
      <c r="W1567" s="711"/>
      <c r="X1567" s="711"/>
      <c r="Y1567" s="711"/>
      <c r="Z1567" s="711"/>
      <c r="AU1567" s="713"/>
      <c r="AW1567" s="712"/>
      <c r="BY1567" s="714"/>
      <c r="BZ1567" s="715"/>
      <c r="CA1567" s="716"/>
      <c r="CB1567" s="717"/>
      <c r="CC1567" s="717"/>
      <c r="CD1567" s="717"/>
      <c r="CE1567" s="717"/>
      <c r="CF1567" s="717"/>
      <c r="CG1567" s="717"/>
      <c r="CH1567" s="717"/>
      <c r="CI1567" s="717"/>
      <c r="CJ1567" s="717"/>
      <c r="CK1567" s="717"/>
      <c r="CL1567" s="717"/>
      <c r="CM1567" s="717"/>
      <c r="CN1567" s="717"/>
      <c r="CO1567" s="717"/>
      <c r="CP1567" s="717"/>
      <c r="CQ1567" s="717"/>
      <c r="CR1567" s="717"/>
      <c r="CS1567" s="717"/>
      <c r="CT1567" s="717"/>
      <c r="CU1567" s="717"/>
      <c r="CV1567" s="717"/>
      <c r="CW1567" s="717"/>
      <c r="CX1567" s="717"/>
      <c r="CY1567" s="717"/>
      <c r="CZ1567" s="717"/>
      <c r="DA1567" s="717"/>
      <c r="DB1567" s="717"/>
      <c r="DC1567" s="717"/>
      <c r="DD1567" s="717"/>
      <c r="DE1567" s="717"/>
      <c r="DF1567" s="717"/>
      <c r="DG1567" s="717"/>
      <c r="DH1567" s="717"/>
      <c r="DI1567" s="717"/>
      <c r="DJ1567" s="717"/>
      <c r="DM1567" s="711"/>
      <c r="DN1567" s="711"/>
      <c r="DO1567" s="711"/>
      <c r="DP1567" s="711"/>
      <c r="DQ1567" s="711"/>
    </row>
    <row r="1568" spans="13:121" s="709" customFormat="1" hidden="1">
      <c r="M1568" s="710"/>
      <c r="P1568" s="711"/>
      <c r="Q1568" s="712"/>
      <c r="U1568" s="711"/>
      <c r="V1568" s="711"/>
      <c r="W1568" s="711"/>
      <c r="X1568" s="711"/>
      <c r="Y1568" s="711"/>
      <c r="Z1568" s="711"/>
      <c r="AU1568" s="713"/>
      <c r="AW1568" s="712"/>
      <c r="BY1568" s="714"/>
      <c r="BZ1568" s="715"/>
      <c r="CA1568" s="716"/>
      <c r="CB1568" s="717"/>
      <c r="CC1568" s="717"/>
      <c r="CD1568" s="717"/>
      <c r="CE1568" s="717"/>
      <c r="CF1568" s="717"/>
      <c r="CG1568" s="717"/>
      <c r="CH1568" s="717"/>
      <c r="CI1568" s="717"/>
      <c r="CJ1568" s="717"/>
      <c r="CK1568" s="717"/>
      <c r="CL1568" s="717"/>
      <c r="CM1568" s="717"/>
      <c r="CN1568" s="717"/>
      <c r="CO1568" s="717"/>
      <c r="CP1568" s="717"/>
      <c r="CQ1568" s="717"/>
      <c r="CR1568" s="717"/>
      <c r="CS1568" s="717"/>
      <c r="CT1568" s="717"/>
      <c r="CU1568" s="717"/>
      <c r="CV1568" s="717"/>
      <c r="CW1568" s="717"/>
      <c r="CX1568" s="717"/>
      <c r="CY1568" s="717"/>
      <c r="CZ1568" s="717"/>
      <c r="DA1568" s="717"/>
      <c r="DB1568" s="717"/>
      <c r="DC1568" s="717"/>
      <c r="DD1568" s="717"/>
      <c r="DE1568" s="717"/>
      <c r="DF1568" s="717"/>
      <c r="DG1568" s="717"/>
      <c r="DH1568" s="717"/>
      <c r="DI1568" s="717"/>
      <c r="DJ1568" s="717"/>
      <c r="DM1568" s="711"/>
      <c r="DN1568" s="711"/>
      <c r="DO1568" s="711"/>
      <c r="DP1568" s="711"/>
      <c r="DQ1568" s="711"/>
    </row>
    <row r="1569" spans="13:121" s="709" customFormat="1" hidden="1">
      <c r="M1569" s="710"/>
      <c r="P1569" s="711"/>
      <c r="Q1569" s="712"/>
      <c r="U1569" s="711"/>
      <c r="V1569" s="711"/>
      <c r="W1569" s="711"/>
      <c r="X1569" s="711"/>
      <c r="Y1569" s="711"/>
      <c r="Z1569" s="711"/>
      <c r="AU1569" s="713"/>
      <c r="AW1569" s="712"/>
      <c r="BY1569" s="714"/>
      <c r="BZ1569" s="715"/>
      <c r="CA1569" s="716"/>
      <c r="CB1569" s="717"/>
      <c r="CC1569" s="717"/>
      <c r="CD1569" s="717"/>
      <c r="CE1569" s="717"/>
      <c r="CF1569" s="717"/>
      <c r="CG1569" s="717"/>
      <c r="CH1569" s="717"/>
      <c r="CI1569" s="717"/>
      <c r="CJ1569" s="717"/>
      <c r="CK1569" s="717"/>
      <c r="CL1569" s="717"/>
      <c r="CM1569" s="717"/>
      <c r="CN1569" s="717"/>
      <c r="CO1569" s="717"/>
      <c r="CP1569" s="717"/>
      <c r="CQ1569" s="717"/>
      <c r="CR1569" s="717"/>
      <c r="CS1569" s="717"/>
      <c r="CT1569" s="717"/>
      <c r="CU1569" s="717"/>
      <c r="CV1569" s="717"/>
      <c r="CW1569" s="717"/>
      <c r="CX1569" s="717"/>
      <c r="CY1569" s="717"/>
      <c r="CZ1569" s="717"/>
      <c r="DA1569" s="717"/>
      <c r="DB1569" s="717"/>
      <c r="DC1569" s="717"/>
      <c r="DD1569" s="717"/>
      <c r="DE1569" s="717"/>
      <c r="DF1569" s="717"/>
      <c r="DG1569" s="717"/>
      <c r="DH1569" s="717"/>
      <c r="DI1569" s="717"/>
      <c r="DJ1569" s="717"/>
      <c r="DM1569" s="711"/>
      <c r="DN1569" s="711"/>
      <c r="DO1569" s="711"/>
      <c r="DP1569" s="711"/>
      <c r="DQ1569" s="711"/>
    </row>
    <row r="1570" spans="13:121" s="709" customFormat="1" hidden="1">
      <c r="M1570" s="710"/>
      <c r="P1570" s="711"/>
      <c r="Q1570" s="712"/>
      <c r="U1570" s="711"/>
      <c r="V1570" s="711"/>
      <c r="W1570" s="711"/>
      <c r="X1570" s="711"/>
      <c r="Y1570" s="711"/>
      <c r="Z1570" s="711"/>
      <c r="AU1570" s="713"/>
      <c r="AW1570" s="712"/>
      <c r="BY1570" s="714"/>
      <c r="BZ1570" s="715"/>
      <c r="CA1570" s="716"/>
      <c r="CB1570" s="717"/>
      <c r="CC1570" s="717"/>
      <c r="CD1570" s="717"/>
      <c r="CE1570" s="717"/>
      <c r="CF1570" s="717"/>
      <c r="CG1570" s="717"/>
      <c r="CH1570" s="717"/>
      <c r="CI1570" s="717"/>
      <c r="CJ1570" s="717"/>
      <c r="CK1570" s="717"/>
      <c r="CL1570" s="717"/>
      <c r="CM1570" s="717"/>
      <c r="CN1570" s="717"/>
      <c r="CO1570" s="717"/>
      <c r="CP1570" s="717"/>
      <c r="CQ1570" s="717"/>
      <c r="CR1570" s="717"/>
      <c r="CS1570" s="717"/>
      <c r="CT1570" s="717"/>
      <c r="CU1570" s="717"/>
      <c r="CV1570" s="717"/>
      <c r="CW1570" s="717"/>
      <c r="CX1570" s="717"/>
      <c r="CY1570" s="717"/>
      <c r="CZ1570" s="717"/>
      <c r="DA1570" s="717"/>
      <c r="DB1570" s="717"/>
      <c r="DC1570" s="717"/>
      <c r="DD1570" s="717"/>
      <c r="DE1570" s="717"/>
      <c r="DF1570" s="717"/>
      <c r="DG1570" s="717"/>
      <c r="DH1570" s="717"/>
      <c r="DI1570" s="717"/>
      <c r="DJ1570" s="717"/>
      <c r="DM1570" s="711"/>
      <c r="DN1570" s="711"/>
      <c r="DO1570" s="711"/>
      <c r="DP1570" s="711"/>
      <c r="DQ1570" s="711"/>
    </row>
    <row r="1571" spans="13:121" s="709" customFormat="1" hidden="1">
      <c r="M1571" s="710"/>
      <c r="P1571" s="711"/>
      <c r="Q1571" s="712"/>
      <c r="U1571" s="711"/>
      <c r="V1571" s="711"/>
      <c r="W1571" s="711"/>
      <c r="X1571" s="711"/>
      <c r="Y1571" s="711"/>
      <c r="Z1571" s="711"/>
      <c r="AU1571" s="713"/>
      <c r="AW1571" s="712"/>
      <c r="BY1571" s="714"/>
      <c r="BZ1571" s="715"/>
      <c r="CA1571" s="716"/>
      <c r="CB1571" s="717"/>
      <c r="CC1571" s="717"/>
      <c r="CD1571" s="717"/>
      <c r="CE1571" s="717"/>
      <c r="CF1571" s="717"/>
      <c r="CG1571" s="717"/>
      <c r="CH1571" s="717"/>
      <c r="CI1571" s="717"/>
      <c r="CJ1571" s="717"/>
      <c r="CK1571" s="717"/>
      <c r="CL1571" s="717"/>
      <c r="CM1571" s="717"/>
      <c r="CN1571" s="717"/>
      <c r="CO1571" s="717"/>
      <c r="CP1571" s="717"/>
      <c r="CQ1571" s="717"/>
      <c r="CR1571" s="717"/>
      <c r="CS1571" s="717"/>
      <c r="CT1571" s="717"/>
      <c r="CU1571" s="717"/>
      <c r="CV1571" s="717"/>
      <c r="CW1571" s="717"/>
      <c r="CX1571" s="717"/>
      <c r="CY1571" s="717"/>
      <c r="CZ1571" s="717"/>
      <c r="DA1571" s="717"/>
      <c r="DB1571" s="717"/>
      <c r="DC1571" s="717"/>
      <c r="DD1571" s="717"/>
      <c r="DE1571" s="717"/>
      <c r="DF1571" s="717"/>
      <c r="DG1571" s="717"/>
      <c r="DH1571" s="717"/>
      <c r="DI1571" s="717"/>
      <c r="DJ1571" s="717"/>
      <c r="DM1571" s="711"/>
      <c r="DN1571" s="711"/>
      <c r="DO1571" s="711"/>
      <c r="DP1571" s="711"/>
      <c r="DQ1571" s="711"/>
    </row>
    <row r="1572" spans="13:121" s="709" customFormat="1" hidden="1">
      <c r="M1572" s="710"/>
      <c r="P1572" s="711"/>
      <c r="Q1572" s="712"/>
      <c r="U1572" s="711"/>
      <c r="V1572" s="711"/>
      <c r="W1572" s="711"/>
      <c r="X1572" s="711"/>
      <c r="Y1572" s="711"/>
      <c r="Z1572" s="711"/>
      <c r="AU1572" s="713"/>
      <c r="AW1572" s="712"/>
      <c r="BY1572" s="714"/>
      <c r="BZ1572" s="715"/>
      <c r="CA1572" s="716"/>
      <c r="CB1572" s="717"/>
      <c r="CC1572" s="717"/>
      <c r="CD1572" s="717"/>
      <c r="CE1572" s="717"/>
      <c r="CF1572" s="717"/>
      <c r="CG1572" s="717"/>
      <c r="CH1572" s="717"/>
      <c r="CI1572" s="717"/>
      <c r="CJ1572" s="717"/>
      <c r="CK1572" s="717"/>
      <c r="CL1572" s="717"/>
      <c r="CM1572" s="717"/>
      <c r="CN1572" s="717"/>
      <c r="CO1572" s="717"/>
      <c r="CP1572" s="717"/>
      <c r="CQ1572" s="717"/>
      <c r="CR1572" s="717"/>
      <c r="CS1572" s="717"/>
      <c r="CT1572" s="717"/>
      <c r="CU1572" s="717"/>
      <c r="CV1572" s="717"/>
      <c r="CW1572" s="717"/>
      <c r="CX1572" s="717"/>
      <c r="CY1572" s="717"/>
      <c r="CZ1572" s="717"/>
      <c r="DA1572" s="717"/>
      <c r="DB1572" s="717"/>
      <c r="DC1572" s="717"/>
      <c r="DD1572" s="717"/>
      <c r="DE1572" s="717"/>
      <c r="DF1572" s="717"/>
      <c r="DG1572" s="717"/>
      <c r="DH1572" s="717"/>
      <c r="DI1572" s="717"/>
      <c r="DJ1572" s="717"/>
      <c r="DM1572" s="711"/>
      <c r="DN1572" s="711"/>
      <c r="DO1572" s="711"/>
      <c r="DP1572" s="711"/>
      <c r="DQ1572" s="711"/>
    </row>
    <row r="1573" spans="13:121" s="709" customFormat="1" hidden="1">
      <c r="M1573" s="710"/>
      <c r="P1573" s="711"/>
      <c r="Q1573" s="712"/>
      <c r="U1573" s="711"/>
      <c r="V1573" s="711"/>
      <c r="W1573" s="711"/>
      <c r="X1573" s="711"/>
      <c r="Y1573" s="711"/>
      <c r="Z1573" s="711"/>
      <c r="AU1573" s="713"/>
      <c r="AW1573" s="712"/>
      <c r="BY1573" s="714"/>
      <c r="BZ1573" s="715"/>
      <c r="CA1573" s="716"/>
      <c r="CB1573" s="717"/>
      <c r="CC1573" s="717"/>
      <c r="CD1573" s="717"/>
      <c r="CE1573" s="717"/>
      <c r="CF1573" s="717"/>
      <c r="CG1573" s="717"/>
      <c r="CH1573" s="717"/>
      <c r="CI1573" s="717"/>
      <c r="CJ1573" s="717"/>
      <c r="CK1573" s="717"/>
      <c r="CL1573" s="717"/>
      <c r="CM1573" s="717"/>
      <c r="CN1573" s="717"/>
      <c r="CO1573" s="717"/>
      <c r="CP1573" s="717"/>
      <c r="CQ1573" s="717"/>
      <c r="CR1573" s="717"/>
      <c r="CS1573" s="717"/>
      <c r="CT1573" s="717"/>
      <c r="CU1573" s="717"/>
      <c r="CV1573" s="717"/>
      <c r="CW1573" s="717"/>
      <c r="CX1573" s="717"/>
      <c r="CY1573" s="717"/>
      <c r="CZ1573" s="717"/>
      <c r="DA1573" s="717"/>
      <c r="DB1573" s="717"/>
      <c r="DC1573" s="717"/>
      <c r="DD1573" s="717"/>
      <c r="DE1573" s="717"/>
      <c r="DF1573" s="717"/>
      <c r="DG1573" s="717"/>
      <c r="DH1573" s="717"/>
      <c r="DI1573" s="717"/>
      <c r="DJ1573" s="717"/>
      <c r="DM1573" s="711"/>
      <c r="DN1573" s="711"/>
      <c r="DO1573" s="711"/>
      <c r="DP1573" s="711"/>
      <c r="DQ1573" s="711"/>
    </row>
    <row r="1574" spans="13:121" s="709" customFormat="1" hidden="1">
      <c r="M1574" s="710"/>
      <c r="P1574" s="711"/>
      <c r="Q1574" s="712"/>
      <c r="U1574" s="711"/>
      <c r="V1574" s="711"/>
      <c r="W1574" s="711"/>
      <c r="X1574" s="711"/>
      <c r="Y1574" s="711"/>
      <c r="Z1574" s="711"/>
      <c r="AU1574" s="713"/>
      <c r="AW1574" s="712"/>
      <c r="BY1574" s="714"/>
      <c r="BZ1574" s="715"/>
      <c r="CA1574" s="716"/>
      <c r="CB1574" s="717"/>
      <c r="CC1574" s="717"/>
      <c r="CD1574" s="717"/>
      <c r="CE1574" s="717"/>
      <c r="CF1574" s="717"/>
      <c r="CG1574" s="717"/>
      <c r="CH1574" s="717"/>
      <c r="CI1574" s="717"/>
      <c r="CJ1574" s="717"/>
      <c r="CK1574" s="717"/>
      <c r="CL1574" s="717"/>
      <c r="CM1574" s="717"/>
      <c r="CN1574" s="717"/>
      <c r="CO1574" s="717"/>
      <c r="CP1574" s="717"/>
      <c r="CQ1574" s="717"/>
      <c r="CR1574" s="717"/>
      <c r="CS1574" s="717"/>
      <c r="CT1574" s="717"/>
      <c r="CU1574" s="717"/>
      <c r="CV1574" s="717"/>
      <c r="CW1574" s="717"/>
      <c r="CX1574" s="717"/>
      <c r="CY1574" s="717"/>
      <c r="CZ1574" s="717"/>
      <c r="DA1574" s="717"/>
      <c r="DB1574" s="717"/>
      <c r="DC1574" s="717"/>
      <c r="DD1574" s="717"/>
      <c r="DE1574" s="717"/>
      <c r="DF1574" s="717"/>
      <c r="DG1574" s="717"/>
      <c r="DH1574" s="717"/>
      <c r="DI1574" s="717"/>
      <c r="DJ1574" s="717"/>
      <c r="DM1574" s="711"/>
      <c r="DN1574" s="711"/>
      <c r="DO1574" s="711"/>
      <c r="DP1574" s="711"/>
      <c r="DQ1574" s="711"/>
    </row>
    <row r="1575" spans="13:121" s="709" customFormat="1" hidden="1">
      <c r="M1575" s="710"/>
      <c r="P1575" s="711"/>
      <c r="Q1575" s="712"/>
      <c r="U1575" s="711"/>
      <c r="V1575" s="711"/>
      <c r="W1575" s="711"/>
      <c r="X1575" s="711"/>
      <c r="Y1575" s="711"/>
      <c r="Z1575" s="711"/>
      <c r="AU1575" s="713"/>
      <c r="AW1575" s="712"/>
      <c r="BY1575" s="714"/>
      <c r="BZ1575" s="715"/>
      <c r="CA1575" s="716"/>
      <c r="CB1575" s="717"/>
      <c r="CC1575" s="717"/>
      <c r="CD1575" s="717"/>
      <c r="CE1575" s="717"/>
      <c r="CF1575" s="717"/>
      <c r="CG1575" s="717"/>
      <c r="CH1575" s="717"/>
      <c r="CI1575" s="717"/>
      <c r="CJ1575" s="717"/>
      <c r="CK1575" s="717"/>
      <c r="CL1575" s="717"/>
      <c r="CM1575" s="717"/>
      <c r="CN1575" s="717"/>
      <c r="CO1575" s="717"/>
      <c r="CP1575" s="717"/>
      <c r="CQ1575" s="717"/>
      <c r="CR1575" s="717"/>
      <c r="CS1575" s="717"/>
      <c r="CT1575" s="717"/>
      <c r="CU1575" s="717"/>
      <c r="CV1575" s="717"/>
      <c r="CW1575" s="717"/>
      <c r="CX1575" s="717"/>
      <c r="CY1575" s="717"/>
      <c r="CZ1575" s="717"/>
      <c r="DA1575" s="717"/>
      <c r="DB1575" s="717"/>
      <c r="DC1575" s="717"/>
      <c r="DD1575" s="717"/>
      <c r="DE1575" s="717"/>
      <c r="DF1575" s="717"/>
      <c r="DG1575" s="717"/>
      <c r="DH1575" s="717"/>
      <c r="DI1575" s="717"/>
      <c r="DJ1575" s="717"/>
      <c r="DM1575" s="711"/>
      <c r="DN1575" s="711"/>
      <c r="DO1575" s="711"/>
      <c r="DP1575" s="711"/>
      <c r="DQ1575" s="711"/>
    </row>
    <row r="1576" spans="13:121" s="709" customFormat="1" hidden="1">
      <c r="M1576" s="710"/>
      <c r="P1576" s="711"/>
      <c r="Q1576" s="712"/>
      <c r="U1576" s="711"/>
      <c r="V1576" s="711"/>
      <c r="W1576" s="711"/>
      <c r="X1576" s="711"/>
      <c r="Y1576" s="711"/>
      <c r="Z1576" s="711"/>
      <c r="AU1576" s="713"/>
      <c r="AW1576" s="712"/>
      <c r="BY1576" s="714"/>
      <c r="BZ1576" s="715"/>
      <c r="CA1576" s="716"/>
      <c r="CB1576" s="717"/>
      <c r="CC1576" s="717"/>
      <c r="CD1576" s="717"/>
      <c r="CE1576" s="717"/>
      <c r="CF1576" s="717"/>
      <c r="CG1576" s="717"/>
      <c r="CH1576" s="717"/>
      <c r="CI1576" s="717"/>
      <c r="CJ1576" s="717"/>
      <c r="CK1576" s="717"/>
      <c r="CL1576" s="717"/>
      <c r="CM1576" s="717"/>
      <c r="CN1576" s="717"/>
      <c r="CO1576" s="717"/>
      <c r="CP1576" s="717"/>
      <c r="CQ1576" s="717"/>
      <c r="CR1576" s="717"/>
      <c r="CS1576" s="717"/>
      <c r="CT1576" s="717"/>
      <c r="CU1576" s="717"/>
      <c r="CV1576" s="717"/>
      <c r="CW1576" s="717"/>
      <c r="CX1576" s="717"/>
      <c r="CY1576" s="717"/>
      <c r="CZ1576" s="717"/>
      <c r="DA1576" s="717"/>
      <c r="DB1576" s="717"/>
      <c r="DC1576" s="717"/>
      <c r="DD1576" s="717"/>
      <c r="DE1576" s="717"/>
      <c r="DF1576" s="717"/>
      <c r="DG1576" s="717"/>
      <c r="DH1576" s="717"/>
      <c r="DI1576" s="717"/>
      <c r="DJ1576" s="717"/>
      <c r="DM1576" s="711"/>
      <c r="DN1576" s="711"/>
      <c r="DO1576" s="711"/>
      <c r="DP1576" s="711"/>
      <c r="DQ1576" s="711"/>
    </row>
    <row r="1577" spans="13:121" s="709" customFormat="1" hidden="1">
      <c r="M1577" s="710"/>
      <c r="P1577" s="711"/>
      <c r="Q1577" s="712"/>
      <c r="U1577" s="711"/>
      <c r="V1577" s="711"/>
      <c r="W1577" s="711"/>
      <c r="X1577" s="711"/>
      <c r="Y1577" s="711"/>
      <c r="Z1577" s="711"/>
      <c r="AU1577" s="713"/>
      <c r="AW1577" s="712"/>
      <c r="BY1577" s="714"/>
      <c r="BZ1577" s="715"/>
      <c r="CA1577" s="716"/>
      <c r="CB1577" s="717"/>
      <c r="CC1577" s="717"/>
      <c r="CD1577" s="717"/>
      <c r="CE1577" s="717"/>
      <c r="CF1577" s="717"/>
      <c r="CG1577" s="717"/>
      <c r="CH1577" s="717"/>
      <c r="CI1577" s="717"/>
      <c r="CJ1577" s="717"/>
      <c r="CK1577" s="717"/>
      <c r="CL1577" s="717"/>
      <c r="CM1577" s="717"/>
      <c r="CN1577" s="717"/>
      <c r="CO1577" s="717"/>
      <c r="CP1577" s="717"/>
      <c r="CQ1577" s="717"/>
      <c r="CR1577" s="717"/>
      <c r="CS1577" s="717"/>
      <c r="CT1577" s="717"/>
      <c r="CU1577" s="717"/>
      <c r="CV1577" s="717"/>
      <c r="CW1577" s="717"/>
      <c r="CX1577" s="717"/>
      <c r="CY1577" s="717"/>
      <c r="CZ1577" s="717"/>
      <c r="DA1577" s="717"/>
      <c r="DB1577" s="717"/>
      <c r="DC1577" s="717"/>
      <c r="DD1577" s="717"/>
      <c r="DE1577" s="717"/>
      <c r="DF1577" s="717"/>
      <c r="DG1577" s="717"/>
      <c r="DH1577" s="717"/>
      <c r="DI1577" s="717"/>
      <c r="DJ1577" s="717"/>
      <c r="DM1577" s="711"/>
      <c r="DN1577" s="711"/>
      <c r="DO1577" s="711"/>
      <c r="DP1577" s="711"/>
      <c r="DQ1577" s="711"/>
    </row>
    <row r="1578" spans="13:121" s="709" customFormat="1" hidden="1">
      <c r="M1578" s="710"/>
      <c r="P1578" s="711"/>
      <c r="Q1578" s="712"/>
      <c r="U1578" s="711"/>
      <c r="V1578" s="711"/>
      <c r="W1578" s="711"/>
      <c r="X1578" s="711"/>
      <c r="Y1578" s="711"/>
      <c r="Z1578" s="711"/>
      <c r="AU1578" s="713"/>
      <c r="AW1578" s="712"/>
      <c r="BY1578" s="714"/>
      <c r="BZ1578" s="715"/>
      <c r="CA1578" s="716"/>
      <c r="CB1578" s="717"/>
      <c r="CC1578" s="717"/>
      <c r="CD1578" s="717"/>
      <c r="CE1578" s="717"/>
      <c r="CF1578" s="717"/>
      <c r="CG1578" s="717"/>
      <c r="CH1578" s="717"/>
      <c r="CI1578" s="717"/>
      <c r="CJ1578" s="717"/>
      <c r="CK1578" s="717"/>
      <c r="CL1578" s="717"/>
      <c r="CM1578" s="717"/>
      <c r="CN1578" s="717"/>
      <c r="CO1578" s="717"/>
      <c r="CP1578" s="717"/>
      <c r="CQ1578" s="717"/>
      <c r="CR1578" s="717"/>
      <c r="CS1578" s="717"/>
      <c r="CT1578" s="717"/>
      <c r="CU1578" s="717"/>
      <c r="CV1578" s="717"/>
      <c r="CW1578" s="717"/>
      <c r="CX1578" s="717"/>
      <c r="CY1578" s="717"/>
      <c r="CZ1578" s="717"/>
      <c r="DA1578" s="717"/>
      <c r="DB1578" s="717"/>
      <c r="DC1578" s="717"/>
      <c r="DD1578" s="717"/>
      <c r="DE1578" s="717"/>
      <c r="DF1578" s="717"/>
      <c r="DG1578" s="717"/>
      <c r="DH1578" s="717"/>
      <c r="DI1578" s="717"/>
      <c r="DJ1578" s="717"/>
      <c r="DM1578" s="711"/>
      <c r="DN1578" s="711"/>
      <c r="DO1578" s="711"/>
      <c r="DP1578" s="711"/>
      <c r="DQ1578" s="711"/>
    </row>
    <row r="1579" spans="13:121" s="709" customFormat="1" hidden="1">
      <c r="M1579" s="710"/>
      <c r="P1579" s="711"/>
      <c r="Q1579" s="712"/>
      <c r="U1579" s="711"/>
      <c r="V1579" s="711"/>
      <c r="W1579" s="711"/>
      <c r="X1579" s="711"/>
      <c r="Y1579" s="711"/>
      <c r="Z1579" s="711"/>
      <c r="AU1579" s="713"/>
      <c r="AW1579" s="712"/>
      <c r="BY1579" s="714"/>
      <c r="BZ1579" s="715"/>
      <c r="CA1579" s="716"/>
      <c r="CB1579" s="717"/>
      <c r="CC1579" s="717"/>
      <c r="CD1579" s="717"/>
      <c r="CE1579" s="717"/>
      <c r="CF1579" s="717"/>
      <c r="CG1579" s="717"/>
      <c r="CH1579" s="717"/>
      <c r="CI1579" s="717"/>
      <c r="CJ1579" s="717"/>
      <c r="CK1579" s="717"/>
      <c r="CL1579" s="717"/>
      <c r="CM1579" s="717"/>
      <c r="CN1579" s="717"/>
      <c r="CO1579" s="717"/>
      <c r="CP1579" s="717"/>
      <c r="CQ1579" s="717"/>
      <c r="CR1579" s="717"/>
      <c r="CS1579" s="717"/>
      <c r="CT1579" s="717"/>
      <c r="CU1579" s="717"/>
      <c r="CV1579" s="717"/>
      <c r="CW1579" s="717"/>
      <c r="CX1579" s="717"/>
      <c r="CY1579" s="717"/>
      <c r="CZ1579" s="717"/>
      <c r="DA1579" s="717"/>
      <c r="DB1579" s="717"/>
      <c r="DC1579" s="717"/>
      <c r="DD1579" s="717"/>
      <c r="DE1579" s="717"/>
      <c r="DF1579" s="717"/>
      <c r="DG1579" s="717"/>
      <c r="DH1579" s="717"/>
      <c r="DI1579" s="717"/>
      <c r="DJ1579" s="717"/>
      <c r="DM1579" s="711"/>
      <c r="DN1579" s="711"/>
      <c r="DO1579" s="711"/>
      <c r="DP1579" s="711"/>
      <c r="DQ1579" s="711"/>
    </row>
    <row r="1580" spans="13:121" s="709" customFormat="1" hidden="1">
      <c r="M1580" s="710"/>
      <c r="P1580" s="711"/>
      <c r="Q1580" s="712"/>
      <c r="U1580" s="711"/>
      <c r="V1580" s="711"/>
      <c r="W1580" s="711"/>
      <c r="X1580" s="711"/>
      <c r="Y1580" s="711"/>
      <c r="Z1580" s="711"/>
      <c r="AU1580" s="713"/>
      <c r="AW1580" s="712"/>
      <c r="BY1580" s="714"/>
      <c r="BZ1580" s="715"/>
      <c r="CA1580" s="716"/>
      <c r="CB1580" s="717"/>
      <c r="CC1580" s="717"/>
      <c r="CD1580" s="717"/>
      <c r="CE1580" s="717"/>
      <c r="CF1580" s="717"/>
      <c r="CG1580" s="717"/>
      <c r="CH1580" s="717"/>
      <c r="CI1580" s="717"/>
      <c r="CJ1580" s="717"/>
      <c r="CK1580" s="717"/>
      <c r="CL1580" s="717"/>
      <c r="CM1580" s="717"/>
      <c r="CN1580" s="717"/>
      <c r="CO1580" s="717"/>
      <c r="CP1580" s="717"/>
      <c r="CQ1580" s="717"/>
      <c r="CR1580" s="717"/>
      <c r="CS1580" s="717"/>
      <c r="CT1580" s="717"/>
      <c r="CU1580" s="717"/>
      <c r="CV1580" s="717"/>
      <c r="CW1580" s="717"/>
      <c r="CX1580" s="717"/>
      <c r="CY1580" s="717"/>
      <c r="CZ1580" s="717"/>
      <c r="DA1580" s="717"/>
      <c r="DB1580" s="717"/>
      <c r="DC1580" s="717"/>
      <c r="DD1580" s="717"/>
      <c r="DE1580" s="717"/>
      <c r="DF1580" s="717"/>
      <c r="DG1580" s="717"/>
      <c r="DH1580" s="717"/>
      <c r="DI1580" s="717"/>
      <c r="DJ1580" s="717"/>
      <c r="DM1580" s="711"/>
      <c r="DN1580" s="711"/>
      <c r="DO1580" s="711"/>
      <c r="DP1580" s="711"/>
      <c r="DQ1580" s="711"/>
    </row>
    <row r="1581" spans="13:121" s="709" customFormat="1" hidden="1">
      <c r="M1581" s="710"/>
      <c r="P1581" s="711"/>
      <c r="Q1581" s="712"/>
      <c r="U1581" s="711"/>
      <c r="V1581" s="711"/>
      <c r="W1581" s="711"/>
      <c r="X1581" s="711"/>
      <c r="Y1581" s="711"/>
      <c r="Z1581" s="711"/>
      <c r="AU1581" s="713"/>
      <c r="AW1581" s="712"/>
      <c r="BY1581" s="714"/>
      <c r="BZ1581" s="715"/>
      <c r="CA1581" s="716"/>
      <c r="CB1581" s="717"/>
      <c r="CC1581" s="717"/>
      <c r="CD1581" s="717"/>
      <c r="CE1581" s="717"/>
      <c r="CF1581" s="717"/>
      <c r="CG1581" s="717"/>
      <c r="CH1581" s="717"/>
      <c r="CI1581" s="717"/>
      <c r="CJ1581" s="717"/>
      <c r="CK1581" s="717"/>
      <c r="CL1581" s="717"/>
      <c r="CM1581" s="717"/>
      <c r="CN1581" s="717"/>
      <c r="CO1581" s="717"/>
      <c r="CP1581" s="717"/>
      <c r="CQ1581" s="717"/>
      <c r="CR1581" s="717"/>
      <c r="CS1581" s="717"/>
      <c r="CT1581" s="717"/>
      <c r="CU1581" s="717"/>
      <c r="CV1581" s="717"/>
      <c r="CW1581" s="717"/>
      <c r="CX1581" s="717"/>
      <c r="CY1581" s="717"/>
      <c r="CZ1581" s="717"/>
      <c r="DA1581" s="717"/>
      <c r="DB1581" s="717"/>
      <c r="DC1581" s="717"/>
      <c r="DD1581" s="717"/>
      <c r="DE1581" s="717"/>
      <c r="DF1581" s="717"/>
      <c r="DG1581" s="717"/>
      <c r="DH1581" s="717"/>
      <c r="DI1581" s="717"/>
      <c r="DJ1581" s="717"/>
      <c r="DM1581" s="711"/>
      <c r="DN1581" s="711"/>
      <c r="DO1581" s="711"/>
      <c r="DP1581" s="711"/>
      <c r="DQ1581" s="711"/>
    </row>
    <row r="1582" spans="13:121" s="709" customFormat="1" hidden="1">
      <c r="M1582" s="710"/>
      <c r="P1582" s="711"/>
      <c r="Q1582" s="712"/>
      <c r="U1582" s="711"/>
      <c r="V1582" s="711"/>
      <c r="W1582" s="711"/>
      <c r="X1582" s="711"/>
      <c r="Y1582" s="711"/>
      <c r="Z1582" s="711"/>
      <c r="AU1582" s="713"/>
      <c r="AW1582" s="712"/>
      <c r="BY1582" s="714"/>
      <c r="BZ1582" s="715"/>
      <c r="CA1582" s="716"/>
      <c r="CB1582" s="717"/>
      <c r="CC1582" s="717"/>
      <c r="CD1582" s="717"/>
      <c r="CE1582" s="717"/>
      <c r="CF1582" s="717"/>
      <c r="CG1582" s="717"/>
      <c r="CH1582" s="717"/>
      <c r="CI1582" s="717"/>
      <c r="CJ1582" s="717"/>
      <c r="CK1582" s="717"/>
      <c r="CL1582" s="717"/>
      <c r="CM1582" s="717"/>
      <c r="CN1582" s="717"/>
      <c r="CO1582" s="717"/>
      <c r="CP1582" s="717"/>
      <c r="CQ1582" s="717"/>
      <c r="CR1582" s="717"/>
      <c r="CS1582" s="717"/>
      <c r="CT1582" s="717"/>
      <c r="CU1582" s="717"/>
      <c r="CV1582" s="717"/>
      <c r="CW1582" s="717"/>
      <c r="CX1582" s="717"/>
      <c r="CY1582" s="717"/>
      <c r="CZ1582" s="717"/>
      <c r="DA1582" s="717"/>
      <c r="DB1582" s="717"/>
      <c r="DC1582" s="717"/>
      <c r="DD1582" s="717"/>
      <c r="DE1582" s="717"/>
      <c r="DF1582" s="717"/>
      <c r="DG1582" s="717"/>
      <c r="DH1582" s="717"/>
      <c r="DI1582" s="717"/>
      <c r="DJ1582" s="717"/>
      <c r="DM1582" s="711"/>
      <c r="DN1582" s="711"/>
      <c r="DO1582" s="711"/>
      <c r="DP1582" s="711"/>
      <c r="DQ1582" s="711"/>
    </row>
    <row r="1583" spans="13:121" s="709" customFormat="1" hidden="1">
      <c r="M1583" s="710"/>
      <c r="P1583" s="711"/>
      <c r="Q1583" s="712"/>
      <c r="U1583" s="711"/>
      <c r="V1583" s="711"/>
      <c r="W1583" s="711"/>
      <c r="X1583" s="711"/>
      <c r="Y1583" s="711"/>
      <c r="Z1583" s="711"/>
      <c r="AU1583" s="713"/>
      <c r="AW1583" s="712"/>
      <c r="BY1583" s="714"/>
      <c r="BZ1583" s="715"/>
      <c r="CA1583" s="716"/>
      <c r="CB1583" s="717"/>
      <c r="CC1583" s="717"/>
      <c r="CD1583" s="717"/>
      <c r="CE1583" s="717"/>
      <c r="CF1583" s="717"/>
      <c r="CG1583" s="717"/>
      <c r="CH1583" s="717"/>
      <c r="CI1583" s="717"/>
      <c r="CJ1583" s="717"/>
      <c r="CK1583" s="717"/>
      <c r="CL1583" s="717"/>
      <c r="CM1583" s="717"/>
      <c r="CN1583" s="717"/>
      <c r="CO1583" s="717"/>
      <c r="CP1583" s="717"/>
      <c r="CQ1583" s="717"/>
      <c r="CR1583" s="717"/>
      <c r="CS1583" s="717"/>
      <c r="CT1583" s="717"/>
      <c r="CU1583" s="717"/>
      <c r="CV1583" s="717"/>
      <c r="CW1583" s="717"/>
      <c r="CX1583" s="717"/>
      <c r="CY1583" s="717"/>
      <c r="CZ1583" s="717"/>
      <c r="DA1583" s="717"/>
      <c r="DB1583" s="717"/>
      <c r="DC1583" s="717"/>
      <c r="DD1583" s="717"/>
      <c r="DE1583" s="717"/>
      <c r="DF1583" s="717"/>
      <c r="DG1583" s="717"/>
      <c r="DH1583" s="717"/>
      <c r="DI1583" s="717"/>
      <c r="DJ1583" s="717"/>
      <c r="DM1583" s="711"/>
      <c r="DN1583" s="711"/>
      <c r="DO1583" s="711"/>
      <c r="DP1583" s="711"/>
      <c r="DQ1583" s="711"/>
    </row>
    <row r="1584" spans="13:121" s="709" customFormat="1" hidden="1">
      <c r="M1584" s="710"/>
      <c r="P1584" s="711"/>
      <c r="Q1584" s="712"/>
      <c r="U1584" s="711"/>
      <c r="V1584" s="711"/>
      <c r="W1584" s="711"/>
      <c r="X1584" s="711"/>
      <c r="Y1584" s="711"/>
      <c r="Z1584" s="711"/>
      <c r="AU1584" s="713"/>
      <c r="AW1584" s="712"/>
      <c r="BY1584" s="714"/>
      <c r="BZ1584" s="715"/>
      <c r="CA1584" s="716"/>
      <c r="CB1584" s="717"/>
      <c r="CC1584" s="717"/>
      <c r="CD1584" s="717"/>
      <c r="CE1584" s="717"/>
      <c r="CF1584" s="717"/>
      <c r="CG1584" s="717"/>
      <c r="CH1584" s="717"/>
      <c r="CI1584" s="717"/>
      <c r="CJ1584" s="717"/>
      <c r="CK1584" s="717"/>
      <c r="CL1584" s="717"/>
      <c r="CM1584" s="717"/>
      <c r="CN1584" s="717"/>
      <c r="CO1584" s="717"/>
      <c r="CP1584" s="717"/>
      <c r="CQ1584" s="717"/>
      <c r="CR1584" s="717"/>
      <c r="CS1584" s="717"/>
      <c r="CT1584" s="717"/>
      <c r="CU1584" s="717"/>
      <c r="CV1584" s="717"/>
      <c r="CW1584" s="717"/>
      <c r="CX1584" s="717"/>
      <c r="CY1584" s="717"/>
      <c r="CZ1584" s="717"/>
      <c r="DA1584" s="717"/>
      <c r="DB1584" s="717"/>
      <c r="DC1584" s="717"/>
      <c r="DD1584" s="717"/>
      <c r="DE1584" s="717"/>
      <c r="DF1584" s="717"/>
      <c r="DG1584" s="717"/>
      <c r="DH1584" s="717"/>
      <c r="DI1584" s="717"/>
      <c r="DJ1584" s="717"/>
      <c r="DM1584" s="711"/>
      <c r="DN1584" s="711"/>
      <c r="DO1584" s="711"/>
      <c r="DP1584" s="711"/>
      <c r="DQ1584" s="711"/>
    </row>
    <row r="1585" spans="13:121" s="709" customFormat="1" hidden="1">
      <c r="M1585" s="710"/>
      <c r="P1585" s="711"/>
      <c r="Q1585" s="712"/>
      <c r="U1585" s="711"/>
      <c r="V1585" s="711"/>
      <c r="W1585" s="711"/>
      <c r="X1585" s="711"/>
      <c r="Y1585" s="711"/>
      <c r="Z1585" s="711"/>
      <c r="AU1585" s="713"/>
      <c r="AW1585" s="712"/>
      <c r="BY1585" s="714"/>
      <c r="BZ1585" s="715"/>
      <c r="CA1585" s="716"/>
      <c r="CB1585" s="717"/>
      <c r="CC1585" s="717"/>
      <c r="CD1585" s="717"/>
      <c r="CE1585" s="717"/>
      <c r="CF1585" s="717"/>
      <c r="CG1585" s="717"/>
      <c r="CH1585" s="717"/>
      <c r="CI1585" s="717"/>
      <c r="CJ1585" s="717"/>
      <c r="CK1585" s="717"/>
      <c r="CL1585" s="717"/>
      <c r="CM1585" s="717"/>
      <c r="CN1585" s="717"/>
      <c r="CO1585" s="717"/>
      <c r="CP1585" s="717"/>
      <c r="CQ1585" s="717"/>
      <c r="CR1585" s="717"/>
      <c r="CS1585" s="717"/>
      <c r="CT1585" s="717"/>
      <c r="CU1585" s="717"/>
      <c r="CV1585" s="717"/>
      <c r="CW1585" s="717"/>
      <c r="CX1585" s="717"/>
      <c r="CY1585" s="717"/>
      <c r="CZ1585" s="717"/>
      <c r="DA1585" s="717"/>
      <c r="DB1585" s="717"/>
      <c r="DC1585" s="717"/>
      <c r="DD1585" s="717"/>
      <c r="DE1585" s="717"/>
      <c r="DF1585" s="717"/>
      <c r="DG1585" s="717"/>
      <c r="DH1585" s="717"/>
      <c r="DI1585" s="717"/>
      <c r="DJ1585" s="717"/>
      <c r="DM1585" s="711"/>
      <c r="DN1585" s="711"/>
      <c r="DO1585" s="711"/>
      <c r="DP1585" s="711"/>
      <c r="DQ1585" s="711"/>
    </row>
    <row r="1586" spans="13:121" s="709" customFormat="1" hidden="1">
      <c r="M1586" s="710"/>
      <c r="P1586" s="711"/>
      <c r="Q1586" s="712"/>
      <c r="U1586" s="711"/>
      <c r="V1586" s="711"/>
      <c r="W1586" s="711"/>
      <c r="X1586" s="711"/>
      <c r="Y1586" s="711"/>
      <c r="Z1586" s="711"/>
      <c r="AU1586" s="713"/>
      <c r="AW1586" s="712"/>
      <c r="BY1586" s="714"/>
      <c r="BZ1586" s="715"/>
      <c r="CA1586" s="716"/>
      <c r="CB1586" s="717"/>
      <c r="CC1586" s="717"/>
      <c r="CD1586" s="717"/>
      <c r="CE1586" s="717"/>
      <c r="CF1586" s="717"/>
      <c r="CG1586" s="717"/>
      <c r="CH1586" s="717"/>
      <c r="CI1586" s="717"/>
      <c r="CJ1586" s="717"/>
      <c r="CK1586" s="717"/>
      <c r="CL1586" s="717"/>
      <c r="CM1586" s="717"/>
      <c r="CN1586" s="717"/>
      <c r="CO1586" s="717"/>
      <c r="CP1586" s="717"/>
      <c r="CQ1586" s="717"/>
      <c r="CR1586" s="717"/>
      <c r="CS1586" s="717"/>
      <c r="CT1586" s="717"/>
      <c r="CU1586" s="717"/>
      <c r="CV1586" s="717"/>
      <c r="CW1586" s="717"/>
      <c r="CX1586" s="717"/>
      <c r="CY1586" s="717"/>
      <c r="CZ1586" s="717"/>
      <c r="DA1586" s="717"/>
      <c r="DB1586" s="717"/>
      <c r="DC1586" s="717"/>
      <c r="DD1586" s="717"/>
      <c r="DE1586" s="717"/>
      <c r="DF1586" s="717"/>
      <c r="DG1586" s="717"/>
      <c r="DH1586" s="717"/>
      <c r="DI1586" s="717"/>
      <c r="DJ1586" s="717"/>
      <c r="DM1586" s="711"/>
      <c r="DN1586" s="711"/>
      <c r="DO1586" s="711"/>
      <c r="DP1586" s="711"/>
      <c r="DQ1586" s="711"/>
    </row>
    <row r="1587" spans="13:121" s="709" customFormat="1" hidden="1">
      <c r="M1587" s="710"/>
      <c r="P1587" s="711"/>
      <c r="Q1587" s="712"/>
      <c r="U1587" s="711"/>
      <c r="V1587" s="711"/>
      <c r="W1587" s="711"/>
      <c r="X1587" s="711"/>
      <c r="Y1587" s="711"/>
      <c r="Z1587" s="711"/>
      <c r="AU1587" s="713"/>
      <c r="AW1587" s="712"/>
      <c r="BY1587" s="714"/>
      <c r="BZ1587" s="715"/>
      <c r="CA1587" s="716"/>
      <c r="CB1587" s="717"/>
      <c r="CC1587" s="717"/>
      <c r="CD1587" s="717"/>
      <c r="CE1587" s="717"/>
      <c r="CF1587" s="717"/>
      <c r="CG1587" s="717"/>
      <c r="CH1587" s="717"/>
      <c r="CI1587" s="717"/>
      <c r="CJ1587" s="717"/>
      <c r="CK1587" s="717"/>
      <c r="CL1587" s="717"/>
      <c r="CM1587" s="717"/>
      <c r="CN1587" s="717"/>
      <c r="CO1587" s="717"/>
      <c r="CP1587" s="717"/>
      <c r="CQ1587" s="717"/>
      <c r="CR1587" s="717"/>
      <c r="CS1587" s="717"/>
      <c r="CT1587" s="717"/>
      <c r="CU1587" s="717"/>
      <c r="CV1587" s="717"/>
      <c r="CW1587" s="717"/>
      <c r="CX1587" s="717"/>
      <c r="CY1587" s="717"/>
      <c r="CZ1587" s="717"/>
      <c r="DA1587" s="717"/>
      <c r="DB1587" s="717"/>
      <c r="DC1587" s="717"/>
      <c r="DD1587" s="717"/>
      <c r="DE1587" s="717"/>
      <c r="DF1587" s="717"/>
      <c r="DG1587" s="717"/>
      <c r="DH1587" s="717"/>
      <c r="DI1587" s="717"/>
      <c r="DJ1587" s="717"/>
      <c r="DM1587" s="711"/>
      <c r="DN1587" s="711"/>
      <c r="DO1587" s="711"/>
      <c r="DP1587" s="711"/>
      <c r="DQ1587" s="711"/>
    </row>
    <row r="1588" spans="13:121" s="709" customFormat="1" hidden="1">
      <c r="M1588" s="710"/>
      <c r="P1588" s="711"/>
      <c r="Q1588" s="712"/>
      <c r="U1588" s="711"/>
      <c r="V1588" s="711"/>
      <c r="W1588" s="711"/>
      <c r="X1588" s="711"/>
      <c r="Y1588" s="711"/>
      <c r="Z1588" s="711"/>
      <c r="AU1588" s="713"/>
      <c r="AW1588" s="712"/>
      <c r="BY1588" s="714"/>
      <c r="BZ1588" s="715"/>
      <c r="CA1588" s="716"/>
      <c r="CB1588" s="717"/>
      <c r="CC1588" s="717"/>
      <c r="CD1588" s="717"/>
      <c r="CE1588" s="717"/>
      <c r="CF1588" s="717"/>
      <c r="CG1588" s="717"/>
      <c r="CH1588" s="717"/>
      <c r="CI1588" s="717"/>
      <c r="CJ1588" s="717"/>
      <c r="CK1588" s="717"/>
      <c r="CL1588" s="717"/>
      <c r="CM1588" s="717"/>
      <c r="CN1588" s="717"/>
      <c r="CO1588" s="717"/>
      <c r="CP1588" s="717"/>
      <c r="CQ1588" s="717"/>
      <c r="CR1588" s="717"/>
      <c r="CS1588" s="717"/>
      <c r="CT1588" s="717"/>
      <c r="CU1588" s="717"/>
      <c r="CV1588" s="717"/>
      <c r="CW1588" s="717"/>
      <c r="CX1588" s="717"/>
      <c r="CY1588" s="717"/>
      <c r="CZ1588" s="717"/>
      <c r="DA1588" s="717"/>
      <c r="DB1588" s="717"/>
      <c r="DC1588" s="717"/>
      <c r="DD1588" s="717"/>
      <c r="DE1588" s="717"/>
      <c r="DF1588" s="717"/>
      <c r="DG1588" s="717"/>
      <c r="DH1588" s="717"/>
      <c r="DI1588" s="717"/>
      <c r="DJ1588" s="717"/>
      <c r="DM1588" s="711"/>
      <c r="DN1588" s="711"/>
      <c r="DO1588" s="711"/>
      <c r="DP1588" s="711"/>
      <c r="DQ1588" s="711"/>
    </row>
    <row r="1589" spans="13:121" s="709" customFormat="1" hidden="1">
      <c r="M1589" s="710"/>
      <c r="P1589" s="711"/>
      <c r="Q1589" s="712"/>
      <c r="U1589" s="711"/>
      <c r="V1589" s="711"/>
      <c r="W1589" s="711"/>
      <c r="X1589" s="711"/>
      <c r="Y1589" s="711"/>
      <c r="Z1589" s="711"/>
      <c r="AU1589" s="713"/>
      <c r="AW1589" s="712"/>
      <c r="BY1589" s="714"/>
      <c r="BZ1589" s="715"/>
      <c r="CA1589" s="716"/>
      <c r="CB1589" s="717"/>
      <c r="CC1589" s="717"/>
      <c r="CD1589" s="717"/>
      <c r="CE1589" s="717"/>
      <c r="CF1589" s="717"/>
      <c r="CG1589" s="717"/>
      <c r="CH1589" s="717"/>
      <c r="CI1589" s="717"/>
      <c r="CJ1589" s="717"/>
      <c r="CK1589" s="717"/>
      <c r="CL1589" s="717"/>
      <c r="CM1589" s="717"/>
      <c r="CN1589" s="717"/>
      <c r="CO1589" s="717"/>
      <c r="CP1589" s="717"/>
      <c r="CQ1589" s="717"/>
      <c r="CR1589" s="717"/>
      <c r="CS1589" s="717"/>
      <c r="CT1589" s="717"/>
      <c r="CU1589" s="717"/>
      <c r="CV1589" s="717"/>
      <c r="CW1589" s="717"/>
      <c r="CX1589" s="717"/>
      <c r="CY1589" s="717"/>
      <c r="CZ1589" s="717"/>
      <c r="DA1589" s="717"/>
      <c r="DB1589" s="717"/>
      <c r="DC1589" s="717"/>
      <c r="DD1589" s="717"/>
      <c r="DE1589" s="717"/>
      <c r="DF1589" s="717"/>
      <c r="DG1589" s="717"/>
      <c r="DH1589" s="717"/>
      <c r="DI1589" s="717"/>
      <c r="DJ1589" s="717"/>
      <c r="DM1589" s="711"/>
      <c r="DN1589" s="711"/>
      <c r="DO1589" s="711"/>
      <c r="DP1589" s="711"/>
      <c r="DQ1589" s="711"/>
    </row>
    <row r="1590" spans="13:121" s="709" customFormat="1" hidden="1">
      <c r="M1590" s="710"/>
      <c r="P1590" s="711"/>
      <c r="Q1590" s="712"/>
      <c r="U1590" s="711"/>
      <c r="V1590" s="711"/>
      <c r="W1590" s="711"/>
      <c r="X1590" s="711"/>
      <c r="Y1590" s="711"/>
      <c r="Z1590" s="711"/>
      <c r="AU1590" s="713"/>
      <c r="AW1590" s="712"/>
      <c r="BY1590" s="714"/>
      <c r="BZ1590" s="715"/>
      <c r="CA1590" s="716"/>
      <c r="CB1590" s="717"/>
      <c r="CC1590" s="717"/>
      <c r="CD1590" s="717"/>
      <c r="CE1590" s="717"/>
      <c r="CF1590" s="717"/>
      <c r="CG1590" s="717"/>
      <c r="CH1590" s="717"/>
      <c r="CI1590" s="717"/>
      <c r="CJ1590" s="717"/>
      <c r="CK1590" s="717"/>
      <c r="CL1590" s="717"/>
      <c r="CM1590" s="717"/>
      <c r="CN1590" s="717"/>
      <c r="CO1590" s="717"/>
      <c r="CP1590" s="717"/>
      <c r="CQ1590" s="717"/>
      <c r="CR1590" s="717"/>
      <c r="CS1590" s="717"/>
      <c r="CT1590" s="717"/>
      <c r="CU1590" s="717"/>
      <c r="CV1590" s="717"/>
      <c r="CW1590" s="717"/>
      <c r="CX1590" s="717"/>
      <c r="CY1590" s="717"/>
      <c r="CZ1590" s="717"/>
      <c r="DA1590" s="717"/>
      <c r="DB1590" s="717"/>
      <c r="DC1590" s="717"/>
      <c r="DD1590" s="717"/>
      <c r="DE1590" s="717"/>
      <c r="DF1590" s="717"/>
      <c r="DG1590" s="717"/>
      <c r="DH1590" s="717"/>
      <c r="DI1590" s="717"/>
      <c r="DJ1590" s="717"/>
      <c r="DM1590" s="711"/>
      <c r="DN1590" s="711"/>
      <c r="DO1590" s="711"/>
      <c r="DP1590" s="711"/>
      <c r="DQ1590" s="711"/>
    </row>
    <row r="1591" spans="13:121" s="709" customFormat="1" hidden="1">
      <c r="M1591" s="710"/>
      <c r="P1591" s="711"/>
      <c r="Q1591" s="712"/>
      <c r="U1591" s="711"/>
      <c r="V1591" s="711"/>
      <c r="W1591" s="711"/>
      <c r="X1591" s="711"/>
      <c r="Y1591" s="711"/>
      <c r="Z1591" s="711"/>
      <c r="AU1591" s="713"/>
      <c r="AW1591" s="712"/>
      <c r="BY1591" s="714"/>
      <c r="BZ1591" s="715"/>
      <c r="CA1591" s="716"/>
      <c r="CB1591" s="717"/>
      <c r="CC1591" s="717"/>
      <c r="CD1591" s="717"/>
      <c r="CE1591" s="717"/>
      <c r="CF1591" s="717"/>
      <c r="CG1591" s="717"/>
      <c r="CH1591" s="717"/>
      <c r="CI1591" s="717"/>
      <c r="CJ1591" s="717"/>
      <c r="CK1591" s="717"/>
      <c r="CL1591" s="717"/>
      <c r="CM1591" s="717"/>
      <c r="CN1591" s="717"/>
      <c r="CO1591" s="717"/>
      <c r="CP1591" s="717"/>
      <c r="CQ1591" s="717"/>
      <c r="CR1591" s="717"/>
      <c r="CS1591" s="717"/>
      <c r="CT1591" s="717"/>
      <c r="CU1591" s="717"/>
      <c r="CV1591" s="717"/>
      <c r="CW1591" s="717"/>
      <c r="CX1591" s="717"/>
      <c r="CY1591" s="717"/>
      <c r="CZ1591" s="717"/>
      <c r="DA1591" s="717"/>
      <c r="DB1591" s="717"/>
      <c r="DC1591" s="717"/>
      <c r="DD1591" s="717"/>
      <c r="DE1591" s="717"/>
      <c r="DF1591" s="717"/>
      <c r="DG1591" s="717"/>
      <c r="DH1591" s="717"/>
      <c r="DI1591" s="717"/>
      <c r="DJ1591" s="717"/>
      <c r="DM1591" s="711"/>
      <c r="DN1591" s="711"/>
      <c r="DO1591" s="711"/>
      <c r="DP1591" s="711"/>
      <c r="DQ1591" s="711"/>
    </row>
    <row r="1592" spans="13:121" s="709" customFormat="1" hidden="1">
      <c r="M1592" s="710"/>
      <c r="P1592" s="711"/>
      <c r="Q1592" s="712"/>
      <c r="U1592" s="711"/>
      <c r="V1592" s="711"/>
      <c r="W1592" s="711"/>
      <c r="X1592" s="711"/>
      <c r="Y1592" s="711"/>
      <c r="Z1592" s="711"/>
      <c r="AU1592" s="713"/>
      <c r="AW1592" s="712"/>
      <c r="BY1592" s="714"/>
      <c r="BZ1592" s="715"/>
      <c r="CA1592" s="716"/>
      <c r="CB1592" s="717"/>
      <c r="CC1592" s="717"/>
      <c r="CD1592" s="717"/>
      <c r="CE1592" s="717"/>
      <c r="CF1592" s="717"/>
      <c r="CG1592" s="717"/>
      <c r="CH1592" s="717"/>
      <c r="CI1592" s="717"/>
      <c r="CJ1592" s="717"/>
      <c r="CK1592" s="717"/>
      <c r="CL1592" s="717"/>
      <c r="CM1592" s="717"/>
      <c r="CN1592" s="717"/>
      <c r="CO1592" s="717"/>
      <c r="CP1592" s="717"/>
      <c r="CQ1592" s="717"/>
      <c r="CR1592" s="717"/>
      <c r="CS1592" s="717"/>
      <c r="CT1592" s="717"/>
      <c r="CU1592" s="717"/>
      <c r="CV1592" s="717"/>
      <c r="CW1592" s="717"/>
      <c r="CX1592" s="717"/>
      <c r="CY1592" s="717"/>
      <c r="CZ1592" s="717"/>
      <c r="DA1592" s="717"/>
      <c r="DB1592" s="717"/>
      <c r="DC1592" s="717"/>
      <c r="DD1592" s="717"/>
      <c r="DE1592" s="717"/>
      <c r="DF1592" s="717"/>
      <c r="DG1592" s="717"/>
      <c r="DH1592" s="717"/>
      <c r="DI1592" s="717"/>
      <c r="DJ1592" s="717"/>
      <c r="DM1592" s="711"/>
      <c r="DN1592" s="711"/>
      <c r="DO1592" s="711"/>
      <c r="DP1592" s="711"/>
      <c r="DQ1592" s="711"/>
    </row>
    <row r="1593" spans="13:121" s="709" customFormat="1" hidden="1">
      <c r="M1593" s="710"/>
      <c r="P1593" s="711"/>
      <c r="Q1593" s="712"/>
      <c r="U1593" s="711"/>
      <c r="V1593" s="711"/>
      <c r="W1593" s="711"/>
      <c r="X1593" s="711"/>
      <c r="Y1593" s="711"/>
      <c r="Z1593" s="711"/>
      <c r="AU1593" s="713"/>
      <c r="AW1593" s="712"/>
      <c r="BY1593" s="714"/>
      <c r="BZ1593" s="715"/>
      <c r="CA1593" s="716"/>
      <c r="CB1593" s="717"/>
      <c r="CC1593" s="717"/>
      <c r="CD1593" s="717"/>
      <c r="CE1593" s="717"/>
      <c r="CF1593" s="717"/>
      <c r="CG1593" s="717"/>
      <c r="CH1593" s="717"/>
      <c r="CI1593" s="717"/>
      <c r="CJ1593" s="717"/>
      <c r="CK1593" s="717"/>
      <c r="CL1593" s="717"/>
      <c r="CM1593" s="717"/>
      <c r="CN1593" s="717"/>
      <c r="CO1593" s="717"/>
      <c r="CP1593" s="717"/>
      <c r="CQ1593" s="717"/>
      <c r="CR1593" s="717"/>
      <c r="CS1593" s="717"/>
      <c r="CT1593" s="717"/>
      <c r="CU1593" s="717"/>
      <c r="CV1593" s="717"/>
      <c r="CW1593" s="717"/>
      <c r="CX1593" s="717"/>
      <c r="CY1593" s="717"/>
      <c r="CZ1593" s="717"/>
      <c r="DA1593" s="717"/>
      <c r="DB1593" s="717"/>
      <c r="DC1593" s="717"/>
      <c r="DD1593" s="717"/>
      <c r="DE1593" s="717"/>
      <c r="DF1593" s="717"/>
      <c r="DG1593" s="717"/>
      <c r="DH1593" s="717"/>
      <c r="DI1593" s="717"/>
      <c r="DJ1593" s="717"/>
      <c r="DM1593" s="711"/>
      <c r="DN1593" s="711"/>
      <c r="DO1593" s="711"/>
      <c r="DP1593" s="711"/>
      <c r="DQ1593" s="711"/>
    </row>
    <row r="1594" spans="13:121" s="709" customFormat="1" hidden="1">
      <c r="M1594" s="710"/>
      <c r="P1594" s="711"/>
      <c r="Q1594" s="712"/>
      <c r="U1594" s="711"/>
      <c r="V1594" s="711"/>
      <c r="W1594" s="711"/>
      <c r="X1594" s="711"/>
      <c r="Y1594" s="711"/>
      <c r="Z1594" s="711"/>
      <c r="AU1594" s="713"/>
      <c r="AW1594" s="712"/>
      <c r="BY1594" s="714"/>
      <c r="BZ1594" s="715"/>
      <c r="CA1594" s="716"/>
      <c r="CB1594" s="717"/>
      <c r="CC1594" s="717"/>
      <c r="CD1594" s="717"/>
      <c r="CE1594" s="717"/>
      <c r="CF1594" s="717"/>
      <c r="CG1594" s="717"/>
      <c r="CH1594" s="717"/>
      <c r="CI1594" s="717"/>
      <c r="CJ1594" s="717"/>
      <c r="CK1594" s="717"/>
      <c r="CL1594" s="717"/>
      <c r="CM1594" s="717"/>
      <c r="CN1594" s="717"/>
      <c r="CO1594" s="717"/>
      <c r="CP1594" s="717"/>
      <c r="CQ1594" s="717"/>
      <c r="CR1594" s="717"/>
      <c r="CS1594" s="717"/>
      <c r="CT1594" s="717"/>
      <c r="CU1594" s="717"/>
      <c r="CV1594" s="717"/>
      <c r="CW1594" s="717"/>
      <c r="CX1594" s="717"/>
      <c r="CY1594" s="717"/>
      <c r="CZ1594" s="717"/>
      <c r="DA1594" s="717"/>
      <c r="DB1594" s="717"/>
      <c r="DC1594" s="717"/>
      <c r="DD1594" s="717"/>
      <c r="DE1594" s="717"/>
      <c r="DF1594" s="717"/>
      <c r="DG1594" s="717"/>
      <c r="DH1594" s="717"/>
      <c r="DI1594" s="717"/>
      <c r="DJ1594" s="717"/>
      <c r="DM1594" s="711"/>
      <c r="DN1594" s="711"/>
      <c r="DO1594" s="711"/>
      <c r="DP1594" s="711"/>
      <c r="DQ1594" s="711"/>
    </row>
    <row r="1595" spans="13:121" s="709" customFormat="1" hidden="1">
      <c r="M1595" s="710"/>
      <c r="P1595" s="711"/>
      <c r="Q1595" s="712"/>
      <c r="U1595" s="711"/>
      <c r="V1595" s="711"/>
      <c r="W1595" s="711"/>
      <c r="X1595" s="711"/>
      <c r="Y1595" s="711"/>
      <c r="Z1595" s="711"/>
      <c r="AU1595" s="713"/>
      <c r="AW1595" s="712"/>
      <c r="BY1595" s="714"/>
      <c r="BZ1595" s="715"/>
      <c r="CA1595" s="716"/>
      <c r="CB1595" s="717"/>
      <c r="CC1595" s="717"/>
      <c r="CD1595" s="717"/>
      <c r="CE1595" s="717"/>
      <c r="CF1595" s="717"/>
      <c r="CG1595" s="717"/>
      <c r="CH1595" s="717"/>
      <c r="CI1595" s="717"/>
      <c r="CJ1595" s="717"/>
      <c r="CK1595" s="717"/>
      <c r="CL1595" s="717"/>
      <c r="CM1595" s="717"/>
      <c r="CN1595" s="717"/>
      <c r="CO1595" s="717"/>
      <c r="CP1595" s="717"/>
      <c r="CQ1595" s="717"/>
      <c r="CR1595" s="717"/>
      <c r="CS1595" s="717"/>
      <c r="CT1595" s="717"/>
      <c r="CU1595" s="717"/>
      <c r="CV1595" s="717"/>
      <c r="CW1595" s="717"/>
      <c r="CX1595" s="717"/>
      <c r="CY1595" s="717"/>
      <c r="CZ1595" s="717"/>
      <c r="DA1595" s="717"/>
      <c r="DB1595" s="717"/>
      <c r="DC1595" s="717"/>
      <c r="DD1595" s="717"/>
      <c r="DE1595" s="717"/>
      <c r="DF1595" s="717"/>
      <c r="DG1595" s="717"/>
      <c r="DH1595" s="717"/>
      <c r="DI1595" s="717"/>
      <c r="DJ1595" s="717"/>
      <c r="DM1595" s="711"/>
      <c r="DN1595" s="711"/>
      <c r="DO1595" s="711"/>
      <c r="DP1595" s="711"/>
      <c r="DQ1595" s="711"/>
    </row>
    <row r="1596" spans="13:121" s="709" customFormat="1" hidden="1">
      <c r="M1596" s="710"/>
      <c r="P1596" s="711"/>
      <c r="Q1596" s="712"/>
      <c r="U1596" s="711"/>
      <c r="V1596" s="711"/>
      <c r="W1596" s="711"/>
      <c r="X1596" s="711"/>
      <c r="Y1596" s="711"/>
      <c r="Z1596" s="711"/>
      <c r="AU1596" s="713"/>
      <c r="AW1596" s="712"/>
      <c r="BY1596" s="714"/>
      <c r="BZ1596" s="715"/>
      <c r="CA1596" s="716"/>
      <c r="CB1596" s="717"/>
      <c r="CC1596" s="717"/>
      <c r="CD1596" s="717"/>
      <c r="CE1596" s="717"/>
      <c r="CF1596" s="717"/>
      <c r="CG1596" s="717"/>
      <c r="CH1596" s="717"/>
      <c r="CI1596" s="717"/>
      <c r="CJ1596" s="717"/>
      <c r="CK1596" s="717"/>
      <c r="CL1596" s="717"/>
      <c r="CM1596" s="717"/>
      <c r="CN1596" s="717"/>
      <c r="CO1596" s="717"/>
      <c r="CP1596" s="717"/>
      <c r="CQ1596" s="717"/>
      <c r="CR1596" s="717"/>
      <c r="CS1596" s="717"/>
      <c r="CT1596" s="717"/>
      <c r="CU1596" s="717"/>
      <c r="CV1596" s="717"/>
      <c r="CW1596" s="717"/>
      <c r="CX1596" s="717"/>
      <c r="CY1596" s="717"/>
      <c r="CZ1596" s="717"/>
      <c r="DA1596" s="717"/>
      <c r="DB1596" s="717"/>
      <c r="DC1596" s="717"/>
      <c r="DD1596" s="717"/>
      <c r="DE1596" s="717"/>
      <c r="DF1596" s="717"/>
      <c r="DG1596" s="717"/>
      <c r="DH1596" s="717"/>
      <c r="DI1596" s="717"/>
      <c r="DJ1596" s="717"/>
      <c r="DM1596" s="711"/>
      <c r="DN1596" s="711"/>
      <c r="DO1596" s="711"/>
      <c r="DP1596" s="711"/>
      <c r="DQ1596" s="711"/>
    </row>
    <row r="1597" spans="13:121" s="709" customFormat="1" hidden="1">
      <c r="M1597" s="710"/>
      <c r="P1597" s="711"/>
      <c r="Q1597" s="712"/>
      <c r="U1597" s="711"/>
      <c r="V1597" s="711"/>
      <c r="W1597" s="711"/>
      <c r="X1597" s="711"/>
      <c r="Y1597" s="711"/>
      <c r="Z1597" s="711"/>
      <c r="AU1597" s="713"/>
      <c r="AW1597" s="712"/>
      <c r="BY1597" s="714"/>
      <c r="BZ1597" s="715"/>
      <c r="CA1597" s="716"/>
      <c r="CB1597" s="717"/>
      <c r="CC1597" s="717"/>
      <c r="CD1597" s="717"/>
      <c r="CE1597" s="717"/>
      <c r="CF1597" s="717"/>
      <c r="CG1597" s="717"/>
      <c r="CH1597" s="717"/>
      <c r="CI1597" s="717"/>
      <c r="CJ1597" s="717"/>
      <c r="CK1597" s="717"/>
      <c r="CL1597" s="717"/>
      <c r="CM1597" s="717"/>
      <c r="CN1597" s="717"/>
      <c r="CO1597" s="717"/>
      <c r="CP1597" s="717"/>
      <c r="CQ1597" s="717"/>
      <c r="CR1597" s="717"/>
      <c r="CS1597" s="717"/>
      <c r="CT1597" s="717"/>
      <c r="CU1597" s="717"/>
      <c r="CV1597" s="717"/>
      <c r="CW1597" s="717"/>
      <c r="CX1597" s="717"/>
      <c r="CY1597" s="717"/>
      <c r="CZ1597" s="717"/>
      <c r="DA1597" s="717"/>
      <c r="DB1597" s="717"/>
      <c r="DC1597" s="717"/>
      <c r="DD1597" s="717"/>
      <c r="DE1597" s="717"/>
      <c r="DF1597" s="717"/>
      <c r="DG1597" s="717"/>
      <c r="DH1597" s="717"/>
      <c r="DI1597" s="717"/>
      <c r="DJ1597" s="717"/>
      <c r="DM1597" s="711"/>
      <c r="DN1597" s="711"/>
      <c r="DO1597" s="711"/>
      <c r="DP1597" s="711"/>
      <c r="DQ1597" s="711"/>
    </row>
    <row r="1598" spans="13:121" s="709" customFormat="1" hidden="1">
      <c r="M1598" s="710"/>
      <c r="P1598" s="711"/>
      <c r="Q1598" s="712"/>
      <c r="U1598" s="711"/>
      <c r="V1598" s="711"/>
      <c r="W1598" s="711"/>
      <c r="X1598" s="711"/>
      <c r="Y1598" s="711"/>
      <c r="Z1598" s="711"/>
      <c r="AU1598" s="713"/>
      <c r="AW1598" s="712"/>
      <c r="BY1598" s="714"/>
      <c r="BZ1598" s="715"/>
      <c r="CA1598" s="716"/>
      <c r="CB1598" s="717"/>
      <c r="CC1598" s="717"/>
      <c r="CD1598" s="717"/>
      <c r="CE1598" s="717"/>
      <c r="CF1598" s="717"/>
      <c r="CG1598" s="717"/>
      <c r="CH1598" s="717"/>
      <c r="CI1598" s="717"/>
      <c r="CJ1598" s="717"/>
      <c r="CK1598" s="717"/>
      <c r="CL1598" s="717"/>
      <c r="CM1598" s="717"/>
      <c r="CN1598" s="717"/>
      <c r="CO1598" s="717"/>
      <c r="CP1598" s="717"/>
      <c r="CQ1598" s="717"/>
      <c r="CR1598" s="717"/>
      <c r="CS1598" s="717"/>
      <c r="CT1598" s="717"/>
      <c r="CU1598" s="717"/>
      <c r="CV1598" s="717"/>
      <c r="CW1598" s="717"/>
      <c r="CX1598" s="717"/>
      <c r="CY1598" s="717"/>
      <c r="CZ1598" s="717"/>
      <c r="DA1598" s="717"/>
      <c r="DB1598" s="717"/>
      <c r="DC1598" s="717"/>
      <c r="DD1598" s="717"/>
      <c r="DE1598" s="717"/>
      <c r="DF1598" s="717"/>
      <c r="DG1598" s="717"/>
      <c r="DH1598" s="717"/>
      <c r="DI1598" s="717"/>
      <c r="DJ1598" s="717"/>
      <c r="DM1598" s="711"/>
      <c r="DN1598" s="711"/>
      <c r="DO1598" s="711"/>
      <c r="DP1598" s="711"/>
      <c r="DQ1598" s="711"/>
    </row>
    <row r="1599" spans="13:121" s="709" customFormat="1" hidden="1">
      <c r="M1599" s="710"/>
      <c r="P1599" s="711"/>
      <c r="Q1599" s="712"/>
      <c r="U1599" s="711"/>
      <c r="V1599" s="711"/>
      <c r="W1599" s="711"/>
      <c r="X1599" s="711"/>
      <c r="Y1599" s="711"/>
      <c r="Z1599" s="711"/>
      <c r="AU1599" s="713"/>
      <c r="AW1599" s="712"/>
      <c r="BY1599" s="714"/>
      <c r="BZ1599" s="715"/>
      <c r="CA1599" s="716"/>
      <c r="CB1599" s="717"/>
      <c r="CC1599" s="717"/>
      <c r="CD1599" s="717"/>
      <c r="CE1599" s="717"/>
      <c r="CF1599" s="717"/>
      <c r="CG1599" s="717"/>
      <c r="CH1599" s="717"/>
      <c r="CI1599" s="717"/>
      <c r="CJ1599" s="717"/>
      <c r="CK1599" s="717"/>
      <c r="CL1599" s="717"/>
      <c r="CM1599" s="717"/>
      <c r="CN1599" s="717"/>
      <c r="CO1599" s="717"/>
      <c r="CP1599" s="717"/>
      <c r="CQ1599" s="717"/>
      <c r="CR1599" s="717"/>
      <c r="CS1599" s="717"/>
      <c r="CT1599" s="717"/>
      <c r="CU1599" s="717"/>
      <c r="CV1599" s="717"/>
      <c r="CW1599" s="717"/>
      <c r="CX1599" s="717"/>
      <c r="CY1599" s="717"/>
      <c r="CZ1599" s="717"/>
      <c r="DA1599" s="717"/>
      <c r="DB1599" s="717"/>
      <c r="DC1599" s="717"/>
      <c r="DD1599" s="717"/>
      <c r="DE1599" s="717"/>
      <c r="DF1599" s="717"/>
      <c r="DG1599" s="717"/>
      <c r="DH1599" s="717"/>
      <c r="DI1599" s="717"/>
      <c r="DJ1599" s="717"/>
      <c r="DM1599" s="711"/>
      <c r="DN1599" s="711"/>
      <c r="DO1599" s="711"/>
      <c r="DP1599" s="711"/>
      <c r="DQ1599" s="711"/>
    </row>
    <row r="1600" spans="13:121" s="709" customFormat="1" hidden="1">
      <c r="M1600" s="710"/>
      <c r="P1600" s="711"/>
      <c r="Q1600" s="712"/>
      <c r="U1600" s="711"/>
      <c r="V1600" s="711"/>
      <c r="W1600" s="711"/>
      <c r="X1600" s="711"/>
      <c r="Y1600" s="711"/>
      <c r="Z1600" s="711"/>
      <c r="AU1600" s="713"/>
      <c r="AW1600" s="712"/>
      <c r="BY1600" s="714"/>
      <c r="BZ1600" s="715"/>
      <c r="CA1600" s="716"/>
      <c r="CB1600" s="717"/>
      <c r="CC1600" s="717"/>
      <c r="CD1600" s="717"/>
      <c r="CE1600" s="717"/>
      <c r="CF1600" s="717"/>
      <c r="CG1600" s="717"/>
      <c r="CH1600" s="717"/>
      <c r="CI1600" s="717"/>
      <c r="CJ1600" s="717"/>
      <c r="CK1600" s="717"/>
      <c r="CL1600" s="717"/>
      <c r="CM1600" s="717"/>
      <c r="CN1600" s="717"/>
      <c r="CO1600" s="717"/>
      <c r="CP1600" s="717"/>
      <c r="CQ1600" s="717"/>
      <c r="CR1600" s="717"/>
      <c r="CS1600" s="717"/>
      <c r="CT1600" s="717"/>
      <c r="CU1600" s="717"/>
      <c r="CV1600" s="717"/>
      <c r="CW1600" s="717"/>
      <c r="CX1600" s="717"/>
      <c r="CY1600" s="717"/>
      <c r="CZ1600" s="717"/>
      <c r="DA1600" s="717"/>
      <c r="DB1600" s="717"/>
      <c r="DC1600" s="717"/>
      <c r="DD1600" s="717"/>
      <c r="DE1600" s="717"/>
      <c r="DF1600" s="717"/>
      <c r="DG1600" s="717"/>
      <c r="DH1600" s="717"/>
      <c r="DI1600" s="717"/>
      <c r="DJ1600" s="717"/>
      <c r="DM1600" s="711"/>
      <c r="DN1600" s="711"/>
      <c r="DO1600" s="711"/>
      <c r="DP1600" s="711"/>
      <c r="DQ1600" s="711"/>
    </row>
    <row r="1601" spans="13:121" s="709" customFormat="1" hidden="1">
      <c r="M1601" s="710"/>
      <c r="P1601" s="711"/>
      <c r="Q1601" s="712"/>
      <c r="U1601" s="711"/>
      <c r="V1601" s="711"/>
      <c r="W1601" s="711"/>
      <c r="X1601" s="711"/>
      <c r="Y1601" s="711"/>
      <c r="Z1601" s="711"/>
      <c r="AU1601" s="713"/>
      <c r="AW1601" s="712"/>
      <c r="BY1601" s="714"/>
      <c r="BZ1601" s="715"/>
      <c r="CA1601" s="716"/>
      <c r="CB1601" s="717"/>
      <c r="CC1601" s="717"/>
      <c r="CD1601" s="717"/>
      <c r="CE1601" s="717"/>
      <c r="CF1601" s="717"/>
      <c r="CG1601" s="717"/>
      <c r="CH1601" s="717"/>
      <c r="CI1601" s="717"/>
      <c r="CJ1601" s="717"/>
      <c r="CK1601" s="717"/>
      <c r="CL1601" s="717"/>
      <c r="CM1601" s="717"/>
      <c r="CN1601" s="717"/>
      <c r="CO1601" s="717"/>
      <c r="CP1601" s="717"/>
      <c r="CQ1601" s="717"/>
      <c r="CR1601" s="717"/>
      <c r="CS1601" s="717"/>
      <c r="CT1601" s="717"/>
      <c r="CU1601" s="717"/>
      <c r="CV1601" s="717"/>
      <c r="CW1601" s="717"/>
      <c r="CX1601" s="717"/>
      <c r="CY1601" s="717"/>
      <c r="CZ1601" s="717"/>
      <c r="DA1601" s="717"/>
      <c r="DB1601" s="717"/>
      <c r="DC1601" s="717"/>
      <c r="DD1601" s="717"/>
      <c r="DE1601" s="717"/>
      <c r="DF1601" s="717"/>
      <c r="DG1601" s="717"/>
      <c r="DH1601" s="717"/>
      <c r="DI1601" s="717"/>
      <c r="DJ1601" s="717"/>
      <c r="DM1601" s="711"/>
      <c r="DN1601" s="711"/>
      <c r="DO1601" s="711"/>
      <c r="DP1601" s="711"/>
      <c r="DQ1601" s="711"/>
    </row>
    <row r="1602" spans="13:121" s="709" customFormat="1" hidden="1">
      <c r="M1602" s="710"/>
      <c r="P1602" s="711"/>
      <c r="Q1602" s="712"/>
      <c r="U1602" s="711"/>
      <c r="V1602" s="711"/>
      <c r="W1602" s="711"/>
      <c r="X1602" s="711"/>
      <c r="Y1602" s="711"/>
      <c r="Z1602" s="711"/>
      <c r="AU1602" s="713"/>
      <c r="AW1602" s="712"/>
      <c r="BY1602" s="714"/>
      <c r="BZ1602" s="715"/>
      <c r="CA1602" s="716"/>
      <c r="CB1602" s="717"/>
      <c r="CC1602" s="717"/>
      <c r="CD1602" s="717"/>
      <c r="CE1602" s="717"/>
      <c r="CF1602" s="717"/>
      <c r="CG1602" s="717"/>
      <c r="CH1602" s="717"/>
      <c r="CI1602" s="717"/>
      <c r="CJ1602" s="717"/>
      <c r="CK1602" s="717"/>
      <c r="CL1602" s="717"/>
      <c r="CM1602" s="717"/>
      <c r="CN1602" s="717"/>
      <c r="CO1602" s="717"/>
      <c r="CP1602" s="717"/>
      <c r="CQ1602" s="717"/>
      <c r="CR1602" s="717"/>
      <c r="CS1602" s="717"/>
      <c r="CT1602" s="717"/>
      <c r="CU1602" s="717"/>
      <c r="CV1602" s="717"/>
      <c r="CW1602" s="717"/>
      <c r="CX1602" s="717"/>
      <c r="CY1602" s="717"/>
      <c r="CZ1602" s="717"/>
      <c r="DA1602" s="717"/>
      <c r="DB1602" s="717"/>
      <c r="DC1602" s="717"/>
      <c r="DD1602" s="717"/>
      <c r="DE1602" s="717"/>
      <c r="DF1602" s="717"/>
      <c r="DG1602" s="717"/>
      <c r="DH1602" s="717"/>
      <c r="DI1602" s="717"/>
      <c r="DJ1602" s="717"/>
      <c r="DM1602" s="711"/>
      <c r="DN1602" s="711"/>
      <c r="DO1602" s="711"/>
      <c r="DP1602" s="711"/>
      <c r="DQ1602" s="711"/>
    </row>
    <row r="1603" spans="13:121" s="709" customFormat="1" hidden="1">
      <c r="M1603" s="710"/>
      <c r="P1603" s="711"/>
      <c r="Q1603" s="712"/>
      <c r="U1603" s="711"/>
      <c r="V1603" s="711"/>
      <c r="W1603" s="711"/>
      <c r="X1603" s="711"/>
      <c r="Y1603" s="711"/>
      <c r="Z1603" s="711"/>
      <c r="AU1603" s="713"/>
      <c r="AW1603" s="712"/>
      <c r="BY1603" s="714"/>
      <c r="BZ1603" s="715"/>
      <c r="CA1603" s="716"/>
      <c r="CB1603" s="717"/>
      <c r="CC1603" s="717"/>
      <c r="CD1603" s="717"/>
      <c r="CE1603" s="717"/>
      <c r="CF1603" s="717"/>
      <c r="CG1603" s="717"/>
      <c r="CH1603" s="717"/>
      <c r="CI1603" s="717"/>
      <c r="CJ1603" s="717"/>
      <c r="CK1603" s="717"/>
      <c r="CL1603" s="717"/>
      <c r="CM1603" s="717"/>
      <c r="CN1603" s="717"/>
      <c r="CO1603" s="717"/>
      <c r="CP1603" s="717"/>
      <c r="CQ1603" s="717"/>
      <c r="CR1603" s="717"/>
      <c r="CS1603" s="717"/>
      <c r="CT1603" s="717"/>
      <c r="CU1603" s="717"/>
      <c r="CV1603" s="717"/>
      <c r="CW1603" s="717"/>
      <c r="CX1603" s="717"/>
      <c r="CY1603" s="717"/>
      <c r="CZ1603" s="717"/>
      <c r="DA1603" s="717"/>
      <c r="DB1603" s="717"/>
      <c r="DC1603" s="717"/>
      <c r="DD1603" s="717"/>
      <c r="DE1603" s="717"/>
      <c r="DF1603" s="717"/>
      <c r="DG1603" s="717"/>
      <c r="DH1603" s="717"/>
      <c r="DI1603" s="717"/>
      <c r="DJ1603" s="717"/>
      <c r="DM1603" s="711"/>
      <c r="DN1603" s="711"/>
      <c r="DO1603" s="711"/>
      <c r="DP1603" s="711"/>
      <c r="DQ1603" s="711"/>
    </row>
    <row r="1604" spans="13:121" s="709" customFormat="1" hidden="1">
      <c r="M1604" s="710"/>
      <c r="P1604" s="711"/>
      <c r="Q1604" s="712"/>
      <c r="U1604" s="711"/>
      <c r="V1604" s="711"/>
      <c r="W1604" s="711"/>
      <c r="X1604" s="711"/>
      <c r="Y1604" s="711"/>
      <c r="Z1604" s="711"/>
      <c r="AU1604" s="713"/>
      <c r="AW1604" s="712"/>
      <c r="BY1604" s="714"/>
      <c r="BZ1604" s="715"/>
      <c r="CA1604" s="716"/>
      <c r="CB1604" s="717"/>
      <c r="CC1604" s="717"/>
      <c r="CD1604" s="717"/>
      <c r="CE1604" s="717"/>
      <c r="CF1604" s="717"/>
      <c r="CG1604" s="717"/>
      <c r="CH1604" s="717"/>
      <c r="CI1604" s="717"/>
      <c r="CJ1604" s="717"/>
      <c r="CK1604" s="717"/>
      <c r="CL1604" s="717"/>
      <c r="CM1604" s="717"/>
      <c r="CN1604" s="717"/>
      <c r="CO1604" s="717"/>
      <c r="CP1604" s="717"/>
      <c r="CQ1604" s="717"/>
      <c r="CR1604" s="717"/>
      <c r="CS1604" s="717"/>
      <c r="CT1604" s="717"/>
      <c r="CU1604" s="717"/>
      <c r="CV1604" s="717"/>
      <c r="CW1604" s="717"/>
      <c r="CX1604" s="717"/>
      <c r="CY1604" s="717"/>
      <c r="CZ1604" s="717"/>
      <c r="DA1604" s="717"/>
      <c r="DB1604" s="717"/>
      <c r="DC1604" s="717"/>
      <c r="DD1604" s="717"/>
      <c r="DE1604" s="717"/>
      <c r="DF1604" s="717"/>
      <c r="DG1604" s="717"/>
      <c r="DH1604" s="717"/>
      <c r="DI1604" s="717"/>
      <c r="DJ1604" s="717"/>
      <c r="DM1604" s="711"/>
      <c r="DN1604" s="711"/>
      <c r="DO1604" s="711"/>
      <c r="DP1604" s="711"/>
      <c r="DQ1604" s="711"/>
    </row>
    <row r="1605" spans="13:121" s="709" customFormat="1" hidden="1">
      <c r="M1605" s="710"/>
      <c r="P1605" s="711"/>
      <c r="Q1605" s="712"/>
      <c r="U1605" s="711"/>
      <c r="V1605" s="711"/>
      <c r="W1605" s="711"/>
      <c r="X1605" s="711"/>
      <c r="Y1605" s="711"/>
      <c r="Z1605" s="711"/>
      <c r="AU1605" s="713"/>
      <c r="AW1605" s="712"/>
      <c r="BY1605" s="714"/>
      <c r="BZ1605" s="715"/>
      <c r="CA1605" s="716"/>
      <c r="CB1605" s="717"/>
      <c r="CC1605" s="717"/>
      <c r="CD1605" s="717"/>
      <c r="CE1605" s="717"/>
      <c r="CF1605" s="717"/>
      <c r="CG1605" s="717"/>
      <c r="CH1605" s="717"/>
      <c r="CI1605" s="717"/>
      <c r="CJ1605" s="717"/>
      <c r="CK1605" s="717"/>
      <c r="CL1605" s="717"/>
      <c r="CM1605" s="717"/>
      <c r="CN1605" s="717"/>
      <c r="CO1605" s="717"/>
      <c r="CP1605" s="717"/>
      <c r="CQ1605" s="717"/>
      <c r="CR1605" s="717"/>
      <c r="CS1605" s="717"/>
      <c r="CT1605" s="717"/>
      <c r="CU1605" s="717"/>
      <c r="CV1605" s="717"/>
      <c r="CW1605" s="717"/>
      <c r="CX1605" s="717"/>
      <c r="CY1605" s="717"/>
      <c r="CZ1605" s="717"/>
      <c r="DA1605" s="717"/>
      <c r="DB1605" s="717"/>
      <c r="DC1605" s="717"/>
      <c r="DD1605" s="717"/>
      <c r="DE1605" s="717"/>
      <c r="DF1605" s="717"/>
      <c r="DG1605" s="717"/>
      <c r="DH1605" s="717"/>
      <c r="DI1605" s="717"/>
      <c r="DJ1605" s="717"/>
      <c r="DM1605" s="711"/>
      <c r="DN1605" s="711"/>
      <c r="DO1605" s="711"/>
      <c r="DP1605" s="711"/>
      <c r="DQ1605" s="711"/>
    </row>
    <row r="1606" spans="13:121" s="709" customFormat="1" hidden="1">
      <c r="M1606" s="710"/>
      <c r="P1606" s="711"/>
      <c r="Q1606" s="712"/>
      <c r="U1606" s="711"/>
      <c r="V1606" s="711"/>
      <c r="W1606" s="711"/>
      <c r="X1606" s="711"/>
      <c r="Y1606" s="711"/>
      <c r="Z1606" s="711"/>
      <c r="AU1606" s="713"/>
      <c r="AW1606" s="712"/>
      <c r="BY1606" s="714"/>
      <c r="BZ1606" s="715"/>
      <c r="CA1606" s="716"/>
      <c r="CB1606" s="717"/>
      <c r="CC1606" s="717"/>
      <c r="CD1606" s="717"/>
      <c r="CE1606" s="717"/>
      <c r="CF1606" s="717"/>
      <c r="CG1606" s="717"/>
      <c r="CH1606" s="717"/>
      <c r="CI1606" s="717"/>
      <c r="CJ1606" s="717"/>
      <c r="CK1606" s="717"/>
      <c r="CL1606" s="717"/>
      <c r="CM1606" s="717"/>
      <c r="CN1606" s="717"/>
      <c r="CO1606" s="717"/>
      <c r="CP1606" s="717"/>
      <c r="CQ1606" s="717"/>
      <c r="CR1606" s="717"/>
      <c r="CS1606" s="717"/>
      <c r="CT1606" s="717"/>
      <c r="CU1606" s="717"/>
      <c r="CV1606" s="717"/>
      <c r="CW1606" s="717"/>
      <c r="CX1606" s="717"/>
      <c r="CY1606" s="717"/>
      <c r="CZ1606" s="717"/>
      <c r="DA1606" s="717"/>
      <c r="DB1606" s="717"/>
      <c r="DC1606" s="717"/>
      <c r="DD1606" s="717"/>
      <c r="DE1606" s="717"/>
      <c r="DF1606" s="717"/>
      <c r="DG1606" s="717"/>
      <c r="DH1606" s="717"/>
      <c r="DI1606" s="717"/>
      <c r="DJ1606" s="717"/>
      <c r="DM1606" s="711"/>
      <c r="DN1606" s="711"/>
      <c r="DO1606" s="711"/>
      <c r="DP1606" s="711"/>
      <c r="DQ1606" s="711"/>
    </row>
    <row r="1607" spans="13:121" s="709" customFormat="1" hidden="1">
      <c r="M1607" s="710"/>
      <c r="P1607" s="711"/>
      <c r="Q1607" s="712"/>
      <c r="U1607" s="711"/>
      <c r="V1607" s="711"/>
      <c r="W1607" s="711"/>
      <c r="X1607" s="711"/>
      <c r="Y1607" s="711"/>
      <c r="Z1607" s="711"/>
      <c r="AU1607" s="713"/>
      <c r="AW1607" s="712"/>
      <c r="BY1607" s="714"/>
      <c r="BZ1607" s="715"/>
      <c r="CA1607" s="716"/>
      <c r="CB1607" s="717"/>
      <c r="CC1607" s="717"/>
      <c r="CD1607" s="717"/>
      <c r="CE1607" s="717"/>
      <c r="CF1607" s="717"/>
      <c r="CG1607" s="717"/>
      <c r="CH1607" s="717"/>
      <c r="CI1607" s="717"/>
      <c r="CJ1607" s="717"/>
      <c r="CK1607" s="717"/>
      <c r="CL1607" s="717"/>
      <c r="CM1607" s="717"/>
      <c r="CN1607" s="717"/>
      <c r="CO1607" s="717"/>
      <c r="CP1607" s="717"/>
      <c r="CQ1607" s="717"/>
      <c r="CR1607" s="717"/>
      <c r="CS1607" s="717"/>
      <c r="CT1607" s="717"/>
      <c r="CU1607" s="717"/>
      <c r="CV1607" s="717"/>
      <c r="CW1607" s="717"/>
      <c r="CX1607" s="717"/>
      <c r="CY1607" s="717"/>
      <c r="CZ1607" s="717"/>
      <c r="DA1607" s="717"/>
      <c r="DB1607" s="717"/>
      <c r="DC1607" s="717"/>
      <c r="DD1607" s="717"/>
      <c r="DE1607" s="717"/>
      <c r="DF1607" s="717"/>
      <c r="DG1607" s="717"/>
      <c r="DH1607" s="717"/>
      <c r="DI1607" s="717"/>
      <c r="DJ1607" s="717"/>
      <c r="DM1607" s="711"/>
      <c r="DN1607" s="711"/>
      <c r="DO1607" s="711"/>
      <c r="DP1607" s="711"/>
      <c r="DQ1607" s="711"/>
    </row>
    <row r="1608" spans="13:121" s="709" customFormat="1" hidden="1">
      <c r="M1608" s="710"/>
      <c r="P1608" s="711"/>
      <c r="Q1608" s="712"/>
      <c r="U1608" s="711"/>
      <c r="V1608" s="711"/>
      <c r="W1608" s="711"/>
      <c r="X1608" s="711"/>
      <c r="Y1608" s="711"/>
      <c r="Z1608" s="711"/>
      <c r="AU1608" s="713"/>
      <c r="AW1608" s="712"/>
      <c r="BY1608" s="714"/>
      <c r="BZ1608" s="715"/>
      <c r="CA1608" s="716"/>
      <c r="CB1608" s="717"/>
      <c r="CC1608" s="717"/>
      <c r="CD1608" s="717"/>
      <c r="CE1608" s="717"/>
      <c r="CF1608" s="717"/>
      <c r="CG1608" s="717"/>
      <c r="CH1608" s="717"/>
      <c r="CI1608" s="717"/>
      <c r="CJ1608" s="717"/>
      <c r="CK1608" s="717"/>
      <c r="CL1608" s="717"/>
      <c r="CM1608" s="717"/>
      <c r="CN1608" s="717"/>
      <c r="CO1608" s="717"/>
      <c r="CP1608" s="717"/>
      <c r="CQ1608" s="717"/>
      <c r="CR1608" s="717"/>
      <c r="CS1608" s="717"/>
      <c r="CT1608" s="717"/>
      <c r="CU1608" s="717"/>
      <c r="CV1608" s="717"/>
      <c r="CW1608" s="717"/>
      <c r="CX1608" s="717"/>
      <c r="CY1608" s="717"/>
      <c r="CZ1608" s="717"/>
      <c r="DA1608" s="717"/>
      <c r="DB1608" s="717"/>
      <c r="DC1608" s="717"/>
      <c r="DD1608" s="717"/>
      <c r="DE1608" s="717"/>
      <c r="DF1608" s="717"/>
      <c r="DG1608" s="717"/>
      <c r="DH1608" s="717"/>
      <c r="DI1608" s="717"/>
      <c r="DJ1608" s="717"/>
      <c r="DM1608" s="711"/>
      <c r="DN1608" s="711"/>
      <c r="DO1608" s="711"/>
      <c r="DP1608" s="711"/>
      <c r="DQ1608" s="711"/>
    </row>
    <row r="1609" spans="13:121" s="709" customFormat="1" hidden="1">
      <c r="M1609" s="710"/>
      <c r="P1609" s="711"/>
      <c r="Q1609" s="712"/>
      <c r="U1609" s="711"/>
      <c r="V1609" s="711"/>
      <c r="W1609" s="711"/>
      <c r="X1609" s="711"/>
      <c r="Y1609" s="711"/>
      <c r="Z1609" s="711"/>
      <c r="AU1609" s="713"/>
      <c r="AW1609" s="712"/>
      <c r="BY1609" s="714"/>
      <c r="BZ1609" s="715"/>
      <c r="CA1609" s="716"/>
      <c r="CB1609" s="717"/>
      <c r="CC1609" s="717"/>
      <c r="CD1609" s="717"/>
      <c r="CE1609" s="717"/>
      <c r="CF1609" s="717"/>
      <c r="CG1609" s="717"/>
      <c r="CH1609" s="717"/>
      <c r="CI1609" s="717"/>
      <c r="CJ1609" s="717"/>
      <c r="CK1609" s="717"/>
      <c r="CL1609" s="717"/>
      <c r="CM1609" s="717"/>
      <c r="CN1609" s="717"/>
      <c r="CO1609" s="717"/>
      <c r="CP1609" s="717"/>
      <c r="CQ1609" s="717"/>
      <c r="CR1609" s="717"/>
      <c r="CS1609" s="717"/>
      <c r="CT1609" s="717"/>
      <c r="CU1609" s="717"/>
      <c r="CV1609" s="717"/>
      <c r="CW1609" s="717"/>
      <c r="CX1609" s="717"/>
      <c r="CY1609" s="717"/>
      <c r="CZ1609" s="717"/>
      <c r="DA1609" s="717"/>
      <c r="DB1609" s="717"/>
      <c r="DC1609" s="717"/>
      <c r="DD1609" s="717"/>
      <c r="DE1609" s="717"/>
      <c r="DF1609" s="717"/>
      <c r="DG1609" s="717"/>
      <c r="DH1609" s="717"/>
      <c r="DI1609" s="717"/>
      <c r="DJ1609" s="717"/>
      <c r="DM1609" s="711"/>
      <c r="DN1609" s="711"/>
      <c r="DO1609" s="711"/>
      <c r="DP1609" s="711"/>
      <c r="DQ1609" s="711"/>
    </row>
    <row r="1610" spans="13:121" s="709" customFormat="1" hidden="1">
      <c r="M1610" s="710"/>
      <c r="P1610" s="711"/>
      <c r="Q1610" s="712"/>
      <c r="U1610" s="711"/>
      <c r="V1610" s="711"/>
      <c r="W1610" s="711"/>
      <c r="X1610" s="711"/>
      <c r="Y1610" s="711"/>
      <c r="Z1610" s="711"/>
      <c r="AU1610" s="713"/>
      <c r="AW1610" s="712"/>
      <c r="BY1610" s="714"/>
      <c r="BZ1610" s="715"/>
      <c r="CA1610" s="716"/>
      <c r="CB1610" s="717"/>
      <c r="CC1610" s="717"/>
      <c r="CD1610" s="717"/>
      <c r="CE1610" s="717"/>
      <c r="CF1610" s="717"/>
      <c r="CG1610" s="717"/>
      <c r="CH1610" s="717"/>
      <c r="CI1610" s="717"/>
      <c r="CJ1610" s="717"/>
      <c r="CK1610" s="717"/>
      <c r="CL1610" s="717"/>
      <c r="CM1610" s="717"/>
      <c r="CN1610" s="717"/>
      <c r="CO1610" s="717"/>
      <c r="CP1610" s="717"/>
      <c r="CQ1610" s="717"/>
      <c r="CR1610" s="717"/>
      <c r="CS1610" s="717"/>
      <c r="CT1610" s="717"/>
      <c r="CU1610" s="717"/>
      <c r="CV1610" s="717"/>
      <c r="CW1610" s="717"/>
      <c r="CX1610" s="717"/>
      <c r="CY1610" s="717"/>
      <c r="CZ1610" s="717"/>
      <c r="DA1610" s="717"/>
      <c r="DB1610" s="717"/>
      <c r="DC1610" s="717"/>
      <c r="DD1610" s="717"/>
      <c r="DE1610" s="717"/>
      <c r="DF1610" s="717"/>
      <c r="DG1610" s="717"/>
      <c r="DH1610" s="717"/>
      <c r="DI1610" s="717"/>
      <c r="DJ1610" s="717"/>
      <c r="DM1610" s="711"/>
      <c r="DN1610" s="711"/>
      <c r="DO1610" s="711"/>
      <c r="DP1610" s="711"/>
      <c r="DQ1610" s="711"/>
    </row>
    <row r="1611" spans="13:121" s="709" customFormat="1" hidden="1">
      <c r="M1611" s="710"/>
      <c r="P1611" s="711"/>
      <c r="Q1611" s="712"/>
      <c r="U1611" s="711"/>
      <c r="V1611" s="711"/>
      <c r="W1611" s="711"/>
      <c r="X1611" s="711"/>
      <c r="Y1611" s="711"/>
      <c r="Z1611" s="711"/>
      <c r="AU1611" s="713"/>
      <c r="AW1611" s="712"/>
      <c r="BY1611" s="714"/>
      <c r="BZ1611" s="715"/>
      <c r="CA1611" s="716"/>
      <c r="CB1611" s="717"/>
      <c r="CC1611" s="717"/>
      <c r="CD1611" s="717"/>
      <c r="CE1611" s="717"/>
      <c r="CF1611" s="717"/>
      <c r="CG1611" s="717"/>
      <c r="CH1611" s="717"/>
      <c r="CI1611" s="717"/>
      <c r="CJ1611" s="717"/>
      <c r="CK1611" s="717"/>
      <c r="CL1611" s="717"/>
      <c r="CM1611" s="717"/>
      <c r="CN1611" s="717"/>
      <c r="CO1611" s="717"/>
      <c r="CP1611" s="717"/>
      <c r="CQ1611" s="717"/>
      <c r="CR1611" s="717"/>
      <c r="CS1611" s="717"/>
      <c r="CT1611" s="717"/>
      <c r="CU1611" s="717"/>
      <c r="CV1611" s="717"/>
      <c r="CW1611" s="717"/>
      <c r="CX1611" s="717"/>
      <c r="CY1611" s="717"/>
      <c r="CZ1611" s="717"/>
      <c r="DA1611" s="717"/>
      <c r="DB1611" s="717"/>
      <c r="DC1611" s="717"/>
      <c r="DD1611" s="717"/>
      <c r="DE1611" s="717"/>
      <c r="DF1611" s="717"/>
      <c r="DG1611" s="717"/>
      <c r="DH1611" s="717"/>
      <c r="DI1611" s="717"/>
      <c r="DJ1611" s="717"/>
      <c r="DM1611" s="711"/>
      <c r="DN1611" s="711"/>
      <c r="DO1611" s="711"/>
      <c r="DP1611" s="711"/>
      <c r="DQ1611" s="711"/>
    </row>
    <row r="1612" spans="13:121" s="709" customFormat="1" hidden="1">
      <c r="M1612" s="710"/>
      <c r="P1612" s="711"/>
      <c r="Q1612" s="712"/>
      <c r="U1612" s="711"/>
      <c r="V1612" s="711"/>
      <c r="W1612" s="711"/>
      <c r="X1612" s="711"/>
      <c r="Y1612" s="711"/>
      <c r="Z1612" s="711"/>
      <c r="AU1612" s="713"/>
      <c r="AW1612" s="712"/>
      <c r="BY1612" s="714"/>
      <c r="BZ1612" s="715"/>
      <c r="CA1612" s="716"/>
      <c r="CB1612" s="717"/>
      <c r="CC1612" s="717"/>
      <c r="CD1612" s="717"/>
      <c r="CE1612" s="717"/>
      <c r="CF1612" s="717"/>
      <c r="CG1612" s="717"/>
      <c r="CH1612" s="717"/>
      <c r="CI1612" s="717"/>
      <c r="CJ1612" s="717"/>
      <c r="CK1612" s="717"/>
      <c r="CL1612" s="717"/>
      <c r="CM1612" s="717"/>
      <c r="CN1612" s="717"/>
      <c r="CO1612" s="717"/>
      <c r="CP1612" s="717"/>
      <c r="CQ1612" s="717"/>
      <c r="CR1612" s="717"/>
      <c r="CS1612" s="717"/>
      <c r="CT1612" s="717"/>
      <c r="CU1612" s="717"/>
      <c r="CV1612" s="717"/>
      <c r="CW1612" s="717"/>
      <c r="CX1612" s="717"/>
      <c r="CY1612" s="717"/>
      <c r="CZ1612" s="717"/>
      <c r="DA1612" s="717"/>
      <c r="DB1612" s="717"/>
      <c r="DC1612" s="717"/>
      <c r="DD1612" s="717"/>
      <c r="DE1612" s="717"/>
      <c r="DF1612" s="717"/>
      <c r="DG1612" s="717"/>
      <c r="DH1612" s="717"/>
      <c r="DI1612" s="717"/>
      <c r="DJ1612" s="717"/>
      <c r="DM1612" s="711"/>
      <c r="DN1612" s="711"/>
      <c r="DO1612" s="711"/>
      <c r="DP1612" s="711"/>
      <c r="DQ1612" s="711"/>
    </row>
    <row r="1613" spans="13:121" s="709" customFormat="1" hidden="1">
      <c r="M1613" s="710"/>
      <c r="P1613" s="711"/>
      <c r="Q1613" s="712"/>
      <c r="U1613" s="711"/>
      <c r="V1613" s="711"/>
      <c r="W1613" s="711"/>
      <c r="X1613" s="711"/>
      <c r="Y1613" s="711"/>
      <c r="Z1613" s="711"/>
      <c r="AU1613" s="713"/>
      <c r="AW1613" s="712"/>
      <c r="BY1613" s="714"/>
      <c r="BZ1613" s="715"/>
      <c r="CA1613" s="716"/>
      <c r="CB1613" s="717"/>
      <c r="CC1613" s="717"/>
      <c r="CD1613" s="717"/>
      <c r="CE1613" s="717"/>
      <c r="CF1613" s="717"/>
      <c r="CG1613" s="717"/>
      <c r="CH1613" s="717"/>
      <c r="CI1613" s="717"/>
      <c r="CJ1613" s="717"/>
      <c r="CK1613" s="717"/>
      <c r="CL1613" s="717"/>
      <c r="CM1613" s="717"/>
      <c r="CN1613" s="717"/>
      <c r="CO1613" s="717"/>
      <c r="CP1613" s="717"/>
      <c r="CQ1613" s="717"/>
      <c r="CR1613" s="717"/>
      <c r="CS1613" s="717"/>
      <c r="CT1613" s="717"/>
      <c r="CU1613" s="717"/>
      <c r="CV1613" s="717"/>
      <c r="CW1613" s="717"/>
      <c r="CX1613" s="717"/>
      <c r="CY1613" s="717"/>
      <c r="CZ1613" s="717"/>
      <c r="DA1613" s="717"/>
      <c r="DB1613" s="717"/>
      <c r="DC1613" s="717"/>
      <c r="DD1613" s="717"/>
      <c r="DE1613" s="717"/>
      <c r="DF1613" s="717"/>
      <c r="DG1613" s="717"/>
      <c r="DH1613" s="717"/>
      <c r="DI1613" s="717"/>
      <c r="DJ1613" s="717"/>
      <c r="DM1613" s="711"/>
      <c r="DN1613" s="711"/>
      <c r="DO1613" s="711"/>
      <c r="DP1613" s="711"/>
      <c r="DQ1613" s="711"/>
    </row>
    <row r="1614" spans="13:121" s="709" customFormat="1" hidden="1">
      <c r="M1614" s="710"/>
      <c r="P1614" s="711"/>
      <c r="Q1614" s="712"/>
      <c r="U1614" s="711"/>
      <c r="V1614" s="711"/>
      <c r="W1614" s="711"/>
      <c r="X1614" s="711"/>
      <c r="Y1614" s="711"/>
      <c r="Z1614" s="711"/>
      <c r="AU1614" s="713"/>
      <c r="AW1614" s="712"/>
      <c r="BY1614" s="714"/>
      <c r="BZ1614" s="715"/>
      <c r="CA1614" s="716"/>
      <c r="CB1614" s="717"/>
      <c r="CC1614" s="717"/>
      <c r="CD1614" s="717"/>
      <c r="CE1614" s="717"/>
      <c r="CF1614" s="717"/>
      <c r="CG1614" s="717"/>
      <c r="CH1614" s="717"/>
      <c r="CI1614" s="717"/>
      <c r="CJ1614" s="717"/>
      <c r="CK1614" s="717"/>
      <c r="CL1614" s="717"/>
      <c r="CM1614" s="717"/>
      <c r="CN1614" s="717"/>
      <c r="CO1614" s="717"/>
      <c r="CP1614" s="717"/>
      <c r="CQ1614" s="717"/>
      <c r="CR1614" s="717"/>
      <c r="CS1614" s="717"/>
      <c r="CT1614" s="717"/>
      <c r="CU1614" s="717"/>
      <c r="CV1614" s="717"/>
      <c r="CW1614" s="717"/>
      <c r="CX1614" s="717"/>
      <c r="CY1614" s="717"/>
      <c r="CZ1614" s="717"/>
      <c r="DA1614" s="717"/>
      <c r="DB1614" s="717"/>
      <c r="DC1614" s="717"/>
      <c r="DD1614" s="717"/>
      <c r="DE1614" s="717"/>
      <c r="DF1614" s="717"/>
      <c r="DG1614" s="717"/>
      <c r="DH1614" s="717"/>
      <c r="DI1614" s="717"/>
      <c r="DJ1614" s="717"/>
      <c r="DM1614" s="711"/>
      <c r="DN1614" s="711"/>
      <c r="DO1614" s="711"/>
      <c r="DP1614" s="711"/>
      <c r="DQ1614" s="711"/>
    </row>
    <row r="1615" spans="13:121" s="709" customFormat="1" hidden="1">
      <c r="M1615" s="710"/>
      <c r="P1615" s="711"/>
      <c r="Q1615" s="712"/>
      <c r="U1615" s="711"/>
      <c r="V1615" s="711"/>
      <c r="W1615" s="711"/>
      <c r="X1615" s="711"/>
      <c r="Y1615" s="711"/>
      <c r="Z1615" s="711"/>
      <c r="AU1615" s="713"/>
      <c r="AW1615" s="712"/>
      <c r="BY1615" s="714"/>
      <c r="BZ1615" s="715"/>
      <c r="CA1615" s="716"/>
      <c r="CB1615" s="717"/>
      <c r="CC1615" s="717"/>
      <c r="CD1615" s="717"/>
      <c r="CE1615" s="717"/>
      <c r="CF1615" s="717"/>
      <c r="CG1615" s="717"/>
      <c r="CH1615" s="717"/>
      <c r="CI1615" s="717"/>
      <c r="CJ1615" s="717"/>
      <c r="CK1615" s="717"/>
      <c r="CL1615" s="717"/>
      <c r="CM1615" s="717"/>
      <c r="CN1615" s="717"/>
      <c r="CO1615" s="717"/>
      <c r="CP1615" s="717"/>
      <c r="CQ1615" s="717"/>
      <c r="CR1615" s="717"/>
      <c r="CS1615" s="717"/>
      <c r="CT1615" s="717"/>
      <c r="CU1615" s="717"/>
      <c r="CV1615" s="717"/>
      <c r="CW1615" s="717"/>
      <c r="CX1615" s="717"/>
      <c r="CY1615" s="717"/>
      <c r="CZ1615" s="717"/>
      <c r="DA1615" s="717"/>
      <c r="DB1615" s="717"/>
      <c r="DC1615" s="717"/>
      <c r="DD1615" s="717"/>
      <c r="DE1615" s="717"/>
      <c r="DF1615" s="717"/>
      <c r="DG1615" s="717"/>
      <c r="DH1615" s="717"/>
      <c r="DI1615" s="717"/>
      <c r="DJ1615" s="717"/>
      <c r="DM1615" s="711"/>
      <c r="DN1615" s="711"/>
      <c r="DO1615" s="711"/>
      <c r="DP1615" s="711"/>
      <c r="DQ1615" s="711"/>
    </row>
    <row r="1616" spans="13:121" s="709" customFormat="1" hidden="1">
      <c r="M1616" s="710"/>
      <c r="P1616" s="711"/>
      <c r="Q1616" s="712"/>
      <c r="U1616" s="711"/>
      <c r="V1616" s="711"/>
      <c r="W1616" s="711"/>
      <c r="X1616" s="711"/>
      <c r="Y1616" s="711"/>
      <c r="Z1616" s="711"/>
      <c r="AU1616" s="713"/>
      <c r="AW1616" s="712"/>
      <c r="BY1616" s="714"/>
      <c r="BZ1616" s="715"/>
      <c r="CA1616" s="716"/>
      <c r="CB1616" s="717"/>
      <c r="CC1616" s="717"/>
      <c r="CD1616" s="717"/>
      <c r="CE1616" s="717"/>
      <c r="CF1616" s="717"/>
      <c r="CG1616" s="717"/>
      <c r="CH1616" s="717"/>
      <c r="CI1616" s="717"/>
      <c r="CJ1616" s="717"/>
      <c r="CK1616" s="717"/>
      <c r="CL1616" s="717"/>
      <c r="CM1616" s="717"/>
      <c r="CN1616" s="717"/>
      <c r="CO1616" s="717"/>
      <c r="CP1616" s="717"/>
      <c r="CQ1616" s="717"/>
      <c r="CR1616" s="717"/>
      <c r="CS1616" s="717"/>
      <c r="CT1616" s="717"/>
      <c r="CU1616" s="717"/>
      <c r="CV1616" s="717"/>
      <c r="CW1616" s="717"/>
      <c r="CX1616" s="717"/>
      <c r="CY1616" s="717"/>
      <c r="CZ1616" s="717"/>
      <c r="DA1616" s="717"/>
      <c r="DB1616" s="717"/>
      <c r="DC1616" s="717"/>
      <c r="DD1616" s="717"/>
      <c r="DE1616" s="717"/>
      <c r="DF1616" s="717"/>
      <c r="DG1616" s="717"/>
      <c r="DH1616" s="717"/>
      <c r="DI1616" s="717"/>
      <c r="DJ1616" s="717"/>
      <c r="DM1616" s="711"/>
      <c r="DN1616" s="711"/>
      <c r="DO1616" s="711"/>
      <c r="DP1616" s="711"/>
      <c r="DQ1616" s="711"/>
    </row>
    <row r="1617" spans="13:121" s="709" customFormat="1" hidden="1">
      <c r="M1617" s="710"/>
      <c r="P1617" s="711"/>
      <c r="Q1617" s="712"/>
      <c r="U1617" s="711"/>
      <c r="V1617" s="711"/>
      <c r="W1617" s="711"/>
      <c r="X1617" s="711"/>
      <c r="Y1617" s="711"/>
      <c r="Z1617" s="711"/>
      <c r="AU1617" s="713"/>
      <c r="AW1617" s="712"/>
      <c r="BY1617" s="714"/>
      <c r="BZ1617" s="715"/>
      <c r="CA1617" s="716"/>
      <c r="CB1617" s="717"/>
      <c r="CC1617" s="717"/>
      <c r="CD1617" s="717"/>
      <c r="CE1617" s="717"/>
      <c r="CF1617" s="717"/>
      <c r="CG1617" s="717"/>
      <c r="CH1617" s="717"/>
      <c r="CI1617" s="717"/>
      <c r="CJ1617" s="717"/>
      <c r="CK1617" s="717"/>
      <c r="CL1617" s="717"/>
      <c r="CM1617" s="717"/>
      <c r="CN1617" s="717"/>
      <c r="CO1617" s="717"/>
      <c r="CP1617" s="717"/>
      <c r="CQ1617" s="717"/>
      <c r="CR1617" s="717"/>
      <c r="CS1617" s="717"/>
      <c r="CT1617" s="717"/>
      <c r="CU1617" s="717"/>
      <c r="CV1617" s="717"/>
      <c r="CW1617" s="717"/>
      <c r="CX1617" s="717"/>
      <c r="CY1617" s="717"/>
      <c r="CZ1617" s="717"/>
      <c r="DA1617" s="717"/>
      <c r="DB1617" s="717"/>
      <c r="DC1617" s="717"/>
      <c r="DD1617" s="717"/>
      <c r="DE1617" s="717"/>
      <c r="DF1617" s="717"/>
      <c r="DG1617" s="717"/>
      <c r="DH1617" s="717"/>
      <c r="DI1617" s="717"/>
      <c r="DJ1617" s="717"/>
      <c r="DM1617" s="711"/>
      <c r="DN1617" s="711"/>
      <c r="DO1617" s="711"/>
      <c r="DP1617" s="711"/>
      <c r="DQ1617" s="711"/>
    </row>
    <row r="1618" spans="13:121" s="709" customFormat="1" hidden="1">
      <c r="M1618" s="710"/>
      <c r="P1618" s="711"/>
      <c r="Q1618" s="712"/>
      <c r="U1618" s="711"/>
      <c r="V1618" s="711"/>
      <c r="W1618" s="711"/>
      <c r="X1618" s="711"/>
      <c r="Y1618" s="711"/>
      <c r="Z1618" s="711"/>
      <c r="AU1618" s="713"/>
      <c r="AW1618" s="712"/>
      <c r="BY1618" s="714"/>
      <c r="BZ1618" s="715"/>
      <c r="CA1618" s="716"/>
      <c r="CB1618" s="717"/>
      <c r="CC1618" s="717"/>
      <c r="CD1618" s="717"/>
      <c r="CE1618" s="717"/>
      <c r="CF1618" s="717"/>
      <c r="CG1618" s="717"/>
      <c r="CH1618" s="717"/>
      <c r="CI1618" s="717"/>
      <c r="CJ1618" s="717"/>
      <c r="CK1618" s="717"/>
      <c r="CL1618" s="717"/>
      <c r="CM1618" s="717"/>
      <c r="CN1618" s="717"/>
      <c r="CO1618" s="717"/>
      <c r="CP1618" s="717"/>
      <c r="CQ1618" s="717"/>
      <c r="CR1618" s="717"/>
      <c r="CS1618" s="717"/>
      <c r="CT1618" s="717"/>
      <c r="CU1618" s="717"/>
      <c r="CV1618" s="717"/>
      <c r="CW1618" s="717"/>
      <c r="CX1618" s="717"/>
      <c r="CY1618" s="717"/>
      <c r="CZ1618" s="717"/>
      <c r="DA1618" s="717"/>
      <c r="DB1618" s="717"/>
      <c r="DC1618" s="717"/>
      <c r="DD1618" s="717"/>
      <c r="DE1618" s="717"/>
      <c r="DF1618" s="717"/>
      <c r="DG1618" s="717"/>
      <c r="DH1618" s="717"/>
      <c r="DI1618" s="717"/>
      <c r="DJ1618" s="717"/>
      <c r="DM1618" s="711"/>
      <c r="DN1618" s="711"/>
      <c r="DO1618" s="711"/>
      <c r="DP1618" s="711"/>
      <c r="DQ1618" s="711"/>
    </row>
    <row r="1619" spans="13:121" s="709" customFormat="1" hidden="1">
      <c r="M1619" s="710"/>
      <c r="P1619" s="711"/>
      <c r="Q1619" s="712"/>
      <c r="U1619" s="711"/>
      <c r="V1619" s="711"/>
      <c r="W1619" s="711"/>
      <c r="X1619" s="711"/>
      <c r="Y1619" s="711"/>
      <c r="Z1619" s="711"/>
      <c r="AU1619" s="713"/>
      <c r="AW1619" s="712"/>
      <c r="BY1619" s="714"/>
      <c r="BZ1619" s="715"/>
      <c r="CA1619" s="716"/>
      <c r="CB1619" s="717"/>
      <c r="CC1619" s="717"/>
      <c r="CD1619" s="717"/>
      <c r="CE1619" s="717"/>
      <c r="CF1619" s="717"/>
      <c r="CG1619" s="717"/>
      <c r="CH1619" s="717"/>
      <c r="CI1619" s="717"/>
      <c r="CJ1619" s="717"/>
      <c r="CK1619" s="717"/>
      <c r="CL1619" s="717"/>
      <c r="CM1619" s="717"/>
      <c r="CN1619" s="717"/>
      <c r="CO1619" s="717"/>
      <c r="CP1619" s="717"/>
      <c r="CQ1619" s="717"/>
      <c r="CR1619" s="717"/>
      <c r="CS1619" s="717"/>
      <c r="CT1619" s="717"/>
      <c r="CU1619" s="717"/>
      <c r="CV1619" s="717"/>
      <c r="CW1619" s="717"/>
      <c r="CX1619" s="717"/>
      <c r="CY1619" s="717"/>
      <c r="CZ1619" s="717"/>
      <c r="DA1619" s="717"/>
      <c r="DB1619" s="717"/>
      <c r="DC1619" s="717"/>
      <c r="DD1619" s="717"/>
      <c r="DE1619" s="717"/>
      <c r="DF1619" s="717"/>
      <c r="DG1619" s="717"/>
      <c r="DH1619" s="717"/>
      <c r="DI1619" s="717"/>
      <c r="DJ1619" s="717"/>
      <c r="DM1619" s="711"/>
      <c r="DN1619" s="711"/>
      <c r="DO1619" s="711"/>
      <c r="DP1619" s="711"/>
      <c r="DQ1619" s="711"/>
    </row>
    <row r="1620" spans="13:121" s="709" customFormat="1" hidden="1">
      <c r="M1620" s="710"/>
      <c r="P1620" s="711"/>
      <c r="Q1620" s="712"/>
      <c r="U1620" s="711"/>
      <c r="V1620" s="711"/>
      <c r="W1620" s="711"/>
      <c r="X1620" s="711"/>
      <c r="Y1620" s="711"/>
      <c r="Z1620" s="711"/>
      <c r="AU1620" s="713"/>
      <c r="AW1620" s="712"/>
      <c r="BY1620" s="714"/>
      <c r="BZ1620" s="715"/>
      <c r="CA1620" s="716"/>
      <c r="CB1620" s="717"/>
      <c r="CC1620" s="717"/>
      <c r="CD1620" s="717"/>
      <c r="CE1620" s="717"/>
      <c r="CF1620" s="717"/>
      <c r="CG1620" s="717"/>
      <c r="CH1620" s="717"/>
      <c r="CI1620" s="717"/>
      <c r="CJ1620" s="717"/>
      <c r="CK1620" s="717"/>
      <c r="CL1620" s="717"/>
      <c r="CM1620" s="717"/>
      <c r="CN1620" s="717"/>
      <c r="CO1620" s="717"/>
      <c r="CP1620" s="717"/>
      <c r="CQ1620" s="717"/>
      <c r="CR1620" s="717"/>
      <c r="CS1620" s="717"/>
      <c r="CT1620" s="717"/>
      <c r="CU1620" s="717"/>
      <c r="CV1620" s="717"/>
      <c r="CW1620" s="717"/>
      <c r="CX1620" s="717"/>
      <c r="CY1620" s="717"/>
      <c r="CZ1620" s="717"/>
      <c r="DA1620" s="717"/>
      <c r="DB1620" s="717"/>
      <c r="DC1620" s="717"/>
      <c r="DD1620" s="717"/>
      <c r="DE1620" s="717"/>
      <c r="DF1620" s="717"/>
      <c r="DG1620" s="717"/>
      <c r="DH1620" s="717"/>
      <c r="DI1620" s="717"/>
      <c r="DJ1620" s="717"/>
      <c r="DM1620" s="711"/>
      <c r="DN1620" s="711"/>
      <c r="DO1620" s="711"/>
      <c r="DP1620" s="711"/>
      <c r="DQ1620" s="711"/>
    </row>
    <row r="1621" spans="13:121" s="709" customFormat="1" hidden="1">
      <c r="M1621" s="710"/>
      <c r="P1621" s="711"/>
      <c r="Q1621" s="712"/>
      <c r="U1621" s="711"/>
      <c r="V1621" s="711"/>
      <c r="W1621" s="711"/>
      <c r="X1621" s="711"/>
      <c r="Y1621" s="711"/>
      <c r="Z1621" s="711"/>
      <c r="AU1621" s="713"/>
      <c r="AW1621" s="712"/>
      <c r="BY1621" s="714"/>
      <c r="BZ1621" s="715"/>
      <c r="CA1621" s="716"/>
      <c r="CB1621" s="717"/>
      <c r="CC1621" s="717"/>
      <c r="CD1621" s="717"/>
      <c r="CE1621" s="717"/>
      <c r="CF1621" s="717"/>
      <c r="CG1621" s="717"/>
      <c r="CH1621" s="717"/>
      <c r="CI1621" s="717"/>
      <c r="CJ1621" s="717"/>
      <c r="CK1621" s="717"/>
      <c r="CL1621" s="717"/>
      <c r="CM1621" s="717"/>
      <c r="CN1621" s="717"/>
      <c r="CO1621" s="717"/>
      <c r="CP1621" s="717"/>
      <c r="CQ1621" s="717"/>
      <c r="CR1621" s="717"/>
      <c r="CS1621" s="717"/>
      <c r="CT1621" s="717"/>
      <c r="CU1621" s="717"/>
      <c r="CV1621" s="717"/>
      <c r="CW1621" s="717"/>
      <c r="CX1621" s="717"/>
      <c r="CY1621" s="717"/>
      <c r="CZ1621" s="717"/>
      <c r="DA1621" s="717"/>
      <c r="DB1621" s="717"/>
      <c r="DC1621" s="717"/>
      <c r="DD1621" s="717"/>
      <c r="DE1621" s="717"/>
      <c r="DF1621" s="717"/>
      <c r="DG1621" s="717"/>
      <c r="DH1621" s="717"/>
      <c r="DI1621" s="717"/>
      <c r="DJ1621" s="717"/>
      <c r="DM1621" s="711"/>
      <c r="DN1621" s="711"/>
      <c r="DO1621" s="711"/>
      <c r="DP1621" s="711"/>
      <c r="DQ1621" s="711"/>
    </row>
    <row r="1622" spans="13:121" s="709" customFormat="1" hidden="1">
      <c r="M1622" s="710"/>
      <c r="P1622" s="711"/>
      <c r="Q1622" s="712"/>
      <c r="U1622" s="711"/>
      <c r="V1622" s="711"/>
      <c r="W1622" s="711"/>
      <c r="X1622" s="711"/>
      <c r="Y1622" s="711"/>
      <c r="Z1622" s="711"/>
      <c r="AU1622" s="713"/>
      <c r="AW1622" s="712"/>
      <c r="BY1622" s="714"/>
      <c r="BZ1622" s="715"/>
      <c r="CA1622" s="716"/>
      <c r="CB1622" s="717"/>
      <c r="CC1622" s="717"/>
      <c r="CD1622" s="717"/>
      <c r="CE1622" s="717"/>
      <c r="CF1622" s="717"/>
      <c r="CG1622" s="717"/>
      <c r="CH1622" s="717"/>
      <c r="CI1622" s="717"/>
      <c r="CJ1622" s="717"/>
      <c r="CK1622" s="717"/>
      <c r="CL1622" s="717"/>
      <c r="CM1622" s="717"/>
      <c r="CN1622" s="717"/>
      <c r="CO1622" s="717"/>
      <c r="CP1622" s="717"/>
      <c r="CQ1622" s="717"/>
      <c r="CR1622" s="717"/>
      <c r="CS1622" s="717"/>
      <c r="CT1622" s="717"/>
      <c r="CU1622" s="717"/>
      <c r="CV1622" s="717"/>
      <c r="CW1622" s="717"/>
      <c r="CX1622" s="717"/>
      <c r="CY1622" s="717"/>
      <c r="CZ1622" s="717"/>
      <c r="DA1622" s="717"/>
      <c r="DB1622" s="717"/>
      <c r="DC1622" s="717"/>
      <c r="DD1622" s="717"/>
      <c r="DE1622" s="717"/>
      <c r="DF1622" s="717"/>
      <c r="DG1622" s="717"/>
      <c r="DH1622" s="717"/>
      <c r="DI1622" s="717"/>
      <c r="DJ1622" s="717"/>
      <c r="DM1622" s="711"/>
      <c r="DN1622" s="711"/>
      <c r="DO1622" s="711"/>
      <c r="DP1622" s="711"/>
      <c r="DQ1622" s="711"/>
    </row>
    <row r="1623" spans="13:121" s="709" customFormat="1" hidden="1">
      <c r="M1623" s="710"/>
      <c r="P1623" s="711"/>
      <c r="Q1623" s="712"/>
      <c r="U1623" s="711"/>
      <c r="V1623" s="711"/>
      <c r="W1623" s="711"/>
      <c r="X1623" s="711"/>
      <c r="Y1623" s="711"/>
      <c r="Z1623" s="711"/>
      <c r="AU1623" s="713"/>
      <c r="AW1623" s="712"/>
      <c r="BY1623" s="714"/>
      <c r="BZ1623" s="715"/>
      <c r="CA1623" s="716"/>
      <c r="CB1623" s="717"/>
      <c r="CC1623" s="717"/>
      <c r="CD1623" s="717"/>
      <c r="CE1623" s="717"/>
      <c r="CF1623" s="717"/>
      <c r="CG1623" s="717"/>
      <c r="CH1623" s="717"/>
      <c r="CI1623" s="717"/>
      <c r="CJ1623" s="717"/>
      <c r="CK1623" s="717"/>
      <c r="CL1623" s="717"/>
      <c r="CM1623" s="717"/>
      <c r="CN1623" s="717"/>
      <c r="CO1623" s="717"/>
      <c r="CP1623" s="717"/>
      <c r="CQ1623" s="717"/>
      <c r="CR1623" s="717"/>
      <c r="CS1623" s="717"/>
      <c r="CT1623" s="717"/>
      <c r="CU1623" s="717"/>
      <c r="CV1623" s="717"/>
      <c r="CW1623" s="717"/>
      <c r="CX1623" s="717"/>
      <c r="CY1623" s="717"/>
      <c r="CZ1623" s="717"/>
      <c r="DA1623" s="717"/>
      <c r="DB1623" s="717"/>
      <c r="DC1623" s="717"/>
      <c r="DD1623" s="717"/>
      <c r="DE1623" s="717"/>
      <c r="DF1623" s="717"/>
      <c r="DG1623" s="717"/>
      <c r="DH1623" s="717"/>
      <c r="DI1623" s="717"/>
      <c r="DJ1623" s="717"/>
      <c r="DM1623" s="711"/>
      <c r="DN1623" s="711"/>
      <c r="DO1623" s="711"/>
      <c r="DP1623" s="711"/>
      <c r="DQ1623" s="711"/>
    </row>
    <row r="1624" spans="13:121" s="709" customFormat="1" hidden="1">
      <c r="M1624" s="710"/>
      <c r="P1624" s="711"/>
      <c r="Q1624" s="712"/>
      <c r="U1624" s="711"/>
      <c r="V1624" s="711"/>
      <c r="W1624" s="711"/>
      <c r="X1624" s="711"/>
      <c r="Y1624" s="711"/>
      <c r="Z1624" s="711"/>
      <c r="AU1624" s="713"/>
      <c r="AW1624" s="712"/>
      <c r="BY1624" s="714"/>
      <c r="BZ1624" s="715"/>
      <c r="CA1624" s="716"/>
      <c r="CB1624" s="717"/>
      <c r="CC1624" s="717"/>
      <c r="CD1624" s="717"/>
      <c r="CE1624" s="717"/>
      <c r="CF1624" s="717"/>
      <c r="CG1624" s="717"/>
      <c r="CH1624" s="717"/>
      <c r="CI1624" s="717"/>
      <c r="CJ1624" s="717"/>
      <c r="CK1624" s="717"/>
      <c r="CL1624" s="717"/>
      <c r="CM1624" s="717"/>
      <c r="CN1624" s="717"/>
      <c r="CO1624" s="717"/>
      <c r="CP1624" s="717"/>
      <c r="CQ1624" s="717"/>
      <c r="CR1624" s="717"/>
      <c r="CS1624" s="717"/>
      <c r="CT1624" s="717"/>
      <c r="CU1624" s="717"/>
      <c r="CV1624" s="717"/>
      <c r="CW1624" s="717"/>
      <c r="CX1624" s="717"/>
      <c r="CY1624" s="717"/>
      <c r="CZ1624" s="717"/>
      <c r="DA1624" s="717"/>
      <c r="DB1624" s="717"/>
      <c r="DC1624" s="717"/>
      <c r="DD1624" s="717"/>
      <c r="DE1624" s="717"/>
      <c r="DF1624" s="717"/>
      <c r="DG1624" s="717"/>
      <c r="DH1624" s="717"/>
      <c r="DI1624" s="717"/>
      <c r="DJ1624" s="717"/>
      <c r="DM1624" s="711"/>
      <c r="DN1624" s="711"/>
      <c r="DO1624" s="711"/>
      <c r="DP1624" s="711"/>
      <c r="DQ1624" s="711"/>
    </row>
    <row r="1625" spans="13:121" s="709" customFormat="1" hidden="1">
      <c r="M1625" s="710"/>
      <c r="P1625" s="711"/>
      <c r="Q1625" s="712"/>
      <c r="U1625" s="711"/>
      <c r="V1625" s="711"/>
      <c r="W1625" s="711"/>
      <c r="X1625" s="711"/>
      <c r="Y1625" s="711"/>
      <c r="Z1625" s="711"/>
      <c r="AU1625" s="713"/>
      <c r="AW1625" s="712"/>
      <c r="BY1625" s="714"/>
      <c r="BZ1625" s="715"/>
      <c r="CA1625" s="716"/>
      <c r="CB1625" s="717"/>
      <c r="CC1625" s="717"/>
      <c r="CD1625" s="717"/>
      <c r="CE1625" s="717"/>
      <c r="CF1625" s="717"/>
      <c r="CG1625" s="717"/>
      <c r="CH1625" s="717"/>
      <c r="CI1625" s="717"/>
      <c r="CJ1625" s="717"/>
      <c r="CK1625" s="717"/>
      <c r="CL1625" s="717"/>
      <c r="CM1625" s="717"/>
      <c r="CN1625" s="717"/>
      <c r="CO1625" s="717"/>
      <c r="CP1625" s="717"/>
      <c r="CQ1625" s="717"/>
      <c r="CR1625" s="717"/>
      <c r="CS1625" s="717"/>
      <c r="CT1625" s="717"/>
      <c r="CU1625" s="717"/>
      <c r="CV1625" s="717"/>
      <c r="CW1625" s="717"/>
      <c r="CX1625" s="717"/>
      <c r="CY1625" s="717"/>
      <c r="CZ1625" s="717"/>
      <c r="DA1625" s="717"/>
      <c r="DB1625" s="717"/>
      <c r="DC1625" s="717"/>
      <c r="DD1625" s="717"/>
      <c r="DE1625" s="717"/>
      <c r="DF1625" s="717"/>
      <c r="DG1625" s="717"/>
      <c r="DH1625" s="717"/>
      <c r="DI1625" s="717"/>
      <c r="DJ1625" s="717"/>
      <c r="DM1625" s="711"/>
      <c r="DN1625" s="711"/>
      <c r="DO1625" s="711"/>
      <c r="DP1625" s="711"/>
      <c r="DQ1625" s="711"/>
    </row>
    <row r="1626" spans="13:121" s="709" customFormat="1" hidden="1">
      <c r="M1626" s="710"/>
      <c r="P1626" s="711"/>
      <c r="Q1626" s="712"/>
      <c r="U1626" s="711"/>
      <c r="V1626" s="711"/>
      <c r="W1626" s="711"/>
      <c r="X1626" s="711"/>
      <c r="Y1626" s="711"/>
      <c r="Z1626" s="711"/>
      <c r="AU1626" s="713"/>
      <c r="AW1626" s="712"/>
      <c r="BY1626" s="714"/>
      <c r="BZ1626" s="715"/>
      <c r="CA1626" s="716"/>
      <c r="CB1626" s="717"/>
      <c r="CC1626" s="717"/>
      <c r="CD1626" s="717"/>
      <c r="CE1626" s="717"/>
      <c r="CF1626" s="717"/>
      <c r="CG1626" s="717"/>
      <c r="CH1626" s="717"/>
      <c r="CI1626" s="717"/>
      <c r="CJ1626" s="717"/>
      <c r="CK1626" s="717"/>
      <c r="CL1626" s="717"/>
      <c r="CM1626" s="717"/>
      <c r="CN1626" s="717"/>
      <c r="CO1626" s="717"/>
      <c r="CP1626" s="717"/>
      <c r="CQ1626" s="717"/>
      <c r="CR1626" s="717"/>
      <c r="CS1626" s="717"/>
      <c r="CT1626" s="717"/>
      <c r="CU1626" s="717"/>
      <c r="CV1626" s="717"/>
      <c r="CW1626" s="717"/>
      <c r="CX1626" s="717"/>
      <c r="CY1626" s="717"/>
      <c r="CZ1626" s="717"/>
      <c r="DA1626" s="717"/>
      <c r="DB1626" s="717"/>
      <c r="DC1626" s="717"/>
      <c r="DD1626" s="717"/>
      <c r="DE1626" s="717"/>
      <c r="DF1626" s="717"/>
      <c r="DG1626" s="717"/>
      <c r="DH1626" s="717"/>
      <c r="DI1626" s="717"/>
      <c r="DJ1626" s="717"/>
      <c r="DM1626" s="711"/>
      <c r="DN1626" s="711"/>
      <c r="DO1626" s="711"/>
      <c r="DP1626" s="711"/>
      <c r="DQ1626" s="711"/>
    </row>
    <row r="1627" spans="13:121" s="709" customFormat="1" hidden="1">
      <c r="M1627" s="710"/>
      <c r="P1627" s="711"/>
      <c r="Q1627" s="712"/>
      <c r="U1627" s="711"/>
      <c r="V1627" s="711"/>
      <c r="W1627" s="711"/>
      <c r="X1627" s="711"/>
      <c r="Y1627" s="711"/>
      <c r="Z1627" s="711"/>
      <c r="AU1627" s="713"/>
      <c r="AW1627" s="712"/>
      <c r="BY1627" s="714"/>
      <c r="BZ1627" s="715"/>
      <c r="CA1627" s="716"/>
      <c r="CB1627" s="717"/>
      <c r="CC1627" s="717"/>
      <c r="CD1627" s="717"/>
      <c r="CE1627" s="717"/>
      <c r="CF1627" s="717"/>
      <c r="CG1627" s="717"/>
      <c r="CH1627" s="717"/>
      <c r="CI1627" s="717"/>
      <c r="CJ1627" s="717"/>
      <c r="CK1627" s="717"/>
      <c r="CL1627" s="717"/>
      <c r="CM1627" s="717"/>
      <c r="CN1627" s="717"/>
      <c r="CO1627" s="717"/>
      <c r="CP1627" s="717"/>
      <c r="CQ1627" s="717"/>
      <c r="CR1627" s="717"/>
      <c r="CS1627" s="717"/>
      <c r="CT1627" s="717"/>
      <c r="CU1627" s="717"/>
      <c r="CV1627" s="717"/>
      <c r="CW1627" s="717"/>
      <c r="CX1627" s="717"/>
      <c r="CY1627" s="717"/>
      <c r="CZ1627" s="717"/>
      <c r="DA1627" s="717"/>
      <c r="DB1627" s="717"/>
      <c r="DC1627" s="717"/>
      <c r="DD1627" s="717"/>
      <c r="DE1627" s="717"/>
      <c r="DF1627" s="717"/>
      <c r="DG1627" s="717"/>
      <c r="DH1627" s="717"/>
      <c r="DI1627" s="717"/>
      <c r="DJ1627" s="717"/>
      <c r="DM1627" s="711"/>
      <c r="DN1627" s="711"/>
      <c r="DO1627" s="711"/>
      <c r="DP1627" s="711"/>
      <c r="DQ1627" s="711"/>
    </row>
    <row r="1628" spans="13:121" s="709" customFormat="1" hidden="1">
      <c r="M1628" s="710"/>
      <c r="P1628" s="711"/>
      <c r="Q1628" s="712"/>
      <c r="U1628" s="711"/>
      <c r="V1628" s="711"/>
      <c r="W1628" s="711"/>
      <c r="X1628" s="711"/>
      <c r="Y1628" s="711"/>
      <c r="Z1628" s="711"/>
      <c r="AU1628" s="713"/>
      <c r="AW1628" s="712"/>
      <c r="BY1628" s="714"/>
      <c r="BZ1628" s="715"/>
      <c r="CA1628" s="716"/>
      <c r="CB1628" s="717"/>
      <c r="CC1628" s="717"/>
      <c r="CD1628" s="717"/>
      <c r="CE1628" s="717"/>
      <c r="CF1628" s="717"/>
      <c r="CG1628" s="717"/>
      <c r="CH1628" s="717"/>
      <c r="CI1628" s="717"/>
      <c r="CJ1628" s="717"/>
      <c r="CK1628" s="717"/>
      <c r="CL1628" s="717"/>
      <c r="CM1628" s="717"/>
      <c r="CN1628" s="717"/>
      <c r="CO1628" s="717"/>
      <c r="CP1628" s="717"/>
      <c r="CQ1628" s="717"/>
      <c r="CR1628" s="717"/>
      <c r="CS1628" s="717"/>
      <c r="CT1628" s="717"/>
      <c r="CU1628" s="717"/>
      <c r="CV1628" s="717"/>
      <c r="CW1628" s="717"/>
      <c r="CX1628" s="717"/>
      <c r="CY1628" s="717"/>
      <c r="CZ1628" s="717"/>
      <c r="DA1628" s="717"/>
      <c r="DB1628" s="717"/>
      <c r="DC1628" s="717"/>
      <c r="DD1628" s="717"/>
      <c r="DE1628" s="717"/>
      <c r="DF1628" s="717"/>
      <c r="DG1628" s="717"/>
      <c r="DH1628" s="717"/>
      <c r="DI1628" s="717"/>
      <c r="DJ1628" s="717"/>
      <c r="DM1628" s="711"/>
      <c r="DN1628" s="711"/>
      <c r="DO1628" s="711"/>
      <c r="DP1628" s="711"/>
      <c r="DQ1628" s="711"/>
    </row>
    <row r="1629" spans="13:121" s="709" customFormat="1" hidden="1">
      <c r="M1629" s="710"/>
      <c r="P1629" s="711"/>
      <c r="Q1629" s="712"/>
      <c r="U1629" s="711"/>
      <c r="V1629" s="711"/>
      <c r="W1629" s="711"/>
      <c r="X1629" s="711"/>
      <c r="Y1629" s="711"/>
      <c r="Z1629" s="711"/>
      <c r="AU1629" s="713"/>
      <c r="AW1629" s="712"/>
      <c r="BY1629" s="714"/>
      <c r="BZ1629" s="715"/>
      <c r="CA1629" s="716"/>
      <c r="CB1629" s="717"/>
      <c r="CC1629" s="717"/>
      <c r="CD1629" s="717"/>
      <c r="CE1629" s="717"/>
      <c r="CF1629" s="717"/>
      <c r="CG1629" s="717"/>
      <c r="CH1629" s="717"/>
      <c r="CI1629" s="717"/>
      <c r="CJ1629" s="717"/>
      <c r="CK1629" s="717"/>
      <c r="CL1629" s="717"/>
      <c r="CM1629" s="717"/>
      <c r="CN1629" s="717"/>
      <c r="CO1629" s="717"/>
      <c r="CP1629" s="717"/>
      <c r="CQ1629" s="717"/>
      <c r="CR1629" s="717"/>
      <c r="CS1629" s="717"/>
      <c r="CT1629" s="717"/>
      <c r="CU1629" s="717"/>
      <c r="CV1629" s="717"/>
      <c r="CW1629" s="717"/>
      <c r="CX1629" s="717"/>
      <c r="CY1629" s="717"/>
      <c r="CZ1629" s="717"/>
      <c r="DA1629" s="717"/>
      <c r="DB1629" s="717"/>
      <c r="DC1629" s="717"/>
      <c r="DD1629" s="717"/>
      <c r="DE1629" s="717"/>
      <c r="DF1629" s="717"/>
      <c r="DG1629" s="717"/>
      <c r="DH1629" s="717"/>
      <c r="DI1629" s="717"/>
      <c r="DJ1629" s="717"/>
      <c r="DM1629" s="711"/>
      <c r="DN1629" s="711"/>
      <c r="DO1629" s="711"/>
      <c r="DP1629" s="711"/>
      <c r="DQ1629" s="711"/>
    </row>
    <row r="1630" spans="13:121" s="709" customFormat="1" hidden="1">
      <c r="M1630" s="710"/>
      <c r="P1630" s="711"/>
      <c r="Q1630" s="712"/>
      <c r="U1630" s="711"/>
      <c r="V1630" s="711"/>
      <c r="W1630" s="711"/>
      <c r="X1630" s="711"/>
      <c r="Y1630" s="711"/>
      <c r="Z1630" s="711"/>
      <c r="AU1630" s="713"/>
      <c r="AW1630" s="712"/>
      <c r="BY1630" s="714"/>
      <c r="BZ1630" s="715"/>
      <c r="CA1630" s="716"/>
      <c r="CB1630" s="717"/>
      <c r="CC1630" s="717"/>
      <c r="CD1630" s="717"/>
      <c r="CE1630" s="717"/>
      <c r="CF1630" s="717"/>
      <c r="CG1630" s="717"/>
      <c r="CH1630" s="717"/>
      <c r="CI1630" s="717"/>
      <c r="CJ1630" s="717"/>
      <c r="CK1630" s="717"/>
      <c r="CL1630" s="717"/>
      <c r="CM1630" s="717"/>
      <c r="CN1630" s="717"/>
      <c r="CO1630" s="717"/>
      <c r="CP1630" s="717"/>
      <c r="CQ1630" s="717"/>
      <c r="CR1630" s="717"/>
      <c r="CS1630" s="717"/>
      <c r="CT1630" s="717"/>
      <c r="CU1630" s="717"/>
      <c r="CV1630" s="717"/>
      <c r="CW1630" s="717"/>
      <c r="CX1630" s="717"/>
      <c r="CY1630" s="717"/>
      <c r="CZ1630" s="717"/>
      <c r="DA1630" s="717"/>
      <c r="DB1630" s="717"/>
      <c r="DC1630" s="717"/>
      <c r="DD1630" s="717"/>
      <c r="DE1630" s="717"/>
      <c r="DF1630" s="717"/>
      <c r="DG1630" s="717"/>
      <c r="DH1630" s="717"/>
      <c r="DI1630" s="717"/>
      <c r="DJ1630" s="717"/>
      <c r="DM1630" s="711"/>
      <c r="DN1630" s="711"/>
      <c r="DO1630" s="711"/>
      <c r="DP1630" s="711"/>
      <c r="DQ1630" s="711"/>
    </row>
    <row r="1631" spans="13:121" s="709" customFormat="1" hidden="1">
      <c r="M1631" s="710"/>
      <c r="P1631" s="711"/>
      <c r="Q1631" s="712"/>
      <c r="U1631" s="711"/>
      <c r="V1631" s="711"/>
      <c r="W1631" s="711"/>
      <c r="X1631" s="711"/>
      <c r="Y1631" s="711"/>
      <c r="Z1631" s="711"/>
      <c r="AU1631" s="713"/>
      <c r="AW1631" s="712"/>
      <c r="BY1631" s="714"/>
      <c r="BZ1631" s="715"/>
      <c r="CA1631" s="716"/>
      <c r="CB1631" s="717"/>
      <c r="CC1631" s="717"/>
      <c r="CD1631" s="717"/>
      <c r="CE1631" s="717"/>
      <c r="CF1631" s="717"/>
      <c r="CG1631" s="717"/>
      <c r="CH1631" s="717"/>
      <c r="CI1631" s="717"/>
      <c r="CJ1631" s="717"/>
      <c r="CK1631" s="717"/>
      <c r="CL1631" s="717"/>
      <c r="CM1631" s="717"/>
      <c r="CN1631" s="717"/>
      <c r="CO1631" s="717"/>
      <c r="CP1631" s="717"/>
      <c r="CQ1631" s="717"/>
      <c r="CR1631" s="717"/>
      <c r="CS1631" s="717"/>
      <c r="CT1631" s="717"/>
      <c r="CU1631" s="717"/>
      <c r="CV1631" s="717"/>
      <c r="CW1631" s="717"/>
      <c r="CX1631" s="717"/>
      <c r="CY1631" s="717"/>
      <c r="CZ1631" s="717"/>
      <c r="DA1631" s="717"/>
      <c r="DB1631" s="717"/>
      <c r="DC1631" s="717"/>
      <c r="DD1631" s="717"/>
      <c r="DE1631" s="717"/>
      <c r="DF1631" s="717"/>
      <c r="DG1631" s="717"/>
      <c r="DH1631" s="717"/>
      <c r="DI1631" s="717"/>
      <c r="DJ1631" s="717"/>
      <c r="DM1631" s="711"/>
      <c r="DN1631" s="711"/>
      <c r="DO1631" s="711"/>
      <c r="DP1631" s="711"/>
      <c r="DQ1631" s="711"/>
    </row>
    <row r="1632" spans="13:121" s="709" customFormat="1" hidden="1">
      <c r="M1632" s="710"/>
      <c r="P1632" s="711"/>
      <c r="Q1632" s="712"/>
      <c r="U1632" s="711"/>
      <c r="V1632" s="711"/>
      <c r="W1632" s="711"/>
      <c r="X1632" s="711"/>
      <c r="Y1632" s="711"/>
      <c r="Z1632" s="711"/>
      <c r="AU1632" s="713"/>
      <c r="AW1632" s="712"/>
      <c r="BY1632" s="714"/>
      <c r="BZ1632" s="715"/>
      <c r="CA1632" s="716"/>
      <c r="CB1632" s="717"/>
      <c r="CC1632" s="717"/>
      <c r="CD1632" s="717"/>
      <c r="CE1632" s="717"/>
      <c r="CF1632" s="717"/>
      <c r="CG1632" s="717"/>
      <c r="CH1632" s="717"/>
      <c r="CI1632" s="717"/>
      <c r="CJ1632" s="717"/>
      <c r="CK1632" s="717"/>
      <c r="CL1632" s="717"/>
      <c r="CM1632" s="717"/>
      <c r="CN1632" s="717"/>
      <c r="CO1632" s="717"/>
      <c r="CP1632" s="717"/>
      <c r="CQ1632" s="717"/>
      <c r="CR1632" s="717"/>
      <c r="CS1632" s="717"/>
      <c r="CT1632" s="717"/>
      <c r="CU1632" s="717"/>
      <c r="CV1632" s="717"/>
      <c r="CW1632" s="717"/>
      <c r="CX1632" s="717"/>
      <c r="CY1632" s="717"/>
      <c r="CZ1632" s="717"/>
      <c r="DA1632" s="717"/>
      <c r="DB1632" s="717"/>
      <c r="DC1632" s="717"/>
      <c r="DD1632" s="717"/>
      <c r="DE1632" s="717"/>
      <c r="DF1632" s="717"/>
      <c r="DG1632" s="717"/>
      <c r="DH1632" s="717"/>
      <c r="DI1632" s="717"/>
      <c r="DJ1632" s="717"/>
      <c r="DM1632" s="711"/>
      <c r="DN1632" s="711"/>
      <c r="DO1632" s="711"/>
      <c r="DP1632" s="711"/>
      <c r="DQ1632" s="711"/>
    </row>
    <row r="1633" spans="13:121" s="709" customFormat="1" hidden="1">
      <c r="M1633" s="710"/>
      <c r="P1633" s="711"/>
      <c r="Q1633" s="712"/>
      <c r="U1633" s="711"/>
      <c r="V1633" s="711"/>
      <c r="W1633" s="711"/>
      <c r="X1633" s="711"/>
      <c r="Y1633" s="711"/>
      <c r="Z1633" s="711"/>
      <c r="AU1633" s="713"/>
      <c r="AW1633" s="712"/>
      <c r="BY1633" s="714"/>
      <c r="BZ1633" s="715"/>
      <c r="CA1633" s="716"/>
      <c r="CB1633" s="717"/>
      <c r="CC1633" s="717"/>
      <c r="CD1633" s="717"/>
      <c r="CE1633" s="717"/>
      <c r="CF1633" s="717"/>
      <c r="CG1633" s="717"/>
      <c r="CH1633" s="717"/>
      <c r="CI1633" s="717"/>
      <c r="CJ1633" s="717"/>
      <c r="CK1633" s="717"/>
      <c r="CL1633" s="717"/>
      <c r="CM1633" s="717"/>
      <c r="CN1633" s="717"/>
      <c r="CO1633" s="717"/>
      <c r="CP1633" s="717"/>
      <c r="CQ1633" s="717"/>
      <c r="CR1633" s="717"/>
      <c r="CS1633" s="717"/>
      <c r="CT1633" s="717"/>
      <c r="CU1633" s="717"/>
      <c r="CV1633" s="717"/>
      <c r="CW1633" s="717"/>
      <c r="CX1633" s="717"/>
      <c r="CY1633" s="717"/>
      <c r="CZ1633" s="717"/>
      <c r="DA1633" s="717"/>
      <c r="DB1633" s="717"/>
      <c r="DC1633" s="717"/>
      <c r="DD1633" s="717"/>
      <c r="DE1633" s="717"/>
      <c r="DF1633" s="717"/>
      <c r="DG1633" s="717"/>
      <c r="DH1633" s="717"/>
      <c r="DI1633" s="717"/>
      <c r="DJ1633" s="717"/>
      <c r="DM1633" s="711"/>
      <c r="DN1633" s="711"/>
      <c r="DO1633" s="711"/>
      <c r="DP1633" s="711"/>
      <c r="DQ1633" s="711"/>
    </row>
    <row r="1634" spans="13:121" s="709" customFormat="1" hidden="1">
      <c r="M1634" s="710"/>
      <c r="P1634" s="711"/>
      <c r="Q1634" s="712"/>
      <c r="U1634" s="711"/>
      <c r="V1634" s="711"/>
      <c r="W1634" s="711"/>
      <c r="X1634" s="711"/>
      <c r="Y1634" s="711"/>
      <c r="Z1634" s="711"/>
      <c r="AU1634" s="713"/>
      <c r="AW1634" s="712"/>
      <c r="BY1634" s="714"/>
      <c r="BZ1634" s="715"/>
      <c r="CA1634" s="716"/>
      <c r="CB1634" s="717"/>
      <c r="CC1634" s="717"/>
      <c r="CD1634" s="717"/>
      <c r="CE1634" s="717"/>
      <c r="CF1634" s="717"/>
      <c r="CG1634" s="717"/>
      <c r="CH1634" s="717"/>
      <c r="CI1634" s="717"/>
      <c r="CJ1634" s="717"/>
      <c r="CK1634" s="717"/>
      <c r="CL1634" s="717"/>
      <c r="CM1634" s="717"/>
      <c r="CN1634" s="717"/>
      <c r="CO1634" s="717"/>
      <c r="CP1634" s="717"/>
      <c r="CQ1634" s="717"/>
      <c r="CR1634" s="717"/>
      <c r="CS1634" s="717"/>
      <c r="CT1634" s="717"/>
      <c r="CU1634" s="717"/>
      <c r="CV1634" s="717"/>
      <c r="CW1634" s="717"/>
      <c r="CX1634" s="717"/>
      <c r="CY1634" s="717"/>
      <c r="CZ1634" s="717"/>
      <c r="DA1634" s="717"/>
      <c r="DB1634" s="717"/>
      <c r="DC1634" s="717"/>
      <c r="DD1634" s="717"/>
      <c r="DE1634" s="717"/>
      <c r="DF1634" s="717"/>
      <c r="DG1634" s="717"/>
      <c r="DH1634" s="717"/>
      <c r="DI1634" s="717"/>
      <c r="DJ1634" s="717"/>
      <c r="DM1634" s="711"/>
      <c r="DN1634" s="711"/>
      <c r="DO1634" s="711"/>
      <c r="DP1634" s="711"/>
      <c r="DQ1634" s="711"/>
    </row>
    <row r="1635" spans="13:121" s="709" customFormat="1" hidden="1">
      <c r="M1635" s="710"/>
      <c r="P1635" s="711"/>
      <c r="Q1635" s="712"/>
      <c r="U1635" s="711"/>
      <c r="V1635" s="711"/>
      <c r="W1635" s="711"/>
      <c r="X1635" s="711"/>
      <c r="Y1635" s="711"/>
      <c r="Z1635" s="711"/>
      <c r="AU1635" s="713"/>
      <c r="AW1635" s="712"/>
      <c r="BY1635" s="714"/>
      <c r="BZ1635" s="715"/>
      <c r="CA1635" s="716"/>
      <c r="CB1635" s="717"/>
      <c r="CC1635" s="717"/>
      <c r="CD1635" s="717"/>
      <c r="CE1635" s="717"/>
      <c r="CF1635" s="717"/>
      <c r="CG1635" s="717"/>
      <c r="CH1635" s="717"/>
      <c r="CI1635" s="717"/>
      <c r="CJ1635" s="717"/>
      <c r="CK1635" s="717"/>
      <c r="CL1635" s="717"/>
      <c r="CM1635" s="717"/>
      <c r="CN1635" s="717"/>
      <c r="CO1635" s="717"/>
      <c r="CP1635" s="717"/>
      <c r="CQ1635" s="717"/>
      <c r="CR1635" s="717"/>
      <c r="CS1635" s="717"/>
      <c r="CT1635" s="717"/>
      <c r="CU1635" s="717"/>
      <c r="CV1635" s="717"/>
      <c r="CW1635" s="717"/>
      <c r="CX1635" s="717"/>
      <c r="CY1635" s="717"/>
      <c r="CZ1635" s="717"/>
      <c r="DA1635" s="717"/>
      <c r="DB1635" s="717"/>
      <c r="DC1635" s="717"/>
      <c r="DD1635" s="717"/>
      <c r="DE1635" s="717"/>
      <c r="DF1635" s="717"/>
      <c r="DG1635" s="717"/>
      <c r="DH1635" s="717"/>
      <c r="DI1635" s="717"/>
      <c r="DJ1635" s="717"/>
      <c r="DM1635" s="711"/>
      <c r="DN1635" s="711"/>
      <c r="DO1635" s="711"/>
      <c r="DP1635" s="711"/>
      <c r="DQ1635" s="711"/>
    </row>
    <row r="1636" spans="13:121" s="709" customFormat="1" hidden="1">
      <c r="M1636" s="710"/>
      <c r="P1636" s="711"/>
      <c r="Q1636" s="712"/>
      <c r="U1636" s="711"/>
      <c r="V1636" s="711"/>
      <c r="W1636" s="711"/>
      <c r="X1636" s="711"/>
      <c r="Y1636" s="711"/>
      <c r="Z1636" s="711"/>
      <c r="AU1636" s="713"/>
      <c r="AW1636" s="712"/>
      <c r="BY1636" s="714"/>
      <c r="BZ1636" s="715"/>
      <c r="CA1636" s="716"/>
      <c r="CB1636" s="717"/>
      <c r="CC1636" s="717"/>
      <c r="CD1636" s="717"/>
      <c r="CE1636" s="717"/>
      <c r="CF1636" s="717"/>
      <c r="CG1636" s="717"/>
      <c r="CH1636" s="717"/>
      <c r="CI1636" s="717"/>
      <c r="CJ1636" s="717"/>
      <c r="CK1636" s="717"/>
      <c r="CL1636" s="717"/>
      <c r="CM1636" s="717"/>
      <c r="CN1636" s="717"/>
      <c r="CO1636" s="717"/>
      <c r="CP1636" s="717"/>
      <c r="CQ1636" s="717"/>
      <c r="CR1636" s="717"/>
      <c r="CS1636" s="717"/>
      <c r="CT1636" s="717"/>
      <c r="CU1636" s="717"/>
      <c r="CV1636" s="717"/>
      <c r="CW1636" s="717"/>
      <c r="CX1636" s="717"/>
      <c r="CY1636" s="717"/>
      <c r="CZ1636" s="717"/>
      <c r="DA1636" s="717"/>
      <c r="DB1636" s="717"/>
      <c r="DC1636" s="717"/>
      <c r="DD1636" s="717"/>
      <c r="DE1636" s="717"/>
      <c r="DF1636" s="717"/>
      <c r="DG1636" s="717"/>
      <c r="DH1636" s="717"/>
      <c r="DI1636" s="717"/>
      <c r="DJ1636" s="717"/>
      <c r="DM1636" s="711"/>
      <c r="DN1636" s="711"/>
      <c r="DO1636" s="711"/>
      <c r="DP1636" s="711"/>
      <c r="DQ1636" s="711"/>
    </row>
    <row r="1637" spans="13:121" s="709" customFormat="1" hidden="1">
      <c r="M1637" s="710"/>
      <c r="P1637" s="711"/>
      <c r="Q1637" s="712"/>
      <c r="U1637" s="711"/>
      <c r="V1637" s="711"/>
      <c r="W1637" s="711"/>
      <c r="X1637" s="711"/>
      <c r="Y1637" s="711"/>
      <c r="Z1637" s="711"/>
      <c r="AU1637" s="713"/>
      <c r="AW1637" s="712"/>
      <c r="BY1637" s="714"/>
      <c r="BZ1637" s="715"/>
      <c r="CA1637" s="716"/>
      <c r="CB1637" s="717"/>
      <c r="CC1637" s="717"/>
      <c r="CD1637" s="717"/>
      <c r="CE1637" s="717"/>
      <c r="CF1637" s="717"/>
      <c r="CG1637" s="717"/>
      <c r="CH1637" s="717"/>
      <c r="CI1637" s="717"/>
      <c r="CJ1637" s="717"/>
      <c r="CK1637" s="717"/>
      <c r="CL1637" s="717"/>
      <c r="CM1637" s="717"/>
      <c r="CN1637" s="717"/>
      <c r="CO1637" s="717"/>
      <c r="CP1637" s="717"/>
      <c r="CQ1637" s="717"/>
      <c r="CR1637" s="717"/>
      <c r="CS1637" s="717"/>
      <c r="CT1637" s="717"/>
      <c r="CU1637" s="717"/>
      <c r="CV1637" s="717"/>
      <c r="CW1637" s="717"/>
      <c r="CX1637" s="717"/>
      <c r="CY1637" s="717"/>
      <c r="CZ1637" s="717"/>
      <c r="DA1637" s="717"/>
      <c r="DB1637" s="717"/>
      <c r="DC1637" s="717"/>
      <c r="DD1637" s="717"/>
      <c r="DE1637" s="717"/>
      <c r="DF1637" s="717"/>
      <c r="DG1637" s="717"/>
      <c r="DH1637" s="717"/>
      <c r="DI1637" s="717"/>
      <c r="DJ1637" s="717"/>
      <c r="DM1637" s="711"/>
      <c r="DN1637" s="711"/>
      <c r="DO1637" s="711"/>
      <c r="DP1637" s="711"/>
      <c r="DQ1637" s="711"/>
    </row>
    <row r="1638" spans="13:121" s="709" customFormat="1" hidden="1">
      <c r="M1638" s="710"/>
      <c r="P1638" s="711"/>
      <c r="Q1638" s="712"/>
      <c r="U1638" s="711"/>
      <c r="V1638" s="711"/>
      <c r="W1638" s="711"/>
      <c r="X1638" s="711"/>
      <c r="Y1638" s="711"/>
      <c r="Z1638" s="711"/>
      <c r="AU1638" s="713"/>
      <c r="AW1638" s="712"/>
      <c r="BY1638" s="714"/>
      <c r="BZ1638" s="715"/>
      <c r="CA1638" s="716"/>
      <c r="CB1638" s="717"/>
      <c r="CC1638" s="717"/>
      <c r="CD1638" s="717"/>
      <c r="CE1638" s="717"/>
      <c r="CF1638" s="717"/>
      <c r="CG1638" s="717"/>
      <c r="CH1638" s="717"/>
      <c r="CI1638" s="717"/>
      <c r="CJ1638" s="717"/>
      <c r="CK1638" s="717"/>
      <c r="CL1638" s="717"/>
      <c r="CM1638" s="717"/>
      <c r="CN1638" s="717"/>
      <c r="CO1638" s="717"/>
      <c r="CP1638" s="717"/>
      <c r="CQ1638" s="717"/>
      <c r="CR1638" s="717"/>
      <c r="CS1638" s="717"/>
      <c r="CT1638" s="717"/>
      <c r="CU1638" s="717"/>
      <c r="CV1638" s="717"/>
      <c r="CW1638" s="717"/>
      <c r="CX1638" s="717"/>
      <c r="CY1638" s="717"/>
      <c r="CZ1638" s="717"/>
      <c r="DA1638" s="717"/>
      <c r="DB1638" s="717"/>
      <c r="DC1638" s="717"/>
      <c r="DD1638" s="717"/>
      <c r="DE1638" s="717"/>
      <c r="DF1638" s="717"/>
      <c r="DG1638" s="717"/>
      <c r="DH1638" s="717"/>
      <c r="DI1638" s="717"/>
      <c r="DJ1638" s="717"/>
      <c r="DM1638" s="711"/>
      <c r="DN1638" s="711"/>
      <c r="DO1638" s="711"/>
      <c r="DP1638" s="711"/>
      <c r="DQ1638" s="711"/>
    </row>
    <row r="1639" spans="13:121" s="709" customFormat="1" hidden="1">
      <c r="M1639" s="710"/>
      <c r="P1639" s="711"/>
      <c r="Q1639" s="712"/>
      <c r="U1639" s="711"/>
      <c r="V1639" s="711"/>
      <c r="W1639" s="711"/>
      <c r="X1639" s="711"/>
      <c r="Y1639" s="711"/>
      <c r="Z1639" s="711"/>
      <c r="AU1639" s="713"/>
      <c r="AW1639" s="712"/>
      <c r="BY1639" s="714"/>
      <c r="BZ1639" s="715"/>
      <c r="CA1639" s="716"/>
      <c r="CB1639" s="717"/>
      <c r="CC1639" s="717"/>
      <c r="CD1639" s="717"/>
      <c r="CE1639" s="717"/>
      <c r="CF1639" s="717"/>
      <c r="CG1639" s="717"/>
      <c r="CH1639" s="717"/>
      <c r="CI1639" s="717"/>
      <c r="CJ1639" s="717"/>
      <c r="CK1639" s="717"/>
      <c r="CL1639" s="717"/>
      <c r="CM1639" s="717"/>
      <c r="CN1639" s="717"/>
      <c r="CO1639" s="717"/>
      <c r="CP1639" s="717"/>
      <c r="CQ1639" s="717"/>
      <c r="CR1639" s="717"/>
      <c r="CS1639" s="717"/>
      <c r="CT1639" s="717"/>
      <c r="CU1639" s="717"/>
      <c r="CV1639" s="717"/>
      <c r="CW1639" s="717"/>
      <c r="CX1639" s="717"/>
      <c r="CY1639" s="717"/>
      <c r="CZ1639" s="717"/>
      <c r="DA1639" s="717"/>
      <c r="DB1639" s="717"/>
      <c r="DC1639" s="717"/>
      <c r="DD1639" s="717"/>
      <c r="DE1639" s="717"/>
      <c r="DF1639" s="717"/>
      <c r="DG1639" s="717"/>
      <c r="DH1639" s="717"/>
      <c r="DI1639" s="717"/>
      <c r="DJ1639" s="717"/>
      <c r="DM1639" s="711"/>
      <c r="DN1639" s="711"/>
      <c r="DO1639" s="711"/>
      <c r="DP1639" s="711"/>
      <c r="DQ1639" s="711"/>
    </row>
    <row r="1640" spans="13:121" s="709" customFormat="1" hidden="1">
      <c r="M1640" s="710"/>
      <c r="P1640" s="711"/>
      <c r="Q1640" s="712"/>
      <c r="U1640" s="711"/>
      <c r="V1640" s="711"/>
      <c r="W1640" s="711"/>
      <c r="X1640" s="711"/>
      <c r="Y1640" s="711"/>
      <c r="Z1640" s="711"/>
      <c r="AU1640" s="713"/>
      <c r="AW1640" s="712"/>
      <c r="BY1640" s="714"/>
      <c r="BZ1640" s="715"/>
      <c r="CA1640" s="716"/>
      <c r="CB1640" s="717"/>
      <c r="CC1640" s="717"/>
      <c r="CD1640" s="717"/>
      <c r="CE1640" s="717"/>
      <c r="CF1640" s="717"/>
      <c r="CG1640" s="717"/>
      <c r="CH1640" s="717"/>
      <c r="CI1640" s="717"/>
      <c r="CJ1640" s="717"/>
      <c r="CK1640" s="717"/>
      <c r="CL1640" s="717"/>
      <c r="CM1640" s="717"/>
      <c r="CN1640" s="717"/>
      <c r="CO1640" s="717"/>
      <c r="CP1640" s="717"/>
      <c r="CQ1640" s="717"/>
      <c r="CR1640" s="717"/>
      <c r="CS1640" s="717"/>
      <c r="CT1640" s="717"/>
      <c r="CU1640" s="717"/>
      <c r="CV1640" s="717"/>
      <c r="CW1640" s="717"/>
      <c r="CX1640" s="717"/>
      <c r="CY1640" s="717"/>
      <c r="CZ1640" s="717"/>
      <c r="DA1640" s="717"/>
      <c r="DB1640" s="717"/>
      <c r="DC1640" s="717"/>
      <c r="DD1640" s="717"/>
      <c r="DE1640" s="717"/>
      <c r="DF1640" s="717"/>
      <c r="DG1640" s="717"/>
      <c r="DH1640" s="717"/>
      <c r="DI1640" s="717"/>
      <c r="DJ1640" s="717"/>
      <c r="DM1640" s="711"/>
      <c r="DN1640" s="711"/>
      <c r="DO1640" s="711"/>
      <c r="DP1640" s="711"/>
      <c r="DQ1640" s="711"/>
    </row>
    <row r="1641" spans="13:121" s="709" customFormat="1" hidden="1">
      <c r="M1641" s="710"/>
      <c r="P1641" s="711"/>
      <c r="Q1641" s="712"/>
      <c r="U1641" s="711"/>
      <c r="V1641" s="711"/>
      <c r="W1641" s="711"/>
      <c r="X1641" s="711"/>
      <c r="Y1641" s="711"/>
      <c r="Z1641" s="711"/>
      <c r="AU1641" s="713"/>
      <c r="AW1641" s="712"/>
      <c r="BY1641" s="714"/>
      <c r="BZ1641" s="715"/>
      <c r="CA1641" s="716"/>
      <c r="CB1641" s="717"/>
      <c r="CC1641" s="717"/>
      <c r="CD1641" s="717"/>
      <c r="CE1641" s="717"/>
      <c r="CF1641" s="717"/>
      <c r="CG1641" s="717"/>
      <c r="CH1641" s="717"/>
      <c r="CI1641" s="717"/>
      <c r="CJ1641" s="717"/>
      <c r="CK1641" s="717"/>
      <c r="CL1641" s="717"/>
      <c r="CM1641" s="717"/>
      <c r="CN1641" s="717"/>
      <c r="CO1641" s="717"/>
      <c r="CP1641" s="717"/>
      <c r="CQ1641" s="717"/>
      <c r="CR1641" s="717"/>
      <c r="CS1641" s="717"/>
      <c r="CT1641" s="717"/>
      <c r="CU1641" s="717"/>
      <c r="CV1641" s="717"/>
      <c r="CW1641" s="717"/>
      <c r="CX1641" s="717"/>
      <c r="CY1641" s="717"/>
      <c r="CZ1641" s="717"/>
      <c r="DA1641" s="717"/>
      <c r="DB1641" s="717"/>
      <c r="DC1641" s="717"/>
      <c r="DD1641" s="717"/>
      <c r="DE1641" s="717"/>
      <c r="DF1641" s="717"/>
      <c r="DG1641" s="717"/>
      <c r="DH1641" s="717"/>
      <c r="DI1641" s="717"/>
      <c r="DJ1641" s="717"/>
      <c r="DM1641" s="711"/>
      <c r="DN1641" s="711"/>
      <c r="DO1641" s="711"/>
      <c r="DP1641" s="711"/>
      <c r="DQ1641" s="711"/>
    </row>
    <row r="1642" spans="13:121" s="709" customFormat="1" hidden="1">
      <c r="M1642" s="710"/>
      <c r="P1642" s="711"/>
      <c r="Q1642" s="712"/>
      <c r="U1642" s="711"/>
      <c r="V1642" s="711"/>
      <c r="W1642" s="711"/>
      <c r="X1642" s="711"/>
      <c r="Y1642" s="711"/>
      <c r="Z1642" s="711"/>
      <c r="AU1642" s="713"/>
      <c r="AW1642" s="712"/>
      <c r="BY1642" s="714"/>
      <c r="BZ1642" s="715"/>
      <c r="CA1642" s="716"/>
      <c r="CB1642" s="717"/>
      <c r="CC1642" s="717"/>
      <c r="CD1642" s="717"/>
      <c r="CE1642" s="717"/>
      <c r="CF1642" s="717"/>
      <c r="CG1642" s="717"/>
      <c r="CH1642" s="717"/>
      <c r="CI1642" s="717"/>
      <c r="CJ1642" s="717"/>
      <c r="CK1642" s="717"/>
      <c r="CL1642" s="717"/>
      <c r="CM1642" s="717"/>
      <c r="CN1642" s="717"/>
      <c r="CO1642" s="717"/>
      <c r="CP1642" s="717"/>
      <c r="CQ1642" s="717"/>
      <c r="CR1642" s="717"/>
      <c r="CS1642" s="717"/>
      <c r="CT1642" s="717"/>
      <c r="CU1642" s="717"/>
      <c r="CV1642" s="717"/>
      <c r="CW1642" s="717"/>
      <c r="CX1642" s="717"/>
      <c r="CY1642" s="717"/>
      <c r="CZ1642" s="717"/>
      <c r="DA1642" s="717"/>
      <c r="DB1642" s="717"/>
      <c r="DC1642" s="717"/>
      <c r="DD1642" s="717"/>
      <c r="DE1642" s="717"/>
      <c r="DF1642" s="717"/>
      <c r="DG1642" s="717"/>
      <c r="DH1642" s="717"/>
      <c r="DI1642" s="717"/>
      <c r="DJ1642" s="717"/>
      <c r="DM1642" s="711"/>
      <c r="DN1642" s="711"/>
      <c r="DO1642" s="711"/>
      <c r="DP1642" s="711"/>
      <c r="DQ1642" s="711"/>
    </row>
    <row r="1643" spans="13:121" s="709" customFormat="1" hidden="1">
      <c r="M1643" s="710"/>
      <c r="P1643" s="711"/>
      <c r="Q1643" s="712"/>
      <c r="U1643" s="711"/>
      <c r="V1643" s="711"/>
      <c r="W1643" s="711"/>
      <c r="X1643" s="711"/>
      <c r="Y1643" s="711"/>
      <c r="Z1643" s="711"/>
      <c r="AU1643" s="713"/>
      <c r="AW1643" s="712"/>
      <c r="BY1643" s="714"/>
      <c r="BZ1643" s="715"/>
      <c r="CA1643" s="716"/>
      <c r="CB1643" s="717"/>
      <c r="CC1643" s="717"/>
      <c r="CD1643" s="717"/>
      <c r="CE1643" s="717"/>
      <c r="CF1643" s="717"/>
      <c r="CG1643" s="717"/>
      <c r="CH1643" s="717"/>
      <c r="CI1643" s="717"/>
      <c r="CJ1643" s="717"/>
      <c r="CK1643" s="717"/>
      <c r="CL1643" s="717"/>
      <c r="CM1643" s="717"/>
      <c r="CN1643" s="717"/>
      <c r="CO1643" s="717"/>
      <c r="CP1643" s="717"/>
      <c r="CQ1643" s="717"/>
      <c r="CR1643" s="717"/>
      <c r="CS1643" s="717"/>
      <c r="CT1643" s="717"/>
      <c r="CU1643" s="717"/>
      <c r="CV1643" s="717"/>
      <c r="CW1643" s="717"/>
      <c r="CX1643" s="717"/>
      <c r="CY1643" s="717"/>
      <c r="CZ1643" s="717"/>
      <c r="DA1643" s="717"/>
      <c r="DB1643" s="717"/>
      <c r="DC1643" s="717"/>
      <c r="DD1643" s="717"/>
      <c r="DE1643" s="717"/>
      <c r="DF1643" s="717"/>
      <c r="DG1643" s="717"/>
      <c r="DH1643" s="717"/>
      <c r="DI1643" s="717"/>
      <c r="DJ1643" s="717"/>
      <c r="DM1643" s="711"/>
      <c r="DN1643" s="711"/>
      <c r="DO1643" s="711"/>
      <c r="DP1643" s="711"/>
      <c r="DQ1643" s="711"/>
    </row>
    <row r="1644" spans="13:121" s="709" customFormat="1" hidden="1">
      <c r="M1644" s="710"/>
      <c r="P1644" s="711"/>
      <c r="Q1644" s="712"/>
      <c r="U1644" s="711"/>
      <c r="V1644" s="711"/>
      <c r="W1644" s="711"/>
      <c r="X1644" s="711"/>
      <c r="Y1644" s="711"/>
      <c r="Z1644" s="711"/>
      <c r="AU1644" s="713"/>
      <c r="AW1644" s="712"/>
      <c r="BY1644" s="714"/>
      <c r="BZ1644" s="715"/>
      <c r="CA1644" s="716"/>
      <c r="CB1644" s="717"/>
      <c r="CC1644" s="717"/>
      <c r="CD1644" s="717"/>
      <c r="CE1644" s="717"/>
      <c r="CF1644" s="717"/>
      <c r="CG1644" s="717"/>
      <c r="CH1644" s="717"/>
      <c r="CI1644" s="717"/>
      <c r="CJ1644" s="717"/>
      <c r="CK1644" s="717"/>
      <c r="CL1644" s="717"/>
      <c r="CM1644" s="717"/>
      <c r="CN1644" s="717"/>
      <c r="CO1644" s="717"/>
      <c r="CP1644" s="717"/>
      <c r="CQ1644" s="717"/>
      <c r="CR1644" s="717"/>
      <c r="CS1644" s="717"/>
      <c r="CT1644" s="717"/>
      <c r="CU1644" s="717"/>
      <c r="CV1644" s="717"/>
      <c r="CW1644" s="717"/>
      <c r="CX1644" s="717"/>
      <c r="CY1644" s="717"/>
      <c r="CZ1644" s="717"/>
      <c r="DA1644" s="717"/>
      <c r="DB1644" s="717"/>
      <c r="DC1644" s="717"/>
      <c r="DD1644" s="717"/>
      <c r="DE1644" s="717"/>
      <c r="DF1644" s="717"/>
      <c r="DG1644" s="717"/>
      <c r="DH1644" s="717"/>
      <c r="DI1644" s="717"/>
      <c r="DJ1644" s="717"/>
      <c r="DM1644" s="711"/>
      <c r="DN1644" s="711"/>
      <c r="DO1644" s="711"/>
      <c r="DP1644" s="711"/>
      <c r="DQ1644" s="711"/>
    </row>
    <row r="1645" spans="13:121" s="709" customFormat="1" hidden="1">
      <c r="M1645" s="710"/>
      <c r="P1645" s="711"/>
      <c r="Q1645" s="712"/>
      <c r="U1645" s="711"/>
      <c r="V1645" s="711"/>
      <c r="W1645" s="711"/>
      <c r="X1645" s="711"/>
      <c r="Y1645" s="711"/>
      <c r="Z1645" s="711"/>
      <c r="AU1645" s="713"/>
      <c r="AW1645" s="712"/>
      <c r="BY1645" s="714"/>
      <c r="BZ1645" s="715"/>
      <c r="CA1645" s="716"/>
      <c r="CB1645" s="717"/>
      <c r="CC1645" s="717"/>
      <c r="CD1645" s="717"/>
      <c r="CE1645" s="717"/>
      <c r="CF1645" s="717"/>
      <c r="CG1645" s="717"/>
      <c r="CH1645" s="717"/>
      <c r="CI1645" s="717"/>
      <c r="CJ1645" s="717"/>
      <c r="CK1645" s="717"/>
      <c r="CL1645" s="717"/>
      <c r="CM1645" s="717"/>
      <c r="CN1645" s="717"/>
      <c r="CO1645" s="717"/>
      <c r="CP1645" s="717"/>
      <c r="CQ1645" s="717"/>
      <c r="CR1645" s="717"/>
      <c r="CS1645" s="717"/>
      <c r="CT1645" s="717"/>
      <c r="CU1645" s="717"/>
      <c r="CV1645" s="717"/>
      <c r="CW1645" s="717"/>
      <c r="CX1645" s="717"/>
      <c r="CY1645" s="717"/>
      <c r="CZ1645" s="717"/>
      <c r="DA1645" s="717"/>
      <c r="DB1645" s="717"/>
      <c r="DC1645" s="717"/>
      <c r="DD1645" s="717"/>
      <c r="DE1645" s="717"/>
      <c r="DF1645" s="717"/>
      <c r="DG1645" s="717"/>
      <c r="DH1645" s="717"/>
      <c r="DI1645" s="717"/>
      <c r="DJ1645" s="717"/>
      <c r="DM1645" s="711"/>
      <c r="DN1645" s="711"/>
      <c r="DO1645" s="711"/>
      <c r="DP1645" s="711"/>
      <c r="DQ1645" s="711"/>
    </row>
    <row r="1646" spans="13:121" s="709" customFormat="1" hidden="1">
      <c r="M1646" s="710"/>
      <c r="P1646" s="711"/>
      <c r="Q1646" s="712"/>
      <c r="U1646" s="711"/>
      <c r="V1646" s="711"/>
      <c r="W1646" s="711"/>
      <c r="X1646" s="711"/>
      <c r="Y1646" s="711"/>
      <c r="Z1646" s="711"/>
      <c r="AU1646" s="713"/>
      <c r="AW1646" s="712"/>
      <c r="BY1646" s="714"/>
      <c r="BZ1646" s="715"/>
      <c r="CA1646" s="716"/>
      <c r="CB1646" s="717"/>
      <c r="CC1646" s="717"/>
      <c r="CD1646" s="717"/>
      <c r="CE1646" s="717"/>
      <c r="CF1646" s="717"/>
      <c r="CG1646" s="717"/>
      <c r="CH1646" s="717"/>
      <c r="CI1646" s="717"/>
      <c r="CJ1646" s="717"/>
      <c r="CK1646" s="717"/>
      <c r="CL1646" s="717"/>
      <c r="CM1646" s="717"/>
      <c r="CN1646" s="717"/>
      <c r="CO1646" s="717"/>
      <c r="CP1646" s="717"/>
      <c r="CQ1646" s="717"/>
      <c r="CR1646" s="717"/>
      <c r="CS1646" s="717"/>
      <c r="CT1646" s="717"/>
      <c r="CU1646" s="717"/>
      <c r="CV1646" s="717"/>
      <c r="CW1646" s="717"/>
      <c r="CX1646" s="717"/>
      <c r="CY1646" s="717"/>
      <c r="CZ1646" s="717"/>
      <c r="DA1646" s="717"/>
      <c r="DB1646" s="717"/>
      <c r="DC1646" s="717"/>
      <c r="DD1646" s="717"/>
      <c r="DE1646" s="717"/>
      <c r="DF1646" s="717"/>
      <c r="DG1646" s="717"/>
      <c r="DH1646" s="717"/>
      <c r="DI1646" s="717"/>
      <c r="DJ1646" s="717"/>
      <c r="DM1646" s="711"/>
      <c r="DN1646" s="711"/>
      <c r="DO1646" s="711"/>
      <c r="DP1646" s="711"/>
      <c r="DQ1646" s="711"/>
    </row>
    <row r="1647" spans="13:121" s="709" customFormat="1" hidden="1">
      <c r="M1647" s="710"/>
      <c r="P1647" s="711"/>
      <c r="Q1647" s="712"/>
      <c r="U1647" s="711"/>
      <c r="V1647" s="711"/>
      <c r="W1647" s="711"/>
      <c r="X1647" s="711"/>
      <c r="Y1647" s="711"/>
      <c r="Z1647" s="711"/>
      <c r="AU1647" s="713"/>
      <c r="AW1647" s="712"/>
      <c r="BY1647" s="714"/>
      <c r="BZ1647" s="715"/>
      <c r="CA1647" s="716"/>
      <c r="CB1647" s="717"/>
      <c r="CC1647" s="717"/>
      <c r="CD1647" s="717"/>
      <c r="CE1647" s="717"/>
      <c r="CF1647" s="717"/>
      <c r="CG1647" s="717"/>
      <c r="CH1647" s="717"/>
      <c r="CI1647" s="717"/>
      <c r="CJ1647" s="717"/>
      <c r="CK1647" s="717"/>
      <c r="CL1647" s="717"/>
      <c r="CM1647" s="717"/>
      <c r="CN1647" s="717"/>
      <c r="CO1647" s="717"/>
      <c r="CP1647" s="717"/>
      <c r="CQ1647" s="717"/>
      <c r="CR1647" s="717"/>
      <c r="CS1647" s="717"/>
      <c r="CT1647" s="717"/>
      <c r="CU1647" s="717"/>
      <c r="CV1647" s="717"/>
      <c r="CW1647" s="717"/>
      <c r="CX1647" s="717"/>
      <c r="CY1647" s="717"/>
      <c r="CZ1647" s="717"/>
      <c r="DA1647" s="717"/>
      <c r="DB1647" s="717"/>
      <c r="DC1647" s="717"/>
      <c r="DD1647" s="717"/>
      <c r="DE1647" s="717"/>
      <c r="DF1647" s="717"/>
      <c r="DG1647" s="717"/>
      <c r="DH1647" s="717"/>
      <c r="DI1647" s="717"/>
      <c r="DJ1647" s="717"/>
      <c r="DM1647" s="711"/>
      <c r="DN1647" s="711"/>
      <c r="DO1647" s="711"/>
      <c r="DP1647" s="711"/>
      <c r="DQ1647" s="711"/>
    </row>
    <row r="1648" spans="13:121" s="709" customFormat="1" hidden="1">
      <c r="M1648" s="710"/>
      <c r="P1648" s="711"/>
      <c r="Q1648" s="712"/>
      <c r="U1648" s="711"/>
      <c r="V1648" s="711"/>
      <c r="W1648" s="711"/>
      <c r="X1648" s="711"/>
      <c r="Y1648" s="711"/>
      <c r="Z1648" s="711"/>
      <c r="AU1648" s="713"/>
      <c r="AW1648" s="712"/>
      <c r="BY1648" s="714"/>
      <c r="BZ1648" s="715"/>
      <c r="CA1648" s="716"/>
      <c r="CB1648" s="717"/>
      <c r="CC1648" s="717"/>
      <c r="CD1648" s="717"/>
      <c r="CE1648" s="717"/>
      <c r="CF1648" s="717"/>
      <c r="CG1648" s="717"/>
      <c r="CH1648" s="717"/>
      <c r="CI1648" s="717"/>
      <c r="CJ1648" s="717"/>
      <c r="CK1648" s="717"/>
      <c r="CL1648" s="717"/>
      <c r="CM1648" s="717"/>
      <c r="CN1648" s="717"/>
      <c r="CO1648" s="717"/>
      <c r="CP1648" s="717"/>
      <c r="CQ1648" s="717"/>
      <c r="CR1648" s="717"/>
      <c r="CS1648" s="717"/>
      <c r="CT1648" s="717"/>
      <c r="CU1648" s="717"/>
      <c r="CV1648" s="717"/>
      <c r="CW1648" s="717"/>
      <c r="CX1648" s="717"/>
      <c r="CY1648" s="717"/>
      <c r="CZ1648" s="717"/>
      <c r="DA1648" s="717"/>
      <c r="DB1648" s="717"/>
      <c r="DC1648" s="717"/>
      <c r="DD1648" s="717"/>
      <c r="DE1648" s="717"/>
      <c r="DF1648" s="717"/>
      <c r="DG1648" s="717"/>
      <c r="DH1648" s="717"/>
      <c r="DI1648" s="717"/>
      <c r="DJ1648" s="717"/>
      <c r="DM1648" s="711"/>
      <c r="DN1648" s="711"/>
      <c r="DO1648" s="711"/>
      <c r="DP1648" s="711"/>
      <c r="DQ1648" s="711"/>
    </row>
    <row r="1649" spans="13:121" s="709" customFormat="1" hidden="1">
      <c r="M1649" s="710"/>
      <c r="P1649" s="711"/>
      <c r="Q1649" s="712"/>
      <c r="U1649" s="711"/>
      <c r="V1649" s="711"/>
      <c r="W1649" s="711"/>
      <c r="X1649" s="711"/>
      <c r="Y1649" s="711"/>
      <c r="Z1649" s="711"/>
      <c r="AU1649" s="713"/>
      <c r="AW1649" s="712"/>
      <c r="BY1649" s="714"/>
      <c r="BZ1649" s="715"/>
      <c r="CA1649" s="716"/>
      <c r="CB1649" s="717"/>
      <c r="CC1649" s="717"/>
      <c r="CD1649" s="717"/>
      <c r="CE1649" s="717"/>
      <c r="CF1649" s="717"/>
      <c r="CG1649" s="717"/>
      <c r="CH1649" s="717"/>
      <c r="CI1649" s="717"/>
      <c r="CJ1649" s="717"/>
      <c r="CK1649" s="717"/>
      <c r="CL1649" s="717"/>
      <c r="CM1649" s="717"/>
      <c r="CN1649" s="717"/>
      <c r="CO1649" s="717"/>
      <c r="CP1649" s="717"/>
      <c r="CQ1649" s="717"/>
      <c r="CR1649" s="717"/>
      <c r="CS1649" s="717"/>
      <c r="CT1649" s="717"/>
      <c r="CU1649" s="717"/>
      <c r="CV1649" s="717"/>
      <c r="CW1649" s="717"/>
      <c r="CX1649" s="717"/>
      <c r="CY1649" s="717"/>
      <c r="CZ1649" s="717"/>
      <c r="DA1649" s="717"/>
      <c r="DB1649" s="717"/>
      <c r="DC1649" s="717"/>
      <c r="DD1649" s="717"/>
      <c r="DE1649" s="717"/>
      <c r="DF1649" s="717"/>
      <c r="DG1649" s="717"/>
      <c r="DH1649" s="717"/>
      <c r="DI1649" s="717"/>
      <c r="DJ1649" s="717"/>
      <c r="DM1649" s="711"/>
      <c r="DN1649" s="711"/>
      <c r="DO1649" s="711"/>
      <c r="DP1649" s="711"/>
      <c r="DQ1649" s="711"/>
    </row>
    <row r="1650" spans="13:121" s="709" customFormat="1" hidden="1">
      <c r="M1650" s="710"/>
      <c r="P1650" s="711"/>
      <c r="Q1650" s="712"/>
      <c r="U1650" s="711"/>
      <c r="V1650" s="711"/>
      <c r="W1650" s="711"/>
      <c r="X1650" s="711"/>
      <c r="Y1650" s="711"/>
      <c r="Z1650" s="711"/>
      <c r="AU1650" s="713"/>
      <c r="AW1650" s="712"/>
      <c r="BY1650" s="714"/>
      <c r="BZ1650" s="715"/>
      <c r="CA1650" s="716"/>
      <c r="CB1650" s="717"/>
      <c r="CC1650" s="717"/>
      <c r="CD1650" s="717"/>
      <c r="CE1650" s="717"/>
      <c r="CF1650" s="717"/>
      <c r="CG1650" s="717"/>
      <c r="CH1650" s="717"/>
      <c r="CI1650" s="717"/>
      <c r="CJ1650" s="717"/>
      <c r="CK1650" s="717"/>
      <c r="CL1650" s="717"/>
      <c r="CM1650" s="717"/>
      <c r="CN1650" s="717"/>
      <c r="CO1650" s="717"/>
      <c r="CP1650" s="717"/>
      <c r="CQ1650" s="717"/>
      <c r="CR1650" s="717"/>
      <c r="CS1650" s="717"/>
      <c r="CT1650" s="717"/>
      <c r="CU1650" s="717"/>
      <c r="CV1650" s="717"/>
      <c r="CW1650" s="717"/>
      <c r="CX1650" s="717"/>
      <c r="CY1650" s="717"/>
      <c r="CZ1650" s="717"/>
      <c r="DA1650" s="717"/>
      <c r="DB1650" s="717"/>
      <c r="DC1650" s="717"/>
      <c r="DD1650" s="717"/>
      <c r="DE1650" s="717"/>
      <c r="DF1650" s="717"/>
      <c r="DG1650" s="717"/>
      <c r="DH1650" s="717"/>
      <c r="DI1650" s="717"/>
      <c r="DJ1650" s="717"/>
      <c r="DM1650" s="711"/>
      <c r="DN1650" s="711"/>
      <c r="DO1650" s="711"/>
      <c r="DP1650" s="711"/>
      <c r="DQ1650" s="711"/>
    </row>
    <row r="1651" spans="13:121" s="709" customFormat="1" hidden="1">
      <c r="M1651" s="710"/>
      <c r="P1651" s="711"/>
      <c r="Q1651" s="712"/>
      <c r="U1651" s="711"/>
      <c r="V1651" s="711"/>
      <c r="W1651" s="711"/>
      <c r="X1651" s="711"/>
      <c r="Y1651" s="711"/>
      <c r="Z1651" s="711"/>
      <c r="AU1651" s="713"/>
      <c r="AW1651" s="712"/>
      <c r="BY1651" s="714"/>
      <c r="BZ1651" s="715"/>
      <c r="CA1651" s="716"/>
      <c r="CB1651" s="717"/>
      <c r="CC1651" s="717"/>
      <c r="CD1651" s="717"/>
      <c r="CE1651" s="717"/>
      <c r="CF1651" s="717"/>
      <c r="CG1651" s="717"/>
      <c r="CH1651" s="717"/>
      <c r="CI1651" s="717"/>
      <c r="CJ1651" s="717"/>
      <c r="CK1651" s="717"/>
      <c r="CL1651" s="717"/>
      <c r="CM1651" s="717"/>
      <c r="CN1651" s="717"/>
      <c r="CO1651" s="717"/>
      <c r="CP1651" s="717"/>
      <c r="CQ1651" s="717"/>
      <c r="CR1651" s="717"/>
      <c r="CS1651" s="717"/>
      <c r="CT1651" s="717"/>
      <c r="CU1651" s="717"/>
      <c r="CV1651" s="717"/>
      <c r="CW1651" s="717"/>
      <c r="CX1651" s="717"/>
      <c r="CY1651" s="717"/>
      <c r="CZ1651" s="717"/>
      <c r="DA1651" s="717"/>
      <c r="DB1651" s="717"/>
      <c r="DC1651" s="717"/>
      <c r="DD1651" s="717"/>
      <c r="DE1651" s="717"/>
      <c r="DF1651" s="717"/>
      <c r="DG1651" s="717"/>
      <c r="DH1651" s="717"/>
      <c r="DI1651" s="717"/>
      <c r="DJ1651" s="717"/>
      <c r="DM1651" s="711"/>
      <c r="DN1651" s="711"/>
      <c r="DO1651" s="711"/>
      <c r="DP1651" s="711"/>
      <c r="DQ1651" s="711"/>
    </row>
    <row r="1652" spans="13:121" s="709" customFormat="1" hidden="1">
      <c r="M1652" s="710"/>
      <c r="P1652" s="711"/>
      <c r="Q1652" s="712"/>
      <c r="U1652" s="711"/>
      <c r="V1652" s="711"/>
      <c r="W1652" s="711"/>
      <c r="X1652" s="711"/>
      <c r="Y1652" s="711"/>
      <c r="Z1652" s="711"/>
      <c r="AU1652" s="713"/>
      <c r="AW1652" s="712"/>
      <c r="BY1652" s="714"/>
      <c r="BZ1652" s="715"/>
      <c r="CA1652" s="716"/>
      <c r="CB1652" s="717"/>
      <c r="CC1652" s="717"/>
      <c r="CD1652" s="717"/>
      <c r="CE1652" s="717"/>
      <c r="CF1652" s="717"/>
      <c r="CG1652" s="717"/>
      <c r="CH1652" s="717"/>
      <c r="CI1652" s="717"/>
      <c r="CJ1652" s="717"/>
      <c r="CK1652" s="717"/>
      <c r="CL1652" s="717"/>
      <c r="CM1652" s="717"/>
      <c r="CN1652" s="717"/>
      <c r="CO1652" s="717"/>
      <c r="CP1652" s="717"/>
      <c r="CQ1652" s="717"/>
      <c r="CR1652" s="717"/>
      <c r="CS1652" s="717"/>
      <c r="CT1652" s="717"/>
      <c r="CU1652" s="717"/>
      <c r="CV1652" s="717"/>
      <c r="CW1652" s="717"/>
      <c r="CX1652" s="717"/>
      <c r="CY1652" s="717"/>
      <c r="CZ1652" s="717"/>
      <c r="DA1652" s="717"/>
      <c r="DB1652" s="717"/>
      <c r="DC1652" s="717"/>
      <c r="DD1652" s="717"/>
      <c r="DE1652" s="717"/>
      <c r="DF1652" s="717"/>
      <c r="DG1652" s="717"/>
      <c r="DH1652" s="717"/>
      <c r="DI1652" s="717"/>
      <c r="DJ1652" s="717"/>
      <c r="DM1652" s="711"/>
      <c r="DN1652" s="711"/>
      <c r="DO1652" s="711"/>
      <c r="DP1652" s="711"/>
      <c r="DQ1652" s="711"/>
    </row>
    <row r="1653" spans="13:121" s="709" customFormat="1" hidden="1">
      <c r="M1653" s="710"/>
      <c r="P1653" s="711"/>
      <c r="Q1653" s="712"/>
      <c r="U1653" s="711"/>
      <c r="V1653" s="711"/>
      <c r="W1653" s="711"/>
      <c r="X1653" s="711"/>
      <c r="Y1653" s="711"/>
      <c r="Z1653" s="711"/>
      <c r="AU1653" s="713"/>
      <c r="AW1653" s="712"/>
      <c r="BY1653" s="714"/>
      <c r="BZ1653" s="715"/>
      <c r="CA1653" s="716"/>
      <c r="CB1653" s="717"/>
      <c r="CC1653" s="717"/>
      <c r="CD1653" s="717"/>
      <c r="CE1653" s="717"/>
      <c r="CF1653" s="717"/>
      <c r="CG1653" s="717"/>
      <c r="CH1653" s="717"/>
      <c r="CI1653" s="717"/>
      <c r="CJ1653" s="717"/>
      <c r="CK1653" s="717"/>
      <c r="CL1653" s="717"/>
      <c r="CM1653" s="717"/>
      <c r="CN1653" s="717"/>
      <c r="CO1653" s="717"/>
      <c r="CP1653" s="717"/>
      <c r="CQ1653" s="717"/>
      <c r="CR1653" s="717"/>
      <c r="CS1653" s="717"/>
      <c r="CT1653" s="717"/>
      <c r="CU1653" s="717"/>
      <c r="CV1653" s="717"/>
      <c r="CW1653" s="717"/>
      <c r="CX1653" s="717"/>
      <c r="CY1653" s="717"/>
      <c r="CZ1653" s="717"/>
      <c r="DA1653" s="717"/>
      <c r="DB1653" s="717"/>
      <c r="DC1653" s="717"/>
      <c r="DD1653" s="717"/>
      <c r="DE1653" s="717"/>
      <c r="DF1653" s="717"/>
      <c r="DG1653" s="717"/>
      <c r="DH1653" s="717"/>
      <c r="DI1653" s="717"/>
      <c r="DJ1653" s="717"/>
      <c r="DM1653" s="711"/>
      <c r="DN1653" s="711"/>
      <c r="DO1653" s="711"/>
      <c r="DP1653" s="711"/>
      <c r="DQ1653" s="711"/>
    </row>
    <row r="1654" spans="13:121" s="709" customFormat="1" hidden="1">
      <c r="M1654" s="710"/>
      <c r="P1654" s="711"/>
      <c r="Q1654" s="712"/>
      <c r="U1654" s="711"/>
      <c r="V1654" s="711"/>
      <c r="W1654" s="711"/>
      <c r="X1654" s="711"/>
      <c r="Y1654" s="711"/>
      <c r="Z1654" s="711"/>
      <c r="AU1654" s="713"/>
      <c r="AW1654" s="712"/>
      <c r="BY1654" s="714"/>
      <c r="BZ1654" s="715"/>
      <c r="CA1654" s="716"/>
      <c r="CB1654" s="717"/>
      <c r="CC1654" s="717"/>
      <c r="CD1654" s="717"/>
      <c r="CE1654" s="717"/>
      <c r="CF1654" s="717"/>
      <c r="CG1654" s="717"/>
      <c r="CH1654" s="717"/>
      <c r="CI1654" s="717"/>
      <c r="CJ1654" s="717"/>
      <c r="CK1654" s="717"/>
      <c r="CL1654" s="717"/>
      <c r="CM1654" s="717"/>
      <c r="CN1654" s="717"/>
      <c r="CO1654" s="717"/>
      <c r="CP1654" s="717"/>
      <c r="CQ1654" s="717"/>
      <c r="CR1654" s="717"/>
      <c r="CS1654" s="717"/>
      <c r="CT1654" s="717"/>
      <c r="CU1654" s="717"/>
      <c r="CV1654" s="717"/>
      <c r="CW1654" s="717"/>
      <c r="CX1654" s="717"/>
      <c r="CY1654" s="717"/>
      <c r="CZ1654" s="717"/>
      <c r="DA1654" s="717"/>
      <c r="DB1654" s="717"/>
      <c r="DC1654" s="717"/>
      <c r="DD1654" s="717"/>
      <c r="DE1654" s="717"/>
      <c r="DF1654" s="717"/>
      <c r="DG1654" s="717"/>
      <c r="DH1654" s="717"/>
      <c r="DI1654" s="717"/>
      <c r="DJ1654" s="717"/>
      <c r="DM1654" s="711"/>
      <c r="DN1654" s="711"/>
      <c r="DO1654" s="711"/>
      <c r="DP1654" s="711"/>
      <c r="DQ1654" s="711"/>
    </row>
    <row r="1655" spans="13:121" s="709" customFormat="1" hidden="1">
      <c r="M1655" s="710"/>
      <c r="P1655" s="711"/>
      <c r="Q1655" s="712"/>
      <c r="U1655" s="711"/>
      <c r="V1655" s="711"/>
      <c r="W1655" s="711"/>
      <c r="X1655" s="711"/>
      <c r="Y1655" s="711"/>
      <c r="Z1655" s="711"/>
      <c r="AU1655" s="713"/>
      <c r="AW1655" s="712"/>
      <c r="BY1655" s="714"/>
      <c r="BZ1655" s="715"/>
      <c r="CA1655" s="716"/>
      <c r="CB1655" s="717"/>
      <c r="CC1655" s="717"/>
      <c r="CD1655" s="717"/>
      <c r="CE1655" s="717"/>
      <c r="CF1655" s="717"/>
      <c r="CG1655" s="717"/>
      <c r="CH1655" s="717"/>
      <c r="CI1655" s="717"/>
      <c r="CJ1655" s="717"/>
      <c r="CK1655" s="717"/>
      <c r="CL1655" s="717"/>
      <c r="CM1655" s="717"/>
      <c r="CN1655" s="717"/>
      <c r="CO1655" s="717"/>
      <c r="CP1655" s="717"/>
      <c r="CQ1655" s="717"/>
      <c r="CR1655" s="717"/>
      <c r="CS1655" s="717"/>
      <c r="CT1655" s="717"/>
      <c r="CU1655" s="717"/>
      <c r="CV1655" s="717"/>
      <c r="CW1655" s="717"/>
      <c r="CX1655" s="717"/>
      <c r="CY1655" s="717"/>
      <c r="CZ1655" s="717"/>
      <c r="DA1655" s="717"/>
      <c r="DB1655" s="717"/>
      <c r="DC1655" s="717"/>
      <c r="DD1655" s="717"/>
      <c r="DE1655" s="717"/>
      <c r="DF1655" s="717"/>
      <c r="DG1655" s="717"/>
      <c r="DH1655" s="717"/>
      <c r="DI1655" s="717"/>
      <c r="DJ1655" s="717"/>
      <c r="DM1655" s="711"/>
      <c r="DN1655" s="711"/>
      <c r="DO1655" s="711"/>
      <c r="DP1655" s="711"/>
      <c r="DQ1655" s="711"/>
    </row>
    <row r="1656" spans="13:121" s="709" customFormat="1" hidden="1">
      <c r="M1656" s="710"/>
      <c r="P1656" s="711"/>
      <c r="Q1656" s="712"/>
      <c r="U1656" s="711"/>
      <c r="V1656" s="711"/>
      <c r="W1656" s="711"/>
      <c r="X1656" s="711"/>
      <c r="Y1656" s="711"/>
      <c r="Z1656" s="711"/>
      <c r="AU1656" s="713"/>
      <c r="AW1656" s="712"/>
      <c r="BY1656" s="714"/>
      <c r="BZ1656" s="715"/>
      <c r="CA1656" s="716"/>
      <c r="CB1656" s="717"/>
      <c r="CC1656" s="717"/>
      <c r="CD1656" s="717"/>
      <c r="CE1656" s="717"/>
      <c r="CF1656" s="717"/>
      <c r="CG1656" s="717"/>
      <c r="CH1656" s="717"/>
      <c r="CI1656" s="717"/>
      <c r="CJ1656" s="717"/>
      <c r="CK1656" s="717"/>
      <c r="CL1656" s="717"/>
      <c r="CM1656" s="717"/>
      <c r="CN1656" s="717"/>
      <c r="CO1656" s="717"/>
      <c r="CP1656" s="717"/>
      <c r="CQ1656" s="717"/>
      <c r="CR1656" s="717"/>
      <c r="CS1656" s="717"/>
      <c r="CT1656" s="717"/>
      <c r="CU1656" s="717"/>
      <c r="CV1656" s="717"/>
      <c r="CW1656" s="717"/>
      <c r="CX1656" s="717"/>
      <c r="CY1656" s="717"/>
      <c r="CZ1656" s="717"/>
      <c r="DA1656" s="717"/>
      <c r="DB1656" s="717"/>
      <c r="DC1656" s="717"/>
      <c r="DD1656" s="717"/>
      <c r="DE1656" s="717"/>
      <c r="DF1656" s="717"/>
      <c r="DG1656" s="717"/>
      <c r="DH1656" s="717"/>
      <c r="DI1656" s="717"/>
      <c r="DJ1656" s="717"/>
      <c r="DM1656" s="711"/>
      <c r="DN1656" s="711"/>
      <c r="DO1656" s="711"/>
      <c r="DP1656" s="711"/>
      <c r="DQ1656" s="711"/>
    </row>
    <row r="1657" spans="13:121" s="709" customFormat="1" hidden="1">
      <c r="M1657" s="710"/>
      <c r="P1657" s="711"/>
      <c r="Q1657" s="712"/>
      <c r="U1657" s="711"/>
      <c r="V1657" s="711"/>
      <c r="W1657" s="711"/>
      <c r="X1657" s="711"/>
      <c r="Y1657" s="711"/>
      <c r="Z1657" s="711"/>
      <c r="AU1657" s="713"/>
      <c r="AW1657" s="712"/>
      <c r="BY1657" s="714"/>
      <c r="BZ1657" s="715"/>
      <c r="CA1657" s="716"/>
      <c r="CB1657" s="717"/>
      <c r="CC1657" s="717"/>
      <c r="CD1657" s="717"/>
      <c r="CE1657" s="717"/>
      <c r="CF1657" s="717"/>
      <c r="CG1657" s="717"/>
      <c r="CH1657" s="717"/>
      <c r="CI1657" s="717"/>
      <c r="CJ1657" s="717"/>
      <c r="CK1657" s="717"/>
      <c r="CL1657" s="717"/>
      <c r="CM1657" s="717"/>
      <c r="CN1657" s="717"/>
      <c r="CO1657" s="717"/>
      <c r="CP1657" s="717"/>
      <c r="CQ1657" s="717"/>
      <c r="CR1657" s="717"/>
      <c r="CS1657" s="717"/>
      <c r="CT1657" s="717"/>
      <c r="CU1657" s="717"/>
      <c r="CV1657" s="717"/>
      <c r="CW1657" s="717"/>
      <c r="CX1657" s="717"/>
      <c r="CY1657" s="717"/>
      <c r="CZ1657" s="717"/>
      <c r="DA1657" s="717"/>
      <c r="DB1657" s="717"/>
      <c r="DC1657" s="717"/>
      <c r="DD1657" s="717"/>
      <c r="DE1657" s="717"/>
      <c r="DF1657" s="717"/>
      <c r="DG1657" s="717"/>
      <c r="DH1657" s="717"/>
      <c r="DI1657" s="717"/>
      <c r="DJ1657" s="717"/>
      <c r="DM1657" s="711"/>
      <c r="DN1657" s="711"/>
      <c r="DO1657" s="711"/>
      <c r="DP1657" s="711"/>
      <c r="DQ1657" s="711"/>
    </row>
    <row r="1658" spans="13:121" s="709" customFormat="1" hidden="1">
      <c r="M1658" s="710"/>
      <c r="P1658" s="711"/>
      <c r="Q1658" s="712"/>
      <c r="U1658" s="711"/>
      <c r="V1658" s="711"/>
      <c r="W1658" s="711"/>
      <c r="X1658" s="711"/>
      <c r="Y1658" s="711"/>
      <c r="Z1658" s="711"/>
      <c r="AU1658" s="713"/>
      <c r="AW1658" s="712"/>
      <c r="BY1658" s="714"/>
      <c r="BZ1658" s="715"/>
      <c r="CA1658" s="716"/>
      <c r="CB1658" s="717"/>
      <c r="CC1658" s="717"/>
      <c r="CD1658" s="717"/>
      <c r="CE1658" s="717"/>
      <c r="CF1658" s="717"/>
      <c r="CG1658" s="717"/>
      <c r="CH1658" s="717"/>
      <c r="CI1658" s="717"/>
      <c r="CJ1658" s="717"/>
      <c r="CK1658" s="717"/>
      <c r="CL1658" s="717"/>
      <c r="CM1658" s="717"/>
      <c r="CN1658" s="717"/>
      <c r="CO1658" s="717"/>
      <c r="CP1658" s="717"/>
      <c r="CQ1658" s="717"/>
      <c r="CR1658" s="717"/>
      <c r="CS1658" s="717"/>
      <c r="CT1658" s="717"/>
      <c r="CU1658" s="717"/>
      <c r="CV1658" s="717"/>
      <c r="CW1658" s="717"/>
      <c r="CX1658" s="717"/>
      <c r="CY1658" s="717"/>
      <c r="CZ1658" s="717"/>
      <c r="DA1658" s="717"/>
      <c r="DB1658" s="717"/>
      <c r="DC1658" s="717"/>
      <c r="DD1658" s="717"/>
      <c r="DE1658" s="717"/>
      <c r="DF1658" s="717"/>
      <c r="DG1658" s="717"/>
      <c r="DH1658" s="717"/>
      <c r="DI1658" s="717"/>
      <c r="DJ1658" s="717"/>
      <c r="DM1658" s="711"/>
      <c r="DN1658" s="711"/>
      <c r="DO1658" s="711"/>
      <c r="DP1658" s="711"/>
      <c r="DQ1658" s="711"/>
    </row>
    <row r="1659" spans="13:121" s="709" customFormat="1" hidden="1">
      <c r="M1659" s="710"/>
      <c r="P1659" s="711"/>
      <c r="Q1659" s="712"/>
      <c r="U1659" s="711"/>
      <c r="V1659" s="711"/>
      <c r="W1659" s="711"/>
      <c r="X1659" s="711"/>
      <c r="Y1659" s="711"/>
      <c r="Z1659" s="711"/>
      <c r="AU1659" s="713"/>
      <c r="AW1659" s="712"/>
      <c r="BY1659" s="714"/>
      <c r="BZ1659" s="715"/>
      <c r="CA1659" s="716"/>
      <c r="CB1659" s="717"/>
      <c r="CC1659" s="717"/>
      <c r="CD1659" s="717"/>
      <c r="CE1659" s="717"/>
      <c r="CF1659" s="717"/>
      <c r="CG1659" s="717"/>
      <c r="CH1659" s="717"/>
      <c r="CI1659" s="717"/>
      <c r="CJ1659" s="717"/>
      <c r="CK1659" s="717"/>
      <c r="CL1659" s="717"/>
      <c r="CM1659" s="717"/>
      <c r="CN1659" s="717"/>
      <c r="CO1659" s="717"/>
      <c r="CP1659" s="717"/>
      <c r="CQ1659" s="717"/>
      <c r="CR1659" s="717"/>
      <c r="CS1659" s="717"/>
      <c r="CT1659" s="717"/>
      <c r="CU1659" s="717"/>
      <c r="CV1659" s="717"/>
      <c r="CW1659" s="717"/>
      <c r="CX1659" s="717"/>
      <c r="CY1659" s="717"/>
      <c r="CZ1659" s="717"/>
      <c r="DA1659" s="717"/>
      <c r="DB1659" s="717"/>
      <c r="DC1659" s="717"/>
      <c r="DD1659" s="717"/>
      <c r="DE1659" s="717"/>
      <c r="DF1659" s="717"/>
      <c r="DG1659" s="717"/>
      <c r="DH1659" s="717"/>
      <c r="DI1659" s="717"/>
      <c r="DJ1659" s="717"/>
      <c r="DM1659" s="711"/>
      <c r="DN1659" s="711"/>
      <c r="DO1659" s="711"/>
      <c r="DP1659" s="711"/>
      <c r="DQ1659" s="711"/>
    </row>
    <row r="1660" spans="13:121" s="709" customFormat="1" hidden="1">
      <c r="M1660" s="710"/>
      <c r="P1660" s="711"/>
      <c r="Q1660" s="712"/>
      <c r="U1660" s="711"/>
      <c r="V1660" s="711"/>
      <c r="W1660" s="711"/>
      <c r="X1660" s="711"/>
      <c r="Y1660" s="711"/>
      <c r="Z1660" s="711"/>
      <c r="AU1660" s="713"/>
      <c r="AW1660" s="712"/>
      <c r="BY1660" s="714"/>
      <c r="BZ1660" s="715"/>
      <c r="CA1660" s="716"/>
      <c r="CB1660" s="717"/>
      <c r="CC1660" s="717"/>
      <c r="CD1660" s="717"/>
      <c r="CE1660" s="717"/>
      <c r="CF1660" s="717"/>
      <c r="CG1660" s="717"/>
      <c r="CH1660" s="717"/>
      <c r="CI1660" s="717"/>
      <c r="CJ1660" s="717"/>
      <c r="CK1660" s="717"/>
      <c r="CL1660" s="717"/>
      <c r="CM1660" s="717"/>
      <c r="CN1660" s="717"/>
      <c r="CO1660" s="717"/>
      <c r="CP1660" s="717"/>
      <c r="CQ1660" s="717"/>
      <c r="CR1660" s="717"/>
      <c r="CS1660" s="717"/>
      <c r="CT1660" s="717"/>
      <c r="CU1660" s="717"/>
      <c r="CV1660" s="717"/>
      <c r="CW1660" s="717"/>
      <c r="CX1660" s="717"/>
      <c r="CY1660" s="717"/>
      <c r="CZ1660" s="717"/>
      <c r="DA1660" s="717"/>
      <c r="DB1660" s="717"/>
      <c r="DC1660" s="717"/>
      <c r="DD1660" s="717"/>
      <c r="DE1660" s="717"/>
      <c r="DF1660" s="717"/>
      <c r="DG1660" s="717"/>
      <c r="DH1660" s="717"/>
      <c r="DI1660" s="717"/>
      <c r="DJ1660" s="717"/>
      <c r="DM1660" s="711"/>
      <c r="DN1660" s="711"/>
      <c r="DO1660" s="711"/>
      <c r="DP1660" s="711"/>
      <c r="DQ1660" s="711"/>
    </row>
    <row r="1661" spans="13:121" s="709" customFormat="1" hidden="1">
      <c r="M1661" s="710"/>
      <c r="P1661" s="711"/>
      <c r="Q1661" s="712"/>
      <c r="U1661" s="711"/>
      <c r="V1661" s="711"/>
      <c r="W1661" s="711"/>
      <c r="X1661" s="711"/>
      <c r="Y1661" s="711"/>
      <c r="Z1661" s="711"/>
      <c r="AU1661" s="713"/>
      <c r="AW1661" s="712"/>
      <c r="BY1661" s="714"/>
      <c r="BZ1661" s="715"/>
      <c r="CA1661" s="716"/>
      <c r="CB1661" s="717"/>
      <c r="CC1661" s="717"/>
      <c r="CD1661" s="717"/>
      <c r="CE1661" s="717"/>
      <c r="CF1661" s="717"/>
      <c r="CG1661" s="717"/>
      <c r="CH1661" s="717"/>
      <c r="CI1661" s="717"/>
      <c r="CJ1661" s="717"/>
      <c r="CK1661" s="717"/>
      <c r="CL1661" s="717"/>
      <c r="CM1661" s="717"/>
      <c r="CN1661" s="717"/>
      <c r="CO1661" s="717"/>
      <c r="CP1661" s="717"/>
      <c r="CQ1661" s="717"/>
      <c r="CR1661" s="717"/>
      <c r="CS1661" s="717"/>
      <c r="CT1661" s="717"/>
      <c r="CU1661" s="717"/>
      <c r="CV1661" s="717"/>
      <c r="CW1661" s="717"/>
      <c r="CX1661" s="717"/>
      <c r="CY1661" s="717"/>
      <c r="CZ1661" s="717"/>
      <c r="DA1661" s="717"/>
      <c r="DB1661" s="717"/>
      <c r="DC1661" s="717"/>
      <c r="DD1661" s="717"/>
      <c r="DE1661" s="717"/>
      <c r="DF1661" s="717"/>
      <c r="DG1661" s="717"/>
      <c r="DH1661" s="717"/>
      <c r="DI1661" s="717"/>
      <c r="DJ1661" s="717"/>
      <c r="DM1661" s="711"/>
      <c r="DN1661" s="711"/>
      <c r="DO1661" s="711"/>
      <c r="DP1661" s="711"/>
      <c r="DQ1661" s="711"/>
    </row>
    <row r="1662" spans="13:121" s="709" customFormat="1" hidden="1">
      <c r="M1662" s="710"/>
      <c r="P1662" s="711"/>
      <c r="Q1662" s="712"/>
      <c r="U1662" s="711"/>
      <c r="V1662" s="711"/>
      <c r="W1662" s="711"/>
      <c r="X1662" s="711"/>
      <c r="Y1662" s="711"/>
      <c r="Z1662" s="711"/>
      <c r="AU1662" s="713"/>
      <c r="AW1662" s="712"/>
      <c r="BY1662" s="714"/>
      <c r="BZ1662" s="715"/>
      <c r="CA1662" s="716"/>
      <c r="CB1662" s="717"/>
      <c r="CC1662" s="717"/>
      <c r="CD1662" s="717"/>
      <c r="CE1662" s="717"/>
      <c r="CF1662" s="717"/>
      <c r="CG1662" s="717"/>
      <c r="CH1662" s="717"/>
      <c r="CI1662" s="717"/>
      <c r="CJ1662" s="717"/>
      <c r="CK1662" s="717"/>
      <c r="CL1662" s="717"/>
      <c r="CM1662" s="717"/>
      <c r="CN1662" s="717"/>
      <c r="CO1662" s="717"/>
      <c r="CP1662" s="717"/>
      <c r="CQ1662" s="717"/>
      <c r="CR1662" s="717"/>
      <c r="CS1662" s="717"/>
      <c r="CT1662" s="717"/>
      <c r="CU1662" s="717"/>
      <c r="CV1662" s="717"/>
      <c r="CW1662" s="717"/>
      <c r="CX1662" s="717"/>
      <c r="CY1662" s="717"/>
      <c r="CZ1662" s="717"/>
      <c r="DA1662" s="717"/>
      <c r="DB1662" s="717"/>
      <c r="DC1662" s="717"/>
      <c r="DD1662" s="717"/>
      <c r="DE1662" s="717"/>
      <c r="DF1662" s="717"/>
      <c r="DG1662" s="717"/>
      <c r="DH1662" s="717"/>
      <c r="DI1662" s="717"/>
      <c r="DJ1662" s="717"/>
      <c r="DM1662" s="711"/>
      <c r="DN1662" s="711"/>
      <c r="DO1662" s="711"/>
      <c r="DP1662" s="711"/>
      <c r="DQ1662" s="711"/>
    </row>
    <row r="1663" spans="13:121" s="709" customFormat="1" hidden="1">
      <c r="M1663" s="710"/>
      <c r="P1663" s="711"/>
      <c r="Q1663" s="712"/>
      <c r="U1663" s="711"/>
      <c r="V1663" s="711"/>
      <c r="W1663" s="711"/>
      <c r="X1663" s="711"/>
      <c r="Y1663" s="711"/>
      <c r="Z1663" s="711"/>
      <c r="AU1663" s="713"/>
      <c r="AW1663" s="712"/>
      <c r="BY1663" s="714"/>
      <c r="BZ1663" s="715"/>
      <c r="CA1663" s="716"/>
      <c r="CB1663" s="717"/>
      <c r="CC1663" s="717"/>
      <c r="CD1663" s="717"/>
      <c r="CE1663" s="717"/>
      <c r="CF1663" s="717"/>
      <c r="CG1663" s="717"/>
      <c r="CH1663" s="717"/>
      <c r="CI1663" s="717"/>
      <c r="CJ1663" s="717"/>
      <c r="CK1663" s="717"/>
      <c r="CL1663" s="717"/>
      <c r="CM1663" s="717"/>
      <c r="CN1663" s="717"/>
      <c r="CO1663" s="717"/>
      <c r="CP1663" s="717"/>
      <c r="CQ1663" s="717"/>
      <c r="CR1663" s="717"/>
      <c r="CS1663" s="717"/>
      <c r="CT1663" s="717"/>
      <c r="CU1663" s="717"/>
      <c r="CV1663" s="717"/>
      <c r="CW1663" s="717"/>
      <c r="CX1663" s="717"/>
      <c r="CY1663" s="717"/>
      <c r="CZ1663" s="717"/>
      <c r="DA1663" s="717"/>
      <c r="DB1663" s="717"/>
      <c r="DC1663" s="717"/>
      <c r="DD1663" s="717"/>
      <c r="DE1663" s="717"/>
      <c r="DF1663" s="717"/>
      <c r="DG1663" s="717"/>
      <c r="DH1663" s="717"/>
      <c r="DI1663" s="717"/>
      <c r="DJ1663" s="717"/>
      <c r="DM1663" s="711"/>
      <c r="DN1663" s="711"/>
      <c r="DO1663" s="711"/>
      <c r="DP1663" s="711"/>
      <c r="DQ1663" s="711"/>
    </row>
    <row r="1664" spans="13:121" s="709" customFormat="1" hidden="1">
      <c r="M1664" s="710"/>
      <c r="P1664" s="711"/>
      <c r="Q1664" s="712"/>
      <c r="U1664" s="711"/>
      <c r="V1664" s="711"/>
      <c r="W1664" s="711"/>
      <c r="X1664" s="711"/>
      <c r="Y1664" s="711"/>
      <c r="Z1664" s="711"/>
      <c r="AU1664" s="713"/>
      <c r="AW1664" s="712"/>
      <c r="BY1664" s="714"/>
      <c r="BZ1664" s="715"/>
      <c r="CA1664" s="716"/>
      <c r="CB1664" s="717"/>
      <c r="CC1664" s="717"/>
      <c r="CD1664" s="717"/>
      <c r="CE1664" s="717"/>
      <c r="CF1664" s="717"/>
      <c r="CG1664" s="717"/>
      <c r="CH1664" s="717"/>
      <c r="CI1664" s="717"/>
      <c r="CJ1664" s="717"/>
      <c r="CK1664" s="717"/>
      <c r="CL1664" s="717"/>
      <c r="CM1664" s="717"/>
      <c r="CN1664" s="717"/>
      <c r="CO1664" s="717"/>
      <c r="CP1664" s="717"/>
      <c r="CQ1664" s="717"/>
      <c r="CR1664" s="717"/>
      <c r="CS1664" s="717"/>
      <c r="CT1664" s="717"/>
      <c r="CU1664" s="717"/>
      <c r="CV1664" s="717"/>
      <c r="CW1664" s="717"/>
      <c r="CX1664" s="717"/>
      <c r="CY1664" s="717"/>
      <c r="CZ1664" s="717"/>
      <c r="DA1664" s="717"/>
      <c r="DB1664" s="717"/>
      <c r="DC1664" s="717"/>
      <c r="DD1664" s="717"/>
      <c r="DE1664" s="717"/>
      <c r="DF1664" s="717"/>
      <c r="DG1664" s="717"/>
      <c r="DH1664" s="717"/>
      <c r="DI1664" s="717"/>
      <c r="DJ1664" s="717"/>
      <c r="DM1664" s="711"/>
      <c r="DN1664" s="711"/>
      <c r="DO1664" s="711"/>
      <c r="DP1664" s="711"/>
      <c r="DQ1664" s="711"/>
    </row>
    <row r="1665" spans="13:121" s="709" customFormat="1" hidden="1">
      <c r="M1665" s="710"/>
      <c r="P1665" s="711"/>
      <c r="Q1665" s="712"/>
      <c r="U1665" s="711"/>
      <c r="V1665" s="711"/>
      <c r="W1665" s="711"/>
      <c r="X1665" s="711"/>
      <c r="Y1665" s="711"/>
      <c r="Z1665" s="711"/>
      <c r="AU1665" s="713"/>
      <c r="AW1665" s="712"/>
      <c r="BY1665" s="714"/>
      <c r="BZ1665" s="715"/>
      <c r="CA1665" s="716"/>
      <c r="CB1665" s="717"/>
      <c r="CC1665" s="717"/>
      <c r="CD1665" s="717"/>
      <c r="CE1665" s="717"/>
      <c r="CF1665" s="717"/>
      <c r="CG1665" s="717"/>
      <c r="CH1665" s="717"/>
      <c r="CI1665" s="717"/>
      <c r="CJ1665" s="717"/>
      <c r="CK1665" s="717"/>
      <c r="CL1665" s="717"/>
      <c r="CM1665" s="717"/>
      <c r="CN1665" s="717"/>
      <c r="CO1665" s="717"/>
      <c r="CP1665" s="717"/>
      <c r="CQ1665" s="717"/>
      <c r="CR1665" s="717"/>
      <c r="CS1665" s="717"/>
      <c r="CT1665" s="717"/>
      <c r="CU1665" s="717"/>
      <c r="CV1665" s="717"/>
      <c r="CW1665" s="717"/>
      <c r="CX1665" s="717"/>
      <c r="CY1665" s="717"/>
      <c r="CZ1665" s="717"/>
      <c r="DA1665" s="717"/>
      <c r="DB1665" s="717"/>
      <c r="DC1665" s="717"/>
      <c r="DD1665" s="717"/>
      <c r="DE1665" s="717"/>
      <c r="DF1665" s="717"/>
      <c r="DG1665" s="717"/>
      <c r="DH1665" s="717"/>
      <c r="DI1665" s="717"/>
      <c r="DJ1665" s="717"/>
      <c r="DM1665" s="711"/>
      <c r="DN1665" s="711"/>
      <c r="DO1665" s="711"/>
      <c r="DP1665" s="711"/>
      <c r="DQ1665" s="711"/>
    </row>
    <row r="1666" spans="13:121" s="709" customFormat="1" hidden="1">
      <c r="M1666" s="710"/>
      <c r="P1666" s="711"/>
      <c r="Q1666" s="712"/>
      <c r="U1666" s="711"/>
      <c r="V1666" s="711"/>
      <c r="W1666" s="711"/>
      <c r="X1666" s="711"/>
      <c r="Y1666" s="711"/>
      <c r="Z1666" s="711"/>
      <c r="AU1666" s="713"/>
      <c r="AW1666" s="712"/>
      <c r="BY1666" s="714"/>
      <c r="BZ1666" s="715"/>
      <c r="CA1666" s="716"/>
      <c r="CB1666" s="717"/>
      <c r="CC1666" s="717"/>
      <c r="CD1666" s="717"/>
      <c r="CE1666" s="717"/>
      <c r="CF1666" s="717"/>
      <c r="CG1666" s="717"/>
      <c r="CH1666" s="717"/>
      <c r="CI1666" s="717"/>
      <c r="CJ1666" s="717"/>
      <c r="CK1666" s="717"/>
      <c r="CL1666" s="717"/>
      <c r="CM1666" s="717"/>
      <c r="CN1666" s="717"/>
      <c r="CO1666" s="717"/>
      <c r="CP1666" s="717"/>
      <c r="CQ1666" s="717"/>
      <c r="CR1666" s="717"/>
      <c r="CS1666" s="717"/>
      <c r="CT1666" s="717"/>
      <c r="CU1666" s="717"/>
      <c r="CV1666" s="717"/>
      <c r="CW1666" s="717"/>
      <c r="CX1666" s="717"/>
      <c r="CY1666" s="717"/>
      <c r="CZ1666" s="717"/>
      <c r="DA1666" s="717"/>
      <c r="DB1666" s="717"/>
      <c r="DC1666" s="717"/>
      <c r="DD1666" s="717"/>
      <c r="DE1666" s="717"/>
      <c r="DF1666" s="717"/>
      <c r="DG1666" s="717"/>
      <c r="DH1666" s="717"/>
      <c r="DI1666" s="717"/>
      <c r="DJ1666" s="717"/>
      <c r="DM1666" s="711"/>
      <c r="DN1666" s="711"/>
      <c r="DO1666" s="711"/>
      <c r="DP1666" s="711"/>
      <c r="DQ1666" s="711"/>
    </row>
    <row r="1667" spans="13:121" s="709" customFormat="1" hidden="1">
      <c r="M1667" s="710"/>
      <c r="P1667" s="711"/>
      <c r="Q1667" s="712"/>
      <c r="U1667" s="711"/>
      <c r="V1667" s="711"/>
      <c r="W1667" s="711"/>
      <c r="X1667" s="711"/>
      <c r="Y1667" s="711"/>
      <c r="Z1667" s="711"/>
      <c r="AU1667" s="713"/>
      <c r="AW1667" s="712"/>
      <c r="BY1667" s="714"/>
      <c r="BZ1667" s="715"/>
      <c r="CA1667" s="716"/>
      <c r="CB1667" s="717"/>
      <c r="CC1667" s="717"/>
      <c r="CD1667" s="717"/>
      <c r="CE1667" s="717"/>
      <c r="CF1667" s="717"/>
      <c r="CG1667" s="717"/>
      <c r="CH1667" s="717"/>
      <c r="CI1667" s="717"/>
      <c r="CJ1667" s="717"/>
      <c r="CK1667" s="717"/>
      <c r="CL1667" s="717"/>
      <c r="CM1667" s="717"/>
      <c r="CN1667" s="717"/>
      <c r="CO1667" s="717"/>
      <c r="CP1667" s="717"/>
      <c r="CQ1667" s="717"/>
      <c r="CR1667" s="717"/>
      <c r="CS1667" s="717"/>
      <c r="CT1667" s="717"/>
      <c r="CU1667" s="717"/>
      <c r="CV1667" s="717"/>
      <c r="CW1667" s="717"/>
      <c r="CX1667" s="717"/>
      <c r="CY1667" s="717"/>
      <c r="CZ1667" s="717"/>
      <c r="DA1667" s="717"/>
      <c r="DB1667" s="717"/>
      <c r="DC1667" s="717"/>
      <c r="DD1667" s="717"/>
      <c r="DE1667" s="717"/>
      <c r="DF1667" s="717"/>
      <c r="DG1667" s="717"/>
      <c r="DH1667" s="717"/>
      <c r="DI1667" s="717"/>
      <c r="DJ1667" s="717"/>
      <c r="DM1667" s="711"/>
      <c r="DN1667" s="711"/>
      <c r="DO1667" s="711"/>
      <c r="DP1667" s="711"/>
      <c r="DQ1667" s="711"/>
    </row>
    <row r="1668" spans="13:121" s="709" customFormat="1" hidden="1">
      <c r="M1668" s="710"/>
      <c r="P1668" s="711"/>
      <c r="Q1668" s="712"/>
      <c r="U1668" s="711"/>
      <c r="V1668" s="711"/>
      <c r="W1668" s="711"/>
      <c r="X1668" s="711"/>
      <c r="Y1668" s="711"/>
      <c r="Z1668" s="711"/>
      <c r="AU1668" s="713"/>
      <c r="AW1668" s="712"/>
      <c r="BY1668" s="714"/>
      <c r="BZ1668" s="715"/>
      <c r="CA1668" s="716"/>
      <c r="CB1668" s="717"/>
      <c r="CC1668" s="717"/>
      <c r="CD1668" s="717"/>
      <c r="CE1668" s="717"/>
      <c r="CF1668" s="717"/>
      <c r="CG1668" s="717"/>
      <c r="CH1668" s="717"/>
      <c r="CI1668" s="717"/>
      <c r="CJ1668" s="717"/>
      <c r="CK1668" s="717"/>
      <c r="CL1668" s="717"/>
      <c r="CM1668" s="717"/>
      <c r="CN1668" s="717"/>
      <c r="CO1668" s="717"/>
      <c r="CP1668" s="717"/>
      <c r="CQ1668" s="717"/>
      <c r="CR1668" s="717"/>
      <c r="CS1668" s="717"/>
      <c r="CT1668" s="717"/>
      <c r="CU1668" s="717"/>
      <c r="CV1668" s="717"/>
      <c r="CW1668" s="717"/>
      <c r="CX1668" s="717"/>
      <c r="CY1668" s="717"/>
      <c r="CZ1668" s="717"/>
      <c r="DA1668" s="717"/>
      <c r="DB1668" s="717"/>
      <c r="DC1668" s="717"/>
      <c r="DD1668" s="717"/>
      <c r="DE1668" s="717"/>
      <c r="DF1668" s="717"/>
      <c r="DG1668" s="717"/>
      <c r="DH1668" s="717"/>
      <c r="DI1668" s="717"/>
      <c r="DJ1668" s="717"/>
      <c r="DM1668" s="711"/>
      <c r="DN1668" s="711"/>
      <c r="DO1668" s="711"/>
      <c r="DP1668" s="711"/>
      <c r="DQ1668" s="711"/>
    </row>
    <row r="1669" spans="13:121" s="709" customFormat="1" hidden="1">
      <c r="M1669" s="710"/>
      <c r="P1669" s="711"/>
      <c r="Q1669" s="712"/>
      <c r="U1669" s="711"/>
      <c r="V1669" s="711"/>
      <c r="W1669" s="711"/>
      <c r="X1669" s="711"/>
      <c r="Y1669" s="711"/>
      <c r="Z1669" s="711"/>
      <c r="AU1669" s="713"/>
      <c r="AW1669" s="712"/>
      <c r="BY1669" s="714"/>
      <c r="BZ1669" s="715"/>
      <c r="CA1669" s="716"/>
      <c r="CB1669" s="717"/>
      <c r="CC1669" s="717"/>
      <c r="CD1669" s="717"/>
      <c r="CE1669" s="717"/>
      <c r="CF1669" s="717"/>
      <c r="CG1669" s="717"/>
      <c r="CH1669" s="717"/>
      <c r="CI1669" s="717"/>
      <c r="CJ1669" s="717"/>
      <c r="CK1669" s="717"/>
      <c r="CL1669" s="717"/>
      <c r="CM1669" s="717"/>
      <c r="CN1669" s="717"/>
      <c r="CO1669" s="717"/>
      <c r="CP1669" s="717"/>
      <c r="CQ1669" s="717"/>
      <c r="CR1669" s="717"/>
      <c r="CS1669" s="717"/>
      <c r="CT1669" s="717"/>
      <c r="CU1669" s="717"/>
      <c r="CV1669" s="717"/>
      <c r="CW1669" s="717"/>
      <c r="CX1669" s="717"/>
      <c r="CY1669" s="717"/>
      <c r="CZ1669" s="717"/>
      <c r="DA1669" s="717"/>
      <c r="DB1669" s="717"/>
      <c r="DC1669" s="717"/>
      <c r="DD1669" s="717"/>
      <c r="DE1669" s="717"/>
      <c r="DF1669" s="717"/>
      <c r="DG1669" s="717"/>
      <c r="DH1669" s="717"/>
      <c r="DI1669" s="717"/>
      <c r="DJ1669" s="717"/>
      <c r="DM1669" s="711"/>
      <c r="DN1669" s="711"/>
      <c r="DO1669" s="711"/>
      <c r="DP1669" s="711"/>
      <c r="DQ1669" s="711"/>
    </row>
    <row r="1670" spans="13:121" s="709" customFormat="1" hidden="1">
      <c r="M1670" s="710"/>
      <c r="P1670" s="711"/>
      <c r="Q1670" s="712"/>
      <c r="U1670" s="711"/>
      <c r="V1670" s="711"/>
      <c r="W1670" s="711"/>
      <c r="X1670" s="711"/>
      <c r="Y1670" s="711"/>
      <c r="Z1670" s="711"/>
      <c r="AU1670" s="713"/>
      <c r="AW1670" s="712"/>
      <c r="BY1670" s="714"/>
      <c r="BZ1670" s="715"/>
      <c r="CA1670" s="716"/>
      <c r="CB1670" s="717"/>
      <c r="CC1670" s="717"/>
      <c r="CD1670" s="717"/>
      <c r="CE1670" s="717"/>
      <c r="CF1670" s="717"/>
      <c r="CG1670" s="717"/>
      <c r="CH1670" s="717"/>
      <c r="CI1670" s="717"/>
      <c r="CJ1670" s="717"/>
      <c r="CK1670" s="717"/>
      <c r="CL1670" s="717"/>
      <c r="CM1670" s="717"/>
      <c r="CN1670" s="717"/>
      <c r="CO1670" s="717"/>
      <c r="CP1670" s="717"/>
      <c r="CQ1670" s="717"/>
      <c r="CR1670" s="717"/>
      <c r="CS1670" s="717"/>
      <c r="CT1670" s="717"/>
      <c r="CU1670" s="717"/>
      <c r="CV1670" s="717"/>
      <c r="CW1670" s="717"/>
      <c r="CX1670" s="717"/>
      <c r="CY1670" s="717"/>
      <c r="CZ1670" s="717"/>
      <c r="DA1670" s="717"/>
      <c r="DB1670" s="717"/>
      <c r="DC1670" s="717"/>
      <c r="DD1670" s="717"/>
      <c r="DE1670" s="717"/>
      <c r="DF1670" s="717"/>
      <c r="DG1670" s="717"/>
      <c r="DH1670" s="717"/>
      <c r="DI1670" s="717"/>
      <c r="DJ1670" s="717"/>
      <c r="DM1670" s="711"/>
      <c r="DN1670" s="711"/>
      <c r="DO1670" s="711"/>
      <c r="DP1670" s="711"/>
      <c r="DQ1670" s="711"/>
    </row>
    <row r="1671" spans="13:121" s="709" customFormat="1" hidden="1">
      <c r="M1671" s="710"/>
      <c r="P1671" s="711"/>
      <c r="Q1671" s="712"/>
      <c r="U1671" s="711"/>
      <c r="V1671" s="711"/>
      <c r="W1671" s="711"/>
      <c r="X1671" s="711"/>
      <c r="Y1671" s="711"/>
      <c r="Z1671" s="711"/>
      <c r="AU1671" s="713"/>
      <c r="AW1671" s="712"/>
      <c r="BY1671" s="714"/>
      <c r="BZ1671" s="715"/>
      <c r="CA1671" s="716"/>
      <c r="CB1671" s="717"/>
      <c r="CC1671" s="717"/>
      <c r="CD1671" s="717"/>
      <c r="CE1671" s="717"/>
      <c r="CF1671" s="717"/>
      <c r="CG1671" s="717"/>
      <c r="CH1671" s="717"/>
      <c r="CI1671" s="717"/>
      <c r="CJ1671" s="717"/>
      <c r="CK1671" s="717"/>
      <c r="CL1671" s="717"/>
      <c r="CM1671" s="717"/>
      <c r="CN1671" s="717"/>
      <c r="CO1671" s="717"/>
      <c r="CP1671" s="717"/>
      <c r="CQ1671" s="717"/>
      <c r="CR1671" s="717"/>
      <c r="CS1671" s="717"/>
      <c r="CT1671" s="717"/>
      <c r="CU1671" s="717"/>
      <c r="CV1671" s="717"/>
      <c r="CW1671" s="717"/>
      <c r="CX1671" s="717"/>
      <c r="CY1671" s="717"/>
      <c r="CZ1671" s="717"/>
      <c r="DA1671" s="717"/>
      <c r="DB1671" s="717"/>
      <c r="DC1671" s="717"/>
      <c r="DD1671" s="717"/>
      <c r="DE1671" s="717"/>
      <c r="DF1671" s="717"/>
      <c r="DG1671" s="717"/>
      <c r="DH1671" s="717"/>
      <c r="DI1671" s="717"/>
      <c r="DJ1671" s="717"/>
      <c r="DM1671" s="711"/>
      <c r="DN1671" s="711"/>
      <c r="DO1671" s="711"/>
      <c r="DP1671" s="711"/>
      <c r="DQ1671" s="711"/>
    </row>
    <row r="1672" spans="13:121" s="709" customFormat="1" hidden="1">
      <c r="M1672" s="710"/>
      <c r="P1672" s="711"/>
      <c r="Q1672" s="712"/>
      <c r="U1672" s="711"/>
      <c r="V1672" s="711"/>
      <c r="W1672" s="711"/>
      <c r="X1672" s="711"/>
      <c r="Y1672" s="711"/>
      <c r="Z1672" s="711"/>
      <c r="AU1672" s="713"/>
      <c r="AW1672" s="712"/>
      <c r="BY1672" s="714"/>
      <c r="BZ1672" s="715"/>
      <c r="CA1672" s="716"/>
      <c r="CB1672" s="717"/>
      <c r="CC1672" s="717"/>
      <c r="CD1672" s="717"/>
      <c r="CE1672" s="717"/>
      <c r="CF1672" s="717"/>
      <c r="CG1672" s="717"/>
      <c r="CH1672" s="717"/>
      <c r="CI1672" s="717"/>
      <c r="CJ1672" s="717"/>
      <c r="CK1672" s="717"/>
      <c r="CL1672" s="717"/>
      <c r="CM1672" s="717"/>
      <c r="CN1672" s="717"/>
      <c r="CO1672" s="717"/>
      <c r="CP1672" s="717"/>
      <c r="CQ1672" s="717"/>
      <c r="CR1672" s="717"/>
      <c r="CS1672" s="717"/>
      <c r="CT1672" s="717"/>
      <c r="CU1672" s="717"/>
      <c r="CV1672" s="717"/>
      <c r="CW1672" s="717"/>
      <c r="CX1672" s="717"/>
      <c r="CY1672" s="717"/>
      <c r="CZ1672" s="717"/>
      <c r="DA1672" s="717"/>
      <c r="DB1672" s="717"/>
      <c r="DC1672" s="717"/>
      <c r="DD1672" s="717"/>
      <c r="DE1672" s="717"/>
      <c r="DF1672" s="717"/>
      <c r="DG1672" s="717"/>
      <c r="DH1672" s="717"/>
      <c r="DI1672" s="717"/>
      <c r="DJ1672" s="717"/>
      <c r="DM1672" s="711"/>
      <c r="DN1672" s="711"/>
      <c r="DO1672" s="711"/>
      <c r="DP1672" s="711"/>
      <c r="DQ1672" s="711"/>
    </row>
    <row r="1673" spans="13:121" s="709" customFormat="1" hidden="1">
      <c r="M1673" s="710"/>
      <c r="P1673" s="711"/>
      <c r="Q1673" s="712"/>
      <c r="U1673" s="711"/>
      <c r="V1673" s="711"/>
      <c r="W1673" s="711"/>
      <c r="X1673" s="711"/>
      <c r="Y1673" s="711"/>
      <c r="Z1673" s="711"/>
      <c r="AU1673" s="713"/>
      <c r="AW1673" s="712"/>
      <c r="BY1673" s="714"/>
      <c r="BZ1673" s="715"/>
      <c r="CA1673" s="716"/>
      <c r="CB1673" s="717"/>
      <c r="CC1673" s="717"/>
      <c r="CD1673" s="717"/>
      <c r="CE1673" s="717"/>
      <c r="CF1673" s="717"/>
      <c r="CG1673" s="717"/>
      <c r="CH1673" s="717"/>
      <c r="CI1673" s="717"/>
      <c r="CJ1673" s="717"/>
      <c r="CK1673" s="717"/>
      <c r="CL1673" s="717"/>
      <c r="CM1673" s="717"/>
      <c r="CN1673" s="717"/>
      <c r="CO1673" s="717"/>
      <c r="CP1673" s="717"/>
      <c r="CQ1673" s="717"/>
      <c r="CR1673" s="717"/>
      <c r="CS1673" s="717"/>
      <c r="CT1673" s="717"/>
      <c r="CU1673" s="717"/>
      <c r="CV1673" s="717"/>
      <c r="CW1673" s="717"/>
      <c r="CX1673" s="717"/>
      <c r="CY1673" s="717"/>
      <c r="CZ1673" s="717"/>
      <c r="DA1673" s="717"/>
      <c r="DB1673" s="717"/>
      <c r="DC1673" s="717"/>
      <c r="DD1673" s="717"/>
      <c r="DE1673" s="717"/>
      <c r="DF1673" s="717"/>
      <c r="DG1673" s="717"/>
      <c r="DH1673" s="717"/>
      <c r="DI1673" s="717"/>
      <c r="DJ1673" s="717"/>
      <c r="DM1673" s="711"/>
      <c r="DN1673" s="711"/>
      <c r="DO1673" s="711"/>
      <c r="DP1673" s="711"/>
      <c r="DQ1673" s="711"/>
    </row>
    <row r="1674" spans="13:121" s="709" customFormat="1" hidden="1">
      <c r="M1674" s="710"/>
      <c r="P1674" s="711"/>
      <c r="Q1674" s="712"/>
      <c r="U1674" s="711"/>
      <c r="V1674" s="711"/>
      <c r="W1674" s="711"/>
      <c r="X1674" s="711"/>
      <c r="Y1674" s="711"/>
      <c r="Z1674" s="711"/>
      <c r="AU1674" s="713"/>
      <c r="AW1674" s="712"/>
      <c r="BY1674" s="714"/>
      <c r="BZ1674" s="715"/>
      <c r="CA1674" s="716"/>
      <c r="CB1674" s="717"/>
      <c r="CC1674" s="717"/>
      <c r="CD1674" s="717"/>
      <c r="CE1674" s="717"/>
      <c r="CF1674" s="717"/>
      <c r="CG1674" s="717"/>
      <c r="CH1674" s="717"/>
      <c r="CI1674" s="717"/>
      <c r="CJ1674" s="717"/>
      <c r="CK1674" s="717"/>
      <c r="CL1674" s="717"/>
      <c r="CM1674" s="717"/>
      <c r="CN1674" s="717"/>
      <c r="CO1674" s="717"/>
      <c r="CP1674" s="717"/>
      <c r="CQ1674" s="717"/>
      <c r="CR1674" s="717"/>
      <c r="CS1674" s="717"/>
      <c r="CT1674" s="717"/>
      <c r="CU1674" s="717"/>
      <c r="CV1674" s="717"/>
      <c r="CW1674" s="717"/>
      <c r="CX1674" s="717"/>
      <c r="CY1674" s="717"/>
      <c r="CZ1674" s="717"/>
      <c r="DA1674" s="717"/>
      <c r="DB1674" s="717"/>
      <c r="DC1674" s="717"/>
      <c r="DD1674" s="717"/>
      <c r="DE1674" s="717"/>
      <c r="DF1674" s="717"/>
      <c r="DG1674" s="717"/>
      <c r="DH1674" s="717"/>
      <c r="DI1674" s="717"/>
      <c r="DJ1674" s="717"/>
      <c r="DM1674" s="711"/>
      <c r="DN1674" s="711"/>
      <c r="DO1674" s="711"/>
      <c r="DP1674" s="711"/>
      <c r="DQ1674" s="711"/>
    </row>
    <row r="1675" spans="13:121" s="709" customFormat="1" hidden="1">
      <c r="M1675" s="710"/>
      <c r="P1675" s="711"/>
      <c r="Q1675" s="712"/>
      <c r="U1675" s="711"/>
      <c r="V1675" s="711"/>
      <c r="W1675" s="711"/>
      <c r="X1675" s="711"/>
      <c r="Y1675" s="711"/>
      <c r="Z1675" s="711"/>
      <c r="AU1675" s="713"/>
      <c r="AW1675" s="712"/>
      <c r="BY1675" s="714"/>
      <c r="BZ1675" s="715"/>
      <c r="CA1675" s="716"/>
      <c r="CB1675" s="717"/>
      <c r="CC1675" s="717"/>
      <c r="CD1675" s="717"/>
      <c r="CE1675" s="717"/>
      <c r="CF1675" s="717"/>
      <c r="CG1675" s="717"/>
      <c r="CH1675" s="717"/>
      <c r="CI1675" s="717"/>
      <c r="CJ1675" s="717"/>
      <c r="CK1675" s="717"/>
      <c r="CL1675" s="717"/>
      <c r="CM1675" s="717"/>
      <c r="CN1675" s="717"/>
      <c r="CO1675" s="717"/>
      <c r="CP1675" s="717"/>
      <c r="CQ1675" s="717"/>
      <c r="CR1675" s="717"/>
      <c r="CS1675" s="717"/>
      <c r="CT1675" s="717"/>
      <c r="CU1675" s="717"/>
      <c r="CV1675" s="717"/>
      <c r="CW1675" s="717"/>
      <c r="CX1675" s="717"/>
      <c r="CY1675" s="717"/>
      <c r="CZ1675" s="717"/>
      <c r="DA1675" s="717"/>
      <c r="DB1675" s="717"/>
      <c r="DC1675" s="717"/>
      <c r="DD1675" s="717"/>
      <c r="DE1675" s="717"/>
      <c r="DF1675" s="717"/>
      <c r="DG1675" s="717"/>
      <c r="DH1675" s="717"/>
      <c r="DI1675" s="717"/>
      <c r="DJ1675" s="717"/>
      <c r="DM1675" s="711"/>
      <c r="DN1675" s="711"/>
      <c r="DO1675" s="711"/>
      <c r="DP1675" s="711"/>
      <c r="DQ1675" s="711"/>
    </row>
    <row r="1676" spans="13:121" s="709" customFormat="1" hidden="1">
      <c r="M1676" s="710"/>
      <c r="P1676" s="711"/>
      <c r="Q1676" s="712"/>
      <c r="U1676" s="711"/>
      <c r="V1676" s="711"/>
      <c r="W1676" s="711"/>
      <c r="X1676" s="711"/>
      <c r="Y1676" s="711"/>
      <c r="Z1676" s="711"/>
      <c r="AU1676" s="713"/>
      <c r="AW1676" s="712"/>
      <c r="BY1676" s="714"/>
      <c r="BZ1676" s="715"/>
      <c r="CA1676" s="716"/>
      <c r="CB1676" s="717"/>
      <c r="CC1676" s="717"/>
      <c r="CD1676" s="717"/>
      <c r="CE1676" s="717"/>
      <c r="CF1676" s="717"/>
      <c r="CG1676" s="717"/>
      <c r="CH1676" s="717"/>
      <c r="CI1676" s="717"/>
      <c r="CJ1676" s="717"/>
      <c r="CK1676" s="717"/>
      <c r="CL1676" s="717"/>
      <c r="CM1676" s="717"/>
      <c r="CN1676" s="717"/>
      <c r="CO1676" s="717"/>
      <c r="CP1676" s="717"/>
      <c r="CQ1676" s="717"/>
      <c r="CR1676" s="717"/>
      <c r="CS1676" s="717"/>
      <c r="CT1676" s="717"/>
      <c r="CU1676" s="717"/>
      <c r="CV1676" s="717"/>
      <c r="CW1676" s="717"/>
      <c r="CX1676" s="717"/>
      <c r="CY1676" s="717"/>
      <c r="CZ1676" s="717"/>
      <c r="DA1676" s="717"/>
      <c r="DB1676" s="717"/>
      <c r="DC1676" s="717"/>
      <c r="DD1676" s="717"/>
      <c r="DE1676" s="717"/>
      <c r="DF1676" s="717"/>
      <c r="DG1676" s="717"/>
      <c r="DH1676" s="717"/>
      <c r="DI1676" s="717"/>
      <c r="DJ1676" s="717"/>
      <c r="DM1676" s="711"/>
      <c r="DN1676" s="711"/>
      <c r="DO1676" s="711"/>
      <c r="DP1676" s="711"/>
      <c r="DQ1676" s="711"/>
    </row>
    <row r="1677" spans="13:121" s="709" customFormat="1" hidden="1">
      <c r="M1677" s="710"/>
      <c r="P1677" s="711"/>
      <c r="Q1677" s="712"/>
      <c r="U1677" s="711"/>
      <c r="V1677" s="711"/>
      <c r="W1677" s="711"/>
      <c r="X1677" s="711"/>
      <c r="Y1677" s="711"/>
      <c r="Z1677" s="711"/>
      <c r="AU1677" s="713"/>
      <c r="AW1677" s="712"/>
      <c r="BY1677" s="714"/>
      <c r="BZ1677" s="715"/>
      <c r="CA1677" s="716"/>
      <c r="CB1677" s="717"/>
      <c r="CC1677" s="717"/>
      <c r="CD1677" s="717"/>
      <c r="CE1677" s="717"/>
      <c r="CF1677" s="717"/>
      <c r="CG1677" s="717"/>
      <c r="CH1677" s="717"/>
      <c r="CI1677" s="717"/>
      <c r="CJ1677" s="717"/>
      <c r="CK1677" s="717"/>
      <c r="CL1677" s="717"/>
      <c r="CM1677" s="717"/>
      <c r="CN1677" s="717"/>
      <c r="CO1677" s="717"/>
      <c r="CP1677" s="717"/>
      <c r="CQ1677" s="717"/>
      <c r="CR1677" s="717"/>
      <c r="CS1677" s="717"/>
      <c r="CT1677" s="717"/>
      <c r="CU1677" s="717"/>
      <c r="CV1677" s="717"/>
      <c r="CW1677" s="717"/>
      <c r="CX1677" s="717"/>
      <c r="CY1677" s="717"/>
      <c r="CZ1677" s="717"/>
      <c r="DA1677" s="717"/>
      <c r="DB1677" s="717"/>
      <c r="DC1677" s="717"/>
      <c r="DD1677" s="717"/>
      <c r="DE1677" s="717"/>
      <c r="DF1677" s="717"/>
      <c r="DG1677" s="717"/>
      <c r="DH1677" s="717"/>
      <c r="DI1677" s="717"/>
      <c r="DJ1677" s="717"/>
      <c r="DM1677" s="711"/>
      <c r="DN1677" s="711"/>
      <c r="DO1677" s="711"/>
      <c r="DP1677" s="711"/>
      <c r="DQ1677" s="711"/>
    </row>
    <row r="1678" spans="13:121" s="709" customFormat="1" hidden="1">
      <c r="M1678" s="710"/>
      <c r="P1678" s="711"/>
      <c r="Q1678" s="712"/>
      <c r="U1678" s="711"/>
      <c r="V1678" s="711"/>
      <c r="W1678" s="711"/>
      <c r="X1678" s="711"/>
      <c r="Y1678" s="711"/>
      <c r="Z1678" s="711"/>
      <c r="AU1678" s="713"/>
      <c r="AW1678" s="712"/>
      <c r="BY1678" s="714"/>
      <c r="BZ1678" s="715"/>
      <c r="CA1678" s="716"/>
      <c r="CB1678" s="717"/>
      <c r="CC1678" s="717"/>
      <c r="CD1678" s="717"/>
      <c r="CE1678" s="717"/>
      <c r="CF1678" s="717"/>
      <c r="CG1678" s="717"/>
      <c r="CH1678" s="717"/>
      <c r="CI1678" s="717"/>
      <c r="CJ1678" s="717"/>
      <c r="CK1678" s="717"/>
      <c r="CL1678" s="717"/>
      <c r="CM1678" s="717"/>
      <c r="CN1678" s="717"/>
      <c r="CO1678" s="717"/>
      <c r="CP1678" s="717"/>
      <c r="CQ1678" s="717"/>
      <c r="CR1678" s="717"/>
      <c r="CS1678" s="717"/>
      <c r="CT1678" s="717"/>
      <c r="CU1678" s="717"/>
      <c r="CV1678" s="717"/>
      <c r="CW1678" s="717"/>
      <c r="CX1678" s="717"/>
      <c r="CY1678" s="717"/>
      <c r="CZ1678" s="717"/>
      <c r="DA1678" s="717"/>
      <c r="DB1678" s="717"/>
      <c r="DC1678" s="717"/>
      <c r="DD1678" s="717"/>
      <c r="DE1678" s="717"/>
      <c r="DF1678" s="717"/>
      <c r="DG1678" s="717"/>
      <c r="DH1678" s="717"/>
      <c r="DI1678" s="717"/>
      <c r="DJ1678" s="717"/>
      <c r="DM1678" s="711"/>
      <c r="DN1678" s="711"/>
      <c r="DO1678" s="711"/>
      <c r="DP1678" s="711"/>
      <c r="DQ1678" s="711"/>
    </row>
    <row r="1679" spans="13:121" s="709" customFormat="1" hidden="1">
      <c r="M1679" s="710"/>
      <c r="P1679" s="711"/>
      <c r="Q1679" s="712"/>
      <c r="U1679" s="711"/>
      <c r="V1679" s="711"/>
      <c r="W1679" s="711"/>
      <c r="X1679" s="711"/>
      <c r="Y1679" s="711"/>
      <c r="Z1679" s="711"/>
      <c r="AU1679" s="713"/>
      <c r="AW1679" s="712"/>
      <c r="BY1679" s="714"/>
      <c r="BZ1679" s="715"/>
      <c r="CA1679" s="716"/>
      <c r="CB1679" s="717"/>
      <c r="CC1679" s="717"/>
      <c r="CD1679" s="717"/>
      <c r="CE1679" s="717"/>
      <c r="CF1679" s="717"/>
      <c r="CG1679" s="717"/>
      <c r="CH1679" s="717"/>
      <c r="CI1679" s="717"/>
      <c r="CJ1679" s="717"/>
      <c r="CK1679" s="717"/>
      <c r="CL1679" s="717"/>
      <c r="CM1679" s="717"/>
      <c r="CN1679" s="717"/>
      <c r="CO1679" s="717"/>
      <c r="CP1679" s="717"/>
      <c r="CQ1679" s="717"/>
      <c r="CR1679" s="717"/>
      <c r="CS1679" s="717"/>
      <c r="CT1679" s="717"/>
      <c r="CU1679" s="717"/>
      <c r="CV1679" s="717"/>
      <c r="CW1679" s="717"/>
      <c r="CX1679" s="717"/>
      <c r="CY1679" s="717"/>
      <c r="CZ1679" s="717"/>
      <c r="DA1679" s="717"/>
      <c r="DB1679" s="717"/>
      <c r="DC1679" s="717"/>
      <c r="DD1679" s="717"/>
      <c r="DE1679" s="717"/>
      <c r="DF1679" s="717"/>
      <c r="DG1679" s="717"/>
      <c r="DH1679" s="717"/>
      <c r="DI1679" s="717"/>
      <c r="DJ1679" s="717"/>
      <c r="DM1679" s="711"/>
      <c r="DN1679" s="711"/>
      <c r="DO1679" s="711"/>
      <c r="DP1679" s="711"/>
      <c r="DQ1679" s="711"/>
    </row>
    <row r="1680" spans="13:121" s="709" customFormat="1" hidden="1">
      <c r="M1680" s="710"/>
      <c r="P1680" s="711"/>
      <c r="Q1680" s="712"/>
      <c r="U1680" s="711"/>
      <c r="V1680" s="711"/>
      <c r="W1680" s="711"/>
      <c r="X1680" s="711"/>
      <c r="Y1680" s="711"/>
      <c r="Z1680" s="711"/>
      <c r="AU1680" s="713"/>
      <c r="AW1680" s="712"/>
      <c r="BY1680" s="714"/>
      <c r="BZ1680" s="715"/>
      <c r="CA1680" s="716"/>
      <c r="CB1680" s="717"/>
      <c r="CC1680" s="717"/>
      <c r="CD1680" s="717"/>
      <c r="CE1680" s="717"/>
      <c r="CF1680" s="717"/>
      <c r="CG1680" s="717"/>
      <c r="CH1680" s="717"/>
      <c r="CI1680" s="717"/>
      <c r="CJ1680" s="717"/>
      <c r="CK1680" s="717"/>
      <c r="CL1680" s="717"/>
      <c r="CM1680" s="717"/>
      <c r="CN1680" s="717"/>
      <c r="CO1680" s="717"/>
      <c r="CP1680" s="717"/>
      <c r="CQ1680" s="717"/>
      <c r="CR1680" s="717"/>
      <c r="CS1680" s="717"/>
      <c r="CT1680" s="717"/>
      <c r="CU1680" s="717"/>
      <c r="CV1680" s="717"/>
      <c r="CW1680" s="717"/>
      <c r="CX1680" s="717"/>
      <c r="CY1680" s="717"/>
      <c r="CZ1680" s="717"/>
      <c r="DA1680" s="717"/>
      <c r="DB1680" s="717"/>
      <c r="DC1680" s="717"/>
      <c r="DD1680" s="717"/>
      <c r="DE1680" s="717"/>
      <c r="DF1680" s="717"/>
      <c r="DG1680" s="717"/>
      <c r="DH1680" s="717"/>
      <c r="DI1680" s="717"/>
      <c r="DJ1680" s="717"/>
      <c r="DM1680" s="711"/>
      <c r="DN1680" s="711"/>
      <c r="DO1680" s="711"/>
      <c r="DP1680" s="711"/>
      <c r="DQ1680" s="711"/>
    </row>
    <row r="1681" spans="13:121" s="709" customFormat="1" hidden="1">
      <c r="M1681" s="710"/>
      <c r="P1681" s="711"/>
      <c r="Q1681" s="712"/>
      <c r="U1681" s="711"/>
      <c r="V1681" s="711"/>
      <c r="W1681" s="711"/>
      <c r="X1681" s="711"/>
      <c r="Y1681" s="711"/>
      <c r="Z1681" s="711"/>
      <c r="AU1681" s="713"/>
      <c r="AW1681" s="712"/>
      <c r="BY1681" s="714"/>
      <c r="BZ1681" s="715"/>
      <c r="CA1681" s="716"/>
      <c r="CB1681" s="717"/>
      <c r="CC1681" s="717"/>
      <c r="CD1681" s="717"/>
      <c r="CE1681" s="717"/>
      <c r="CF1681" s="717"/>
      <c r="CG1681" s="717"/>
      <c r="CH1681" s="717"/>
      <c r="CI1681" s="717"/>
      <c r="CJ1681" s="717"/>
      <c r="CK1681" s="717"/>
      <c r="CL1681" s="717"/>
      <c r="CM1681" s="717"/>
      <c r="CN1681" s="717"/>
      <c r="CO1681" s="717"/>
      <c r="CP1681" s="717"/>
      <c r="CQ1681" s="717"/>
      <c r="CR1681" s="717"/>
      <c r="CS1681" s="717"/>
      <c r="CT1681" s="717"/>
      <c r="CU1681" s="717"/>
      <c r="CV1681" s="717"/>
      <c r="CW1681" s="717"/>
      <c r="CX1681" s="717"/>
      <c r="CY1681" s="717"/>
      <c r="CZ1681" s="717"/>
      <c r="DA1681" s="717"/>
      <c r="DB1681" s="717"/>
      <c r="DC1681" s="717"/>
      <c r="DD1681" s="717"/>
      <c r="DE1681" s="717"/>
      <c r="DF1681" s="717"/>
      <c r="DG1681" s="717"/>
      <c r="DH1681" s="717"/>
      <c r="DI1681" s="717"/>
      <c r="DJ1681" s="717"/>
      <c r="DM1681" s="711"/>
      <c r="DN1681" s="711"/>
      <c r="DO1681" s="711"/>
      <c r="DP1681" s="711"/>
      <c r="DQ1681" s="711"/>
    </row>
    <row r="1682" spans="13:121" s="709" customFormat="1" hidden="1">
      <c r="M1682" s="710"/>
      <c r="P1682" s="711"/>
      <c r="Q1682" s="712"/>
      <c r="U1682" s="711"/>
      <c r="V1682" s="711"/>
      <c r="W1682" s="711"/>
      <c r="X1682" s="711"/>
      <c r="Y1682" s="711"/>
      <c r="Z1682" s="711"/>
      <c r="AU1682" s="713"/>
      <c r="AW1682" s="712"/>
      <c r="BY1682" s="714"/>
      <c r="BZ1682" s="715"/>
      <c r="CA1682" s="716"/>
      <c r="CB1682" s="717"/>
      <c r="CC1682" s="717"/>
      <c r="CD1682" s="717"/>
      <c r="CE1682" s="717"/>
      <c r="CF1682" s="717"/>
      <c r="CG1682" s="717"/>
      <c r="CH1682" s="717"/>
      <c r="CI1682" s="717"/>
      <c r="CJ1682" s="717"/>
      <c r="CK1682" s="717"/>
      <c r="CL1682" s="717"/>
      <c r="CM1682" s="717"/>
      <c r="CN1682" s="717"/>
      <c r="CO1682" s="717"/>
      <c r="CP1682" s="717"/>
      <c r="CQ1682" s="717"/>
      <c r="CR1682" s="717"/>
      <c r="CS1682" s="717"/>
      <c r="CT1682" s="717"/>
      <c r="CU1682" s="717"/>
      <c r="CV1682" s="717"/>
      <c r="CW1682" s="717"/>
      <c r="CX1682" s="717"/>
      <c r="CY1682" s="717"/>
      <c r="CZ1682" s="717"/>
      <c r="DA1682" s="717"/>
      <c r="DB1682" s="717"/>
      <c r="DC1682" s="717"/>
      <c r="DD1682" s="717"/>
      <c r="DE1682" s="717"/>
      <c r="DF1682" s="717"/>
      <c r="DG1682" s="717"/>
      <c r="DH1682" s="717"/>
      <c r="DI1682" s="717"/>
      <c r="DJ1682" s="717"/>
      <c r="DM1682" s="711"/>
      <c r="DN1682" s="711"/>
      <c r="DO1682" s="711"/>
      <c r="DP1682" s="711"/>
      <c r="DQ1682" s="711"/>
    </row>
    <row r="1683" spans="13:121" s="709" customFormat="1" hidden="1">
      <c r="M1683" s="710"/>
      <c r="P1683" s="711"/>
      <c r="Q1683" s="712"/>
      <c r="U1683" s="711"/>
      <c r="V1683" s="711"/>
      <c r="W1683" s="711"/>
      <c r="X1683" s="711"/>
      <c r="Y1683" s="711"/>
      <c r="Z1683" s="711"/>
      <c r="AU1683" s="713"/>
      <c r="AW1683" s="712"/>
      <c r="BY1683" s="714"/>
      <c r="BZ1683" s="715"/>
      <c r="CA1683" s="716"/>
      <c r="CB1683" s="717"/>
      <c r="CC1683" s="717"/>
      <c r="CD1683" s="717"/>
      <c r="CE1683" s="717"/>
      <c r="CF1683" s="717"/>
      <c r="CG1683" s="717"/>
      <c r="CH1683" s="717"/>
      <c r="CI1683" s="717"/>
      <c r="CJ1683" s="717"/>
      <c r="CK1683" s="717"/>
      <c r="CL1683" s="717"/>
      <c r="CM1683" s="717"/>
      <c r="CN1683" s="717"/>
      <c r="CO1683" s="717"/>
      <c r="CP1683" s="717"/>
      <c r="CQ1683" s="717"/>
      <c r="CR1683" s="717"/>
      <c r="CS1683" s="717"/>
      <c r="CT1683" s="717"/>
      <c r="CU1683" s="717"/>
      <c r="CV1683" s="717"/>
      <c r="CW1683" s="717"/>
      <c r="CX1683" s="717"/>
      <c r="CY1683" s="717"/>
      <c r="CZ1683" s="717"/>
      <c r="DA1683" s="717"/>
      <c r="DB1683" s="717"/>
      <c r="DC1683" s="717"/>
      <c r="DD1683" s="717"/>
      <c r="DE1683" s="717"/>
      <c r="DF1683" s="717"/>
      <c r="DG1683" s="717"/>
      <c r="DH1683" s="717"/>
      <c r="DI1683" s="717"/>
      <c r="DJ1683" s="717"/>
      <c r="DM1683" s="711"/>
      <c r="DN1683" s="711"/>
      <c r="DO1683" s="711"/>
      <c r="DP1683" s="711"/>
      <c r="DQ1683" s="711"/>
    </row>
    <row r="1684" spans="13:121" s="709" customFormat="1" hidden="1">
      <c r="M1684" s="710"/>
      <c r="P1684" s="711"/>
      <c r="Q1684" s="712"/>
      <c r="U1684" s="711"/>
      <c r="V1684" s="711"/>
      <c r="W1684" s="711"/>
      <c r="X1684" s="711"/>
      <c r="Y1684" s="711"/>
      <c r="Z1684" s="711"/>
      <c r="AU1684" s="713"/>
      <c r="AW1684" s="712"/>
      <c r="BY1684" s="714"/>
      <c r="BZ1684" s="715"/>
      <c r="CA1684" s="716"/>
      <c r="CB1684" s="717"/>
      <c r="CC1684" s="717"/>
      <c r="CD1684" s="717"/>
      <c r="CE1684" s="717"/>
      <c r="CF1684" s="717"/>
      <c r="CG1684" s="717"/>
      <c r="CH1684" s="717"/>
      <c r="CI1684" s="717"/>
      <c r="CJ1684" s="717"/>
      <c r="CK1684" s="717"/>
      <c r="CL1684" s="717"/>
      <c r="CM1684" s="717"/>
      <c r="CN1684" s="717"/>
      <c r="CO1684" s="717"/>
      <c r="CP1684" s="717"/>
      <c r="CQ1684" s="717"/>
      <c r="CR1684" s="717"/>
      <c r="CS1684" s="717"/>
      <c r="CT1684" s="717"/>
      <c r="CU1684" s="717"/>
      <c r="CV1684" s="717"/>
      <c r="CW1684" s="717"/>
      <c r="CX1684" s="717"/>
      <c r="CY1684" s="717"/>
      <c r="CZ1684" s="717"/>
      <c r="DA1684" s="717"/>
      <c r="DB1684" s="717"/>
      <c r="DC1684" s="717"/>
      <c r="DD1684" s="717"/>
      <c r="DE1684" s="717"/>
      <c r="DF1684" s="717"/>
      <c r="DG1684" s="717"/>
      <c r="DH1684" s="717"/>
      <c r="DI1684" s="717"/>
      <c r="DJ1684" s="717"/>
      <c r="DM1684" s="711"/>
      <c r="DN1684" s="711"/>
      <c r="DO1684" s="711"/>
      <c r="DP1684" s="711"/>
      <c r="DQ1684" s="711"/>
    </row>
    <row r="1685" spans="13:121" s="709" customFormat="1" hidden="1">
      <c r="M1685" s="710"/>
      <c r="P1685" s="711"/>
      <c r="Q1685" s="712"/>
      <c r="U1685" s="711"/>
      <c r="V1685" s="711"/>
      <c r="W1685" s="711"/>
      <c r="X1685" s="711"/>
      <c r="Y1685" s="711"/>
      <c r="Z1685" s="711"/>
      <c r="AU1685" s="713"/>
      <c r="AW1685" s="712"/>
      <c r="BY1685" s="714"/>
      <c r="BZ1685" s="715"/>
      <c r="CA1685" s="716"/>
      <c r="CB1685" s="717"/>
      <c r="CC1685" s="717"/>
      <c r="CD1685" s="717"/>
      <c r="CE1685" s="717"/>
      <c r="CF1685" s="717"/>
      <c r="CG1685" s="717"/>
      <c r="CH1685" s="717"/>
      <c r="CI1685" s="717"/>
      <c r="CJ1685" s="717"/>
      <c r="CK1685" s="717"/>
      <c r="CL1685" s="717"/>
      <c r="CM1685" s="717"/>
      <c r="CN1685" s="717"/>
      <c r="CO1685" s="717"/>
      <c r="CP1685" s="717"/>
      <c r="CQ1685" s="717"/>
      <c r="CR1685" s="717"/>
      <c r="CS1685" s="717"/>
      <c r="CT1685" s="717"/>
      <c r="CU1685" s="717"/>
      <c r="CV1685" s="717"/>
      <c r="CW1685" s="717"/>
      <c r="CX1685" s="717"/>
      <c r="CY1685" s="717"/>
      <c r="CZ1685" s="717"/>
      <c r="DA1685" s="717"/>
      <c r="DB1685" s="717"/>
      <c r="DC1685" s="717"/>
      <c r="DD1685" s="717"/>
      <c r="DE1685" s="717"/>
      <c r="DF1685" s="717"/>
      <c r="DG1685" s="717"/>
      <c r="DH1685" s="717"/>
      <c r="DI1685" s="717"/>
      <c r="DJ1685" s="717"/>
      <c r="DM1685" s="711"/>
      <c r="DN1685" s="711"/>
      <c r="DO1685" s="711"/>
      <c r="DP1685" s="711"/>
      <c r="DQ1685" s="711"/>
    </row>
    <row r="1686" spans="13:121" s="709" customFormat="1" hidden="1">
      <c r="M1686" s="710"/>
      <c r="P1686" s="711"/>
      <c r="Q1686" s="712"/>
      <c r="U1686" s="711"/>
      <c r="V1686" s="711"/>
      <c r="W1686" s="711"/>
      <c r="X1686" s="711"/>
      <c r="Y1686" s="711"/>
      <c r="Z1686" s="711"/>
      <c r="AU1686" s="713"/>
      <c r="AW1686" s="712"/>
      <c r="BY1686" s="714"/>
      <c r="BZ1686" s="715"/>
      <c r="CA1686" s="716"/>
      <c r="CB1686" s="717"/>
      <c r="CC1686" s="717"/>
      <c r="CD1686" s="717"/>
      <c r="CE1686" s="717"/>
      <c r="CF1686" s="717"/>
      <c r="CG1686" s="717"/>
      <c r="CH1686" s="717"/>
      <c r="CI1686" s="717"/>
      <c r="CJ1686" s="717"/>
      <c r="CK1686" s="717"/>
      <c r="CL1686" s="717"/>
      <c r="CM1686" s="717"/>
      <c r="CN1686" s="717"/>
      <c r="CO1686" s="717"/>
      <c r="CP1686" s="717"/>
      <c r="CQ1686" s="717"/>
      <c r="CR1686" s="717"/>
      <c r="CS1686" s="717"/>
      <c r="CT1686" s="717"/>
      <c r="CU1686" s="717"/>
      <c r="CV1686" s="717"/>
      <c r="CW1686" s="717"/>
      <c r="CX1686" s="717"/>
      <c r="CY1686" s="717"/>
      <c r="CZ1686" s="717"/>
      <c r="DA1686" s="717"/>
      <c r="DB1686" s="717"/>
      <c r="DC1686" s="717"/>
      <c r="DD1686" s="717"/>
      <c r="DE1686" s="717"/>
      <c r="DF1686" s="717"/>
      <c r="DG1686" s="717"/>
      <c r="DH1686" s="717"/>
      <c r="DI1686" s="717"/>
      <c r="DJ1686" s="717"/>
      <c r="DM1686" s="711"/>
      <c r="DN1686" s="711"/>
      <c r="DO1686" s="711"/>
      <c r="DP1686" s="711"/>
      <c r="DQ1686" s="711"/>
    </row>
    <row r="1687" spans="13:121" s="709" customFormat="1" hidden="1">
      <c r="M1687" s="710"/>
      <c r="P1687" s="711"/>
      <c r="Q1687" s="712"/>
      <c r="U1687" s="711"/>
      <c r="V1687" s="711"/>
      <c r="W1687" s="711"/>
      <c r="X1687" s="711"/>
      <c r="Y1687" s="711"/>
      <c r="Z1687" s="711"/>
      <c r="AU1687" s="713"/>
      <c r="AW1687" s="712"/>
      <c r="BY1687" s="714"/>
      <c r="BZ1687" s="715"/>
      <c r="CA1687" s="716"/>
      <c r="CB1687" s="717"/>
      <c r="CC1687" s="717"/>
      <c r="CD1687" s="717"/>
      <c r="CE1687" s="717"/>
      <c r="CF1687" s="717"/>
      <c r="CG1687" s="717"/>
      <c r="CH1687" s="717"/>
      <c r="CI1687" s="717"/>
      <c r="CJ1687" s="717"/>
      <c r="CK1687" s="717"/>
      <c r="CL1687" s="717"/>
      <c r="CM1687" s="717"/>
      <c r="CN1687" s="717"/>
      <c r="CO1687" s="717"/>
      <c r="CP1687" s="717"/>
      <c r="CQ1687" s="717"/>
      <c r="CR1687" s="717"/>
      <c r="CS1687" s="717"/>
      <c r="CT1687" s="717"/>
      <c r="CU1687" s="717"/>
      <c r="CV1687" s="717"/>
      <c r="CW1687" s="717"/>
      <c r="CX1687" s="717"/>
      <c r="CY1687" s="717"/>
      <c r="CZ1687" s="717"/>
      <c r="DA1687" s="717"/>
      <c r="DB1687" s="717"/>
      <c r="DC1687" s="717"/>
      <c r="DD1687" s="717"/>
      <c r="DE1687" s="717"/>
      <c r="DF1687" s="717"/>
      <c r="DG1687" s="717"/>
      <c r="DH1687" s="717"/>
      <c r="DI1687" s="717"/>
      <c r="DJ1687" s="717"/>
      <c r="DM1687" s="711"/>
      <c r="DN1687" s="711"/>
      <c r="DO1687" s="711"/>
      <c r="DP1687" s="711"/>
      <c r="DQ1687" s="711"/>
    </row>
    <row r="1688" spans="13:121" s="709" customFormat="1" hidden="1">
      <c r="M1688" s="710"/>
      <c r="P1688" s="711"/>
      <c r="Q1688" s="712"/>
      <c r="U1688" s="711"/>
      <c r="V1688" s="711"/>
      <c r="W1688" s="711"/>
      <c r="X1688" s="711"/>
      <c r="Y1688" s="711"/>
      <c r="Z1688" s="711"/>
      <c r="AU1688" s="713"/>
      <c r="AW1688" s="712"/>
      <c r="BY1688" s="714"/>
      <c r="BZ1688" s="715"/>
      <c r="CA1688" s="716"/>
      <c r="CB1688" s="717"/>
      <c r="CC1688" s="717"/>
      <c r="CD1688" s="717"/>
      <c r="CE1688" s="717"/>
      <c r="CF1688" s="717"/>
      <c r="CG1688" s="717"/>
      <c r="CH1688" s="717"/>
      <c r="CI1688" s="717"/>
      <c r="CJ1688" s="717"/>
      <c r="CK1688" s="717"/>
      <c r="CL1688" s="717"/>
      <c r="CM1688" s="717"/>
      <c r="CN1688" s="717"/>
      <c r="CO1688" s="717"/>
      <c r="CP1688" s="717"/>
      <c r="CQ1688" s="717"/>
      <c r="CR1688" s="717"/>
      <c r="CS1688" s="717"/>
      <c r="CT1688" s="717"/>
      <c r="CU1688" s="717"/>
      <c r="CV1688" s="717"/>
      <c r="CW1688" s="717"/>
      <c r="CX1688" s="717"/>
      <c r="CY1688" s="717"/>
      <c r="CZ1688" s="717"/>
      <c r="DA1688" s="717"/>
      <c r="DB1688" s="717"/>
      <c r="DC1688" s="717"/>
      <c r="DD1688" s="717"/>
      <c r="DE1688" s="717"/>
      <c r="DF1688" s="717"/>
      <c r="DG1688" s="717"/>
      <c r="DH1688" s="717"/>
      <c r="DI1688" s="717"/>
      <c r="DJ1688" s="717"/>
      <c r="DM1688" s="711"/>
      <c r="DN1688" s="711"/>
      <c r="DO1688" s="711"/>
      <c r="DP1688" s="711"/>
      <c r="DQ1688" s="711"/>
    </row>
    <row r="1689" spans="13:121" s="709" customFormat="1" hidden="1">
      <c r="M1689" s="710"/>
      <c r="P1689" s="711"/>
      <c r="Q1689" s="712"/>
      <c r="U1689" s="711"/>
      <c r="V1689" s="711"/>
      <c r="W1689" s="711"/>
      <c r="X1689" s="711"/>
      <c r="Y1689" s="711"/>
      <c r="Z1689" s="711"/>
      <c r="AU1689" s="713"/>
      <c r="AW1689" s="712"/>
      <c r="BY1689" s="714"/>
      <c r="BZ1689" s="715"/>
      <c r="CA1689" s="716"/>
      <c r="CB1689" s="717"/>
      <c r="CC1689" s="717"/>
      <c r="CD1689" s="717"/>
      <c r="CE1689" s="717"/>
      <c r="CF1689" s="717"/>
      <c r="CG1689" s="717"/>
      <c r="CH1689" s="717"/>
      <c r="CI1689" s="717"/>
      <c r="CJ1689" s="717"/>
      <c r="CK1689" s="717"/>
      <c r="CL1689" s="717"/>
      <c r="CM1689" s="717"/>
      <c r="CN1689" s="717"/>
      <c r="CO1689" s="717"/>
      <c r="CP1689" s="717"/>
      <c r="CQ1689" s="717"/>
      <c r="CR1689" s="717"/>
      <c r="CS1689" s="717"/>
      <c r="CT1689" s="717"/>
      <c r="CU1689" s="717"/>
      <c r="CV1689" s="717"/>
      <c r="CW1689" s="717"/>
      <c r="CX1689" s="717"/>
      <c r="CY1689" s="717"/>
      <c r="CZ1689" s="717"/>
      <c r="DA1689" s="717"/>
      <c r="DB1689" s="717"/>
      <c r="DC1689" s="717"/>
      <c r="DD1689" s="717"/>
      <c r="DE1689" s="717"/>
      <c r="DF1689" s="717"/>
      <c r="DG1689" s="717"/>
      <c r="DH1689" s="717"/>
      <c r="DI1689" s="717"/>
      <c r="DJ1689" s="717"/>
      <c r="DM1689" s="711"/>
      <c r="DN1689" s="711"/>
      <c r="DO1689" s="711"/>
      <c r="DP1689" s="711"/>
      <c r="DQ1689" s="711"/>
    </row>
    <row r="1690" spans="13:121" s="709" customFormat="1" hidden="1">
      <c r="M1690" s="710"/>
      <c r="P1690" s="711"/>
      <c r="Q1690" s="712"/>
      <c r="U1690" s="711"/>
      <c r="V1690" s="711"/>
      <c r="W1690" s="711"/>
      <c r="X1690" s="711"/>
      <c r="Y1690" s="711"/>
      <c r="Z1690" s="711"/>
      <c r="AU1690" s="713"/>
      <c r="AW1690" s="712"/>
      <c r="BY1690" s="714"/>
      <c r="BZ1690" s="715"/>
      <c r="CA1690" s="716"/>
      <c r="CB1690" s="717"/>
      <c r="CC1690" s="717"/>
      <c r="CD1690" s="717"/>
      <c r="CE1690" s="717"/>
      <c r="CF1690" s="717"/>
      <c r="CG1690" s="717"/>
      <c r="CH1690" s="717"/>
      <c r="CI1690" s="717"/>
      <c r="CJ1690" s="717"/>
      <c r="CK1690" s="717"/>
      <c r="CL1690" s="717"/>
      <c r="CM1690" s="717"/>
      <c r="CN1690" s="717"/>
      <c r="CO1690" s="717"/>
      <c r="CP1690" s="717"/>
      <c r="CQ1690" s="717"/>
      <c r="CR1690" s="717"/>
      <c r="CS1690" s="717"/>
      <c r="CT1690" s="717"/>
      <c r="CU1690" s="717"/>
      <c r="CV1690" s="717"/>
      <c r="CW1690" s="717"/>
      <c r="CX1690" s="717"/>
      <c r="CY1690" s="717"/>
      <c r="CZ1690" s="717"/>
      <c r="DA1690" s="717"/>
      <c r="DB1690" s="717"/>
      <c r="DC1690" s="717"/>
      <c r="DD1690" s="717"/>
      <c r="DE1690" s="717"/>
      <c r="DF1690" s="717"/>
      <c r="DG1690" s="717"/>
      <c r="DH1690" s="717"/>
      <c r="DI1690" s="717"/>
      <c r="DJ1690" s="717"/>
      <c r="DM1690" s="711"/>
      <c r="DN1690" s="711"/>
      <c r="DO1690" s="711"/>
      <c r="DP1690" s="711"/>
      <c r="DQ1690" s="711"/>
    </row>
    <row r="1691" spans="13:121" s="709" customFormat="1" hidden="1">
      <c r="M1691" s="710"/>
      <c r="P1691" s="711"/>
      <c r="Q1691" s="712"/>
      <c r="U1691" s="711"/>
      <c r="V1691" s="711"/>
      <c r="W1691" s="711"/>
      <c r="X1691" s="711"/>
      <c r="Y1691" s="711"/>
      <c r="Z1691" s="711"/>
      <c r="AU1691" s="713"/>
      <c r="AW1691" s="712"/>
      <c r="BY1691" s="714"/>
      <c r="BZ1691" s="715"/>
      <c r="CA1691" s="716"/>
      <c r="CB1691" s="717"/>
      <c r="CC1691" s="717"/>
      <c r="CD1691" s="717"/>
      <c r="CE1691" s="717"/>
      <c r="CF1691" s="717"/>
      <c r="CG1691" s="717"/>
      <c r="CH1691" s="717"/>
      <c r="CI1691" s="717"/>
      <c r="CJ1691" s="717"/>
      <c r="CK1691" s="717"/>
      <c r="CL1691" s="717"/>
      <c r="CM1691" s="717"/>
      <c r="CN1691" s="717"/>
      <c r="CO1691" s="717"/>
      <c r="CP1691" s="717"/>
      <c r="CQ1691" s="717"/>
      <c r="CR1691" s="717"/>
      <c r="CS1691" s="717"/>
      <c r="CT1691" s="717"/>
      <c r="CU1691" s="717"/>
      <c r="CV1691" s="717"/>
      <c r="CW1691" s="717"/>
      <c r="CX1691" s="717"/>
      <c r="CY1691" s="717"/>
      <c r="CZ1691" s="717"/>
      <c r="DA1691" s="717"/>
      <c r="DB1691" s="717"/>
      <c r="DC1691" s="717"/>
      <c r="DD1691" s="717"/>
      <c r="DE1691" s="717"/>
      <c r="DF1691" s="717"/>
      <c r="DG1691" s="717"/>
      <c r="DH1691" s="717"/>
      <c r="DI1691" s="717"/>
      <c r="DJ1691" s="717"/>
      <c r="DM1691" s="711"/>
      <c r="DN1691" s="711"/>
      <c r="DO1691" s="711"/>
      <c r="DP1691" s="711"/>
      <c r="DQ1691" s="711"/>
    </row>
    <row r="1692" spans="13:121" s="709" customFormat="1" hidden="1">
      <c r="M1692" s="710"/>
      <c r="P1692" s="711"/>
      <c r="Q1692" s="712"/>
      <c r="U1692" s="711"/>
      <c r="V1692" s="711"/>
      <c r="W1692" s="711"/>
      <c r="X1692" s="711"/>
      <c r="Y1692" s="711"/>
      <c r="Z1692" s="711"/>
      <c r="AU1692" s="713"/>
      <c r="AW1692" s="712"/>
      <c r="BY1692" s="714"/>
      <c r="BZ1692" s="715"/>
      <c r="CA1692" s="716"/>
      <c r="CB1692" s="717"/>
      <c r="CC1692" s="717"/>
      <c r="CD1692" s="717"/>
      <c r="CE1692" s="717"/>
      <c r="CF1692" s="717"/>
      <c r="CG1692" s="717"/>
      <c r="CH1692" s="717"/>
      <c r="CI1692" s="717"/>
      <c r="CJ1692" s="717"/>
      <c r="CK1692" s="717"/>
      <c r="CL1692" s="717"/>
      <c r="CM1692" s="717"/>
      <c r="CN1692" s="717"/>
      <c r="CO1692" s="717"/>
      <c r="CP1692" s="717"/>
      <c r="CQ1692" s="717"/>
      <c r="CR1692" s="717"/>
      <c r="CS1692" s="717"/>
      <c r="CT1692" s="717"/>
      <c r="CU1692" s="717"/>
      <c r="CV1692" s="717"/>
      <c r="CW1692" s="717"/>
      <c r="CX1692" s="717"/>
      <c r="CY1692" s="717"/>
      <c r="CZ1692" s="717"/>
      <c r="DA1692" s="717"/>
      <c r="DB1692" s="717"/>
      <c r="DC1692" s="717"/>
      <c r="DD1692" s="717"/>
      <c r="DE1692" s="717"/>
      <c r="DF1692" s="717"/>
      <c r="DG1692" s="717"/>
      <c r="DH1692" s="717"/>
      <c r="DI1692" s="717"/>
      <c r="DJ1692" s="717"/>
      <c r="DM1692" s="711"/>
      <c r="DN1692" s="711"/>
      <c r="DO1692" s="711"/>
      <c r="DP1692" s="711"/>
      <c r="DQ1692" s="711"/>
    </row>
    <row r="1693" spans="13:121" s="709" customFormat="1" hidden="1">
      <c r="M1693" s="710"/>
      <c r="P1693" s="711"/>
      <c r="Q1693" s="712"/>
      <c r="U1693" s="711"/>
      <c r="V1693" s="711"/>
      <c r="W1693" s="711"/>
      <c r="X1693" s="711"/>
      <c r="Y1693" s="711"/>
      <c r="Z1693" s="711"/>
      <c r="AU1693" s="713"/>
      <c r="AW1693" s="712"/>
      <c r="BY1693" s="714"/>
      <c r="BZ1693" s="715"/>
      <c r="CA1693" s="716"/>
      <c r="CB1693" s="717"/>
      <c r="CC1693" s="717"/>
      <c r="CD1693" s="717"/>
      <c r="CE1693" s="717"/>
      <c r="CF1693" s="717"/>
      <c r="CG1693" s="717"/>
      <c r="CH1693" s="717"/>
      <c r="CI1693" s="717"/>
      <c r="CJ1693" s="717"/>
      <c r="CK1693" s="717"/>
      <c r="CL1693" s="717"/>
      <c r="CM1693" s="717"/>
      <c r="CN1693" s="717"/>
      <c r="CO1693" s="717"/>
      <c r="CP1693" s="717"/>
      <c r="CQ1693" s="717"/>
      <c r="CR1693" s="717"/>
      <c r="CS1693" s="717"/>
      <c r="CT1693" s="717"/>
      <c r="CU1693" s="717"/>
      <c r="CV1693" s="717"/>
      <c r="CW1693" s="717"/>
      <c r="CX1693" s="717"/>
      <c r="CY1693" s="717"/>
      <c r="CZ1693" s="717"/>
      <c r="DA1693" s="717"/>
      <c r="DB1693" s="717"/>
      <c r="DC1693" s="717"/>
      <c r="DD1693" s="717"/>
      <c r="DE1693" s="717"/>
      <c r="DF1693" s="717"/>
      <c r="DG1693" s="717"/>
      <c r="DH1693" s="717"/>
      <c r="DI1693" s="717"/>
      <c r="DJ1693" s="717"/>
      <c r="DM1693" s="711"/>
      <c r="DN1693" s="711"/>
      <c r="DO1693" s="711"/>
      <c r="DP1693" s="711"/>
      <c r="DQ1693" s="711"/>
    </row>
    <row r="1694" spans="13:121" s="709" customFormat="1" hidden="1">
      <c r="M1694" s="710"/>
      <c r="P1694" s="711"/>
      <c r="Q1694" s="712"/>
      <c r="U1694" s="711"/>
      <c r="V1694" s="711"/>
      <c r="W1694" s="711"/>
      <c r="X1694" s="711"/>
      <c r="Y1694" s="711"/>
      <c r="Z1694" s="711"/>
      <c r="AU1694" s="713"/>
      <c r="AW1694" s="712"/>
      <c r="BY1694" s="714"/>
      <c r="BZ1694" s="715"/>
      <c r="CA1694" s="716"/>
      <c r="CB1694" s="717"/>
      <c r="CC1694" s="717"/>
      <c r="CD1694" s="717"/>
      <c r="CE1694" s="717"/>
      <c r="CF1694" s="717"/>
      <c r="CG1694" s="717"/>
      <c r="CH1694" s="717"/>
      <c r="CI1694" s="717"/>
      <c r="CJ1694" s="717"/>
      <c r="CK1694" s="717"/>
      <c r="CL1694" s="717"/>
      <c r="CM1694" s="717"/>
      <c r="CN1694" s="717"/>
      <c r="CO1694" s="717"/>
      <c r="CP1694" s="717"/>
      <c r="CQ1694" s="717"/>
      <c r="CR1694" s="717"/>
      <c r="CS1694" s="717"/>
      <c r="CT1694" s="717"/>
      <c r="CU1694" s="717"/>
      <c r="CV1694" s="717"/>
      <c r="CW1694" s="717"/>
      <c r="CX1694" s="717"/>
      <c r="CY1694" s="717"/>
      <c r="CZ1694" s="717"/>
      <c r="DA1694" s="717"/>
      <c r="DB1694" s="717"/>
      <c r="DC1694" s="717"/>
      <c r="DD1694" s="717"/>
      <c r="DE1694" s="717"/>
      <c r="DF1694" s="717"/>
      <c r="DG1694" s="717"/>
      <c r="DH1694" s="717"/>
      <c r="DI1694" s="717"/>
      <c r="DJ1694" s="717"/>
      <c r="DM1694" s="711"/>
      <c r="DN1694" s="711"/>
      <c r="DO1694" s="711"/>
      <c r="DP1694" s="711"/>
      <c r="DQ1694" s="711"/>
    </row>
    <row r="1695" spans="13:121" s="709" customFormat="1" hidden="1">
      <c r="M1695" s="710"/>
      <c r="P1695" s="711"/>
      <c r="Q1695" s="712"/>
      <c r="U1695" s="711"/>
      <c r="V1695" s="711"/>
      <c r="W1695" s="711"/>
      <c r="X1695" s="711"/>
      <c r="Y1695" s="711"/>
      <c r="Z1695" s="711"/>
      <c r="AU1695" s="713"/>
      <c r="AW1695" s="712"/>
      <c r="BY1695" s="714"/>
      <c r="BZ1695" s="715"/>
      <c r="CA1695" s="716"/>
      <c r="CB1695" s="717"/>
      <c r="CC1695" s="717"/>
      <c r="CD1695" s="717"/>
      <c r="CE1695" s="717"/>
      <c r="CF1695" s="717"/>
      <c r="CG1695" s="717"/>
      <c r="CH1695" s="717"/>
      <c r="CI1695" s="717"/>
      <c r="CJ1695" s="717"/>
      <c r="CK1695" s="717"/>
      <c r="CL1695" s="717"/>
      <c r="CM1695" s="717"/>
      <c r="CN1695" s="717"/>
      <c r="CO1695" s="717"/>
      <c r="CP1695" s="717"/>
      <c r="CQ1695" s="717"/>
      <c r="CR1695" s="717"/>
      <c r="CS1695" s="717"/>
      <c r="CT1695" s="717"/>
      <c r="CU1695" s="717"/>
      <c r="CV1695" s="717"/>
      <c r="CW1695" s="717"/>
      <c r="CX1695" s="717"/>
      <c r="CY1695" s="717"/>
      <c r="CZ1695" s="717"/>
      <c r="DA1695" s="717"/>
      <c r="DB1695" s="717"/>
      <c r="DC1695" s="717"/>
      <c r="DD1695" s="717"/>
      <c r="DE1695" s="717"/>
      <c r="DF1695" s="717"/>
      <c r="DG1695" s="717"/>
      <c r="DH1695" s="717"/>
      <c r="DI1695" s="717"/>
      <c r="DJ1695" s="717"/>
      <c r="DM1695" s="711"/>
      <c r="DN1695" s="711"/>
      <c r="DO1695" s="711"/>
      <c r="DP1695" s="711"/>
      <c r="DQ1695" s="711"/>
    </row>
    <row r="1696" spans="13:121" s="709" customFormat="1" hidden="1">
      <c r="M1696" s="710"/>
      <c r="P1696" s="711"/>
      <c r="Q1696" s="712"/>
      <c r="U1696" s="711"/>
      <c r="V1696" s="711"/>
      <c r="W1696" s="711"/>
      <c r="X1696" s="711"/>
      <c r="Y1696" s="711"/>
      <c r="Z1696" s="711"/>
      <c r="AU1696" s="713"/>
      <c r="AW1696" s="712"/>
      <c r="BY1696" s="714"/>
      <c r="BZ1696" s="715"/>
      <c r="CA1696" s="716"/>
      <c r="CB1696" s="717"/>
      <c r="CC1696" s="717"/>
      <c r="CD1696" s="717"/>
      <c r="CE1696" s="717"/>
      <c r="CF1696" s="717"/>
      <c r="CG1696" s="717"/>
      <c r="CH1696" s="717"/>
      <c r="CI1696" s="717"/>
      <c r="CJ1696" s="717"/>
      <c r="CK1696" s="717"/>
      <c r="CL1696" s="717"/>
      <c r="CM1696" s="717"/>
      <c r="CN1696" s="717"/>
      <c r="CO1696" s="717"/>
      <c r="CP1696" s="717"/>
      <c r="CQ1696" s="717"/>
      <c r="CR1696" s="717"/>
      <c r="CS1696" s="717"/>
      <c r="CT1696" s="717"/>
      <c r="CU1696" s="717"/>
      <c r="CV1696" s="717"/>
      <c r="CW1696" s="717"/>
      <c r="CX1696" s="717"/>
      <c r="CY1696" s="717"/>
      <c r="CZ1696" s="717"/>
      <c r="DA1696" s="717"/>
      <c r="DB1696" s="717"/>
      <c r="DC1696" s="717"/>
      <c r="DD1696" s="717"/>
      <c r="DE1696" s="717"/>
      <c r="DF1696" s="717"/>
      <c r="DG1696" s="717"/>
      <c r="DH1696" s="717"/>
      <c r="DI1696" s="717"/>
      <c r="DJ1696" s="717"/>
      <c r="DM1696" s="711"/>
      <c r="DN1696" s="711"/>
      <c r="DO1696" s="711"/>
      <c r="DP1696" s="711"/>
      <c r="DQ1696" s="711"/>
    </row>
    <row r="1697" spans="13:121" s="709" customFormat="1" hidden="1">
      <c r="M1697" s="710"/>
      <c r="P1697" s="711"/>
      <c r="Q1697" s="712"/>
      <c r="U1697" s="711"/>
      <c r="V1697" s="711"/>
      <c r="W1697" s="711"/>
      <c r="X1697" s="711"/>
      <c r="Y1697" s="711"/>
      <c r="Z1697" s="711"/>
      <c r="AU1697" s="713"/>
      <c r="AW1697" s="712"/>
      <c r="BY1697" s="714"/>
      <c r="BZ1697" s="715"/>
      <c r="CA1697" s="716"/>
      <c r="CB1697" s="717"/>
      <c r="CC1697" s="717"/>
      <c r="CD1697" s="717"/>
      <c r="CE1697" s="717"/>
      <c r="CF1697" s="717"/>
      <c r="CG1697" s="717"/>
      <c r="CH1697" s="717"/>
      <c r="CI1697" s="717"/>
      <c r="CJ1697" s="717"/>
      <c r="CK1697" s="717"/>
      <c r="CL1697" s="717"/>
      <c r="CM1697" s="717"/>
      <c r="CN1697" s="717"/>
      <c r="CO1697" s="717"/>
      <c r="CP1697" s="717"/>
      <c r="CQ1697" s="717"/>
      <c r="CR1697" s="717"/>
      <c r="CS1697" s="717"/>
      <c r="CT1697" s="717"/>
      <c r="CU1697" s="717"/>
      <c r="CV1697" s="717"/>
      <c r="CW1697" s="717"/>
      <c r="CX1697" s="717"/>
      <c r="CY1697" s="717"/>
      <c r="CZ1697" s="717"/>
      <c r="DA1697" s="717"/>
      <c r="DB1697" s="717"/>
      <c r="DC1697" s="717"/>
      <c r="DD1697" s="717"/>
      <c r="DE1697" s="717"/>
      <c r="DF1697" s="717"/>
      <c r="DG1697" s="717"/>
      <c r="DH1697" s="717"/>
      <c r="DI1697" s="717"/>
      <c r="DJ1697" s="717"/>
      <c r="DM1697" s="711"/>
      <c r="DN1697" s="711"/>
      <c r="DO1697" s="711"/>
      <c r="DP1697" s="711"/>
      <c r="DQ1697" s="711"/>
    </row>
    <row r="1698" spans="13:121" s="709" customFormat="1" hidden="1">
      <c r="M1698" s="710"/>
      <c r="P1698" s="711"/>
      <c r="Q1698" s="712"/>
      <c r="U1698" s="711"/>
      <c r="V1698" s="711"/>
      <c r="W1698" s="711"/>
      <c r="X1698" s="711"/>
      <c r="Y1698" s="711"/>
      <c r="Z1698" s="711"/>
      <c r="AU1698" s="713"/>
      <c r="AW1698" s="712"/>
      <c r="BY1698" s="714"/>
      <c r="BZ1698" s="715"/>
      <c r="CA1698" s="716"/>
      <c r="CB1698" s="717"/>
      <c r="CC1698" s="717"/>
      <c r="CD1698" s="717"/>
      <c r="CE1698" s="717"/>
      <c r="CF1698" s="717"/>
      <c r="CG1698" s="717"/>
      <c r="CH1698" s="717"/>
      <c r="CI1698" s="717"/>
      <c r="CJ1698" s="717"/>
      <c r="CK1698" s="717"/>
      <c r="CL1698" s="717"/>
      <c r="CM1698" s="717"/>
      <c r="CN1698" s="717"/>
      <c r="CO1698" s="717"/>
      <c r="CP1698" s="717"/>
      <c r="CQ1698" s="717"/>
      <c r="CR1698" s="717"/>
      <c r="CS1698" s="717"/>
      <c r="CT1698" s="717"/>
      <c r="CU1698" s="717"/>
      <c r="CV1698" s="717"/>
      <c r="CW1698" s="717"/>
      <c r="CX1698" s="717"/>
      <c r="CY1698" s="717"/>
      <c r="CZ1698" s="717"/>
      <c r="DA1698" s="717"/>
      <c r="DB1698" s="717"/>
      <c r="DC1698" s="717"/>
      <c r="DD1698" s="717"/>
      <c r="DE1698" s="717"/>
      <c r="DF1698" s="717"/>
      <c r="DG1698" s="717"/>
      <c r="DH1698" s="717"/>
      <c r="DI1698" s="717"/>
      <c r="DJ1698" s="717"/>
      <c r="DM1698" s="711"/>
      <c r="DN1698" s="711"/>
      <c r="DO1698" s="711"/>
      <c r="DP1698" s="711"/>
      <c r="DQ1698" s="711"/>
    </row>
    <row r="1699" spans="13:121" s="709" customFormat="1" hidden="1">
      <c r="M1699" s="710"/>
      <c r="P1699" s="711"/>
      <c r="Q1699" s="712"/>
      <c r="U1699" s="711"/>
      <c r="V1699" s="711"/>
      <c r="W1699" s="711"/>
      <c r="X1699" s="711"/>
      <c r="Y1699" s="711"/>
      <c r="Z1699" s="711"/>
      <c r="AU1699" s="713"/>
      <c r="AW1699" s="712"/>
      <c r="BY1699" s="714"/>
      <c r="BZ1699" s="715"/>
      <c r="CA1699" s="716"/>
      <c r="CB1699" s="717"/>
      <c r="CC1699" s="717"/>
      <c r="CD1699" s="717"/>
      <c r="CE1699" s="717"/>
      <c r="CF1699" s="717"/>
      <c r="CG1699" s="717"/>
      <c r="CH1699" s="717"/>
      <c r="CI1699" s="717"/>
      <c r="CJ1699" s="717"/>
      <c r="CK1699" s="717"/>
      <c r="CL1699" s="717"/>
      <c r="CM1699" s="717"/>
      <c r="CN1699" s="717"/>
      <c r="CO1699" s="717"/>
      <c r="CP1699" s="717"/>
      <c r="CQ1699" s="717"/>
      <c r="CR1699" s="717"/>
      <c r="CS1699" s="717"/>
      <c r="CT1699" s="717"/>
      <c r="CU1699" s="717"/>
      <c r="CV1699" s="717"/>
      <c r="CW1699" s="717"/>
      <c r="CX1699" s="717"/>
      <c r="CY1699" s="717"/>
      <c r="CZ1699" s="717"/>
      <c r="DA1699" s="717"/>
      <c r="DB1699" s="717"/>
      <c r="DC1699" s="717"/>
      <c r="DD1699" s="717"/>
      <c r="DE1699" s="717"/>
      <c r="DF1699" s="717"/>
      <c r="DG1699" s="717"/>
      <c r="DH1699" s="717"/>
      <c r="DI1699" s="717"/>
      <c r="DJ1699" s="717"/>
      <c r="DM1699" s="711"/>
      <c r="DN1699" s="711"/>
      <c r="DO1699" s="711"/>
      <c r="DP1699" s="711"/>
      <c r="DQ1699" s="711"/>
    </row>
    <row r="1700" spans="13:121" s="709" customFormat="1" hidden="1">
      <c r="M1700" s="710"/>
      <c r="P1700" s="711"/>
      <c r="Q1700" s="712"/>
      <c r="U1700" s="711"/>
      <c r="V1700" s="711"/>
      <c r="W1700" s="711"/>
      <c r="X1700" s="711"/>
      <c r="Y1700" s="711"/>
      <c r="Z1700" s="711"/>
      <c r="AU1700" s="713"/>
      <c r="AW1700" s="712"/>
      <c r="BY1700" s="714"/>
      <c r="BZ1700" s="715"/>
      <c r="CA1700" s="716"/>
      <c r="CB1700" s="717"/>
      <c r="CC1700" s="717"/>
      <c r="CD1700" s="717"/>
      <c r="CE1700" s="717"/>
      <c r="CF1700" s="717"/>
      <c r="CG1700" s="717"/>
      <c r="CH1700" s="717"/>
      <c r="CI1700" s="717"/>
      <c r="CJ1700" s="717"/>
      <c r="CK1700" s="717"/>
      <c r="CL1700" s="717"/>
      <c r="CM1700" s="717"/>
      <c r="CN1700" s="717"/>
      <c r="CO1700" s="717"/>
      <c r="CP1700" s="717"/>
      <c r="CQ1700" s="717"/>
      <c r="CR1700" s="717"/>
      <c r="CS1700" s="717"/>
      <c r="CT1700" s="717"/>
      <c r="CU1700" s="717"/>
      <c r="CV1700" s="717"/>
      <c r="CW1700" s="717"/>
      <c r="CX1700" s="717"/>
      <c r="CY1700" s="717"/>
      <c r="CZ1700" s="717"/>
      <c r="DA1700" s="717"/>
      <c r="DB1700" s="717"/>
      <c r="DC1700" s="717"/>
      <c r="DD1700" s="717"/>
      <c r="DE1700" s="717"/>
      <c r="DF1700" s="717"/>
      <c r="DG1700" s="717"/>
      <c r="DH1700" s="717"/>
      <c r="DI1700" s="717"/>
      <c r="DJ1700" s="717"/>
      <c r="DM1700" s="711"/>
      <c r="DN1700" s="711"/>
      <c r="DO1700" s="711"/>
      <c r="DP1700" s="711"/>
      <c r="DQ1700" s="711"/>
    </row>
    <row r="1701" spans="13:121" s="709" customFormat="1" hidden="1">
      <c r="M1701" s="710"/>
      <c r="P1701" s="711"/>
      <c r="Q1701" s="712"/>
      <c r="U1701" s="711"/>
      <c r="V1701" s="711"/>
      <c r="W1701" s="711"/>
      <c r="X1701" s="711"/>
      <c r="Y1701" s="711"/>
      <c r="Z1701" s="711"/>
      <c r="AU1701" s="713"/>
      <c r="AW1701" s="712"/>
      <c r="BY1701" s="714"/>
      <c r="BZ1701" s="715"/>
      <c r="CA1701" s="716"/>
      <c r="CB1701" s="717"/>
      <c r="CC1701" s="717"/>
      <c r="CD1701" s="717"/>
      <c r="CE1701" s="717"/>
      <c r="CF1701" s="717"/>
      <c r="CG1701" s="717"/>
      <c r="CH1701" s="717"/>
      <c r="CI1701" s="717"/>
      <c r="CJ1701" s="717"/>
      <c r="CK1701" s="717"/>
      <c r="CL1701" s="717"/>
      <c r="CM1701" s="717"/>
      <c r="CN1701" s="717"/>
      <c r="CO1701" s="717"/>
      <c r="CP1701" s="717"/>
      <c r="CQ1701" s="717"/>
      <c r="CR1701" s="717"/>
      <c r="CS1701" s="717"/>
      <c r="CT1701" s="717"/>
      <c r="CU1701" s="717"/>
      <c r="CV1701" s="717"/>
      <c r="CW1701" s="717"/>
      <c r="CX1701" s="717"/>
      <c r="CY1701" s="717"/>
      <c r="CZ1701" s="717"/>
      <c r="DA1701" s="717"/>
      <c r="DB1701" s="717"/>
      <c r="DC1701" s="717"/>
      <c r="DD1701" s="717"/>
      <c r="DE1701" s="717"/>
      <c r="DF1701" s="717"/>
      <c r="DG1701" s="717"/>
      <c r="DH1701" s="717"/>
      <c r="DI1701" s="717"/>
      <c r="DJ1701" s="717"/>
      <c r="DM1701" s="711"/>
      <c r="DN1701" s="711"/>
      <c r="DO1701" s="711"/>
      <c r="DP1701" s="711"/>
      <c r="DQ1701" s="711"/>
    </row>
    <row r="1702" spans="13:121" s="709" customFormat="1" hidden="1">
      <c r="M1702" s="710"/>
      <c r="P1702" s="711"/>
      <c r="Q1702" s="712"/>
      <c r="U1702" s="711"/>
      <c r="V1702" s="711"/>
      <c r="W1702" s="711"/>
      <c r="X1702" s="711"/>
      <c r="Y1702" s="711"/>
      <c r="Z1702" s="711"/>
      <c r="AU1702" s="713"/>
      <c r="AW1702" s="712"/>
      <c r="BY1702" s="714"/>
      <c r="BZ1702" s="715"/>
      <c r="CA1702" s="716"/>
      <c r="CB1702" s="717"/>
      <c r="CC1702" s="717"/>
      <c r="CD1702" s="717"/>
      <c r="CE1702" s="717"/>
      <c r="CF1702" s="717"/>
      <c r="CG1702" s="717"/>
      <c r="CH1702" s="717"/>
      <c r="CI1702" s="717"/>
      <c r="CJ1702" s="717"/>
      <c r="CK1702" s="717"/>
      <c r="CL1702" s="717"/>
      <c r="CM1702" s="717"/>
      <c r="CN1702" s="717"/>
      <c r="CO1702" s="717"/>
      <c r="CP1702" s="717"/>
      <c r="CQ1702" s="717"/>
      <c r="CR1702" s="717"/>
      <c r="CS1702" s="717"/>
      <c r="CT1702" s="717"/>
      <c r="CU1702" s="717"/>
      <c r="CV1702" s="717"/>
      <c r="CW1702" s="717"/>
      <c r="CX1702" s="717"/>
      <c r="CY1702" s="717"/>
      <c r="CZ1702" s="717"/>
      <c r="DA1702" s="717"/>
      <c r="DB1702" s="717"/>
      <c r="DC1702" s="717"/>
      <c r="DD1702" s="717"/>
      <c r="DE1702" s="717"/>
      <c r="DF1702" s="717"/>
      <c r="DG1702" s="717"/>
      <c r="DH1702" s="717"/>
      <c r="DI1702" s="717"/>
      <c r="DJ1702" s="717"/>
      <c r="DM1702" s="711"/>
      <c r="DN1702" s="711"/>
      <c r="DO1702" s="711"/>
      <c r="DP1702" s="711"/>
      <c r="DQ1702" s="711"/>
    </row>
    <row r="1703" spans="13:121" s="709" customFormat="1" hidden="1">
      <c r="M1703" s="710"/>
      <c r="P1703" s="711"/>
      <c r="Q1703" s="712"/>
      <c r="U1703" s="711"/>
      <c r="V1703" s="711"/>
      <c r="W1703" s="711"/>
      <c r="X1703" s="711"/>
      <c r="Y1703" s="711"/>
      <c r="Z1703" s="711"/>
      <c r="AU1703" s="713"/>
      <c r="AW1703" s="712"/>
      <c r="BY1703" s="714"/>
      <c r="BZ1703" s="715"/>
      <c r="CA1703" s="716"/>
      <c r="CB1703" s="717"/>
      <c r="CC1703" s="717"/>
      <c r="CD1703" s="717"/>
      <c r="CE1703" s="717"/>
      <c r="CF1703" s="717"/>
      <c r="CG1703" s="717"/>
      <c r="CH1703" s="717"/>
      <c r="CI1703" s="717"/>
      <c r="CJ1703" s="717"/>
      <c r="CK1703" s="717"/>
      <c r="CL1703" s="717"/>
      <c r="CM1703" s="717"/>
      <c r="CN1703" s="717"/>
      <c r="CO1703" s="717"/>
      <c r="CP1703" s="717"/>
      <c r="CQ1703" s="717"/>
      <c r="CR1703" s="717"/>
      <c r="CS1703" s="717"/>
      <c r="CT1703" s="717"/>
      <c r="CU1703" s="717"/>
      <c r="CV1703" s="717"/>
      <c r="CW1703" s="717"/>
      <c r="CX1703" s="717"/>
      <c r="CY1703" s="717"/>
      <c r="CZ1703" s="717"/>
      <c r="DA1703" s="717"/>
      <c r="DB1703" s="717"/>
      <c r="DC1703" s="717"/>
      <c r="DD1703" s="717"/>
      <c r="DE1703" s="717"/>
      <c r="DF1703" s="717"/>
      <c r="DG1703" s="717"/>
      <c r="DH1703" s="717"/>
      <c r="DI1703" s="717"/>
      <c r="DJ1703" s="717"/>
      <c r="DM1703" s="711"/>
      <c r="DN1703" s="711"/>
      <c r="DO1703" s="711"/>
      <c r="DP1703" s="711"/>
      <c r="DQ1703" s="711"/>
    </row>
    <row r="1704" spans="13:121" s="709" customFormat="1" hidden="1">
      <c r="M1704" s="710"/>
      <c r="P1704" s="711"/>
      <c r="Q1704" s="712"/>
      <c r="U1704" s="711"/>
      <c r="V1704" s="711"/>
      <c r="W1704" s="711"/>
      <c r="X1704" s="711"/>
      <c r="Y1704" s="711"/>
      <c r="Z1704" s="711"/>
      <c r="AU1704" s="713"/>
      <c r="AW1704" s="712"/>
      <c r="BY1704" s="714"/>
      <c r="BZ1704" s="715"/>
      <c r="CA1704" s="716"/>
      <c r="CB1704" s="717"/>
      <c r="CC1704" s="717"/>
      <c r="CD1704" s="717"/>
      <c r="CE1704" s="717"/>
      <c r="CF1704" s="717"/>
      <c r="CG1704" s="717"/>
      <c r="CH1704" s="717"/>
      <c r="CI1704" s="717"/>
      <c r="CJ1704" s="717"/>
      <c r="CK1704" s="717"/>
      <c r="CL1704" s="717"/>
      <c r="CM1704" s="717"/>
      <c r="CN1704" s="717"/>
      <c r="CO1704" s="717"/>
      <c r="CP1704" s="717"/>
      <c r="CQ1704" s="717"/>
      <c r="CR1704" s="717"/>
      <c r="CS1704" s="717"/>
      <c r="CT1704" s="717"/>
      <c r="CU1704" s="717"/>
      <c r="CV1704" s="717"/>
      <c r="CW1704" s="717"/>
      <c r="CX1704" s="717"/>
      <c r="CY1704" s="717"/>
      <c r="CZ1704" s="717"/>
      <c r="DA1704" s="717"/>
      <c r="DB1704" s="717"/>
      <c r="DC1704" s="717"/>
      <c r="DD1704" s="717"/>
      <c r="DE1704" s="717"/>
      <c r="DF1704" s="717"/>
      <c r="DG1704" s="717"/>
      <c r="DH1704" s="717"/>
      <c r="DI1704" s="717"/>
      <c r="DJ1704" s="717"/>
      <c r="DM1704" s="711"/>
      <c r="DN1704" s="711"/>
      <c r="DO1704" s="711"/>
      <c r="DP1704" s="711"/>
      <c r="DQ1704" s="711"/>
    </row>
    <row r="1705" spans="13:121" s="709" customFormat="1" hidden="1">
      <c r="M1705" s="710"/>
      <c r="P1705" s="711"/>
      <c r="Q1705" s="712"/>
      <c r="U1705" s="711"/>
      <c r="V1705" s="711"/>
      <c r="W1705" s="711"/>
      <c r="X1705" s="711"/>
      <c r="Y1705" s="711"/>
      <c r="Z1705" s="711"/>
      <c r="AU1705" s="713"/>
      <c r="AW1705" s="712"/>
      <c r="BY1705" s="714"/>
      <c r="BZ1705" s="715"/>
      <c r="CA1705" s="716"/>
      <c r="CB1705" s="717"/>
      <c r="CC1705" s="717"/>
      <c r="CD1705" s="717"/>
      <c r="CE1705" s="717"/>
      <c r="CF1705" s="717"/>
      <c r="CG1705" s="717"/>
      <c r="CH1705" s="717"/>
      <c r="CI1705" s="717"/>
      <c r="CJ1705" s="717"/>
      <c r="CK1705" s="717"/>
      <c r="CL1705" s="717"/>
      <c r="CM1705" s="717"/>
      <c r="CN1705" s="717"/>
      <c r="CO1705" s="717"/>
      <c r="CP1705" s="717"/>
      <c r="CQ1705" s="717"/>
      <c r="CR1705" s="717"/>
      <c r="CS1705" s="717"/>
      <c r="CT1705" s="717"/>
      <c r="CU1705" s="717"/>
      <c r="CV1705" s="717"/>
      <c r="CW1705" s="717"/>
      <c r="CX1705" s="717"/>
      <c r="CY1705" s="717"/>
      <c r="CZ1705" s="717"/>
      <c r="DA1705" s="717"/>
      <c r="DB1705" s="717"/>
      <c r="DC1705" s="717"/>
      <c r="DD1705" s="717"/>
      <c r="DE1705" s="717"/>
      <c r="DF1705" s="717"/>
      <c r="DG1705" s="717"/>
      <c r="DH1705" s="717"/>
      <c r="DI1705" s="717"/>
      <c r="DJ1705" s="717"/>
      <c r="DM1705" s="711"/>
      <c r="DN1705" s="711"/>
      <c r="DO1705" s="711"/>
      <c r="DP1705" s="711"/>
      <c r="DQ1705" s="711"/>
    </row>
    <row r="1706" spans="13:121" s="709" customFormat="1" hidden="1">
      <c r="M1706" s="710"/>
      <c r="P1706" s="711"/>
      <c r="Q1706" s="712"/>
      <c r="U1706" s="711"/>
      <c r="V1706" s="711"/>
      <c r="W1706" s="711"/>
      <c r="X1706" s="711"/>
      <c r="Y1706" s="711"/>
      <c r="Z1706" s="711"/>
      <c r="AU1706" s="713"/>
      <c r="AW1706" s="712"/>
      <c r="BY1706" s="714"/>
      <c r="BZ1706" s="715"/>
      <c r="CA1706" s="716"/>
      <c r="CB1706" s="717"/>
      <c r="CC1706" s="717"/>
      <c r="CD1706" s="717"/>
      <c r="CE1706" s="717"/>
      <c r="CF1706" s="717"/>
      <c r="CG1706" s="717"/>
      <c r="CH1706" s="717"/>
      <c r="CI1706" s="717"/>
      <c r="CJ1706" s="717"/>
      <c r="CK1706" s="717"/>
      <c r="CL1706" s="717"/>
      <c r="CM1706" s="717"/>
      <c r="CN1706" s="717"/>
      <c r="CO1706" s="717"/>
      <c r="CP1706" s="717"/>
      <c r="CQ1706" s="717"/>
      <c r="CR1706" s="717"/>
      <c r="CS1706" s="717"/>
      <c r="CT1706" s="717"/>
      <c r="CU1706" s="717"/>
      <c r="CV1706" s="717"/>
      <c r="CW1706" s="717"/>
      <c r="CX1706" s="717"/>
      <c r="CY1706" s="717"/>
      <c r="CZ1706" s="717"/>
      <c r="DA1706" s="717"/>
      <c r="DB1706" s="717"/>
      <c r="DC1706" s="717"/>
      <c r="DD1706" s="717"/>
      <c r="DE1706" s="717"/>
      <c r="DF1706" s="717"/>
      <c r="DG1706" s="717"/>
      <c r="DH1706" s="717"/>
      <c r="DI1706" s="717"/>
      <c r="DJ1706" s="717"/>
      <c r="DM1706" s="711"/>
      <c r="DN1706" s="711"/>
      <c r="DO1706" s="711"/>
      <c r="DP1706" s="711"/>
      <c r="DQ1706" s="711"/>
    </row>
    <row r="1707" spans="13:121" s="709" customFormat="1" hidden="1">
      <c r="M1707" s="710"/>
      <c r="P1707" s="711"/>
      <c r="Q1707" s="712"/>
      <c r="U1707" s="711"/>
      <c r="V1707" s="711"/>
      <c r="W1707" s="711"/>
      <c r="X1707" s="711"/>
      <c r="Y1707" s="711"/>
      <c r="Z1707" s="711"/>
      <c r="AU1707" s="713"/>
      <c r="AW1707" s="712"/>
      <c r="BY1707" s="714"/>
      <c r="BZ1707" s="715"/>
      <c r="CA1707" s="716"/>
      <c r="CB1707" s="717"/>
      <c r="CC1707" s="717"/>
      <c r="CD1707" s="717"/>
      <c r="CE1707" s="717"/>
      <c r="CF1707" s="717"/>
      <c r="CG1707" s="717"/>
      <c r="CH1707" s="717"/>
      <c r="CI1707" s="717"/>
      <c r="CJ1707" s="717"/>
      <c r="CK1707" s="717"/>
      <c r="CL1707" s="717"/>
      <c r="CM1707" s="717"/>
      <c r="CN1707" s="717"/>
      <c r="CO1707" s="717"/>
      <c r="CP1707" s="717"/>
      <c r="CQ1707" s="717"/>
      <c r="CR1707" s="717"/>
      <c r="CS1707" s="717"/>
      <c r="CT1707" s="717"/>
      <c r="CU1707" s="717"/>
      <c r="CV1707" s="717"/>
      <c r="CW1707" s="717"/>
      <c r="CX1707" s="717"/>
      <c r="CY1707" s="717"/>
      <c r="CZ1707" s="717"/>
      <c r="DA1707" s="717"/>
      <c r="DB1707" s="717"/>
      <c r="DC1707" s="717"/>
      <c r="DD1707" s="717"/>
      <c r="DE1707" s="717"/>
      <c r="DF1707" s="717"/>
      <c r="DG1707" s="717"/>
      <c r="DH1707" s="717"/>
      <c r="DI1707" s="717"/>
      <c r="DJ1707" s="717"/>
      <c r="DM1707" s="711"/>
      <c r="DN1707" s="711"/>
      <c r="DO1707" s="711"/>
      <c r="DP1707" s="711"/>
      <c r="DQ1707" s="711"/>
    </row>
    <row r="1708" spans="13:121" s="709" customFormat="1" hidden="1">
      <c r="M1708" s="710"/>
      <c r="P1708" s="711"/>
      <c r="Q1708" s="712"/>
      <c r="U1708" s="711"/>
      <c r="V1708" s="711"/>
      <c r="W1708" s="711"/>
      <c r="X1708" s="711"/>
      <c r="Y1708" s="711"/>
      <c r="Z1708" s="711"/>
      <c r="AU1708" s="713"/>
      <c r="AW1708" s="712"/>
      <c r="BY1708" s="714"/>
      <c r="BZ1708" s="715"/>
      <c r="CA1708" s="716"/>
      <c r="CB1708" s="717"/>
      <c r="CC1708" s="717"/>
      <c r="CD1708" s="717"/>
      <c r="CE1708" s="717"/>
      <c r="CF1708" s="717"/>
      <c r="CG1708" s="717"/>
      <c r="CH1708" s="717"/>
      <c r="CI1708" s="717"/>
      <c r="CJ1708" s="717"/>
      <c r="CK1708" s="717"/>
      <c r="CL1708" s="717"/>
      <c r="CM1708" s="717"/>
      <c r="CN1708" s="717"/>
      <c r="CO1708" s="717"/>
      <c r="CP1708" s="717"/>
      <c r="CQ1708" s="717"/>
      <c r="CR1708" s="717"/>
      <c r="CS1708" s="717"/>
      <c r="CT1708" s="717"/>
      <c r="CU1708" s="717"/>
      <c r="CV1708" s="717"/>
      <c r="CW1708" s="717"/>
      <c r="CX1708" s="717"/>
      <c r="CY1708" s="717"/>
      <c r="CZ1708" s="717"/>
      <c r="DA1708" s="717"/>
      <c r="DB1708" s="717"/>
      <c r="DC1708" s="717"/>
      <c r="DD1708" s="717"/>
      <c r="DE1708" s="717"/>
      <c r="DF1708" s="717"/>
      <c r="DG1708" s="717"/>
      <c r="DH1708" s="717"/>
      <c r="DI1708" s="717"/>
      <c r="DJ1708" s="717"/>
      <c r="DM1708" s="711"/>
      <c r="DN1708" s="711"/>
      <c r="DO1708" s="711"/>
      <c r="DP1708" s="711"/>
      <c r="DQ1708" s="711"/>
    </row>
    <row r="1709" spans="13:121" s="709" customFormat="1" hidden="1">
      <c r="M1709" s="710"/>
      <c r="P1709" s="711"/>
      <c r="Q1709" s="712"/>
      <c r="U1709" s="711"/>
      <c r="V1709" s="711"/>
      <c r="W1709" s="711"/>
      <c r="X1709" s="711"/>
      <c r="Y1709" s="711"/>
      <c r="Z1709" s="711"/>
      <c r="AU1709" s="713"/>
      <c r="AW1709" s="712"/>
      <c r="BY1709" s="714"/>
      <c r="BZ1709" s="715"/>
      <c r="CA1709" s="716"/>
      <c r="CB1709" s="717"/>
      <c r="CC1709" s="717"/>
      <c r="CD1709" s="717"/>
      <c r="CE1709" s="717"/>
      <c r="CF1709" s="717"/>
      <c r="CG1709" s="717"/>
      <c r="CH1709" s="717"/>
      <c r="CI1709" s="717"/>
      <c r="CJ1709" s="717"/>
      <c r="CK1709" s="717"/>
      <c r="CL1709" s="717"/>
      <c r="CM1709" s="717"/>
      <c r="CN1709" s="717"/>
      <c r="CO1709" s="717"/>
      <c r="CP1709" s="717"/>
      <c r="CQ1709" s="717"/>
      <c r="CR1709" s="717"/>
      <c r="CS1709" s="717"/>
      <c r="CT1709" s="717"/>
      <c r="CU1709" s="717"/>
      <c r="CV1709" s="717"/>
      <c r="CW1709" s="717"/>
      <c r="CX1709" s="717"/>
      <c r="CY1709" s="717"/>
      <c r="CZ1709" s="717"/>
      <c r="DA1709" s="717"/>
      <c r="DB1709" s="717"/>
      <c r="DC1709" s="717"/>
      <c r="DD1709" s="717"/>
      <c r="DE1709" s="717"/>
      <c r="DF1709" s="717"/>
      <c r="DG1709" s="717"/>
      <c r="DH1709" s="717"/>
      <c r="DI1709" s="717"/>
      <c r="DJ1709" s="717"/>
      <c r="DM1709" s="711"/>
      <c r="DN1709" s="711"/>
      <c r="DO1709" s="711"/>
      <c r="DP1709" s="711"/>
      <c r="DQ1709" s="711"/>
    </row>
    <row r="1710" spans="13:121" s="709" customFormat="1" hidden="1">
      <c r="M1710" s="710"/>
      <c r="P1710" s="711"/>
      <c r="Q1710" s="712"/>
      <c r="U1710" s="711"/>
      <c r="V1710" s="711"/>
      <c r="W1710" s="711"/>
      <c r="X1710" s="711"/>
      <c r="Y1710" s="711"/>
      <c r="Z1710" s="711"/>
      <c r="AU1710" s="713"/>
      <c r="AW1710" s="712"/>
      <c r="BY1710" s="714"/>
      <c r="BZ1710" s="715"/>
      <c r="CA1710" s="716"/>
      <c r="CB1710" s="717"/>
      <c r="CC1710" s="717"/>
      <c r="CD1710" s="717"/>
      <c r="CE1710" s="717"/>
      <c r="CF1710" s="717"/>
      <c r="CG1710" s="717"/>
      <c r="CH1710" s="717"/>
      <c r="CI1710" s="717"/>
      <c r="CJ1710" s="717"/>
      <c r="CK1710" s="717"/>
      <c r="CL1710" s="717"/>
      <c r="CM1710" s="717"/>
      <c r="CN1710" s="717"/>
      <c r="CO1710" s="717"/>
      <c r="CP1710" s="717"/>
      <c r="CQ1710" s="717"/>
      <c r="CR1710" s="717"/>
      <c r="CS1710" s="717"/>
      <c r="CT1710" s="717"/>
      <c r="CU1710" s="717"/>
      <c r="CV1710" s="717"/>
      <c r="CW1710" s="717"/>
      <c r="CX1710" s="717"/>
      <c r="CY1710" s="717"/>
      <c r="CZ1710" s="717"/>
      <c r="DA1710" s="717"/>
      <c r="DB1710" s="717"/>
      <c r="DC1710" s="717"/>
      <c r="DD1710" s="717"/>
      <c r="DE1710" s="717"/>
      <c r="DF1710" s="717"/>
      <c r="DG1710" s="717"/>
      <c r="DH1710" s="717"/>
      <c r="DI1710" s="717"/>
      <c r="DJ1710" s="717"/>
      <c r="DM1710" s="711"/>
      <c r="DN1710" s="711"/>
      <c r="DO1710" s="711"/>
      <c r="DP1710" s="711"/>
      <c r="DQ1710" s="711"/>
    </row>
    <row r="1711" spans="13:121" s="709" customFormat="1" hidden="1">
      <c r="M1711" s="710"/>
      <c r="P1711" s="711"/>
      <c r="Q1711" s="712"/>
      <c r="U1711" s="711"/>
      <c r="V1711" s="711"/>
      <c r="W1711" s="711"/>
      <c r="X1711" s="711"/>
      <c r="Y1711" s="711"/>
      <c r="Z1711" s="711"/>
      <c r="AU1711" s="713"/>
      <c r="AW1711" s="712"/>
      <c r="BY1711" s="714"/>
      <c r="BZ1711" s="715"/>
      <c r="CA1711" s="716"/>
      <c r="CB1711" s="717"/>
      <c r="CC1711" s="717"/>
      <c r="CD1711" s="717"/>
      <c r="CE1711" s="717"/>
      <c r="CF1711" s="717"/>
      <c r="CG1711" s="717"/>
      <c r="CH1711" s="717"/>
      <c r="CI1711" s="717"/>
      <c r="CJ1711" s="717"/>
      <c r="CK1711" s="717"/>
      <c r="CL1711" s="717"/>
      <c r="CM1711" s="717"/>
      <c r="CN1711" s="717"/>
      <c r="CO1711" s="717"/>
      <c r="CP1711" s="717"/>
      <c r="CQ1711" s="717"/>
      <c r="CR1711" s="717"/>
      <c r="CS1711" s="717"/>
      <c r="CT1711" s="717"/>
      <c r="CU1711" s="717"/>
      <c r="CV1711" s="717"/>
      <c r="CW1711" s="717"/>
      <c r="CX1711" s="717"/>
      <c r="CY1711" s="717"/>
      <c r="CZ1711" s="717"/>
      <c r="DA1711" s="717"/>
      <c r="DB1711" s="717"/>
      <c r="DC1711" s="717"/>
      <c r="DD1711" s="717"/>
      <c r="DE1711" s="717"/>
      <c r="DF1711" s="717"/>
      <c r="DG1711" s="717"/>
      <c r="DH1711" s="717"/>
      <c r="DI1711" s="717"/>
      <c r="DJ1711" s="717"/>
      <c r="DM1711" s="711"/>
      <c r="DN1711" s="711"/>
      <c r="DO1711" s="711"/>
      <c r="DP1711" s="711"/>
      <c r="DQ1711" s="711"/>
    </row>
    <row r="1712" spans="13:121" s="709" customFormat="1" hidden="1">
      <c r="M1712" s="710"/>
      <c r="P1712" s="711"/>
      <c r="Q1712" s="712"/>
      <c r="U1712" s="711"/>
      <c r="V1712" s="711"/>
      <c r="W1712" s="711"/>
      <c r="X1712" s="711"/>
      <c r="Y1712" s="711"/>
      <c r="Z1712" s="711"/>
      <c r="AU1712" s="713"/>
      <c r="AW1712" s="712"/>
      <c r="BY1712" s="714"/>
      <c r="BZ1712" s="715"/>
      <c r="CA1712" s="716"/>
      <c r="CB1712" s="717"/>
      <c r="CC1712" s="717"/>
      <c r="CD1712" s="717"/>
      <c r="CE1712" s="717"/>
      <c r="CF1712" s="717"/>
      <c r="CG1712" s="717"/>
      <c r="CH1712" s="717"/>
      <c r="CI1712" s="717"/>
      <c r="CJ1712" s="717"/>
      <c r="CK1712" s="717"/>
      <c r="CL1712" s="717"/>
      <c r="CM1712" s="717"/>
      <c r="CN1712" s="717"/>
      <c r="CO1712" s="717"/>
      <c r="CP1712" s="717"/>
      <c r="CQ1712" s="717"/>
      <c r="CR1712" s="717"/>
      <c r="CS1712" s="717"/>
      <c r="CT1712" s="717"/>
      <c r="CU1712" s="717"/>
      <c r="CV1712" s="717"/>
      <c r="CW1712" s="717"/>
      <c r="CX1712" s="717"/>
      <c r="CY1712" s="717"/>
      <c r="CZ1712" s="717"/>
      <c r="DA1712" s="717"/>
      <c r="DB1712" s="717"/>
      <c r="DC1712" s="717"/>
      <c r="DD1712" s="717"/>
      <c r="DE1712" s="717"/>
      <c r="DF1712" s="717"/>
      <c r="DG1712" s="717"/>
      <c r="DH1712" s="717"/>
      <c r="DI1712" s="717"/>
      <c r="DJ1712" s="717"/>
      <c r="DM1712" s="711"/>
      <c r="DN1712" s="711"/>
      <c r="DO1712" s="711"/>
      <c r="DP1712" s="711"/>
      <c r="DQ1712" s="711"/>
    </row>
    <row r="1713" spans="13:121" s="709" customFormat="1" hidden="1">
      <c r="M1713" s="710"/>
      <c r="P1713" s="711"/>
      <c r="Q1713" s="712"/>
      <c r="U1713" s="711"/>
      <c r="V1713" s="711"/>
      <c r="W1713" s="711"/>
      <c r="X1713" s="711"/>
      <c r="Y1713" s="711"/>
      <c r="Z1713" s="711"/>
      <c r="AU1713" s="713"/>
      <c r="AW1713" s="712"/>
      <c r="BY1713" s="714"/>
      <c r="BZ1713" s="715"/>
      <c r="CA1713" s="716"/>
      <c r="CB1713" s="717"/>
      <c r="CC1713" s="717"/>
      <c r="CD1713" s="717"/>
      <c r="CE1713" s="717"/>
      <c r="CF1713" s="717"/>
      <c r="CG1713" s="717"/>
      <c r="CH1713" s="717"/>
      <c r="CI1713" s="717"/>
      <c r="CJ1713" s="717"/>
      <c r="CK1713" s="717"/>
      <c r="CL1713" s="717"/>
      <c r="CM1713" s="717"/>
      <c r="CN1713" s="717"/>
      <c r="CO1713" s="717"/>
      <c r="CP1713" s="717"/>
      <c r="CQ1713" s="717"/>
      <c r="CR1713" s="717"/>
      <c r="CS1713" s="717"/>
      <c r="CT1713" s="717"/>
      <c r="CU1713" s="717"/>
      <c r="CV1713" s="717"/>
      <c r="CW1713" s="717"/>
      <c r="CX1713" s="717"/>
      <c r="CY1713" s="717"/>
      <c r="CZ1713" s="717"/>
      <c r="DA1713" s="717"/>
      <c r="DB1713" s="717"/>
      <c r="DC1713" s="717"/>
      <c r="DD1713" s="717"/>
      <c r="DE1713" s="717"/>
      <c r="DF1713" s="717"/>
      <c r="DG1713" s="717"/>
      <c r="DH1713" s="717"/>
      <c r="DI1713" s="717"/>
      <c r="DJ1713" s="717"/>
      <c r="DM1713" s="711"/>
      <c r="DN1713" s="711"/>
      <c r="DO1713" s="711"/>
      <c r="DP1713" s="711"/>
      <c r="DQ1713" s="711"/>
    </row>
    <row r="1714" spans="13:121" s="709" customFormat="1" hidden="1">
      <c r="M1714" s="710"/>
      <c r="P1714" s="711"/>
      <c r="Q1714" s="712"/>
      <c r="U1714" s="711"/>
      <c r="V1714" s="711"/>
      <c r="W1714" s="711"/>
      <c r="X1714" s="711"/>
      <c r="Y1714" s="711"/>
      <c r="Z1714" s="711"/>
      <c r="AU1714" s="713"/>
      <c r="AW1714" s="712"/>
      <c r="BY1714" s="714"/>
      <c r="BZ1714" s="715"/>
      <c r="CA1714" s="716"/>
      <c r="CB1714" s="717"/>
      <c r="CC1714" s="717"/>
      <c r="CD1714" s="717"/>
      <c r="CE1714" s="717"/>
      <c r="CF1714" s="717"/>
      <c r="CG1714" s="717"/>
      <c r="CH1714" s="717"/>
      <c r="CI1714" s="717"/>
      <c r="CJ1714" s="717"/>
      <c r="CK1714" s="717"/>
      <c r="CL1714" s="717"/>
      <c r="CM1714" s="717"/>
      <c r="CN1714" s="717"/>
      <c r="CO1714" s="717"/>
      <c r="CP1714" s="717"/>
      <c r="CQ1714" s="717"/>
      <c r="CR1714" s="717"/>
      <c r="CS1714" s="717"/>
      <c r="CT1714" s="717"/>
      <c r="CU1714" s="717"/>
      <c r="CV1714" s="717"/>
      <c r="CW1714" s="717"/>
      <c r="CX1714" s="717"/>
      <c r="CY1714" s="717"/>
      <c r="CZ1714" s="717"/>
      <c r="DA1714" s="717"/>
      <c r="DB1714" s="717"/>
      <c r="DC1714" s="717"/>
      <c r="DD1714" s="717"/>
      <c r="DE1714" s="717"/>
      <c r="DF1714" s="717"/>
      <c r="DG1714" s="717"/>
      <c r="DH1714" s="717"/>
      <c r="DI1714" s="717"/>
      <c r="DJ1714" s="717"/>
      <c r="DM1714" s="711"/>
      <c r="DN1714" s="711"/>
      <c r="DO1714" s="711"/>
      <c r="DP1714" s="711"/>
      <c r="DQ1714" s="711"/>
    </row>
    <row r="1715" spans="13:121" s="709" customFormat="1" hidden="1">
      <c r="M1715" s="710"/>
      <c r="P1715" s="711"/>
      <c r="Q1715" s="712"/>
      <c r="U1715" s="711"/>
      <c r="V1715" s="711"/>
      <c r="W1715" s="711"/>
      <c r="X1715" s="711"/>
      <c r="Y1715" s="711"/>
      <c r="Z1715" s="711"/>
      <c r="AU1715" s="713"/>
      <c r="AW1715" s="712"/>
      <c r="BY1715" s="714"/>
      <c r="BZ1715" s="715"/>
      <c r="CA1715" s="716"/>
      <c r="CB1715" s="717"/>
      <c r="CC1715" s="717"/>
      <c r="CD1715" s="717"/>
      <c r="CE1715" s="717"/>
      <c r="CF1715" s="717"/>
      <c r="CG1715" s="717"/>
      <c r="CH1715" s="717"/>
      <c r="CI1715" s="717"/>
      <c r="CJ1715" s="717"/>
      <c r="CK1715" s="717"/>
      <c r="CL1715" s="717"/>
      <c r="CM1715" s="717"/>
      <c r="CN1715" s="717"/>
      <c r="CO1715" s="717"/>
      <c r="CP1715" s="717"/>
      <c r="CQ1715" s="717"/>
      <c r="CR1715" s="717"/>
      <c r="CS1715" s="717"/>
      <c r="CT1715" s="717"/>
      <c r="CU1715" s="717"/>
      <c r="CV1715" s="717"/>
      <c r="CW1715" s="717"/>
      <c r="CX1715" s="717"/>
      <c r="CY1715" s="717"/>
      <c r="CZ1715" s="717"/>
      <c r="DA1715" s="717"/>
      <c r="DB1715" s="717"/>
      <c r="DC1715" s="717"/>
      <c r="DD1715" s="717"/>
      <c r="DE1715" s="717"/>
      <c r="DF1715" s="717"/>
      <c r="DG1715" s="717"/>
      <c r="DH1715" s="717"/>
      <c r="DI1715" s="717"/>
      <c r="DJ1715" s="717"/>
      <c r="DM1715" s="711"/>
      <c r="DN1715" s="711"/>
      <c r="DO1715" s="711"/>
      <c r="DP1715" s="711"/>
      <c r="DQ1715" s="711"/>
    </row>
    <row r="1716" spans="13:121" s="709" customFormat="1" hidden="1">
      <c r="M1716" s="710"/>
      <c r="P1716" s="711"/>
      <c r="Q1716" s="712"/>
      <c r="U1716" s="711"/>
      <c r="V1716" s="711"/>
      <c r="W1716" s="711"/>
      <c r="X1716" s="711"/>
      <c r="Y1716" s="711"/>
      <c r="Z1716" s="711"/>
      <c r="AU1716" s="713"/>
      <c r="AW1716" s="712"/>
      <c r="BY1716" s="714"/>
      <c r="BZ1716" s="715"/>
      <c r="CA1716" s="716"/>
      <c r="CB1716" s="717"/>
      <c r="CC1716" s="717"/>
      <c r="CD1716" s="717"/>
      <c r="CE1716" s="717"/>
      <c r="CF1716" s="717"/>
      <c r="CG1716" s="717"/>
      <c r="CH1716" s="717"/>
      <c r="CI1716" s="717"/>
      <c r="CJ1716" s="717"/>
      <c r="CK1716" s="717"/>
      <c r="CL1716" s="717"/>
      <c r="CM1716" s="717"/>
      <c r="CN1716" s="717"/>
      <c r="CO1716" s="717"/>
      <c r="CP1716" s="717"/>
      <c r="CQ1716" s="717"/>
      <c r="CR1716" s="717"/>
      <c r="CS1716" s="717"/>
      <c r="CT1716" s="717"/>
      <c r="CU1716" s="717"/>
      <c r="CV1716" s="717"/>
      <c r="CW1716" s="717"/>
      <c r="CX1716" s="717"/>
      <c r="CY1716" s="717"/>
      <c r="CZ1716" s="717"/>
      <c r="DA1716" s="717"/>
      <c r="DB1716" s="717"/>
      <c r="DC1716" s="717"/>
      <c r="DD1716" s="717"/>
      <c r="DE1716" s="717"/>
      <c r="DF1716" s="717"/>
      <c r="DG1716" s="717"/>
      <c r="DH1716" s="717"/>
      <c r="DI1716" s="717"/>
      <c r="DJ1716" s="717"/>
      <c r="DM1716" s="711"/>
      <c r="DN1716" s="711"/>
      <c r="DO1716" s="711"/>
      <c r="DP1716" s="711"/>
      <c r="DQ1716" s="711"/>
    </row>
    <row r="1717" spans="13:121" s="709" customFormat="1" hidden="1">
      <c r="M1717" s="710"/>
      <c r="P1717" s="711"/>
      <c r="Q1717" s="712"/>
      <c r="U1717" s="711"/>
      <c r="V1717" s="711"/>
      <c r="W1717" s="711"/>
      <c r="X1717" s="711"/>
      <c r="Y1717" s="711"/>
      <c r="Z1717" s="711"/>
      <c r="AU1717" s="713"/>
      <c r="AW1717" s="712"/>
      <c r="BY1717" s="714"/>
      <c r="BZ1717" s="715"/>
      <c r="CA1717" s="716"/>
      <c r="CB1717" s="717"/>
      <c r="CC1717" s="717"/>
      <c r="CD1717" s="717"/>
      <c r="CE1717" s="717"/>
      <c r="CF1717" s="717"/>
      <c r="CG1717" s="717"/>
      <c r="CH1717" s="717"/>
      <c r="CI1717" s="717"/>
      <c r="CJ1717" s="717"/>
      <c r="CK1717" s="717"/>
      <c r="CL1717" s="717"/>
      <c r="CM1717" s="717"/>
      <c r="CN1717" s="717"/>
      <c r="CO1717" s="717"/>
      <c r="CP1717" s="717"/>
      <c r="CQ1717" s="717"/>
      <c r="CR1717" s="717"/>
      <c r="CS1717" s="717"/>
      <c r="CT1717" s="717"/>
      <c r="CU1717" s="717"/>
      <c r="CV1717" s="717"/>
      <c r="CW1717" s="717"/>
      <c r="CX1717" s="717"/>
      <c r="CY1717" s="717"/>
      <c r="CZ1717" s="717"/>
      <c r="DA1717" s="717"/>
      <c r="DB1717" s="717"/>
      <c r="DC1717" s="717"/>
      <c r="DD1717" s="717"/>
      <c r="DE1717" s="717"/>
      <c r="DF1717" s="717"/>
      <c r="DG1717" s="717"/>
      <c r="DH1717" s="717"/>
      <c r="DI1717" s="717"/>
      <c r="DJ1717" s="717"/>
      <c r="DM1717" s="711"/>
      <c r="DN1717" s="711"/>
      <c r="DO1717" s="711"/>
      <c r="DP1717" s="711"/>
      <c r="DQ1717" s="711"/>
    </row>
    <row r="1718" spans="13:121" s="709" customFormat="1" hidden="1">
      <c r="M1718" s="710"/>
      <c r="P1718" s="711"/>
      <c r="Q1718" s="712"/>
      <c r="U1718" s="711"/>
      <c r="V1718" s="711"/>
      <c r="W1718" s="711"/>
      <c r="X1718" s="711"/>
      <c r="Y1718" s="711"/>
      <c r="Z1718" s="711"/>
      <c r="AU1718" s="713"/>
      <c r="AW1718" s="712"/>
      <c r="BY1718" s="714"/>
      <c r="BZ1718" s="715"/>
      <c r="CA1718" s="716"/>
      <c r="CB1718" s="717"/>
      <c r="CC1718" s="717"/>
      <c r="CD1718" s="717"/>
      <c r="CE1718" s="717"/>
      <c r="CF1718" s="717"/>
      <c r="CG1718" s="717"/>
      <c r="CH1718" s="717"/>
      <c r="CI1718" s="717"/>
      <c r="CJ1718" s="717"/>
      <c r="CK1718" s="717"/>
      <c r="CL1718" s="717"/>
      <c r="CM1718" s="717"/>
      <c r="CN1718" s="717"/>
      <c r="CO1718" s="717"/>
      <c r="CP1718" s="717"/>
      <c r="CQ1718" s="717"/>
      <c r="CR1718" s="717"/>
      <c r="CS1718" s="717"/>
      <c r="CT1718" s="717"/>
      <c r="CU1718" s="717"/>
      <c r="CV1718" s="717"/>
      <c r="CW1718" s="717"/>
      <c r="CX1718" s="717"/>
      <c r="CY1718" s="717"/>
      <c r="CZ1718" s="717"/>
      <c r="DA1718" s="717"/>
      <c r="DB1718" s="717"/>
      <c r="DC1718" s="717"/>
      <c r="DD1718" s="717"/>
      <c r="DE1718" s="717"/>
      <c r="DF1718" s="717"/>
      <c r="DG1718" s="717"/>
      <c r="DH1718" s="717"/>
      <c r="DI1718" s="717"/>
      <c r="DJ1718" s="717"/>
      <c r="DM1718" s="711"/>
      <c r="DN1718" s="711"/>
      <c r="DO1718" s="711"/>
      <c r="DP1718" s="711"/>
      <c r="DQ1718" s="711"/>
    </row>
    <row r="1719" spans="13:121" s="709" customFormat="1" hidden="1">
      <c r="M1719" s="710"/>
      <c r="P1719" s="711"/>
      <c r="Q1719" s="712"/>
      <c r="U1719" s="711"/>
      <c r="V1719" s="711"/>
      <c r="W1719" s="711"/>
      <c r="X1719" s="711"/>
      <c r="Y1719" s="711"/>
      <c r="Z1719" s="711"/>
      <c r="AU1719" s="713"/>
      <c r="AW1719" s="712"/>
      <c r="BY1719" s="714"/>
      <c r="BZ1719" s="715"/>
      <c r="CA1719" s="716"/>
      <c r="CB1719" s="717"/>
      <c r="CC1719" s="717"/>
      <c r="CD1719" s="717"/>
      <c r="CE1719" s="717"/>
      <c r="CF1719" s="717"/>
      <c r="CG1719" s="717"/>
      <c r="CH1719" s="717"/>
      <c r="CI1719" s="717"/>
      <c r="CJ1719" s="717"/>
      <c r="CK1719" s="717"/>
      <c r="CL1719" s="717"/>
      <c r="CM1719" s="717"/>
      <c r="CN1719" s="717"/>
      <c r="CO1719" s="717"/>
      <c r="CP1719" s="717"/>
      <c r="CQ1719" s="717"/>
      <c r="CR1719" s="717"/>
      <c r="CS1719" s="717"/>
      <c r="CT1719" s="717"/>
      <c r="CU1719" s="717"/>
      <c r="CV1719" s="717"/>
      <c r="CW1719" s="717"/>
      <c r="CX1719" s="717"/>
      <c r="CY1719" s="717"/>
      <c r="CZ1719" s="717"/>
      <c r="DA1719" s="717"/>
      <c r="DB1719" s="717"/>
      <c r="DC1719" s="717"/>
      <c r="DD1719" s="717"/>
      <c r="DE1719" s="717"/>
      <c r="DF1719" s="717"/>
      <c r="DG1719" s="717"/>
      <c r="DH1719" s="717"/>
      <c r="DI1719" s="717"/>
      <c r="DJ1719" s="717"/>
      <c r="DM1719" s="711"/>
      <c r="DN1719" s="711"/>
      <c r="DO1719" s="711"/>
      <c r="DP1719" s="711"/>
      <c r="DQ1719" s="711"/>
    </row>
    <row r="1720" spans="13:121" s="709" customFormat="1" hidden="1">
      <c r="M1720" s="710"/>
      <c r="P1720" s="711"/>
      <c r="Q1720" s="712"/>
      <c r="U1720" s="711"/>
      <c r="V1720" s="711"/>
      <c r="W1720" s="711"/>
      <c r="X1720" s="711"/>
      <c r="Y1720" s="711"/>
      <c r="Z1720" s="711"/>
      <c r="AU1720" s="713"/>
      <c r="AW1720" s="712"/>
      <c r="BY1720" s="714"/>
      <c r="BZ1720" s="715"/>
      <c r="CA1720" s="716"/>
      <c r="CB1720" s="717"/>
      <c r="CC1720" s="717"/>
      <c r="CD1720" s="717"/>
      <c r="CE1720" s="717"/>
      <c r="CF1720" s="717"/>
      <c r="CG1720" s="717"/>
      <c r="CH1720" s="717"/>
      <c r="CI1720" s="717"/>
      <c r="CJ1720" s="717"/>
      <c r="CK1720" s="717"/>
      <c r="CL1720" s="717"/>
      <c r="CM1720" s="717"/>
      <c r="CN1720" s="717"/>
      <c r="CO1720" s="717"/>
      <c r="CP1720" s="717"/>
      <c r="CQ1720" s="717"/>
      <c r="CR1720" s="717"/>
      <c r="CS1720" s="717"/>
      <c r="CT1720" s="717"/>
      <c r="CU1720" s="717"/>
      <c r="CV1720" s="717"/>
      <c r="CW1720" s="717"/>
      <c r="CX1720" s="717"/>
      <c r="CY1720" s="717"/>
      <c r="CZ1720" s="717"/>
      <c r="DA1720" s="717"/>
      <c r="DB1720" s="717"/>
      <c r="DC1720" s="717"/>
      <c r="DD1720" s="717"/>
      <c r="DE1720" s="717"/>
      <c r="DF1720" s="717"/>
      <c r="DG1720" s="717"/>
      <c r="DH1720" s="717"/>
      <c r="DI1720" s="717"/>
      <c r="DJ1720" s="717"/>
      <c r="DM1720" s="711"/>
      <c r="DN1720" s="711"/>
      <c r="DO1720" s="711"/>
      <c r="DP1720" s="711"/>
      <c r="DQ1720" s="711"/>
    </row>
    <row r="1721" spans="13:121" s="709" customFormat="1" hidden="1">
      <c r="M1721" s="710"/>
      <c r="P1721" s="711"/>
      <c r="Q1721" s="712"/>
      <c r="U1721" s="711"/>
      <c r="V1721" s="711"/>
      <c r="W1721" s="711"/>
      <c r="X1721" s="711"/>
      <c r="Y1721" s="711"/>
      <c r="Z1721" s="711"/>
      <c r="AU1721" s="713"/>
      <c r="AW1721" s="712"/>
      <c r="BY1721" s="714"/>
      <c r="BZ1721" s="715"/>
      <c r="CA1721" s="716"/>
      <c r="CB1721" s="717"/>
      <c r="CC1721" s="717"/>
      <c r="CD1721" s="717"/>
      <c r="CE1721" s="717"/>
      <c r="CF1721" s="717"/>
      <c r="CG1721" s="717"/>
      <c r="CH1721" s="717"/>
      <c r="CI1721" s="717"/>
      <c r="CJ1721" s="717"/>
      <c r="CK1721" s="717"/>
      <c r="CL1721" s="717"/>
      <c r="CM1721" s="717"/>
      <c r="CN1721" s="717"/>
      <c r="CO1721" s="717"/>
      <c r="CP1721" s="717"/>
      <c r="CQ1721" s="717"/>
      <c r="CR1721" s="717"/>
      <c r="CS1721" s="717"/>
      <c r="CT1721" s="717"/>
      <c r="CU1721" s="717"/>
      <c r="CV1721" s="717"/>
      <c r="CW1721" s="717"/>
      <c r="CX1721" s="717"/>
      <c r="CY1721" s="717"/>
      <c r="CZ1721" s="717"/>
      <c r="DA1721" s="717"/>
      <c r="DB1721" s="717"/>
      <c r="DC1721" s="717"/>
      <c r="DD1721" s="717"/>
      <c r="DE1721" s="717"/>
      <c r="DF1721" s="717"/>
      <c r="DG1721" s="717"/>
      <c r="DH1721" s="717"/>
      <c r="DI1721" s="717"/>
      <c r="DJ1721" s="717"/>
      <c r="DM1721" s="711"/>
      <c r="DN1721" s="711"/>
      <c r="DO1721" s="711"/>
      <c r="DP1721" s="711"/>
      <c r="DQ1721" s="711"/>
    </row>
    <row r="1722" spans="13:121" s="709" customFormat="1" hidden="1">
      <c r="M1722" s="710"/>
      <c r="P1722" s="711"/>
      <c r="Q1722" s="712"/>
      <c r="U1722" s="711"/>
      <c r="V1722" s="711"/>
      <c r="W1722" s="711"/>
      <c r="X1722" s="711"/>
      <c r="Y1722" s="711"/>
      <c r="Z1722" s="711"/>
      <c r="AU1722" s="713"/>
      <c r="AW1722" s="712"/>
      <c r="BY1722" s="714"/>
      <c r="BZ1722" s="715"/>
      <c r="CA1722" s="716"/>
      <c r="CB1722" s="717"/>
      <c r="CC1722" s="717"/>
      <c r="CD1722" s="717"/>
      <c r="CE1722" s="717"/>
      <c r="CF1722" s="717"/>
      <c r="CG1722" s="717"/>
      <c r="CH1722" s="717"/>
      <c r="CI1722" s="717"/>
      <c r="CJ1722" s="717"/>
      <c r="CK1722" s="717"/>
      <c r="CL1722" s="717"/>
      <c r="CM1722" s="717"/>
      <c r="CN1722" s="717"/>
      <c r="CO1722" s="717"/>
      <c r="CP1722" s="717"/>
      <c r="CQ1722" s="717"/>
      <c r="CR1722" s="717"/>
      <c r="CS1722" s="717"/>
      <c r="CT1722" s="717"/>
      <c r="CU1722" s="717"/>
      <c r="CV1722" s="717"/>
      <c r="CW1722" s="717"/>
      <c r="CX1722" s="717"/>
      <c r="CY1722" s="717"/>
      <c r="CZ1722" s="717"/>
      <c r="DA1722" s="717"/>
      <c r="DB1722" s="717"/>
      <c r="DC1722" s="717"/>
      <c r="DD1722" s="717"/>
      <c r="DE1722" s="717"/>
      <c r="DF1722" s="717"/>
      <c r="DG1722" s="717"/>
      <c r="DH1722" s="717"/>
      <c r="DI1722" s="717"/>
      <c r="DJ1722" s="717"/>
      <c r="DM1722" s="711"/>
      <c r="DN1722" s="711"/>
      <c r="DO1722" s="711"/>
      <c r="DP1722" s="711"/>
      <c r="DQ1722" s="711"/>
    </row>
    <row r="1723" spans="13:121" s="709" customFormat="1" hidden="1">
      <c r="M1723" s="710"/>
      <c r="P1723" s="711"/>
      <c r="Q1723" s="712"/>
      <c r="U1723" s="711"/>
      <c r="V1723" s="711"/>
      <c r="W1723" s="711"/>
      <c r="X1723" s="711"/>
      <c r="Y1723" s="711"/>
      <c r="Z1723" s="711"/>
      <c r="AU1723" s="713"/>
      <c r="AW1723" s="712"/>
      <c r="BY1723" s="714"/>
      <c r="BZ1723" s="715"/>
      <c r="CA1723" s="716"/>
      <c r="CB1723" s="717"/>
      <c r="CC1723" s="717"/>
      <c r="CD1723" s="717"/>
      <c r="CE1723" s="717"/>
      <c r="CF1723" s="717"/>
      <c r="CG1723" s="717"/>
      <c r="CH1723" s="717"/>
      <c r="CI1723" s="717"/>
      <c r="CJ1723" s="717"/>
      <c r="CK1723" s="717"/>
      <c r="CL1723" s="717"/>
      <c r="CM1723" s="717"/>
      <c r="CN1723" s="717"/>
      <c r="CO1723" s="717"/>
      <c r="CP1723" s="717"/>
      <c r="CQ1723" s="717"/>
      <c r="CR1723" s="717"/>
      <c r="CS1723" s="717"/>
      <c r="CT1723" s="717"/>
      <c r="CU1723" s="717"/>
      <c r="CV1723" s="717"/>
      <c r="CW1723" s="717"/>
      <c r="CX1723" s="717"/>
      <c r="CY1723" s="717"/>
      <c r="CZ1723" s="717"/>
      <c r="DA1723" s="717"/>
      <c r="DB1723" s="717"/>
      <c r="DC1723" s="717"/>
      <c r="DD1723" s="717"/>
      <c r="DE1723" s="717"/>
      <c r="DF1723" s="717"/>
      <c r="DG1723" s="717"/>
      <c r="DH1723" s="717"/>
      <c r="DI1723" s="717"/>
      <c r="DJ1723" s="717"/>
      <c r="DM1723" s="711"/>
      <c r="DN1723" s="711"/>
      <c r="DO1723" s="711"/>
      <c r="DP1723" s="711"/>
      <c r="DQ1723" s="711"/>
    </row>
    <row r="1724" spans="13:121" s="709" customFormat="1" hidden="1">
      <c r="M1724" s="710"/>
      <c r="P1724" s="711"/>
      <c r="Q1724" s="712"/>
      <c r="U1724" s="711"/>
      <c r="V1724" s="711"/>
      <c r="W1724" s="711"/>
      <c r="X1724" s="711"/>
      <c r="Y1724" s="711"/>
      <c r="Z1724" s="711"/>
      <c r="AU1724" s="713"/>
      <c r="AW1724" s="712"/>
      <c r="BY1724" s="714"/>
      <c r="BZ1724" s="715"/>
      <c r="CA1724" s="716"/>
      <c r="CB1724" s="717"/>
      <c r="CC1724" s="717"/>
      <c r="CD1724" s="717"/>
      <c r="CE1724" s="717"/>
      <c r="CF1724" s="717"/>
      <c r="CG1724" s="717"/>
      <c r="CH1724" s="717"/>
      <c r="CI1724" s="717"/>
      <c r="CJ1724" s="717"/>
      <c r="CK1724" s="717"/>
      <c r="CL1724" s="717"/>
      <c r="CM1724" s="717"/>
      <c r="CN1724" s="717"/>
      <c r="CO1724" s="717"/>
      <c r="CP1724" s="717"/>
      <c r="CQ1724" s="717"/>
      <c r="CR1724" s="717"/>
      <c r="CS1724" s="717"/>
      <c r="CT1724" s="717"/>
      <c r="CU1724" s="717"/>
      <c r="CV1724" s="717"/>
      <c r="CW1724" s="717"/>
      <c r="CX1724" s="717"/>
      <c r="CY1724" s="717"/>
      <c r="CZ1724" s="717"/>
      <c r="DA1724" s="717"/>
      <c r="DB1724" s="717"/>
      <c r="DC1724" s="717"/>
      <c r="DD1724" s="717"/>
      <c r="DE1724" s="717"/>
      <c r="DF1724" s="717"/>
      <c r="DG1724" s="717"/>
      <c r="DH1724" s="717"/>
      <c r="DI1724" s="717"/>
      <c r="DJ1724" s="717"/>
      <c r="DM1724" s="711"/>
      <c r="DN1724" s="711"/>
      <c r="DO1724" s="711"/>
      <c r="DP1724" s="711"/>
      <c r="DQ1724" s="711"/>
    </row>
    <row r="1725" spans="13:121" s="709" customFormat="1" hidden="1">
      <c r="M1725" s="710"/>
      <c r="P1725" s="711"/>
      <c r="Q1725" s="712"/>
      <c r="U1725" s="711"/>
      <c r="V1725" s="711"/>
      <c r="W1725" s="711"/>
      <c r="X1725" s="711"/>
      <c r="Y1725" s="711"/>
      <c r="Z1725" s="711"/>
      <c r="AU1725" s="713"/>
      <c r="AW1725" s="712"/>
      <c r="BY1725" s="714"/>
      <c r="BZ1725" s="715"/>
      <c r="CA1725" s="716"/>
      <c r="CB1725" s="717"/>
      <c r="CC1725" s="717"/>
      <c r="CD1725" s="717"/>
      <c r="CE1725" s="717"/>
      <c r="CF1725" s="717"/>
      <c r="CG1725" s="717"/>
      <c r="CH1725" s="717"/>
      <c r="CI1725" s="717"/>
      <c r="CJ1725" s="717"/>
      <c r="CK1725" s="717"/>
      <c r="CL1725" s="717"/>
      <c r="CM1725" s="717"/>
      <c r="CN1725" s="717"/>
      <c r="CO1725" s="717"/>
      <c r="CP1725" s="717"/>
      <c r="CQ1725" s="717"/>
      <c r="CR1725" s="717"/>
      <c r="CS1725" s="717"/>
      <c r="CT1725" s="717"/>
      <c r="CU1725" s="717"/>
      <c r="CV1725" s="717"/>
      <c r="CW1725" s="717"/>
      <c r="CX1725" s="717"/>
      <c r="CY1725" s="717"/>
      <c r="CZ1725" s="717"/>
      <c r="DA1725" s="717"/>
      <c r="DB1725" s="717"/>
      <c r="DC1725" s="717"/>
      <c r="DD1725" s="717"/>
      <c r="DE1725" s="717"/>
      <c r="DF1725" s="717"/>
      <c r="DG1725" s="717"/>
      <c r="DH1725" s="717"/>
      <c r="DI1725" s="717"/>
      <c r="DJ1725" s="717"/>
      <c r="DM1725" s="711"/>
      <c r="DN1725" s="711"/>
      <c r="DO1725" s="711"/>
      <c r="DP1725" s="711"/>
      <c r="DQ1725" s="711"/>
    </row>
    <row r="1726" spans="13:121" s="709" customFormat="1" hidden="1">
      <c r="M1726" s="710"/>
      <c r="P1726" s="711"/>
      <c r="Q1726" s="712"/>
      <c r="U1726" s="711"/>
      <c r="V1726" s="711"/>
      <c r="W1726" s="711"/>
      <c r="X1726" s="711"/>
      <c r="Y1726" s="711"/>
      <c r="Z1726" s="711"/>
      <c r="AU1726" s="713"/>
      <c r="AW1726" s="712"/>
      <c r="BY1726" s="714"/>
      <c r="BZ1726" s="715"/>
      <c r="CA1726" s="716"/>
      <c r="CB1726" s="717"/>
      <c r="CC1726" s="717"/>
      <c r="CD1726" s="717"/>
      <c r="CE1726" s="717"/>
      <c r="CF1726" s="717"/>
      <c r="CG1726" s="717"/>
      <c r="CH1726" s="717"/>
      <c r="CI1726" s="717"/>
      <c r="CJ1726" s="717"/>
      <c r="CK1726" s="717"/>
      <c r="CL1726" s="717"/>
      <c r="CM1726" s="717"/>
      <c r="CN1726" s="717"/>
      <c r="CO1726" s="717"/>
      <c r="CP1726" s="717"/>
      <c r="CQ1726" s="717"/>
      <c r="CR1726" s="717"/>
      <c r="CS1726" s="717"/>
      <c r="CT1726" s="717"/>
      <c r="CU1726" s="717"/>
      <c r="CV1726" s="717"/>
      <c r="CW1726" s="717"/>
      <c r="CX1726" s="717"/>
      <c r="CY1726" s="717"/>
      <c r="CZ1726" s="717"/>
      <c r="DA1726" s="717"/>
      <c r="DB1726" s="717"/>
      <c r="DC1726" s="717"/>
      <c r="DD1726" s="717"/>
      <c r="DE1726" s="717"/>
      <c r="DF1726" s="717"/>
      <c r="DG1726" s="717"/>
      <c r="DH1726" s="717"/>
      <c r="DI1726" s="717"/>
      <c r="DJ1726" s="717"/>
      <c r="DM1726" s="711"/>
      <c r="DN1726" s="711"/>
      <c r="DO1726" s="711"/>
      <c r="DP1726" s="711"/>
      <c r="DQ1726" s="711"/>
    </row>
    <row r="1727" spans="13:121" s="709" customFormat="1" hidden="1">
      <c r="M1727" s="710"/>
      <c r="P1727" s="711"/>
      <c r="Q1727" s="712"/>
      <c r="U1727" s="711"/>
      <c r="V1727" s="711"/>
      <c r="W1727" s="711"/>
      <c r="X1727" s="711"/>
      <c r="Y1727" s="711"/>
      <c r="Z1727" s="711"/>
      <c r="AU1727" s="713"/>
      <c r="AW1727" s="712"/>
      <c r="BY1727" s="714"/>
      <c r="BZ1727" s="715"/>
      <c r="CA1727" s="716"/>
      <c r="CB1727" s="717"/>
      <c r="CC1727" s="717"/>
      <c r="CD1727" s="717"/>
      <c r="CE1727" s="717"/>
      <c r="CF1727" s="717"/>
      <c r="CG1727" s="717"/>
      <c r="CH1727" s="717"/>
      <c r="CI1727" s="717"/>
      <c r="CJ1727" s="717"/>
      <c r="CK1727" s="717"/>
      <c r="CL1727" s="717"/>
      <c r="CM1727" s="717"/>
      <c r="CN1727" s="717"/>
      <c r="CO1727" s="717"/>
      <c r="CP1727" s="717"/>
      <c r="CQ1727" s="717"/>
      <c r="CR1727" s="717"/>
      <c r="CS1727" s="717"/>
      <c r="CT1727" s="717"/>
      <c r="CU1727" s="717"/>
      <c r="CV1727" s="717"/>
      <c r="CW1727" s="717"/>
      <c r="CX1727" s="717"/>
      <c r="CY1727" s="717"/>
      <c r="CZ1727" s="717"/>
      <c r="DA1727" s="717"/>
      <c r="DB1727" s="717"/>
      <c r="DC1727" s="717"/>
      <c r="DD1727" s="717"/>
      <c r="DE1727" s="717"/>
      <c r="DF1727" s="717"/>
      <c r="DG1727" s="717"/>
      <c r="DH1727" s="717"/>
      <c r="DI1727" s="717"/>
      <c r="DJ1727" s="717"/>
      <c r="DM1727" s="711"/>
      <c r="DN1727" s="711"/>
      <c r="DO1727" s="711"/>
      <c r="DP1727" s="711"/>
      <c r="DQ1727" s="711"/>
    </row>
    <row r="1728" spans="13:121" s="709" customFormat="1" hidden="1">
      <c r="M1728" s="710"/>
      <c r="P1728" s="711"/>
      <c r="Q1728" s="712"/>
      <c r="U1728" s="711"/>
      <c r="V1728" s="711"/>
      <c r="W1728" s="711"/>
      <c r="X1728" s="711"/>
      <c r="Y1728" s="711"/>
      <c r="Z1728" s="711"/>
      <c r="AU1728" s="713"/>
      <c r="AW1728" s="712"/>
      <c r="BY1728" s="714"/>
      <c r="BZ1728" s="715"/>
      <c r="CA1728" s="716"/>
      <c r="CB1728" s="717"/>
      <c r="CC1728" s="717"/>
      <c r="CD1728" s="717"/>
      <c r="CE1728" s="717"/>
      <c r="CF1728" s="717"/>
      <c r="CG1728" s="717"/>
      <c r="CH1728" s="717"/>
      <c r="CI1728" s="717"/>
      <c r="CJ1728" s="717"/>
      <c r="CK1728" s="717"/>
      <c r="CL1728" s="717"/>
      <c r="CM1728" s="717"/>
      <c r="CN1728" s="717"/>
      <c r="CO1728" s="717"/>
      <c r="CP1728" s="717"/>
      <c r="CQ1728" s="717"/>
      <c r="CR1728" s="717"/>
      <c r="CS1728" s="717"/>
      <c r="CT1728" s="717"/>
      <c r="CU1728" s="717"/>
      <c r="CV1728" s="717"/>
      <c r="CW1728" s="717"/>
      <c r="CX1728" s="717"/>
      <c r="CY1728" s="717"/>
      <c r="CZ1728" s="717"/>
      <c r="DA1728" s="717"/>
      <c r="DB1728" s="717"/>
      <c r="DC1728" s="717"/>
      <c r="DD1728" s="717"/>
      <c r="DE1728" s="717"/>
      <c r="DF1728" s="717"/>
      <c r="DG1728" s="717"/>
      <c r="DH1728" s="717"/>
      <c r="DI1728" s="717"/>
      <c r="DJ1728" s="717"/>
      <c r="DM1728" s="711"/>
      <c r="DN1728" s="711"/>
      <c r="DO1728" s="711"/>
      <c r="DP1728" s="711"/>
      <c r="DQ1728" s="711"/>
    </row>
    <row r="1729" spans="13:121" s="709" customFormat="1" hidden="1">
      <c r="M1729" s="710"/>
      <c r="P1729" s="711"/>
      <c r="Q1729" s="712"/>
      <c r="U1729" s="711"/>
      <c r="V1729" s="711"/>
      <c r="W1729" s="711"/>
      <c r="X1729" s="711"/>
      <c r="Y1729" s="711"/>
      <c r="Z1729" s="711"/>
      <c r="AU1729" s="713"/>
      <c r="AW1729" s="712"/>
      <c r="BY1729" s="714"/>
      <c r="BZ1729" s="715"/>
      <c r="CA1729" s="716"/>
      <c r="CB1729" s="717"/>
      <c r="CC1729" s="717"/>
      <c r="CD1729" s="717"/>
      <c r="CE1729" s="717"/>
      <c r="CF1729" s="717"/>
      <c r="CG1729" s="717"/>
      <c r="CH1729" s="717"/>
      <c r="CI1729" s="717"/>
      <c r="CJ1729" s="717"/>
      <c r="CK1729" s="717"/>
      <c r="CL1729" s="717"/>
      <c r="CM1729" s="717"/>
      <c r="CN1729" s="717"/>
      <c r="CO1729" s="717"/>
      <c r="CP1729" s="717"/>
      <c r="CQ1729" s="717"/>
      <c r="CR1729" s="717"/>
      <c r="CS1729" s="717"/>
      <c r="CT1729" s="717"/>
      <c r="CU1729" s="717"/>
      <c r="CV1729" s="717"/>
      <c r="CW1729" s="717"/>
      <c r="CX1729" s="717"/>
      <c r="CY1729" s="717"/>
      <c r="CZ1729" s="717"/>
      <c r="DA1729" s="717"/>
      <c r="DB1729" s="717"/>
      <c r="DC1729" s="717"/>
      <c r="DD1729" s="717"/>
      <c r="DE1729" s="717"/>
      <c r="DF1729" s="717"/>
      <c r="DG1729" s="717"/>
      <c r="DH1729" s="717"/>
      <c r="DI1729" s="717"/>
      <c r="DJ1729" s="717"/>
      <c r="DM1729" s="711"/>
      <c r="DN1729" s="711"/>
      <c r="DO1729" s="711"/>
      <c r="DP1729" s="711"/>
      <c r="DQ1729" s="711"/>
    </row>
    <row r="1730" spans="13:121" s="709" customFormat="1" hidden="1">
      <c r="M1730" s="710"/>
      <c r="P1730" s="711"/>
      <c r="Q1730" s="712"/>
      <c r="U1730" s="711"/>
      <c r="V1730" s="711"/>
      <c r="W1730" s="711"/>
      <c r="X1730" s="711"/>
      <c r="Y1730" s="711"/>
      <c r="Z1730" s="711"/>
      <c r="AU1730" s="713"/>
      <c r="AW1730" s="712"/>
      <c r="BY1730" s="714"/>
      <c r="BZ1730" s="715"/>
      <c r="CA1730" s="716"/>
      <c r="CB1730" s="717"/>
      <c r="CC1730" s="717"/>
      <c r="CD1730" s="717"/>
      <c r="CE1730" s="717"/>
      <c r="CF1730" s="717"/>
      <c r="CG1730" s="717"/>
      <c r="CH1730" s="717"/>
      <c r="CI1730" s="717"/>
      <c r="CJ1730" s="717"/>
      <c r="CK1730" s="717"/>
      <c r="CL1730" s="717"/>
      <c r="CM1730" s="717"/>
      <c r="CN1730" s="717"/>
      <c r="CO1730" s="717"/>
      <c r="CP1730" s="717"/>
      <c r="CQ1730" s="717"/>
      <c r="CR1730" s="717"/>
      <c r="CS1730" s="717"/>
      <c r="CT1730" s="717"/>
      <c r="CU1730" s="717"/>
      <c r="CV1730" s="717"/>
      <c r="CW1730" s="717"/>
      <c r="CX1730" s="717"/>
      <c r="CY1730" s="717"/>
      <c r="CZ1730" s="717"/>
      <c r="DA1730" s="717"/>
      <c r="DB1730" s="717"/>
      <c r="DC1730" s="717"/>
      <c r="DD1730" s="717"/>
      <c r="DE1730" s="717"/>
      <c r="DF1730" s="717"/>
      <c r="DG1730" s="717"/>
      <c r="DH1730" s="717"/>
      <c r="DI1730" s="717"/>
      <c r="DJ1730" s="717"/>
      <c r="DM1730" s="711"/>
      <c r="DN1730" s="711"/>
      <c r="DO1730" s="711"/>
      <c r="DP1730" s="711"/>
      <c r="DQ1730" s="711"/>
    </row>
    <row r="1731" spans="13:121" s="709" customFormat="1" hidden="1">
      <c r="M1731" s="710"/>
      <c r="P1731" s="711"/>
      <c r="Q1731" s="712"/>
      <c r="U1731" s="711"/>
      <c r="V1731" s="711"/>
      <c r="W1731" s="711"/>
      <c r="X1731" s="711"/>
      <c r="Y1731" s="711"/>
      <c r="Z1731" s="711"/>
      <c r="AU1731" s="713"/>
      <c r="AW1731" s="712"/>
      <c r="BY1731" s="714"/>
      <c r="BZ1731" s="715"/>
      <c r="CA1731" s="716"/>
      <c r="CB1731" s="717"/>
      <c r="CC1731" s="717"/>
      <c r="CD1731" s="717"/>
      <c r="CE1731" s="717"/>
      <c r="CF1731" s="717"/>
      <c r="CG1731" s="717"/>
      <c r="CH1731" s="717"/>
      <c r="CI1731" s="717"/>
      <c r="CJ1731" s="717"/>
      <c r="CK1731" s="717"/>
      <c r="CL1731" s="717"/>
      <c r="CM1731" s="717"/>
      <c r="CN1731" s="717"/>
      <c r="CO1731" s="717"/>
      <c r="CP1731" s="717"/>
      <c r="CQ1731" s="717"/>
      <c r="CR1731" s="717"/>
      <c r="CS1731" s="717"/>
      <c r="CT1731" s="717"/>
      <c r="CU1731" s="717"/>
      <c r="CV1731" s="717"/>
      <c r="CW1731" s="717"/>
      <c r="CX1731" s="717"/>
      <c r="CY1731" s="717"/>
      <c r="CZ1731" s="717"/>
      <c r="DA1731" s="717"/>
      <c r="DB1731" s="717"/>
      <c r="DC1731" s="717"/>
      <c r="DD1731" s="717"/>
      <c r="DE1731" s="717"/>
      <c r="DF1731" s="717"/>
      <c r="DG1731" s="717"/>
      <c r="DH1731" s="717"/>
      <c r="DI1731" s="717"/>
      <c r="DJ1731" s="717"/>
      <c r="DM1731" s="711"/>
      <c r="DN1731" s="711"/>
      <c r="DO1731" s="711"/>
      <c r="DP1731" s="711"/>
      <c r="DQ1731" s="711"/>
    </row>
    <row r="1732" spans="13:121" s="709" customFormat="1" hidden="1">
      <c r="M1732" s="710"/>
      <c r="P1732" s="711"/>
      <c r="Q1732" s="712"/>
      <c r="U1732" s="711"/>
      <c r="V1732" s="711"/>
      <c r="W1732" s="711"/>
      <c r="X1732" s="711"/>
      <c r="Y1732" s="711"/>
      <c r="Z1732" s="711"/>
      <c r="AU1732" s="713"/>
      <c r="AW1732" s="712"/>
      <c r="BY1732" s="714"/>
      <c r="BZ1732" s="715"/>
      <c r="CA1732" s="716"/>
      <c r="CB1732" s="717"/>
      <c r="CC1732" s="717"/>
      <c r="CD1732" s="717"/>
      <c r="CE1732" s="717"/>
      <c r="CF1732" s="717"/>
      <c r="CG1732" s="717"/>
      <c r="CH1732" s="717"/>
      <c r="CI1732" s="717"/>
      <c r="CJ1732" s="717"/>
      <c r="CK1732" s="717"/>
      <c r="CL1732" s="717"/>
      <c r="CM1732" s="717"/>
      <c r="CN1732" s="717"/>
      <c r="CO1732" s="717"/>
      <c r="CP1732" s="717"/>
      <c r="CQ1732" s="717"/>
      <c r="CR1732" s="717"/>
      <c r="CS1732" s="717"/>
      <c r="CT1732" s="717"/>
      <c r="CU1732" s="717"/>
      <c r="CV1732" s="717"/>
      <c r="CW1732" s="717"/>
      <c r="CX1732" s="717"/>
      <c r="CY1732" s="717"/>
      <c r="CZ1732" s="717"/>
      <c r="DA1732" s="717"/>
      <c r="DB1732" s="717"/>
      <c r="DC1732" s="717"/>
      <c r="DD1732" s="717"/>
      <c r="DE1732" s="717"/>
      <c r="DF1732" s="717"/>
      <c r="DG1732" s="717"/>
      <c r="DH1732" s="717"/>
      <c r="DI1732" s="717"/>
      <c r="DJ1732" s="717"/>
      <c r="DM1732" s="711"/>
      <c r="DN1732" s="711"/>
      <c r="DO1732" s="711"/>
      <c r="DP1732" s="711"/>
      <c r="DQ1732" s="711"/>
    </row>
    <row r="1733" spans="13:121" s="709" customFormat="1" hidden="1">
      <c r="M1733" s="710"/>
      <c r="P1733" s="711"/>
      <c r="Q1733" s="712"/>
      <c r="U1733" s="711"/>
      <c r="V1733" s="711"/>
      <c r="W1733" s="711"/>
      <c r="X1733" s="711"/>
      <c r="Y1733" s="711"/>
      <c r="Z1733" s="711"/>
      <c r="AU1733" s="713"/>
      <c r="AW1733" s="712"/>
      <c r="BY1733" s="714"/>
      <c r="BZ1733" s="715"/>
      <c r="CA1733" s="716"/>
      <c r="CB1733" s="717"/>
      <c r="CC1733" s="717"/>
      <c r="CD1733" s="717"/>
      <c r="CE1733" s="717"/>
      <c r="CF1733" s="717"/>
      <c r="CG1733" s="717"/>
      <c r="CH1733" s="717"/>
      <c r="CI1733" s="717"/>
      <c r="CJ1733" s="717"/>
      <c r="CK1733" s="717"/>
      <c r="CL1733" s="717"/>
      <c r="CM1733" s="717"/>
      <c r="CN1733" s="717"/>
      <c r="CO1733" s="717"/>
      <c r="CP1733" s="717"/>
      <c r="CQ1733" s="717"/>
      <c r="CR1733" s="717"/>
      <c r="CS1733" s="717"/>
      <c r="CT1733" s="717"/>
      <c r="CU1733" s="717"/>
      <c r="CV1733" s="717"/>
      <c r="CW1733" s="717"/>
      <c r="CX1733" s="717"/>
      <c r="CY1733" s="717"/>
      <c r="CZ1733" s="717"/>
      <c r="DA1733" s="717"/>
      <c r="DB1733" s="717"/>
      <c r="DC1733" s="717"/>
      <c r="DD1733" s="717"/>
      <c r="DE1733" s="717"/>
      <c r="DF1733" s="717"/>
      <c r="DG1733" s="717"/>
      <c r="DH1733" s="717"/>
      <c r="DI1733" s="717"/>
      <c r="DJ1733" s="717"/>
      <c r="DM1733" s="711"/>
      <c r="DN1733" s="711"/>
      <c r="DO1733" s="711"/>
      <c r="DP1733" s="711"/>
      <c r="DQ1733" s="711"/>
    </row>
    <row r="1734" spans="13:121" s="709" customFormat="1" hidden="1">
      <c r="M1734" s="710"/>
      <c r="P1734" s="711"/>
      <c r="Q1734" s="712"/>
      <c r="U1734" s="711"/>
      <c r="V1734" s="711"/>
      <c r="W1734" s="711"/>
      <c r="X1734" s="711"/>
      <c r="Y1734" s="711"/>
      <c r="Z1734" s="711"/>
      <c r="AU1734" s="713"/>
      <c r="AW1734" s="712"/>
      <c r="BY1734" s="714"/>
      <c r="BZ1734" s="715"/>
      <c r="CA1734" s="716"/>
      <c r="CB1734" s="717"/>
      <c r="CC1734" s="717"/>
      <c r="CD1734" s="717"/>
      <c r="CE1734" s="717"/>
      <c r="CF1734" s="717"/>
      <c r="CG1734" s="717"/>
      <c r="CH1734" s="717"/>
      <c r="CI1734" s="717"/>
      <c r="CJ1734" s="717"/>
      <c r="CK1734" s="717"/>
      <c r="CL1734" s="717"/>
      <c r="CM1734" s="717"/>
      <c r="CN1734" s="717"/>
      <c r="CO1734" s="717"/>
      <c r="CP1734" s="717"/>
      <c r="CQ1734" s="717"/>
      <c r="CR1734" s="717"/>
      <c r="CS1734" s="717"/>
      <c r="CT1734" s="717"/>
      <c r="CU1734" s="717"/>
      <c r="CV1734" s="717"/>
      <c r="CW1734" s="717"/>
      <c r="CX1734" s="717"/>
      <c r="CY1734" s="717"/>
      <c r="CZ1734" s="717"/>
      <c r="DA1734" s="717"/>
      <c r="DB1734" s="717"/>
      <c r="DC1734" s="717"/>
      <c r="DD1734" s="717"/>
      <c r="DE1734" s="717"/>
      <c r="DF1734" s="717"/>
      <c r="DG1734" s="717"/>
      <c r="DH1734" s="717"/>
      <c r="DI1734" s="717"/>
      <c r="DJ1734" s="717"/>
      <c r="DM1734" s="711"/>
      <c r="DN1734" s="711"/>
      <c r="DO1734" s="711"/>
      <c r="DP1734" s="711"/>
      <c r="DQ1734" s="711"/>
    </row>
    <row r="1735" spans="13:121" s="709" customFormat="1" hidden="1">
      <c r="M1735" s="710"/>
      <c r="P1735" s="711"/>
      <c r="Q1735" s="712"/>
      <c r="U1735" s="711"/>
      <c r="V1735" s="711"/>
      <c r="W1735" s="711"/>
      <c r="X1735" s="711"/>
      <c r="Y1735" s="711"/>
      <c r="Z1735" s="711"/>
      <c r="AU1735" s="713"/>
      <c r="AW1735" s="712"/>
      <c r="BY1735" s="714"/>
      <c r="BZ1735" s="715"/>
      <c r="CA1735" s="716"/>
      <c r="CB1735" s="717"/>
      <c r="CC1735" s="717"/>
      <c r="CD1735" s="717"/>
      <c r="CE1735" s="717"/>
      <c r="CF1735" s="717"/>
      <c r="CG1735" s="717"/>
      <c r="CH1735" s="717"/>
      <c r="CI1735" s="717"/>
      <c r="CJ1735" s="717"/>
      <c r="CK1735" s="717"/>
      <c r="CL1735" s="717"/>
      <c r="CM1735" s="717"/>
      <c r="CN1735" s="717"/>
      <c r="CO1735" s="717"/>
      <c r="CP1735" s="717"/>
      <c r="CQ1735" s="717"/>
      <c r="CR1735" s="717"/>
      <c r="CS1735" s="717"/>
      <c r="CT1735" s="717"/>
      <c r="CU1735" s="717"/>
      <c r="CV1735" s="717"/>
      <c r="CW1735" s="717"/>
      <c r="CX1735" s="717"/>
      <c r="CY1735" s="717"/>
      <c r="CZ1735" s="717"/>
      <c r="DA1735" s="717"/>
      <c r="DB1735" s="717"/>
      <c r="DC1735" s="717"/>
      <c r="DD1735" s="717"/>
      <c r="DE1735" s="717"/>
      <c r="DF1735" s="717"/>
      <c r="DG1735" s="717"/>
      <c r="DH1735" s="717"/>
      <c r="DI1735" s="717"/>
      <c r="DJ1735" s="717"/>
      <c r="DM1735" s="711"/>
      <c r="DN1735" s="711"/>
      <c r="DO1735" s="711"/>
      <c r="DP1735" s="711"/>
      <c r="DQ1735" s="711"/>
    </row>
    <row r="1736" spans="13:121" s="709" customFormat="1" hidden="1">
      <c r="M1736" s="710"/>
      <c r="P1736" s="711"/>
      <c r="Q1736" s="712"/>
      <c r="U1736" s="711"/>
      <c r="V1736" s="711"/>
      <c r="W1736" s="711"/>
      <c r="X1736" s="711"/>
      <c r="Y1736" s="711"/>
      <c r="Z1736" s="711"/>
      <c r="AU1736" s="713"/>
      <c r="AW1736" s="712"/>
      <c r="BY1736" s="714"/>
      <c r="BZ1736" s="715"/>
      <c r="CA1736" s="716"/>
      <c r="CB1736" s="717"/>
      <c r="CC1736" s="717"/>
      <c r="CD1736" s="717"/>
      <c r="CE1736" s="717"/>
      <c r="CF1736" s="717"/>
      <c r="CG1736" s="717"/>
      <c r="CH1736" s="717"/>
      <c r="CI1736" s="717"/>
      <c r="CJ1736" s="717"/>
      <c r="CK1736" s="717"/>
      <c r="CL1736" s="717"/>
      <c r="CM1736" s="717"/>
      <c r="CN1736" s="717"/>
      <c r="CO1736" s="717"/>
      <c r="CP1736" s="717"/>
      <c r="CQ1736" s="717"/>
      <c r="CR1736" s="717"/>
      <c r="CS1736" s="717"/>
      <c r="CT1736" s="717"/>
      <c r="CU1736" s="717"/>
      <c r="CV1736" s="717"/>
      <c r="CW1736" s="717"/>
      <c r="CX1736" s="717"/>
      <c r="CY1736" s="717"/>
      <c r="CZ1736" s="717"/>
      <c r="DA1736" s="717"/>
      <c r="DB1736" s="717"/>
      <c r="DC1736" s="717"/>
      <c r="DD1736" s="717"/>
      <c r="DE1736" s="717"/>
      <c r="DF1736" s="717"/>
      <c r="DG1736" s="717"/>
      <c r="DH1736" s="717"/>
      <c r="DI1736" s="717"/>
      <c r="DJ1736" s="717"/>
      <c r="DM1736" s="711"/>
      <c r="DN1736" s="711"/>
      <c r="DO1736" s="711"/>
      <c r="DP1736" s="711"/>
      <c r="DQ1736" s="711"/>
    </row>
    <row r="1737" spans="13:121" s="709" customFormat="1" hidden="1">
      <c r="M1737" s="710"/>
      <c r="P1737" s="711"/>
      <c r="Q1737" s="712"/>
      <c r="U1737" s="711"/>
      <c r="V1737" s="711"/>
      <c r="W1737" s="711"/>
      <c r="X1737" s="711"/>
      <c r="Y1737" s="711"/>
      <c r="Z1737" s="711"/>
      <c r="AU1737" s="713"/>
      <c r="AW1737" s="712"/>
      <c r="BY1737" s="714"/>
      <c r="BZ1737" s="715"/>
      <c r="CA1737" s="716"/>
      <c r="CB1737" s="717"/>
      <c r="CC1737" s="717"/>
      <c r="CD1737" s="717"/>
      <c r="CE1737" s="717"/>
      <c r="CF1737" s="717"/>
      <c r="CG1737" s="717"/>
      <c r="CH1737" s="717"/>
      <c r="CI1737" s="717"/>
      <c r="CJ1737" s="717"/>
      <c r="CK1737" s="717"/>
      <c r="CL1737" s="717"/>
      <c r="CM1737" s="717"/>
      <c r="CN1737" s="717"/>
      <c r="CO1737" s="717"/>
      <c r="CP1737" s="717"/>
      <c r="CQ1737" s="717"/>
      <c r="CR1737" s="717"/>
      <c r="CS1737" s="717"/>
      <c r="CT1737" s="717"/>
      <c r="CU1737" s="717"/>
      <c r="CV1737" s="717"/>
      <c r="CW1737" s="717"/>
      <c r="CX1737" s="717"/>
      <c r="CY1737" s="717"/>
      <c r="CZ1737" s="717"/>
      <c r="DA1737" s="717"/>
      <c r="DB1737" s="717"/>
      <c r="DC1737" s="717"/>
      <c r="DD1737" s="717"/>
      <c r="DE1737" s="717"/>
      <c r="DF1737" s="717"/>
      <c r="DG1737" s="717"/>
      <c r="DH1737" s="717"/>
      <c r="DI1737" s="717"/>
      <c r="DJ1737" s="717"/>
      <c r="DM1737" s="711"/>
      <c r="DN1737" s="711"/>
      <c r="DO1737" s="711"/>
      <c r="DP1737" s="711"/>
      <c r="DQ1737" s="711"/>
    </row>
    <row r="1738" spans="13:121" s="709" customFormat="1" hidden="1">
      <c r="M1738" s="710"/>
      <c r="P1738" s="711"/>
      <c r="Q1738" s="712"/>
      <c r="U1738" s="711"/>
      <c r="V1738" s="711"/>
      <c r="W1738" s="711"/>
      <c r="X1738" s="711"/>
      <c r="Y1738" s="711"/>
      <c r="Z1738" s="711"/>
      <c r="AU1738" s="713"/>
      <c r="AW1738" s="712"/>
      <c r="BY1738" s="714"/>
      <c r="BZ1738" s="715"/>
      <c r="CA1738" s="716"/>
      <c r="CB1738" s="717"/>
      <c r="CC1738" s="717"/>
      <c r="CD1738" s="717"/>
      <c r="CE1738" s="717"/>
      <c r="CF1738" s="717"/>
      <c r="CG1738" s="717"/>
      <c r="CH1738" s="717"/>
      <c r="CI1738" s="717"/>
      <c r="CJ1738" s="717"/>
      <c r="CK1738" s="717"/>
      <c r="CL1738" s="717"/>
      <c r="CM1738" s="717"/>
      <c r="CN1738" s="717"/>
      <c r="CO1738" s="717"/>
      <c r="CP1738" s="717"/>
      <c r="CQ1738" s="717"/>
      <c r="CR1738" s="717"/>
      <c r="CS1738" s="717"/>
      <c r="CT1738" s="717"/>
      <c r="CU1738" s="717"/>
      <c r="CV1738" s="717"/>
      <c r="CW1738" s="717"/>
      <c r="CX1738" s="717"/>
      <c r="CY1738" s="717"/>
      <c r="CZ1738" s="717"/>
      <c r="DA1738" s="717"/>
      <c r="DB1738" s="717"/>
      <c r="DC1738" s="717"/>
      <c r="DD1738" s="717"/>
      <c r="DE1738" s="717"/>
      <c r="DF1738" s="717"/>
      <c r="DG1738" s="717"/>
      <c r="DH1738" s="717"/>
      <c r="DI1738" s="717"/>
      <c r="DJ1738" s="717"/>
      <c r="DM1738" s="711"/>
      <c r="DN1738" s="711"/>
      <c r="DO1738" s="711"/>
      <c r="DP1738" s="711"/>
      <c r="DQ1738" s="711"/>
    </row>
    <row r="1739" spans="13:121" s="709" customFormat="1" hidden="1">
      <c r="M1739" s="710"/>
      <c r="P1739" s="711"/>
      <c r="Q1739" s="712"/>
      <c r="U1739" s="711"/>
      <c r="V1739" s="711"/>
      <c r="W1739" s="711"/>
      <c r="X1739" s="711"/>
      <c r="Y1739" s="711"/>
      <c r="Z1739" s="711"/>
      <c r="AU1739" s="713"/>
      <c r="AW1739" s="712"/>
      <c r="BY1739" s="714"/>
      <c r="BZ1739" s="715"/>
      <c r="CA1739" s="716"/>
      <c r="CB1739" s="717"/>
      <c r="CC1739" s="717"/>
      <c r="CD1739" s="717"/>
      <c r="CE1739" s="717"/>
      <c r="CF1739" s="717"/>
      <c r="CG1739" s="717"/>
      <c r="CH1739" s="717"/>
      <c r="CI1739" s="717"/>
      <c r="CJ1739" s="717"/>
      <c r="CK1739" s="717"/>
      <c r="CL1739" s="717"/>
      <c r="CM1739" s="717"/>
      <c r="CN1739" s="717"/>
      <c r="CO1739" s="717"/>
      <c r="CP1739" s="717"/>
      <c r="CQ1739" s="717"/>
      <c r="CR1739" s="717"/>
      <c r="CS1739" s="717"/>
      <c r="CT1739" s="717"/>
      <c r="CU1739" s="717"/>
      <c r="CV1739" s="717"/>
      <c r="CW1739" s="717"/>
      <c r="CX1739" s="717"/>
      <c r="CY1739" s="717"/>
      <c r="CZ1739" s="717"/>
      <c r="DA1739" s="717"/>
      <c r="DB1739" s="717"/>
      <c r="DC1739" s="717"/>
      <c r="DD1739" s="717"/>
      <c r="DE1739" s="717"/>
      <c r="DF1739" s="717"/>
      <c r="DG1739" s="717"/>
      <c r="DH1739" s="717"/>
      <c r="DI1739" s="717"/>
      <c r="DJ1739" s="717"/>
      <c r="DM1739" s="711"/>
      <c r="DN1739" s="711"/>
      <c r="DO1739" s="711"/>
      <c r="DP1739" s="711"/>
      <c r="DQ1739" s="711"/>
    </row>
    <row r="1740" spans="13:121" s="709" customFormat="1" hidden="1">
      <c r="M1740" s="710"/>
      <c r="P1740" s="711"/>
      <c r="Q1740" s="712"/>
      <c r="U1740" s="711"/>
      <c r="V1740" s="711"/>
      <c r="W1740" s="711"/>
      <c r="X1740" s="711"/>
      <c r="Y1740" s="711"/>
      <c r="Z1740" s="711"/>
      <c r="AU1740" s="713"/>
      <c r="AW1740" s="712"/>
      <c r="BY1740" s="714"/>
      <c r="BZ1740" s="715"/>
      <c r="CA1740" s="716"/>
      <c r="CB1740" s="717"/>
      <c r="CC1740" s="717"/>
      <c r="CD1740" s="717"/>
      <c r="CE1740" s="717"/>
      <c r="CF1740" s="717"/>
      <c r="CG1740" s="717"/>
      <c r="CH1740" s="717"/>
      <c r="CI1740" s="717"/>
      <c r="CJ1740" s="717"/>
      <c r="CK1740" s="717"/>
      <c r="CL1740" s="717"/>
      <c r="CM1740" s="717"/>
      <c r="CN1740" s="717"/>
      <c r="CO1740" s="717"/>
      <c r="CP1740" s="717"/>
      <c r="CQ1740" s="717"/>
      <c r="CR1740" s="717"/>
      <c r="CS1740" s="717"/>
      <c r="CT1740" s="717"/>
      <c r="CU1740" s="717"/>
      <c r="CV1740" s="717"/>
      <c r="CW1740" s="717"/>
      <c r="CX1740" s="717"/>
      <c r="CY1740" s="717"/>
      <c r="CZ1740" s="717"/>
      <c r="DA1740" s="717"/>
      <c r="DB1740" s="717"/>
      <c r="DC1740" s="717"/>
      <c r="DD1740" s="717"/>
      <c r="DE1740" s="717"/>
      <c r="DF1740" s="717"/>
      <c r="DG1740" s="717"/>
      <c r="DH1740" s="717"/>
      <c r="DI1740" s="717"/>
      <c r="DJ1740" s="717"/>
      <c r="DM1740" s="711"/>
      <c r="DN1740" s="711"/>
      <c r="DO1740" s="711"/>
      <c r="DP1740" s="711"/>
      <c r="DQ1740" s="711"/>
    </row>
    <row r="1741" spans="13:121" s="709" customFormat="1" hidden="1">
      <c r="M1741" s="710"/>
      <c r="P1741" s="711"/>
      <c r="Q1741" s="712"/>
      <c r="U1741" s="711"/>
      <c r="V1741" s="711"/>
      <c r="W1741" s="711"/>
      <c r="X1741" s="711"/>
      <c r="Y1741" s="711"/>
      <c r="Z1741" s="711"/>
      <c r="AU1741" s="713"/>
      <c r="AW1741" s="712"/>
      <c r="BY1741" s="714"/>
      <c r="BZ1741" s="715"/>
      <c r="CA1741" s="716"/>
      <c r="CB1741" s="717"/>
      <c r="CC1741" s="717"/>
      <c r="CD1741" s="717"/>
      <c r="CE1741" s="717"/>
      <c r="CF1741" s="717"/>
      <c r="CG1741" s="717"/>
      <c r="CH1741" s="717"/>
      <c r="CI1741" s="717"/>
      <c r="CJ1741" s="717"/>
      <c r="CK1741" s="717"/>
      <c r="CL1741" s="717"/>
      <c r="CM1741" s="717"/>
      <c r="CN1741" s="717"/>
      <c r="CO1741" s="717"/>
      <c r="CP1741" s="717"/>
      <c r="CQ1741" s="717"/>
      <c r="CR1741" s="717"/>
      <c r="CS1741" s="717"/>
      <c r="CT1741" s="717"/>
      <c r="CU1741" s="717"/>
      <c r="CV1741" s="717"/>
      <c r="CW1741" s="717"/>
      <c r="CX1741" s="717"/>
      <c r="CY1741" s="717"/>
      <c r="CZ1741" s="717"/>
      <c r="DA1741" s="717"/>
      <c r="DB1741" s="717"/>
      <c r="DC1741" s="717"/>
      <c r="DD1741" s="717"/>
      <c r="DE1741" s="717"/>
      <c r="DF1741" s="717"/>
      <c r="DG1741" s="717"/>
      <c r="DH1741" s="717"/>
      <c r="DI1741" s="717"/>
      <c r="DJ1741" s="717"/>
      <c r="DM1741" s="711"/>
      <c r="DN1741" s="711"/>
      <c r="DO1741" s="711"/>
      <c r="DP1741" s="711"/>
      <c r="DQ1741" s="711"/>
    </row>
    <row r="1742" spans="13:121" s="709" customFormat="1" hidden="1">
      <c r="M1742" s="710"/>
      <c r="P1742" s="711"/>
      <c r="Q1742" s="712"/>
      <c r="U1742" s="711"/>
      <c r="V1742" s="711"/>
      <c r="W1742" s="711"/>
      <c r="X1742" s="711"/>
      <c r="Y1742" s="711"/>
      <c r="Z1742" s="711"/>
      <c r="AU1742" s="713"/>
      <c r="AW1742" s="712"/>
      <c r="BY1742" s="714"/>
      <c r="BZ1742" s="715"/>
      <c r="CA1742" s="716"/>
      <c r="CB1742" s="717"/>
      <c r="CC1742" s="717"/>
      <c r="CD1742" s="717"/>
      <c r="CE1742" s="717"/>
      <c r="CF1742" s="717"/>
      <c r="CG1742" s="717"/>
      <c r="CH1742" s="717"/>
      <c r="CI1742" s="717"/>
      <c r="CJ1742" s="717"/>
      <c r="CK1742" s="717"/>
      <c r="CL1742" s="717"/>
      <c r="CM1742" s="717"/>
      <c r="CN1742" s="717"/>
      <c r="CO1742" s="717"/>
      <c r="CP1742" s="717"/>
      <c r="CQ1742" s="717"/>
      <c r="CR1742" s="717"/>
      <c r="CS1742" s="717"/>
      <c r="CT1742" s="717"/>
      <c r="CU1742" s="717"/>
      <c r="CV1742" s="717"/>
      <c r="CW1742" s="717"/>
      <c r="CX1742" s="717"/>
      <c r="CY1742" s="717"/>
      <c r="CZ1742" s="717"/>
      <c r="DA1742" s="717"/>
      <c r="DB1742" s="717"/>
      <c r="DC1742" s="717"/>
      <c r="DD1742" s="717"/>
      <c r="DE1742" s="717"/>
      <c r="DF1742" s="717"/>
      <c r="DG1742" s="717"/>
      <c r="DH1742" s="717"/>
      <c r="DI1742" s="717"/>
      <c r="DJ1742" s="717"/>
      <c r="DM1742" s="711"/>
      <c r="DN1742" s="711"/>
      <c r="DO1742" s="711"/>
      <c r="DP1742" s="711"/>
      <c r="DQ1742" s="711"/>
    </row>
    <row r="1743" spans="13:121" s="709" customFormat="1" hidden="1">
      <c r="M1743" s="710"/>
      <c r="P1743" s="711"/>
      <c r="Q1743" s="712"/>
      <c r="U1743" s="711"/>
      <c r="V1743" s="711"/>
      <c r="W1743" s="711"/>
      <c r="X1743" s="711"/>
      <c r="Y1743" s="711"/>
      <c r="Z1743" s="711"/>
      <c r="AU1743" s="713"/>
      <c r="AW1743" s="712"/>
      <c r="BY1743" s="714"/>
      <c r="BZ1743" s="715"/>
      <c r="CA1743" s="716"/>
      <c r="CB1743" s="717"/>
      <c r="CC1743" s="717"/>
      <c r="CD1743" s="717"/>
      <c r="CE1743" s="717"/>
      <c r="CF1743" s="717"/>
      <c r="CG1743" s="717"/>
      <c r="CH1743" s="717"/>
      <c r="CI1743" s="717"/>
      <c r="CJ1743" s="717"/>
      <c r="CK1743" s="717"/>
      <c r="CL1743" s="717"/>
      <c r="CM1743" s="717"/>
      <c r="CN1743" s="717"/>
      <c r="CO1743" s="717"/>
      <c r="CP1743" s="717"/>
      <c r="CQ1743" s="717"/>
      <c r="CR1743" s="717"/>
      <c r="CS1743" s="717"/>
      <c r="CT1743" s="717"/>
      <c r="CU1743" s="717"/>
      <c r="CV1743" s="717"/>
      <c r="CW1743" s="717"/>
      <c r="CX1743" s="717"/>
      <c r="CY1743" s="717"/>
      <c r="CZ1743" s="717"/>
      <c r="DA1743" s="717"/>
      <c r="DB1743" s="717"/>
      <c r="DC1743" s="717"/>
      <c r="DD1743" s="717"/>
      <c r="DE1743" s="717"/>
      <c r="DF1743" s="717"/>
      <c r="DG1743" s="717"/>
      <c r="DH1743" s="717"/>
      <c r="DI1743" s="717"/>
      <c r="DJ1743" s="717"/>
      <c r="DM1743" s="711"/>
      <c r="DN1743" s="711"/>
      <c r="DO1743" s="711"/>
      <c r="DP1743" s="711"/>
      <c r="DQ1743" s="711"/>
    </row>
    <row r="1744" spans="13:121" s="709" customFormat="1" hidden="1">
      <c r="M1744" s="710"/>
      <c r="P1744" s="711"/>
      <c r="Q1744" s="712"/>
      <c r="U1744" s="711"/>
      <c r="V1744" s="711"/>
      <c r="W1744" s="711"/>
      <c r="X1744" s="711"/>
      <c r="Y1744" s="711"/>
      <c r="Z1744" s="711"/>
      <c r="AU1744" s="713"/>
      <c r="AW1744" s="712"/>
      <c r="BY1744" s="714"/>
      <c r="BZ1744" s="715"/>
      <c r="CA1744" s="716"/>
      <c r="CB1744" s="717"/>
      <c r="CC1744" s="717"/>
      <c r="CD1744" s="717"/>
      <c r="CE1744" s="717"/>
      <c r="CF1744" s="717"/>
      <c r="CG1744" s="717"/>
      <c r="CH1744" s="717"/>
      <c r="CI1744" s="717"/>
      <c r="CJ1744" s="717"/>
      <c r="CK1744" s="717"/>
      <c r="CL1744" s="717"/>
      <c r="CM1744" s="717"/>
      <c r="CN1744" s="717"/>
      <c r="CO1744" s="717"/>
      <c r="CP1744" s="717"/>
      <c r="CQ1744" s="717"/>
      <c r="CR1744" s="717"/>
      <c r="CS1744" s="717"/>
      <c r="CT1744" s="717"/>
      <c r="CU1744" s="717"/>
      <c r="CV1744" s="717"/>
      <c r="CW1744" s="717"/>
      <c r="CX1744" s="717"/>
      <c r="CY1744" s="717"/>
      <c r="CZ1744" s="717"/>
      <c r="DA1744" s="717"/>
      <c r="DB1744" s="717"/>
      <c r="DC1744" s="717"/>
      <c r="DD1744" s="717"/>
      <c r="DE1744" s="717"/>
      <c r="DF1744" s="717"/>
      <c r="DG1744" s="717"/>
      <c r="DH1744" s="717"/>
      <c r="DI1744" s="717"/>
      <c r="DJ1744" s="717"/>
      <c r="DM1744" s="711"/>
      <c r="DN1744" s="711"/>
      <c r="DO1744" s="711"/>
      <c r="DP1744" s="711"/>
      <c r="DQ1744" s="711"/>
    </row>
    <row r="1745" spans="13:121" s="709" customFormat="1" hidden="1">
      <c r="M1745" s="710"/>
      <c r="P1745" s="711"/>
      <c r="Q1745" s="712"/>
      <c r="U1745" s="711"/>
      <c r="V1745" s="711"/>
      <c r="W1745" s="711"/>
      <c r="X1745" s="711"/>
      <c r="Y1745" s="711"/>
      <c r="Z1745" s="711"/>
      <c r="AU1745" s="713"/>
      <c r="AW1745" s="712"/>
      <c r="BY1745" s="714"/>
      <c r="BZ1745" s="715"/>
      <c r="CA1745" s="716"/>
      <c r="CB1745" s="717"/>
      <c r="CC1745" s="717"/>
      <c r="CD1745" s="717"/>
      <c r="CE1745" s="717"/>
      <c r="CF1745" s="717"/>
      <c r="CG1745" s="717"/>
      <c r="CH1745" s="717"/>
      <c r="CI1745" s="717"/>
      <c r="CJ1745" s="717"/>
      <c r="CK1745" s="717"/>
      <c r="CL1745" s="717"/>
      <c r="CM1745" s="717"/>
      <c r="CN1745" s="717"/>
      <c r="CO1745" s="717"/>
      <c r="CP1745" s="717"/>
      <c r="CQ1745" s="717"/>
      <c r="CR1745" s="717"/>
      <c r="CS1745" s="717"/>
      <c r="CT1745" s="717"/>
      <c r="CU1745" s="717"/>
      <c r="CV1745" s="717"/>
      <c r="CW1745" s="717"/>
      <c r="CX1745" s="717"/>
      <c r="CY1745" s="717"/>
      <c r="CZ1745" s="717"/>
      <c r="DA1745" s="717"/>
      <c r="DB1745" s="717"/>
      <c r="DC1745" s="717"/>
      <c r="DD1745" s="717"/>
      <c r="DE1745" s="717"/>
      <c r="DF1745" s="717"/>
      <c r="DG1745" s="717"/>
      <c r="DH1745" s="717"/>
      <c r="DI1745" s="717"/>
      <c r="DJ1745" s="717"/>
      <c r="DM1745" s="711"/>
      <c r="DN1745" s="711"/>
      <c r="DO1745" s="711"/>
      <c r="DP1745" s="711"/>
      <c r="DQ1745" s="711"/>
    </row>
    <row r="1746" spans="13:121" s="709" customFormat="1" hidden="1">
      <c r="M1746" s="710"/>
      <c r="P1746" s="711"/>
      <c r="Q1746" s="712"/>
      <c r="U1746" s="711"/>
      <c r="V1746" s="711"/>
      <c r="W1746" s="711"/>
      <c r="X1746" s="711"/>
      <c r="Y1746" s="711"/>
      <c r="Z1746" s="711"/>
      <c r="AU1746" s="713"/>
      <c r="AW1746" s="712"/>
      <c r="BY1746" s="714"/>
      <c r="BZ1746" s="715"/>
      <c r="CA1746" s="716"/>
      <c r="CB1746" s="717"/>
      <c r="CC1746" s="717"/>
      <c r="CD1746" s="717"/>
      <c r="CE1746" s="717"/>
      <c r="CF1746" s="717"/>
      <c r="CG1746" s="717"/>
      <c r="CH1746" s="717"/>
      <c r="CI1746" s="717"/>
      <c r="CJ1746" s="717"/>
      <c r="CK1746" s="717"/>
      <c r="CL1746" s="717"/>
      <c r="CM1746" s="717"/>
      <c r="CN1746" s="717"/>
      <c r="CO1746" s="717"/>
      <c r="CP1746" s="717"/>
      <c r="CQ1746" s="717"/>
      <c r="CR1746" s="717"/>
      <c r="CS1746" s="717"/>
      <c r="CT1746" s="717"/>
      <c r="CU1746" s="717"/>
      <c r="CV1746" s="717"/>
      <c r="CW1746" s="717"/>
      <c r="CX1746" s="717"/>
      <c r="CY1746" s="717"/>
      <c r="CZ1746" s="717"/>
      <c r="DA1746" s="717"/>
      <c r="DB1746" s="717"/>
      <c r="DC1746" s="717"/>
      <c r="DD1746" s="717"/>
      <c r="DE1746" s="717"/>
      <c r="DF1746" s="717"/>
      <c r="DG1746" s="717"/>
      <c r="DH1746" s="717"/>
      <c r="DI1746" s="717"/>
      <c r="DJ1746" s="717"/>
      <c r="DM1746" s="711"/>
      <c r="DN1746" s="711"/>
      <c r="DO1746" s="711"/>
      <c r="DP1746" s="711"/>
      <c r="DQ1746" s="711"/>
    </row>
    <row r="1747" spans="13:121" s="709" customFormat="1" hidden="1">
      <c r="M1747" s="710"/>
      <c r="P1747" s="711"/>
      <c r="Q1747" s="712"/>
      <c r="U1747" s="711"/>
      <c r="V1747" s="711"/>
      <c r="W1747" s="711"/>
      <c r="X1747" s="711"/>
      <c r="Y1747" s="711"/>
      <c r="Z1747" s="711"/>
      <c r="AU1747" s="713"/>
      <c r="AW1747" s="712"/>
      <c r="BY1747" s="714"/>
      <c r="BZ1747" s="715"/>
      <c r="CA1747" s="716"/>
      <c r="CB1747" s="717"/>
      <c r="CC1747" s="717"/>
      <c r="CD1747" s="717"/>
      <c r="CE1747" s="717"/>
      <c r="CF1747" s="717"/>
      <c r="CG1747" s="717"/>
      <c r="CH1747" s="717"/>
      <c r="CI1747" s="717"/>
      <c r="CJ1747" s="717"/>
      <c r="CK1747" s="717"/>
      <c r="CL1747" s="717"/>
      <c r="CM1747" s="717"/>
      <c r="CN1747" s="717"/>
      <c r="CO1747" s="717"/>
      <c r="CP1747" s="717"/>
      <c r="CQ1747" s="717"/>
      <c r="CR1747" s="717"/>
      <c r="CS1747" s="717"/>
      <c r="CT1747" s="717"/>
      <c r="CU1747" s="717"/>
      <c r="CV1747" s="717"/>
      <c r="CW1747" s="717"/>
      <c r="CX1747" s="717"/>
      <c r="CY1747" s="717"/>
      <c r="CZ1747" s="717"/>
      <c r="DA1747" s="717"/>
      <c r="DB1747" s="717"/>
      <c r="DC1747" s="717"/>
      <c r="DD1747" s="717"/>
      <c r="DE1747" s="717"/>
      <c r="DF1747" s="717"/>
      <c r="DG1747" s="717"/>
      <c r="DH1747" s="717"/>
      <c r="DI1747" s="717"/>
      <c r="DJ1747" s="717"/>
      <c r="DM1747" s="711"/>
      <c r="DN1747" s="711"/>
      <c r="DO1747" s="711"/>
      <c r="DP1747" s="711"/>
      <c r="DQ1747" s="711"/>
    </row>
    <row r="1748" spans="13:121" s="709" customFormat="1" hidden="1">
      <c r="M1748" s="710"/>
      <c r="P1748" s="711"/>
      <c r="Q1748" s="712"/>
      <c r="U1748" s="711"/>
      <c r="V1748" s="711"/>
      <c r="W1748" s="711"/>
      <c r="X1748" s="711"/>
      <c r="Y1748" s="711"/>
      <c r="Z1748" s="711"/>
      <c r="AU1748" s="713"/>
      <c r="AW1748" s="712"/>
      <c r="BY1748" s="714"/>
      <c r="BZ1748" s="715"/>
      <c r="CA1748" s="716"/>
      <c r="CB1748" s="717"/>
      <c r="CC1748" s="717"/>
      <c r="CD1748" s="717"/>
      <c r="CE1748" s="717"/>
      <c r="CF1748" s="717"/>
      <c r="CG1748" s="717"/>
      <c r="CH1748" s="717"/>
      <c r="CI1748" s="717"/>
      <c r="CJ1748" s="717"/>
      <c r="CK1748" s="717"/>
      <c r="CL1748" s="717"/>
      <c r="CM1748" s="717"/>
      <c r="CN1748" s="717"/>
      <c r="CO1748" s="717"/>
      <c r="CP1748" s="717"/>
      <c r="CQ1748" s="717"/>
      <c r="CR1748" s="717"/>
      <c r="CS1748" s="717"/>
      <c r="CT1748" s="717"/>
      <c r="CU1748" s="717"/>
      <c r="CV1748" s="717"/>
      <c r="CW1748" s="717"/>
      <c r="CX1748" s="717"/>
      <c r="CY1748" s="717"/>
      <c r="CZ1748" s="717"/>
      <c r="DA1748" s="717"/>
      <c r="DB1748" s="717"/>
      <c r="DC1748" s="717"/>
      <c r="DD1748" s="717"/>
      <c r="DE1748" s="717"/>
      <c r="DF1748" s="717"/>
      <c r="DG1748" s="717"/>
      <c r="DH1748" s="717"/>
      <c r="DI1748" s="717"/>
      <c r="DJ1748" s="717"/>
      <c r="DM1748" s="711"/>
      <c r="DN1748" s="711"/>
      <c r="DO1748" s="711"/>
      <c r="DP1748" s="711"/>
      <c r="DQ1748" s="711"/>
    </row>
    <row r="1749" spans="13:121" s="709" customFormat="1" hidden="1">
      <c r="M1749" s="710"/>
      <c r="P1749" s="711"/>
      <c r="Q1749" s="712"/>
      <c r="U1749" s="711"/>
      <c r="V1749" s="711"/>
      <c r="W1749" s="711"/>
      <c r="X1749" s="711"/>
      <c r="Y1749" s="711"/>
      <c r="Z1749" s="711"/>
      <c r="AU1749" s="713"/>
      <c r="AW1749" s="712"/>
      <c r="BY1749" s="714"/>
      <c r="BZ1749" s="715"/>
      <c r="CA1749" s="716"/>
      <c r="CB1749" s="717"/>
      <c r="CC1749" s="717"/>
      <c r="CD1749" s="717"/>
      <c r="CE1749" s="717"/>
      <c r="CF1749" s="717"/>
      <c r="CG1749" s="717"/>
      <c r="CH1749" s="717"/>
      <c r="CI1749" s="717"/>
      <c r="CJ1749" s="717"/>
      <c r="CK1749" s="717"/>
      <c r="CL1749" s="717"/>
      <c r="CM1749" s="717"/>
      <c r="CN1749" s="717"/>
      <c r="CO1749" s="717"/>
      <c r="CP1749" s="717"/>
      <c r="CQ1749" s="717"/>
      <c r="CR1749" s="717"/>
      <c r="CS1749" s="717"/>
      <c r="CT1749" s="717"/>
      <c r="CU1749" s="717"/>
      <c r="CV1749" s="717"/>
      <c r="CW1749" s="717"/>
      <c r="CX1749" s="717"/>
      <c r="CY1749" s="717"/>
      <c r="CZ1749" s="717"/>
      <c r="DA1749" s="717"/>
      <c r="DB1749" s="717"/>
      <c r="DC1749" s="717"/>
      <c r="DD1749" s="717"/>
      <c r="DE1749" s="717"/>
      <c r="DF1749" s="717"/>
      <c r="DG1749" s="717"/>
      <c r="DH1749" s="717"/>
      <c r="DI1749" s="717"/>
      <c r="DJ1749" s="717"/>
      <c r="DM1749" s="711"/>
      <c r="DN1749" s="711"/>
      <c r="DO1749" s="711"/>
      <c r="DP1749" s="711"/>
      <c r="DQ1749" s="711"/>
    </row>
    <row r="1750" spans="13:121" s="709" customFormat="1" hidden="1">
      <c r="M1750" s="710"/>
      <c r="P1750" s="711"/>
      <c r="Q1750" s="712"/>
      <c r="U1750" s="711"/>
      <c r="V1750" s="711"/>
      <c r="W1750" s="711"/>
      <c r="X1750" s="711"/>
      <c r="Y1750" s="711"/>
      <c r="Z1750" s="711"/>
      <c r="AU1750" s="713"/>
      <c r="AW1750" s="712"/>
      <c r="BY1750" s="714"/>
      <c r="BZ1750" s="715"/>
      <c r="CA1750" s="716"/>
      <c r="CB1750" s="717"/>
      <c r="CC1750" s="717"/>
      <c r="CD1750" s="717"/>
      <c r="CE1750" s="717"/>
      <c r="CF1750" s="717"/>
      <c r="CG1750" s="717"/>
      <c r="CH1750" s="717"/>
      <c r="CI1750" s="717"/>
      <c r="CJ1750" s="717"/>
      <c r="CK1750" s="717"/>
      <c r="CL1750" s="717"/>
      <c r="CM1750" s="717"/>
      <c r="CN1750" s="717"/>
      <c r="CO1750" s="717"/>
      <c r="CP1750" s="717"/>
      <c r="CQ1750" s="717"/>
      <c r="CR1750" s="717"/>
      <c r="CS1750" s="717"/>
      <c r="CT1750" s="717"/>
      <c r="CU1750" s="717"/>
      <c r="CV1750" s="717"/>
      <c r="CW1750" s="717"/>
      <c r="CX1750" s="717"/>
      <c r="CY1750" s="717"/>
      <c r="CZ1750" s="717"/>
      <c r="DA1750" s="717"/>
      <c r="DB1750" s="717"/>
      <c r="DC1750" s="717"/>
      <c r="DD1750" s="717"/>
      <c r="DE1750" s="717"/>
      <c r="DF1750" s="717"/>
      <c r="DG1750" s="717"/>
      <c r="DH1750" s="717"/>
      <c r="DI1750" s="717"/>
      <c r="DJ1750" s="717"/>
      <c r="DM1750" s="711"/>
      <c r="DN1750" s="711"/>
      <c r="DO1750" s="711"/>
      <c r="DP1750" s="711"/>
      <c r="DQ1750" s="711"/>
    </row>
    <row r="1751" spans="13:121" s="709" customFormat="1" hidden="1">
      <c r="M1751" s="710"/>
      <c r="P1751" s="711"/>
      <c r="Q1751" s="712"/>
      <c r="U1751" s="711"/>
      <c r="V1751" s="711"/>
      <c r="W1751" s="711"/>
      <c r="X1751" s="711"/>
      <c r="Y1751" s="711"/>
      <c r="Z1751" s="711"/>
      <c r="AU1751" s="713"/>
      <c r="AW1751" s="712"/>
      <c r="BY1751" s="714"/>
      <c r="BZ1751" s="715"/>
      <c r="CA1751" s="716"/>
      <c r="CB1751" s="717"/>
      <c r="CC1751" s="717"/>
      <c r="CD1751" s="717"/>
      <c r="CE1751" s="717"/>
      <c r="CF1751" s="717"/>
      <c r="CG1751" s="717"/>
      <c r="CH1751" s="717"/>
      <c r="CI1751" s="717"/>
      <c r="CJ1751" s="717"/>
      <c r="CK1751" s="717"/>
      <c r="CL1751" s="717"/>
      <c r="CM1751" s="717"/>
      <c r="CN1751" s="717"/>
      <c r="CO1751" s="717"/>
      <c r="CP1751" s="717"/>
      <c r="CQ1751" s="717"/>
      <c r="CR1751" s="717"/>
      <c r="CS1751" s="717"/>
      <c r="CT1751" s="717"/>
      <c r="CU1751" s="717"/>
      <c r="CV1751" s="717"/>
      <c r="CW1751" s="717"/>
      <c r="CX1751" s="717"/>
      <c r="CY1751" s="717"/>
      <c r="CZ1751" s="717"/>
      <c r="DA1751" s="717"/>
      <c r="DB1751" s="717"/>
      <c r="DC1751" s="717"/>
      <c r="DD1751" s="717"/>
      <c r="DE1751" s="717"/>
      <c r="DF1751" s="717"/>
      <c r="DG1751" s="717"/>
      <c r="DH1751" s="717"/>
      <c r="DI1751" s="717"/>
      <c r="DJ1751" s="717"/>
      <c r="DM1751" s="711"/>
      <c r="DN1751" s="711"/>
      <c r="DO1751" s="711"/>
      <c r="DP1751" s="711"/>
      <c r="DQ1751" s="711"/>
    </row>
    <row r="1752" spans="13:121" s="709" customFormat="1" hidden="1">
      <c r="M1752" s="710"/>
      <c r="P1752" s="711"/>
      <c r="Q1752" s="712"/>
      <c r="U1752" s="711"/>
      <c r="V1752" s="711"/>
      <c r="W1752" s="711"/>
      <c r="X1752" s="711"/>
      <c r="Y1752" s="711"/>
      <c r="Z1752" s="711"/>
      <c r="AU1752" s="713"/>
      <c r="AW1752" s="712"/>
      <c r="BY1752" s="714"/>
      <c r="BZ1752" s="715"/>
      <c r="CA1752" s="716"/>
      <c r="CB1752" s="717"/>
      <c r="CC1752" s="717"/>
      <c r="CD1752" s="717"/>
      <c r="CE1752" s="717"/>
      <c r="CF1752" s="717"/>
      <c r="CG1752" s="717"/>
      <c r="CH1752" s="717"/>
      <c r="CI1752" s="717"/>
      <c r="CJ1752" s="717"/>
      <c r="CK1752" s="717"/>
      <c r="CL1752" s="717"/>
      <c r="CM1752" s="717"/>
      <c r="CN1752" s="717"/>
      <c r="CO1752" s="717"/>
      <c r="CP1752" s="717"/>
      <c r="CQ1752" s="717"/>
      <c r="CR1752" s="717"/>
      <c r="CS1752" s="717"/>
      <c r="CT1752" s="717"/>
      <c r="CU1752" s="717"/>
      <c r="CV1752" s="717"/>
      <c r="CW1752" s="717"/>
      <c r="CX1752" s="717"/>
      <c r="CY1752" s="717"/>
      <c r="CZ1752" s="717"/>
      <c r="DA1752" s="717"/>
      <c r="DB1752" s="717"/>
      <c r="DC1752" s="717"/>
      <c r="DD1752" s="717"/>
      <c r="DE1752" s="717"/>
      <c r="DF1752" s="717"/>
      <c r="DG1752" s="717"/>
      <c r="DH1752" s="717"/>
      <c r="DI1752" s="717"/>
      <c r="DJ1752" s="717"/>
      <c r="DM1752" s="711"/>
      <c r="DN1752" s="711"/>
      <c r="DO1752" s="711"/>
      <c r="DP1752" s="711"/>
      <c r="DQ1752" s="711"/>
    </row>
    <row r="1753" spans="13:121" s="709" customFormat="1" hidden="1">
      <c r="M1753" s="710"/>
      <c r="P1753" s="711"/>
      <c r="Q1753" s="712"/>
      <c r="U1753" s="711"/>
      <c r="V1753" s="711"/>
      <c r="W1753" s="711"/>
      <c r="X1753" s="711"/>
      <c r="Y1753" s="711"/>
      <c r="Z1753" s="711"/>
      <c r="AU1753" s="713"/>
      <c r="AW1753" s="712"/>
      <c r="BY1753" s="714"/>
      <c r="BZ1753" s="715"/>
      <c r="CA1753" s="716"/>
      <c r="CB1753" s="717"/>
      <c r="CC1753" s="717"/>
      <c r="CD1753" s="717"/>
      <c r="CE1753" s="717"/>
      <c r="CF1753" s="717"/>
      <c r="CG1753" s="717"/>
      <c r="CH1753" s="717"/>
      <c r="CI1753" s="717"/>
      <c r="CJ1753" s="717"/>
      <c r="CK1753" s="717"/>
      <c r="CL1753" s="717"/>
      <c r="CM1753" s="717"/>
      <c r="CN1753" s="717"/>
      <c r="CO1753" s="717"/>
      <c r="CP1753" s="717"/>
      <c r="CQ1753" s="717"/>
      <c r="CR1753" s="717"/>
      <c r="CS1753" s="717"/>
      <c r="CT1753" s="717"/>
      <c r="CU1753" s="717"/>
      <c r="CV1753" s="717"/>
      <c r="CW1753" s="717"/>
      <c r="CX1753" s="717"/>
      <c r="CY1753" s="717"/>
      <c r="CZ1753" s="717"/>
      <c r="DA1753" s="717"/>
      <c r="DB1753" s="717"/>
      <c r="DC1753" s="717"/>
      <c r="DD1753" s="717"/>
      <c r="DE1753" s="717"/>
      <c r="DF1753" s="717"/>
      <c r="DG1753" s="717"/>
      <c r="DH1753" s="717"/>
      <c r="DI1753" s="717"/>
      <c r="DJ1753" s="717"/>
      <c r="DM1753" s="711"/>
      <c r="DN1753" s="711"/>
      <c r="DO1753" s="711"/>
      <c r="DP1753" s="711"/>
      <c r="DQ1753" s="711"/>
    </row>
    <row r="1754" spans="13:121" s="709" customFormat="1" hidden="1">
      <c r="M1754" s="710"/>
      <c r="P1754" s="711"/>
      <c r="Q1754" s="712"/>
      <c r="U1754" s="711"/>
      <c r="V1754" s="711"/>
      <c r="W1754" s="711"/>
      <c r="X1754" s="711"/>
      <c r="Y1754" s="711"/>
      <c r="Z1754" s="711"/>
      <c r="AU1754" s="713"/>
      <c r="AW1754" s="712"/>
      <c r="BY1754" s="714"/>
      <c r="BZ1754" s="715"/>
      <c r="CA1754" s="716"/>
      <c r="CB1754" s="717"/>
      <c r="CC1754" s="717"/>
      <c r="CD1754" s="717"/>
      <c r="CE1754" s="717"/>
      <c r="CF1754" s="717"/>
      <c r="CG1754" s="717"/>
      <c r="CH1754" s="717"/>
      <c r="CI1754" s="717"/>
      <c r="CJ1754" s="717"/>
      <c r="CK1754" s="717"/>
      <c r="CL1754" s="717"/>
      <c r="CM1754" s="717"/>
      <c r="CN1754" s="717"/>
      <c r="CO1754" s="717"/>
      <c r="CP1754" s="717"/>
      <c r="CQ1754" s="717"/>
      <c r="CR1754" s="717"/>
      <c r="CS1754" s="717"/>
      <c r="CT1754" s="717"/>
      <c r="CU1754" s="717"/>
      <c r="CV1754" s="717"/>
      <c r="CW1754" s="717"/>
      <c r="CX1754" s="717"/>
      <c r="CY1754" s="717"/>
      <c r="CZ1754" s="717"/>
      <c r="DA1754" s="717"/>
      <c r="DB1754" s="717"/>
      <c r="DC1754" s="717"/>
      <c r="DD1754" s="717"/>
      <c r="DE1754" s="717"/>
      <c r="DF1754" s="717"/>
      <c r="DG1754" s="717"/>
      <c r="DH1754" s="717"/>
      <c r="DI1754" s="717"/>
      <c r="DJ1754" s="717"/>
      <c r="DM1754" s="711"/>
      <c r="DN1754" s="711"/>
      <c r="DO1754" s="711"/>
      <c r="DP1754" s="711"/>
      <c r="DQ1754" s="711"/>
    </row>
    <row r="1755" spans="13:121" s="709" customFormat="1" hidden="1">
      <c r="M1755" s="710"/>
      <c r="P1755" s="711"/>
      <c r="Q1755" s="712"/>
      <c r="U1755" s="711"/>
      <c r="V1755" s="711"/>
      <c r="W1755" s="711"/>
      <c r="X1755" s="711"/>
      <c r="Y1755" s="711"/>
      <c r="Z1755" s="711"/>
      <c r="AU1755" s="713"/>
      <c r="AW1755" s="712"/>
      <c r="BY1755" s="714"/>
      <c r="BZ1755" s="715"/>
      <c r="CA1755" s="716"/>
      <c r="CB1755" s="717"/>
      <c r="CC1755" s="717"/>
      <c r="CD1755" s="717"/>
      <c r="CE1755" s="717"/>
      <c r="CF1755" s="717"/>
      <c r="CG1755" s="717"/>
      <c r="CH1755" s="717"/>
      <c r="CI1755" s="717"/>
      <c r="CJ1755" s="717"/>
      <c r="CK1755" s="717"/>
      <c r="CL1755" s="717"/>
      <c r="CM1755" s="717"/>
      <c r="CN1755" s="717"/>
      <c r="CO1755" s="717"/>
      <c r="CP1755" s="717"/>
      <c r="CQ1755" s="717"/>
      <c r="CR1755" s="717"/>
      <c r="CS1755" s="717"/>
      <c r="CT1755" s="717"/>
      <c r="CU1755" s="717"/>
      <c r="CV1755" s="717"/>
      <c r="CW1755" s="717"/>
      <c r="CX1755" s="717"/>
      <c r="CY1755" s="717"/>
      <c r="CZ1755" s="717"/>
      <c r="DA1755" s="717"/>
      <c r="DB1755" s="717"/>
      <c r="DC1755" s="717"/>
      <c r="DD1755" s="717"/>
      <c r="DE1755" s="717"/>
      <c r="DF1755" s="717"/>
      <c r="DG1755" s="717"/>
      <c r="DH1755" s="717"/>
      <c r="DI1755" s="717"/>
      <c r="DJ1755" s="717"/>
      <c r="DM1755" s="711"/>
      <c r="DN1755" s="711"/>
      <c r="DO1755" s="711"/>
      <c r="DP1755" s="711"/>
      <c r="DQ1755" s="711"/>
    </row>
    <row r="1756" spans="13:121" s="709" customFormat="1" hidden="1">
      <c r="M1756" s="710"/>
      <c r="P1756" s="711"/>
      <c r="Q1756" s="712"/>
      <c r="U1756" s="711"/>
      <c r="V1756" s="711"/>
      <c r="W1756" s="711"/>
      <c r="X1756" s="711"/>
      <c r="Y1756" s="711"/>
      <c r="Z1756" s="711"/>
      <c r="AU1756" s="713"/>
      <c r="AW1756" s="712"/>
      <c r="BY1756" s="714"/>
      <c r="BZ1756" s="715"/>
      <c r="CA1756" s="716"/>
      <c r="CB1756" s="717"/>
      <c r="CC1756" s="717"/>
      <c r="CD1756" s="717"/>
      <c r="CE1756" s="717"/>
      <c r="CF1756" s="717"/>
      <c r="CG1756" s="717"/>
      <c r="CH1756" s="717"/>
      <c r="CI1756" s="717"/>
      <c r="CJ1756" s="717"/>
      <c r="CK1756" s="717"/>
      <c r="CL1756" s="717"/>
      <c r="CM1756" s="717"/>
      <c r="CN1756" s="717"/>
      <c r="CO1756" s="717"/>
      <c r="CP1756" s="717"/>
      <c r="CQ1756" s="717"/>
      <c r="CR1756" s="717"/>
      <c r="CS1756" s="717"/>
      <c r="CT1756" s="717"/>
      <c r="CU1756" s="717"/>
      <c r="CV1756" s="717"/>
      <c r="CW1756" s="717"/>
      <c r="CX1756" s="717"/>
      <c r="CY1756" s="717"/>
      <c r="CZ1756" s="717"/>
      <c r="DA1756" s="717"/>
      <c r="DB1756" s="717"/>
      <c r="DC1756" s="717"/>
      <c r="DD1756" s="717"/>
      <c r="DE1756" s="717"/>
      <c r="DF1756" s="717"/>
      <c r="DG1756" s="717"/>
      <c r="DH1756" s="717"/>
      <c r="DI1756" s="717"/>
      <c r="DJ1756" s="717"/>
      <c r="DM1756" s="711"/>
      <c r="DN1756" s="711"/>
      <c r="DO1756" s="711"/>
      <c r="DP1756" s="711"/>
      <c r="DQ1756" s="711"/>
    </row>
    <row r="1757" spans="13:121" s="709" customFormat="1" hidden="1">
      <c r="M1757" s="710"/>
      <c r="P1757" s="711"/>
      <c r="Q1757" s="712"/>
      <c r="U1757" s="711"/>
      <c r="V1757" s="711"/>
      <c r="W1757" s="711"/>
      <c r="X1757" s="711"/>
      <c r="Y1757" s="711"/>
      <c r="Z1757" s="711"/>
      <c r="AU1757" s="713"/>
      <c r="AW1757" s="712"/>
      <c r="BY1757" s="714"/>
      <c r="BZ1757" s="715"/>
      <c r="CA1757" s="716"/>
      <c r="CB1757" s="717"/>
      <c r="CC1757" s="717"/>
      <c r="CD1757" s="717"/>
      <c r="CE1757" s="717"/>
      <c r="CF1757" s="717"/>
      <c r="CG1757" s="717"/>
      <c r="CH1757" s="717"/>
      <c r="CI1757" s="717"/>
      <c r="CJ1757" s="717"/>
      <c r="CK1757" s="717"/>
      <c r="CL1757" s="717"/>
      <c r="CM1757" s="717"/>
      <c r="CN1757" s="717"/>
      <c r="CO1757" s="717"/>
      <c r="CP1757" s="717"/>
      <c r="CQ1757" s="717"/>
      <c r="CR1757" s="717"/>
      <c r="CS1757" s="717"/>
      <c r="CT1757" s="717"/>
      <c r="CU1757" s="717"/>
      <c r="CV1757" s="717"/>
      <c r="CW1757" s="717"/>
      <c r="CX1757" s="717"/>
      <c r="CY1757" s="717"/>
      <c r="CZ1757" s="717"/>
      <c r="DA1757" s="717"/>
      <c r="DB1757" s="717"/>
      <c r="DC1757" s="717"/>
      <c r="DD1757" s="717"/>
      <c r="DE1757" s="717"/>
      <c r="DF1757" s="717"/>
      <c r="DG1757" s="717"/>
      <c r="DH1757" s="717"/>
      <c r="DI1757" s="717"/>
      <c r="DJ1757" s="717"/>
      <c r="DM1757" s="711"/>
      <c r="DN1757" s="711"/>
      <c r="DO1757" s="711"/>
      <c r="DP1757" s="711"/>
      <c r="DQ1757" s="711"/>
    </row>
    <row r="1758" spans="13:121" s="709" customFormat="1" hidden="1">
      <c r="M1758" s="710"/>
      <c r="P1758" s="711"/>
      <c r="Q1758" s="712"/>
      <c r="U1758" s="711"/>
      <c r="V1758" s="711"/>
      <c r="W1758" s="711"/>
      <c r="X1758" s="711"/>
      <c r="Y1758" s="711"/>
      <c r="Z1758" s="711"/>
      <c r="AU1758" s="713"/>
      <c r="AW1758" s="712"/>
      <c r="BY1758" s="714"/>
      <c r="BZ1758" s="715"/>
      <c r="CA1758" s="716"/>
      <c r="CB1758" s="717"/>
      <c r="CC1758" s="717"/>
      <c r="CD1758" s="717"/>
      <c r="CE1758" s="717"/>
      <c r="CF1758" s="717"/>
      <c r="CG1758" s="717"/>
      <c r="CH1758" s="717"/>
      <c r="CI1758" s="717"/>
      <c r="CJ1758" s="717"/>
      <c r="CK1758" s="717"/>
      <c r="CL1758" s="717"/>
      <c r="CM1758" s="717"/>
      <c r="CN1758" s="717"/>
      <c r="CO1758" s="717"/>
      <c r="CP1758" s="717"/>
      <c r="CQ1758" s="717"/>
      <c r="CR1758" s="717"/>
      <c r="CS1758" s="717"/>
      <c r="CT1758" s="717"/>
      <c r="CU1758" s="717"/>
      <c r="CV1758" s="717"/>
      <c r="CW1758" s="717"/>
      <c r="CX1758" s="717"/>
      <c r="CY1758" s="717"/>
      <c r="CZ1758" s="717"/>
      <c r="DA1758" s="717"/>
      <c r="DB1758" s="717"/>
      <c r="DC1758" s="717"/>
      <c r="DD1758" s="717"/>
      <c r="DE1758" s="717"/>
      <c r="DF1758" s="717"/>
      <c r="DG1758" s="717"/>
      <c r="DH1758" s="717"/>
      <c r="DI1758" s="717"/>
      <c r="DJ1758" s="717"/>
      <c r="DM1758" s="711"/>
      <c r="DN1758" s="711"/>
      <c r="DO1758" s="711"/>
      <c r="DP1758" s="711"/>
      <c r="DQ1758" s="711"/>
    </row>
    <row r="1759" spans="13:121" s="709" customFormat="1" hidden="1">
      <c r="M1759" s="710"/>
      <c r="P1759" s="711"/>
      <c r="Q1759" s="712"/>
      <c r="U1759" s="711"/>
      <c r="V1759" s="711"/>
      <c r="W1759" s="711"/>
      <c r="X1759" s="711"/>
      <c r="Y1759" s="711"/>
      <c r="Z1759" s="711"/>
      <c r="AU1759" s="713"/>
      <c r="AW1759" s="712"/>
      <c r="BY1759" s="714"/>
      <c r="BZ1759" s="715"/>
      <c r="CA1759" s="716"/>
      <c r="CB1759" s="717"/>
      <c r="CC1759" s="717"/>
      <c r="CD1759" s="717"/>
      <c r="CE1759" s="717"/>
      <c r="CF1759" s="717"/>
      <c r="CG1759" s="717"/>
      <c r="CH1759" s="717"/>
      <c r="CI1759" s="717"/>
      <c r="CJ1759" s="717"/>
      <c r="CK1759" s="717"/>
      <c r="CL1759" s="717"/>
      <c r="CM1759" s="717"/>
      <c r="CN1759" s="717"/>
      <c r="CO1759" s="717"/>
      <c r="CP1759" s="717"/>
      <c r="CQ1759" s="717"/>
      <c r="CR1759" s="717"/>
      <c r="CS1759" s="717"/>
      <c r="CT1759" s="717"/>
      <c r="CU1759" s="717"/>
      <c r="CV1759" s="717"/>
      <c r="CW1759" s="717"/>
      <c r="CX1759" s="717"/>
      <c r="CY1759" s="717"/>
      <c r="CZ1759" s="717"/>
      <c r="DA1759" s="717"/>
      <c r="DB1759" s="717"/>
      <c r="DC1759" s="717"/>
      <c r="DD1759" s="717"/>
      <c r="DE1759" s="717"/>
      <c r="DF1759" s="717"/>
      <c r="DG1759" s="717"/>
      <c r="DH1759" s="717"/>
      <c r="DI1759" s="717"/>
      <c r="DJ1759" s="717"/>
      <c r="DM1759" s="711"/>
      <c r="DN1759" s="711"/>
      <c r="DO1759" s="711"/>
      <c r="DP1759" s="711"/>
      <c r="DQ1759" s="711"/>
    </row>
    <row r="1760" spans="13:121" s="709" customFormat="1" hidden="1">
      <c r="M1760" s="710"/>
      <c r="P1760" s="711"/>
      <c r="Q1760" s="712"/>
      <c r="U1760" s="711"/>
      <c r="V1760" s="711"/>
      <c r="W1760" s="711"/>
      <c r="X1760" s="711"/>
      <c r="Y1760" s="711"/>
      <c r="Z1760" s="711"/>
      <c r="AU1760" s="713"/>
      <c r="AW1760" s="712"/>
      <c r="BY1760" s="714"/>
      <c r="BZ1760" s="715"/>
      <c r="CA1760" s="716"/>
      <c r="CB1760" s="717"/>
      <c r="CC1760" s="717"/>
      <c r="CD1760" s="717"/>
      <c r="CE1760" s="717"/>
      <c r="CF1760" s="717"/>
      <c r="CG1760" s="717"/>
      <c r="CH1760" s="717"/>
      <c r="CI1760" s="717"/>
      <c r="CJ1760" s="717"/>
      <c r="CK1760" s="717"/>
      <c r="CL1760" s="717"/>
      <c r="CM1760" s="717"/>
      <c r="CN1760" s="717"/>
      <c r="CO1760" s="717"/>
      <c r="CP1760" s="717"/>
      <c r="CQ1760" s="717"/>
      <c r="CR1760" s="717"/>
      <c r="CS1760" s="717"/>
      <c r="CT1760" s="717"/>
      <c r="CU1760" s="717"/>
      <c r="CV1760" s="717"/>
      <c r="CW1760" s="717"/>
      <c r="CX1760" s="717"/>
      <c r="CY1760" s="717"/>
      <c r="CZ1760" s="717"/>
      <c r="DA1760" s="717"/>
      <c r="DB1760" s="717"/>
      <c r="DC1760" s="717"/>
      <c r="DD1760" s="717"/>
      <c r="DE1760" s="717"/>
      <c r="DF1760" s="717"/>
      <c r="DG1760" s="717"/>
      <c r="DH1760" s="717"/>
      <c r="DI1760" s="717"/>
      <c r="DJ1760" s="717"/>
      <c r="DM1760" s="711"/>
      <c r="DN1760" s="711"/>
      <c r="DO1760" s="711"/>
      <c r="DP1760" s="711"/>
      <c r="DQ1760" s="711"/>
    </row>
    <row r="1761" spans="13:121" s="709" customFormat="1" hidden="1">
      <c r="M1761" s="710"/>
      <c r="P1761" s="711"/>
      <c r="Q1761" s="712"/>
      <c r="U1761" s="711"/>
      <c r="V1761" s="711"/>
      <c r="W1761" s="711"/>
      <c r="X1761" s="711"/>
      <c r="Y1761" s="711"/>
      <c r="Z1761" s="711"/>
      <c r="AU1761" s="713"/>
      <c r="AW1761" s="712"/>
      <c r="BY1761" s="714"/>
      <c r="BZ1761" s="715"/>
      <c r="CA1761" s="716"/>
      <c r="CB1761" s="717"/>
      <c r="CC1761" s="717"/>
      <c r="CD1761" s="717"/>
      <c r="CE1761" s="717"/>
      <c r="CF1761" s="717"/>
      <c r="CG1761" s="717"/>
      <c r="CH1761" s="717"/>
      <c r="CI1761" s="717"/>
      <c r="CJ1761" s="717"/>
      <c r="CK1761" s="717"/>
      <c r="CL1761" s="717"/>
      <c r="CM1761" s="717"/>
      <c r="CN1761" s="717"/>
      <c r="CO1761" s="717"/>
      <c r="CP1761" s="717"/>
      <c r="CQ1761" s="717"/>
      <c r="CR1761" s="717"/>
      <c r="CS1761" s="717"/>
      <c r="CT1761" s="717"/>
      <c r="CU1761" s="717"/>
      <c r="CV1761" s="717"/>
      <c r="CW1761" s="717"/>
      <c r="CX1761" s="717"/>
      <c r="CY1761" s="717"/>
      <c r="CZ1761" s="717"/>
      <c r="DA1761" s="717"/>
      <c r="DB1761" s="717"/>
      <c r="DC1761" s="717"/>
      <c r="DD1761" s="717"/>
      <c r="DE1761" s="717"/>
      <c r="DF1761" s="717"/>
      <c r="DG1761" s="717"/>
      <c r="DH1761" s="717"/>
      <c r="DI1761" s="717"/>
      <c r="DJ1761" s="717"/>
      <c r="DM1761" s="711"/>
      <c r="DN1761" s="711"/>
      <c r="DO1761" s="711"/>
      <c r="DP1761" s="711"/>
      <c r="DQ1761" s="711"/>
    </row>
    <row r="1762" spans="13:121" s="709" customFormat="1" hidden="1">
      <c r="M1762" s="710"/>
      <c r="P1762" s="711"/>
      <c r="Q1762" s="712"/>
      <c r="U1762" s="711"/>
      <c r="V1762" s="711"/>
      <c r="W1762" s="711"/>
      <c r="X1762" s="711"/>
      <c r="Y1762" s="711"/>
      <c r="Z1762" s="711"/>
      <c r="AU1762" s="713"/>
      <c r="AW1762" s="712"/>
      <c r="BY1762" s="714"/>
      <c r="BZ1762" s="715"/>
      <c r="CA1762" s="716"/>
      <c r="CB1762" s="717"/>
      <c r="CC1762" s="717"/>
      <c r="CD1762" s="717"/>
      <c r="CE1762" s="717"/>
      <c r="CF1762" s="717"/>
      <c r="CG1762" s="717"/>
      <c r="CH1762" s="717"/>
      <c r="CI1762" s="717"/>
      <c r="CJ1762" s="717"/>
      <c r="CK1762" s="717"/>
      <c r="CL1762" s="717"/>
      <c r="CM1762" s="717"/>
      <c r="CN1762" s="717"/>
      <c r="CO1762" s="717"/>
      <c r="CP1762" s="717"/>
      <c r="CQ1762" s="717"/>
      <c r="CR1762" s="717"/>
      <c r="CS1762" s="717"/>
      <c r="CT1762" s="717"/>
      <c r="CU1762" s="717"/>
      <c r="CV1762" s="717"/>
      <c r="CW1762" s="717"/>
      <c r="CX1762" s="717"/>
      <c r="CY1762" s="717"/>
      <c r="CZ1762" s="717"/>
      <c r="DA1762" s="717"/>
      <c r="DB1762" s="717"/>
      <c r="DC1762" s="717"/>
      <c r="DD1762" s="717"/>
      <c r="DE1762" s="717"/>
      <c r="DF1762" s="717"/>
      <c r="DG1762" s="717"/>
      <c r="DH1762" s="717"/>
      <c r="DI1762" s="717"/>
      <c r="DJ1762" s="717"/>
      <c r="DM1762" s="711"/>
      <c r="DN1762" s="711"/>
      <c r="DO1762" s="711"/>
      <c r="DP1762" s="711"/>
      <c r="DQ1762" s="711"/>
    </row>
    <row r="1763" spans="13:121" s="709" customFormat="1" hidden="1">
      <c r="M1763" s="710"/>
      <c r="P1763" s="711"/>
      <c r="Q1763" s="712"/>
      <c r="U1763" s="711"/>
      <c r="V1763" s="711"/>
      <c r="W1763" s="711"/>
      <c r="X1763" s="711"/>
      <c r="Y1763" s="711"/>
      <c r="Z1763" s="711"/>
      <c r="AU1763" s="713"/>
      <c r="AW1763" s="712"/>
      <c r="BY1763" s="714"/>
      <c r="BZ1763" s="715"/>
      <c r="CA1763" s="716"/>
      <c r="CB1763" s="717"/>
      <c r="CC1763" s="717"/>
      <c r="CD1763" s="717"/>
      <c r="CE1763" s="717"/>
      <c r="CF1763" s="717"/>
      <c r="CG1763" s="717"/>
      <c r="CH1763" s="717"/>
      <c r="CI1763" s="717"/>
      <c r="CJ1763" s="717"/>
      <c r="CK1763" s="717"/>
      <c r="CL1763" s="717"/>
      <c r="CM1763" s="717"/>
      <c r="CN1763" s="717"/>
      <c r="CO1763" s="717"/>
      <c r="CP1763" s="717"/>
      <c r="CQ1763" s="717"/>
      <c r="CR1763" s="717"/>
      <c r="CS1763" s="717"/>
      <c r="CT1763" s="717"/>
      <c r="CU1763" s="717"/>
      <c r="CV1763" s="717"/>
      <c r="CW1763" s="717"/>
      <c r="CX1763" s="717"/>
      <c r="CY1763" s="717"/>
      <c r="CZ1763" s="717"/>
      <c r="DA1763" s="717"/>
      <c r="DB1763" s="717"/>
      <c r="DC1763" s="717"/>
      <c r="DD1763" s="717"/>
      <c r="DE1763" s="717"/>
      <c r="DF1763" s="717"/>
      <c r="DG1763" s="717"/>
      <c r="DH1763" s="717"/>
      <c r="DI1763" s="717"/>
      <c r="DJ1763" s="717"/>
      <c r="DM1763" s="711"/>
      <c r="DN1763" s="711"/>
      <c r="DO1763" s="711"/>
      <c r="DP1763" s="711"/>
      <c r="DQ1763" s="711"/>
    </row>
    <row r="1764" spans="13:121" s="709" customFormat="1" hidden="1">
      <c r="M1764" s="710"/>
      <c r="P1764" s="711"/>
      <c r="Q1764" s="712"/>
      <c r="U1764" s="711"/>
      <c r="V1764" s="711"/>
      <c r="W1764" s="711"/>
      <c r="X1764" s="711"/>
      <c r="Y1764" s="711"/>
      <c r="Z1764" s="711"/>
      <c r="AU1764" s="713"/>
      <c r="AW1764" s="712"/>
      <c r="BY1764" s="714"/>
      <c r="BZ1764" s="715"/>
      <c r="CA1764" s="716"/>
      <c r="CB1764" s="717"/>
      <c r="CC1764" s="717"/>
      <c r="CD1764" s="717"/>
      <c r="CE1764" s="717"/>
      <c r="CF1764" s="717"/>
      <c r="CG1764" s="717"/>
      <c r="CH1764" s="717"/>
      <c r="CI1764" s="717"/>
      <c r="CJ1764" s="717"/>
      <c r="CK1764" s="717"/>
      <c r="CL1764" s="717"/>
      <c r="CM1764" s="717"/>
      <c r="CN1764" s="717"/>
      <c r="CO1764" s="717"/>
      <c r="CP1764" s="717"/>
      <c r="CQ1764" s="717"/>
      <c r="CR1764" s="717"/>
      <c r="CS1764" s="717"/>
      <c r="CT1764" s="717"/>
      <c r="CU1764" s="717"/>
      <c r="CV1764" s="717"/>
      <c r="CW1764" s="717"/>
      <c r="CX1764" s="717"/>
      <c r="CY1764" s="717"/>
      <c r="CZ1764" s="717"/>
      <c r="DA1764" s="717"/>
      <c r="DB1764" s="717"/>
      <c r="DC1764" s="717"/>
      <c r="DD1764" s="717"/>
      <c r="DE1764" s="717"/>
      <c r="DF1764" s="717"/>
      <c r="DG1764" s="717"/>
      <c r="DH1764" s="717"/>
      <c r="DI1764" s="717"/>
      <c r="DJ1764" s="717"/>
      <c r="DM1764" s="711"/>
      <c r="DN1764" s="711"/>
      <c r="DO1764" s="711"/>
      <c r="DP1764" s="711"/>
      <c r="DQ1764" s="711"/>
    </row>
    <row r="1765" spans="13:121" s="709" customFormat="1" hidden="1">
      <c r="M1765" s="710"/>
      <c r="P1765" s="711"/>
      <c r="Q1765" s="712"/>
      <c r="U1765" s="711"/>
      <c r="V1765" s="711"/>
      <c r="W1765" s="711"/>
      <c r="X1765" s="711"/>
      <c r="Y1765" s="711"/>
      <c r="Z1765" s="711"/>
      <c r="AU1765" s="713"/>
      <c r="AW1765" s="712"/>
      <c r="BY1765" s="714"/>
      <c r="BZ1765" s="715"/>
      <c r="CA1765" s="716"/>
      <c r="CB1765" s="717"/>
      <c r="CC1765" s="717"/>
      <c r="CD1765" s="717"/>
      <c r="CE1765" s="717"/>
      <c r="CF1765" s="717"/>
      <c r="CG1765" s="717"/>
      <c r="CH1765" s="717"/>
      <c r="CI1765" s="717"/>
      <c r="CJ1765" s="717"/>
      <c r="CK1765" s="717"/>
      <c r="CL1765" s="717"/>
      <c r="CM1765" s="717"/>
      <c r="CN1765" s="717"/>
      <c r="CO1765" s="717"/>
      <c r="CP1765" s="717"/>
      <c r="CQ1765" s="717"/>
      <c r="CR1765" s="717"/>
      <c r="CS1765" s="717"/>
      <c r="CT1765" s="717"/>
      <c r="CU1765" s="717"/>
      <c r="CV1765" s="717"/>
      <c r="CW1765" s="717"/>
      <c r="CX1765" s="717"/>
      <c r="CY1765" s="717"/>
      <c r="CZ1765" s="717"/>
      <c r="DA1765" s="717"/>
      <c r="DB1765" s="717"/>
      <c r="DC1765" s="717"/>
      <c r="DD1765" s="717"/>
      <c r="DE1765" s="717"/>
      <c r="DF1765" s="717"/>
      <c r="DG1765" s="717"/>
      <c r="DH1765" s="717"/>
      <c r="DI1765" s="717"/>
      <c r="DJ1765" s="717"/>
      <c r="DM1765" s="711"/>
      <c r="DN1765" s="711"/>
      <c r="DO1765" s="711"/>
      <c r="DP1765" s="711"/>
      <c r="DQ1765" s="711"/>
    </row>
    <row r="1766" spans="13:121" s="709" customFormat="1" hidden="1">
      <c r="M1766" s="710"/>
      <c r="P1766" s="711"/>
      <c r="Q1766" s="712"/>
      <c r="U1766" s="711"/>
      <c r="V1766" s="711"/>
      <c r="W1766" s="711"/>
      <c r="X1766" s="711"/>
      <c r="Y1766" s="711"/>
      <c r="Z1766" s="711"/>
      <c r="AU1766" s="713"/>
      <c r="AW1766" s="712"/>
      <c r="BY1766" s="714"/>
      <c r="BZ1766" s="715"/>
      <c r="CA1766" s="716"/>
      <c r="CB1766" s="717"/>
      <c r="CC1766" s="717"/>
      <c r="CD1766" s="717"/>
      <c r="CE1766" s="717"/>
      <c r="CF1766" s="717"/>
      <c r="CG1766" s="717"/>
      <c r="CH1766" s="717"/>
      <c r="CI1766" s="717"/>
      <c r="CJ1766" s="717"/>
      <c r="CK1766" s="717"/>
      <c r="CL1766" s="717"/>
      <c r="CM1766" s="717"/>
      <c r="CN1766" s="717"/>
      <c r="CO1766" s="717"/>
      <c r="CP1766" s="717"/>
      <c r="CQ1766" s="717"/>
      <c r="CR1766" s="717"/>
      <c r="CS1766" s="717"/>
      <c r="CT1766" s="717"/>
      <c r="CU1766" s="717"/>
      <c r="CV1766" s="717"/>
      <c r="CW1766" s="717"/>
      <c r="CX1766" s="717"/>
      <c r="CY1766" s="717"/>
      <c r="CZ1766" s="717"/>
      <c r="DA1766" s="717"/>
      <c r="DB1766" s="717"/>
      <c r="DC1766" s="717"/>
      <c r="DD1766" s="717"/>
      <c r="DE1766" s="717"/>
      <c r="DF1766" s="717"/>
      <c r="DG1766" s="717"/>
      <c r="DH1766" s="717"/>
      <c r="DI1766" s="717"/>
      <c r="DJ1766" s="717"/>
      <c r="DM1766" s="711"/>
      <c r="DN1766" s="711"/>
      <c r="DO1766" s="711"/>
      <c r="DP1766" s="711"/>
      <c r="DQ1766" s="711"/>
    </row>
    <row r="1767" spans="13:121" s="709" customFormat="1" hidden="1">
      <c r="M1767" s="710"/>
      <c r="P1767" s="711"/>
      <c r="Q1767" s="712"/>
      <c r="U1767" s="711"/>
      <c r="V1767" s="711"/>
      <c r="W1767" s="711"/>
      <c r="X1767" s="711"/>
      <c r="Y1767" s="711"/>
      <c r="Z1767" s="711"/>
      <c r="AU1767" s="713"/>
      <c r="AW1767" s="712"/>
      <c r="BY1767" s="714"/>
      <c r="BZ1767" s="715"/>
      <c r="CA1767" s="716"/>
      <c r="CB1767" s="717"/>
      <c r="CC1767" s="717"/>
      <c r="CD1767" s="717"/>
      <c r="CE1767" s="717"/>
      <c r="CF1767" s="717"/>
      <c r="CG1767" s="717"/>
      <c r="CH1767" s="717"/>
      <c r="CI1767" s="717"/>
      <c r="CJ1767" s="717"/>
      <c r="CK1767" s="717"/>
      <c r="CL1767" s="717"/>
      <c r="CM1767" s="717"/>
      <c r="CN1767" s="717"/>
      <c r="CO1767" s="717"/>
      <c r="CP1767" s="717"/>
      <c r="CQ1767" s="717"/>
      <c r="CR1767" s="717"/>
      <c r="CS1767" s="717"/>
      <c r="CT1767" s="717"/>
      <c r="CU1767" s="717"/>
      <c r="CV1767" s="717"/>
      <c r="CW1767" s="717"/>
      <c r="CX1767" s="717"/>
      <c r="CY1767" s="717"/>
      <c r="CZ1767" s="717"/>
      <c r="DA1767" s="717"/>
      <c r="DB1767" s="717"/>
      <c r="DC1767" s="717"/>
      <c r="DD1767" s="717"/>
      <c r="DE1767" s="717"/>
      <c r="DF1767" s="717"/>
      <c r="DG1767" s="717"/>
      <c r="DH1767" s="717"/>
      <c r="DI1767" s="717"/>
      <c r="DJ1767" s="717"/>
      <c r="DM1767" s="711"/>
      <c r="DN1767" s="711"/>
      <c r="DO1767" s="711"/>
      <c r="DP1767" s="711"/>
      <c r="DQ1767" s="711"/>
    </row>
    <row r="1768" spans="13:121" s="709" customFormat="1" hidden="1">
      <c r="M1768" s="710"/>
      <c r="P1768" s="711"/>
      <c r="Q1768" s="712"/>
      <c r="U1768" s="711"/>
      <c r="V1768" s="711"/>
      <c r="W1768" s="711"/>
      <c r="X1768" s="711"/>
      <c r="Y1768" s="711"/>
      <c r="Z1768" s="711"/>
      <c r="AU1768" s="713"/>
      <c r="AW1768" s="712"/>
      <c r="BY1768" s="714"/>
      <c r="BZ1768" s="715"/>
      <c r="CA1768" s="716"/>
      <c r="CB1768" s="717"/>
      <c r="CC1768" s="717"/>
      <c r="CD1768" s="717"/>
      <c r="CE1768" s="717"/>
      <c r="CF1768" s="717"/>
      <c r="CG1768" s="717"/>
      <c r="CH1768" s="717"/>
      <c r="CI1768" s="717"/>
      <c r="CJ1768" s="717"/>
      <c r="CK1768" s="717"/>
      <c r="CL1768" s="717"/>
      <c r="CM1768" s="717"/>
      <c r="CN1768" s="717"/>
      <c r="CO1768" s="717"/>
      <c r="CP1768" s="717"/>
      <c r="CQ1768" s="717"/>
      <c r="CR1768" s="717"/>
      <c r="CS1768" s="717"/>
      <c r="CT1768" s="717"/>
      <c r="CU1768" s="717"/>
      <c r="CV1768" s="717"/>
      <c r="CW1768" s="717"/>
      <c r="CX1768" s="717"/>
      <c r="CY1768" s="717"/>
      <c r="CZ1768" s="717"/>
      <c r="DA1768" s="717"/>
      <c r="DB1768" s="717"/>
      <c r="DC1768" s="717"/>
      <c r="DD1768" s="717"/>
      <c r="DE1768" s="717"/>
      <c r="DF1768" s="717"/>
      <c r="DG1768" s="717"/>
      <c r="DH1768" s="717"/>
      <c r="DI1768" s="717"/>
      <c r="DJ1768" s="717"/>
      <c r="DM1768" s="711"/>
      <c r="DN1768" s="711"/>
      <c r="DO1768" s="711"/>
      <c r="DP1768" s="711"/>
      <c r="DQ1768" s="711"/>
    </row>
    <row r="1769" spans="13:121" s="709" customFormat="1" hidden="1">
      <c r="M1769" s="710"/>
      <c r="P1769" s="711"/>
      <c r="Q1769" s="712"/>
      <c r="U1769" s="711"/>
      <c r="V1769" s="711"/>
      <c r="W1769" s="711"/>
      <c r="X1769" s="711"/>
      <c r="Y1769" s="711"/>
      <c r="Z1769" s="711"/>
      <c r="AU1769" s="713"/>
      <c r="AW1769" s="712"/>
      <c r="BY1769" s="714"/>
      <c r="BZ1769" s="715"/>
      <c r="CA1769" s="716"/>
      <c r="CB1769" s="717"/>
      <c r="CC1769" s="717"/>
      <c r="CD1769" s="717"/>
      <c r="CE1769" s="717"/>
      <c r="CF1769" s="717"/>
      <c r="CG1769" s="717"/>
      <c r="CH1769" s="717"/>
      <c r="CI1769" s="717"/>
      <c r="CJ1769" s="717"/>
      <c r="CK1769" s="717"/>
      <c r="CL1769" s="717"/>
      <c r="CM1769" s="717"/>
      <c r="CN1769" s="717"/>
      <c r="CO1769" s="717"/>
      <c r="CP1769" s="717"/>
      <c r="CQ1769" s="717"/>
      <c r="CR1769" s="717"/>
      <c r="CS1769" s="717"/>
      <c r="CT1769" s="717"/>
      <c r="CU1769" s="717"/>
      <c r="CV1769" s="717"/>
      <c r="CW1769" s="717"/>
      <c r="CX1769" s="717"/>
      <c r="CY1769" s="717"/>
      <c r="CZ1769" s="717"/>
      <c r="DA1769" s="717"/>
      <c r="DB1769" s="717"/>
      <c r="DC1769" s="717"/>
      <c r="DD1769" s="717"/>
      <c r="DE1769" s="717"/>
      <c r="DF1769" s="717"/>
      <c r="DG1769" s="717"/>
      <c r="DH1769" s="717"/>
      <c r="DI1769" s="717"/>
      <c r="DJ1769" s="717"/>
      <c r="DM1769" s="711"/>
      <c r="DN1769" s="711"/>
      <c r="DO1769" s="711"/>
      <c r="DP1769" s="711"/>
      <c r="DQ1769" s="711"/>
    </row>
    <row r="1770" spans="13:121" s="709" customFormat="1" hidden="1">
      <c r="M1770" s="710"/>
      <c r="P1770" s="711"/>
      <c r="Q1770" s="712"/>
      <c r="U1770" s="711"/>
      <c r="V1770" s="711"/>
      <c r="W1770" s="711"/>
      <c r="X1770" s="711"/>
      <c r="Y1770" s="711"/>
      <c r="Z1770" s="711"/>
      <c r="AU1770" s="713"/>
      <c r="AW1770" s="712"/>
      <c r="BY1770" s="714"/>
      <c r="BZ1770" s="715"/>
      <c r="CA1770" s="716"/>
      <c r="CB1770" s="717"/>
      <c r="CC1770" s="717"/>
      <c r="CD1770" s="717"/>
      <c r="CE1770" s="717"/>
      <c r="CF1770" s="717"/>
      <c r="CG1770" s="717"/>
      <c r="CH1770" s="717"/>
      <c r="CI1770" s="717"/>
      <c r="CJ1770" s="717"/>
      <c r="CK1770" s="717"/>
      <c r="CL1770" s="717"/>
      <c r="CM1770" s="717"/>
      <c r="CN1770" s="717"/>
      <c r="CO1770" s="717"/>
      <c r="CP1770" s="717"/>
      <c r="CQ1770" s="717"/>
      <c r="CR1770" s="717"/>
      <c r="CS1770" s="717"/>
      <c r="CT1770" s="717"/>
      <c r="CU1770" s="717"/>
      <c r="CV1770" s="717"/>
      <c r="CW1770" s="717"/>
      <c r="CX1770" s="717"/>
      <c r="CY1770" s="717"/>
      <c r="CZ1770" s="717"/>
      <c r="DA1770" s="717"/>
      <c r="DB1770" s="717"/>
      <c r="DC1770" s="717"/>
      <c r="DD1770" s="717"/>
      <c r="DE1770" s="717"/>
      <c r="DF1770" s="717"/>
      <c r="DG1770" s="717"/>
      <c r="DH1770" s="717"/>
      <c r="DI1770" s="717"/>
      <c r="DJ1770" s="717"/>
      <c r="DM1770" s="711"/>
      <c r="DN1770" s="711"/>
      <c r="DO1770" s="711"/>
      <c r="DP1770" s="711"/>
      <c r="DQ1770" s="711"/>
    </row>
    <row r="1771" spans="13:121" s="709" customFormat="1" hidden="1">
      <c r="M1771" s="710"/>
      <c r="P1771" s="711"/>
      <c r="Q1771" s="712"/>
      <c r="U1771" s="711"/>
      <c r="V1771" s="711"/>
      <c r="W1771" s="711"/>
      <c r="X1771" s="711"/>
      <c r="Y1771" s="711"/>
      <c r="Z1771" s="711"/>
      <c r="AU1771" s="713"/>
      <c r="AW1771" s="712"/>
      <c r="BY1771" s="714"/>
      <c r="BZ1771" s="715"/>
      <c r="CA1771" s="716"/>
      <c r="CB1771" s="717"/>
      <c r="CC1771" s="717"/>
      <c r="CD1771" s="717"/>
      <c r="CE1771" s="717"/>
      <c r="CF1771" s="717"/>
      <c r="CG1771" s="717"/>
      <c r="CH1771" s="717"/>
      <c r="CI1771" s="717"/>
      <c r="CJ1771" s="717"/>
      <c r="CK1771" s="717"/>
      <c r="CL1771" s="717"/>
      <c r="CM1771" s="717"/>
      <c r="CN1771" s="717"/>
      <c r="CO1771" s="717"/>
      <c r="CP1771" s="717"/>
      <c r="CQ1771" s="717"/>
      <c r="CR1771" s="717"/>
      <c r="CS1771" s="717"/>
      <c r="CT1771" s="717"/>
      <c r="CU1771" s="717"/>
      <c r="CV1771" s="717"/>
      <c r="CW1771" s="717"/>
      <c r="CX1771" s="717"/>
      <c r="CY1771" s="717"/>
      <c r="CZ1771" s="717"/>
      <c r="DA1771" s="717"/>
      <c r="DB1771" s="717"/>
      <c r="DC1771" s="717"/>
      <c r="DD1771" s="717"/>
      <c r="DE1771" s="717"/>
      <c r="DF1771" s="717"/>
      <c r="DG1771" s="717"/>
      <c r="DH1771" s="717"/>
      <c r="DI1771" s="717"/>
      <c r="DJ1771" s="717"/>
      <c r="DM1771" s="711"/>
      <c r="DN1771" s="711"/>
      <c r="DO1771" s="711"/>
      <c r="DP1771" s="711"/>
      <c r="DQ1771" s="711"/>
    </row>
    <row r="1772" spans="13:121" s="709" customFormat="1" hidden="1">
      <c r="M1772" s="710"/>
      <c r="P1772" s="711"/>
      <c r="Q1772" s="712"/>
      <c r="U1772" s="711"/>
      <c r="V1772" s="711"/>
      <c r="W1772" s="711"/>
      <c r="X1772" s="711"/>
      <c r="Y1772" s="711"/>
      <c r="Z1772" s="711"/>
      <c r="AU1772" s="713"/>
      <c r="AW1772" s="712"/>
      <c r="BY1772" s="714"/>
      <c r="BZ1772" s="715"/>
      <c r="CA1772" s="716"/>
      <c r="CB1772" s="717"/>
      <c r="CC1772" s="717"/>
      <c r="CD1772" s="717"/>
      <c r="CE1772" s="717"/>
      <c r="CF1772" s="717"/>
      <c r="CG1772" s="717"/>
      <c r="CH1772" s="717"/>
      <c r="CI1772" s="717"/>
      <c r="CJ1772" s="717"/>
      <c r="CK1772" s="717"/>
      <c r="CL1772" s="717"/>
      <c r="CM1772" s="717"/>
      <c r="CN1772" s="717"/>
      <c r="CO1772" s="717"/>
      <c r="CP1772" s="717"/>
      <c r="CQ1772" s="717"/>
      <c r="CR1772" s="717"/>
      <c r="CS1772" s="717"/>
      <c r="CT1772" s="717"/>
      <c r="CU1772" s="717"/>
      <c r="CV1772" s="717"/>
      <c r="CW1772" s="717"/>
      <c r="CX1772" s="717"/>
      <c r="CY1772" s="717"/>
      <c r="CZ1772" s="717"/>
      <c r="DA1772" s="717"/>
      <c r="DB1772" s="717"/>
      <c r="DC1772" s="717"/>
      <c r="DD1772" s="717"/>
      <c r="DE1772" s="717"/>
      <c r="DF1772" s="717"/>
      <c r="DG1772" s="717"/>
      <c r="DH1772" s="717"/>
      <c r="DI1772" s="717"/>
      <c r="DJ1772" s="717"/>
      <c r="DM1772" s="711"/>
      <c r="DN1772" s="711"/>
      <c r="DO1772" s="711"/>
      <c r="DP1772" s="711"/>
      <c r="DQ1772" s="711"/>
    </row>
    <row r="1773" spans="13:121" s="709" customFormat="1" hidden="1">
      <c r="M1773" s="710"/>
      <c r="P1773" s="711"/>
      <c r="Q1773" s="712"/>
      <c r="U1773" s="711"/>
      <c r="V1773" s="711"/>
      <c r="W1773" s="711"/>
      <c r="X1773" s="711"/>
      <c r="Y1773" s="711"/>
      <c r="Z1773" s="711"/>
      <c r="AU1773" s="713"/>
      <c r="AW1773" s="712"/>
      <c r="BY1773" s="714"/>
      <c r="BZ1773" s="715"/>
      <c r="CA1773" s="716"/>
      <c r="CB1773" s="717"/>
      <c r="CC1773" s="717"/>
      <c r="CD1773" s="717"/>
      <c r="CE1773" s="717"/>
      <c r="CF1773" s="717"/>
      <c r="CG1773" s="717"/>
      <c r="CH1773" s="717"/>
      <c r="CI1773" s="717"/>
      <c r="CJ1773" s="717"/>
      <c r="CK1773" s="717"/>
      <c r="CL1773" s="717"/>
      <c r="CM1773" s="717"/>
      <c r="CN1773" s="717"/>
      <c r="CO1773" s="717"/>
      <c r="CP1773" s="717"/>
      <c r="CQ1773" s="717"/>
      <c r="CR1773" s="717"/>
      <c r="CS1773" s="717"/>
      <c r="CT1773" s="717"/>
      <c r="CU1773" s="717"/>
      <c r="CV1773" s="717"/>
      <c r="CW1773" s="717"/>
      <c r="CX1773" s="717"/>
      <c r="CY1773" s="717"/>
      <c r="CZ1773" s="717"/>
      <c r="DA1773" s="717"/>
      <c r="DB1773" s="717"/>
      <c r="DC1773" s="717"/>
      <c r="DD1773" s="717"/>
      <c r="DE1773" s="717"/>
      <c r="DF1773" s="717"/>
      <c r="DG1773" s="717"/>
      <c r="DH1773" s="717"/>
      <c r="DI1773" s="717"/>
      <c r="DJ1773" s="717"/>
      <c r="DM1773" s="711"/>
      <c r="DN1773" s="711"/>
      <c r="DO1773" s="711"/>
      <c r="DP1773" s="711"/>
      <c r="DQ1773" s="711"/>
    </row>
    <row r="1774" spans="13:121" s="709" customFormat="1" hidden="1">
      <c r="M1774" s="710"/>
      <c r="P1774" s="711"/>
      <c r="Q1774" s="712"/>
      <c r="U1774" s="711"/>
      <c r="V1774" s="711"/>
      <c r="W1774" s="711"/>
      <c r="X1774" s="711"/>
      <c r="Y1774" s="711"/>
      <c r="Z1774" s="711"/>
      <c r="AU1774" s="713"/>
      <c r="AW1774" s="712"/>
      <c r="BY1774" s="714"/>
      <c r="BZ1774" s="715"/>
      <c r="CA1774" s="716"/>
      <c r="CB1774" s="717"/>
      <c r="CC1774" s="717"/>
      <c r="CD1774" s="717"/>
      <c r="CE1774" s="717"/>
      <c r="CF1774" s="717"/>
      <c r="CG1774" s="717"/>
      <c r="CH1774" s="717"/>
      <c r="CI1774" s="717"/>
      <c r="CJ1774" s="717"/>
      <c r="CK1774" s="717"/>
      <c r="CL1774" s="717"/>
      <c r="CM1774" s="717"/>
      <c r="CN1774" s="717"/>
      <c r="CO1774" s="717"/>
      <c r="CP1774" s="717"/>
      <c r="CQ1774" s="717"/>
      <c r="CR1774" s="717"/>
      <c r="CS1774" s="717"/>
      <c r="CT1774" s="717"/>
      <c r="CU1774" s="717"/>
      <c r="CV1774" s="717"/>
      <c r="CW1774" s="717"/>
      <c r="CX1774" s="717"/>
      <c r="CY1774" s="717"/>
      <c r="CZ1774" s="717"/>
      <c r="DA1774" s="717"/>
      <c r="DB1774" s="717"/>
      <c r="DC1774" s="717"/>
      <c r="DD1774" s="717"/>
      <c r="DE1774" s="717"/>
      <c r="DF1774" s="717"/>
      <c r="DG1774" s="717"/>
      <c r="DH1774" s="717"/>
      <c r="DI1774" s="717"/>
      <c r="DJ1774" s="717"/>
      <c r="DM1774" s="711"/>
      <c r="DN1774" s="711"/>
      <c r="DO1774" s="711"/>
      <c r="DP1774" s="711"/>
      <c r="DQ1774" s="711"/>
    </row>
    <row r="1775" spans="13:121" s="709" customFormat="1" hidden="1">
      <c r="M1775" s="710"/>
      <c r="P1775" s="711"/>
      <c r="Q1775" s="712"/>
      <c r="U1775" s="711"/>
      <c r="V1775" s="711"/>
      <c r="W1775" s="711"/>
      <c r="X1775" s="711"/>
      <c r="Y1775" s="711"/>
      <c r="Z1775" s="711"/>
      <c r="AU1775" s="713"/>
      <c r="AW1775" s="712"/>
      <c r="BY1775" s="714"/>
      <c r="BZ1775" s="715"/>
      <c r="CA1775" s="716"/>
      <c r="CB1775" s="717"/>
      <c r="CC1775" s="717"/>
      <c r="CD1775" s="717"/>
      <c r="CE1775" s="717"/>
      <c r="CF1775" s="717"/>
      <c r="CG1775" s="717"/>
      <c r="CH1775" s="717"/>
      <c r="CI1775" s="717"/>
      <c r="CJ1775" s="717"/>
      <c r="CK1775" s="717"/>
      <c r="CL1775" s="717"/>
      <c r="CM1775" s="717"/>
      <c r="CN1775" s="717"/>
      <c r="CO1775" s="717"/>
      <c r="CP1775" s="717"/>
      <c r="CQ1775" s="717"/>
      <c r="CR1775" s="717"/>
      <c r="CS1775" s="717"/>
      <c r="CT1775" s="717"/>
      <c r="CU1775" s="717"/>
      <c r="CV1775" s="717"/>
      <c r="CW1775" s="717"/>
      <c r="CX1775" s="717"/>
      <c r="CY1775" s="717"/>
      <c r="CZ1775" s="717"/>
      <c r="DA1775" s="717"/>
      <c r="DB1775" s="717"/>
      <c r="DC1775" s="717"/>
      <c r="DD1775" s="717"/>
      <c r="DE1775" s="717"/>
      <c r="DF1775" s="717"/>
      <c r="DG1775" s="717"/>
      <c r="DH1775" s="717"/>
      <c r="DI1775" s="717"/>
      <c r="DJ1775" s="717"/>
      <c r="DM1775" s="711"/>
      <c r="DN1775" s="711"/>
      <c r="DO1775" s="711"/>
      <c r="DP1775" s="711"/>
      <c r="DQ1775" s="711"/>
    </row>
    <row r="1776" spans="13:121" s="709" customFormat="1" hidden="1">
      <c r="M1776" s="710"/>
      <c r="P1776" s="711"/>
      <c r="Q1776" s="712"/>
      <c r="U1776" s="711"/>
      <c r="V1776" s="711"/>
      <c r="W1776" s="711"/>
      <c r="X1776" s="711"/>
      <c r="Y1776" s="711"/>
      <c r="Z1776" s="711"/>
      <c r="AU1776" s="713"/>
      <c r="AW1776" s="712"/>
      <c r="BY1776" s="714"/>
      <c r="BZ1776" s="715"/>
      <c r="CA1776" s="716"/>
      <c r="CB1776" s="717"/>
      <c r="CC1776" s="717"/>
      <c r="CD1776" s="717"/>
      <c r="CE1776" s="717"/>
      <c r="CF1776" s="717"/>
      <c r="CG1776" s="717"/>
      <c r="CH1776" s="717"/>
      <c r="CI1776" s="717"/>
      <c r="CJ1776" s="717"/>
      <c r="CK1776" s="717"/>
      <c r="CL1776" s="717"/>
      <c r="CM1776" s="717"/>
      <c r="CN1776" s="717"/>
      <c r="CO1776" s="717"/>
      <c r="CP1776" s="717"/>
      <c r="CQ1776" s="717"/>
      <c r="CR1776" s="717"/>
      <c r="CS1776" s="717"/>
      <c r="CT1776" s="717"/>
      <c r="CU1776" s="717"/>
      <c r="CV1776" s="717"/>
      <c r="CW1776" s="717"/>
      <c r="CX1776" s="717"/>
      <c r="CY1776" s="717"/>
      <c r="CZ1776" s="717"/>
      <c r="DA1776" s="717"/>
      <c r="DB1776" s="717"/>
      <c r="DC1776" s="717"/>
      <c r="DD1776" s="717"/>
      <c r="DE1776" s="717"/>
      <c r="DF1776" s="717"/>
      <c r="DG1776" s="717"/>
      <c r="DH1776" s="717"/>
      <c r="DI1776" s="717"/>
      <c r="DJ1776" s="717"/>
      <c r="DM1776" s="711"/>
      <c r="DN1776" s="711"/>
      <c r="DO1776" s="711"/>
      <c r="DP1776" s="711"/>
      <c r="DQ1776" s="711"/>
    </row>
    <row r="1777" spans="13:121" s="709" customFormat="1" hidden="1">
      <c r="M1777" s="710"/>
      <c r="P1777" s="711"/>
      <c r="Q1777" s="712"/>
      <c r="U1777" s="711"/>
      <c r="V1777" s="711"/>
      <c r="W1777" s="711"/>
      <c r="X1777" s="711"/>
      <c r="Y1777" s="711"/>
      <c r="Z1777" s="711"/>
      <c r="AU1777" s="713"/>
      <c r="AW1777" s="712"/>
      <c r="BY1777" s="714"/>
      <c r="BZ1777" s="715"/>
      <c r="CA1777" s="716"/>
      <c r="CB1777" s="717"/>
      <c r="CC1777" s="717"/>
      <c r="CD1777" s="717"/>
      <c r="CE1777" s="717"/>
      <c r="CF1777" s="717"/>
      <c r="CG1777" s="717"/>
      <c r="CH1777" s="717"/>
      <c r="CI1777" s="717"/>
      <c r="CJ1777" s="717"/>
      <c r="CK1777" s="717"/>
      <c r="CL1777" s="717"/>
      <c r="CM1777" s="717"/>
      <c r="CN1777" s="717"/>
      <c r="CO1777" s="717"/>
      <c r="CP1777" s="717"/>
      <c r="CQ1777" s="717"/>
      <c r="CR1777" s="717"/>
      <c r="CS1777" s="717"/>
      <c r="CT1777" s="717"/>
      <c r="CU1777" s="717"/>
      <c r="CV1777" s="717"/>
      <c r="CW1777" s="717"/>
      <c r="CX1777" s="717"/>
      <c r="CY1777" s="717"/>
      <c r="CZ1777" s="717"/>
      <c r="DA1777" s="717"/>
      <c r="DB1777" s="717"/>
      <c r="DC1777" s="717"/>
      <c r="DD1777" s="717"/>
      <c r="DE1777" s="717"/>
      <c r="DF1777" s="717"/>
      <c r="DG1777" s="717"/>
      <c r="DH1777" s="717"/>
      <c r="DI1777" s="717"/>
      <c r="DJ1777" s="717"/>
      <c r="DM1777" s="711"/>
      <c r="DN1777" s="711"/>
      <c r="DO1777" s="711"/>
      <c r="DP1777" s="711"/>
      <c r="DQ1777" s="711"/>
    </row>
    <row r="1778" spans="13:121" s="709" customFormat="1" hidden="1">
      <c r="M1778" s="710"/>
      <c r="P1778" s="711"/>
      <c r="Q1778" s="712"/>
      <c r="U1778" s="711"/>
      <c r="V1778" s="711"/>
      <c r="W1778" s="711"/>
      <c r="X1778" s="711"/>
      <c r="Y1778" s="711"/>
      <c r="Z1778" s="711"/>
      <c r="AU1778" s="713"/>
      <c r="AW1778" s="712"/>
      <c r="BY1778" s="714"/>
      <c r="BZ1778" s="715"/>
      <c r="CA1778" s="716"/>
      <c r="CB1778" s="717"/>
      <c r="CC1778" s="717"/>
      <c r="CD1778" s="717"/>
      <c r="CE1778" s="717"/>
      <c r="CF1778" s="717"/>
      <c r="CG1778" s="717"/>
      <c r="CH1778" s="717"/>
      <c r="CI1778" s="717"/>
      <c r="CJ1778" s="717"/>
      <c r="CK1778" s="717"/>
      <c r="CL1778" s="717"/>
      <c r="CM1778" s="717"/>
      <c r="CN1778" s="717"/>
      <c r="CO1778" s="717"/>
      <c r="CP1778" s="717"/>
      <c r="CQ1778" s="717"/>
      <c r="CR1778" s="717"/>
      <c r="CS1778" s="717"/>
      <c r="CT1778" s="717"/>
      <c r="CU1778" s="717"/>
      <c r="CV1778" s="717"/>
      <c r="CW1778" s="717"/>
      <c r="CX1778" s="717"/>
      <c r="CY1778" s="717"/>
      <c r="CZ1778" s="717"/>
      <c r="DA1778" s="717"/>
      <c r="DB1778" s="717"/>
      <c r="DC1778" s="717"/>
      <c r="DD1778" s="717"/>
      <c r="DE1778" s="717"/>
      <c r="DF1778" s="717"/>
      <c r="DG1778" s="717"/>
      <c r="DH1778" s="717"/>
      <c r="DI1778" s="717"/>
      <c r="DJ1778" s="717"/>
      <c r="DM1778" s="711"/>
      <c r="DN1778" s="711"/>
      <c r="DO1778" s="711"/>
      <c r="DP1778" s="711"/>
      <c r="DQ1778" s="711"/>
    </row>
    <row r="1779" spans="13:121" s="709" customFormat="1" hidden="1">
      <c r="M1779" s="710"/>
      <c r="P1779" s="711"/>
      <c r="Q1779" s="712"/>
      <c r="U1779" s="711"/>
      <c r="V1779" s="711"/>
      <c r="W1779" s="711"/>
      <c r="X1779" s="711"/>
      <c r="Y1779" s="711"/>
      <c r="Z1779" s="711"/>
      <c r="AU1779" s="713"/>
      <c r="AW1779" s="712"/>
      <c r="BY1779" s="714"/>
      <c r="BZ1779" s="715"/>
      <c r="CA1779" s="716"/>
      <c r="CB1779" s="717"/>
      <c r="CC1779" s="717"/>
      <c r="CD1779" s="717"/>
      <c r="CE1779" s="717"/>
      <c r="CF1779" s="717"/>
      <c r="CG1779" s="717"/>
      <c r="CH1779" s="717"/>
      <c r="CI1779" s="717"/>
      <c r="CJ1779" s="717"/>
      <c r="CK1779" s="717"/>
      <c r="CL1779" s="717"/>
      <c r="CM1779" s="717"/>
      <c r="CN1779" s="717"/>
      <c r="CO1779" s="717"/>
      <c r="CP1779" s="717"/>
      <c r="CQ1779" s="717"/>
      <c r="CR1779" s="717"/>
      <c r="CS1779" s="717"/>
      <c r="CT1779" s="717"/>
      <c r="CU1779" s="717"/>
      <c r="CV1779" s="717"/>
      <c r="CW1779" s="717"/>
      <c r="CX1779" s="717"/>
      <c r="CY1779" s="717"/>
      <c r="CZ1779" s="717"/>
      <c r="DA1779" s="717"/>
      <c r="DB1779" s="717"/>
      <c r="DC1779" s="717"/>
      <c r="DD1779" s="717"/>
      <c r="DE1779" s="717"/>
      <c r="DF1779" s="717"/>
      <c r="DG1779" s="717"/>
      <c r="DH1779" s="717"/>
      <c r="DI1779" s="717"/>
      <c r="DJ1779" s="717"/>
      <c r="DM1779" s="711"/>
      <c r="DN1779" s="711"/>
      <c r="DO1779" s="711"/>
      <c r="DP1779" s="711"/>
      <c r="DQ1779" s="711"/>
    </row>
    <row r="1780" spans="13:121" s="709" customFormat="1" hidden="1">
      <c r="M1780" s="710"/>
      <c r="P1780" s="711"/>
      <c r="Q1780" s="712"/>
      <c r="U1780" s="711"/>
      <c r="V1780" s="711"/>
      <c r="W1780" s="711"/>
      <c r="X1780" s="711"/>
      <c r="Y1780" s="711"/>
      <c r="Z1780" s="711"/>
      <c r="AU1780" s="713"/>
      <c r="AW1780" s="712"/>
      <c r="BY1780" s="714"/>
      <c r="BZ1780" s="715"/>
      <c r="CA1780" s="716"/>
      <c r="CB1780" s="717"/>
      <c r="CC1780" s="717"/>
      <c r="CD1780" s="717"/>
      <c r="CE1780" s="717"/>
      <c r="CF1780" s="717"/>
      <c r="CG1780" s="717"/>
      <c r="CH1780" s="717"/>
      <c r="CI1780" s="717"/>
      <c r="CJ1780" s="717"/>
      <c r="CK1780" s="717"/>
      <c r="CL1780" s="717"/>
      <c r="CM1780" s="717"/>
      <c r="CN1780" s="717"/>
      <c r="CO1780" s="717"/>
      <c r="CP1780" s="717"/>
      <c r="CQ1780" s="717"/>
      <c r="CR1780" s="717"/>
      <c r="CS1780" s="717"/>
      <c r="CT1780" s="717"/>
      <c r="CU1780" s="717"/>
      <c r="CV1780" s="717"/>
      <c r="CW1780" s="717"/>
      <c r="CX1780" s="717"/>
      <c r="CY1780" s="717"/>
      <c r="CZ1780" s="717"/>
      <c r="DA1780" s="717"/>
      <c r="DB1780" s="717"/>
      <c r="DC1780" s="717"/>
      <c r="DD1780" s="717"/>
      <c r="DE1780" s="717"/>
      <c r="DF1780" s="717"/>
      <c r="DG1780" s="717"/>
      <c r="DH1780" s="717"/>
      <c r="DI1780" s="717"/>
      <c r="DJ1780" s="717"/>
      <c r="DM1780" s="711"/>
      <c r="DN1780" s="711"/>
      <c r="DO1780" s="711"/>
      <c r="DP1780" s="711"/>
      <c r="DQ1780" s="711"/>
    </row>
    <row r="1781" spans="13:121" s="709" customFormat="1" hidden="1">
      <c r="M1781" s="710"/>
      <c r="P1781" s="711"/>
      <c r="Q1781" s="712"/>
      <c r="U1781" s="711"/>
      <c r="V1781" s="711"/>
      <c r="W1781" s="711"/>
      <c r="X1781" s="711"/>
      <c r="Y1781" s="711"/>
      <c r="Z1781" s="711"/>
      <c r="AU1781" s="713"/>
      <c r="AW1781" s="712"/>
      <c r="BY1781" s="714"/>
      <c r="BZ1781" s="715"/>
      <c r="CA1781" s="716"/>
      <c r="CB1781" s="717"/>
      <c r="CC1781" s="717"/>
      <c r="CD1781" s="717"/>
      <c r="CE1781" s="717"/>
      <c r="CF1781" s="717"/>
      <c r="CG1781" s="717"/>
      <c r="CH1781" s="717"/>
      <c r="CI1781" s="717"/>
      <c r="CJ1781" s="717"/>
      <c r="CK1781" s="717"/>
      <c r="CL1781" s="717"/>
      <c r="CM1781" s="717"/>
      <c r="CN1781" s="717"/>
      <c r="CO1781" s="717"/>
      <c r="CP1781" s="717"/>
      <c r="CQ1781" s="717"/>
      <c r="CR1781" s="717"/>
      <c r="CS1781" s="717"/>
      <c r="CT1781" s="717"/>
      <c r="CU1781" s="717"/>
      <c r="CV1781" s="717"/>
      <c r="CW1781" s="717"/>
      <c r="CX1781" s="717"/>
      <c r="CY1781" s="717"/>
      <c r="CZ1781" s="717"/>
      <c r="DA1781" s="717"/>
      <c r="DB1781" s="717"/>
      <c r="DC1781" s="717"/>
      <c r="DD1781" s="717"/>
      <c r="DE1781" s="717"/>
      <c r="DF1781" s="717"/>
      <c r="DG1781" s="717"/>
      <c r="DH1781" s="717"/>
      <c r="DI1781" s="717"/>
      <c r="DJ1781" s="717"/>
      <c r="DM1781" s="711"/>
      <c r="DN1781" s="711"/>
      <c r="DO1781" s="711"/>
      <c r="DP1781" s="711"/>
      <c r="DQ1781" s="711"/>
    </row>
    <row r="1782" spans="13:121" s="709" customFormat="1" hidden="1">
      <c r="M1782" s="710"/>
      <c r="P1782" s="711"/>
      <c r="Q1782" s="712"/>
      <c r="U1782" s="711"/>
      <c r="V1782" s="711"/>
      <c r="W1782" s="711"/>
      <c r="X1782" s="711"/>
      <c r="Y1782" s="711"/>
      <c r="Z1782" s="711"/>
      <c r="AU1782" s="713"/>
      <c r="AW1782" s="712"/>
      <c r="BY1782" s="714"/>
      <c r="BZ1782" s="715"/>
      <c r="CA1782" s="716"/>
      <c r="CB1782" s="717"/>
      <c r="CC1782" s="717"/>
      <c r="CD1782" s="717"/>
      <c r="CE1782" s="717"/>
      <c r="CF1782" s="717"/>
      <c r="CG1782" s="717"/>
      <c r="CH1782" s="717"/>
      <c r="CI1782" s="717"/>
      <c r="CJ1782" s="717"/>
      <c r="CK1782" s="717"/>
      <c r="CL1782" s="717"/>
      <c r="CM1782" s="717"/>
      <c r="CN1782" s="717"/>
      <c r="CO1782" s="717"/>
      <c r="CP1782" s="717"/>
      <c r="CQ1782" s="717"/>
      <c r="CR1782" s="717"/>
      <c r="CS1782" s="717"/>
      <c r="CT1782" s="717"/>
      <c r="CU1782" s="717"/>
      <c r="CV1782" s="717"/>
      <c r="CW1782" s="717"/>
      <c r="CX1782" s="717"/>
      <c r="CY1782" s="717"/>
      <c r="CZ1782" s="717"/>
      <c r="DA1782" s="717"/>
      <c r="DB1782" s="717"/>
      <c r="DC1782" s="717"/>
      <c r="DD1782" s="717"/>
      <c r="DE1782" s="717"/>
      <c r="DF1782" s="717"/>
      <c r="DG1782" s="717"/>
      <c r="DH1782" s="717"/>
      <c r="DI1782" s="717"/>
      <c r="DJ1782" s="717"/>
      <c r="DM1782" s="711"/>
      <c r="DN1782" s="711"/>
      <c r="DO1782" s="711"/>
      <c r="DP1782" s="711"/>
      <c r="DQ1782" s="711"/>
    </row>
    <row r="1783" spans="13:121" s="709" customFormat="1" hidden="1">
      <c r="M1783" s="710"/>
      <c r="P1783" s="711"/>
      <c r="Q1783" s="712"/>
      <c r="U1783" s="711"/>
      <c r="V1783" s="711"/>
      <c r="W1783" s="711"/>
      <c r="X1783" s="711"/>
      <c r="Y1783" s="711"/>
      <c r="Z1783" s="711"/>
      <c r="AU1783" s="713"/>
      <c r="AW1783" s="712"/>
      <c r="BY1783" s="714"/>
      <c r="BZ1783" s="715"/>
      <c r="CA1783" s="716"/>
      <c r="CB1783" s="717"/>
      <c r="CC1783" s="717"/>
      <c r="CD1783" s="717"/>
      <c r="CE1783" s="717"/>
      <c r="CF1783" s="717"/>
      <c r="CG1783" s="717"/>
      <c r="CH1783" s="717"/>
      <c r="CI1783" s="717"/>
      <c r="CJ1783" s="717"/>
      <c r="CK1783" s="717"/>
      <c r="CL1783" s="717"/>
      <c r="CM1783" s="717"/>
      <c r="CN1783" s="717"/>
      <c r="CO1783" s="717"/>
      <c r="CP1783" s="717"/>
      <c r="CQ1783" s="717"/>
      <c r="CR1783" s="717"/>
      <c r="CS1783" s="717"/>
      <c r="CT1783" s="717"/>
      <c r="CU1783" s="717"/>
      <c r="CV1783" s="717"/>
      <c r="CW1783" s="717"/>
      <c r="CX1783" s="717"/>
      <c r="CY1783" s="717"/>
      <c r="CZ1783" s="717"/>
      <c r="DA1783" s="717"/>
      <c r="DB1783" s="717"/>
      <c r="DC1783" s="717"/>
      <c r="DD1783" s="717"/>
      <c r="DE1783" s="717"/>
      <c r="DF1783" s="717"/>
      <c r="DG1783" s="717"/>
      <c r="DH1783" s="717"/>
      <c r="DI1783" s="717"/>
      <c r="DJ1783" s="717"/>
      <c r="DM1783" s="711"/>
      <c r="DN1783" s="711"/>
      <c r="DO1783" s="711"/>
      <c r="DP1783" s="711"/>
      <c r="DQ1783" s="711"/>
    </row>
    <row r="1784" spans="13:121" s="709" customFormat="1" hidden="1">
      <c r="M1784" s="710"/>
      <c r="P1784" s="711"/>
      <c r="Q1784" s="712"/>
      <c r="U1784" s="711"/>
      <c r="V1784" s="711"/>
      <c r="W1784" s="711"/>
      <c r="X1784" s="711"/>
      <c r="Y1784" s="711"/>
      <c r="Z1784" s="711"/>
      <c r="AU1784" s="713"/>
      <c r="AW1784" s="712"/>
      <c r="BY1784" s="714"/>
      <c r="BZ1784" s="715"/>
      <c r="CA1784" s="716"/>
      <c r="CB1784" s="717"/>
      <c r="CC1784" s="717"/>
      <c r="CD1784" s="717"/>
      <c r="CE1784" s="717"/>
      <c r="CF1784" s="717"/>
      <c r="CG1784" s="717"/>
      <c r="CH1784" s="717"/>
      <c r="CI1784" s="717"/>
      <c r="CJ1784" s="717"/>
      <c r="CK1784" s="717"/>
      <c r="CL1784" s="717"/>
      <c r="CM1784" s="717"/>
      <c r="CN1784" s="717"/>
      <c r="CO1784" s="717"/>
      <c r="CP1784" s="717"/>
      <c r="CQ1784" s="717"/>
      <c r="CR1784" s="717"/>
      <c r="CS1784" s="717"/>
      <c r="CT1784" s="717"/>
      <c r="CU1784" s="717"/>
      <c r="CV1784" s="717"/>
      <c r="CW1784" s="717"/>
      <c r="CX1784" s="717"/>
      <c r="CY1784" s="717"/>
      <c r="CZ1784" s="717"/>
      <c r="DA1784" s="717"/>
      <c r="DB1784" s="717"/>
      <c r="DC1784" s="717"/>
      <c r="DD1784" s="717"/>
      <c r="DE1784" s="717"/>
      <c r="DF1784" s="717"/>
      <c r="DG1784" s="717"/>
      <c r="DH1784" s="717"/>
      <c r="DI1784" s="717"/>
      <c r="DJ1784" s="717"/>
      <c r="DM1784" s="711"/>
      <c r="DN1784" s="711"/>
      <c r="DO1784" s="711"/>
      <c r="DP1784" s="711"/>
      <c r="DQ1784" s="711"/>
    </row>
    <row r="1785" spans="13:121" s="709" customFormat="1" hidden="1">
      <c r="M1785" s="710"/>
      <c r="P1785" s="711"/>
      <c r="Q1785" s="712"/>
      <c r="U1785" s="711"/>
      <c r="V1785" s="711"/>
      <c r="W1785" s="711"/>
      <c r="X1785" s="711"/>
      <c r="Y1785" s="711"/>
      <c r="Z1785" s="711"/>
      <c r="AU1785" s="713"/>
      <c r="AW1785" s="712"/>
      <c r="BY1785" s="714"/>
      <c r="BZ1785" s="715"/>
      <c r="CA1785" s="716"/>
      <c r="CB1785" s="717"/>
      <c r="CC1785" s="717"/>
      <c r="CD1785" s="717"/>
      <c r="CE1785" s="717"/>
      <c r="CF1785" s="717"/>
      <c r="CG1785" s="717"/>
      <c r="CH1785" s="717"/>
      <c r="CI1785" s="717"/>
      <c r="CJ1785" s="717"/>
      <c r="CK1785" s="717"/>
      <c r="CL1785" s="717"/>
      <c r="CM1785" s="717"/>
      <c r="CN1785" s="717"/>
      <c r="CO1785" s="717"/>
      <c r="CP1785" s="717"/>
      <c r="CQ1785" s="717"/>
      <c r="CR1785" s="717"/>
      <c r="CS1785" s="717"/>
      <c r="CT1785" s="717"/>
      <c r="CU1785" s="717"/>
      <c r="CV1785" s="717"/>
      <c r="CW1785" s="717"/>
      <c r="CX1785" s="717"/>
      <c r="CY1785" s="717"/>
      <c r="CZ1785" s="717"/>
      <c r="DA1785" s="717"/>
      <c r="DB1785" s="717"/>
      <c r="DC1785" s="717"/>
      <c r="DD1785" s="717"/>
      <c r="DE1785" s="717"/>
      <c r="DF1785" s="717"/>
      <c r="DG1785" s="717"/>
      <c r="DH1785" s="717"/>
      <c r="DI1785" s="717"/>
      <c r="DJ1785" s="717"/>
      <c r="DM1785" s="711"/>
      <c r="DN1785" s="711"/>
      <c r="DO1785" s="711"/>
      <c r="DP1785" s="711"/>
      <c r="DQ1785" s="711"/>
    </row>
    <row r="1786" spans="13:121" s="709" customFormat="1" hidden="1">
      <c r="M1786" s="710"/>
      <c r="P1786" s="711"/>
      <c r="Q1786" s="712"/>
      <c r="U1786" s="711"/>
      <c r="V1786" s="711"/>
      <c r="W1786" s="711"/>
      <c r="X1786" s="711"/>
      <c r="Y1786" s="711"/>
      <c r="Z1786" s="711"/>
      <c r="AU1786" s="713"/>
      <c r="AW1786" s="712"/>
      <c r="BY1786" s="714"/>
      <c r="BZ1786" s="715"/>
      <c r="CA1786" s="716"/>
      <c r="CB1786" s="717"/>
      <c r="CC1786" s="717"/>
      <c r="CD1786" s="717"/>
      <c r="CE1786" s="717"/>
      <c r="CF1786" s="717"/>
      <c r="CG1786" s="717"/>
      <c r="CH1786" s="717"/>
      <c r="CI1786" s="717"/>
      <c r="CJ1786" s="717"/>
      <c r="CK1786" s="717"/>
      <c r="CL1786" s="717"/>
      <c r="CM1786" s="717"/>
      <c r="CN1786" s="717"/>
      <c r="CO1786" s="717"/>
      <c r="CP1786" s="717"/>
      <c r="CQ1786" s="717"/>
      <c r="CR1786" s="717"/>
      <c r="CS1786" s="717"/>
      <c r="CT1786" s="717"/>
      <c r="CU1786" s="717"/>
      <c r="CV1786" s="717"/>
      <c r="CW1786" s="717"/>
      <c r="CX1786" s="717"/>
      <c r="CY1786" s="717"/>
      <c r="CZ1786" s="717"/>
      <c r="DA1786" s="717"/>
      <c r="DB1786" s="717"/>
      <c r="DC1786" s="717"/>
      <c r="DD1786" s="717"/>
      <c r="DE1786" s="717"/>
      <c r="DF1786" s="717"/>
      <c r="DG1786" s="717"/>
      <c r="DH1786" s="717"/>
      <c r="DI1786" s="717"/>
      <c r="DJ1786" s="717"/>
      <c r="DM1786" s="711"/>
      <c r="DN1786" s="711"/>
      <c r="DO1786" s="711"/>
      <c r="DP1786" s="711"/>
      <c r="DQ1786" s="711"/>
    </row>
    <row r="1787" spans="13:121" s="709" customFormat="1" hidden="1">
      <c r="M1787" s="710"/>
      <c r="P1787" s="711"/>
      <c r="Q1787" s="712"/>
      <c r="U1787" s="711"/>
      <c r="V1787" s="711"/>
      <c r="W1787" s="711"/>
      <c r="X1787" s="711"/>
      <c r="Y1787" s="711"/>
      <c r="Z1787" s="711"/>
      <c r="AU1787" s="713"/>
      <c r="AW1787" s="712"/>
      <c r="BY1787" s="714"/>
      <c r="BZ1787" s="715"/>
      <c r="CA1787" s="716"/>
      <c r="CB1787" s="717"/>
      <c r="CC1787" s="717"/>
      <c r="CD1787" s="717"/>
      <c r="CE1787" s="717"/>
      <c r="CF1787" s="717"/>
      <c r="CG1787" s="717"/>
      <c r="CH1787" s="717"/>
      <c r="CI1787" s="717"/>
      <c r="CJ1787" s="717"/>
      <c r="CK1787" s="717"/>
      <c r="CL1787" s="717"/>
      <c r="CM1787" s="717"/>
      <c r="CN1787" s="717"/>
      <c r="CO1787" s="717"/>
      <c r="CP1787" s="717"/>
      <c r="CQ1787" s="717"/>
      <c r="CR1787" s="717"/>
      <c r="CS1787" s="717"/>
      <c r="CT1787" s="717"/>
      <c r="CU1787" s="717"/>
      <c r="CV1787" s="717"/>
      <c r="CW1787" s="717"/>
      <c r="CX1787" s="717"/>
      <c r="CY1787" s="717"/>
      <c r="CZ1787" s="717"/>
      <c r="DA1787" s="717"/>
      <c r="DB1787" s="717"/>
      <c r="DC1787" s="717"/>
      <c r="DD1787" s="717"/>
      <c r="DE1787" s="717"/>
      <c r="DF1787" s="717"/>
      <c r="DG1787" s="717"/>
      <c r="DH1787" s="717"/>
      <c r="DI1787" s="717"/>
      <c r="DJ1787" s="717"/>
      <c r="DM1787" s="711"/>
      <c r="DN1787" s="711"/>
      <c r="DO1787" s="711"/>
      <c r="DP1787" s="711"/>
      <c r="DQ1787" s="711"/>
    </row>
    <row r="1788" spans="13:121" s="709" customFormat="1" hidden="1">
      <c r="M1788" s="710"/>
      <c r="P1788" s="711"/>
      <c r="Q1788" s="712"/>
      <c r="U1788" s="711"/>
      <c r="V1788" s="711"/>
      <c r="W1788" s="711"/>
      <c r="X1788" s="711"/>
      <c r="Y1788" s="711"/>
      <c r="Z1788" s="711"/>
      <c r="AU1788" s="713"/>
      <c r="AW1788" s="712"/>
      <c r="BY1788" s="714"/>
      <c r="BZ1788" s="715"/>
      <c r="CA1788" s="716"/>
      <c r="CB1788" s="717"/>
      <c r="CC1788" s="717"/>
      <c r="CD1788" s="717"/>
      <c r="CE1788" s="717"/>
      <c r="CF1788" s="717"/>
      <c r="CG1788" s="717"/>
      <c r="CH1788" s="717"/>
      <c r="CI1788" s="717"/>
      <c r="CJ1788" s="717"/>
      <c r="CK1788" s="717"/>
      <c r="CL1788" s="717"/>
      <c r="CM1788" s="717"/>
      <c r="CN1788" s="717"/>
      <c r="CO1788" s="717"/>
      <c r="CP1788" s="717"/>
      <c r="CQ1788" s="717"/>
      <c r="CR1788" s="717"/>
      <c r="CS1788" s="717"/>
      <c r="CT1788" s="717"/>
      <c r="CU1788" s="717"/>
      <c r="CV1788" s="717"/>
      <c r="CW1788" s="717"/>
      <c r="CX1788" s="717"/>
      <c r="CY1788" s="717"/>
      <c r="CZ1788" s="717"/>
      <c r="DA1788" s="717"/>
      <c r="DB1788" s="717"/>
      <c r="DC1788" s="717"/>
      <c r="DD1788" s="717"/>
      <c r="DE1788" s="717"/>
      <c r="DF1788" s="717"/>
      <c r="DG1788" s="717"/>
      <c r="DH1788" s="717"/>
      <c r="DI1788" s="717"/>
      <c r="DJ1788" s="717"/>
      <c r="DM1788" s="711"/>
      <c r="DN1788" s="711"/>
      <c r="DO1788" s="711"/>
      <c r="DP1788" s="711"/>
      <c r="DQ1788" s="711"/>
    </row>
    <row r="1789" spans="13:121" s="709" customFormat="1" hidden="1">
      <c r="M1789" s="710"/>
      <c r="P1789" s="711"/>
      <c r="Q1789" s="712"/>
      <c r="U1789" s="711"/>
      <c r="V1789" s="711"/>
      <c r="W1789" s="711"/>
      <c r="X1789" s="711"/>
      <c r="Y1789" s="711"/>
      <c r="Z1789" s="711"/>
      <c r="AU1789" s="713"/>
      <c r="AW1789" s="712"/>
      <c r="BY1789" s="714"/>
      <c r="BZ1789" s="715"/>
      <c r="CA1789" s="716"/>
      <c r="CB1789" s="717"/>
      <c r="CC1789" s="717"/>
      <c r="CD1789" s="717"/>
      <c r="CE1789" s="717"/>
      <c r="CF1789" s="717"/>
      <c r="CG1789" s="717"/>
      <c r="CH1789" s="717"/>
      <c r="CI1789" s="717"/>
      <c r="CJ1789" s="717"/>
      <c r="CK1789" s="717"/>
      <c r="CL1789" s="717"/>
      <c r="CM1789" s="717"/>
      <c r="CN1789" s="717"/>
      <c r="CO1789" s="717"/>
      <c r="CP1789" s="717"/>
      <c r="CQ1789" s="717"/>
      <c r="CR1789" s="717"/>
      <c r="CS1789" s="717"/>
      <c r="CT1789" s="717"/>
      <c r="CU1789" s="717"/>
      <c r="CV1789" s="717"/>
      <c r="CW1789" s="717"/>
      <c r="CX1789" s="717"/>
      <c r="CY1789" s="717"/>
      <c r="CZ1789" s="717"/>
      <c r="DA1789" s="717"/>
      <c r="DB1789" s="717"/>
      <c r="DC1789" s="717"/>
      <c r="DD1789" s="717"/>
      <c r="DE1789" s="717"/>
      <c r="DF1789" s="717"/>
      <c r="DG1789" s="717"/>
      <c r="DH1789" s="717"/>
      <c r="DI1789" s="717"/>
      <c r="DJ1789" s="717"/>
      <c r="DM1789" s="711"/>
      <c r="DN1789" s="711"/>
      <c r="DO1789" s="711"/>
      <c r="DP1789" s="711"/>
      <c r="DQ1789" s="711"/>
    </row>
    <row r="1790" spans="13:121" s="709" customFormat="1" hidden="1">
      <c r="M1790" s="710"/>
      <c r="P1790" s="711"/>
      <c r="Q1790" s="712"/>
      <c r="U1790" s="711"/>
      <c r="V1790" s="711"/>
      <c r="W1790" s="711"/>
      <c r="X1790" s="711"/>
      <c r="Y1790" s="711"/>
      <c r="Z1790" s="711"/>
      <c r="AU1790" s="713"/>
      <c r="AW1790" s="712"/>
      <c r="BY1790" s="714"/>
      <c r="BZ1790" s="715"/>
      <c r="CA1790" s="716"/>
      <c r="CB1790" s="717"/>
      <c r="CC1790" s="717"/>
      <c r="CD1790" s="717"/>
      <c r="CE1790" s="717"/>
      <c r="CF1790" s="717"/>
      <c r="CG1790" s="717"/>
      <c r="CH1790" s="717"/>
      <c r="CI1790" s="717"/>
      <c r="CJ1790" s="717"/>
      <c r="CK1790" s="717"/>
      <c r="CL1790" s="717"/>
      <c r="CM1790" s="717"/>
      <c r="CN1790" s="717"/>
      <c r="CO1790" s="717"/>
      <c r="CP1790" s="717"/>
      <c r="CQ1790" s="717"/>
      <c r="CR1790" s="717"/>
      <c r="CS1790" s="717"/>
      <c r="CT1790" s="717"/>
      <c r="CU1790" s="717"/>
      <c r="CV1790" s="717"/>
      <c r="CW1790" s="717"/>
      <c r="CX1790" s="717"/>
      <c r="CY1790" s="717"/>
      <c r="CZ1790" s="717"/>
      <c r="DA1790" s="717"/>
      <c r="DB1790" s="717"/>
      <c r="DC1790" s="717"/>
      <c r="DD1790" s="717"/>
      <c r="DE1790" s="717"/>
      <c r="DF1790" s="717"/>
      <c r="DG1790" s="717"/>
      <c r="DH1790" s="717"/>
      <c r="DI1790" s="717"/>
      <c r="DJ1790" s="717"/>
      <c r="DM1790" s="711"/>
      <c r="DN1790" s="711"/>
      <c r="DO1790" s="711"/>
      <c r="DP1790" s="711"/>
      <c r="DQ1790" s="711"/>
    </row>
    <row r="1791" spans="13:121" s="709" customFormat="1" hidden="1">
      <c r="M1791" s="710"/>
      <c r="P1791" s="711"/>
      <c r="Q1791" s="712"/>
      <c r="U1791" s="711"/>
      <c r="V1791" s="711"/>
      <c r="W1791" s="711"/>
      <c r="X1791" s="711"/>
      <c r="Y1791" s="711"/>
      <c r="Z1791" s="711"/>
      <c r="AU1791" s="713"/>
      <c r="AW1791" s="712"/>
      <c r="BY1791" s="714"/>
      <c r="BZ1791" s="715"/>
      <c r="CA1791" s="716"/>
      <c r="CB1791" s="717"/>
      <c r="CC1791" s="717"/>
      <c r="CD1791" s="717"/>
      <c r="CE1791" s="717"/>
      <c r="CF1791" s="717"/>
      <c r="CG1791" s="717"/>
      <c r="CH1791" s="717"/>
      <c r="CI1791" s="717"/>
      <c r="CJ1791" s="717"/>
      <c r="CK1791" s="717"/>
      <c r="CL1791" s="717"/>
      <c r="CM1791" s="717"/>
      <c r="CN1791" s="717"/>
      <c r="CO1791" s="717"/>
      <c r="CP1791" s="717"/>
      <c r="CQ1791" s="717"/>
      <c r="CR1791" s="717"/>
      <c r="CS1791" s="717"/>
      <c r="CT1791" s="717"/>
      <c r="CU1791" s="717"/>
      <c r="CV1791" s="717"/>
      <c r="CW1791" s="717"/>
      <c r="CX1791" s="717"/>
      <c r="CY1791" s="717"/>
      <c r="CZ1791" s="717"/>
      <c r="DA1791" s="717"/>
      <c r="DB1791" s="717"/>
      <c r="DC1791" s="717"/>
      <c r="DD1791" s="717"/>
      <c r="DE1791" s="717"/>
      <c r="DF1791" s="717"/>
      <c r="DG1791" s="717"/>
      <c r="DH1791" s="717"/>
      <c r="DI1791" s="717"/>
      <c r="DJ1791" s="717"/>
      <c r="DM1791" s="711"/>
      <c r="DN1791" s="711"/>
      <c r="DO1791" s="711"/>
      <c r="DP1791" s="711"/>
      <c r="DQ1791" s="711"/>
    </row>
    <row r="1792" spans="13:121" s="709" customFormat="1" hidden="1">
      <c r="M1792" s="710"/>
      <c r="P1792" s="711"/>
      <c r="Q1792" s="712"/>
      <c r="U1792" s="711"/>
      <c r="V1792" s="711"/>
      <c r="W1792" s="711"/>
      <c r="X1792" s="711"/>
      <c r="Y1792" s="711"/>
      <c r="Z1792" s="711"/>
      <c r="AU1792" s="713"/>
      <c r="AW1792" s="712"/>
      <c r="BY1792" s="714"/>
      <c r="BZ1792" s="715"/>
      <c r="CA1792" s="716"/>
      <c r="CB1792" s="717"/>
      <c r="CC1792" s="717"/>
      <c r="CD1792" s="717"/>
      <c r="CE1792" s="717"/>
      <c r="CF1792" s="717"/>
      <c r="CG1792" s="717"/>
      <c r="CH1792" s="717"/>
      <c r="CI1792" s="717"/>
      <c r="CJ1792" s="717"/>
      <c r="CK1792" s="717"/>
      <c r="CL1792" s="717"/>
      <c r="CM1792" s="717"/>
      <c r="CN1792" s="717"/>
      <c r="CO1792" s="717"/>
      <c r="CP1792" s="717"/>
      <c r="CQ1792" s="717"/>
      <c r="CR1792" s="717"/>
      <c r="CS1792" s="717"/>
      <c r="CT1792" s="717"/>
      <c r="CU1792" s="717"/>
      <c r="CV1792" s="717"/>
      <c r="CW1792" s="717"/>
      <c r="CX1792" s="717"/>
      <c r="CY1792" s="717"/>
      <c r="CZ1792" s="717"/>
      <c r="DA1792" s="717"/>
      <c r="DB1792" s="717"/>
      <c r="DC1792" s="717"/>
      <c r="DD1792" s="717"/>
      <c r="DE1792" s="717"/>
      <c r="DF1792" s="717"/>
      <c r="DG1792" s="717"/>
      <c r="DH1792" s="717"/>
      <c r="DI1792" s="717"/>
      <c r="DJ1792" s="717"/>
      <c r="DM1792" s="711"/>
      <c r="DN1792" s="711"/>
      <c r="DO1792" s="711"/>
      <c r="DP1792" s="711"/>
      <c r="DQ1792" s="711"/>
    </row>
    <row r="1793" spans="13:121" s="709" customFormat="1" hidden="1">
      <c r="M1793" s="710"/>
      <c r="P1793" s="711"/>
      <c r="Q1793" s="712"/>
      <c r="U1793" s="711"/>
      <c r="V1793" s="711"/>
      <c r="W1793" s="711"/>
      <c r="X1793" s="711"/>
      <c r="Y1793" s="711"/>
      <c r="Z1793" s="711"/>
      <c r="AU1793" s="713"/>
      <c r="AW1793" s="712"/>
      <c r="BY1793" s="714"/>
      <c r="BZ1793" s="715"/>
      <c r="CA1793" s="716"/>
      <c r="CB1793" s="717"/>
      <c r="CC1793" s="717"/>
      <c r="CD1793" s="717"/>
      <c r="CE1793" s="717"/>
      <c r="CF1793" s="717"/>
      <c r="CG1793" s="717"/>
      <c r="CH1793" s="717"/>
      <c r="CI1793" s="717"/>
      <c r="CJ1793" s="717"/>
      <c r="CK1793" s="717"/>
      <c r="CL1793" s="717"/>
      <c r="CM1793" s="717"/>
      <c r="CN1793" s="717"/>
      <c r="CO1793" s="717"/>
      <c r="CP1793" s="717"/>
      <c r="CQ1793" s="717"/>
      <c r="CR1793" s="717"/>
      <c r="CS1793" s="717"/>
      <c r="CT1793" s="717"/>
      <c r="CU1793" s="717"/>
      <c r="CV1793" s="717"/>
      <c r="CW1793" s="717"/>
      <c r="CX1793" s="717"/>
      <c r="CY1793" s="717"/>
      <c r="CZ1793" s="717"/>
      <c r="DA1793" s="717"/>
      <c r="DB1793" s="717"/>
      <c r="DC1793" s="717"/>
      <c r="DD1793" s="717"/>
      <c r="DE1793" s="717"/>
      <c r="DF1793" s="717"/>
      <c r="DG1793" s="717"/>
      <c r="DH1793" s="717"/>
      <c r="DI1793" s="717"/>
      <c r="DJ1793" s="717"/>
      <c r="DM1793" s="711"/>
      <c r="DN1793" s="711"/>
      <c r="DO1793" s="711"/>
      <c r="DP1793" s="711"/>
      <c r="DQ1793" s="711"/>
    </row>
    <row r="1794" spans="13:121" s="709" customFormat="1" hidden="1">
      <c r="M1794" s="710"/>
      <c r="P1794" s="711"/>
      <c r="Q1794" s="712"/>
      <c r="U1794" s="711"/>
      <c r="V1794" s="711"/>
      <c r="W1794" s="711"/>
      <c r="X1794" s="711"/>
      <c r="Y1794" s="711"/>
      <c r="Z1794" s="711"/>
      <c r="AU1794" s="713"/>
      <c r="AW1794" s="712"/>
      <c r="BY1794" s="714"/>
      <c r="BZ1794" s="715"/>
      <c r="CA1794" s="716"/>
      <c r="CB1794" s="717"/>
      <c r="CC1794" s="717"/>
      <c r="CD1794" s="717"/>
      <c r="CE1794" s="717"/>
      <c r="CF1794" s="717"/>
      <c r="CG1794" s="717"/>
      <c r="CH1794" s="717"/>
      <c r="CI1794" s="717"/>
      <c r="CJ1794" s="717"/>
      <c r="CK1794" s="717"/>
      <c r="CL1794" s="717"/>
      <c r="CM1794" s="717"/>
      <c r="CN1794" s="717"/>
      <c r="CO1794" s="717"/>
      <c r="CP1794" s="717"/>
      <c r="CQ1794" s="717"/>
      <c r="CR1794" s="717"/>
      <c r="CS1794" s="717"/>
      <c r="CT1794" s="717"/>
      <c r="CU1794" s="717"/>
      <c r="CV1794" s="717"/>
      <c r="CW1794" s="717"/>
      <c r="CX1794" s="717"/>
      <c r="CY1794" s="717"/>
      <c r="CZ1794" s="717"/>
      <c r="DA1794" s="717"/>
      <c r="DB1794" s="717"/>
      <c r="DC1794" s="717"/>
      <c r="DD1794" s="717"/>
      <c r="DE1794" s="717"/>
      <c r="DF1794" s="717"/>
      <c r="DG1794" s="717"/>
      <c r="DH1794" s="717"/>
      <c r="DI1794" s="717"/>
      <c r="DJ1794" s="717"/>
      <c r="DM1794" s="711"/>
      <c r="DN1794" s="711"/>
      <c r="DO1794" s="711"/>
      <c r="DP1794" s="711"/>
      <c r="DQ1794" s="711"/>
    </row>
    <row r="1795" spans="13:121" s="709" customFormat="1" hidden="1">
      <c r="M1795" s="710"/>
      <c r="P1795" s="711"/>
      <c r="Q1795" s="712"/>
      <c r="U1795" s="711"/>
      <c r="V1795" s="711"/>
      <c r="W1795" s="711"/>
      <c r="X1795" s="711"/>
      <c r="Y1795" s="711"/>
      <c r="Z1795" s="711"/>
      <c r="AU1795" s="713"/>
      <c r="AW1795" s="712"/>
      <c r="BY1795" s="714"/>
      <c r="BZ1795" s="715"/>
      <c r="CA1795" s="716"/>
      <c r="CB1795" s="717"/>
      <c r="CC1795" s="717"/>
      <c r="CD1795" s="717"/>
      <c r="CE1795" s="717"/>
      <c r="CF1795" s="717"/>
      <c r="CG1795" s="717"/>
      <c r="CH1795" s="717"/>
      <c r="CI1795" s="717"/>
      <c r="CJ1795" s="717"/>
      <c r="CK1795" s="717"/>
      <c r="CL1795" s="717"/>
      <c r="CM1795" s="717"/>
      <c r="CN1795" s="717"/>
      <c r="CO1795" s="717"/>
      <c r="CP1795" s="717"/>
      <c r="CQ1795" s="717"/>
      <c r="CR1795" s="717"/>
      <c r="CS1795" s="717"/>
      <c r="CT1795" s="717"/>
      <c r="CU1795" s="717"/>
      <c r="CV1795" s="717"/>
      <c r="CW1795" s="717"/>
      <c r="CX1795" s="717"/>
      <c r="CY1795" s="717"/>
      <c r="CZ1795" s="717"/>
      <c r="DA1795" s="717"/>
      <c r="DB1795" s="717"/>
      <c r="DC1795" s="717"/>
      <c r="DD1795" s="717"/>
      <c r="DE1795" s="717"/>
      <c r="DF1795" s="717"/>
      <c r="DG1795" s="717"/>
      <c r="DH1795" s="717"/>
      <c r="DI1795" s="717"/>
      <c r="DJ1795" s="717"/>
      <c r="DM1795" s="711"/>
      <c r="DN1795" s="711"/>
      <c r="DO1795" s="711"/>
      <c r="DP1795" s="711"/>
      <c r="DQ1795" s="711"/>
    </row>
    <row r="1796" spans="13:121" s="709" customFormat="1" hidden="1">
      <c r="M1796" s="710"/>
      <c r="P1796" s="711"/>
      <c r="Q1796" s="712"/>
      <c r="U1796" s="711"/>
      <c r="V1796" s="711"/>
      <c r="W1796" s="711"/>
      <c r="X1796" s="711"/>
      <c r="Y1796" s="711"/>
      <c r="Z1796" s="711"/>
      <c r="AU1796" s="713"/>
      <c r="AW1796" s="712"/>
      <c r="BY1796" s="714"/>
      <c r="BZ1796" s="715"/>
      <c r="CA1796" s="716"/>
      <c r="CB1796" s="717"/>
      <c r="CC1796" s="717"/>
      <c r="CD1796" s="717"/>
      <c r="CE1796" s="717"/>
      <c r="CF1796" s="717"/>
      <c r="CG1796" s="717"/>
      <c r="CH1796" s="717"/>
      <c r="CI1796" s="717"/>
      <c r="CJ1796" s="717"/>
      <c r="CK1796" s="717"/>
      <c r="CL1796" s="717"/>
      <c r="CM1796" s="717"/>
      <c r="CN1796" s="717"/>
      <c r="CO1796" s="717"/>
      <c r="CP1796" s="717"/>
      <c r="CQ1796" s="717"/>
      <c r="CR1796" s="717"/>
      <c r="CS1796" s="717"/>
      <c r="CT1796" s="717"/>
      <c r="CU1796" s="717"/>
      <c r="CV1796" s="717"/>
      <c r="CW1796" s="717"/>
      <c r="CX1796" s="717"/>
      <c r="CY1796" s="717"/>
      <c r="CZ1796" s="717"/>
      <c r="DA1796" s="717"/>
      <c r="DB1796" s="717"/>
      <c r="DC1796" s="717"/>
      <c r="DD1796" s="717"/>
      <c r="DE1796" s="717"/>
      <c r="DF1796" s="717"/>
      <c r="DG1796" s="717"/>
      <c r="DH1796" s="717"/>
      <c r="DI1796" s="717"/>
      <c r="DJ1796" s="717"/>
      <c r="DM1796" s="711"/>
      <c r="DN1796" s="711"/>
      <c r="DO1796" s="711"/>
      <c r="DP1796" s="711"/>
      <c r="DQ1796" s="711"/>
    </row>
    <row r="1797" spans="13:121" s="709" customFormat="1" hidden="1">
      <c r="M1797" s="710"/>
      <c r="P1797" s="711"/>
      <c r="Q1797" s="712"/>
      <c r="U1797" s="711"/>
      <c r="V1797" s="711"/>
      <c r="W1797" s="711"/>
      <c r="X1797" s="711"/>
      <c r="Y1797" s="711"/>
      <c r="Z1797" s="711"/>
      <c r="AU1797" s="713"/>
      <c r="AW1797" s="712"/>
      <c r="BY1797" s="714"/>
      <c r="BZ1797" s="715"/>
      <c r="CA1797" s="716"/>
      <c r="CB1797" s="717"/>
      <c r="CC1797" s="717"/>
      <c r="CD1797" s="717"/>
      <c r="CE1797" s="717"/>
      <c r="CF1797" s="717"/>
      <c r="CG1797" s="717"/>
      <c r="CH1797" s="717"/>
      <c r="CI1797" s="717"/>
      <c r="CJ1797" s="717"/>
      <c r="CK1797" s="717"/>
      <c r="CL1797" s="717"/>
      <c r="CM1797" s="717"/>
      <c r="CN1797" s="717"/>
      <c r="CO1797" s="717"/>
      <c r="CP1797" s="717"/>
      <c r="CQ1797" s="717"/>
      <c r="CR1797" s="717"/>
      <c r="CS1797" s="717"/>
      <c r="CT1797" s="717"/>
      <c r="CU1797" s="717"/>
      <c r="CV1797" s="717"/>
      <c r="CW1797" s="717"/>
      <c r="CX1797" s="717"/>
      <c r="CY1797" s="717"/>
      <c r="CZ1797" s="717"/>
      <c r="DA1797" s="717"/>
      <c r="DB1797" s="717"/>
      <c r="DC1797" s="717"/>
      <c r="DD1797" s="717"/>
      <c r="DE1797" s="717"/>
      <c r="DF1797" s="717"/>
      <c r="DG1797" s="717"/>
      <c r="DH1797" s="717"/>
      <c r="DI1797" s="717"/>
      <c r="DJ1797" s="717"/>
      <c r="DM1797" s="711"/>
      <c r="DN1797" s="711"/>
      <c r="DO1797" s="711"/>
      <c r="DP1797" s="711"/>
      <c r="DQ1797" s="711"/>
    </row>
    <row r="1798" spans="13:121" s="709" customFormat="1" hidden="1">
      <c r="M1798" s="710"/>
      <c r="P1798" s="711"/>
      <c r="Q1798" s="712"/>
      <c r="U1798" s="711"/>
      <c r="V1798" s="711"/>
      <c r="W1798" s="711"/>
      <c r="X1798" s="711"/>
      <c r="Y1798" s="711"/>
      <c r="Z1798" s="711"/>
      <c r="AU1798" s="713"/>
      <c r="AW1798" s="712"/>
      <c r="BY1798" s="714"/>
      <c r="BZ1798" s="715"/>
      <c r="CA1798" s="716"/>
      <c r="CB1798" s="717"/>
      <c r="CC1798" s="717"/>
      <c r="CD1798" s="717"/>
      <c r="CE1798" s="717"/>
      <c r="CF1798" s="717"/>
      <c r="CG1798" s="717"/>
      <c r="CH1798" s="717"/>
      <c r="CI1798" s="717"/>
      <c r="CJ1798" s="717"/>
      <c r="CK1798" s="717"/>
      <c r="CL1798" s="717"/>
      <c r="CM1798" s="717"/>
      <c r="CN1798" s="717"/>
      <c r="CO1798" s="717"/>
      <c r="CP1798" s="717"/>
      <c r="CQ1798" s="717"/>
      <c r="CR1798" s="717"/>
      <c r="CS1798" s="717"/>
      <c r="CT1798" s="717"/>
      <c r="CU1798" s="717"/>
      <c r="CV1798" s="717"/>
      <c r="CW1798" s="717"/>
      <c r="CX1798" s="717"/>
      <c r="CY1798" s="717"/>
      <c r="CZ1798" s="717"/>
      <c r="DA1798" s="717"/>
      <c r="DB1798" s="717"/>
      <c r="DC1798" s="717"/>
      <c r="DD1798" s="717"/>
      <c r="DE1798" s="717"/>
      <c r="DF1798" s="717"/>
      <c r="DG1798" s="717"/>
      <c r="DH1798" s="717"/>
      <c r="DI1798" s="717"/>
      <c r="DJ1798" s="717"/>
      <c r="DM1798" s="711"/>
      <c r="DN1798" s="711"/>
      <c r="DO1798" s="711"/>
      <c r="DP1798" s="711"/>
      <c r="DQ1798" s="711"/>
    </row>
    <row r="1799" spans="13:121" s="709" customFormat="1" hidden="1">
      <c r="M1799" s="710"/>
      <c r="P1799" s="711"/>
      <c r="Q1799" s="712"/>
      <c r="U1799" s="711"/>
      <c r="V1799" s="711"/>
      <c r="W1799" s="711"/>
      <c r="X1799" s="711"/>
      <c r="Y1799" s="711"/>
      <c r="Z1799" s="711"/>
      <c r="AU1799" s="713"/>
      <c r="AW1799" s="712"/>
      <c r="BY1799" s="714"/>
      <c r="BZ1799" s="715"/>
      <c r="CA1799" s="716"/>
      <c r="CB1799" s="717"/>
      <c r="CC1799" s="717"/>
      <c r="CD1799" s="717"/>
      <c r="CE1799" s="717"/>
      <c r="CF1799" s="717"/>
      <c r="CG1799" s="717"/>
      <c r="CH1799" s="717"/>
      <c r="CI1799" s="717"/>
      <c r="CJ1799" s="717"/>
      <c r="CK1799" s="717"/>
      <c r="CL1799" s="717"/>
      <c r="CM1799" s="717"/>
      <c r="CN1799" s="717"/>
      <c r="CO1799" s="717"/>
      <c r="CP1799" s="717"/>
      <c r="CQ1799" s="717"/>
      <c r="CR1799" s="717"/>
      <c r="CS1799" s="717"/>
      <c r="CT1799" s="717"/>
      <c r="CU1799" s="717"/>
      <c r="CV1799" s="717"/>
      <c r="CW1799" s="717"/>
      <c r="CX1799" s="717"/>
      <c r="CY1799" s="717"/>
      <c r="CZ1799" s="717"/>
      <c r="DA1799" s="717"/>
      <c r="DB1799" s="717"/>
      <c r="DC1799" s="717"/>
      <c r="DD1799" s="717"/>
      <c r="DE1799" s="717"/>
      <c r="DF1799" s="717"/>
      <c r="DG1799" s="717"/>
      <c r="DH1799" s="717"/>
      <c r="DI1799" s="717"/>
      <c r="DJ1799" s="717"/>
      <c r="DM1799" s="711"/>
      <c r="DN1799" s="711"/>
      <c r="DO1799" s="711"/>
      <c r="DP1799" s="711"/>
      <c r="DQ1799" s="711"/>
    </row>
    <row r="1800" spans="13:121" s="709" customFormat="1" hidden="1">
      <c r="M1800" s="710"/>
      <c r="P1800" s="711"/>
      <c r="Q1800" s="712"/>
      <c r="U1800" s="711"/>
      <c r="V1800" s="711"/>
      <c r="W1800" s="711"/>
      <c r="X1800" s="711"/>
      <c r="Y1800" s="711"/>
      <c r="Z1800" s="711"/>
      <c r="AU1800" s="713"/>
      <c r="AW1800" s="712"/>
      <c r="BY1800" s="714"/>
      <c r="BZ1800" s="715"/>
      <c r="CA1800" s="716"/>
      <c r="CB1800" s="717"/>
      <c r="CC1800" s="717"/>
      <c r="CD1800" s="717"/>
      <c r="CE1800" s="717"/>
      <c r="CF1800" s="717"/>
      <c r="CG1800" s="717"/>
      <c r="CH1800" s="717"/>
      <c r="CI1800" s="717"/>
      <c r="CJ1800" s="717"/>
      <c r="CK1800" s="717"/>
      <c r="CL1800" s="717"/>
      <c r="CM1800" s="717"/>
      <c r="CN1800" s="717"/>
      <c r="CO1800" s="717"/>
      <c r="CP1800" s="717"/>
      <c r="CQ1800" s="717"/>
      <c r="CR1800" s="717"/>
      <c r="CS1800" s="717"/>
      <c r="CT1800" s="717"/>
      <c r="CU1800" s="717"/>
      <c r="CV1800" s="717"/>
      <c r="CW1800" s="717"/>
      <c r="CX1800" s="717"/>
      <c r="CY1800" s="717"/>
      <c r="CZ1800" s="717"/>
      <c r="DA1800" s="717"/>
      <c r="DB1800" s="717"/>
      <c r="DC1800" s="717"/>
      <c r="DD1800" s="717"/>
      <c r="DE1800" s="717"/>
      <c r="DF1800" s="717"/>
      <c r="DG1800" s="717"/>
      <c r="DH1800" s="717"/>
      <c r="DI1800" s="717"/>
      <c r="DJ1800" s="717"/>
      <c r="DM1800" s="711"/>
      <c r="DN1800" s="711"/>
      <c r="DO1800" s="711"/>
      <c r="DP1800" s="711"/>
      <c r="DQ1800" s="711"/>
    </row>
    <row r="1801" spans="13:121" s="709" customFormat="1" hidden="1">
      <c r="M1801" s="710"/>
      <c r="P1801" s="711"/>
      <c r="Q1801" s="712"/>
      <c r="U1801" s="711"/>
      <c r="V1801" s="711"/>
      <c r="W1801" s="711"/>
      <c r="X1801" s="711"/>
      <c r="Y1801" s="711"/>
      <c r="Z1801" s="711"/>
      <c r="AU1801" s="713"/>
      <c r="AW1801" s="712"/>
      <c r="BY1801" s="714"/>
      <c r="BZ1801" s="715"/>
      <c r="CA1801" s="716"/>
      <c r="CB1801" s="717"/>
      <c r="CC1801" s="717"/>
      <c r="CD1801" s="717"/>
      <c r="CE1801" s="717"/>
      <c r="CF1801" s="717"/>
      <c r="CG1801" s="717"/>
      <c r="CH1801" s="717"/>
      <c r="CI1801" s="717"/>
      <c r="CJ1801" s="717"/>
      <c r="CK1801" s="717"/>
      <c r="CL1801" s="717"/>
      <c r="CM1801" s="717"/>
      <c r="CN1801" s="717"/>
      <c r="CO1801" s="717"/>
      <c r="CP1801" s="717"/>
      <c r="CQ1801" s="717"/>
      <c r="CR1801" s="717"/>
      <c r="CS1801" s="717"/>
      <c r="CT1801" s="717"/>
      <c r="CU1801" s="717"/>
      <c r="CV1801" s="717"/>
      <c r="CW1801" s="717"/>
      <c r="CX1801" s="717"/>
      <c r="CY1801" s="717"/>
      <c r="CZ1801" s="717"/>
      <c r="DA1801" s="717"/>
      <c r="DB1801" s="717"/>
      <c r="DC1801" s="717"/>
      <c r="DD1801" s="717"/>
      <c r="DE1801" s="717"/>
      <c r="DF1801" s="717"/>
      <c r="DG1801" s="717"/>
      <c r="DH1801" s="717"/>
      <c r="DI1801" s="717"/>
      <c r="DJ1801" s="717"/>
      <c r="DM1801" s="711"/>
      <c r="DN1801" s="711"/>
      <c r="DO1801" s="711"/>
      <c r="DP1801" s="711"/>
      <c r="DQ1801" s="711"/>
    </row>
    <row r="1802" spans="13:121" s="709" customFormat="1" hidden="1">
      <c r="M1802" s="710"/>
      <c r="P1802" s="711"/>
      <c r="Q1802" s="712"/>
      <c r="U1802" s="711"/>
      <c r="V1802" s="711"/>
      <c r="W1802" s="711"/>
      <c r="X1802" s="711"/>
      <c r="Y1802" s="711"/>
      <c r="Z1802" s="711"/>
      <c r="AU1802" s="713"/>
      <c r="AW1802" s="712"/>
      <c r="BY1802" s="714"/>
      <c r="BZ1802" s="715"/>
      <c r="CA1802" s="716"/>
      <c r="CB1802" s="717"/>
      <c r="CC1802" s="717"/>
      <c r="CD1802" s="717"/>
      <c r="CE1802" s="717"/>
      <c r="CF1802" s="717"/>
      <c r="CG1802" s="717"/>
      <c r="CH1802" s="717"/>
      <c r="CI1802" s="717"/>
      <c r="CJ1802" s="717"/>
      <c r="CK1802" s="717"/>
      <c r="CL1802" s="717"/>
      <c r="CM1802" s="717"/>
      <c r="CN1802" s="717"/>
      <c r="CO1802" s="717"/>
      <c r="CP1802" s="717"/>
      <c r="CQ1802" s="717"/>
      <c r="CR1802" s="717"/>
      <c r="CS1802" s="717"/>
      <c r="CT1802" s="717"/>
      <c r="CU1802" s="717"/>
      <c r="CV1802" s="717"/>
      <c r="CW1802" s="717"/>
      <c r="CX1802" s="717"/>
      <c r="CY1802" s="717"/>
      <c r="CZ1802" s="717"/>
      <c r="DA1802" s="717"/>
      <c r="DB1802" s="717"/>
      <c r="DC1802" s="717"/>
      <c r="DD1802" s="717"/>
      <c r="DE1802" s="717"/>
      <c r="DF1802" s="717"/>
      <c r="DG1802" s="717"/>
      <c r="DH1802" s="717"/>
      <c r="DI1802" s="717"/>
      <c r="DJ1802" s="717"/>
      <c r="DM1802" s="711"/>
      <c r="DN1802" s="711"/>
      <c r="DO1802" s="711"/>
      <c r="DP1802" s="711"/>
      <c r="DQ1802" s="711"/>
    </row>
    <row r="1803" spans="13:121" s="709" customFormat="1" hidden="1">
      <c r="M1803" s="710"/>
      <c r="P1803" s="711"/>
      <c r="Q1803" s="712"/>
      <c r="U1803" s="711"/>
      <c r="V1803" s="711"/>
      <c r="W1803" s="711"/>
      <c r="X1803" s="711"/>
      <c r="Y1803" s="711"/>
      <c r="Z1803" s="711"/>
      <c r="AU1803" s="713"/>
      <c r="AW1803" s="712"/>
      <c r="BY1803" s="714"/>
      <c r="BZ1803" s="715"/>
      <c r="CA1803" s="716"/>
      <c r="CB1803" s="717"/>
      <c r="CC1803" s="717"/>
      <c r="CD1803" s="717"/>
      <c r="CE1803" s="717"/>
      <c r="CF1803" s="717"/>
      <c r="CG1803" s="717"/>
      <c r="CH1803" s="717"/>
      <c r="CI1803" s="717"/>
      <c r="CJ1803" s="717"/>
      <c r="CK1803" s="717"/>
      <c r="CL1803" s="717"/>
      <c r="CM1803" s="717"/>
      <c r="CN1803" s="717"/>
      <c r="CO1803" s="717"/>
      <c r="CP1803" s="717"/>
      <c r="CQ1803" s="717"/>
      <c r="CR1803" s="717"/>
      <c r="CS1803" s="717"/>
      <c r="CT1803" s="717"/>
      <c r="CU1803" s="717"/>
      <c r="CV1803" s="717"/>
      <c r="CW1803" s="717"/>
      <c r="CX1803" s="717"/>
      <c r="CY1803" s="717"/>
      <c r="CZ1803" s="717"/>
      <c r="DA1803" s="717"/>
      <c r="DB1803" s="717"/>
      <c r="DC1803" s="717"/>
      <c r="DD1803" s="717"/>
      <c r="DE1803" s="717"/>
      <c r="DF1803" s="717"/>
      <c r="DG1803" s="717"/>
      <c r="DH1803" s="717"/>
      <c r="DI1803" s="717"/>
      <c r="DJ1803" s="717"/>
      <c r="DM1803" s="711"/>
      <c r="DN1803" s="711"/>
      <c r="DO1803" s="711"/>
      <c r="DP1803" s="711"/>
      <c r="DQ1803" s="711"/>
    </row>
    <row r="1804" spans="13:121" s="709" customFormat="1" hidden="1">
      <c r="M1804" s="710"/>
      <c r="P1804" s="711"/>
      <c r="Q1804" s="712"/>
      <c r="U1804" s="711"/>
      <c r="V1804" s="711"/>
      <c r="W1804" s="711"/>
      <c r="X1804" s="711"/>
      <c r="Y1804" s="711"/>
      <c r="Z1804" s="711"/>
      <c r="AU1804" s="713"/>
      <c r="AW1804" s="712"/>
      <c r="BY1804" s="714"/>
      <c r="BZ1804" s="715"/>
      <c r="CA1804" s="716"/>
      <c r="CB1804" s="717"/>
      <c r="CC1804" s="717"/>
      <c r="CD1804" s="717"/>
      <c r="CE1804" s="717"/>
      <c r="CF1804" s="717"/>
      <c r="CG1804" s="717"/>
      <c r="CH1804" s="717"/>
      <c r="CI1804" s="717"/>
      <c r="CJ1804" s="717"/>
      <c r="CK1804" s="717"/>
      <c r="CL1804" s="717"/>
      <c r="CM1804" s="717"/>
      <c r="CN1804" s="717"/>
      <c r="CO1804" s="717"/>
      <c r="CP1804" s="717"/>
      <c r="CQ1804" s="717"/>
      <c r="CR1804" s="717"/>
      <c r="CS1804" s="717"/>
      <c r="CT1804" s="717"/>
      <c r="CU1804" s="717"/>
      <c r="CV1804" s="717"/>
      <c r="CW1804" s="717"/>
      <c r="CX1804" s="717"/>
      <c r="CY1804" s="717"/>
      <c r="CZ1804" s="717"/>
      <c r="DA1804" s="717"/>
      <c r="DB1804" s="717"/>
      <c r="DC1804" s="717"/>
      <c r="DD1804" s="717"/>
      <c r="DE1804" s="717"/>
      <c r="DF1804" s="717"/>
      <c r="DG1804" s="717"/>
      <c r="DH1804" s="717"/>
      <c r="DI1804" s="717"/>
      <c r="DJ1804" s="717"/>
      <c r="DM1804" s="711"/>
      <c r="DN1804" s="711"/>
      <c r="DO1804" s="711"/>
      <c r="DP1804" s="711"/>
      <c r="DQ1804" s="711"/>
    </row>
    <row r="1805" spans="13:121" s="709" customFormat="1" hidden="1">
      <c r="M1805" s="710"/>
      <c r="P1805" s="711"/>
      <c r="Q1805" s="712"/>
      <c r="U1805" s="711"/>
      <c r="V1805" s="711"/>
      <c r="W1805" s="711"/>
      <c r="X1805" s="711"/>
      <c r="Y1805" s="711"/>
      <c r="Z1805" s="711"/>
      <c r="AU1805" s="713"/>
      <c r="AW1805" s="712"/>
      <c r="BY1805" s="714"/>
      <c r="BZ1805" s="715"/>
      <c r="CA1805" s="716"/>
      <c r="CB1805" s="717"/>
      <c r="CC1805" s="717"/>
      <c r="CD1805" s="717"/>
      <c r="CE1805" s="717"/>
      <c r="CF1805" s="717"/>
      <c r="CG1805" s="717"/>
      <c r="CH1805" s="717"/>
      <c r="CI1805" s="717"/>
      <c r="CJ1805" s="717"/>
      <c r="CK1805" s="717"/>
      <c r="CL1805" s="717"/>
      <c r="CM1805" s="717"/>
      <c r="CN1805" s="717"/>
      <c r="CO1805" s="717"/>
      <c r="CP1805" s="717"/>
      <c r="CQ1805" s="717"/>
      <c r="CR1805" s="717"/>
      <c r="CS1805" s="717"/>
      <c r="CT1805" s="717"/>
      <c r="CU1805" s="717"/>
      <c r="CV1805" s="717"/>
      <c r="CW1805" s="717"/>
      <c r="CX1805" s="717"/>
      <c r="CY1805" s="717"/>
      <c r="CZ1805" s="717"/>
      <c r="DA1805" s="717"/>
      <c r="DB1805" s="717"/>
      <c r="DC1805" s="717"/>
      <c r="DD1805" s="717"/>
      <c r="DE1805" s="717"/>
      <c r="DF1805" s="717"/>
      <c r="DG1805" s="717"/>
      <c r="DH1805" s="717"/>
      <c r="DI1805" s="717"/>
      <c r="DJ1805" s="717"/>
      <c r="DM1805" s="711"/>
      <c r="DN1805" s="711"/>
      <c r="DO1805" s="711"/>
      <c r="DP1805" s="711"/>
      <c r="DQ1805" s="711"/>
    </row>
    <row r="1806" spans="13:121" s="709" customFormat="1" hidden="1">
      <c r="M1806" s="710"/>
      <c r="P1806" s="711"/>
      <c r="Q1806" s="712"/>
      <c r="U1806" s="711"/>
      <c r="V1806" s="711"/>
      <c r="W1806" s="711"/>
      <c r="X1806" s="711"/>
      <c r="Y1806" s="711"/>
      <c r="Z1806" s="711"/>
      <c r="AU1806" s="713"/>
      <c r="AW1806" s="712"/>
      <c r="BY1806" s="714"/>
      <c r="BZ1806" s="715"/>
      <c r="CA1806" s="716"/>
      <c r="CB1806" s="717"/>
      <c r="CC1806" s="717"/>
      <c r="CD1806" s="717"/>
      <c r="CE1806" s="717"/>
      <c r="CF1806" s="717"/>
      <c r="CG1806" s="717"/>
      <c r="CH1806" s="717"/>
      <c r="CI1806" s="717"/>
      <c r="CJ1806" s="717"/>
      <c r="CK1806" s="717"/>
      <c r="CL1806" s="717"/>
      <c r="CM1806" s="717"/>
      <c r="CN1806" s="717"/>
      <c r="CO1806" s="717"/>
      <c r="CP1806" s="717"/>
      <c r="CQ1806" s="717"/>
      <c r="CR1806" s="717"/>
      <c r="CS1806" s="717"/>
      <c r="CT1806" s="717"/>
      <c r="CU1806" s="717"/>
      <c r="CV1806" s="717"/>
      <c r="CW1806" s="717"/>
      <c r="CX1806" s="717"/>
      <c r="CY1806" s="717"/>
      <c r="CZ1806" s="717"/>
      <c r="DA1806" s="717"/>
      <c r="DB1806" s="717"/>
      <c r="DC1806" s="717"/>
      <c r="DD1806" s="717"/>
      <c r="DE1806" s="717"/>
      <c r="DF1806" s="717"/>
      <c r="DG1806" s="717"/>
      <c r="DH1806" s="717"/>
      <c r="DI1806" s="717"/>
      <c r="DJ1806" s="717"/>
      <c r="DM1806" s="711"/>
      <c r="DN1806" s="711"/>
      <c r="DO1806" s="711"/>
      <c r="DP1806" s="711"/>
      <c r="DQ1806" s="711"/>
    </row>
    <row r="1807" spans="13:121" s="709" customFormat="1" hidden="1">
      <c r="M1807" s="710"/>
      <c r="P1807" s="711"/>
      <c r="Q1807" s="712"/>
      <c r="U1807" s="711"/>
      <c r="V1807" s="711"/>
      <c r="W1807" s="711"/>
      <c r="X1807" s="711"/>
      <c r="Y1807" s="711"/>
      <c r="Z1807" s="711"/>
      <c r="AU1807" s="713"/>
      <c r="AW1807" s="712"/>
      <c r="BY1807" s="714"/>
      <c r="BZ1807" s="715"/>
      <c r="CA1807" s="716"/>
      <c r="CB1807" s="717"/>
      <c r="CC1807" s="717"/>
      <c r="CD1807" s="717"/>
      <c r="CE1807" s="717"/>
      <c r="CF1807" s="717"/>
      <c r="CG1807" s="717"/>
      <c r="CH1807" s="717"/>
      <c r="CI1807" s="717"/>
      <c r="CJ1807" s="717"/>
      <c r="CK1807" s="717"/>
      <c r="CL1807" s="717"/>
      <c r="CM1807" s="717"/>
      <c r="CN1807" s="717"/>
      <c r="CO1807" s="717"/>
      <c r="CP1807" s="717"/>
      <c r="CQ1807" s="717"/>
      <c r="CR1807" s="717"/>
      <c r="CS1807" s="717"/>
      <c r="CT1807" s="717"/>
      <c r="CU1807" s="717"/>
      <c r="CV1807" s="717"/>
      <c r="CW1807" s="717"/>
      <c r="CX1807" s="717"/>
      <c r="CY1807" s="717"/>
      <c r="CZ1807" s="717"/>
      <c r="DA1807" s="717"/>
      <c r="DB1807" s="717"/>
      <c r="DC1807" s="717"/>
      <c r="DD1807" s="717"/>
      <c r="DE1807" s="717"/>
      <c r="DF1807" s="717"/>
      <c r="DG1807" s="717"/>
      <c r="DH1807" s="717"/>
      <c r="DI1807" s="717"/>
      <c r="DJ1807" s="717"/>
      <c r="DM1807" s="711"/>
      <c r="DN1807" s="711"/>
      <c r="DO1807" s="711"/>
      <c r="DP1807" s="711"/>
      <c r="DQ1807" s="711"/>
    </row>
    <row r="1808" spans="13:121" s="709" customFormat="1" hidden="1">
      <c r="M1808" s="710"/>
      <c r="P1808" s="711"/>
      <c r="Q1808" s="712"/>
      <c r="U1808" s="711"/>
      <c r="V1808" s="711"/>
      <c r="W1808" s="711"/>
      <c r="X1808" s="711"/>
      <c r="Y1808" s="711"/>
      <c r="Z1808" s="711"/>
      <c r="AU1808" s="713"/>
      <c r="AW1808" s="712"/>
      <c r="BY1808" s="714"/>
      <c r="BZ1808" s="715"/>
      <c r="CA1808" s="716"/>
      <c r="CB1808" s="717"/>
      <c r="CC1808" s="717"/>
      <c r="CD1808" s="717"/>
      <c r="CE1808" s="717"/>
      <c r="CF1808" s="717"/>
      <c r="CG1808" s="717"/>
      <c r="CH1808" s="717"/>
      <c r="CI1808" s="717"/>
      <c r="CJ1808" s="717"/>
      <c r="CK1808" s="717"/>
      <c r="CL1808" s="717"/>
      <c r="CM1808" s="717"/>
      <c r="CN1808" s="717"/>
      <c r="CO1808" s="717"/>
      <c r="CP1808" s="717"/>
      <c r="CQ1808" s="717"/>
      <c r="CR1808" s="717"/>
      <c r="CS1808" s="717"/>
      <c r="CT1808" s="717"/>
      <c r="CU1808" s="717"/>
      <c r="CV1808" s="717"/>
      <c r="CW1808" s="717"/>
      <c r="CX1808" s="717"/>
      <c r="CY1808" s="717"/>
      <c r="CZ1808" s="717"/>
      <c r="DA1808" s="717"/>
      <c r="DB1808" s="717"/>
      <c r="DC1808" s="717"/>
      <c r="DD1808" s="717"/>
      <c r="DE1808" s="717"/>
      <c r="DF1808" s="717"/>
      <c r="DG1808" s="717"/>
      <c r="DH1808" s="717"/>
      <c r="DI1808" s="717"/>
      <c r="DJ1808" s="717"/>
      <c r="DM1808" s="711"/>
      <c r="DN1808" s="711"/>
      <c r="DO1808" s="711"/>
      <c r="DP1808" s="711"/>
      <c r="DQ1808" s="711"/>
    </row>
    <row r="1809" spans="13:121" s="709" customFormat="1" hidden="1">
      <c r="M1809" s="710"/>
      <c r="P1809" s="711"/>
      <c r="Q1809" s="712"/>
      <c r="U1809" s="711"/>
      <c r="V1809" s="711"/>
      <c r="W1809" s="711"/>
      <c r="X1809" s="711"/>
      <c r="Y1809" s="711"/>
      <c r="Z1809" s="711"/>
      <c r="AU1809" s="713"/>
      <c r="AW1809" s="712"/>
      <c r="BY1809" s="714"/>
      <c r="BZ1809" s="715"/>
      <c r="CA1809" s="716"/>
      <c r="CB1809" s="717"/>
      <c r="CC1809" s="717"/>
      <c r="CD1809" s="717"/>
      <c r="CE1809" s="717"/>
      <c r="CF1809" s="717"/>
      <c r="CG1809" s="717"/>
      <c r="CH1809" s="717"/>
      <c r="CI1809" s="717"/>
      <c r="CJ1809" s="717"/>
      <c r="CK1809" s="717"/>
      <c r="CL1809" s="717"/>
      <c r="CM1809" s="717"/>
      <c r="CN1809" s="717"/>
      <c r="CO1809" s="717"/>
      <c r="CP1809" s="717"/>
      <c r="CQ1809" s="717"/>
      <c r="CR1809" s="717"/>
      <c r="CS1809" s="717"/>
      <c r="CT1809" s="717"/>
      <c r="CU1809" s="717"/>
      <c r="CV1809" s="717"/>
      <c r="CW1809" s="717"/>
      <c r="CX1809" s="717"/>
      <c r="CY1809" s="717"/>
      <c r="CZ1809" s="717"/>
      <c r="DA1809" s="717"/>
      <c r="DB1809" s="717"/>
      <c r="DC1809" s="717"/>
      <c r="DD1809" s="717"/>
      <c r="DE1809" s="717"/>
      <c r="DF1809" s="717"/>
      <c r="DG1809" s="717"/>
      <c r="DH1809" s="717"/>
      <c r="DI1809" s="717"/>
      <c r="DJ1809" s="717"/>
      <c r="DM1809" s="711"/>
      <c r="DN1809" s="711"/>
      <c r="DO1809" s="711"/>
      <c r="DP1809" s="711"/>
      <c r="DQ1809" s="711"/>
    </row>
    <row r="1810" spans="13:121" s="709" customFormat="1" hidden="1">
      <c r="M1810" s="710"/>
      <c r="P1810" s="711"/>
      <c r="Q1810" s="712"/>
      <c r="U1810" s="711"/>
      <c r="V1810" s="711"/>
      <c r="W1810" s="711"/>
      <c r="X1810" s="711"/>
      <c r="Y1810" s="711"/>
      <c r="Z1810" s="711"/>
      <c r="AU1810" s="713"/>
      <c r="AW1810" s="712"/>
      <c r="BY1810" s="714"/>
      <c r="BZ1810" s="715"/>
      <c r="CA1810" s="716"/>
      <c r="CB1810" s="717"/>
      <c r="CC1810" s="717"/>
      <c r="CD1810" s="717"/>
      <c r="CE1810" s="717"/>
      <c r="CF1810" s="717"/>
      <c r="CG1810" s="717"/>
      <c r="CH1810" s="717"/>
      <c r="CI1810" s="717"/>
      <c r="CJ1810" s="717"/>
      <c r="CK1810" s="717"/>
      <c r="CL1810" s="717"/>
      <c r="CM1810" s="717"/>
      <c r="CN1810" s="717"/>
      <c r="CO1810" s="717"/>
      <c r="CP1810" s="717"/>
      <c r="CQ1810" s="717"/>
      <c r="CR1810" s="717"/>
      <c r="CS1810" s="717"/>
      <c r="CT1810" s="717"/>
      <c r="CU1810" s="717"/>
      <c r="CV1810" s="717"/>
      <c r="CW1810" s="717"/>
      <c r="CX1810" s="717"/>
      <c r="CY1810" s="717"/>
      <c r="CZ1810" s="717"/>
      <c r="DA1810" s="717"/>
      <c r="DB1810" s="717"/>
      <c r="DC1810" s="717"/>
      <c r="DD1810" s="717"/>
      <c r="DE1810" s="717"/>
      <c r="DF1810" s="717"/>
      <c r="DG1810" s="717"/>
      <c r="DH1810" s="717"/>
      <c r="DI1810" s="717"/>
      <c r="DJ1810" s="717"/>
      <c r="DM1810" s="711"/>
      <c r="DN1810" s="711"/>
      <c r="DO1810" s="711"/>
      <c r="DP1810" s="711"/>
      <c r="DQ1810" s="711"/>
    </row>
    <row r="1811" spans="13:121" s="709" customFormat="1" hidden="1">
      <c r="M1811" s="710"/>
      <c r="P1811" s="711"/>
      <c r="Q1811" s="712"/>
      <c r="U1811" s="711"/>
      <c r="V1811" s="711"/>
      <c r="W1811" s="711"/>
      <c r="X1811" s="711"/>
      <c r="Y1811" s="711"/>
      <c r="Z1811" s="711"/>
      <c r="AU1811" s="713"/>
      <c r="AW1811" s="712"/>
      <c r="BY1811" s="714"/>
      <c r="BZ1811" s="715"/>
      <c r="CA1811" s="716"/>
      <c r="CB1811" s="717"/>
      <c r="CC1811" s="717"/>
      <c r="CD1811" s="717"/>
      <c r="CE1811" s="717"/>
      <c r="CF1811" s="717"/>
      <c r="CG1811" s="717"/>
      <c r="CH1811" s="717"/>
      <c r="CI1811" s="717"/>
      <c r="CJ1811" s="717"/>
      <c r="CK1811" s="717"/>
      <c r="CL1811" s="717"/>
      <c r="CM1811" s="717"/>
      <c r="CN1811" s="717"/>
      <c r="CO1811" s="717"/>
      <c r="CP1811" s="717"/>
      <c r="CQ1811" s="717"/>
      <c r="CR1811" s="717"/>
      <c r="CS1811" s="717"/>
      <c r="CT1811" s="717"/>
      <c r="CU1811" s="717"/>
      <c r="CV1811" s="717"/>
      <c r="CW1811" s="717"/>
      <c r="CX1811" s="717"/>
      <c r="CY1811" s="717"/>
      <c r="CZ1811" s="717"/>
      <c r="DA1811" s="717"/>
      <c r="DB1811" s="717"/>
      <c r="DC1811" s="717"/>
      <c r="DD1811" s="717"/>
      <c r="DE1811" s="717"/>
      <c r="DF1811" s="717"/>
      <c r="DG1811" s="717"/>
      <c r="DH1811" s="717"/>
      <c r="DI1811" s="717"/>
      <c r="DJ1811" s="717"/>
      <c r="DM1811" s="711"/>
      <c r="DN1811" s="711"/>
      <c r="DO1811" s="711"/>
      <c r="DP1811" s="711"/>
      <c r="DQ1811" s="711"/>
    </row>
    <row r="1812" spans="13:121" s="709" customFormat="1" hidden="1">
      <c r="M1812" s="710"/>
      <c r="P1812" s="711"/>
      <c r="Q1812" s="712"/>
      <c r="U1812" s="711"/>
      <c r="V1812" s="711"/>
      <c r="W1812" s="711"/>
      <c r="X1812" s="711"/>
      <c r="Y1812" s="711"/>
      <c r="Z1812" s="711"/>
      <c r="AU1812" s="713"/>
      <c r="AW1812" s="712"/>
      <c r="BY1812" s="714"/>
      <c r="BZ1812" s="715"/>
      <c r="CA1812" s="716"/>
      <c r="CB1812" s="717"/>
      <c r="CC1812" s="717"/>
      <c r="CD1812" s="717"/>
      <c r="CE1812" s="717"/>
      <c r="CF1812" s="717"/>
      <c r="CG1812" s="717"/>
      <c r="CH1812" s="717"/>
      <c r="CI1812" s="717"/>
      <c r="CJ1812" s="717"/>
      <c r="CK1812" s="717"/>
      <c r="CL1812" s="717"/>
      <c r="CM1812" s="717"/>
      <c r="CN1812" s="717"/>
      <c r="CO1812" s="717"/>
      <c r="CP1812" s="717"/>
      <c r="CQ1812" s="717"/>
      <c r="CR1812" s="717"/>
      <c r="CS1812" s="717"/>
      <c r="CT1812" s="717"/>
      <c r="CU1812" s="717"/>
      <c r="CV1812" s="717"/>
      <c r="CW1812" s="717"/>
      <c r="CX1812" s="717"/>
      <c r="CY1812" s="717"/>
      <c r="CZ1812" s="717"/>
      <c r="DA1812" s="717"/>
      <c r="DB1812" s="717"/>
      <c r="DC1812" s="717"/>
      <c r="DD1812" s="717"/>
      <c r="DE1812" s="717"/>
      <c r="DF1812" s="717"/>
      <c r="DG1812" s="717"/>
      <c r="DH1812" s="717"/>
      <c r="DI1812" s="717"/>
      <c r="DJ1812" s="717"/>
      <c r="DM1812" s="711"/>
      <c r="DN1812" s="711"/>
      <c r="DO1812" s="711"/>
      <c r="DP1812" s="711"/>
      <c r="DQ1812" s="711"/>
    </row>
    <row r="1813" spans="13:121" s="709" customFormat="1" hidden="1">
      <c r="M1813" s="710"/>
      <c r="P1813" s="711"/>
      <c r="Q1813" s="712"/>
      <c r="U1813" s="711"/>
      <c r="V1813" s="711"/>
      <c r="W1813" s="711"/>
      <c r="X1813" s="711"/>
      <c r="Y1813" s="711"/>
      <c r="Z1813" s="711"/>
      <c r="AU1813" s="713"/>
      <c r="AW1813" s="712"/>
      <c r="BY1813" s="714"/>
      <c r="BZ1813" s="715"/>
      <c r="CA1813" s="716"/>
      <c r="CB1813" s="717"/>
      <c r="CC1813" s="717"/>
      <c r="CD1813" s="717"/>
      <c r="CE1813" s="717"/>
      <c r="CF1813" s="717"/>
      <c r="CG1813" s="717"/>
      <c r="CH1813" s="717"/>
      <c r="CI1813" s="717"/>
      <c r="CJ1813" s="717"/>
      <c r="CK1813" s="717"/>
      <c r="CL1813" s="717"/>
      <c r="CM1813" s="717"/>
      <c r="CN1813" s="717"/>
      <c r="CO1813" s="717"/>
      <c r="CP1813" s="717"/>
      <c r="CQ1813" s="717"/>
      <c r="CR1813" s="717"/>
      <c r="CS1813" s="717"/>
      <c r="CT1813" s="717"/>
      <c r="CU1813" s="717"/>
      <c r="CV1813" s="717"/>
      <c r="CW1813" s="717"/>
      <c r="CX1813" s="717"/>
      <c r="CY1813" s="717"/>
      <c r="CZ1813" s="717"/>
      <c r="DA1813" s="717"/>
      <c r="DB1813" s="717"/>
      <c r="DC1813" s="717"/>
      <c r="DD1813" s="717"/>
      <c r="DE1813" s="717"/>
      <c r="DF1813" s="717"/>
      <c r="DG1813" s="717"/>
      <c r="DH1813" s="717"/>
      <c r="DI1813" s="717"/>
      <c r="DJ1813" s="717"/>
      <c r="DM1813" s="711"/>
      <c r="DN1813" s="711"/>
      <c r="DO1813" s="711"/>
      <c r="DP1813" s="711"/>
      <c r="DQ1813" s="711"/>
    </row>
    <row r="1814" spans="13:121" s="709" customFormat="1" hidden="1">
      <c r="M1814" s="710"/>
      <c r="P1814" s="711"/>
      <c r="Q1814" s="712"/>
      <c r="U1814" s="711"/>
      <c r="V1814" s="711"/>
      <c r="W1814" s="711"/>
      <c r="X1814" s="711"/>
      <c r="Y1814" s="711"/>
      <c r="Z1814" s="711"/>
      <c r="AU1814" s="713"/>
      <c r="AW1814" s="712"/>
      <c r="BY1814" s="714"/>
      <c r="BZ1814" s="715"/>
      <c r="CA1814" s="716"/>
      <c r="CB1814" s="717"/>
      <c r="CC1814" s="717"/>
      <c r="CD1814" s="717"/>
      <c r="CE1814" s="717"/>
      <c r="CF1814" s="717"/>
      <c r="CG1814" s="717"/>
      <c r="CH1814" s="717"/>
      <c r="CI1814" s="717"/>
      <c r="CJ1814" s="717"/>
      <c r="CK1814" s="717"/>
      <c r="CL1814" s="717"/>
      <c r="CM1814" s="717"/>
      <c r="CN1814" s="717"/>
      <c r="CO1814" s="717"/>
      <c r="CP1814" s="717"/>
      <c r="CQ1814" s="717"/>
      <c r="CR1814" s="717"/>
      <c r="CS1814" s="717"/>
      <c r="CT1814" s="717"/>
      <c r="CU1814" s="717"/>
      <c r="CV1814" s="717"/>
      <c r="CW1814" s="717"/>
      <c r="CX1814" s="717"/>
      <c r="CY1814" s="717"/>
      <c r="CZ1814" s="717"/>
      <c r="DA1814" s="717"/>
      <c r="DB1814" s="717"/>
      <c r="DC1814" s="717"/>
      <c r="DD1814" s="717"/>
      <c r="DE1814" s="717"/>
      <c r="DF1814" s="717"/>
      <c r="DG1814" s="717"/>
      <c r="DH1814" s="717"/>
      <c r="DI1814" s="717"/>
      <c r="DJ1814" s="717"/>
      <c r="DM1814" s="711"/>
      <c r="DN1814" s="711"/>
      <c r="DO1814" s="711"/>
      <c r="DP1814" s="711"/>
      <c r="DQ1814" s="711"/>
    </row>
    <row r="1815" spans="13:121" s="709" customFormat="1" hidden="1">
      <c r="M1815" s="710"/>
      <c r="P1815" s="711"/>
      <c r="Q1815" s="712"/>
      <c r="U1815" s="711"/>
      <c r="V1815" s="711"/>
      <c r="W1815" s="711"/>
      <c r="X1815" s="711"/>
      <c r="Y1815" s="711"/>
      <c r="Z1815" s="711"/>
      <c r="AU1815" s="713"/>
      <c r="AW1815" s="712"/>
      <c r="BY1815" s="714"/>
      <c r="BZ1815" s="715"/>
      <c r="CA1815" s="716"/>
      <c r="CB1815" s="717"/>
      <c r="CC1815" s="717"/>
      <c r="CD1815" s="717"/>
      <c r="CE1815" s="717"/>
      <c r="CF1815" s="717"/>
      <c r="CG1815" s="717"/>
      <c r="CH1815" s="717"/>
      <c r="CI1815" s="717"/>
      <c r="CJ1815" s="717"/>
      <c r="CK1815" s="717"/>
      <c r="CL1815" s="717"/>
      <c r="CM1815" s="717"/>
      <c r="CN1815" s="717"/>
      <c r="CO1815" s="717"/>
      <c r="CP1815" s="717"/>
      <c r="CQ1815" s="717"/>
      <c r="CR1815" s="717"/>
      <c r="CS1815" s="717"/>
      <c r="CT1815" s="717"/>
      <c r="CU1815" s="717"/>
      <c r="CV1815" s="717"/>
      <c r="CW1815" s="717"/>
      <c r="CX1815" s="717"/>
      <c r="CY1815" s="717"/>
      <c r="CZ1815" s="717"/>
      <c r="DA1815" s="717"/>
      <c r="DB1815" s="717"/>
      <c r="DC1815" s="717"/>
      <c r="DD1815" s="717"/>
      <c r="DE1815" s="717"/>
      <c r="DF1815" s="717"/>
      <c r="DG1815" s="717"/>
      <c r="DH1815" s="717"/>
      <c r="DI1815" s="717"/>
      <c r="DJ1815" s="717"/>
      <c r="DM1815" s="711"/>
      <c r="DN1815" s="711"/>
      <c r="DO1815" s="711"/>
      <c r="DP1815" s="711"/>
      <c r="DQ1815" s="711"/>
    </row>
    <row r="1816" spans="13:121" s="709" customFormat="1" hidden="1">
      <c r="M1816" s="710"/>
      <c r="P1816" s="711"/>
      <c r="Q1816" s="712"/>
      <c r="U1816" s="711"/>
      <c r="V1816" s="711"/>
      <c r="W1816" s="711"/>
      <c r="X1816" s="711"/>
      <c r="Y1816" s="711"/>
      <c r="Z1816" s="711"/>
      <c r="AU1816" s="713"/>
      <c r="AW1816" s="712"/>
      <c r="BY1816" s="714"/>
      <c r="BZ1816" s="715"/>
      <c r="CA1816" s="716"/>
      <c r="CB1816" s="717"/>
      <c r="CC1816" s="717"/>
      <c r="CD1816" s="717"/>
      <c r="CE1816" s="717"/>
      <c r="CF1816" s="717"/>
      <c r="CG1816" s="717"/>
      <c r="CH1816" s="717"/>
      <c r="CI1816" s="717"/>
      <c r="CJ1816" s="717"/>
      <c r="CK1816" s="717"/>
      <c r="CL1816" s="717"/>
      <c r="CM1816" s="717"/>
      <c r="CN1816" s="717"/>
      <c r="CO1816" s="717"/>
      <c r="CP1816" s="717"/>
      <c r="CQ1816" s="717"/>
      <c r="CR1816" s="717"/>
      <c r="CS1816" s="717"/>
      <c r="CT1816" s="717"/>
      <c r="CU1816" s="717"/>
      <c r="CV1816" s="717"/>
      <c r="CW1816" s="717"/>
      <c r="CX1816" s="717"/>
      <c r="CY1816" s="717"/>
      <c r="CZ1816" s="717"/>
      <c r="DA1816" s="717"/>
      <c r="DB1816" s="717"/>
      <c r="DC1816" s="717"/>
      <c r="DD1816" s="717"/>
      <c r="DE1816" s="717"/>
      <c r="DF1816" s="717"/>
      <c r="DG1816" s="717"/>
      <c r="DH1816" s="717"/>
      <c r="DI1816" s="717"/>
      <c r="DJ1816" s="717"/>
      <c r="DM1816" s="711"/>
      <c r="DN1816" s="711"/>
      <c r="DO1816" s="711"/>
      <c r="DP1816" s="711"/>
      <c r="DQ1816" s="711"/>
    </row>
    <row r="1817" spans="13:121" s="709" customFormat="1" hidden="1">
      <c r="M1817" s="710"/>
      <c r="P1817" s="711"/>
      <c r="Q1817" s="712"/>
      <c r="U1817" s="711"/>
      <c r="V1817" s="711"/>
      <c r="W1817" s="711"/>
      <c r="X1817" s="711"/>
      <c r="Y1817" s="711"/>
      <c r="Z1817" s="711"/>
      <c r="AU1817" s="713"/>
      <c r="AW1817" s="712"/>
      <c r="BY1817" s="714"/>
      <c r="BZ1817" s="715"/>
      <c r="CA1817" s="716"/>
      <c r="CB1817" s="717"/>
      <c r="CC1817" s="717"/>
      <c r="CD1817" s="717"/>
      <c r="CE1817" s="717"/>
      <c r="CF1817" s="717"/>
      <c r="CG1817" s="717"/>
      <c r="CH1817" s="717"/>
      <c r="CI1817" s="717"/>
      <c r="CJ1817" s="717"/>
      <c r="CK1817" s="717"/>
      <c r="CL1817" s="717"/>
      <c r="CM1817" s="717"/>
      <c r="CN1817" s="717"/>
      <c r="CO1817" s="717"/>
      <c r="CP1817" s="717"/>
      <c r="CQ1817" s="717"/>
      <c r="CR1817" s="717"/>
      <c r="CS1817" s="717"/>
      <c r="CT1817" s="717"/>
      <c r="CU1817" s="717"/>
      <c r="CV1817" s="717"/>
      <c r="CW1817" s="717"/>
      <c r="CX1817" s="717"/>
      <c r="CY1817" s="717"/>
      <c r="CZ1817" s="717"/>
      <c r="DA1817" s="717"/>
      <c r="DB1817" s="717"/>
      <c r="DC1817" s="717"/>
      <c r="DD1817" s="717"/>
      <c r="DE1817" s="717"/>
      <c r="DF1817" s="717"/>
      <c r="DG1817" s="717"/>
      <c r="DH1817" s="717"/>
      <c r="DI1817" s="717"/>
      <c r="DJ1817" s="717"/>
      <c r="DM1817" s="711"/>
      <c r="DN1817" s="711"/>
      <c r="DO1817" s="711"/>
      <c r="DP1817" s="711"/>
      <c r="DQ1817" s="711"/>
    </row>
    <row r="1818" spans="13:121" s="709" customFormat="1" hidden="1">
      <c r="M1818" s="710"/>
      <c r="P1818" s="711"/>
      <c r="Q1818" s="712"/>
      <c r="U1818" s="711"/>
      <c r="V1818" s="711"/>
      <c r="W1818" s="711"/>
      <c r="X1818" s="711"/>
      <c r="Y1818" s="711"/>
      <c r="Z1818" s="711"/>
      <c r="AU1818" s="713"/>
      <c r="AW1818" s="712"/>
      <c r="BY1818" s="714"/>
      <c r="BZ1818" s="715"/>
      <c r="CA1818" s="716"/>
      <c r="CB1818" s="717"/>
      <c r="CC1818" s="717"/>
      <c r="CD1818" s="717"/>
      <c r="CE1818" s="717"/>
      <c r="CF1818" s="717"/>
      <c r="CG1818" s="717"/>
      <c r="CH1818" s="717"/>
      <c r="CI1818" s="717"/>
      <c r="CJ1818" s="717"/>
      <c r="CK1818" s="717"/>
      <c r="CL1818" s="717"/>
      <c r="CM1818" s="717"/>
      <c r="CN1818" s="717"/>
      <c r="CO1818" s="717"/>
      <c r="CP1818" s="717"/>
      <c r="CQ1818" s="717"/>
      <c r="CR1818" s="717"/>
      <c r="CS1818" s="717"/>
      <c r="CT1818" s="717"/>
      <c r="CU1818" s="717"/>
      <c r="CV1818" s="717"/>
      <c r="CW1818" s="717"/>
      <c r="CX1818" s="717"/>
      <c r="CY1818" s="717"/>
      <c r="CZ1818" s="717"/>
      <c r="DA1818" s="717"/>
      <c r="DB1818" s="717"/>
      <c r="DC1818" s="717"/>
      <c r="DD1818" s="717"/>
      <c r="DE1818" s="717"/>
      <c r="DF1818" s="717"/>
      <c r="DG1818" s="717"/>
      <c r="DH1818" s="717"/>
      <c r="DI1818" s="717"/>
      <c r="DJ1818" s="717"/>
      <c r="DM1818" s="711"/>
      <c r="DN1818" s="711"/>
      <c r="DO1818" s="711"/>
      <c r="DP1818" s="711"/>
      <c r="DQ1818" s="711"/>
    </row>
    <row r="1819" spans="13:121" s="709" customFormat="1" hidden="1">
      <c r="M1819" s="710"/>
      <c r="P1819" s="711"/>
      <c r="Q1819" s="712"/>
      <c r="U1819" s="711"/>
      <c r="V1819" s="711"/>
      <c r="W1819" s="711"/>
      <c r="X1819" s="711"/>
      <c r="Y1819" s="711"/>
      <c r="Z1819" s="711"/>
      <c r="AU1819" s="713"/>
      <c r="AW1819" s="712"/>
      <c r="BY1819" s="714"/>
      <c r="BZ1819" s="715"/>
      <c r="CA1819" s="716"/>
      <c r="CB1819" s="717"/>
      <c r="CC1819" s="717"/>
      <c r="CD1819" s="717"/>
      <c r="CE1819" s="717"/>
      <c r="CF1819" s="717"/>
      <c r="CG1819" s="717"/>
      <c r="CH1819" s="717"/>
      <c r="CI1819" s="717"/>
      <c r="CJ1819" s="717"/>
      <c r="CK1819" s="717"/>
      <c r="CL1819" s="717"/>
      <c r="CM1819" s="717"/>
      <c r="CN1819" s="717"/>
      <c r="CO1819" s="717"/>
      <c r="CP1819" s="717"/>
      <c r="CQ1819" s="717"/>
      <c r="CR1819" s="717"/>
      <c r="CS1819" s="717"/>
      <c r="CT1819" s="717"/>
      <c r="CU1819" s="717"/>
      <c r="CV1819" s="717"/>
      <c r="CW1819" s="717"/>
      <c r="CX1819" s="717"/>
      <c r="CY1819" s="717"/>
      <c r="CZ1819" s="717"/>
      <c r="DA1819" s="717"/>
      <c r="DB1819" s="717"/>
      <c r="DC1819" s="717"/>
      <c r="DD1819" s="717"/>
      <c r="DE1819" s="717"/>
      <c r="DF1819" s="717"/>
      <c r="DG1819" s="717"/>
      <c r="DH1819" s="717"/>
      <c r="DI1819" s="717"/>
      <c r="DJ1819" s="717"/>
      <c r="DM1819" s="711"/>
      <c r="DN1819" s="711"/>
      <c r="DO1819" s="711"/>
      <c r="DP1819" s="711"/>
      <c r="DQ1819" s="711"/>
    </row>
    <row r="1820" spans="13:121" s="709" customFormat="1" hidden="1">
      <c r="M1820" s="710"/>
      <c r="P1820" s="711"/>
      <c r="Q1820" s="712"/>
      <c r="U1820" s="711"/>
      <c r="V1820" s="711"/>
      <c r="W1820" s="711"/>
      <c r="X1820" s="711"/>
      <c r="Y1820" s="711"/>
      <c r="Z1820" s="711"/>
      <c r="AU1820" s="713"/>
      <c r="AW1820" s="712"/>
      <c r="BY1820" s="714"/>
      <c r="BZ1820" s="715"/>
      <c r="CA1820" s="716"/>
      <c r="CB1820" s="717"/>
      <c r="CC1820" s="717"/>
      <c r="CD1820" s="717"/>
      <c r="CE1820" s="717"/>
      <c r="CF1820" s="717"/>
      <c r="CG1820" s="717"/>
      <c r="CH1820" s="717"/>
      <c r="CI1820" s="717"/>
      <c r="CJ1820" s="717"/>
      <c r="CK1820" s="717"/>
      <c r="CL1820" s="717"/>
      <c r="CM1820" s="717"/>
      <c r="CN1820" s="717"/>
      <c r="CO1820" s="717"/>
      <c r="CP1820" s="717"/>
      <c r="CQ1820" s="717"/>
      <c r="CR1820" s="717"/>
      <c r="CS1820" s="717"/>
      <c r="CT1820" s="717"/>
      <c r="CU1820" s="717"/>
      <c r="CV1820" s="717"/>
      <c r="CW1820" s="717"/>
      <c r="CX1820" s="717"/>
      <c r="CY1820" s="717"/>
      <c r="CZ1820" s="717"/>
      <c r="DA1820" s="717"/>
      <c r="DB1820" s="717"/>
      <c r="DC1820" s="717"/>
      <c r="DD1820" s="717"/>
      <c r="DE1820" s="717"/>
      <c r="DF1820" s="717"/>
      <c r="DG1820" s="717"/>
      <c r="DH1820" s="717"/>
      <c r="DI1820" s="717"/>
      <c r="DJ1820" s="717"/>
      <c r="DM1820" s="711"/>
      <c r="DN1820" s="711"/>
      <c r="DO1820" s="711"/>
      <c r="DP1820" s="711"/>
      <c r="DQ1820" s="711"/>
    </row>
    <row r="1821" spans="13:121" s="709" customFormat="1" hidden="1">
      <c r="M1821" s="710"/>
      <c r="P1821" s="711"/>
      <c r="Q1821" s="712"/>
      <c r="U1821" s="711"/>
      <c r="V1821" s="711"/>
      <c r="W1821" s="711"/>
      <c r="X1821" s="711"/>
      <c r="Y1821" s="711"/>
      <c r="Z1821" s="711"/>
      <c r="AU1821" s="713"/>
      <c r="AW1821" s="712"/>
      <c r="BY1821" s="714"/>
      <c r="BZ1821" s="715"/>
      <c r="CA1821" s="716"/>
      <c r="CB1821" s="717"/>
      <c r="CC1821" s="717"/>
      <c r="CD1821" s="717"/>
      <c r="CE1821" s="717"/>
      <c r="CF1821" s="717"/>
      <c r="CG1821" s="717"/>
      <c r="CH1821" s="717"/>
      <c r="CI1821" s="717"/>
      <c r="CJ1821" s="717"/>
      <c r="CK1821" s="717"/>
      <c r="CL1821" s="717"/>
      <c r="CM1821" s="717"/>
      <c r="CN1821" s="717"/>
      <c r="CO1821" s="717"/>
      <c r="CP1821" s="717"/>
      <c r="CQ1821" s="717"/>
      <c r="CR1821" s="717"/>
      <c r="CS1821" s="717"/>
      <c r="CT1821" s="717"/>
      <c r="CU1821" s="717"/>
      <c r="CV1821" s="717"/>
      <c r="CW1821" s="717"/>
      <c r="CX1821" s="717"/>
      <c r="CY1821" s="717"/>
      <c r="CZ1821" s="717"/>
      <c r="DA1821" s="717"/>
      <c r="DB1821" s="717"/>
      <c r="DC1821" s="717"/>
      <c r="DD1821" s="717"/>
      <c r="DE1821" s="717"/>
      <c r="DF1821" s="717"/>
      <c r="DG1821" s="717"/>
      <c r="DH1821" s="717"/>
      <c r="DI1821" s="717"/>
      <c r="DJ1821" s="717"/>
      <c r="DM1821" s="711"/>
      <c r="DN1821" s="711"/>
      <c r="DO1821" s="711"/>
      <c r="DP1821" s="711"/>
      <c r="DQ1821" s="711"/>
    </row>
    <row r="1822" spans="13:121" s="709" customFormat="1" hidden="1">
      <c r="M1822" s="710"/>
      <c r="P1822" s="711"/>
      <c r="Q1822" s="712"/>
      <c r="U1822" s="711"/>
      <c r="V1822" s="711"/>
      <c r="W1822" s="711"/>
      <c r="X1822" s="711"/>
      <c r="Y1822" s="711"/>
      <c r="Z1822" s="711"/>
      <c r="AU1822" s="713"/>
      <c r="AW1822" s="712"/>
      <c r="BY1822" s="714"/>
      <c r="BZ1822" s="715"/>
      <c r="CA1822" s="716"/>
      <c r="CB1822" s="717"/>
      <c r="CC1822" s="717"/>
      <c r="CD1822" s="717"/>
      <c r="CE1822" s="717"/>
      <c r="CF1822" s="717"/>
      <c r="CG1822" s="717"/>
      <c r="CH1822" s="717"/>
      <c r="CI1822" s="717"/>
      <c r="CJ1822" s="717"/>
      <c r="CK1822" s="717"/>
      <c r="CL1822" s="717"/>
      <c r="CM1822" s="717"/>
      <c r="CN1822" s="717"/>
      <c r="CO1822" s="717"/>
      <c r="CP1822" s="717"/>
      <c r="CQ1822" s="717"/>
      <c r="CR1822" s="717"/>
      <c r="CS1822" s="717"/>
      <c r="CT1822" s="717"/>
      <c r="CU1822" s="717"/>
      <c r="CV1822" s="717"/>
      <c r="CW1822" s="717"/>
      <c r="CX1822" s="717"/>
      <c r="CY1822" s="717"/>
      <c r="CZ1822" s="717"/>
      <c r="DA1822" s="717"/>
      <c r="DB1822" s="717"/>
      <c r="DC1822" s="717"/>
      <c r="DD1822" s="717"/>
      <c r="DE1822" s="717"/>
      <c r="DF1822" s="717"/>
      <c r="DG1822" s="717"/>
      <c r="DH1822" s="717"/>
      <c r="DI1822" s="717"/>
      <c r="DJ1822" s="717"/>
      <c r="DM1822" s="711"/>
      <c r="DN1822" s="711"/>
      <c r="DO1822" s="711"/>
      <c r="DP1822" s="711"/>
      <c r="DQ1822" s="711"/>
    </row>
    <row r="1823" spans="13:121" s="709" customFormat="1" hidden="1">
      <c r="M1823" s="710"/>
      <c r="P1823" s="711"/>
      <c r="Q1823" s="712"/>
      <c r="U1823" s="711"/>
      <c r="V1823" s="711"/>
      <c r="W1823" s="711"/>
      <c r="X1823" s="711"/>
      <c r="Y1823" s="711"/>
      <c r="Z1823" s="711"/>
      <c r="AU1823" s="713"/>
      <c r="AW1823" s="712"/>
      <c r="BY1823" s="714"/>
      <c r="BZ1823" s="715"/>
      <c r="CA1823" s="716"/>
      <c r="CB1823" s="717"/>
      <c r="CC1823" s="717"/>
      <c r="CD1823" s="717"/>
      <c r="CE1823" s="717"/>
      <c r="CF1823" s="717"/>
      <c r="CG1823" s="717"/>
      <c r="CH1823" s="717"/>
      <c r="CI1823" s="717"/>
      <c r="CJ1823" s="717"/>
      <c r="CK1823" s="717"/>
      <c r="CL1823" s="717"/>
      <c r="CM1823" s="717"/>
      <c r="CN1823" s="717"/>
      <c r="CO1823" s="717"/>
      <c r="CP1823" s="717"/>
      <c r="CQ1823" s="717"/>
      <c r="CR1823" s="717"/>
      <c r="CS1823" s="717"/>
      <c r="CT1823" s="717"/>
      <c r="CU1823" s="717"/>
      <c r="CV1823" s="717"/>
      <c r="CW1823" s="717"/>
      <c r="CX1823" s="717"/>
      <c r="CY1823" s="717"/>
      <c r="CZ1823" s="717"/>
      <c r="DA1823" s="717"/>
      <c r="DB1823" s="717"/>
      <c r="DC1823" s="717"/>
      <c r="DD1823" s="717"/>
      <c r="DE1823" s="717"/>
      <c r="DF1823" s="717"/>
      <c r="DG1823" s="717"/>
      <c r="DH1823" s="717"/>
      <c r="DI1823" s="717"/>
      <c r="DJ1823" s="717"/>
      <c r="DM1823" s="711"/>
      <c r="DN1823" s="711"/>
      <c r="DO1823" s="711"/>
      <c r="DP1823" s="711"/>
      <c r="DQ1823" s="711"/>
    </row>
    <row r="1824" spans="13:121" s="709" customFormat="1" hidden="1">
      <c r="M1824" s="710"/>
      <c r="P1824" s="711"/>
      <c r="Q1824" s="712"/>
      <c r="U1824" s="711"/>
      <c r="V1824" s="711"/>
      <c r="W1824" s="711"/>
      <c r="X1824" s="711"/>
      <c r="Y1824" s="711"/>
      <c r="Z1824" s="711"/>
      <c r="AU1824" s="713"/>
      <c r="AW1824" s="712"/>
      <c r="BY1824" s="714"/>
      <c r="BZ1824" s="715"/>
      <c r="CA1824" s="716"/>
      <c r="CB1824" s="717"/>
      <c r="CC1824" s="717"/>
      <c r="CD1824" s="717"/>
      <c r="CE1824" s="717"/>
      <c r="CF1824" s="717"/>
      <c r="CG1824" s="717"/>
      <c r="CH1824" s="717"/>
      <c r="CI1824" s="717"/>
      <c r="CJ1824" s="717"/>
      <c r="CK1824" s="717"/>
      <c r="CL1824" s="717"/>
      <c r="CM1824" s="717"/>
      <c r="CN1824" s="717"/>
      <c r="CO1824" s="717"/>
      <c r="CP1824" s="717"/>
      <c r="CQ1824" s="717"/>
      <c r="CR1824" s="717"/>
      <c r="CS1824" s="717"/>
      <c r="CT1824" s="717"/>
      <c r="CU1824" s="717"/>
      <c r="CV1824" s="717"/>
      <c r="CW1824" s="717"/>
      <c r="CX1824" s="717"/>
      <c r="CY1824" s="717"/>
      <c r="CZ1824" s="717"/>
      <c r="DA1824" s="717"/>
      <c r="DB1824" s="717"/>
      <c r="DC1824" s="717"/>
      <c r="DD1824" s="717"/>
      <c r="DE1824" s="717"/>
      <c r="DF1824" s="717"/>
      <c r="DG1824" s="717"/>
      <c r="DH1824" s="717"/>
      <c r="DI1824" s="717"/>
      <c r="DJ1824" s="717"/>
      <c r="DM1824" s="711"/>
      <c r="DN1824" s="711"/>
      <c r="DO1824" s="711"/>
      <c r="DP1824" s="711"/>
      <c r="DQ1824" s="711"/>
    </row>
    <row r="1825" spans="13:121" s="709" customFormat="1" hidden="1">
      <c r="M1825" s="710"/>
      <c r="P1825" s="711"/>
      <c r="Q1825" s="712"/>
      <c r="U1825" s="711"/>
      <c r="V1825" s="711"/>
      <c r="W1825" s="711"/>
      <c r="X1825" s="711"/>
      <c r="Y1825" s="711"/>
      <c r="Z1825" s="711"/>
      <c r="AU1825" s="713"/>
      <c r="AW1825" s="712"/>
      <c r="BY1825" s="714"/>
      <c r="BZ1825" s="715"/>
      <c r="CA1825" s="716"/>
      <c r="CB1825" s="717"/>
      <c r="CC1825" s="717"/>
      <c r="CD1825" s="717"/>
      <c r="CE1825" s="717"/>
      <c r="CF1825" s="717"/>
      <c r="CG1825" s="717"/>
      <c r="CH1825" s="717"/>
      <c r="CI1825" s="717"/>
      <c r="CJ1825" s="717"/>
      <c r="CK1825" s="717"/>
      <c r="CL1825" s="717"/>
      <c r="CM1825" s="717"/>
      <c r="CN1825" s="717"/>
      <c r="CO1825" s="717"/>
      <c r="CP1825" s="717"/>
      <c r="CQ1825" s="717"/>
      <c r="CR1825" s="717"/>
      <c r="CS1825" s="717"/>
      <c r="CT1825" s="717"/>
      <c r="CU1825" s="717"/>
      <c r="CV1825" s="717"/>
      <c r="CW1825" s="717"/>
      <c r="CX1825" s="717"/>
      <c r="CY1825" s="717"/>
      <c r="CZ1825" s="717"/>
      <c r="DA1825" s="717"/>
      <c r="DB1825" s="717"/>
      <c r="DC1825" s="717"/>
      <c r="DD1825" s="717"/>
      <c r="DE1825" s="717"/>
      <c r="DF1825" s="717"/>
      <c r="DG1825" s="717"/>
      <c r="DH1825" s="717"/>
      <c r="DI1825" s="717"/>
      <c r="DJ1825" s="717"/>
      <c r="DM1825" s="711"/>
      <c r="DN1825" s="711"/>
      <c r="DO1825" s="711"/>
      <c r="DP1825" s="711"/>
      <c r="DQ1825" s="711"/>
    </row>
    <row r="1826" spans="13:121" s="709" customFormat="1" hidden="1">
      <c r="M1826" s="710"/>
      <c r="P1826" s="711"/>
      <c r="Q1826" s="712"/>
      <c r="U1826" s="711"/>
      <c r="V1826" s="711"/>
      <c r="W1826" s="711"/>
      <c r="X1826" s="711"/>
      <c r="Y1826" s="711"/>
      <c r="Z1826" s="711"/>
      <c r="AU1826" s="713"/>
      <c r="AW1826" s="712"/>
      <c r="BY1826" s="714"/>
      <c r="BZ1826" s="715"/>
      <c r="CA1826" s="716"/>
      <c r="CB1826" s="717"/>
      <c r="CC1826" s="717"/>
      <c r="CD1826" s="717"/>
      <c r="CE1826" s="717"/>
      <c r="CF1826" s="717"/>
      <c r="CG1826" s="717"/>
      <c r="CH1826" s="717"/>
      <c r="CI1826" s="717"/>
      <c r="CJ1826" s="717"/>
      <c r="CK1826" s="717"/>
      <c r="CL1826" s="717"/>
      <c r="CM1826" s="717"/>
      <c r="CN1826" s="717"/>
      <c r="CO1826" s="717"/>
      <c r="CP1826" s="717"/>
      <c r="CQ1826" s="717"/>
      <c r="CR1826" s="717"/>
      <c r="CS1826" s="717"/>
      <c r="CT1826" s="717"/>
      <c r="CU1826" s="717"/>
      <c r="CV1826" s="717"/>
      <c r="CW1826" s="717"/>
      <c r="CX1826" s="717"/>
      <c r="CY1826" s="717"/>
      <c r="CZ1826" s="717"/>
      <c r="DA1826" s="717"/>
      <c r="DB1826" s="717"/>
      <c r="DC1826" s="717"/>
      <c r="DD1826" s="717"/>
      <c r="DE1826" s="717"/>
      <c r="DF1826" s="717"/>
      <c r="DG1826" s="717"/>
      <c r="DH1826" s="717"/>
      <c r="DI1826" s="717"/>
      <c r="DJ1826" s="717"/>
      <c r="DM1826" s="711"/>
      <c r="DN1826" s="711"/>
      <c r="DO1826" s="711"/>
      <c r="DP1826" s="711"/>
      <c r="DQ1826" s="711"/>
    </row>
    <row r="1827" spans="13:121" s="709" customFormat="1" hidden="1">
      <c r="M1827" s="710"/>
      <c r="P1827" s="711"/>
      <c r="Q1827" s="712"/>
      <c r="U1827" s="711"/>
      <c r="V1827" s="711"/>
      <c r="W1827" s="711"/>
      <c r="X1827" s="711"/>
      <c r="Y1827" s="711"/>
      <c r="Z1827" s="711"/>
      <c r="AU1827" s="713"/>
      <c r="AW1827" s="712"/>
      <c r="BY1827" s="714"/>
      <c r="BZ1827" s="715"/>
      <c r="CA1827" s="716"/>
      <c r="CB1827" s="717"/>
      <c r="CC1827" s="717"/>
      <c r="CD1827" s="717"/>
      <c r="CE1827" s="717"/>
      <c r="CF1827" s="717"/>
      <c r="CG1827" s="717"/>
      <c r="CH1827" s="717"/>
      <c r="CI1827" s="717"/>
      <c r="CJ1827" s="717"/>
      <c r="CK1827" s="717"/>
      <c r="CL1827" s="717"/>
      <c r="CM1827" s="717"/>
      <c r="CN1827" s="717"/>
      <c r="CO1827" s="717"/>
      <c r="CP1827" s="717"/>
      <c r="CQ1827" s="717"/>
      <c r="CR1827" s="717"/>
      <c r="CS1827" s="717"/>
      <c r="CT1827" s="717"/>
      <c r="CU1827" s="717"/>
      <c r="CV1827" s="717"/>
      <c r="CW1827" s="717"/>
      <c r="CX1827" s="717"/>
      <c r="CY1827" s="717"/>
      <c r="CZ1827" s="717"/>
      <c r="DA1827" s="717"/>
      <c r="DB1827" s="717"/>
      <c r="DC1827" s="717"/>
      <c r="DD1827" s="717"/>
      <c r="DE1827" s="717"/>
      <c r="DF1827" s="717"/>
      <c r="DG1827" s="717"/>
      <c r="DH1827" s="717"/>
      <c r="DI1827" s="717"/>
      <c r="DJ1827" s="717"/>
      <c r="DM1827" s="711"/>
      <c r="DN1827" s="711"/>
      <c r="DO1827" s="711"/>
      <c r="DP1827" s="711"/>
      <c r="DQ1827" s="711"/>
    </row>
    <row r="1828" spans="13:121" s="709" customFormat="1" hidden="1">
      <c r="M1828" s="710"/>
      <c r="P1828" s="711"/>
      <c r="Q1828" s="712"/>
      <c r="U1828" s="711"/>
      <c r="V1828" s="711"/>
      <c r="W1828" s="711"/>
      <c r="X1828" s="711"/>
      <c r="Y1828" s="711"/>
      <c r="Z1828" s="711"/>
      <c r="AU1828" s="713"/>
      <c r="AW1828" s="712"/>
      <c r="BY1828" s="714"/>
      <c r="BZ1828" s="715"/>
      <c r="CA1828" s="716"/>
      <c r="CB1828" s="717"/>
      <c r="CC1828" s="717"/>
      <c r="CD1828" s="717"/>
      <c r="CE1828" s="717"/>
      <c r="CF1828" s="717"/>
      <c r="CG1828" s="717"/>
      <c r="CH1828" s="717"/>
      <c r="CI1828" s="717"/>
      <c r="CJ1828" s="717"/>
      <c r="CK1828" s="717"/>
      <c r="CL1828" s="717"/>
      <c r="CM1828" s="717"/>
      <c r="CN1828" s="717"/>
      <c r="CO1828" s="717"/>
      <c r="CP1828" s="717"/>
      <c r="CQ1828" s="717"/>
      <c r="CR1828" s="717"/>
      <c r="CS1828" s="717"/>
      <c r="CT1828" s="717"/>
      <c r="CU1828" s="717"/>
      <c r="CV1828" s="717"/>
      <c r="CW1828" s="717"/>
      <c r="CX1828" s="717"/>
      <c r="CY1828" s="717"/>
      <c r="CZ1828" s="717"/>
      <c r="DA1828" s="717"/>
      <c r="DB1828" s="717"/>
      <c r="DC1828" s="717"/>
      <c r="DD1828" s="717"/>
      <c r="DE1828" s="717"/>
      <c r="DF1828" s="717"/>
      <c r="DG1828" s="717"/>
      <c r="DH1828" s="717"/>
      <c r="DI1828" s="717"/>
      <c r="DJ1828" s="717"/>
      <c r="DM1828" s="711"/>
      <c r="DN1828" s="711"/>
      <c r="DO1828" s="711"/>
      <c r="DP1828" s="711"/>
      <c r="DQ1828" s="711"/>
    </row>
    <row r="1829" spans="13:121" s="709" customFormat="1" hidden="1">
      <c r="M1829" s="710"/>
      <c r="P1829" s="711"/>
      <c r="Q1829" s="712"/>
      <c r="U1829" s="711"/>
      <c r="V1829" s="711"/>
      <c r="W1829" s="711"/>
      <c r="X1829" s="711"/>
      <c r="Y1829" s="711"/>
      <c r="Z1829" s="711"/>
      <c r="AU1829" s="713"/>
      <c r="AW1829" s="712"/>
      <c r="BY1829" s="714"/>
      <c r="BZ1829" s="715"/>
      <c r="CA1829" s="716"/>
      <c r="CB1829" s="717"/>
      <c r="CC1829" s="717"/>
      <c r="CD1829" s="717"/>
      <c r="CE1829" s="717"/>
      <c r="CF1829" s="717"/>
      <c r="CG1829" s="717"/>
      <c r="CH1829" s="717"/>
      <c r="CI1829" s="717"/>
      <c r="CJ1829" s="717"/>
      <c r="CK1829" s="717"/>
      <c r="CL1829" s="717"/>
      <c r="CM1829" s="717"/>
      <c r="CN1829" s="717"/>
      <c r="CO1829" s="717"/>
      <c r="CP1829" s="717"/>
      <c r="CQ1829" s="717"/>
      <c r="CR1829" s="717"/>
      <c r="CS1829" s="717"/>
      <c r="CT1829" s="717"/>
      <c r="CU1829" s="717"/>
      <c r="CV1829" s="717"/>
      <c r="CW1829" s="717"/>
      <c r="CX1829" s="717"/>
      <c r="CY1829" s="717"/>
      <c r="CZ1829" s="717"/>
      <c r="DA1829" s="717"/>
      <c r="DB1829" s="717"/>
      <c r="DC1829" s="717"/>
      <c r="DD1829" s="717"/>
      <c r="DE1829" s="717"/>
      <c r="DF1829" s="717"/>
      <c r="DG1829" s="717"/>
      <c r="DH1829" s="717"/>
      <c r="DI1829" s="717"/>
      <c r="DJ1829" s="717"/>
      <c r="DM1829" s="711"/>
      <c r="DN1829" s="711"/>
      <c r="DO1829" s="711"/>
      <c r="DP1829" s="711"/>
      <c r="DQ1829" s="711"/>
    </row>
    <row r="1830" spans="13:121" s="709" customFormat="1" hidden="1">
      <c r="M1830" s="710"/>
      <c r="P1830" s="711"/>
      <c r="Q1830" s="712"/>
      <c r="U1830" s="711"/>
      <c r="V1830" s="711"/>
      <c r="W1830" s="711"/>
      <c r="X1830" s="711"/>
      <c r="Y1830" s="711"/>
      <c r="Z1830" s="711"/>
      <c r="AU1830" s="713"/>
      <c r="AW1830" s="712"/>
      <c r="BY1830" s="714"/>
      <c r="BZ1830" s="715"/>
      <c r="CA1830" s="716"/>
      <c r="CB1830" s="717"/>
      <c r="CC1830" s="717"/>
      <c r="CD1830" s="717"/>
      <c r="CE1830" s="717"/>
      <c r="CF1830" s="717"/>
      <c r="CG1830" s="717"/>
      <c r="CH1830" s="717"/>
      <c r="CI1830" s="717"/>
      <c r="CJ1830" s="717"/>
      <c r="CK1830" s="717"/>
      <c r="CL1830" s="717"/>
      <c r="CM1830" s="717"/>
      <c r="CN1830" s="717"/>
      <c r="CO1830" s="717"/>
      <c r="CP1830" s="717"/>
      <c r="CQ1830" s="717"/>
      <c r="CR1830" s="717"/>
      <c r="CS1830" s="717"/>
      <c r="CT1830" s="717"/>
      <c r="CU1830" s="717"/>
      <c r="CV1830" s="717"/>
      <c r="CW1830" s="717"/>
      <c r="CX1830" s="717"/>
      <c r="CY1830" s="717"/>
      <c r="CZ1830" s="717"/>
      <c r="DA1830" s="717"/>
      <c r="DB1830" s="717"/>
      <c r="DC1830" s="717"/>
      <c r="DD1830" s="717"/>
      <c r="DE1830" s="717"/>
      <c r="DF1830" s="717"/>
      <c r="DG1830" s="717"/>
      <c r="DH1830" s="717"/>
      <c r="DI1830" s="717"/>
      <c r="DJ1830" s="717"/>
      <c r="DM1830" s="711"/>
      <c r="DN1830" s="711"/>
      <c r="DO1830" s="711"/>
      <c r="DP1830" s="711"/>
      <c r="DQ1830" s="711"/>
    </row>
    <row r="1831" spans="13:121" s="709" customFormat="1" hidden="1">
      <c r="M1831" s="710"/>
      <c r="P1831" s="711"/>
      <c r="Q1831" s="712"/>
      <c r="U1831" s="711"/>
      <c r="V1831" s="711"/>
      <c r="W1831" s="711"/>
      <c r="X1831" s="711"/>
      <c r="Y1831" s="711"/>
      <c r="Z1831" s="711"/>
      <c r="AU1831" s="713"/>
      <c r="AW1831" s="712"/>
      <c r="BY1831" s="714"/>
      <c r="BZ1831" s="715"/>
      <c r="CA1831" s="716"/>
      <c r="CB1831" s="717"/>
      <c r="CC1831" s="717"/>
      <c r="CD1831" s="717"/>
      <c r="CE1831" s="717"/>
      <c r="CF1831" s="717"/>
      <c r="CG1831" s="717"/>
      <c r="CH1831" s="717"/>
      <c r="CI1831" s="717"/>
      <c r="CJ1831" s="717"/>
      <c r="CK1831" s="717"/>
      <c r="CL1831" s="717"/>
      <c r="CM1831" s="717"/>
      <c r="CN1831" s="717"/>
      <c r="CO1831" s="717"/>
      <c r="CP1831" s="717"/>
      <c r="CQ1831" s="717"/>
      <c r="CR1831" s="717"/>
      <c r="CS1831" s="717"/>
      <c r="CT1831" s="717"/>
      <c r="CU1831" s="717"/>
      <c r="CV1831" s="717"/>
      <c r="CW1831" s="717"/>
      <c r="CX1831" s="717"/>
      <c r="CY1831" s="717"/>
      <c r="CZ1831" s="717"/>
      <c r="DA1831" s="717"/>
      <c r="DB1831" s="717"/>
      <c r="DC1831" s="717"/>
      <c r="DD1831" s="717"/>
      <c r="DE1831" s="717"/>
      <c r="DF1831" s="717"/>
      <c r="DG1831" s="717"/>
      <c r="DH1831" s="717"/>
      <c r="DI1831" s="717"/>
      <c r="DJ1831" s="717"/>
      <c r="DM1831" s="711"/>
      <c r="DN1831" s="711"/>
      <c r="DO1831" s="711"/>
      <c r="DP1831" s="711"/>
      <c r="DQ1831" s="711"/>
    </row>
    <row r="1832" spans="13:121" s="709" customFormat="1" hidden="1">
      <c r="M1832" s="710"/>
      <c r="P1832" s="711"/>
      <c r="Q1832" s="712"/>
      <c r="U1832" s="711"/>
      <c r="V1832" s="711"/>
      <c r="W1832" s="711"/>
      <c r="X1832" s="711"/>
      <c r="Y1832" s="711"/>
      <c r="Z1832" s="711"/>
      <c r="AU1832" s="713"/>
      <c r="AW1832" s="712"/>
      <c r="BY1832" s="714"/>
      <c r="BZ1832" s="715"/>
      <c r="CA1832" s="716"/>
      <c r="CB1832" s="717"/>
      <c r="CC1832" s="717"/>
      <c r="CD1832" s="717"/>
      <c r="CE1832" s="717"/>
      <c r="CF1832" s="717"/>
      <c r="CG1832" s="717"/>
      <c r="CH1832" s="717"/>
      <c r="CI1832" s="717"/>
      <c r="CJ1832" s="717"/>
      <c r="CK1832" s="717"/>
      <c r="CL1832" s="717"/>
      <c r="CM1832" s="717"/>
      <c r="CN1832" s="717"/>
      <c r="CO1832" s="717"/>
      <c r="CP1832" s="717"/>
      <c r="CQ1832" s="717"/>
      <c r="CR1832" s="717"/>
      <c r="CS1832" s="717"/>
      <c r="CT1832" s="717"/>
      <c r="CU1832" s="717"/>
      <c r="CV1832" s="717"/>
      <c r="CW1832" s="717"/>
      <c r="CX1832" s="717"/>
      <c r="CY1832" s="717"/>
      <c r="CZ1832" s="717"/>
      <c r="DA1832" s="717"/>
      <c r="DB1832" s="717"/>
      <c r="DC1832" s="717"/>
      <c r="DD1832" s="717"/>
      <c r="DE1832" s="717"/>
      <c r="DF1832" s="717"/>
      <c r="DG1832" s="717"/>
      <c r="DH1832" s="717"/>
      <c r="DI1832" s="717"/>
      <c r="DJ1832" s="717"/>
      <c r="DM1832" s="711"/>
      <c r="DN1832" s="711"/>
      <c r="DO1832" s="711"/>
      <c r="DP1832" s="711"/>
      <c r="DQ1832" s="711"/>
    </row>
    <row r="1833" spans="13:121" s="709" customFormat="1" hidden="1">
      <c r="M1833" s="710"/>
      <c r="P1833" s="711"/>
      <c r="Q1833" s="712"/>
      <c r="U1833" s="711"/>
      <c r="V1833" s="711"/>
      <c r="W1833" s="711"/>
      <c r="X1833" s="711"/>
      <c r="Y1833" s="711"/>
      <c r="Z1833" s="711"/>
      <c r="AU1833" s="713"/>
      <c r="AW1833" s="712"/>
      <c r="BY1833" s="714"/>
      <c r="BZ1833" s="715"/>
      <c r="CA1833" s="716"/>
      <c r="CB1833" s="717"/>
      <c r="CC1833" s="717"/>
      <c r="CD1833" s="717"/>
      <c r="CE1833" s="717"/>
      <c r="CF1833" s="717"/>
      <c r="CG1833" s="717"/>
      <c r="CH1833" s="717"/>
      <c r="CI1833" s="717"/>
      <c r="CJ1833" s="717"/>
      <c r="CK1833" s="717"/>
      <c r="CL1833" s="717"/>
      <c r="CM1833" s="717"/>
      <c r="CN1833" s="717"/>
      <c r="CO1833" s="717"/>
      <c r="CP1833" s="717"/>
      <c r="CQ1833" s="717"/>
      <c r="CR1833" s="717"/>
      <c r="CS1833" s="717"/>
      <c r="CT1833" s="717"/>
      <c r="CU1833" s="717"/>
      <c r="CV1833" s="717"/>
      <c r="CW1833" s="717"/>
      <c r="CX1833" s="717"/>
      <c r="CY1833" s="717"/>
      <c r="CZ1833" s="717"/>
      <c r="DA1833" s="717"/>
      <c r="DB1833" s="717"/>
      <c r="DC1833" s="717"/>
      <c r="DD1833" s="717"/>
      <c r="DE1833" s="717"/>
      <c r="DF1833" s="717"/>
      <c r="DG1833" s="717"/>
      <c r="DH1833" s="717"/>
      <c r="DI1833" s="717"/>
      <c r="DJ1833" s="717"/>
      <c r="DM1833" s="711"/>
      <c r="DN1833" s="711"/>
      <c r="DO1833" s="711"/>
      <c r="DP1833" s="711"/>
      <c r="DQ1833" s="711"/>
    </row>
    <row r="1834" spans="13:121" s="709" customFormat="1" hidden="1">
      <c r="M1834" s="710"/>
      <c r="P1834" s="711"/>
      <c r="Q1834" s="712"/>
      <c r="U1834" s="711"/>
      <c r="V1834" s="711"/>
      <c r="W1834" s="711"/>
      <c r="X1834" s="711"/>
      <c r="Y1834" s="711"/>
      <c r="Z1834" s="711"/>
      <c r="AU1834" s="713"/>
      <c r="AW1834" s="712"/>
      <c r="BY1834" s="714"/>
      <c r="BZ1834" s="715"/>
      <c r="CA1834" s="716"/>
      <c r="CB1834" s="717"/>
      <c r="CC1834" s="717"/>
      <c r="CD1834" s="717"/>
      <c r="CE1834" s="717"/>
      <c r="CF1834" s="717"/>
      <c r="CG1834" s="717"/>
      <c r="CH1834" s="717"/>
      <c r="CI1834" s="717"/>
      <c r="CJ1834" s="717"/>
      <c r="CK1834" s="717"/>
      <c r="CL1834" s="717"/>
      <c r="CM1834" s="717"/>
      <c r="CN1834" s="717"/>
      <c r="CO1834" s="717"/>
      <c r="CP1834" s="717"/>
      <c r="CQ1834" s="717"/>
      <c r="CR1834" s="717"/>
      <c r="CS1834" s="717"/>
      <c r="CT1834" s="717"/>
      <c r="CU1834" s="717"/>
      <c r="CV1834" s="717"/>
      <c r="CW1834" s="717"/>
      <c r="CX1834" s="717"/>
      <c r="CY1834" s="717"/>
      <c r="CZ1834" s="717"/>
      <c r="DA1834" s="717"/>
      <c r="DB1834" s="717"/>
      <c r="DC1834" s="717"/>
      <c r="DD1834" s="717"/>
      <c r="DE1834" s="717"/>
      <c r="DF1834" s="717"/>
      <c r="DG1834" s="717"/>
      <c r="DH1834" s="717"/>
      <c r="DI1834" s="717"/>
      <c r="DJ1834" s="717"/>
      <c r="DM1834" s="711"/>
      <c r="DN1834" s="711"/>
      <c r="DO1834" s="711"/>
      <c r="DP1834" s="711"/>
      <c r="DQ1834" s="711"/>
    </row>
    <row r="1835" spans="13:121" s="709" customFormat="1" hidden="1">
      <c r="M1835" s="710"/>
      <c r="P1835" s="711"/>
      <c r="Q1835" s="712"/>
      <c r="U1835" s="711"/>
      <c r="V1835" s="711"/>
      <c r="W1835" s="711"/>
      <c r="X1835" s="711"/>
      <c r="Y1835" s="711"/>
      <c r="Z1835" s="711"/>
      <c r="AU1835" s="713"/>
      <c r="AW1835" s="712"/>
      <c r="BY1835" s="714"/>
      <c r="BZ1835" s="715"/>
      <c r="CA1835" s="716"/>
      <c r="CB1835" s="717"/>
      <c r="CC1835" s="717"/>
      <c r="CD1835" s="717"/>
      <c r="CE1835" s="717"/>
      <c r="CF1835" s="717"/>
      <c r="CG1835" s="717"/>
      <c r="CH1835" s="717"/>
      <c r="CI1835" s="717"/>
      <c r="CJ1835" s="717"/>
      <c r="CK1835" s="717"/>
      <c r="CL1835" s="717"/>
      <c r="CM1835" s="717"/>
      <c r="CN1835" s="717"/>
      <c r="CO1835" s="717"/>
      <c r="CP1835" s="717"/>
      <c r="CQ1835" s="717"/>
      <c r="CR1835" s="717"/>
      <c r="CS1835" s="717"/>
      <c r="CT1835" s="717"/>
      <c r="CU1835" s="717"/>
      <c r="CV1835" s="717"/>
      <c r="CW1835" s="717"/>
      <c r="CX1835" s="717"/>
      <c r="CY1835" s="717"/>
      <c r="CZ1835" s="717"/>
      <c r="DA1835" s="717"/>
      <c r="DB1835" s="717"/>
      <c r="DC1835" s="717"/>
      <c r="DD1835" s="717"/>
      <c r="DE1835" s="717"/>
      <c r="DF1835" s="717"/>
      <c r="DG1835" s="717"/>
      <c r="DH1835" s="717"/>
      <c r="DI1835" s="717"/>
      <c r="DJ1835" s="717"/>
      <c r="DM1835" s="711"/>
      <c r="DN1835" s="711"/>
      <c r="DO1835" s="711"/>
      <c r="DP1835" s="711"/>
      <c r="DQ1835" s="711"/>
    </row>
    <row r="1836" spans="13:121" s="709" customFormat="1" hidden="1">
      <c r="M1836" s="710"/>
      <c r="P1836" s="711"/>
      <c r="Q1836" s="712"/>
      <c r="U1836" s="711"/>
      <c r="V1836" s="711"/>
      <c r="W1836" s="711"/>
      <c r="X1836" s="711"/>
      <c r="Y1836" s="711"/>
      <c r="Z1836" s="711"/>
      <c r="AU1836" s="713"/>
      <c r="AW1836" s="712"/>
      <c r="BY1836" s="714"/>
      <c r="BZ1836" s="715"/>
      <c r="CA1836" s="716"/>
      <c r="CB1836" s="717"/>
      <c r="CC1836" s="717"/>
      <c r="CD1836" s="717"/>
      <c r="CE1836" s="717"/>
      <c r="CF1836" s="717"/>
      <c r="CG1836" s="717"/>
      <c r="CH1836" s="717"/>
      <c r="CI1836" s="717"/>
      <c r="CJ1836" s="717"/>
      <c r="CK1836" s="717"/>
      <c r="CL1836" s="717"/>
      <c r="CM1836" s="717"/>
      <c r="CN1836" s="717"/>
      <c r="CO1836" s="717"/>
      <c r="CP1836" s="717"/>
      <c r="CQ1836" s="717"/>
      <c r="CR1836" s="717"/>
      <c r="CS1836" s="717"/>
      <c r="CT1836" s="717"/>
      <c r="CU1836" s="717"/>
      <c r="CV1836" s="717"/>
      <c r="CW1836" s="717"/>
      <c r="CX1836" s="717"/>
      <c r="CY1836" s="717"/>
      <c r="CZ1836" s="717"/>
      <c r="DA1836" s="717"/>
      <c r="DB1836" s="717"/>
      <c r="DC1836" s="717"/>
      <c r="DD1836" s="717"/>
      <c r="DE1836" s="717"/>
      <c r="DF1836" s="717"/>
      <c r="DG1836" s="717"/>
      <c r="DH1836" s="717"/>
      <c r="DI1836" s="717"/>
      <c r="DJ1836" s="717"/>
      <c r="DM1836" s="711"/>
      <c r="DN1836" s="711"/>
      <c r="DO1836" s="711"/>
      <c r="DP1836" s="711"/>
      <c r="DQ1836" s="711"/>
    </row>
    <row r="1837" spans="13:121" s="709" customFormat="1" hidden="1">
      <c r="M1837" s="710"/>
      <c r="P1837" s="711"/>
      <c r="Q1837" s="712"/>
      <c r="U1837" s="711"/>
      <c r="V1837" s="711"/>
      <c r="W1837" s="711"/>
      <c r="X1837" s="711"/>
      <c r="Y1837" s="711"/>
      <c r="Z1837" s="711"/>
      <c r="AU1837" s="713"/>
      <c r="AW1837" s="712"/>
      <c r="BY1837" s="714"/>
      <c r="BZ1837" s="715"/>
      <c r="CA1837" s="716"/>
      <c r="CB1837" s="717"/>
      <c r="CC1837" s="717"/>
      <c r="CD1837" s="717"/>
      <c r="CE1837" s="717"/>
      <c r="CF1837" s="717"/>
      <c r="CG1837" s="717"/>
      <c r="CH1837" s="717"/>
      <c r="CI1837" s="717"/>
      <c r="CJ1837" s="717"/>
      <c r="CK1837" s="717"/>
      <c r="CL1837" s="717"/>
      <c r="CM1837" s="717"/>
      <c r="CN1837" s="717"/>
      <c r="CO1837" s="717"/>
      <c r="CP1837" s="717"/>
      <c r="CQ1837" s="717"/>
      <c r="CR1837" s="717"/>
      <c r="CS1837" s="717"/>
      <c r="CT1837" s="717"/>
      <c r="CU1837" s="717"/>
      <c r="CV1837" s="717"/>
      <c r="CW1837" s="717"/>
      <c r="CX1837" s="717"/>
      <c r="CY1837" s="717"/>
      <c r="CZ1837" s="717"/>
      <c r="DA1837" s="717"/>
      <c r="DB1837" s="717"/>
      <c r="DC1837" s="717"/>
      <c r="DD1837" s="717"/>
      <c r="DE1837" s="717"/>
      <c r="DF1837" s="717"/>
      <c r="DG1837" s="717"/>
      <c r="DH1837" s="717"/>
      <c r="DI1837" s="717"/>
      <c r="DJ1837" s="717"/>
      <c r="DM1837" s="711"/>
      <c r="DN1837" s="711"/>
      <c r="DO1837" s="711"/>
      <c r="DP1837" s="711"/>
      <c r="DQ1837" s="711"/>
    </row>
    <row r="1838" spans="13:121" s="709" customFormat="1" hidden="1">
      <c r="M1838" s="710"/>
      <c r="P1838" s="711"/>
      <c r="Q1838" s="712"/>
      <c r="U1838" s="711"/>
      <c r="V1838" s="711"/>
      <c r="W1838" s="711"/>
      <c r="X1838" s="711"/>
      <c r="Y1838" s="711"/>
      <c r="Z1838" s="711"/>
      <c r="AU1838" s="713"/>
      <c r="AW1838" s="712"/>
      <c r="BY1838" s="714"/>
      <c r="BZ1838" s="715"/>
      <c r="CA1838" s="716"/>
      <c r="CB1838" s="717"/>
      <c r="CC1838" s="717"/>
      <c r="CD1838" s="717"/>
      <c r="CE1838" s="717"/>
      <c r="CF1838" s="717"/>
      <c r="CG1838" s="717"/>
      <c r="CH1838" s="717"/>
      <c r="CI1838" s="717"/>
      <c r="CJ1838" s="717"/>
      <c r="CK1838" s="717"/>
      <c r="CL1838" s="717"/>
      <c r="CM1838" s="717"/>
      <c r="CN1838" s="717"/>
      <c r="CO1838" s="717"/>
      <c r="CP1838" s="717"/>
      <c r="CQ1838" s="717"/>
      <c r="CR1838" s="717"/>
      <c r="CS1838" s="717"/>
      <c r="CT1838" s="717"/>
      <c r="CU1838" s="717"/>
      <c r="CV1838" s="717"/>
      <c r="CW1838" s="717"/>
      <c r="CX1838" s="717"/>
      <c r="CY1838" s="717"/>
      <c r="CZ1838" s="717"/>
      <c r="DA1838" s="717"/>
      <c r="DB1838" s="717"/>
      <c r="DC1838" s="717"/>
      <c r="DD1838" s="717"/>
      <c r="DE1838" s="717"/>
      <c r="DF1838" s="717"/>
      <c r="DG1838" s="717"/>
      <c r="DH1838" s="717"/>
      <c r="DI1838" s="717"/>
      <c r="DJ1838" s="717"/>
      <c r="DM1838" s="711"/>
      <c r="DN1838" s="711"/>
      <c r="DO1838" s="711"/>
      <c r="DP1838" s="711"/>
      <c r="DQ1838" s="711"/>
    </row>
    <row r="1839" spans="13:121" s="709" customFormat="1" hidden="1">
      <c r="M1839" s="710"/>
      <c r="P1839" s="711"/>
      <c r="Q1839" s="712"/>
      <c r="U1839" s="711"/>
      <c r="V1839" s="711"/>
      <c r="W1839" s="711"/>
      <c r="X1839" s="711"/>
      <c r="Y1839" s="711"/>
      <c r="Z1839" s="711"/>
      <c r="AU1839" s="713"/>
      <c r="AW1839" s="712"/>
      <c r="BY1839" s="714"/>
      <c r="BZ1839" s="715"/>
      <c r="CA1839" s="716"/>
      <c r="CB1839" s="717"/>
      <c r="CC1839" s="717"/>
      <c r="CD1839" s="717"/>
      <c r="CE1839" s="717"/>
      <c r="CF1839" s="717"/>
      <c r="CG1839" s="717"/>
      <c r="CH1839" s="717"/>
      <c r="CI1839" s="717"/>
      <c r="CJ1839" s="717"/>
      <c r="CK1839" s="717"/>
      <c r="CL1839" s="717"/>
      <c r="CM1839" s="717"/>
      <c r="CN1839" s="717"/>
      <c r="CO1839" s="717"/>
      <c r="CP1839" s="717"/>
      <c r="CQ1839" s="717"/>
      <c r="CR1839" s="717"/>
      <c r="CS1839" s="717"/>
      <c r="CT1839" s="717"/>
      <c r="CU1839" s="717"/>
      <c r="CV1839" s="717"/>
      <c r="CW1839" s="717"/>
      <c r="CX1839" s="717"/>
      <c r="CY1839" s="717"/>
      <c r="CZ1839" s="717"/>
      <c r="DA1839" s="717"/>
      <c r="DB1839" s="717"/>
      <c r="DC1839" s="717"/>
      <c r="DD1839" s="717"/>
      <c r="DE1839" s="717"/>
      <c r="DF1839" s="717"/>
      <c r="DG1839" s="717"/>
      <c r="DH1839" s="717"/>
      <c r="DI1839" s="717"/>
      <c r="DJ1839" s="717"/>
      <c r="DM1839" s="711"/>
      <c r="DN1839" s="711"/>
      <c r="DO1839" s="711"/>
      <c r="DP1839" s="711"/>
      <c r="DQ1839" s="711"/>
    </row>
    <row r="1840" spans="13:121" s="709" customFormat="1" hidden="1">
      <c r="M1840" s="710"/>
      <c r="P1840" s="711"/>
      <c r="Q1840" s="712"/>
      <c r="U1840" s="711"/>
      <c r="V1840" s="711"/>
      <c r="W1840" s="711"/>
      <c r="X1840" s="711"/>
      <c r="Y1840" s="711"/>
      <c r="Z1840" s="711"/>
      <c r="AU1840" s="713"/>
      <c r="AW1840" s="712"/>
      <c r="BY1840" s="714"/>
      <c r="BZ1840" s="715"/>
      <c r="CA1840" s="716"/>
      <c r="CB1840" s="717"/>
      <c r="CC1840" s="717"/>
      <c r="CD1840" s="717"/>
      <c r="CE1840" s="717"/>
      <c r="CF1840" s="717"/>
      <c r="CG1840" s="717"/>
      <c r="CH1840" s="717"/>
      <c r="CI1840" s="717"/>
      <c r="CJ1840" s="717"/>
      <c r="CK1840" s="717"/>
      <c r="CL1840" s="717"/>
      <c r="CM1840" s="717"/>
      <c r="CN1840" s="717"/>
      <c r="CO1840" s="717"/>
      <c r="CP1840" s="717"/>
      <c r="CQ1840" s="717"/>
      <c r="CR1840" s="717"/>
      <c r="CS1840" s="717"/>
      <c r="CT1840" s="717"/>
      <c r="CU1840" s="717"/>
      <c r="CV1840" s="717"/>
      <c r="CW1840" s="717"/>
      <c r="CX1840" s="717"/>
      <c r="CY1840" s="717"/>
      <c r="CZ1840" s="717"/>
      <c r="DA1840" s="717"/>
      <c r="DB1840" s="717"/>
      <c r="DC1840" s="717"/>
      <c r="DD1840" s="717"/>
      <c r="DE1840" s="717"/>
      <c r="DF1840" s="717"/>
      <c r="DG1840" s="717"/>
      <c r="DH1840" s="717"/>
      <c r="DI1840" s="717"/>
      <c r="DJ1840" s="717"/>
      <c r="DM1840" s="711"/>
      <c r="DN1840" s="711"/>
      <c r="DO1840" s="711"/>
      <c r="DP1840" s="711"/>
      <c r="DQ1840" s="711"/>
    </row>
    <row r="1841" spans="13:121" s="709" customFormat="1" hidden="1">
      <c r="M1841" s="710"/>
      <c r="P1841" s="711"/>
      <c r="Q1841" s="712"/>
      <c r="U1841" s="711"/>
      <c r="V1841" s="711"/>
      <c r="W1841" s="711"/>
      <c r="X1841" s="711"/>
      <c r="Y1841" s="711"/>
      <c r="Z1841" s="711"/>
      <c r="AU1841" s="713"/>
      <c r="AW1841" s="712"/>
      <c r="BY1841" s="714"/>
      <c r="BZ1841" s="715"/>
      <c r="CA1841" s="716"/>
      <c r="CB1841" s="717"/>
      <c r="CC1841" s="717"/>
      <c r="CD1841" s="717"/>
      <c r="CE1841" s="717"/>
      <c r="CF1841" s="717"/>
      <c r="CG1841" s="717"/>
      <c r="CH1841" s="717"/>
      <c r="CI1841" s="717"/>
      <c r="CJ1841" s="717"/>
      <c r="CK1841" s="717"/>
      <c r="CL1841" s="717"/>
      <c r="CM1841" s="717"/>
      <c r="CN1841" s="717"/>
      <c r="CO1841" s="717"/>
      <c r="CP1841" s="717"/>
      <c r="CQ1841" s="717"/>
      <c r="CR1841" s="717"/>
      <c r="CS1841" s="717"/>
      <c r="CT1841" s="717"/>
      <c r="CU1841" s="717"/>
      <c r="CV1841" s="717"/>
      <c r="CW1841" s="717"/>
      <c r="CX1841" s="717"/>
      <c r="CY1841" s="717"/>
      <c r="CZ1841" s="717"/>
      <c r="DA1841" s="717"/>
      <c r="DB1841" s="717"/>
      <c r="DC1841" s="717"/>
      <c r="DD1841" s="717"/>
      <c r="DE1841" s="717"/>
      <c r="DF1841" s="717"/>
      <c r="DG1841" s="717"/>
      <c r="DH1841" s="717"/>
      <c r="DI1841" s="717"/>
      <c r="DJ1841" s="717"/>
      <c r="DM1841" s="711"/>
      <c r="DN1841" s="711"/>
      <c r="DO1841" s="711"/>
      <c r="DP1841" s="711"/>
      <c r="DQ1841" s="711"/>
    </row>
    <row r="1842" spans="13:121" s="709" customFormat="1" hidden="1">
      <c r="M1842" s="710"/>
      <c r="P1842" s="711"/>
      <c r="Q1842" s="712"/>
      <c r="U1842" s="711"/>
      <c r="V1842" s="711"/>
      <c r="W1842" s="711"/>
      <c r="X1842" s="711"/>
      <c r="Y1842" s="711"/>
      <c r="Z1842" s="711"/>
      <c r="AU1842" s="713"/>
      <c r="AW1842" s="712"/>
      <c r="BY1842" s="714"/>
      <c r="BZ1842" s="715"/>
      <c r="CA1842" s="716"/>
      <c r="CB1842" s="717"/>
      <c r="CC1842" s="717"/>
      <c r="CD1842" s="717"/>
      <c r="CE1842" s="717"/>
      <c r="CF1842" s="717"/>
      <c r="CG1842" s="717"/>
      <c r="CH1842" s="717"/>
      <c r="CI1842" s="717"/>
      <c r="CJ1842" s="717"/>
      <c r="CK1842" s="717"/>
      <c r="CL1842" s="717"/>
      <c r="CM1842" s="717"/>
      <c r="CN1842" s="717"/>
      <c r="CO1842" s="717"/>
      <c r="CP1842" s="717"/>
      <c r="CQ1842" s="717"/>
      <c r="CR1842" s="717"/>
      <c r="CS1842" s="717"/>
      <c r="CT1842" s="717"/>
      <c r="CU1842" s="717"/>
      <c r="CV1842" s="717"/>
      <c r="CW1842" s="717"/>
      <c r="CX1842" s="717"/>
      <c r="CY1842" s="717"/>
      <c r="CZ1842" s="717"/>
      <c r="DA1842" s="717"/>
      <c r="DB1842" s="717"/>
      <c r="DC1842" s="717"/>
      <c r="DD1842" s="717"/>
      <c r="DE1842" s="717"/>
      <c r="DF1842" s="717"/>
      <c r="DG1842" s="717"/>
      <c r="DH1842" s="717"/>
      <c r="DI1842" s="717"/>
      <c r="DJ1842" s="717"/>
      <c r="DM1842" s="711"/>
      <c r="DN1842" s="711"/>
      <c r="DO1842" s="711"/>
      <c r="DP1842" s="711"/>
      <c r="DQ1842" s="711"/>
    </row>
    <row r="1843" spans="13:121" s="709" customFormat="1" hidden="1">
      <c r="M1843" s="710"/>
      <c r="P1843" s="711"/>
      <c r="Q1843" s="712"/>
      <c r="U1843" s="711"/>
      <c r="V1843" s="711"/>
      <c r="W1843" s="711"/>
      <c r="X1843" s="711"/>
      <c r="Y1843" s="711"/>
      <c r="Z1843" s="711"/>
      <c r="AU1843" s="713"/>
      <c r="AW1843" s="712"/>
      <c r="BY1843" s="714"/>
      <c r="BZ1843" s="715"/>
      <c r="CA1843" s="716"/>
      <c r="CB1843" s="717"/>
      <c r="CC1843" s="717"/>
      <c r="CD1843" s="717"/>
      <c r="CE1843" s="717"/>
      <c r="CF1843" s="717"/>
      <c r="CG1843" s="717"/>
      <c r="CH1843" s="717"/>
      <c r="CI1843" s="717"/>
      <c r="CJ1843" s="717"/>
      <c r="CK1843" s="717"/>
      <c r="CL1843" s="717"/>
      <c r="CM1843" s="717"/>
      <c r="CN1843" s="717"/>
      <c r="CO1843" s="717"/>
      <c r="CP1843" s="717"/>
      <c r="CQ1843" s="717"/>
      <c r="CR1843" s="717"/>
      <c r="CS1843" s="717"/>
      <c r="CT1843" s="717"/>
      <c r="CU1843" s="717"/>
      <c r="CV1843" s="717"/>
      <c r="CW1843" s="717"/>
      <c r="CX1843" s="717"/>
      <c r="CY1843" s="717"/>
      <c r="CZ1843" s="717"/>
      <c r="DA1843" s="717"/>
      <c r="DB1843" s="717"/>
      <c r="DC1843" s="717"/>
      <c r="DD1843" s="717"/>
      <c r="DE1843" s="717"/>
      <c r="DF1843" s="717"/>
      <c r="DG1843" s="717"/>
      <c r="DH1843" s="717"/>
      <c r="DI1843" s="717"/>
      <c r="DJ1843" s="717"/>
      <c r="DM1843" s="711"/>
      <c r="DN1843" s="711"/>
      <c r="DO1843" s="711"/>
      <c r="DP1843" s="711"/>
      <c r="DQ1843" s="711"/>
    </row>
    <row r="1844" spans="13:121" s="709" customFormat="1" hidden="1">
      <c r="M1844" s="710"/>
      <c r="P1844" s="711"/>
      <c r="Q1844" s="712"/>
      <c r="U1844" s="711"/>
      <c r="V1844" s="711"/>
      <c r="W1844" s="711"/>
      <c r="X1844" s="711"/>
      <c r="Y1844" s="711"/>
      <c r="Z1844" s="711"/>
      <c r="AU1844" s="713"/>
      <c r="AW1844" s="712"/>
      <c r="BY1844" s="714"/>
      <c r="BZ1844" s="715"/>
      <c r="CA1844" s="716"/>
      <c r="CB1844" s="717"/>
      <c r="CC1844" s="717"/>
      <c r="CD1844" s="717"/>
      <c r="CE1844" s="717"/>
      <c r="CF1844" s="717"/>
      <c r="CG1844" s="717"/>
      <c r="CH1844" s="717"/>
      <c r="CI1844" s="717"/>
      <c r="CJ1844" s="717"/>
      <c r="CK1844" s="717"/>
      <c r="CL1844" s="717"/>
      <c r="CM1844" s="717"/>
      <c r="CN1844" s="717"/>
      <c r="CO1844" s="717"/>
      <c r="CP1844" s="717"/>
      <c r="CQ1844" s="717"/>
      <c r="CR1844" s="717"/>
      <c r="CS1844" s="717"/>
      <c r="CT1844" s="717"/>
      <c r="CU1844" s="717"/>
      <c r="CV1844" s="717"/>
      <c r="CW1844" s="717"/>
      <c r="CX1844" s="717"/>
      <c r="CY1844" s="717"/>
      <c r="CZ1844" s="717"/>
      <c r="DA1844" s="717"/>
      <c r="DB1844" s="717"/>
      <c r="DC1844" s="717"/>
      <c r="DD1844" s="717"/>
      <c r="DE1844" s="717"/>
      <c r="DF1844" s="717"/>
      <c r="DG1844" s="717"/>
      <c r="DH1844" s="717"/>
      <c r="DI1844" s="717"/>
      <c r="DJ1844" s="717"/>
      <c r="DM1844" s="711"/>
      <c r="DN1844" s="711"/>
      <c r="DO1844" s="711"/>
      <c r="DP1844" s="711"/>
      <c r="DQ1844" s="711"/>
    </row>
    <row r="1845" spans="13:121" s="709" customFormat="1" hidden="1">
      <c r="M1845" s="710"/>
      <c r="P1845" s="711"/>
      <c r="Q1845" s="712"/>
      <c r="U1845" s="711"/>
      <c r="V1845" s="711"/>
      <c r="W1845" s="711"/>
      <c r="X1845" s="711"/>
      <c r="Y1845" s="711"/>
      <c r="Z1845" s="711"/>
      <c r="AU1845" s="713"/>
      <c r="AW1845" s="712"/>
      <c r="BY1845" s="714"/>
      <c r="BZ1845" s="715"/>
      <c r="CA1845" s="716"/>
      <c r="CB1845" s="717"/>
      <c r="CC1845" s="717"/>
      <c r="CD1845" s="717"/>
      <c r="CE1845" s="717"/>
      <c r="CF1845" s="717"/>
      <c r="CG1845" s="717"/>
      <c r="CH1845" s="717"/>
      <c r="CI1845" s="717"/>
      <c r="CJ1845" s="717"/>
      <c r="CK1845" s="717"/>
      <c r="CL1845" s="717"/>
      <c r="CM1845" s="717"/>
      <c r="CN1845" s="717"/>
      <c r="CO1845" s="717"/>
      <c r="CP1845" s="717"/>
      <c r="CQ1845" s="717"/>
      <c r="CR1845" s="717"/>
      <c r="CS1845" s="717"/>
      <c r="CT1845" s="717"/>
      <c r="CU1845" s="717"/>
      <c r="CV1845" s="717"/>
      <c r="CW1845" s="717"/>
      <c r="CX1845" s="717"/>
      <c r="CY1845" s="717"/>
      <c r="CZ1845" s="717"/>
      <c r="DA1845" s="717"/>
      <c r="DB1845" s="717"/>
      <c r="DC1845" s="717"/>
      <c r="DD1845" s="717"/>
      <c r="DE1845" s="717"/>
      <c r="DF1845" s="717"/>
      <c r="DG1845" s="717"/>
      <c r="DH1845" s="717"/>
      <c r="DI1845" s="717"/>
      <c r="DJ1845" s="717"/>
      <c r="DM1845" s="711"/>
      <c r="DN1845" s="711"/>
      <c r="DO1845" s="711"/>
      <c r="DP1845" s="711"/>
      <c r="DQ1845" s="711"/>
    </row>
    <row r="1846" spans="13:121" s="709" customFormat="1" hidden="1">
      <c r="M1846" s="710"/>
      <c r="P1846" s="711"/>
      <c r="Q1846" s="712"/>
      <c r="U1846" s="711"/>
      <c r="V1846" s="711"/>
      <c r="W1846" s="711"/>
      <c r="X1846" s="711"/>
      <c r="Y1846" s="711"/>
      <c r="Z1846" s="711"/>
      <c r="AU1846" s="713"/>
      <c r="AW1846" s="712"/>
      <c r="BY1846" s="714"/>
      <c r="BZ1846" s="715"/>
      <c r="CA1846" s="716"/>
      <c r="CB1846" s="717"/>
      <c r="CC1846" s="717"/>
      <c r="CD1846" s="717"/>
      <c r="CE1846" s="717"/>
      <c r="CF1846" s="717"/>
      <c r="CG1846" s="717"/>
      <c r="CH1846" s="717"/>
      <c r="CI1846" s="717"/>
      <c r="CJ1846" s="717"/>
      <c r="CK1846" s="717"/>
      <c r="CL1846" s="717"/>
      <c r="CM1846" s="717"/>
      <c r="CN1846" s="717"/>
      <c r="CO1846" s="717"/>
      <c r="CP1846" s="717"/>
      <c r="CQ1846" s="717"/>
      <c r="CR1846" s="717"/>
      <c r="CS1846" s="717"/>
      <c r="CT1846" s="717"/>
      <c r="CU1846" s="717"/>
      <c r="CV1846" s="717"/>
      <c r="CW1846" s="717"/>
      <c r="CX1846" s="717"/>
      <c r="CY1846" s="717"/>
      <c r="CZ1846" s="717"/>
      <c r="DA1846" s="717"/>
      <c r="DB1846" s="717"/>
      <c r="DC1846" s="717"/>
      <c r="DD1846" s="717"/>
      <c r="DE1846" s="717"/>
      <c r="DF1846" s="717"/>
      <c r="DG1846" s="717"/>
      <c r="DH1846" s="717"/>
      <c r="DI1846" s="717"/>
      <c r="DJ1846" s="717"/>
      <c r="DM1846" s="711"/>
      <c r="DN1846" s="711"/>
      <c r="DO1846" s="711"/>
      <c r="DP1846" s="711"/>
      <c r="DQ1846" s="711"/>
    </row>
    <row r="1847" spans="13:121" s="709" customFormat="1" hidden="1">
      <c r="M1847" s="710"/>
      <c r="P1847" s="711"/>
      <c r="Q1847" s="712"/>
      <c r="U1847" s="711"/>
      <c r="V1847" s="711"/>
      <c r="W1847" s="711"/>
      <c r="X1847" s="711"/>
      <c r="Y1847" s="711"/>
      <c r="Z1847" s="711"/>
      <c r="AU1847" s="713"/>
      <c r="AW1847" s="712"/>
      <c r="BY1847" s="714"/>
      <c r="BZ1847" s="715"/>
      <c r="CA1847" s="716"/>
      <c r="CB1847" s="717"/>
      <c r="CC1847" s="717"/>
      <c r="CD1847" s="717"/>
      <c r="CE1847" s="717"/>
      <c r="CF1847" s="717"/>
      <c r="CG1847" s="717"/>
      <c r="CH1847" s="717"/>
      <c r="CI1847" s="717"/>
      <c r="CJ1847" s="717"/>
      <c r="CK1847" s="717"/>
      <c r="CL1847" s="717"/>
      <c r="CM1847" s="717"/>
      <c r="CN1847" s="717"/>
      <c r="CO1847" s="717"/>
      <c r="CP1847" s="717"/>
      <c r="CQ1847" s="717"/>
      <c r="CR1847" s="717"/>
      <c r="CS1847" s="717"/>
      <c r="CT1847" s="717"/>
      <c r="CU1847" s="717"/>
      <c r="CV1847" s="717"/>
      <c r="CW1847" s="717"/>
      <c r="CX1847" s="717"/>
      <c r="CY1847" s="717"/>
      <c r="CZ1847" s="717"/>
      <c r="DA1847" s="717"/>
      <c r="DB1847" s="717"/>
      <c r="DC1847" s="717"/>
      <c r="DD1847" s="717"/>
      <c r="DE1847" s="717"/>
      <c r="DF1847" s="717"/>
      <c r="DG1847" s="717"/>
      <c r="DH1847" s="717"/>
      <c r="DI1847" s="717"/>
      <c r="DJ1847" s="717"/>
      <c r="DM1847" s="711"/>
      <c r="DN1847" s="711"/>
      <c r="DO1847" s="711"/>
      <c r="DP1847" s="711"/>
      <c r="DQ1847" s="711"/>
    </row>
    <row r="1848" spans="13:121" s="709" customFormat="1" hidden="1">
      <c r="M1848" s="710"/>
      <c r="P1848" s="711"/>
      <c r="Q1848" s="712"/>
      <c r="U1848" s="711"/>
      <c r="V1848" s="711"/>
      <c r="W1848" s="711"/>
      <c r="X1848" s="711"/>
      <c r="Y1848" s="711"/>
      <c r="Z1848" s="711"/>
      <c r="AU1848" s="713"/>
      <c r="AW1848" s="712"/>
      <c r="BY1848" s="714"/>
      <c r="BZ1848" s="715"/>
      <c r="CA1848" s="716"/>
      <c r="CB1848" s="717"/>
      <c r="CC1848" s="717"/>
      <c r="CD1848" s="717"/>
      <c r="CE1848" s="717"/>
      <c r="CF1848" s="717"/>
      <c r="CG1848" s="717"/>
      <c r="CH1848" s="717"/>
      <c r="CI1848" s="717"/>
      <c r="CJ1848" s="717"/>
      <c r="CK1848" s="717"/>
      <c r="CL1848" s="717"/>
      <c r="CM1848" s="717"/>
      <c r="CN1848" s="717"/>
      <c r="CO1848" s="717"/>
      <c r="CP1848" s="717"/>
      <c r="CQ1848" s="717"/>
      <c r="CR1848" s="717"/>
      <c r="CS1848" s="717"/>
      <c r="CT1848" s="717"/>
      <c r="CU1848" s="717"/>
      <c r="CV1848" s="717"/>
      <c r="CW1848" s="717"/>
      <c r="CX1848" s="717"/>
      <c r="CY1848" s="717"/>
      <c r="CZ1848" s="717"/>
      <c r="DA1848" s="717"/>
      <c r="DB1848" s="717"/>
      <c r="DC1848" s="717"/>
      <c r="DD1848" s="717"/>
      <c r="DE1848" s="717"/>
      <c r="DF1848" s="717"/>
      <c r="DG1848" s="717"/>
      <c r="DH1848" s="717"/>
      <c r="DI1848" s="717"/>
      <c r="DJ1848" s="717"/>
      <c r="DM1848" s="711"/>
      <c r="DN1848" s="711"/>
      <c r="DO1848" s="711"/>
      <c r="DP1848" s="711"/>
      <c r="DQ1848" s="711"/>
    </row>
    <row r="1849" spans="13:121" s="709" customFormat="1" hidden="1">
      <c r="M1849" s="710"/>
      <c r="P1849" s="711"/>
      <c r="Q1849" s="712"/>
      <c r="U1849" s="711"/>
      <c r="V1849" s="711"/>
      <c r="W1849" s="711"/>
      <c r="X1849" s="711"/>
      <c r="Y1849" s="711"/>
      <c r="Z1849" s="711"/>
      <c r="AU1849" s="713"/>
      <c r="AW1849" s="712"/>
      <c r="BY1849" s="714"/>
      <c r="BZ1849" s="715"/>
      <c r="CA1849" s="716"/>
      <c r="CB1849" s="717"/>
      <c r="CC1849" s="717"/>
      <c r="CD1849" s="717"/>
      <c r="CE1849" s="717"/>
      <c r="CF1849" s="717"/>
      <c r="CG1849" s="717"/>
      <c r="CH1849" s="717"/>
      <c r="CI1849" s="717"/>
      <c r="CJ1849" s="717"/>
      <c r="CK1849" s="717"/>
      <c r="CL1849" s="717"/>
      <c r="CM1849" s="717"/>
      <c r="CN1849" s="717"/>
      <c r="CO1849" s="717"/>
      <c r="CP1849" s="717"/>
      <c r="CQ1849" s="717"/>
      <c r="CR1849" s="717"/>
      <c r="CS1849" s="717"/>
      <c r="CT1849" s="717"/>
      <c r="CU1849" s="717"/>
      <c r="CV1849" s="717"/>
      <c r="CW1849" s="717"/>
      <c r="CX1849" s="717"/>
      <c r="CY1849" s="717"/>
      <c r="CZ1849" s="717"/>
      <c r="DA1849" s="717"/>
      <c r="DB1849" s="717"/>
      <c r="DC1849" s="717"/>
      <c r="DD1849" s="717"/>
      <c r="DE1849" s="717"/>
      <c r="DF1849" s="717"/>
      <c r="DG1849" s="717"/>
      <c r="DH1849" s="717"/>
      <c r="DI1849" s="717"/>
      <c r="DJ1849" s="717"/>
      <c r="DM1849" s="711"/>
      <c r="DN1849" s="711"/>
      <c r="DO1849" s="711"/>
      <c r="DP1849" s="711"/>
      <c r="DQ1849" s="711"/>
    </row>
    <row r="1850" spans="13:121" s="709" customFormat="1" hidden="1">
      <c r="M1850" s="710"/>
      <c r="P1850" s="711"/>
      <c r="Q1850" s="712"/>
      <c r="U1850" s="711"/>
      <c r="V1850" s="711"/>
      <c r="W1850" s="711"/>
      <c r="X1850" s="711"/>
      <c r="Y1850" s="711"/>
      <c r="Z1850" s="711"/>
      <c r="AU1850" s="713"/>
      <c r="AW1850" s="712"/>
      <c r="BY1850" s="714"/>
      <c r="BZ1850" s="715"/>
      <c r="CA1850" s="716"/>
      <c r="CB1850" s="717"/>
      <c r="CC1850" s="717"/>
      <c r="CD1850" s="717"/>
      <c r="CE1850" s="717"/>
      <c r="CF1850" s="717"/>
      <c r="CG1850" s="717"/>
      <c r="CH1850" s="717"/>
      <c r="CI1850" s="717"/>
      <c r="CJ1850" s="717"/>
      <c r="CK1850" s="717"/>
      <c r="CL1850" s="717"/>
      <c r="CM1850" s="717"/>
      <c r="CN1850" s="717"/>
      <c r="CO1850" s="717"/>
      <c r="CP1850" s="717"/>
      <c r="CQ1850" s="717"/>
      <c r="CR1850" s="717"/>
      <c r="CS1850" s="717"/>
      <c r="CT1850" s="717"/>
      <c r="CU1850" s="717"/>
      <c r="CV1850" s="717"/>
      <c r="CW1850" s="717"/>
      <c r="CX1850" s="717"/>
      <c r="CY1850" s="717"/>
      <c r="CZ1850" s="717"/>
      <c r="DA1850" s="717"/>
      <c r="DB1850" s="717"/>
      <c r="DC1850" s="717"/>
      <c r="DD1850" s="717"/>
      <c r="DE1850" s="717"/>
      <c r="DF1850" s="717"/>
      <c r="DG1850" s="717"/>
      <c r="DH1850" s="717"/>
      <c r="DI1850" s="717"/>
      <c r="DJ1850" s="717"/>
      <c r="DM1850" s="711"/>
      <c r="DN1850" s="711"/>
      <c r="DO1850" s="711"/>
      <c r="DP1850" s="711"/>
      <c r="DQ1850" s="711"/>
    </row>
    <row r="1851" spans="13:121" s="709" customFormat="1" hidden="1">
      <c r="M1851" s="710"/>
      <c r="P1851" s="711"/>
      <c r="Q1851" s="712"/>
      <c r="U1851" s="711"/>
      <c r="V1851" s="711"/>
      <c r="W1851" s="711"/>
      <c r="X1851" s="711"/>
      <c r="Y1851" s="711"/>
      <c r="Z1851" s="711"/>
      <c r="AU1851" s="713"/>
      <c r="AW1851" s="712"/>
      <c r="BY1851" s="714"/>
      <c r="BZ1851" s="715"/>
      <c r="CA1851" s="716"/>
      <c r="CB1851" s="717"/>
      <c r="CC1851" s="717"/>
      <c r="CD1851" s="717"/>
      <c r="CE1851" s="717"/>
      <c r="CF1851" s="717"/>
      <c r="CG1851" s="717"/>
      <c r="CH1851" s="717"/>
      <c r="CI1851" s="717"/>
      <c r="CJ1851" s="717"/>
      <c r="CK1851" s="717"/>
      <c r="CL1851" s="717"/>
      <c r="CM1851" s="717"/>
      <c r="CN1851" s="717"/>
      <c r="CO1851" s="717"/>
      <c r="CP1851" s="717"/>
      <c r="CQ1851" s="717"/>
      <c r="CR1851" s="717"/>
      <c r="CS1851" s="717"/>
      <c r="CT1851" s="717"/>
      <c r="CU1851" s="717"/>
      <c r="CV1851" s="717"/>
      <c r="CW1851" s="717"/>
      <c r="CX1851" s="717"/>
      <c r="CY1851" s="717"/>
      <c r="CZ1851" s="717"/>
      <c r="DA1851" s="717"/>
      <c r="DB1851" s="717"/>
      <c r="DC1851" s="717"/>
      <c r="DD1851" s="717"/>
      <c r="DE1851" s="717"/>
      <c r="DF1851" s="717"/>
      <c r="DG1851" s="717"/>
      <c r="DH1851" s="717"/>
      <c r="DI1851" s="717"/>
      <c r="DJ1851" s="717"/>
      <c r="DM1851" s="711"/>
      <c r="DN1851" s="711"/>
      <c r="DO1851" s="711"/>
      <c r="DP1851" s="711"/>
      <c r="DQ1851" s="711"/>
    </row>
    <row r="1852" spans="13:121" s="709" customFormat="1" hidden="1">
      <c r="M1852" s="710"/>
      <c r="P1852" s="711"/>
      <c r="Q1852" s="712"/>
      <c r="U1852" s="711"/>
      <c r="V1852" s="711"/>
      <c r="W1852" s="711"/>
      <c r="X1852" s="711"/>
      <c r="Y1852" s="711"/>
      <c r="Z1852" s="711"/>
      <c r="AU1852" s="713"/>
      <c r="AW1852" s="712"/>
      <c r="BY1852" s="714"/>
      <c r="BZ1852" s="715"/>
      <c r="CA1852" s="716"/>
      <c r="CB1852" s="717"/>
      <c r="CC1852" s="717"/>
      <c r="CD1852" s="717"/>
      <c r="CE1852" s="717"/>
      <c r="CF1852" s="717"/>
      <c r="CG1852" s="717"/>
      <c r="CH1852" s="717"/>
      <c r="CI1852" s="717"/>
      <c r="CJ1852" s="717"/>
      <c r="CK1852" s="717"/>
      <c r="CL1852" s="717"/>
      <c r="CM1852" s="717"/>
      <c r="CN1852" s="717"/>
      <c r="CO1852" s="717"/>
      <c r="CP1852" s="717"/>
      <c r="CQ1852" s="717"/>
      <c r="CR1852" s="717"/>
      <c r="CS1852" s="717"/>
      <c r="CT1852" s="717"/>
      <c r="CU1852" s="717"/>
      <c r="CV1852" s="717"/>
      <c r="CW1852" s="717"/>
      <c r="CX1852" s="717"/>
      <c r="CY1852" s="717"/>
      <c r="CZ1852" s="717"/>
      <c r="DA1852" s="717"/>
      <c r="DB1852" s="717"/>
      <c r="DC1852" s="717"/>
      <c r="DD1852" s="717"/>
      <c r="DE1852" s="717"/>
      <c r="DF1852" s="717"/>
      <c r="DG1852" s="717"/>
      <c r="DH1852" s="717"/>
      <c r="DI1852" s="717"/>
      <c r="DJ1852" s="717"/>
      <c r="DM1852" s="711"/>
      <c r="DN1852" s="711"/>
      <c r="DO1852" s="711"/>
      <c r="DP1852" s="711"/>
      <c r="DQ1852" s="711"/>
    </row>
    <row r="1853" spans="13:121" s="709" customFormat="1" hidden="1">
      <c r="M1853" s="710"/>
      <c r="P1853" s="711"/>
      <c r="Q1853" s="712"/>
      <c r="U1853" s="711"/>
      <c r="V1853" s="711"/>
      <c r="W1853" s="711"/>
      <c r="X1853" s="711"/>
      <c r="Y1853" s="711"/>
      <c r="Z1853" s="711"/>
      <c r="AU1853" s="713"/>
      <c r="AW1853" s="712"/>
      <c r="BY1853" s="714"/>
      <c r="BZ1853" s="715"/>
      <c r="CA1853" s="716"/>
      <c r="CB1853" s="717"/>
      <c r="CC1853" s="717"/>
      <c r="CD1853" s="717"/>
      <c r="CE1853" s="717"/>
      <c r="CF1853" s="717"/>
      <c r="CG1853" s="717"/>
      <c r="CH1853" s="717"/>
      <c r="CI1853" s="717"/>
      <c r="CJ1853" s="717"/>
      <c r="CK1853" s="717"/>
      <c r="CL1853" s="717"/>
      <c r="CM1853" s="717"/>
      <c r="CN1853" s="717"/>
      <c r="CO1853" s="717"/>
      <c r="CP1853" s="717"/>
      <c r="CQ1853" s="717"/>
      <c r="CR1853" s="717"/>
      <c r="CS1853" s="717"/>
      <c r="CT1853" s="717"/>
      <c r="CU1853" s="717"/>
      <c r="CV1853" s="717"/>
      <c r="CW1853" s="717"/>
      <c r="CX1853" s="717"/>
      <c r="CY1853" s="717"/>
      <c r="CZ1853" s="717"/>
      <c r="DA1853" s="717"/>
      <c r="DB1853" s="717"/>
      <c r="DC1853" s="717"/>
      <c r="DD1853" s="717"/>
      <c r="DE1853" s="717"/>
      <c r="DF1853" s="717"/>
      <c r="DG1853" s="717"/>
      <c r="DH1853" s="717"/>
      <c r="DI1853" s="717"/>
      <c r="DJ1853" s="717"/>
      <c r="DM1853" s="711"/>
      <c r="DN1853" s="711"/>
      <c r="DO1853" s="711"/>
      <c r="DP1853" s="711"/>
      <c r="DQ1853" s="711"/>
    </row>
    <row r="1854" spans="13:121" s="709" customFormat="1" hidden="1">
      <c r="M1854" s="710"/>
      <c r="P1854" s="711"/>
      <c r="Q1854" s="712"/>
      <c r="U1854" s="711"/>
      <c r="V1854" s="711"/>
      <c r="W1854" s="711"/>
      <c r="X1854" s="711"/>
      <c r="Y1854" s="711"/>
      <c r="Z1854" s="711"/>
      <c r="AU1854" s="713"/>
      <c r="AW1854" s="712"/>
      <c r="BY1854" s="714"/>
      <c r="BZ1854" s="715"/>
      <c r="CA1854" s="716"/>
      <c r="CB1854" s="717"/>
      <c r="CC1854" s="717"/>
      <c r="CD1854" s="717"/>
      <c r="CE1854" s="717"/>
      <c r="CF1854" s="717"/>
      <c r="CG1854" s="717"/>
      <c r="CH1854" s="717"/>
      <c r="CI1854" s="717"/>
      <c r="CJ1854" s="717"/>
      <c r="CK1854" s="717"/>
      <c r="CL1854" s="717"/>
      <c r="CM1854" s="717"/>
      <c r="CN1854" s="717"/>
      <c r="CO1854" s="717"/>
      <c r="CP1854" s="717"/>
      <c r="CQ1854" s="717"/>
      <c r="CR1854" s="717"/>
      <c r="CS1854" s="717"/>
      <c r="CT1854" s="717"/>
      <c r="CU1854" s="717"/>
      <c r="CV1854" s="717"/>
      <c r="CW1854" s="717"/>
      <c r="CX1854" s="717"/>
      <c r="CY1854" s="717"/>
      <c r="CZ1854" s="717"/>
      <c r="DA1854" s="717"/>
      <c r="DB1854" s="717"/>
      <c r="DC1854" s="717"/>
      <c r="DD1854" s="717"/>
      <c r="DE1854" s="717"/>
      <c r="DF1854" s="717"/>
      <c r="DG1854" s="717"/>
      <c r="DH1854" s="717"/>
      <c r="DI1854" s="717"/>
      <c r="DJ1854" s="717"/>
      <c r="DM1854" s="711"/>
      <c r="DN1854" s="711"/>
      <c r="DO1854" s="711"/>
      <c r="DP1854" s="711"/>
      <c r="DQ1854" s="711"/>
    </row>
    <row r="1855" spans="13:121" s="709" customFormat="1" hidden="1">
      <c r="M1855" s="710"/>
      <c r="P1855" s="711"/>
      <c r="Q1855" s="712"/>
      <c r="U1855" s="711"/>
      <c r="V1855" s="711"/>
      <c r="W1855" s="711"/>
      <c r="X1855" s="711"/>
      <c r="Y1855" s="711"/>
      <c r="Z1855" s="711"/>
      <c r="AU1855" s="713"/>
      <c r="AW1855" s="712"/>
      <c r="BY1855" s="714"/>
      <c r="BZ1855" s="715"/>
      <c r="CA1855" s="716"/>
      <c r="CB1855" s="717"/>
      <c r="CC1855" s="717"/>
      <c r="CD1855" s="717"/>
      <c r="CE1855" s="717"/>
      <c r="CF1855" s="717"/>
      <c r="CG1855" s="717"/>
      <c r="CH1855" s="717"/>
      <c r="CI1855" s="717"/>
      <c r="CJ1855" s="717"/>
      <c r="CK1855" s="717"/>
      <c r="CL1855" s="717"/>
      <c r="CM1855" s="717"/>
      <c r="CN1855" s="717"/>
      <c r="CO1855" s="717"/>
      <c r="CP1855" s="717"/>
      <c r="CQ1855" s="717"/>
      <c r="CR1855" s="717"/>
      <c r="CS1855" s="717"/>
      <c r="CT1855" s="717"/>
      <c r="CU1855" s="717"/>
      <c r="CV1855" s="717"/>
      <c r="CW1855" s="717"/>
      <c r="CX1855" s="717"/>
      <c r="CY1855" s="717"/>
      <c r="CZ1855" s="717"/>
      <c r="DA1855" s="717"/>
      <c r="DB1855" s="717"/>
      <c r="DC1855" s="717"/>
      <c r="DD1855" s="717"/>
      <c r="DE1855" s="717"/>
      <c r="DF1855" s="717"/>
      <c r="DG1855" s="717"/>
      <c r="DH1855" s="717"/>
      <c r="DI1855" s="717"/>
      <c r="DJ1855" s="717"/>
      <c r="DM1855" s="711"/>
      <c r="DN1855" s="711"/>
      <c r="DO1855" s="711"/>
      <c r="DP1855" s="711"/>
      <c r="DQ1855" s="711"/>
    </row>
    <row r="1856" spans="13:121" s="709" customFormat="1" hidden="1">
      <c r="M1856" s="710"/>
      <c r="P1856" s="711"/>
      <c r="Q1856" s="712"/>
      <c r="U1856" s="711"/>
      <c r="V1856" s="711"/>
      <c r="W1856" s="711"/>
      <c r="X1856" s="711"/>
      <c r="Y1856" s="711"/>
      <c r="Z1856" s="711"/>
      <c r="AU1856" s="713"/>
      <c r="AW1856" s="712"/>
      <c r="BY1856" s="714"/>
      <c r="BZ1856" s="715"/>
      <c r="CA1856" s="716"/>
      <c r="CB1856" s="717"/>
      <c r="CC1856" s="717"/>
      <c r="CD1856" s="717"/>
      <c r="CE1856" s="717"/>
      <c r="CF1856" s="717"/>
      <c r="CG1856" s="717"/>
      <c r="CH1856" s="717"/>
      <c r="CI1856" s="717"/>
      <c r="CJ1856" s="717"/>
      <c r="CK1856" s="717"/>
      <c r="CL1856" s="717"/>
      <c r="CM1856" s="717"/>
      <c r="CN1856" s="717"/>
      <c r="CO1856" s="717"/>
      <c r="CP1856" s="717"/>
      <c r="CQ1856" s="717"/>
      <c r="CR1856" s="717"/>
      <c r="CS1856" s="717"/>
      <c r="CT1856" s="717"/>
      <c r="CU1856" s="717"/>
      <c r="CV1856" s="717"/>
      <c r="CW1856" s="717"/>
      <c r="CX1856" s="717"/>
      <c r="CY1856" s="717"/>
      <c r="CZ1856" s="717"/>
      <c r="DA1856" s="717"/>
      <c r="DB1856" s="717"/>
      <c r="DC1856" s="717"/>
      <c r="DD1856" s="717"/>
      <c r="DE1856" s="717"/>
      <c r="DF1856" s="717"/>
      <c r="DG1856" s="717"/>
      <c r="DH1856" s="717"/>
      <c r="DI1856" s="717"/>
      <c r="DJ1856" s="717"/>
      <c r="DM1856" s="711"/>
      <c r="DN1856" s="711"/>
      <c r="DO1856" s="711"/>
      <c r="DP1856" s="711"/>
      <c r="DQ1856" s="711"/>
    </row>
    <row r="1857" spans="13:121" s="709" customFormat="1" hidden="1">
      <c r="M1857" s="710"/>
      <c r="P1857" s="711"/>
      <c r="Q1857" s="712"/>
      <c r="U1857" s="711"/>
      <c r="V1857" s="711"/>
      <c r="W1857" s="711"/>
      <c r="X1857" s="711"/>
      <c r="Y1857" s="711"/>
      <c r="Z1857" s="711"/>
      <c r="AU1857" s="713"/>
      <c r="AW1857" s="712"/>
      <c r="BY1857" s="714"/>
      <c r="BZ1857" s="715"/>
      <c r="CA1857" s="716"/>
      <c r="CB1857" s="717"/>
      <c r="CC1857" s="717"/>
      <c r="CD1857" s="717"/>
      <c r="CE1857" s="717"/>
      <c r="CF1857" s="717"/>
      <c r="CG1857" s="717"/>
      <c r="CH1857" s="717"/>
      <c r="CI1857" s="717"/>
      <c r="CJ1857" s="717"/>
      <c r="CK1857" s="717"/>
      <c r="CL1857" s="717"/>
      <c r="CM1857" s="717"/>
      <c r="CN1857" s="717"/>
      <c r="CO1857" s="717"/>
      <c r="CP1857" s="717"/>
      <c r="CQ1857" s="717"/>
      <c r="CR1857" s="717"/>
      <c r="CS1857" s="717"/>
      <c r="CT1857" s="717"/>
      <c r="CU1857" s="717"/>
      <c r="CV1857" s="717"/>
      <c r="CW1857" s="717"/>
      <c r="CX1857" s="717"/>
      <c r="CY1857" s="717"/>
      <c r="CZ1857" s="717"/>
      <c r="DA1857" s="717"/>
      <c r="DB1857" s="717"/>
      <c r="DC1857" s="717"/>
      <c r="DD1857" s="717"/>
      <c r="DE1857" s="717"/>
      <c r="DF1857" s="717"/>
      <c r="DG1857" s="717"/>
      <c r="DH1857" s="717"/>
      <c r="DI1857" s="717"/>
      <c r="DJ1857" s="717"/>
      <c r="DM1857" s="711"/>
      <c r="DN1857" s="711"/>
      <c r="DO1857" s="711"/>
      <c r="DP1857" s="711"/>
      <c r="DQ1857" s="711"/>
    </row>
    <row r="1858" spans="13:121" s="709" customFormat="1" hidden="1">
      <c r="M1858" s="710"/>
      <c r="P1858" s="711"/>
      <c r="Q1858" s="712"/>
      <c r="U1858" s="711"/>
      <c r="V1858" s="711"/>
      <c r="W1858" s="711"/>
      <c r="X1858" s="711"/>
      <c r="Y1858" s="711"/>
      <c r="Z1858" s="711"/>
      <c r="AU1858" s="713"/>
      <c r="AW1858" s="712"/>
      <c r="BY1858" s="714"/>
      <c r="BZ1858" s="715"/>
      <c r="CA1858" s="716"/>
      <c r="CB1858" s="717"/>
      <c r="CC1858" s="717"/>
      <c r="CD1858" s="717"/>
      <c r="CE1858" s="717"/>
      <c r="CF1858" s="717"/>
      <c r="CG1858" s="717"/>
      <c r="CH1858" s="717"/>
      <c r="CI1858" s="717"/>
      <c r="CJ1858" s="717"/>
      <c r="CK1858" s="717"/>
      <c r="CL1858" s="717"/>
      <c r="CM1858" s="717"/>
      <c r="CN1858" s="717"/>
      <c r="CO1858" s="717"/>
      <c r="CP1858" s="717"/>
      <c r="CQ1858" s="717"/>
      <c r="CR1858" s="717"/>
      <c r="CS1858" s="717"/>
      <c r="CT1858" s="717"/>
      <c r="CU1858" s="717"/>
      <c r="CV1858" s="717"/>
      <c r="CW1858" s="717"/>
      <c r="CX1858" s="717"/>
      <c r="CY1858" s="717"/>
      <c r="CZ1858" s="717"/>
      <c r="DA1858" s="717"/>
      <c r="DB1858" s="717"/>
      <c r="DC1858" s="717"/>
      <c r="DD1858" s="717"/>
      <c r="DE1858" s="717"/>
      <c r="DF1858" s="717"/>
      <c r="DG1858" s="717"/>
      <c r="DH1858" s="717"/>
      <c r="DI1858" s="717"/>
      <c r="DJ1858" s="717"/>
      <c r="DM1858" s="711"/>
      <c r="DN1858" s="711"/>
      <c r="DO1858" s="711"/>
      <c r="DP1858" s="711"/>
      <c r="DQ1858" s="711"/>
    </row>
    <row r="1859" spans="13:121" s="709" customFormat="1" hidden="1">
      <c r="M1859" s="710"/>
      <c r="P1859" s="711"/>
      <c r="Q1859" s="712"/>
      <c r="U1859" s="711"/>
      <c r="V1859" s="711"/>
      <c r="W1859" s="711"/>
      <c r="X1859" s="711"/>
      <c r="Y1859" s="711"/>
      <c r="Z1859" s="711"/>
      <c r="AU1859" s="713"/>
      <c r="AW1859" s="712"/>
      <c r="BY1859" s="714"/>
      <c r="BZ1859" s="715"/>
      <c r="CA1859" s="716"/>
      <c r="CB1859" s="717"/>
      <c r="CC1859" s="717"/>
      <c r="CD1859" s="717"/>
      <c r="CE1859" s="717"/>
      <c r="CF1859" s="717"/>
      <c r="CG1859" s="717"/>
      <c r="CH1859" s="717"/>
      <c r="CI1859" s="717"/>
      <c r="CJ1859" s="717"/>
      <c r="CK1859" s="717"/>
      <c r="CL1859" s="717"/>
      <c r="CM1859" s="717"/>
      <c r="CN1859" s="717"/>
      <c r="CO1859" s="717"/>
      <c r="CP1859" s="717"/>
      <c r="CQ1859" s="717"/>
      <c r="CR1859" s="717"/>
      <c r="CS1859" s="717"/>
      <c r="CT1859" s="717"/>
      <c r="CU1859" s="717"/>
      <c r="CV1859" s="717"/>
      <c r="CW1859" s="717"/>
      <c r="CX1859" s="717"/>
      <c r="CY1859" s="717"/>
      <c r="CZ1859" s="717"/>
      <c r="DA1859" s="717"/>
      <c r="DB1859" s="717"/>
      <c r="DC1859" s="717"/>
      <c r="DD1859" s="717"/>
      <c r="DE1859" s="717"/>
      <c r="DF1859" s="717"/>
      <c r="DG1859" s="717"/>
      <c r="DH1859" s="717"/>
      <c r="DI1859" s="717"/>
      <c r="DJ1859" s="717"/>
      <c r="DM1859" s="711"/>
      <c r="DN1859" s="711"/>
      <c r="DO1859" s="711"/>
      <c r="DP1859" s="711"/>
      <c r="DQ1859" s="711"/>
    </row>
    <row r="1860" spans="13:121" s="709" customFormat="1" hidden="1">
      <c r="M1860" s="710"/>
      <c r="P1860" s="711"/>
      <c r="Q1860" s="712"/>
      <c r="U1860" s="711"/>
      <c r="V1860" s="711"/>
      <c r="W1860" s="711"/>
      <c r="X1860" s="711"/>
      <c r="Y1860" s="711"/>
      <c r="Z1860" s="711"/>
      <c r="AU1860" s="713"/>
      <c r="AW1860" s="712"/>
      <c r="BY1860" s="714"/>
      <c r="BZ1860" s="715"/>
      <c r="CA1860" s="716"/>
      <c r="CB1860" s="717"/>
      <c r="CC1860" s="717"/>
      <c r="CD1860" s="717"/>
      <c r="CE1860" s="717"/>
      <c r="CF1860" s="717"/>
      <c r="CG1860" s="717"/>
      <c r="CH1860" s="717"/>
      <c r="CI1860" s="717"/>
      <c r="CJ1860" s="717"/>
      <c r="CK1860" s="717"/>
      <c r="CL1860" s="717"/>
      <c r="CM1860" s="717"/>
      <c r="CN1860" s="717"/>
      <c r="CO1860" s="717"/>
      <c r="CP1860" s="717"/>
      <c r="CQ1860" s="717"/>
      <c r="CR1860" s="717"/>
      <c r="CS1860" s="717"/>
      <c r="CT1860" s="717"/>
      <c r="CU1860" s="717"/>
      <c r="CV1860" s="717"/>
      <c r="CW1860" s="717"/>
      <c r="CX1860" s="717"/>
      <c r="CY1860" s="717"/>
      <c r="CZ1860" s="717"/>
      <c r="DA1860" s="717"/>
      <c r="DB1860" s="717"/>
      <c r="DC1860" s="717"/>
      <c r="DD1860" s="717"/>
      <c r="DE1860" s="717"/>
      <c r="DF1860" s="717"/>
      <c r="DG1860" s="717"/>
      <c r="DH1860" s="717"/>
      <c r="DI1860" s="717"/>
      <c r="DJ1860" s="717"/>
      <c r="DM1860" s="711"/>
      <c r="DN1860" s="711"/>
      <c r="DO1860" s="711"/>
      <c r="DP1860" s="711"/>
      <c r="DQ1860" s="711"/>
    </row>
    <row r="1861" spans="13:121" s="709" customFormat="1" hidden="1">
      <c r="M1861" s="710"/>
      <c r="P1861" s="711"/>
      <c r="Q1861" s="712"/>
      <c r="U1861" s="711"/>
      <c r="V1861" s="711"/>
      <c r="W1861" s="711"/>
      <c r="X1861" s="711"/>
      <c r="Y1861" s="711"/>
      <c r="Z1861" s="711"/>
      <c r="AU1861" s="713"/>
      <c r="AW1861" s="712"/>
      <c r="BY1861" s="714"/>
      <c r="BZ1861" s="715"/>
      <c r="CA1861" s="716"/>
      <c r="CB1861" s="717"/>
      <c r="CC1861" s="717"/>
      <c r="CD1861" s="717"/>
      <c r="CE1861" s="717"/>
      <c r="CF1861" s="717"/>
      <c r="CG1861" s="717"/>
      <c r="CH1861" s="717"/>
      <c r="CI1861" s="717"/>
      <c r="CJ1861" s="717"/>
      <c r="CK1861" s="717"/>
      <c r="CL1861" s="717"/>
      <c r="CM1861" s="717"/>
      <c r="CN1861" s="717"/>
      <c r="CO1861" s="717"/>
      <c r="CP1861" s="717"/>
      <c r="CQ1861" s="717"/>
      <c r="CR1861" s="717"/>
      <c r="CS1861" s="717"/>
      <c r="CT1861" s="717"/>
      <c r="CU1861" s="717"/>
      <c r="CV1861" s="717"/>
      <c r="CW1861" s="717"/>
      <c r="CX1861" s="717"/>
      <c r="CY1861" s="717"/>
      <c r="CZ1861" s="717"/>
      <c r="DA1861" s="717"/>
      <c r="DB1861" s="717"/>
      <c r="DC1861" s="717"/>
      <c r="DD1861" s="717"/>
      <c r="DE1861" s="717"/>
      <c r="DF1861" s="717"/>
      <c r="DG1861" s="717"/>
      <c r="DH1861" s="717"/>
      <c r="DI1861" s="717"/>
      <c r="DJ1861" s="717"/>
      <c r="DM1861" s="711"/>
      <c r="DN1861" s="711"/>
      <c r="DO1861" s="711"/>
      <c r="DP1861" s="711"/>
      <c r="DQ1861" s="711"/>
    </row>
    <row r="1862" spans="13:121" s="709" customFormat="1" hidden="1">
      <c r="M1862" s="710"/>
      <c r="P1862" s="711"/>
      <c r="Q1862" s="712"/>
      <c r="U1862" s="711"/>
      <c r="V1862" s="711"/>
      <c r="W1862" s="711"/>
      <c r="X1862" s="711"/>
      <c r="Y1862" s="711"/>
      <c r="Z1862" s="711"/>
      <c r="AU1862" s="713"/>
      <c r="AW1862" s="712"/>
      <c r="BY1862" s="714"/>
      <c r="BZ1862" s="715"/>
      <c r="CA1862" s="716"/>
      <c r="CB1862" s="717"/>
      <c r="CC1862" s="717"/>
      <c r="CD1862" s="717"/>
      <c r="CE1862" s="717"/>
      <c r="CF1862" s="717"/>
      <c r="CG1862" s="717"/>
      <c r="CH1862" s="717"/>
      <c r="CI1862" s="717"/>
      <c r="CJ1862" s="717"/>
      <c r="CK1862" s="717"/>
      <c r="CL1862" s="717"/>
      <c r="CM1862" s="717"/>
      <c r="CN1862" s="717"/>
      <c r="CO1862" s="717"/>
      <c r="CP1862" s="717"/>
      <c r="CQ1862" s="717"/>
      <c r="CR1862" s="717"/>
      <c r="CS1862" s="717"/>
      <c r="CT1862" s="717"/>
      <c r="CU1862" s="717"/>
      <c r="CV1862" s="717"/>
      <c r="CW1862" s="717"/>
      <c r="CX1862" s="717"/>
      <c r="CY1862" s="717"/>
      <c r="CZ1862" s="717"/>
      <c r="DA1862" s="717"/>
      <c r="DB1862" s="717"/>
      <c r="DC1862" s="717"/>
      <c r="DD1862" s="717"/>
      <c r="DE1862" s="717"/>
      <c r="DF1862" s="717"/>
      <c r="DG1862" s="717"/>
      <c r="DH1862" s="717"/>
      <c r="DI1862" s="717"/>
      <c r="DJ1862" s="717"/>
      <c r="DM1862" s="711"/>
      <c r="DN1862" s="711"/>
      <c r="DO1862" s="711"/>
      <c r="DP1862" s="711"/>
      <c r="DQ1862" s="711"/>
    </row>
    <row r="1863" spans="13:121" s="709" customFormat="1" hidden="1">
      <c r="M1863" s="710"/>
      <c r="P1863" s="711"/>
      <c r="Q1863" s="712"/>
      <c r="U1863" s="711"/>
      <c r="V1863" s="711"/>
      <c r="W1863" s="711"/>
      <c r="X1863" s="711"/>
      <c r="Y1863" s="711"/>
      <c r="Z1863" s="711"/>
      <c r="AU1863" s="713"/>
      <c r="AW1863" s="712"/>
      <c r="BY1863" s="714"/>
      <c r="BZ1863" s="715"/>
      <c r="CA1863" s="716"/>
      <c r="CB1863" s="717"/>
      <c r="CC1863" s="717"/>
      <c r="CD1863" s="717"/>
      <c r="CE1863" s="717"/>
      <c r="CF1863" s="717"/>
      <c r="CG1863" s="717"/>
      <c r="CH1863" s="717"/>
      <c r="CI1863" s="717"/>
      <c r="CJ1863" s="717"/>
      <c r="CK1863" s="717"/>
      <c r="CL1863" s="717"/>
      <c r="CM1863" s="717"/>
      <c r="CN1863" s="717"/>
      <c r="CO1863" s="717"/>
      <c r="CP1863" s="717"/>
      <c r="CQ1863" s="717"/>
      <c r="CR1863" s="717"/>
      <c r="CS1863" s="717"/>
      <c r="CT1863" s="717"/>
      <c r="CU1863" s="717"/>
      <c r="CV1863" s="717"/>
      <c r="CW1863" s="717"/>
      <c r="CX1863" s="717"/>
      <c r="CY1863" s="717"/>
      <c r="CZ1863" s="717"/>
      <c r="DA1863" s="717"/>
      <c r="DB1863" s="717"/>
      <c r="DC1863" s="717"/>
      <c r="DD1863" s="717"/>
      <c r="DE1863" s="717"/>
      <c r="DF1863" s="717"/>
      <c r="DG1863" s="717"/>
      <c r="DH1863" s="717"/>
      <c r="DI1863" s="717"/>
      <c r="DJ1863" s="717"/>
      <c r="DM1863" s="711"/>
      <c r="DN1863" s="711"/>
      <c r="DO1863" s="711"/>
      <c r="DP1863" s="711"/>
      <c r="DQ1863" s="711"/>
    </row>
    <row r="1864" spans="13:121" s="709" customFormat="1" hidden="1">
      <c r="M1864" s="710"/>
      <c r="P1864" s="711"/>
      <c r="Q1864" s="712"/>
      <c r="U1864" s="711"/>
      <c r="V1864" s="711"/>
      <c r="W1864" s="711"/>
      <c r="X1864" s="711"/>
      <c r="Y1864" s="711"/>
      <c r="Z1864" s="711"/>
      <c r="AU1864" s="713"/>
      <c r="AW1864" s="712"/>
      <c r="BY1864" s="714"/>
      <c r="BZ1864" s="715"/>
      <c r="CA1864" s="716"/>
      <c r="CB1864" s="717"/>
      <c r="CC1864" s="717"/>
      <c r="CD1864" s="717"/>
      <c r="CE1864" s="717"/>
      <c r="CF1864" s="717"/>
      <c r="CG1864" s="717"/>
      <c r="CH1864" s="717"/>
      <c r="CI1864" s="717"/>
      <c r="CJ1864" s="717"/>
      <c r="CK1864" s="717"/>
      <c r="CL1864" s="717"/>
      <c r="CM1864" s="717"/>
      <c r="CN1864" s="717"/>
      <c r="CO1864" s="717"/>
      <c r="CP1864" s="717"/>
      <c r="CQ1864" s="717"/>
      <c r="CR1864" s="717"/>
      <c r="CS1864" s="717"/>
      <c r="CT1864" s="717"/>
      <c r="CU1864" s="717"/>
      <c r="CV1864" s="717"/>
      <c r="CW1864" s="717"/>
      <c r="CX1864" s="717"/>
      <c r="CY1864" s="717"/>
      <c r="CZ1864" s="717"/>
      <c r="DA1864" s="717"/>
      <c r="DB1864" s="717"/>
      <c r="DC1864" s="717"/>
      <c r="DD1864" s="717"/>
      <c r="DE1864" s="717"/>
      <c r="DF1864" s="717"/>
      <c r="DG1864" s="717"/>
      <c r="DH1864" s="717"/>
      <c r="DI1864" s="717"/>
      <c r="DJ1864" s="717"/>
      <c r="DM1864" s="711"/>
      <c r="DN1864" s="711"/>
      <c r="DO1864" s="711"/>
      <c r="DP1864" s="711"/>
      <c r="DQ1864" s="711"/>
    </row>
    <row r="1865" spans="13:121" s="709" customFormat="1" hidden="1">
      <c r="M1865" s="710"/>
      <c r="P1865" s="711"/>
      <c r="Q1865" s="712"/>
      <c r="U1865" s="711"/>
      <c r="V1865" s="711"/>
      <c r="W1865" s="711"/>
      <c r="X1865" s="711"/>
      <c r="Y1865" s="711"/>
      <c r="Z1865" s="711"/>
      <c r="AU1865" s="713"/>
      <c r="AW1865" s="712"/>
      <c r="BY1865" s="714"/>
      <c r="BZ1865" s="715"/>
      <c r="CA1865" s="716"/>
      <c r="CB1865" s="717"/>
      <c r="CC1865" s="717"/>
      <c r="CD1865" s="717"/>
      <c r="CE1865" s="717"/>
      <c r="CF1865" s="717"/>
      <c r="CG1865" s="717"/>
      <c r="CH1865" s="717"/>
      <c r="CI1865" s="717"/>
      <c r="CJ1865" s="717"/>
      <c r="CK1865" s="717"/>
      <c r="CL1865" s="717"/>
      <c r="CM1865" s="717"/>
      <c r="CN1865" s="717"/>
      <c r="CO1865" s="717"/>
      <c r="CP1865" s="717"/>
      <c r="CQ1865" s="717"/>
      <c r="CR1865" s="717"/>
      <c r="CS1865" s="717"/>
      <c r="CT1865" s="717"/>
      <c r="CU1865" s="717"/>
      <c r="CV1865" s="717"/>
      <c r="CW1865" s="717"/>
      <c r="CX1865" s="717"/>
      <c r="CY1865" s="717"/>
      <c r="CZ1865" s="717"/>
      <c r="DA1865" s="717"/>
      <c r="DB1865" s="717"/>
      <c r="DC1865" s="717"/>
      <c r="DD1865" s="717"/>
      <c r="DE1865" s="717"/>
      <c r="DF1865" s="717"/>
      <c r="DG1865" s="717"/>
      <c r="DH1865" s="717"/>
      <c r="DI1865" s="717"/>
      <c r="DJ1865" s="717"/>
      <c r="DM1865" s="711"/>
      <c r="DN1865" s="711"/>
      <c r="DO1865" s="711"/>
      <c r="DP1865" s="711"/>
      <c r="DQ1865" s="711"/>
    </row>
    <row r="1866" spans="13:121" s="709" customFormat="1" hidden="1">
      <c r="M1866" s="710"/>
      <c r="P1866" s="711"/>
      <c r="Q1866" s="712"/>
      <c r="U1866" s="711"/>
      <c r="V1866" s="711"/>
      <c r="W1866" s="711"/>
      <c r="X1866" s="711"/>
      <c r="Y1866" s="711"/>
      <c r="Z1866" s="711"/>
      <c r="AU1866" s="713"/>
      <c r="AW1866" s="712"/>
      <c r="BY1866" s="714"/>
      <c r="BZ1866" s="715"/>
      <c r="CA1866" s="716"/>
      <c r="CB1866" s="717"/>
      <c r="CC1866" s="717"/>
      <c r="CD1866" s="717"/>
      <c r="CE1866" s="717"/>
      <c r="CF1866" s="717"/>
      <c r="CG1866" s="717"/>
      <c r="CH1866" s="717"/>
      <c r="CI1866" s="717"/>
      <c r="CJ1866" s="717"/>
      <c r="CK1866" s="717"/>
      <c r="CL1866" s="717"/>
      <c r="CM1866" s="717"/>
      <c r="CN1866" s="717"/>
      <c r="CO1866" s="717"/>
      <c r="CP1866" s="717"/>
      <c r="CQ1866" s="717"/>
      <c r="CR1866" s="717"/>
      <c r="CS1866" s="717"/>
      <c r="CT1866" s="717"/>
      <c r="CU1866" s="717"/>
      <c r="CV1866" s="717"/>
      <c r="CW1866" s="717"/>
      <c r="CX1866" s="717"/>
      <c r="CY1866" s="717"/>
      <c r="CZ1866" s="717"/>
      <c r="DA1866" s="717"/>
      <c r="DB1866" s="717"/>
      <c r="DC1866" s="717"/>
      <c r="DD1866" s="717"/>
      <c r="DE1866" s="717"/>
      <c r="DF1866" s="717"/>
      <c r="DG1866" s="717"/>
      <c r="DH1866" s="717"/>
      <c r="DI1866" s="717"/>
      <c r="DJ1866" s="717"/>
      <c r="DM1866" s="711"/>
      <c r="DN1866" s="711"/>
      <c r="DO1866" s="711"/>
      <c r="DP1866" s="711"/>
      <c r="DQ1866" s="711"/>
    </row>
    <row r="1867" spans="13:121" s="709" customFormat="1" hidden="1">
      <c r="M1867" s="710"/>
      <c r="P1867" s="711"/>
      <c r="Q1867" s="712"/>
      <c r="U1867" s="711"/>
      <c r="V1867" s="711"/>
      <c r="W1867" s="711"/>
      <c r="X1867" s="711"/>
      <c r="Y1867" s="711"/>
      <c r="Z1867" s="711"/>
      <c r="AU1867" s="713"/>
      <c r="AW1867" s="712"/>
      <c r="BY1867" s="714"/>
      <c r="BZ1867" s="715"/>
      <c r="CA1867" s="716"/>
      <c r="CB1867" s="717"/>
      <c r="CC1867" s="717"/>
      <c r="CD1867" s="717"/>
      <c r="CE1867" s="717"/>
      <c r="CF1867" s="717"/>
      <c r="CG1867" s="717"/>
      <c r="CH1867" s="717"/>
      <c r="CI1867" s="717"/>
      <c r="CJ1867" s="717"/>
      <c r="CK1867" s="717"/>
      <c r="CL1867" s="717"/>
      <c r="CM1867" s="717"/>
      <c r="CN1867" s="717"/>
      <c r="CO1867" s="717"/>
      <c r="CP1867" s="717"/>
      <c r="CQ1867" s="717"/>
      <c r="CR1867" s="717"/>
      <c r="CS1867" s="717"/>
      <c r="CT1867" s="717"/>
      <c r="CU1867" s="717"/>
      <c r="CV1867" s="717"/>
      <c r="CW1867" s="717"/>
      <c r="CX1867" s="717"/>
      <c r="CY1867" s="717"/>
      <c r="CZ1867" s="717"/>
      <c r="DA1867" s="717"/>
      <c r="DB1867" s="717"/>
      <c r="DC1867" s="717"/>
      <c r="DD1867" s="717"/>
      <c r="DE1867" s="717"/>
      <c r="DF1867" s="717"/>
      <c r="DG1867" s="717"/>
      <c r="DH1867" s="717"/>
      <c r="DI1867" s="717"/>
      <c r="DJ1867" s="717"/>
      <c r="DM1867" s="711"/>
      <c r="DN1867" s="711"/>
      <c r="DO1867" s="711"/>
      <c r="DP1867" s="711"/>
      <c r="DQ1867" s="711"/>
    </row>
    <row r="1868" spans="13:121" s="709" customFormat="1" hidden="1">
      <c r="M1868" s="710"/>
      <c r="P1868" s="711"/>
      <c r="Q1868" s="712"/>
      <c r="U1868" s="711"/>
      <c r="V1868" s="711"/>
      <c r="W1868" s="711"/>
      <c r="X1868" s="711"/>
      <c r="Y1868" s="711"/>
      <c r="Z1868" s="711"/>
      <c r="AU1868" s="713"/>
      <c r="AW1868" s="712"/>
      <c r="BY1868" s="714"/>
      <c r="BZ1868" s="715"/>
      <c r="CA1868" s="716"/>
      <c r="CB1868" s="717"/>
      <c r="CC1868" s="717"/>
      <c r="CD1868" s="717"/>
      <c r="CE1868" s="717"/>
      <c r="CF1868" s="717"/>
      <c r="CG1868" s="717"/>
      <c r="CH1868" s="717"/>
      <c r="CI1868" s="717"/>
      <c r="CJ1868" s="717"/>
      <c r="CK1868" s="717"/>
      <c r="CL1868" s="717"/>
      <c r="CM1868" s="717"/>
      <c r="CN1868" s="717"/>
      <c r="CO1868" s="717"/>
      <c r="CP1868" s="717"/>
      <c r="CQ1868" s="717"/>
      <c r="CR1868" s="717"/>
      <c r="CS1868" s="717"/>
      <c r="CT1868" s="717"/>
      <c r="CU1868" s="717"/>
      <c r="CV1868" s="717"/>
      <c r="CW1868" s="717"/>
      <c r="CX1868" s="717"/>
      <c r="CY1868" s="717"/>
      <c r="CZ1868" s="717"/>
      <c r="DA1868" s="717"/>
      <c r="DB1868" s="717"/>
      <c r="DC1868" s="717"/>
      <c r="DD1868" s="717"/>
      <c r="DE1868" s="717"/>
      <c r="DF1868" s="717"/>
      <c r="DG1868" s="717"/>
      <c r="DH1868" s="717"/>
      <c r="DI1868" s="717"/>
      <c r="DJ1868" s="717"/>
      <c r="DM1868" s="711"/>
      <c r="DN1868" s="711"/>
      <c r="DO1868" s="711"/>
      <c r="DP1868" s="711"/>
      <c r="DQ1868" s="711"/>
    </row>
    <row r="1869" spans="13:121" s="709" customFormat="1" hidden="1">
      <c r="M1869" s="710"/>
      <c r="P1869" s="711"/>
      <c r="Q1869" s="712"/>
      <c r="U1869" s="711"/>
      <c r="V1869" s="711"/>
      <c r="W1869" s="711"/>
      <c r="X1869" s="711"/>
      <c r="Y1869" s="711"/>
      <c r="Z1869" s="711"/>
      <c r="AU1869" s="713"/>
      <c r="AW1869" s="712"/>
      <c r="BY1869" s="714"/>
      <c r="BZ1869" s="715"/>
      <c r="CA1869" s="716"/>
      <c r="CB1869" s="717"/>
      <c r="CC1869" s="717"/>
      <c r="CD1869" s="717"/>
      <c r="CE1869" s="717"/>
      <c r="CF1869" s="717"/>
      <c r="CG1869" s="717"/>
      <c r="CH1869" s="717"/>
      <c r="CI1869" s="717"/>
      <c r="CJ1869" s="717"/>
      <c r="CK1869" s="717"/>
      <c r="CL1869" s="717"/>
      <c r="CM1869" s="717"/>
      <c r="CN1869" s="717"/>
      <c r="CO1869" s="717"/>
      <c r="CP1869" s="717"/>
      <c r="CQ1869" s="717"/>
      <c r="CR1869" s="717"/>
      <c r="CS1869" s="717"/>
      <c r="CT1869" s="717"/>
      <c r="CU1869" s="717"/>
      <c r="CV1869" s="717"/>
      <c r="CW1869" s="717"/>
      <c r="CX1869" s="717"/>
      <c r="CY1869" s="717"/>
      <c r="CZ1869" s="717"/>
      <c r="DA1869" s="717"/>
      <c r="DB1869" s="717"/>
      <c r="DC1869" s="717"/>
      <c r="DD1869" s="717"/>
      <c r="DE1869" s="717"/>
      <c r="DF1869" s="717"/>
      <c r="DG1869" s="717"/>
      <c r="DH1869" s="717"/>
      <c r="DI1869" s="717"/>
      <c r="DJ1869" s="717"/>
      <c r="DM1869" s="711"/>
      <c r="DN1869" s="711"/>
      <c r="DO1869" s="711"/>
      <c r="DP1869" s="711"/>
      <c r="DQ1869" s="711"/>
    </row>
    <row r="1870" spans="13:121" s="709" customFormat="1" hidden="1">
      <c r="M1870" s="710"/>
      <c r="P1870" s="711"/>
      <c r="Q1870" s="712"/>
      <c r="U1870" s="711"/>
      <c r="V1870" s="711"/>
      <c r="W1870" s="711"/>
      <c r="X1870" s="711"/>
      <c r="Y1870" s="711"/>
      <c r="Z1870" s="711"/>
      <c r="AU1870" s="713"/>
      <c r="AW1870" s="712"/>
      <c r="BY1870" s="714"/>
      <c r="BZ1870" s="715"/>
      <c r="CA1870" s="716"/>
      <c r="CB1870" s="717"/>
      <c r="CC1870" s="717"/>
      <c r="CD1870" s="717"/>
      <c r="CE1870" s="717"/>
      <c r="CF1870" s="717"/>
      <c r="CG1870" s="717"/>
      <c r="CH1870" s="717"/>
      <c r="CI1870" s="717"/>
      <c r="CJ1870" s="717"/>
      <c r="CK1870" s="717"/>
      <c r="CL1870" s="717"/>
      <c r="CM1870" s="717"/>
      <c r="CN1870" s="717"/>
      <c r="CO1870" s="717"/>
      <c r="CP1870" s="717"/>
      <c r="CQ1870" s="717"/>
      <c r="CR1870" s="717"/>
      <c r="CS1870" s="717"/>
      <c r="CT1870" s="717"/>
      <c r="CU1870" s="717"/>
      <c r="CV1870" s="717"/>
      <c r="CW1870" s="717"/>
      <c r="CX1870" s="717"/>
      <c r="CY1870" s="717"/>
      <c r="CZ1870" s="717"/>
      <c r="DA1870" s="717"/>
      <c r="DB1870" s="717"/>
      <c r="DC1870" s="717"/>
      <c r="DD1870" s="717"/>
      <c r="DE1870" s="717"/>
      <c r="DF1870" s="717"/>
      <c r="DG1870" s="717"/>
      <c r="DH1870" s="717"/>
      <c r="DI1870" s="717"/>
      <c r="DJ1870" s="717"/>
      <c r="DM1870" s="711"/>
      <c r="DN1870" s="711"/>
      <c r="DO1870" s="711"/>
      <c r="DP1870" s="711"/>
      <c r="DQ1870" s="711"/>
    </row>
    <row r="1871" spans="13:121" s="709" customFormat="1" hidden="1">
      <c r="M1871" s="710"/>
      <c r="P1871" s="711"/>
      <c r="Q1871" s="712"/>
      <c r="U1871" s="711"/>
      <c r="V1871" s="711"/>
      <c r="W1871" s="711"/>
      <c r="X1871" s="711"/>
      <c r="Y1871" s="711"/>
      <c r="Z1871" s="711"/>
      <c r="AU1871" s="713"/>
      <c r="AW1871" s="712"/>
      <c r="BY1871" s="714"/>
      <c r="BZ1871" s="715"/>
      <c r="CA1871" s="716"/>
      <c r="CB1871" s="717"/>
      <c r="CC1871" s="717"/>
      <c r="CD1871" s="717"/>
      <c r="CE1871" s="717"/>
      <c r="CF1871" s="717"/>
      <c r="CG1871" s="717"/>
      <c r="CH1871" s="717"/>
      <c r="CI1871" s="717"/>
      <c r="CJ1871" s="717"/>
      <c r="CK1871" s="717"/>
      <c r="CL1871" s="717"/>
      <c r="CM1871" s="717"/>
      <c r="CN1871" s="717"/>
      <c r="CO1871" s="717"/>
      <c r="CP1871" s="717"/>
      <c r="CQ1871" s="717"/>
      <c r="CR1871" s="717"/>
      <c r="CS1871" s="717"/>
      <c r="CT1871" s="717"/>
      <c r="CU1871" s="717"/>
      <c r="CV1871" s="717"/>
      <c r="CW1871" s="717"/>
      <c r="CX1871" s="717"/>
      <c r="CY1871" s="717"/>
      <c r="CZ1871" s="717"/>
      <c r="DA1871" s="717"/>
      <c r="DB1871" s="717"/>
      <c r="DC1871" s="717"/>
      <c r="DD1871" s="717"/>
      <c r="DE1871" s="717"/>
      <c r="DF1871" s="717"/>
      <c r="DG1871" s="717"/>
      <c r="DH1871" s="717"/>
      <c r="DI1871" s="717"/>
      <c r="DJ1871" s="717"/>
      <c r="DM1871" s="711"/>
      <c r="DN1871" s="711"/>
      <c r="DO1871" s="711"/>
      <c r="DP1871" s="711"/>
      <c r="DQ1871" s="711"/>
    </row>
    <row r="1872" spans="13:121" s="709" customFormat="1" hidden="1">
      <c r="M1872" s="710"/>
      <c r="P1872" s="711"/>
      <c r="Q1872" s="712"/>
      <c r="U1872" s="711"/>
      <c r="V1872" s="711"/>
      <c r="W1872" s="711"/>
      <c r="X1872" s="711"/>
      <c r="Y1872" s="711"/>
      <c r="Z1872" s="711"/>
      <c r="AU1872" s="713"/>
      <c r="AW1872" s="712"/>
      <c r="BY1872" s="714"/>
      <c r="BZ1872" s="715"/>
      <c r="CA1872" s="716"/>
      <c r="CB1872" s="717"/>
      <c r="CC1872" s="717"/>
      <c r="CD1872" s="717"/>
      <c r="CE1872" s="717"/>
      <c r="CF1872" s="717"/>
      <c r="CG1872" s="717"/>
      <c r="CH1872" s="717"/>
      <c r="CI1872" s="717"/>
      <c r="CJ1872" s="717"/>
      <c r="CK1872" s="717"/>
      <c r="CL1872" s="717"/>
      <c r="CM1872" s="717"/>
      <c r="CN1872" s="717"/>
      <c r="CO1872" s="717"/>
      <c r="CP1872" s="717"/>
      <c r="CQ1872" s="717"/>
      <c r="CR1872" s="717"/>
      <c r="CS1872" s="717"/>
      <c r="CT1872" s="717"/>
      <c r="CU1872" s="717"/>
      <c r="CV1872" s="717"/>
      <c r="CW1872" s="717"/>
      <c r="CX1872" s="717"/>
      <c r="CY1872" s="717"/>
      <c r="CZ1872" s="717"/>
      <c r="DA1872" s="717"/>
      <c r="DB1872" s="717"/>
      <c r="DC1872" s="717"/>
      <c r="DD1872" s="717"/>
      <c r="DE1872" s="717"/>
      <c r="DF1872" s="717"/>
      <c r="DG1872" s="717"/>
      <c r="DH1872" s="717"/>
      <c r="DI1872" s="717"/>
      <c r="DJ1872" s="717"/>
      <c r="DM1872" s="711"/>
      <c r="DN1872" s="711"/>
      <c r="DO1872" s="711"/>
      <c r="DP1872" s="711"/>
      <c r="DQ1872" s="711"/>
    </row>
    <row r="1873" spans="13:121" s="709" customFormat="1" hidden="1">
      <c r="M1873" s="710"/>
      <c r="P1873" s="711"/>
      <c r="Q1873" s="712"/>
      <c r="U1873" s="711"/>
      <c r="V1873" s="711"/>
      <c r="W1873" s="711"/>
      <c r="X1873" s="711"/>
      <c r="Y1873" s="711"/>
      <c r="Z1873" s="711"/>
      <c r="AU1873" s="713"/>
      <c r="AW1873" s="712"/>
      <c r="BY1873" s="714"/>
      <c r="BZ1873" s="715"/>
      <c r="CA1873" s="716"/>
      <c r="CB1873" s="717"/>
      <c r="CC1873" s="717"/>
      <c r="CD1873" s="717"/>
      <c r="CE1873" s="717"/>
      <c r="CF1873" s="717"/>
      <c r="CG1873" s="717"/>
      <c r="CH1873" s="717"/>
      <c r="CI1873" s="717"/>
      <c r="CJ1873" s="717"/>
      <c r="CK1873" s="717"/>
      <c r="CL1873" s="717"/>
      <c r="CM1873" s="717"/>
      <c r="CN1873" s="717"/>
      <c r="CO1873" s="717"/>
      <c r="CP1873" s="717"/>
      <c r="CQ1873" s="717"/>
      <c r="CR1873" s="717"/>
      <c r="CS1873" s="717"/>
      <c r="CT1873" s="717"/>
      <c r="CU1873" s="717"/>
      <c r="CV1873" s="717"/>
      <c r="CW1873" s="717"/>
      <c r="CX1873" s="717"/>
      <c r="CY1873" s="717"/>
      <c r="CZ1873" s="717"/>
      <c r="DA1873" s="717"/>
      <c r="DB1873" s="717"/>
      <c r="DC1873" s="717"/>
      <c r="DD1873" s="717"/>
      <c r="DE1873" s="717"/>
      <c r="DF1873" s="717"/>
      <c r="DG1873" s="717"/>
      <c r="DH1873" s="717"/>
      <c r="DI1873" s="717"/>
      <c r="DJ1873" s="717"/>
      <c r="DM1873" s="711"/>
      <c r="DN1873" s="711"/>
      <c r="DO1873" s="711"/>
      <c r="DP1873" s="711"/>
      <c r="DQ1873" s="711"/>
    </row>
    <row r="1874" spans="13:121" s="709" customFormat="1" hidden="1">
      <c r="M1874" s="710"/>
      <c r="P1874" s="711"/>
      <c r="Q1874" s="712"/>
      <c r="U1874" s="711"/>
      <c r="V1874" s="711"/>
      <c r="W1874" s="711"/>
      <c r="X1874" s="711"/>
      <c r="Y1874" s="711"/>
      <c r="Z1874" s="711"/>
      <c r="AU1874" s="713"/>
      <c r="AW1874" s="712"/>
      <c r="BY1874" s="714"/>
      <c r="BZ1874" s="715"/>
      <c r="CA1874" s="716"/>
      <c r="CB1874" s="717"/>
      <c r="CC1874" s="717"/>
      <c r="CD1874" s="717"/>
      <c r="CE1874" s="717"/>
      <c r="CF1874" s="717"/>
      <c r="CG1874" s="717"/>
      <c r="CH1874" s="717"/>
      <c r="CI1874" s="717"/>
      <c r="CJ1874" s="717"/>
      <c r="CK1874" s="717"/>
      <c r="CL1874" s="717"/>
      <c r="CM1874" s="717"/>
      <c r="CN1874" s="717"/>
      <c r="CO1874" s="717"/>
      <c r="CP1874" s="717"/>
      <c r="CQ1874" s="717"/>
      <c r="CR1874" s="717"/>
      <c r="CS1874" s="717"/>
      <c r="CT1874" s="717"/>
      <c r="CU1874" s="717"/>
      <c r="CV1874" s="717"/>
      <c r="CW1874" s="717"/>
      <c r="CX1874" s="717"/>
      <c r="CY1874" s="717"/>
      <c r="CZ1874" s="717"/>
      <c r="DA1874" s="717"/>
      <c r="DB1874" s="717"/>
      <c r="DC1874" s="717"/>
      <c r="DD1874" s="717"/>
      <c r="DE1874" s="717"/>
      <c r="DF1874" s="717"/>
      <c r="DG1874" s="717"/>
      <c r="DH1874" s="717"/>
      <c r="DI1874" s="717"/>
      <c r="DJ1874" s="717"/>
      <c r="DM1874" s="711"/>
      <c r="DN1874" s="711"/>
      <c r="DO1874" s="711"/>
      <c r="DP1874" s="711"/>
      <c r="DQ1874" s="711"/>
    </row>
    <row r="1875" spans="13:121" s="709" customFormat="1" hidden="1">
      <c r="M1875" s="710"/>
      <c r="P1875" s="711"/>
      <c r="Q1875" s="712"/>
      <c r="U1875" s="711"/>
      <c r="V1875" s="711"/>
      <c r="W1875" s="711"/>
      <c r="X1875" s="711"/>
      <c r="Y1875" s="711"/>
      <c r="Z1875" s="711"/>
      <c r="AU1875" s="713"/>
      <c r="AW1875" s="712"/>
      <c r="BY1875" s="714"/>
      <c r="BZ1875" s="715"/>
      <c r="CA1875" s="716"/>
      <c r="CB1875" s="717"/>
      <c r="CC1875" s="717"/>
      <c r="CD1875" s="717"/>
      <c r="CE1875" s="717"/>
      <c r="CF1875" s="717"/>
      <c r="CG1875" s="717"/>
      <c r="CH1875" s="717"/>
      <c r="CI1875" s="717"/>
      <c r="CJ1875" s="717"/>
      <c r="CK1875" s="717"/>
      <c r="CL1875" s="717"/>
      <c r="CM1875" s="717"/>
      <c r="CN1875" s="717"/>
      <c r="CO1875" s="717"/>
      <c r="CP1875" s="717"/>
      <c r="CQ1875" s="717"/>
      <c r="CR1875" s="717"/>
      <c r="CS1875" s="717"/>
      <c r="CT1875" s="717"/>
      <c r="CU1875" s="717"/>
      <c r="CV1875" s="717"/>
      <c r="CW1875" s="717"/>
      <c r="CX1875" s="717"/>
      <c r="CY1875" s="717"/>
      <c r="CZ1875" s="717"/>
      <c r="DA1875" s="717"/>
      <c r="DB1875" s="717"/>
      <c r="DC1875" s="717"/>
      <c r="DD1875" s="717"/>
      <c r="DE1875" s="717"/>
      <c r="DF1875" s="717"/>
      <c r="DG1875" s="717"/>
      <c r="DH1875" s="717"/>
      <c r="DI1875" s="717"/>
      <c r="DJ1875" s="717"/>
      <c r="DM1875" s="711"/>
      <c r="DN1875" s="711"/>
      <c r="DO1875" s="711"/>
      <c r="DP1875" s="711"/>
      <c r="DQ1875" s="711"/>
    </row>
    <row r="1876" spans="13:121" s="709" customFormat="1" hidden="1">
      <c r="M1876" s="710"/>
      <c r="P1876" s="711"/>
      <c r="Q1876" s="712"/>
      <c r="U1876" s="711"/>
      <c r="V1876" s="711"/>
      <c r="W1876" s="711"/>
      <c r="X1876" s="711"/>
      <c r="Y1876" s="711"/>
      <c r="Z1876" s="711"/>
      <c r="AU1876" s="713"/>
      <c r="AW1876" s="712"/>
      <c r="BY1876" s="714"/>
      <c r="BZ1876" s="715"/>
      <c r="CA1876" s="716"/>
      <c r="CB1876" s="717"/>
      <c r="CC1876" s="717"/>
      <c r="CD1876" s="717"/>
      <c r="CE1876" s="717"/>
      <c r="CF1876" s="717"/>
      <c r="CG1876" s="717"/>
      <c r="CH1876" s="717"/>
      <c r="CI1876" s="717"/>
      <c r="CJ1876" s="717"/>
      <c r="CK1876" s="717"/>
      <c r="CL1876" s="717"/>
      <c r="CM1876" s="717"/>
      <c r="CN1876" s="717"/>
      <c r="CO1876" s="717"/>
      <c r="CP1876" s="717"/>
      <c r="CQ1876" s="717"/>
      <c r="CR1876" s="717"/>
      <c r="CS1876" s="717"/>
      <c r="CT1876" s="717"/>
      <c r="CU1876" s="717"/>
      <c r="CV1876" s="717"/>
      <c r="CW1876" s="717"/>
      <c r="CX1876" s="717"/>
      <c r="CY1876" s="717"/>
      <c r="CZ1876" s="717"/>
      <c r="DA1876" s="717"/>
      <c r="DB1876" s="717"/>
      <c r="DC1876" s="717"/>
      <c r="DD1876" s="717"/>
      <c r="DE1876" s="717"/>
      <c r="DF1876" s="717"/>
      <c r="DG1876" s="717"/>
      <c r="DH1876" s="717"/>
      <c r="DI1876" s="717"/>
      <c r="DJ1876" s="717"/>
      <c r="DM1876" s="711"/>
      <c r="DN1876" s="711"/>
      <c r="DO1876" s="711"/>
      <c r="DP1876" s="711"/>
      <c r="DQ1876" s="711"/>
    </row>
    <row r="1877" spans="13:121" s="709" customFormat="1" hidden="1">
      <c r="M1877" s="710"/>
      <c r="P1877" s="711"/>
      <c r="Q1877" s="712"/>
      <c r="U1877" s="711"/>
      <c r="V1877" s="711"/>
      <c r="W1877" s="711"/>
      <c r="X1877" s="711"/>
      <c r="Y1877" s="711"/>
      <c r="Z1877" s="711"/>
      <c r="AU1877" s="713"/>
      <c r="AW1877" s="712"/>
      <c r="BY1877" s="714"/>
      <c r="BZ1877" s="715"/>
      <c r="CA1877" s="716"/>
      <c r="CB1877" s="717"/>
      <c r="CC1877" s="717"/>
      <c r="CD1877" s="717"/>
      <c r="CE1877" s="717"/>
      <c r="CF1877" s="717"/>
      <c r="CG1877" s="717"/>
      <c r="CH1877" s="717"/>
      <c r="CI1877" s="717"/>
      <c r="CJ1877" s="717"/>
      <c r="CK1877" s="717"/>
      <c r="CL1877" s="717"/>
      <c r="CM1877" s="717"/>
      <c r="CN1877" s="717"/>
      <c r="CO1877" s="717"/>
      <c r="CP1877" s="717"/>
      <c r="CQ1877" s="717"/>
      <c r="CR1877" s="717"/>
      <c r="CS1877" s="717"/>
      <c r="CT1877" s="717"/>
      <c r="CU1877" s="717"/>
      <c r="CV1877" s="717"/>
      <c r="CW1877" s="717"/>
      <c r="CX1877" s="717"/>
      <c r="CY1877" s="717"/>
      <c r="CZ1877" s="717"/>
      <c r="DA1877" s="717"/>
      <c r="DB1877" s="717"/>
      <c r="DC1877" s="717"/>
      <c r="DD1877" s="717"/>
      <c r="DE1877" s="717"/>
      <c r="DF1877" s="717"/>
      <c r="DG1877" s="717"/>
      <c r="DH1877" s="717"/>
      <c r="DI1877" s="717"/>
      <c r="DJ1877" s="717"/>
      <c r="DM1877" s="711"/>
      <c r="DN1877" s="711"/>
      <c r="DO1877" s="711"/>
      <c r="DP1877" s="711"/>
      <c r="DQ1877" s="711"/>
    </row>
    <row r="1878" spans="13:121" s="709" customFormat="1" hidden="1">
      <c r="M1878" s="710"/>
      <c r="P1878" s="711"/>
      <c r="Q1878" s="712"/>
      <c r="U1878" s="711"/>
      <c r="V1878" s="711"/>
      <c r="W1878" s="711"/>
      <c r="X1878" s="711"/>
      <c r="Y1878" s="711"/>
      <c r="Z1878" s="711"/>
      <c r="AU1878" s="713"/>
      <c r="AW1878" s="712"/>
      <c r="BY1878" s="714"/>
      <c r="BZ1878" s="715"/>
      <c r="CA1878" s="716"/>
      <c r="CB1878" s="717"/>
      <c r="CC1878" s="717"/>
      <c r="CD1878" s="717"/>
      <c r="CE1878" s="717"/>
      <c r="CF1878" s="717"/>
      <c r="CG1878" s="717"/>
      <c r="CH1878" s="717"/>
      <c r="CI1878" s="717"/>
      <c r="CJ1878" s="717"/>
      <c r="CK1878" s="717"/>
      <c r="CL1878" s="717"/>
      <c r="CM1878" s="717"/>
      <c r="CN1878" s="717"/>
      <c r="CO1878" s="717"/>
      <c r="CP1878" s="717"/>
      <c r="CQ1878" s="717"/>
      <c r="CR1878" s="717"/>
      <c r="CS1878" s="717"/>
      <c r="CT1878" s="717"/>
      <c r="CU1878" s="717"/>
      <c r="CV1878" s="717"/>
      <c r="CW1878" s="717"/>
      <c r="CX1878" s="717"/>
      <c r="CY1878" s="717"/>
      <c r="CZ1878" s="717"/>
      <c r="DA1878" s="717"/>
      <c r="DB1878" s="717"/>
      <c r="DC1878" s="717"/>
      <c r="DD1878" s="717"/>
      <c r="DE1878" s="717"/>
      <c r="DF1878" s="717"/>
      <c r="DG1878" s="717"/>
      <c r="DH1878" s="717"/>
      <c r="DI1878" s="717"/>
      <c r="DJ1878" s="717"/>
      <c r="DM1878" s="711"/>
      <c r="DN1878" s="711"/>
      <c r="DO1878" s="711"/>
      <c r="DP1878" s="711"/>
      <c r="DQ1878" s="711"/>
    </row>
    <row r="1879" spans="13:121" s="709" customFormat="1" hidden="1">
      <c r="M1879" s="710"/>
      <c r="P1879" s="711"/>
      <c r="Q1879" s="712"/>
      <c r="U1879" s="711"/>
      <c r="V1879" s="711"/>
      <c r="W1879" s="711"/>
      <c r="X1879" s="711"/>
      <c r="Y1879" s="711"/>
      <c r="Z1879" s="711"/>
      <c r="AU1879" s="713"/>
      <c r="AW1879" s="712"/>
      <c r="BY1879" s="714"/>
      <c r="BZ1879" s="715"/>
      <c r="CA1879" s="716"/>
      <c r="CB1879" s="717"/>
      <c r="CC1879" s="717"/>
      <c r="CD1879" s="717"/>
      <c r="CE1879" s="717"/>
      <c r="CF1879" s="717"/>
      <c r="CG1879" s="717"/>
      <c r="CH1879" s="717"/>
      <c r="CI1879" s="717"/>
      <c r="CJ1879" s="717"/>
      <c r="CK1879" s="717"/>
      <c r="CL1879" s="717"/>
      <c r="CM1879" s="717"/>
      <c r="CN1879" s="717"/>
      <c r="CO1879" s="717"/>
      <c r="CP1879" s="717"/>
      <c r="CQ1879" s="717"/>
      <c r="CR1879" s="717"/>
      <c r="CS1879" s="717"/>
      <c r="CT1879" s="717"/>
      <c r="CU1879" s="717"/>
      <c r="CV1879" s="717"/>
      <c r="CW1879" s="717"/>
      <c r="CX1879" s="717"/>
      <c r="CY1879" s="717"/>
      <c r="CZ1879" s="717"/>
      <c r="DA1879" s="717"/>
      <c r="DB1879" s="717"/>
      <c r="DC1879" s="717"/>
      <c r="DD1879" s="717"/>
      <c r="DE1879" s="717"/>
      <c r="DF1879" s="717"/>
      <c r="DG1879" s="717"/>
      <c r="DH1879" s="717"/>
      <c r="DI1879" s="717"/>
      <c r="DJ1879" s="717"/>
      <c r="DM1879" s="711"/>
      <c r="DN1879" s="711"/>
      <c r="DO1879" s="711"/>
      <c r="DP1879" s="711"/>
      <c r="DQ1879" s="711"/>
    </row>
    <row r="1880" spans="13:121" s="709" customFormat="1" hidden="1">
      <c r="M1880" s="710"/>
      <c r="P1880" s="711"/>
      <c r="Q1880" s="712"/>
      <c r="U1880" s="711"/>
      <c r="V1880" s="711"/>
      <c r="W1880" s="711"/>
      <c r="X1880" s="711"/>
      <c r="Y1880" s="711"/>
      <c r="Z1880" s="711"/>
      <c r="AU1880" s="713"/>
      <c r="AW1880" s="712"/>
      <c r="BY1880" s="714"/>
      <c r="BZ1880" s="715"/>
      <c r="CA1880" s="716"/>
      <c r="CB1880" s="717"/>
      <c r="CC1880" s="717"/>
      <c r="CD1880" s="717"/>
      <c r="CE1880" s="717"/>
      <c r="CF1880" s="717"/>
      <c r="CG1880" s="717"/>
      <c r="CH1880" s="717"/>
      <c r="CI1880" s="717"/>
      <c r="CJ1880" s="717"/>
      <c r="CK1880" s="717"/>
      <c r="CL1880" s="717"/>
      <c r="CM1880" s="717"/>
      <c r="CN1880" s="717"/>
      <c r="CO1880" s="717"/>
      <c r="CP1880" s="717"/>
      <c r="CQ1880" s="717"/>
      <c r="CR1880" s="717"/>
      <c r="CS1880" s="717"/>
      <c r="CT1880" s="717"/>
      <c r="CU1880" s="717"/>
      <c r="CV1880" s="717"/>
      <c r="CW1880" s="717"/>
      <c r="CX1880" s="717"/>
      <c r="CY1880" s="717"/>
      <c r="CZ1880" s="717"/>
      <c r="DA1880" s="717"/>
      <c r="DB1880" s="717"/>
      <c r="DC1880" s="717"/>
      <c r="DD1880" s="717"/>
      <c r="DE1880" s="717"/>
      <c r="DF1880" s="717"/>
      <c r="DG1880" s="717"/>
      <c r="DH1880" s="717"/>
      <c r="DI1880" s="717"/>
      <c r="DJ1880" s="717"/>
      <c r="DM1880" s="711"/>
      <c r="DN1880" s="711"/>
      <c r="DO1880" s="711"/>
      <c r="DP1880" s="711"/>
      <c r="DQ1880" s="711"/>
    </row>
    <row r="1881" spans="13:121" s="709" customFormat="1" hidden="1">
      <c r="M1881" s="710"/>
      <c r="P1881" s="711"/>
      <c r="Q1881" s="712"/>
      <c r="U1881" s="711"/>
      <c r="V1881" s="711"/>
      <c r="W1881" s="711"/>
      <c r="X1881" s="711"/>
      <c r="Y1881" s="711"/>
      <c r="Z1881" s="711"/>
      <c r="AU1881" s="713"/>
      <c r="AW1881" s="712"/>
      <c r="BY1881" s="714"/>
      <c r="BZ1881" s="715"/>
      <c r="CA1881" s="716"/>
      <c r="CB1881" s="717"/>
      <c r="CC1881" s="717"/>
      <c r="CD1881" s="717"/>
      <c r="CE1881" s="717"/>
      <c r="CF1881" s="717"/>
      <c r="CG1881" s="717"/>
      <c r="CH1881" s="717"/>
      <c r="CI1881" s="717"/>
      <c r="CJ1881" s="717"/>
      <c r="CK1881" s="717"/>
      <c r="CL1881" s="717"/>
      <c r="CM1881" s="717"/>
      <c r="CN1881" s="717"/>
      <c r="CO1881" s="717"/>
      <c r="CP1881" s="717"/>
      <c r="CQ1881" s="717"/>
      <c r="CR1881" s="717"/>
      <c r="CS1881" s="717"/>
      <c r="CT1881" s="717"/>
      <c r="CU1881" s="717"/>
      <c r="CV1881" s="717"/>
      <c r="CW1881" s="717"/>
      <c r="CX1881" s="717"/>
      <c r="CY1881" s="717"/>
      <c r="CZ1881" s="717"/>
      <c r="DA1881" s="717"/>
      <c r="DB1881" s="717"/>
      <c r="DC1881" s="717"/>
      <c r="DD1881" s="717"/>
      <c r="DE1881" s="717"/>
      <c r="DF1881" s="717"/>
      <c r="DG1881" s="717"/>
      <c r="DH1881" s="717"/>
      <c r="DI1881" s="717"/>
      <c r="DJ1881" s="717"/>
      <c r="DM1881" s="711"/>
      <c r="DN1881" s="711"/>
      <c r="DO1881" s="711"/>
      <c r="DP1881" s="711"/>
      <c r="DQ1881" s="711"/>
    </row>
    <row r="1882" spans="13:121" s="709" customFormat="1" hidden="1">
      <c r="M1882" s="710"/>
      <c r="P1882" s="711"/>
      <c r="Q1882" s="712"/>
      <c r="U1882" s="711"/>
      <c r="V1882" s="711"/>
      <c r="W1882" s="711"/>
      <c r="X1882" s="711"/>
      <c r="Y1882" s="711"/>
      <c r="Z1882" s="711"/>
      <c r="AU1882" s="713"/>
      <c r="AW1882" s="712"/>
      <c r="BY1882" s="714"/>
      <c r="BZ1882" s="715"/>
      <c r="CA1882" s="716"/>
      <c r="CB1882" s="717"/>
      <c r="CC1882" s="717"/>
      <c r="CD1882" s="717"/>
      <c r="CE1882" s="717"/>
      <c r="CF1882" s="717"/>
      <c r="CG1882" s="717"/>
      <c r="CH1882" s="717"/>
      <c r="CI1882" s="717"/>
      <c r="CJ1882" s="717"/>
      <c r="CK1882" s="717"/>
      <c r="CL1882" s="717"/>
      <c r="CM1882" s="717"/>
      <c r="CN1882" s="717"/>
      <c r="CO1882" s="717"/>
      <c r="CP1882" s="717"/>
      <c r="CQ1882" s="717"/>
      <c r="CR1882" s="717"/>
      <c r="CS1882" s="717"/>
      <c r="CT1882" s="717"/>
      <c r="CU1882" s="717"/>
      <c r="CV1882" s="717"/>
      <c r="CW1882" s="717"/>
      <c r="CX1882" s="717"/>
      <c r="CY1882" s="717"/>
      <c r="CZ1882" s="717"/>
      <c r="DA1882" s="717"/>
      <c r="DB1882" s="717"/>
      <c r="DC1882" s="717"/>
      <c r="DD1882" s="717"/>
      <c r="DE1882" s="717"/>
      <c r="DF1882" s="717"/>
      <c r="DG1882" s="717"/>
      <c r="DH1882" s="717"/>
      <c r="DI1882" s="717"/>
      <c r="DJ1882" s="717"/>
      <c r="DM1882" s="711"/>
      <c r="DN1882" s="711"/>
      <c r="DO1882" s="711"/>
      <c r="DP1882" s="711"/>
      <c r="DQ1882" s="711"/>
    </row>
    <row r="1883" spans="13:121" s="709" customFormat="1" hidden="1">
      <c r="M1883" s="710"/>
      <c r="P1883" s="711"/>
      <c r="Q1883" s="712"/>
      <c r="U1883" s="711"/>
      <c r="V1883" s="711"/>
      <c r="W1883" s="711"/>
      <c r="X1883" s="711"/>
      <c r="Y1883" s="711"/>
      <c r="Z1883" s="711"/>
      <c r="AU1883" s="713"/>
      <c r="AW1883" s="712"/>
      <c r="BY1883" s="714"/>
      <c r="BZ1883" s="715"/>
      <c r="CA1883" s="716"/>
      <c r="CB1883" s="717"/>
      <c r="CC1883" s="717"/>
      <c r="CD1883" s="717"/>
      <c r="CE1883" s="717"/>
      <c r="CF1883" s="717"/>
      <c r="CG1883" s="717"/>
      <c r="CH1883" s="717"/>
      <c r="CI1883" s="717"/>
      <c r="CJ1883" s="717"/>
      <c r="CK1883" s="717"/>
      <c r="CL1883" s="717"/>
      <c r="CM1883" s="717"/>
      <c r="CN1883" s="717"/>
      <c r="CO1883" s="717"/>
      <c r="CP1883" s="717"/>
      <c r="CQ1883" s="717"/>
      <c r="CR1883" s="717"/>
      <c r="CS1883" s="717"/>
      <c r="CT1883" s="717"/>
      <c r="CU1883" s="717"/>
      <c r="CV1883" s="717"/>
      <c r="CW1883" s="717"/>
      <c r="CX1883" s="717"/>
      <c r="CY1883" s="717"/>
      <c r="CZ1883" s="717"/>
      <c r="DA1883" s="717"/>
      <c r="DB1883" s="717"/>
      <c r="DC1883" s="717"/>
      <c r="DD1883" s="717"/>
      <c r="DE1883" s="717"/>
      <c r="DF1883" s="717"/>
      <c r="DG1883" s="717"/>
      <c r="DH1883" s="717"/>
      <c r="DI1883" s="717"/>
      <c r="DJ1883" s="717"/>
      <c r="DM1883" s="711"/>
      <c r="DN1883" s="711"/>
      <c r="DO1883" s="711"/>
      <c r="DP1883" s="711"/>
      <c r="DQ1883" s="711"/>
    </row>
    <row r="1884" spans="13:121" s="709" customFormat="1" hidden="1">
      <c r="M1884" s="710"/>
      <c r="P1884" s="711"/>
      <c r="Q1884" s="712"/>
      <c r="U1884" s="711"/>
      <c r="V1884" s="711"/>
      <c r="W1884" s="711"/>
      <c r="X1884" s="711"/>
      <c r="Y1884" s="711"/>
      <c r="Z1884" s="711"/>
      <c r="AU1884" s="713"/>
      <c r="AW1884" s="712"/>
      <c r="BY1884" s="714"/>
      <c r="BZ1884" s="715"/>
      <c r="CA1884" s="716"/>
      <c r="CB1884" s="717"/>
      <c r="CC1884" s="717"/>
      <c r="CD1884" s="717"/>
      <c r="CE1884" s="717"/>
      <c r="CF1884" s="717"/>
      <c r="CG1884" s="717"/>
      <c r="CH1884" s="717"/>
      <c r="CI1884" s="717"/>
      <c r="CJ1884" s="717"/>
      <c r="CK1884" s="717"/>
      <c r="CL1884" s="717"/>
      <c r="CM1884" s="717"/>
      <c r="CN1884" s="717"/>
      <c r="CO1884" s="717"/>
      <c r="CP1884" s="717"/>
      <c r="CQ1884" s="717"/>
      <c r="CR1884" s="717"/>
      <c r="CS1884" s="717"/>
      <c r="CT1884" s="717"/>
      <c r="CU1884" s="717"/>
      <c r="CV1884" s="717"/>
      <c r="CW1884" s="717"/>
      <c r="CX1884" s="717"/>
      <c r="CY1884" s="717"/>
      <c r="CZ1884" s="717"/>
      <c r="DA1884" s="717"/>
      <c r="DB1884" s="717"/>
      <c r="DC1884" s="717"/>
      <c r="DD1884" s="717"/>
      <c r="DE1884" s="717"/>
      <c r="DF1884" s="717"/>
      <c r="DG1884" s="717"/>
      <c r="DH1884" s="717"/>
      <c r="DI1884" s="717"/>
      <c r="DJ1884" s="717"/>
      <c r="DM1884" s="711"/>
      <c r="DN1884" s="711"/>
      <c r="DO1884" s="711"/>
      <c r="DP1884" s="711"/>
      <c r="DQ1884" s="711"/>
    </row>
    <row r="1885" spans="13:121" s="709" customFormat="1" hidden="1">
      <c r="M1885" s="710"/>
      <c r="P1885" s="711"/>
      <c r="Q1885" s="712"/>
      <c r="U1885" s="711"/>
      <c r="V1885" s="711"/>
      <c r="W1885" s="711"/>
      <c r="X1885" s="711"/>
      <c r="Y1885" s="711"/>
      <c r="Z1885" s="711"/>
      <c r="AU1885" s="713"/>
      <c r="AW1885" s="712"/>
      <c r="BY1885" s="714"/>
      <c r="BZ1885" s="715"/>
      <c r="CA1885" s="716"/>
      <c r="CB1885" s="717"/>
      <c r="CC1885" s="717"/>
      <c r="CD1885" s="717"/>
      <c r="CE1885" s="717"/>
      <c r="CF1885" s="717"/>
      <c r="CG1885" s="717"/>
      <c r="CH1885" s="717"/>
      <c r="CI1885" s="717"/>
      <c r="CJ1885" s="717"/>
      <c r="CK1885" s="717"/>
      <c r="CL1885" s="717"/>
      <c r="CM1885" s="717"/>
      <c r="CN1885" s="717"/>
      <c r="CO1885" s="717"/>
      <c r="CP1885" s="717"/>
      <c r="CQ1885" s="717"/>
      <c r="CR1885" s="717"/>
      <c r="CS1885" s="717"/>
      <c r="CT1885" s="717"/>
      <c r="CU1885" s="717"/>
      <c r="CV1885" s="717"/>
      <c r="CW1885" s="717"/>
      <c r="CX1885" s="717"/>
      <c r="CY1885" s="717"/>
      <c r="CZ1885" s="717"/>
      <c r="DA1885" s="717"/>
      <c r="DB1885" s="717"/>
      <c r="DC1885" s="717"/>
      <c r="DD1885" s="717"/>
      <c r="DE1885" s="717"/>
      <c r="DF1885" s="717"/>
      <c r="DG1885" s="717"/>
      <c r="DH1885" s="717"/>
      <c r="DI1885" s="717"/>
      <c r="DJ1885" s="717"/>
      <c r="DM1885" s="711"/>
      <c r="DN1885" s="711"/>
      <c r="DO1885" s="711"/>
      <c r="DP1885" s="711"/>
      <c r="DQ1885" s="711"/>
    </row>
    <row r="1886" spans="13:121" s="709" customFormat="1" hidden="1">
      <c r="M1886" s="710"/>
      <c r="P1886" s="711"/>
      <c r="Q1886" s="712"/>
      <c r="U1886" s="711"/>
      <c r="V1886" s="711"/>
      <c r="W1886" s="711"/>
      <c r="X1886" s="711"/>
      <c r="Y1886" s="711"/>
      <c r="Z1886" s="711"/>
      <c r="AU1886" s="713"/>
      <c r="AW1886" s="712"/>
      <c r="BY1886" s="714"/>
      <c r="BZ1886" s="715"/>
      <c r="CA1886" s="716"/>
      <c r="CB1886" s="717"/>
      <c r="CC1886" s="717"/>
      <c r="CD1886" s="717"/>
      <c r="CE1886" s="717"/>
      <c r="CF1886" s="717"/>
      <c r="CG1886" s="717"/>
      <c r="CH1886" s="717"/>
      <c r="CI1886" s="717"/>
      <c r="CJ1886" s="717"/>
      <c r="CK1886" s="717"/>
      <c r="CL1886" s="717"/>
      <c r="CM1886" s="717"/>
      <c r="CN1886" s="717"/>
      <c r="CO1886" s="717"/>
      <c r="CP1886" s="717"/>
      <c r="CQ1886" s="717"/>
      <c r="CR1886" s="717"/>
      <c r="CS1886" s="717"/>
      <c r="CT1886" s="717"/>
      <c r="CU1886" s="717"/>
      <c r="CV1886" s="717"/>
      <c r="CW1886" s="717"/>
      <c r="CX1886" s="717"/>
      <c r="CY1886" s="717"/>
      <c r="CZ1886" s="717"/>
      <c r="DA1886" s="717"/>
      <c r="DB1886" s="717"/>
      <c r="DC1886" s="717"/>
      <c r="DD1886" s="717"/>
      <c r="DE1886" s="717"/>
      <c r="DF1886" s="717"/>
      <c r="DG1886" s="717"/>
      <c r="DH1886" s="717"/>
      <c r="DI1886" s="717"/>
      <c r="DJ1886" s="717"/>
      <c r="DM1886" s="711"/>
      <c r="DN1886" s="711"/>
      <c r="DO1886" s="711"/>
      <c r="DP1886" s="711"/>
      <c r="DQ1886" s="711"/>
    </row>
    <row r="1887" spans="13:121" s="709" customFormat="1" hidden="1">
      <c r="M1887" s="710"/>
      <c r="P1887" s="711"/>
      <c r="Q1887" s="712"/>
      <c r="U1887" s="711"/>
      <c r="V1887" s="711"/>
      <c r="W1887" s="711"/>
      <c r="X1887" s="711"/>
      <c r="Y1887" s="711"/>
      <c r="Z1887" s="711"/>
      <c r="AU1887" s="713"/>
      <c r="AW1887" s="712"/>
      <c r="BY1887" s="714"/>
      <c r="BZ1887" s="715"/>
      <c r="CA1887" s="716"/>
      <c r="CB1887" s="717"/>
      <c r="CC1887" s="717"/>
      <c r="CD1887" s="717"/>
      <c r="CE1887" s="717"/>
      <c r="CF1887" s="717"/>
      <c r="CG1887" s="717"/>
      <c r="CH1887" s="717"/>
      <c r="CI1887" s="717"/>
      <c r="CJ1887" s="717"/>
      <c r="CK1887" s="717"/>
      <c r="CL1887" s="717"/>
      <c r="CM1887" s="717"/>
      <c r="CN1887" s="717"/>
      <c r="CO1887" s="717"/>
      <c r="CP1887" s="717"/>
      <c r="CQ1887" s="717"/>
      <c r="CR1887" s="717"/>
      <c r="CS1887" s="717"/>
      <c r="CT1887" s="717"/>
      <c r="CU1887" s="717"/>
      <c r="CV1887" s="717"/>
      <c r="CW1887" s="717"/>
      <c r="CX1887" s="717"/>
      <c r="CY1887" s="717"/>
      <c r="CZ1887" s="717"/>
      <c r="DA1887" s="717"/>
      <c r="DB1887" s="717"/>
      <c r="DC1887" s="717"/>
      <c r="DD1887" s="717"/>
      <c r="DE1887" s="717"/>
      <c r="DF1887" s="717"/>
      <c r="DG1887" s="717"/>
      <c r="DH1887" s="717"/>
      <c r="DI1887" s="717"/>
      <c r="DJ1887" s="717"/>
      <c r="DM1887" s="711"/>
      <c r="DN1887" s="711"/>
      <c r="DO1887" s="711"/>
      <c r="DP1887" s="711"/>
      <c r="DQ1887" s="711"/>
    </row>
    <row r="1888" spans="13:121" s="709" customFormat="1" hidden="1">
      <c r="M1888" s="710"/>
      <c r="P1888" s="711"/>
      <c r="Q1888" s="712"/>
      <c r="U1888" s="711"/>
      <c r="V1888" s="711"/>
      <c r="W1888" s="711"/>
      <c r="X1888" s="711"/>
      <c r="Y1888" s="711"/>
      <c r="Z1888" s="711"/>
      <c r="AU1888" s="713"/>
      <c r="AW1888" s="712"/>
      <c r="BY1888" s="714"/>
      <c r="BZ1888" s="715"/>
      <c r="CA1888" s="716"/>
      <c r="CB1888" s="717"/>
      <c r="CC1888" s="717"/>
      <c r="CD1888" s="717"/>
      <c r="CE1888" s="717"/>
      <c r="CF1888" s="717"/>
      <c r="CG1888" s="717"/>
      <c r="CH1888" s="717"/>
      <c r="CI1888" s="717"/>
      <c r="CJ1888" s="717"/>
      <c r="CK1888" s="717"/>
      <c r="CL1888" s="717"/>
      <c r="CM1888" s="717"/>
      <c r="CN1888" s="717"/>
      <c r="CO1888" s="717"/>
      <c r="CP1888" s="717"/>
      <c r="CQ1888" s="717"/>
      <c r="CR1888" s="717"/>
      <c r="CS1888" s="717"/>
      <c r="CT1888" s="717"/>
      <c r="CU1888" s="717"/>
      <c r="CV1888" s="717"/>
      <c r="CW1888" s="717"/>
      <c r="CX1888" s="717"/>
      <c r="CY1888" s="717"/>
      <c r="CZ1888" s="717"/>
      <c r="DA1888" s="717"/>
      <c r="DB1888" s="717"/>
      <c r="DC1888" s="717"/>
      <c r="DD1888" s="717"/>
      <c r="DE1888" s="717"/>
      <c r="DF1888" s="717"/>
      <c r="DG1888" s="717"/>
      <c r="DH1888" s="717"/>
      <c r="DI1888" s="717"/>
      <c r="DJ1888" s="717"/>
      <c r="DM1888" s="711"/>
      <c r="DN1888" s="711"/>
      <c r="DO1888" s="711"/>
      <c r="DP1888" s="711"/>
      <c r="DQ1888" s="711"/>
    </row>
    <row r="1889" spans="13:121" s="709" customFormat="1" hidden="1">
      <c r="M1889" s="710"/>
      <c r="P1889" s="711"/>
      <c r="Q1889" s="712"/>
      <c r="U1889" s="711"/>
      <c r="V1889" s="711"/>
      <c r="W1889" s="711"/>
      <c r="X1889" s="711"/>
      <c r="Y1889" s="711"/>
      <c r="Z1889" s="711"/>
      <c r="AU1889" s="713"/>
      <c r="AW1889" s="712"/>
      <c r="BY1889" s="714"/>
      <c r="BZ1889" s="715"/>
      <c r="CA1889" s="716"/>
      <c r="CB1889" s="717"/>
      <c r="CC1889" s="717"/>
      <c r="CD1889" s="717"/>
      <c r="CE1889" s="717"/>
      <c r="CF1889" s="717"/>
      <c r="CG1889" s="717"/>
      <c r="CH1889" s="717"/>
      <c r="CI1889" s="717"/>
      <c r="CJ1889" s="717"/>
      <c r="CK1889" s="717"/>
      <c r="CL1889" s="717"/>
      <c r="CM1889" s="717"/>
      <c r="CN1889" s="717"/>
      <c r="CO1889" s="717"/>
      <c r="CP1889" s="717"/>
      <c r="CQ1889" s="717"/>
      <c r="CR1889" s="717"/>
      <c r="CS1889" s="717"/>
      <c r="CT1889" s="717"/>
      <c r="CU1889" s="717"/>
      <c r="CV1889" s="717"/>
      <c r="CW1889" s="717"/>
      <c r="CX1889" s="717"/>
      <c r="CY1889" s="717"/>
      <c r="CZ1889" s="717"/>
      <c r="DA1889" s="717"/>
      <c r="DB1889" s="717"/>
      <c r="DC1889" s="717"/>
      <c r="DD1889" s="717"/>
      <c r="DE1889" s="717"/>
      <c r="DF1889" s="717"/>
      <c r="DG1889" s="717"/>
      <c r="DH1889" s="717"/>
      <c r="DI1889" s="717"/>
      <c r="DJ1889" s="717"/>
      <c r="DM1889" s="711"/>
      <c r="DN1889" s="711"/>
      <c r="DO1889" s="711"/>
      <c r="DP1889" s="711"/>
      <c r="DQ1889" s="711"/>
    </row>
    <row r="1890" spans="13:121" s="709" customFormat="1" hidden="1">
      <c r="M1890" s="710"/>
      <c r="P1890" s="711"/>
      <c r="Q1890" s="712"/>
      <c r="U1890" s="711"/>
      <c r="V1890" s="711"/>
      <c r="W1890" s="711"/>
      <c r="X1890" s="711"/>
      <c r="Y1890" s="711"/>
      <c r="Z1890" s="711"/>
      <c r="AU1890" s="713"/>
      <c r="AW1890" s="712"/>
      <c r="BY1890" s="714"/>
      <c r="BZ1890" s="715"/>
      <c r="CA1890" s="716"/>
      <c r="CB1890" s="717"/>
      <c r="CC1890" s="717"/>
      <c r="CD1890" s="717"/>
      <c r="CE1890" s="717"/>
      <c r="CF1890" s="717"/>
      <c r="CG1890" s="717"/>
      <c r="CH1890" s="717"/>
      <c r="CI1890" s="717"/>
      <c r="CJ1890" s="717"/>
      <c r="CK1890" s="717"/>
      <c r="CL1890" s="717"/>
      <c r="CM1890" s="717"/>
      <c r="CN1890" s="717"/>
      <c r="CO1890" s="717"/>
      <c r="CP1890" s="717"/>
      <c r="CQ1890" s="717"/>
      <c r="CR1890" s="717"/>
      <c r="CS1890" s="717"/>
      <c r="CT1890" s="717"/>
      <c r="CU1890" s="717"/>
      <c r="CV1890" s="717"/>
      <c r="CW1890" s="717"/>
      <c r="CX1890" s="717"/>
      <c r="CY1890" s="717"/>
      <c r="CZ1890" s="717"/>
      <c r="DA1890" s="717"/>
      <c r="DB1890" s="717"/>
      <c r="DC1890" s="717"/>
      <c r="DD1890" s="717"/>
      <c r="DE1890" s="717"/>
      <c r="DF1890" s="717"/>
      <c r="DG1890" s="717"/>
      <c r="DH1890" s="717"/>
      <c r="DI1890" s="717"/>
      <c r="DJ1890" s="717"/>
      <c r="DM1890" s="711"/>
      <c r="DN1890" s="711"/>
      <c r="DO1890" s="711"/>
      <c r="DP1890" s="711"/>
      <c r="DQ1890" s="711"/>
    </row>
    <row r="1891" spans="13:121" s="709" customFormat="1" hidden="1">
      <c r="M1891" s="710"/>
      <c r="P1891" s="711"/>
      <c r="Q1891" s="712"/>
      <c r="U1891" s="711"/>
      <c r="V1891" s="711"/>
      <c r="W1891" s="711"/>
      <c r="X1891" s="711"/>
      <c r="Y1891" s="711"/>
      <c r="Z1891" s="711"/>
      <c r="AU1891" s="713"/>
      <c r="AW1891" s="712"/>
      <c r="BY1891" s="714"/>
      <c r="BZ1891" s="715"/>
      <c r="CA1891" s="716"/>
      <c r="CB1891" s="717"/>
      <c r="CC1891" s="717"/>
      <c r="CD1891" s="717"/>
      <c r="CE1891" s="717"/>
      <c r="CF1891" s="717"/>
      <c r="CG1891" s="717"/>
      <c r="CH1891" s="717"/>
      <c r="CI1891" s="717"/>
      <c r="CJ1891" s="717"/>
      <c r="CK1891" s="717"/>
      <c r="CL1891" s="717"/>
      <c r="CM1891" s="717"/>
      <c r="CN1891" s="717"/>
      <c r="CO1891" s="717"/>
      <c r="CP1891" s="717"/>
      <c r="CQ1891" s="717"/>
      <c r="CR1891" s="717"/>
      <c r="CS1891" s="717"/>
      <c r="CT1891" s="717"/>
      <c r="CU1891" s="717"/>
      <c r="CV1891" s="717"/>
      <c r="CW1891" s="717"/>
      <c r="CX1891" s="717"/>
      <c r="CY1891" s="717"/>
      <c r="CZ1891" s="717"/>
      <c r="DA1891" s="717"/>
      <c r="DB1891" s="717"/>
      <c r="DC1891" s="717"/>
      <c r="DD1891" s="717"/>
      <c r="DE1891" s="717"/>
      <c r="DF1891" s="717"/>
      <c r="DG1891" s="717"/>
      <c r="DH1891" s="717"/>
      <c r="DI1891" s="717"/>
      <c r="DJ1891" s="717"/>
      <c r="DM1891" s="711"/>
      <c r="DN1891" s="711"/>
      <c r="DO1891" s="711"/>
      <c r="DP1891" s="711"/>
      <c r="DQ1891" s="711"/>
    </row>
    <row r="1892" spans="13:121" s="709" customFormat="1" hidden="1">
      <c r="M1892" s="710"/>
      <c r="P1892" s="711"/>
      <c r="Q1892" s="712"/>
      <c r="U1892" s="711"/>
      <c r="V1892" s="711"/>
      <c r="W1892" s="711"/>
      <c r="X1892" s="711"/>
      <c r="Y1892" s="711"/>
      <c r="Z1892" s="711"/>
      <c r="AU1892" s="713"/>
      <c r="AW1892" s="712"/>
      <c r="BY1892" s="714"/>
      <c r="BZ1892" s="715"/>
      <c r="CA1892" s="716"/>
      <c r="CB1892" s="717"/>
      <c r="CC1892" s="717"/>
      <c r="CD1892" s="717"/>
      <c r="CE1892" s="717"/>
      <c r="CF1892" s="717"/>
      <c r="CG1892" s="717"/>
      <c r="CH1892" s="717"/>
      <c r="CI1892" s="717"/>
      <c r="CJ1892" s="717"/>
      <c r="CK1892" s="717"/>
      <c r="CL1892" s="717"/>
      <c r="CM1892" s="717"/>
      <c r="CN1892" s="717"/>
      <c r="CO1892" s="717"/>
      <c r="CP1892" s="717"/>
      <c r="CQ1892" s="717"/>
      <c r="CR1892" s="717"/>
      <c r="CS1892" s="717"/>
      <c r="CT1892" s="717"/>
      <c r="CU1892" s="717"/>
      <c r="CV1892" s="717"/>
      <c r="CW1892" s="717"/>
      <c r="CX1892" s="717"/>
      <c r="CY1892" s="717"/>
      <c r="CZ1892" s="717"/>
      <c r="DA1892" s="717"/>
      <c r="DB1892" s="717"/>
      <c r="DC1892" s="717"/>
      <c r="DD1892" s="717"/>
      <c r="DE1892" s="717"/>
      <c r="DF1892" s="717"/>
      <c r="DG1892" s="717"/>
      <c r="DH1892" s="717"/>
      <c r="DI1892" s="717"/>
      <c r="DJ1892" s="717"/>
      <c r="DM1892" s="711"/>
      <c r="DN1892" s="711"/>
      <c r="DO1892" s="711"/>
      <c r="DP1892" s="711"/>
      <c r="DQ1892" s="711"/>
    </row>
    <row r="1893" spans="13:121" s="709" customFormat="1" hidden="1">
      <c r="M1893" s="710"/>
      <c r="P1893" s="711"/>
      <c r="Q1893" s="712"/>
      <c r="U1893" s="711"/>
      <c r="V1893" s="711"/>
      <c r="W1893" s="711"/>
      <c r="X1893" s="711"/>
      <c r="Y1893" s="711"/>
      <c r="Z1893" s="711"/>
      <c r="AU1893" s="713"/>
      <c r="AW1893" s="712"/>
      <c r="BY1893" s="714"/>
      <c r="BZ1893" s="715"/>
      <c r="CA1893" s="716"/>
      <c r="CB1893" s="717"/>
      <c r="CC1893" s="717"/>
      <c r="CD1893" s="717"/>
      <c r="CE1893" s="717"/>
      <c r="CF1893" s="717"/>
      <c r="CG1893" s="717"/>
      <c r="CH1893" s="717"/>
      <c r="CI1893" s="717"/>
      <c r="CJ1893" s="717"/>
      <c r="CK1893" s="717"/>
      <c r="CL1893" s="717"/>
      <c r="CM1893" s="717"/>
      <c r="CN1893" s="717"/>
      <c r="CO1893" s="717"/>
      <c r="CP1893" s="717"/>
      <c r="CQ1893" s="717"/>
      <c r="CR1893" s="717"/>
      <c r="CS1893" s="717"/>
      <c r="CT1893" s="717"/>
      <c r="CU1893" s="717"/>
      <c r="CV1893" s="717"/>
      <c r="CW1893" s="717"/>
      <c r="CX1893" s="717"/>
      <c r="CY1893" s="717"/>
      <c r="CZ1893" s="717"/>
      <c r="DA1893" s="717"/>
      <c r="DB1893" s="717"/>
      <c r="DC1893" s="717"/>
      <c r="DD1893" s="717"/>
      <c r="DE1893" s="717"/>
      <c r="DF1893" s="717"/>
      <c r="DG1893" s="717"/>
      <c r="DH1893" s="717"/>
      <c r="DI1893" s="717"/>
      <c r="DJ1893" s="717"/>
      <c r="DM1893" s="711"/>
      <c r="DN1893" s="711"/>
      <c r="DO1893" s="711"/>
      <c r="DP1893" s="711"/>
      <c r="DQ1893" s="711"/>
    </row>
    <row r="1894" spans="13:121" s="709" customFormat="1" hidden="1">
      <c r="M1894" s="710"/>
      <c r="P1894" s="711"/>
      <c r="Q1894" s="712"/>
      <c r="U1894" s="711"/>
      <c r="V1894" s="711"/>
      <c r="W1894" s="711"/>
      <c r="X1894" s="711"/>
      <c r="Y1894" s="711"/>
      <c r="Z1894" s="711"/>
      <c r="AU1894" s="713"/>
      <c r="AW1894" s="712"/>
      <c r="BY1894" s="714"/>
      <c r="BZ1894" s="715"/>
      <c r="CA1894" s="716"/>
      <c r="CB1894" s="717"/>
      <c r="CC1894" s="717"/>
      <c r="CD1894" s="717"/>
      <c r="CE1894" s="717"/>
      <c r="CF1894" s="717"/>
      <c r="CG1894" s="717"/>
      <c r="CH1894" s="717"/>
      <c r="CI1894" s="717"/>
      <c r="CJ1894" s="717"/>
      <c r="CK1894" s="717"/>
      <c r="CL1894" s="717"/>
      <c r="CM1894" s="717"/>
      <c r="CN1894" s="717"/>
      <c r="CO1894" s="717"/>
      <c r="CP1894" s="717"/>
      <c r="CQ1894" s="717"/>
      <c r="CR1894" s="717"/>
      <c r="CS1894" s="717"/>
      <c r="CT1894" s="717"/>
      <c r="CU1894" s="717"/>
      <c r="CV1894" s="717"/>
      <c r="CW1894" s="717"/>
      <c r="CX1894" s="717"/>
      <c r="CY1894" s="717"/>
      <c r="CZ1894" s="717"/>
      <c r="DA1894" s="717"/>
      <c r="DB1894" s="717"/>
      <c r="DC1894" s="717"/>
      <c r="DD1894" s="717"/>
      <c r="DE1894" s="717"/>
      <c r="DF1894" s="717"/>
      <c r="DG1894" s="717"/>
      <c r="DH1894" s="717"/>
      <c r="DI1894" s="717"/>
      <c r="DJ1894" s="717"/>
      <c r="DM1894" s="711"/>
      <c r="DN1894" s="711"/>
      <c r="DO1894" s="711"/>
      <c r="DP1894" s="711"/>
      <c r="DQ1894" s="711"/>
    </row>
    <row r="1895" spans="13:121" s="709" customFormat="1" hidden="1">
      <c r="M1895" s="710"/>
      <c r="P1895" s="711"/>
      <c r="Q1895" s="712"/>
      <c r="U1895" s="711"/>
      <c r="V1895" s="711"/>
      <c r="W1895" s="711"/>
      <c r="X1895" s="711"/>
      <c r="Y1895" s="711"/>
      <c r="Z1895" s="711"/>
      <c r="AU1895" s="713"/>
      <c r="AW1895" s="712"/>
      <c r="BY1895" s="714"/>
      <c r="BZ1895" s="715"/>
      <c r="CA1895" s="716"/>
      <c r="CB1895" s="717"/>
      <c r="CC1895" s="717"/>
      <c r="CD1895" s="717"/>
      <c r="CE1895" s="717"/>
      <c r="CF1895" s="717"/>
      <c r="CG1895" s="717"/>
      <c r="CH1895" s="717"/>
      <c r="CI1895" s="717"/>
      <c r="CJ1895" s="717"/>
      <c r="CK1895" s="717"/>
      <c r="CL1895" s="717"/>
      <c r="CM1895" s="717"/>
      <c r="CN1895" s="717"/>
      <c r="CO1895" s="717"/>
      <c r="CP1895" s="717"/>
      <c r="CQ1895" s="717"/>
      <c r="CR1895" s="717"/>
      <c r="CS1895" s="717"/>
      <c r="CT1895" s="717"/>
      <c r="CU1895" s="717"/>
      <c r="CV1895" s="717"/>
      <c r="CW1895" s="717"/>
      <c r="CX1895" s="717"/>
      <c r="CY1895" s="717"/>
      <c r="CZ1895" s="717"/>
      <c r="DA1895" s="717"/>
      <c r="DB1895" s="717"/>
      <c r="DC1895" s="717"/>
      <c r="DD1895" s="717"/>
      <c r="DE1895" s="717"/>
      <c r="DF1895" s="717"/>
      <c r="DG1895" s="717"/>
      <c r="DH1895" s="717"/>
      <c r="DI1895" s="717"/>
      <c r="DJ1895" s="717"/>
      <c r="DM1895" s="711"/>
      <c r="DN1895" s="711"/>
      <c r="DO1895" s="711"/>
      <c r="DP1895" s="711"/>
      <c r="DQ1895" s="711"/>
    </row>
    <row r="1896" spans="13:121" s="709" customFormat="1" hidden="1">
      <c r="M1896" s="710"/>
      <c r="P1896" s="711"/>
      <c r="Q1896" s="712"/>
      <c r="U1896" s="711"/>
      <c r="V1896" s="711"/>
      <c r="W1896" s="711"/>
      <c r="X1896" s="711"/>
      <c r="Y1896" s="711"/>
      <c r="Z1896" s="711"/>
      <c r="AU1896" s="713"/>
      <c r="AW1896" s="712"/>
      <c r="BY1896" s="714"/>
      <c r="BZ1896" s="715"/>
      <c r="CA1896" s="716"/>
      <c r="CB1896" s="717"/>
      <c r="CC1896" s="717"/>
      <c r="CD1896" s="717"/>
      <c r="CE1896" s="717"/>
      <c r="CF1896" s="717"/>
      <c r="CG1896" s="717"/>
      <c r="CH1896" s="717"/>
      <c r="CI1896" s="717"/>
      <c r="CJ1896" s="717"/>
      <c r="CK1896" s="717"/>
      <c r="CL1896" s="717"/>
      <c r="CM1896" s="717"/>
      <c r="CN1896" s="717"/>
      <c r="CO1896" s="717"/>
      <c r="CP1896" s="717"/>
      <c r="CQ1896" s="717"/>
      <c r="CR1896" s="717"/>
      <c r="CS1896" s="717"/>
      <c r="CT1896" s="717"/>
      <c r="CU1896" s="717"/>
      <c r="CV1896" s="717"/>
      <c r="CW1896" s="717"/>
      <c r="CX1896" s="717"/>
      <c r="CY1896" s="717"/>
      <c r="CZ1896" s="717"/>
      <c r="DA1896" s="717"/>
      <c r="DB1896" s="717"/>
      <c r="DC1896" s="717"/>
      <c r="DD1896" s="717"/>
      <c r="DE1896" s="717"/>
      <c r="DF1896" s="717"/>
      <c r="DG1896" s="717"/>
      <c r="DH1896" s="717"/>
      <c r="DI1896" s="717"/>
      <c r="DJ1896" s="717"/>
      <c r="DM1896" s="711"/>
      <c r="DN1896" s="711"/>
      <c r="DO1896" s="711"/>
      <c r="DP1896" s="711"/>
      <c r="DQ1896" s="711"/>
    </row>
    <row r="1897" spans="13:121" s="709" customFormat="1" hidden="1">
      <c r="M1897" s="710"/>
      <c r="P1897" s="711"/>
      <c r="Q1897" s="712"/>
      <c r="U1897" s="711"/>
      <c r="V1897" s="711"/>
      <c r="W1897" s="711"/>
      <c r="X1897" s="711"/>
      <c r="Y1897" s="711"/>
      <c r="Z1897" s="711"/>
      <c r="AU1897" s="713"/>
      <c r="AW1897" s="712"/>
      <c r="BY1897" s="714"/>
      <c r="BZ1897" s="715"/>
      <c r="CA1897" s="716"/>
      <c r="CB1897" s="717"/>
      <c r="CC1897" s="717"/>
      <c r="CD1897" s="717"/>
      <c r="CE1897" s="717"/>
      <c r="CF1897" s="717"/>
      <c r="CG1897" s="717"/>
      <c r="CH1897" s="717"/>
      <c r="CI1897" s="717"/>
      <c r="CJ1897" s="717"/>
      <c r="CK1897" s="717"/>
      <c r="CL1897" s="717"/>
      <c r="CM1897" s="717"/>
      <c r="CN1897" s="717"/>
      <c r="CO1897" s="717"/>
      <c r="CP1897" s="717"/>
      <c r="CQ1897" s="717"/>
      <c r="CR1897" s="717"/>
      <c r="CS1897" s="717"/>
      <c r="CT1897" s="717"/>
      <c r="CU1897" s="717"/>
      <c r="CV1897" s="717"/>
      <c r="CW1897" s="717"/>
      <c r="CX1897" s="717"/>
      <c r="CY1897" s="717"/>
      <c r="CZ1897" s="717"/>
      <c r="DA1897" s="717"/>
      <c r="DB1897" s="717"/>
      <c r="DC1897" s="717"/>
      <c r="DD1897" s="717"/>
      <c r="DE1897" s="717"/>
      <c r="DF1897" s="717"/>
      <c r="DG1897" s="717"/>
      <c r="DH1897" s="717"/>
      <c r="DI1897" s="717"/>
      <c r="DJ1897" s="717"/>
      <c r="DM1897" s="711"/>
      <c r="DN1897" s="711"/>
      <c r="DO1897" s="711"/>
      <c r="DP1897" s="711"/>
      <c r="DQ1897" s="711"/>
    </row>
    <row r="1898" spans="13:121" s="709" customFormat="1" hidden="1">
      <c r="M1898" s="710"/>
      <c r="P1898" s="711"/>
      <c r="Q1898" s="712"/>
      <c r="U1898" s="711"/>
      <c r="V1898" s="711"/>
      <c r="W1898" s="711"/>
      <c r="X1898" s="711"/>
      <c r="Y1898" s="711"/>
      <c r="Z1898" s="711"/>
      <c r="AU1898" s="713"/>
      <c r="AW1898" s="712"/>
      <c r="BY1898" s="714"/>
      <c r="BZ1898" s="715"/>
      <c r="CA1898" s="716"/>
      <c r="CB1898" s="717"/>
      <c r="CC1898" s="717"/>
      <c r="CD1898" s="717"/>
      <c r="CE1898" s="717"/>
      <c r="CF1898" s="717"/>
      <c r="CG1898" s="717"/>
      <c r="CH1898" s="717"/>
      <c r="CI1898" s="717"/>
      <c r="CJ1898" s="717"/>
      <c r="CK1898" s="717"/>
      <c r="CL1898" s="717"/>
      <c r="CM1898" s="717"/>
      <c r="CN1898" s="717"/>
      <c r="CO1898" s="717"/>
      <c r="CP1898" s="717"/>
      <c r="CQ1898" s="717"/>
      <c r="CR1898" s="717"/>
      <c r="CS1898" s="717"/>
      <c r="CT1898" s="717"/>
      <c r="CU1898" s="717"/>
      <c r="CV1898" s="717"/>
      <c r="CW1898" s="717"/>
      <c r="CX1898" s="717"/>
      <c r="CY1898" s="717"/>
      <c r="CZ1898" s="717"/>
      <c r="DA1898" s="717"/>
      <c r="DB1898" s="717"/>
      <c r="DC1898" s="717"/>
      <c r="DD1898" s="717"/>
      <c r="DE1898" s="717"/>
      <c r="DF1898" s="717"/>
      <c r="DG1898" s="717"/>
      <c r="DH1898" s="717"/>
      <c r="DI1898" s="717"/>
      <c r="DJ1898" s="717"/>
      <c r="DM1898" s="711"/>
      <c r="DN1898" s="711"/>
      <c r="DO1898" s="711"/>
      <c r="DP1898" s="711"/>
      <c r="DQ1898" s="711"/>
    </row>
    <row r="1899" spans="13:121" s="709" customFormat="1" hidden="1">
      <c r="M1899" s="710"/>
      <c r="P1899" s="711"/>
      <c r="Q1899" s="712"/>
      <c r="U1899" s="711"/>
      <c r="V1899" s="711"/>
      <c r="W1899" s="711"/>
      <c r="X1899" s="711"/>
      <c r="Y1899" s="711"/>
      <c r="Z1899" s="711"/>
      <c r="AU1899" s="713"/>
      <c r="AW1899" s="712"/>
      <c r="BY1899" s="714"/>
      <c r="BZ1899" s="715"/>
      <c r="CA1899" s="716"/>
      <c r="CB1899" s="717"/>
      <c r="CC1899" s="717"/>
      <c r="CD1899" s="717"/>
      <c r="CE1899" s="717"/>
      <c r="CF1899" s="717"/>
      <c r="CG1899" s="717"/>
      <c r="CH1899" s="717"/>
      <c r="CI1899" s="717"/>
      <c r="CJ1899" s="717"/>
      <c r="CK1899" s="717"/>
      <c r="CL1899" s="717"/>
      <c r="CM1899" s="717"/>
      <c r="CN1899" s="717"/>
      <c r="CO1899" s="717"/>
      <c r="CP1899" s="717"/>
      <c r="CQ1899" s="717"/>
      <c r="CR1899" s="717"/>
      <c r="CS1899" s="717"/>
      <c r="CT1899" s="717"/>
      <c r="CU1899" s="717"/>
      <c r="CV1899" s="717"/>
      <c r="CW1899" s="717"/>
      <c r="CX1899" s="717"/>
      <c r="CY1899" s="717"/>
      <c r="CZ1899" s="717"/>
      <c r="DA1899" s="717"/>
      <c r="DB1899" s="717"/>
      <c r="DC1899" s="717"/>
      <c r="DD1899" s="717"/>
      <c r="DE1899" s="717"/>
      <c r="DF1899" s="717"/>
      <c r="DG1899" s="717"/>
      <c r="DH1899" s="717"/>
      <c r="DI1899" s="717"/>
      <c r="DJ1899" s="717"/>
      <c r="DM1899" s="711"/>
      <c r="DN1899" s="711"/>
      <c r="DO1899" s="711"/>
      <c r="DP1899" s="711"/>
      <c r="DQ1899" s="711"/>
    </row>
    <row r="1900" spans="13:121" s="709" customFormat="1" hidden="1">
      <c r="M1900" s="710"/>
      <c r="P1900" s="711"/>
      <c r="Q1900" s="712"/>
      <c r="U1900" s="711"/>
      <c r="V1900" s="711"/>
      <c r="W1900" s="711"/>
      <c r="X1900" s="711"/>
      <c r="Y1900" s="711"/>
      <c r="Z1900" s="711"/>
      <c r="AU1900" s="713"/>
      <c r="AW1900" s="712"/>
      <c r="BY1900" s="714"/>
      <c r="BZ1900" s="715"/>
      <c r="CA1900" s="716"/>
      <c r="CB1900" s="717"/>
      <c r="CC1900" s="717"/>
      <c r="CD1900" s="717"/>
      <c r="CE1900" s="717"/>
      <c r="CF1900" s="717"/>
      <c r="CG1900" s="717"/>
      <c r="CH1900" s="717"/>
      <c r="CI1900" s="717"/>
      <c r="CJ1900" s="717"/>
      <c r="CK1900" s="717"/>
      <c r="CL1900" s="717"/>
      <c r="CM1900" s="717"/>
      <c r="CN1900" s="717"/>
      <c r="CO1900" s="717"/>
      <c r="CP1900" s="717"/>
      <c r="CQ1900" s="717"/>
      <c r="CR1900" s="717"/>
      <c r="CS1900" s="717"/>
      <c r="CT1900" s="717"/>
      <c r="CU1900" s="717"/>
      <c r="CV1900" s="717"/>
      <c r="CW1900" s="717"/>
      <c r="CX1900" s="717"/>
      <c r="CY1900" s="717"/>
      <c r="CZ1900" s="717"/>
      <c r="DA1900" s="717"/>
      <c r="DB1900" s="717"/>
      <c r="DC1900" s="717"/>
      <c r="DD1900" s="717"/>
      <c r="DE1900" s="717"/>
      <c r="DF1900" s="717"/>
      <c r="DG1900" s="717"/>
      <c r="DH1900" s="717"/>
      <c r="DI1900" s="717"/>
      <c r="DJ1900" s="717"/>
      <c r="DM1900" s="711"/>
      <c r="DN1900" s="711"/>
      <c r="DO1900" s="711"/>
      <c r="DP1900" s="711"/>
      <c r="DQ1900" s="711"/>
    </row>
    <row r="1901" spans="13:121" s="709" customFormat="1" hidden="1">
      <c r="M1901" s="710"/>
      <c r="P1901" s="711"/>
      <c r="Q1901" s="712"/>
      <c r="U1901" s="711"/>
      <c r="V1901" s="711"/>
      <c r="W1901" s="711"/>
      <c r="X1901" s="711"/>
      <c r="Y1901" s="711"/>
      <c r="Z1901" s="711"/>
      <c r="AU1901" s="713"/>
      <c r="AW1901" s="712"/>
      <c r="BY1901" s="714"/>
      <c r="BZ1901" s="715"/>
      <c r="CA1901" s="716"/>
      <c r="CB1901" s="717"/>
      <c r="CC1901" s="717"/>
      <c r="CD1901" s="717"/>
      <c r="CE1901" s="717"/>
      <c r="CF1901" s="717"/>
      <c r="CG1901" s="717"/>
      <c r="CH1901" s="717"/>
      <c r="CI1901" s="717"/>
      <c r="CJ1901" s="717"/>
      <c r="CK1901" s="717"/>
      <c r="CL1901" s="717"/>
      <c r="CM1901" s="717"/>
      <c r="CN1901" s="717"/>
      <c r="CO1901" s="717"/>
      <c r="CP1901" s="717"/>
      <c r="CQ1901" s="717"/>
      <c r="CR1901" s="717"/>
      <c r="CS1901" s="717"/>
      <c r="CT1901" s="717"/>
      <c r="CU1901" s="717"/>
      <c r="CV1901" s="717"/>
      <c r="CW1901" s="717"/>
      <c r="CX1901" s="717"/>
      <c r="CY1901" s="717"/>
      <c r="CZ1901" s="717"/>
      <c r="DA1901" s="717"/>
      <c r="DB1901" s="717"/>
      <c r="DC1901" s="717"/>
      <c r="DD1901" s="717"/>
      <c r="DE1901" s="717"/>
      <c r="DF1901" s="717"/>
      <c r="DG1901" s="717"/>
      <c r="DH1901" s="717"/>
      <c r="DI1901" s="717"/>
      <c r="DJ1901" s="717"/>
      <c r="DM1901" s="711"/>
      <c r="DN1901" s="711"/>
      <c r="DO1901" s="711"/>
      <c r="DP1901" s="711"/>
      <c r="DQ1901" s="711"/>
    </row>
    <row r="1902" spans="13:121" s="709" customFormat="1" hidden="1">
      <c r="M1902" s="710"/>
      <c r="P1902" s="711"/>
      <c r="Q1902" s="712"/>
      <c r="U1902" s="711"/>
      <c r="V1902" s="711"/>
      <c r="W1902" s="711"/>
      <c r="X1902" s="711"/>
      <c r="Y1902" s="711"/>
      <c r="Z1902" s="711"/>
      <c r="AU1902" s="713"/>
      <c r="AW1902" s="712"/>
      <c r="BY1902" s="714"/>
      <c r="BZ1902" s="715"/>
      <c r="CA1902" s="716"/>
      <c r="CB1902" s="717"/>
      <c r="CC1902" s="717"/>
      <c r="CD1902" s="717"/>
      <c r="CE1902" s="717"/>
      <c r="CF1902" s="717"/>
      <c r="CG1902" s="717"/>
      <c r="CH1902" s="717"/>
      <c r="CI1902" s="717"/>
      <c r="CJ1902" s="717"/>
      <c r="CK1902" s="717"/>
      <c r="CL1902" s="717"/>
      <c r="CM1902" s="717"/>
      <c r="CN1902" s="717"/>
      <c r="CO1902" s="717"/>
      <c r="CP1902" s="717"/>
      <c r="CQ1902" s="717"/>
      <c r="CR1902" s="717"/>
      <c r="CS1902" s="717"/>
      <c r="CT1902" s="717"/>
      <c r="CU1902" s="717"/>
      <c r="CV1902" s="717"/>
      <c r="CW1902" s="717"/>
      <c r="CX1902" s="717"/>
      <c r="CY1902" s="717"/>
      <c r="CZ1902" s="717"/>
      <c r="DA1902" s="717"/>
      <c r="DB1902" s="717"/>
      <c r="DC1902" s="717"/>
      <c r="DD1902" s="717"/>
      <c r="DE1902" s="717"/>
      <c r="DF1902" s="717"/>
      <c r="DG1902" s="717"/>
      <c r="DH1902" s="717"/>
      <c r="DI1902" s="717"/>
      <c r="DJ1902" s="717"/>
      <c r="DM1902" s="711"/>
      <c r="DN1902" s="711"/>
      <c r="DO1902" s="711"/>
      <c r="DP1902" s="711"/>
      <c r="DQ1902" s="711"/>
    </row>
    <row r="1903" spans="13:121" s="709" customFormat="1" hidden="1">
      <c r="M1903" s="710"/>
      <c r="P1903" s="711"/>
      <c r="Q1903" s="712"/>
      <c r="U1903" s="711"/>
      <c r="V1903" s="711"/>
      <c r="W1903" s="711"/>
      <c r="X1903" s="711"/>
      <c r="Y1903" s="711"/>
      <c r="Z1903" s="711"/>
      <c r="AU1903" s="713"/>
      <c r="AW1903" s="712"/>
      <c r="BY1903" s="714"/>
      <c r="BZ1903" s="715"/>
      <c r="CA1903" s="716"/>
      <c r="CB1903" s="717"/>
      <c r="CC1903" s="717"/>
      <c r="CD1903" s="717"/>
      <c r="CE1903" s="717"/>
      <c r="CF1903" s="717"/>
      <c r="CG1903" s="717"/>
      <c r="CH1903" s="717"/>
      <c r="CI1903" s="717"/>
      <c r="CJ1903" s="717"/>
      <c r="CK1903" s="717"/>
      <c r="CL1903" s="717"/>
      <c r="CM1903" s="717"/>
      <c r="CN1903" s="717"/>
      <c r="CO1903" s="717"/>
      <c r="CP1903" s="717"/>
      <c r="CQ1903" s="717"/>
      <c r="CR1903" s="717"/>
      <c r="CS1903" s="717"/>
      <c r="CT1903" s="717"/>
      <c r="CU1903" s="717"/>
      <c r="CV1903" s="717"/>
      <c r="CW1903" s="717"/>
      <c r="CX1903" s="717"/>
      <c r="CY1903" s="717"/>
      <c r="CZ1903" s="717"/>
      <c r="DA1903" s="717"/>
      <c r="DB1903" s="717"/>
      <c r="DC1903" s="717"/>
      <c r="DD1903" s="717"/>
      <c r="DE1903" s="717"/>
      <c r="DF1903" s="717"/>
      <c r="DG1903" s="717"/>
      <c r="DH1903" s="717"/>
      <c r="DI1903" s="717"/>
      <c r="DJ1903" s="717"/>
      <c r="DM1903" s="711"/>
      <c r="DN1903" s="711"/>
      <c r="DO1903" s="711"/>
      <c r="DP1903" s="711"/>
      <c r="DQ1903" s="711"/>
    </row>
    <row r="1904" spans="13:121" s="709" customFormat="1" hidden="1">
      <c r="M1904" s="710"/>
      <c r="P1904" s="711"/>
      <c r="Q1904" s="712"/>
      <c r="U1904" s="711"/>
      <c r="V1904" s="711"/>
      <c r="W1904" s="711"/>
      <c r="X1904" s="711"/>
      <c r="Y1904" s="711"/>
      <c r="Z1904" s="711"/>
      <c r="AU1904" s="713"/>
      <c r="AW1904" s="712"/>
      <c r="BY1904" s="714"/>
      <c r="BZ1904" s="715"/>
      <c r="CA1904" s="716"/>
      <c r="CB1904" s="717"/>
      <c r="CC1904" s="717"/>
      <c r="CD1904" s="717"/>
      <c r="CE1904" s="717"/>
      <c r="CF1904" s="717"/>
      <c r="CG1904" s="717"/>
      <c r="CH1904" s="717"/>
      <c r="CI1904" s="717"/>
      <c r="CJ1904" s="717"/>
      <c r="CK1904" s="717"/>
      <c r="CL1904" s="717"/>
      <c r="CM1904" s="717"/>
      <c r="CN1904" s="717"/>
      <c r="CO1904" s="717"/>
      <c r="CP1904" s="717"/>
      <c r="CQ1904" s="717"/>
      <c r="CR1904" s="717"/>
      <c r="CS1904" s="717"/>
      <c r="CT1904" s="717"/>
      <c r="CU1904" s="717"/>
      <c r="CV1904" s="717"/>
      <c r="CW1904" s="717"/>
      <c r="CX1904" s="717"/>
      <c r="CY1904" s="717"/>
      <c r="CZ1904" s="717"/>
      <c r="DA1904" s="717"/>
      <c r="DB1904" s="717"/>
      <c r="DC1904" s="717"/>
      <c r="DD1904" s="717"/>
      <c r="DE1904" s="717"/>
      <c r="DF1904" s="717"/>
      <c r="DG1904" s="717"/>
      <c r="DH1904" s="717"/>
      <c r="DI1904" s="717"/>
      <c r="DJ1904" s="717"/>
      <c r="DM1904" s="711"/>
      <c r="DN1904" s="711"/>
      <c r="DO1904" s="711"/>
      <c r="DP1904" s="711"/>
      <c r="DQ1904" s="711"/>
    </row>
    <row r="1905" spans="13:121" s="709" customFormat="1" hidden="1">
      <c r="M1905" s="710"/>
      <c r="P1905" s="711"/>
      <c r="Q1905" s="712"/>
      <c r="U1905" s="711"/>
      <c r="V1905" s="711"/>
      <c r="W1905" s="711"/>
      <c r="X1905" s="711"/>
      <c r="Y1905" s="711"/>
      <c r="Z1905" s="711"/>
      <c r="AU1905" s="713"/>
      <c r="AW1905" s="712"/>
      <c r="BY1905" s="714"/>
      <c r="BZ1905" s="715"/>
      <c r="CA1905" s="716"/>
      <c r="CB1905" s="717"/>
      <c r="CC1905" s="717"/>
      <c r="CD1905" s="717"/>
      <c r="CE1905" s="717"/>
      <c r="CF1905" s="717"/>
      <c r="CG1905" s="717"/>
      <c r="CH1905" s="717"/>
      <c r="CI1905" s="717"/>
      <c r="CJ1905" s="717"/>
      <c r="CK1905" s="717"/>
      <c r="CL1905" s="717"/>
      <c r="CM1905" s="717"/>
      <c r="CN1905" s="717"/>
      <c r="CO1905" s="717"/>
      <c r="CP1905" s="717"/>
      <c r="CQ1905" s="717"/>
      <c r="CR1905" s="717"/>
      <c r="CS1905" s="717"/>
      <c r="CT1905" s="717"/>
      <c r="CU1905" s="717"/>
      <c r="CV1905" s="717"/>
      <c r="CW1905" s="717"/>
      <c r="CX1905" s="717"/>
      <c r="CY1905" s="717"/>
      <c r="CZ1905" s="717"/>
      <c r="DA1905" s="717"/>
      <c r="DB1905" s="717"/>
      <c r="DC1905" s="717"/>
      <c r="DD1905" s="717"/>
      <c r="DE1905" s="717"/>
      <c r="DF1905" s="717"/>
      <c r="DG1905" s="717"/>
      <c r="DH1905" s="717"/>
      <c r="DI1905" s="717"/>
      <c r="DJ1905" s="717"/>
      <c r="DM1905" s="711"/>
      <c r="DN1905" s="711"/>
      <c r="DO1905" s="711"/>
      <c r="DP1905" s="711"/>
      <c r="DQ1905" s="711"/>
    </row>
    <row r="1906" spans="13:121" s="709" customFormat="1" hidden="1">
      <c r="M1906" s="710"/>
      <c r="P1906" s="711"/>
      <c r="Q1906" s="712"/>
      <c r="U1906" s="711"/>
      <c r="V1906" s="711"/>
      <c r="W1906" s="711"/>
      <c r="X1906" s="711"/>
      <c r="Y1906" s="711"/>
      <c r="Z1906" s="711"/>
      <c r="AU1906" s="713"/>
      <c r="AW1906" s="712"/>
      <c r="BY1906" s="714"/>
      <c r="BZ1906" s="715"/>
      <c r="CA1906" s="716"/>
      <c r="CB1906" s="717"/>
      <c r="CC1906" s="717"/>
      <c r="CD1906" s="717"/>
      <c r="CE1906" s="717"/>
      <c r="CF1906" s="717"/>
      <c r="CG1906" s="717"/>
      <c r="CH1906" s="717"/>
      <c r="CI1906" s="717"/>
      <c r="CJ1906" s="717"/>
      <c r="CK1906" s="717"/>
      <c r="CL1906" s="717"/>
      <c r="CM1906" s="717"/>
      <c r="CN1906" s="717"/>
      <c r="CO1906" s="717"/>
      <c r="CP1906" s="717"/>
      <c r="CQ1906" s="717"/>
      <c r="CR1906" s="717"/>
      <c r="CS1906" s="717"/>
      <c r="CT1906" s="717"/>
      <c r="CU1906" s="717"/>
      <c r="CV1906" s="717"/>
      <c r="CW1906" s="717"/>
      <c r="CX1906" s="717"/>
      <c r="CY1906" s="717"/>
      <c r="CZ1906" s="717"/>
      <c r="DA1906" s="717"/>
      <c r="DB1906" s="717"/>
      <c r="DC1906" s="717"/>
      <c r="DD1906" s="717"/>
      <c r="DE1906" s="717"/>
      <c r="DF1906" s="717"/>
      <c r="DG1906" s="717"/>
      <c r="DH1906" s="717"/>
      <c r="DI1906" s="717"/>
      <c r="DJ1906" s="717"/>
      <c r="DM1906" s="711"/>
      <c r="DN1906" s="711"/>
      <c r="DO1906" s="711"/>
      <c r="DP1906" s="711"/>
      <c r="DQ1906" s="711"/>
    </row>
    <row r="1907" spans="13:121" s="709" customFormat="1" hidden="1">
      <c r="M1907" s="710"/>
      <c r="P1907" s="711"/>
      <c r="Q1907" s="712"/>
      <c r="U1907" s="711"/>
      <c r="V1907" s="711"/>
      <c r="W1907" s="711"/>
      <c r="X1907" s="711"/>
      <c r="Y1907" s="711"/>
      <c r="Z1907" s="711"/>
      <c r="AU1907" s="713"/>
      <c r="AW1907" s="712"/>
      <c r="BY1907" s="714"/>
      <c r="BZ1907" s="715"/>
      <c r="CA1907" s="716"/>
      <c r="CB1907" s="717"/>
      <c r="CC1907" s="717"/>
      <c r="CD1907" s="717"/>
      <c r="CE1907" s="717"/>
      <c r="CF1907" s="717"/>
      <c r="CG1907" s="717"/>
      <c r="CH1907" s="717"/>
      <c r="CI1907" s="717"/>
      <c r="CJ1907" s="717"/>
      <c r="CK1907" s="717"/>
      <c r="CL1907" s="717"/>
      <c r="CM1907" s="717"/>
      <c r="CN1907" s="717"/>
      <c r="CO1907" s="717"/>
      <c r="CP1907" s="717"/>
      <c r="CQ1907" s="717"/>
      <c r="CR1907" s="717"/>
      <c r="CS1907" s="717"/>
      <c r="CT1907" s="717"/>
      <c r="CU1907" s="717"/>
      <c r="CV1907" s="717"/>
      <c r="CW1907" s="717"/>
      <c r="CX1907" s="717"/>
      <c r="CY1907" s="717"/>
      <c r="CZ1907" s="717"/>
      <c r="DA1907" s="717"/>
      <c r="DB1907" s="717"/>
      <c r="DC1907" s="717"/>
      <c r="DD1907" s="717"/>
      <c r="DE1907" s="717"/>
      <c r="DF1907" s="717"/>
      <c r="DG1907" s="717"/>
      <c r="DH1907" s="717"/>
      <c r="DI1907" s="717"/>
      <c r="DJ1907" s="717"/>
      <c r="DM1907" s="711"/>
      <c r="DN1907" s="711"/>
      <c r="DO1907" s="711"/>
      <c r="DP1907" s="711"/>
      <c r="DQ1907" s="711"/>
    </row>
    <row r="1908" spans="13:121" s="709" customFormat="1" hidden="1">
      <c r="M1908" s="710"/>
      <c r="P1908" s="711"/>
      <c r="Q1908" s="712"/>
      <c r="U1908" s="711"/>
      <c r="V1908" s="711"/>
      <c r="W1908" s="711"/>
      <c r="X1908" s="711"/>
      <c r="Y1908" s="711"/>
      <c r="Z1908" s="711"/>
      <c r="AU1908" s="713"/>
      <c r="AW1908" s="712"/>
      <c r="BY1908" s="714"/>
      <c r="BZ1908" s="715"/>
      <c r="CA1908" s="716"/>
      <c r="CB1908" s="717"/>
      <c r="CC1908" s="717"/>
      <c r="CD1908" s="717"/>
      <c r="CE1908" s="717"/>
      <c r="CF1908" s="717"/>
      <c r="CG1908" s="717"/>
      <c r="CH1908" s="717"/>
      <c r="CI1908" s="717"/>
      <c r="CJ1908" s="717"/>
      <c r="CK1908" s="717"/>
      <c r="CL1908" s="717"/>
      <c r="CM1908" s="717"/>
      <c r="CN1908" s="717"/>
      <c r="CO1908" s="717"/>
      <c r="CP1908" s="717"/>
      <c r="CQ1908" s="717"/>
      <c r="CR1908" s="717"/>
      <c r="CS1908" s="717"/>
      <c r="CT1908" s="717"/>
      <c r="CU1908" s="717"/>
      <c r="CV1908" s="717"/>
      <c r="CW1908" s="717"/>
      <c r="CX1908" s="717"/>
      <c r="CY1908" s="717"/>
      <c r="CZ1908" s="717"/>
      <c r="DA1908" s="717"/>
      <c r="DB1908" s="717"/>
      <c r="DC1908" s="717"/>
      <c r="DD1908" s="717"/>
      <c r="DE1908" s="717"/>
      <c r="DF1908" s="717"/>
      <c r="DG1908" s="717"/>
      <c r="DH1908" s="717"/>
      <c r="DI1908" s="717"/>
      <c r="DJ1908" s="717"/>
      <c r="DM1908" s="711"/>
      <c r="DN1908" s="711"/>
      <c r="DO1908" s="711"/>
      <c r="DP1908" s="711"/>
      <c r="DQ1908" s="711"/>
    </row>
    <row r="1909" spans="13:121" s="709" customFormat="1" hidden="1">
      <c r="M1909" s="710"/>
      <c r="P1909" s="711"/>
      <c r="Q1909" s="712"/>
      <c r="U1909" s="711"/>
      <c r="V1909" s="711"/>
      <c r="W1909" s="711"/>
      <c r="X1909" s="711"/>
      <c r="Y1909" s="711"/>
      <c r="Z1909" s="711"/>
      <c r="AU1909" s="713"/>
      <c r="AW1909" s="712"/>
      <c r="BY1909" s="714"/>
      <c r="BZ1909" s="715"/>
      <c r="CA1909" s="716"/>
      <c r="CB1909" s="717"/>
      <c r="CC1909" s="717"/>
      <c r="CD1909" s="717"/>
      <c r="CE1909" s="717"/>
      <c r="CF1909" s="717"/>
      <c r="CG1909" s="717"/>
      <c r="CH1909" s="717"/>
      <c r="CI1909" s="717"/>
      <c r="CJ1909" s="717"/>
      <c r="CK1909" s="717"/>
      <c r="CL1909" s="717"/>
      <c r="CM1909" s="717"/>
      <c r="CN1909" s="717"/>
      <c r="CO1909" s="717"/>
      <c r="CP1909" s="717"/>
      <c r="CQ1909" s="717"/>
      <c r="CR1909" s="717"/>
      <c r="CS1909" s="717"/>
      <c r="CT1909" s="717"/>
      <c r="CU1909" s="717"/>
      <c r="CV1909" s="717"/>
      <c r="CW1909" s="717"/>
      <c r="CX1909" s="717"/>
      <c r="CY1909" s="717"/>
      <c r="CZ1909" s="717"/>
      <c r="DA1909" s="717"/>
      <c r="DB1909" s="717"/>
      <c r="DC1909" s="717"/>
      <c r="DD1909" s="717"/>
      <c r="DE1909" s="717"/>
      <c r="DF1909" s="717"/>
      <c r="DG1909" s="717"/>
      <c r="DH1909" s="717"/>
      <c r="DI1909" s="717"/>
      <c r="DJ1909" s="717"/>
      <c r="DM1909" s="711"/>
      <c r="DN1909" s="711"/>
      <c r="DO1909" s="711"/>
      <c r="DP1909" s="711"/>
      <c r="DQ1909" s="711"/>
    </row>
    <row r="1910" spans="13:121" s="709" customFormat="1" hidden="1">
      <c r="M1910" s="710"/>
      <c r="P1910" s="711"/>
      <c r="Q1910" s="712"/>
      <c r="U1910" s="711"/>
      <c r="V1910" s="711"/>
      <c r="W1910" s="711"/>
      <c r="X1910" s="711"/>
      <c r="Y1910" s="711"/>
      <c r="Z1910" s="711"/>
      <c r="AU1910" s="713"/>
      <c r="AW1910" s="712"/>
      <c r="BY1910" s="714"/>
      <c r="BZ1910" s="715"/>
      <c r="CA1910" s="716"/>
      <c r="CB1910" s="717"/>
      <c r="CC1910" s="717"/>
      <c r="CD1910" s="717"/>
      <c r="CE1910" s="717"/>
      <c r="CF1910" s="717"/>
      <c r="CG1910" s="717"/>
      <c r="CH1910" s="717"/>
      <c r="CI1910" s="717"/>
      <c r="CJ1910" s="717"/>
      <c r="CK1910" s="717"/>
      <c r="CL1910" s="717"/>
      <c r="CM1910" s="717"/>
      <c r="CN1910" s="717"/>
      <c r="CO1910" s="717"/>
      <c r="CP1910" s="717"/>
      <c r="CQ1910" s="717"/>
      <c r="CR1910" s="717"/>
      <c r="CS1910" s="717"/>
      <c r="CT1910" s="717"/>
      <c r="CU1910" s="717"/>
      <c r="CV1910" s="717"/>
      <c r="CW1910" s="717"/>
      <c r="CX1910" s="717"/>
      <c r="CY1910" s="717"/>
      <c r="CZ1910" s="717"/>
      <c r="DA1910" s="717"/>
      <c r="DB1910" s="717"/>
      <c r="DC1910" s="717"/>
      <c r="DD1910" s="717"/>
      <c r="DE1910" s="717"/>
      <c r="DF1910" s="717"/>
      <c r="DG1910" s="717"/>
      <c r="DH1910" s="717"/>
      <c r="DI1910" s="717"/>
      <c r="DJ1910" s="717"/>
      <c r="DM1910" s="711"/>
      <c r="DN1910" s="711"/>
      <c r="DO1910" s="711"/>
      <c r="DP1910" s="711"/>
      <c r="DQ1910" s="711"/>
    </row>
    <row r="1911" spans="13:121" s="709" customFormat="1" hidden="1">
      <c r="M1911" s="710"/>
      <c r="P1911" s="711"/>
      <c r="Q1911" s="712"/>
      <c r="U1911" s="711"/>
      <c r="V1911" s="711"/>
      <c r="W1911" s="711"/>
      <c r="X1911" s="711"/>
      <c r="Y1911" s="711"/>
      <c r="Z1911" s="711"/>
      <c r="AU1911" s="713"/>
      <c r="AW1911" s="712"/>
      <c r="BY1911" s="714"/>
      <c r="BZ1911" s="715"/>
      <c r="CA1911" s="716"/>
      <c r="CB1911" s="717"/>
      <c r="CC1911" s="717"/>
      <c r="CD1911" s="717"/>
      <c r="CE1911" s="717"/>
      <c r="CF1911" s="717"/>
      <c r="CG1911" s="717"/>
      <c r="CH1911" s="717"/>
      <c r="CI1911" s="717"/>
      <c r="CJ1911" s="717"/>
      <c r="CK1911" s="717"/>
      <c r="CL1911" s="717"/>
      <c r="CM1911" s="717"/>
      <c r="CN1911" s="717"/>
      <c r="CO1911" s="717"/>
      <c r="CP1911" s="717"/>
      <c r="CQ1911" s="717"/>
      <c r="CR1911" s="717"/>
      <c r="CS1911" s="717"/>
      <c r="CT1911" s="717"/>
      <c r="CU1911" s="717"/>
      <c r="CV1911" s="717"/>
      <c r="CW1911" s="717"/>
      <c r="CX1911" s="717"/>
      <c r="CY1911" s="717"/>
      <c r="CZ1911" s="717"/>
      <c r="DA1911" s="717"/>
      <c r="DB1911" s="717"/>
      <c r="DC1911" s="717"/>
      <c r="DD1911" s="717"/>
      <c r="DE1911" s="717"/>
      <c r="DF1911" s="717"/>
      <c r="DG1911" s="717"/>
      <c r="DH1911" s="717"/>
      <c r="DI1911" s="717"/>
      <c r="DJ1911" s="717"/>
      <c r="DM1911" s="711"/>
      <c r="DN1911" s="711"/>
      <c r="DO1911" s="711"/>
      <c r="DP1911" s="711"/>
      <c r="DQ1911" s="711"/>
    </row>
    <row r="1912" spans="13:121" s="709" customFormat="1" hidden="1">
      <c r="M1912" s="710"/>
      <c r="P1912" s="711"/>
      <c r="Q1912" s="712"/>
      <c r="U1912" s="711"/>
      <c r="V1912" s="711"/>
      <c r="W1912" s="711"/>
      <c r="X1912" s="711"/>
      <c r="Y1912" s="711"/>
      <c r="Z1912" s="711"/>
      <c r="AU1912" s="713"/>
      <c r="AW1912" s="712"/>
      <c r="BY1912" s="714"/>
      <c r="BZ1912" s="715"/>
      <c r="CA1912" s="716"/>
      <c r="CB1912" s="717"/>
      <c r="CC1912" s="717"/>
      <c r="CD1912" s="717"/>
      <c r="CE1912" s="717"/>
      <c r="CF1912" s="717"/>
      <c r="CG1912" s="717"/>
      <c r="CH1912" s="717"/>
      <c r="CI1912" s="717"/>
      <c r="CJ1912" s="717"/>
      <c r="CK1912" s="717"/>
      <c r="CL1912" s="717"/>
      <c r="CM1912" s="717"/>
      <c r="CN1912" s="717"/>
      <c r="CO1912" s="717"/>
      <c r="CP1912" s="717"/>
      <c r="CQ1912" s="717"/>
      <c r="CR1912" s="717"/>
      <c r="CS1912" s="717"/>
      <c r="CT1912" s="717"/>
      <c r="CU1912" s="717"/>
      <c r="CV1912" s="717"/>
      <c r="CW1912" s="717"/>
      <c r="CX1912" s="717"/>
      <c r="CY1912" s="717"/>
      <c r="CZ1912" s="717"/>
      <c r="DA1912" s="717"/>
      <c r="DB1912" s="717"/>
      <c r="DC1912" s="717"/>
      <c r="DD1912" s="717"/>
      <c r="DE1912" s="717"/>
      <c r="DF1912" s="717"/>
      <c r="DG1912" s="717"/>
      <c r="DH1912" s="717"/>
      <c r="DI1912" s="717"/>
      <c r="DJ1912" s="717"/>
      <c r="DM1912" s="711"/>
      <c r="DN1912" s="711"/>
      <c r="DO1912" s="711"/>
      <c r="DP1912" s="711"/>
      <c r="DQ1912" s="711"/>
    </row>
    <row r="1913" spans="13:121" s="709" customFormat="1" hidden="1">
      <c r="M1913" s="710"/>
      <c r="P1913" s="711"/>
      <c r="Q1913" s="712"/>
      <c r="U1913" s="711"/>
      <c r="V1913" s="711"/>
      <c r="W1913" s="711"/>
      <c r="X1913" s="711"/>
      <c r="Y1913" s="711"/>
      <c r="Z1913" s="711"/>
      <c r="AU1913" s="713"/>
      <c r="AW1913" s="712"/>
      <c r="BY1913" s="714"/>
      <c r="BZ1913" s="715"/>
      <c r="CA1913" s="716"/>
      <c r="CB1913" s="717"/>
      <c r="CC1913" s="717"/>
      <c r="CD1913" s="717"/>
      <c r="CE1913" s="717"/>
      <c r="CF1913" s="717"/>
      <c r="CG1913" s="717"/>
      <c r="CH1913" s="717"/>
      <c r="CI1913" s="717"/>
      <c r="CJ1913" s="717"/>
      <c r="CK1913" s="717"/>
      <c r="CL1913" s="717"/>
      <c r="CM1913" s="717"/>
      <c r="CN1913" s="717"/>
      <c r="CO1913" s="717"/>
      <c r="CP1913" s="717"/>
      <c r="CQ1913" s="717"/>
      <c r="CR1913" s="717"/>
      <c r="CS1913" s="717"/>
      <c r="CT1913" s="717"/>
      <c r="CU1913" s="717"/>
      <c r="CV1913" s="717"/>
      <c r="CW1913" s="717"/>
      <c r="CX1913" s="717"/>
      <c r="CY1913" s="717"/>
      <c r="CZ1913" s="717"/>
      <c r="DA1913" s="717"/>
      <c r="DB1913" s="717"/>
      <c r="DC1913" s="717"/>
      <c r="DD1913" s="717"/>
      <c r="DE1913" s="717"/>
      <c r="DF1913" s="717"/>
      <c r="DG1913" s="717"/>
      <c r="DH1913" s="717"/>
      <c r="DI1913" s="717"/>
      <c r="DJ1913" s="717"/>
      <c r="DM1913" s="711"/>
      <c r="DN1913" s="711"/>
      <c r="DO1913" s="711"/>
      <c r="DP1913" s="711"/>
      <c r="DQ1913" s="711"/>
    </row>
    <row r="1914" spans="13:121" s="709" customFormat="1" hidden="1">
      <c r="M1914" s="710"/>
      <c r="P1914" s="711"/>
      <c r="Q1914" s="712"/>
      <c r="U1914" s="711"/>
      <c r="V1914" s="711"/>
      <c r="W1914" s="711"/>
      <c r="X1914" s="711"/>
      <c r="Y1914" s="711"/>
      <c r="Z1914" s="711"/>
      <c r="AU1914" s="713"/>
      <c r="AW1914" s="712"/>
      <c r="BY1914" s="714"/>
      <c r="BZ1914" s="715"/>
      <c r="CA1914" s="716"/>
      <c r="CB1914" s="717"/>
      <c r="CC1914" s="717"/>
      <c r="CD1914" s="717"/>
      <c r="CE1914" s="717"/>
      <c r="CF1914" s="717"/>
      <c r="CG1914" s="717"/>
      <c r="CH1914" s="717"/>
      <c r="CI1914" s="717"/>
      <c r="CJ1914" s="717"/>
      <c r="CK1914" s="717"/>
      <c r="CL1914" s="717"/>
      <c r="CM1914" s="717"/>
      <c r="CN1914" s="717"/>
      <c r="CO1914" s="717"/>
      <c r="CP1914" s="717"/>
      <c r="CQ1914" s="717"/>
      <c r="CR1914" s="717"/>
      <c r="CS1914" s="717"/>
      <c r="CT1914" s="717"/>
      <c r="CU1914" s="717"/>
      <c r="CV1914" s="717"/>
      <c r="CW1914" s="717"/>
      <c r="CX1914" s="717"/>
      <c r="CY1914" s="717"/>
      <c r="CZ1914" s="717"/>
      <c r="DA1914" s="717"/>
      <c r="DB1914" s="717"/>
      <c r="DC1914" s="717"/>
      <c r="DD1914" s="717"/>
      <c r="DE1914" s="717"/>
      <c r="DF1914" s="717"/>
      <c r="DG1914" s="717"/>
      <c r="DH1914" s="717"/>
      <c r="DI1914" s="717"/>
      <c r="DJ1914" s="717"/>
      <c r="DM1914" s="711"/>
      <c r="DN1914" s="711"/>
      <c r="DO1914" s="711"/>
      <c r="DP1914" s="711"/>
      <c r="DQ1914" s="711"/>
    </row>
    <row r="1915" spans="13:121" s="709" customFormat="1" hidden="1">
      <c r="M1915" s="710"/>
      <c r="P1915" s="711"/>
      <c r="Q1915" s="712"/>
      <c r="U1915" s="711"/>
      <c r="V1915" s="711"/>
      <c r="W1915" s="711"/>
      <c r="X1915" s="711"/>
      <c r="Y1915" s="711"/>
      <c r="Z1915" s="711"/>
      <c r="AU1915" s="713"/>
      <c r="AW1915" s="712"/>
      <c r="BY1915" s="714"/>
      <c r="BZ1915" s="715"/>
      <c r="CA1915" s="716"/>
      <c r="CB1915" s="717"/>
      <c r="CC1915" s="717"/>
      <c r="CD1915" s="717"/>
      <c r="CE1915" s="717"/>
      <c r="CF1915" s="717"/>
      <c r="CG1915" s="717"/>
      <c r="CH1915" s="717"/>
      <c r="CI1915" s="717"/>
      <c r="CJ1915" s="717"/>
      <c r="CK1915" s="717"/>
      <c r="CL1915" s="717"/>
      <c r="CM1915" s="717"/>
      <c r="CN1915" s="717"/>
      <c r="CO1915" s="717"/>
      <c r="CP1915" s="717"/>
      <c r="CQ1915" s="717"/>
      <c r="CR1915" s="717"/>
      <c r="CS1915" s="717"/>
      <c r="CT1915" s="717"/>
      <c r="CU1915" s="717"/>
      <c r="CV1915" s="717"/>
      <c r="CW1915" s="717"/>
      <c r="CX1915" s="717"/>
      <c r="CY1915" s="717"/>
      <c r="CZ1915" s="717"/>
      <c r="DA1915" s="717"/>
      <c r="DB1915" s="717"/>
      <c r="DC1915" s="717"/>
      <c r="DD1915" s="717"/>
      <c r="DE1915" s="717"/>
      <c r="DF1915" s="717"/>
      <c r="DG1915" s="717"/>
      <c r="DH1915" s="717"/>
      <c r="DI1915" s="717"/>
      <c r="DJ1915" s="717"/>
      <c r="DM1915" s="711"/>
      <c r="DN1915" s="711"/>
      <c r="DO1915" s="711"/>
      <c r="DP1915" s="711"/>
      <c r="DQ1915" s="711"/>
    </row>
    <row r="1916" spans="13:121" s="709" customFormat="1" hidden="1">
      <c r="M1916" s="710"/>
      <c r="P1916" s="711"/>
      <c r="Q1916" s="712"/>
      <c r="U1916" s="711"/>
      <c r="V1916" s="711"/>
      <c r="W1916" s="711"/>
      <c r="X1916" s="711"/>
      <c r="Y1916" s="711"/>
      <c r="Z1916" s="711"/>
      <c r="AU1916" s="713"/>
      <c r="AW1916" s="712"/>
      <c r="BY1916" s="714"/>
      <c r="BZ1916" s="715"/>
      <c r="CA1916" s="716"/>
      <c r="CB1916" s="717"/>
      <c r="CC1916" s="717"/>
      <c r="CD1916" s="717"/>
      <c r="CE1916" s="717"/>
      <c r="CF1916" s="717"/>
      <c r="CG1916" s="717"/>
      <c r="CH1916" s="717"/>
      <c r="CI1916" s="717"/>
      <c r="CJ1916" s="717"/>
      <c r="CK1916" s="717"/>
      <c r="CL1916" s="717"/>
      <c r="CM1916" s="717"/>
      <c r="CN1916" s="717"/>
      <c r="CO1916" s="717"/>
      <c r="CP1916" s="717"/>
      <c r="CQ1916" s="717"/>
      <c r="CR1916" s="717"/>
      <c r="CS1916" s="717"/>
      <c r="CT1916" s="717"/>
      <c r="CU1916" s="717"/>
      <c r="CV1916" s="717"/>
      <c r="CW1916" s="717"/>
      <c r="CX1916" s="717"/>
      <c r="CY1916" s="717"/>
      <c r="CZ1916" s="717"/>
      <c r="DA1916" s="717"/>
      <c r="DB1916" s="717"/>
      <c r="DC1916" s="717"/>
      <c r="DD1916" s="717"/>
      <c r="DE1916" s="717"/>
      <c r="DF1916" s="717"/>
      <c r="DG1916" s="717"/>
      <c r="DH1916" s="717"/>
      <c r="DI1916" s="717"/>
      <c r="DJ1916" s="717"/>
      <c r="DM1916" s="711"/>
      <c r="DN1916" s="711"/>
      <c r="DO1916" s="711"/>
      <c r="DP1916" s="711"/>
      <c r="DQ1916" s="711"/>
    </row>
    <row r="1917" spans="13:121" s="709" customFormat="1" hidden="1">
      <c r="M1917" s="710"/>
      <c r="P1917" s="711"/>
      <c r="Q1917" s="712"/>
      <c r="U1917" s="711"/>
      <c r="V1917" s="711"/>
      <c r="W1917" s="711"/>
      <c r="X1917" s="711"/>
      <c r="Y1917" s="711"/>
      <c r="Z1917" s="711"/>
      <c r="AU1917" s="713"/>
      <c r="AW1917" s="712"/>
      <c r="BY1917" s="714"/>
      <c r="BZ1917" s="715"/>
      <c r="CA1917" s="716"/>
      <c r="CB1917" s="717"/>
      <c r="CC1917" s="717"/>
      <c r="CD1917" s="717"/>
      <c r="CE1917" s="717"/>
      <c r="CF1917" s="717"/>
      <c r="CG1917" s="717"/>
      <c r="CH1917" s="717"/>
      <c r="CI1917" s="717"/>
      <c r="CJ1917" s="717"/>
      <c r="CK1917" s="717"/>
      <c r="CL1917" s="717"/>
      <c r="CM1917" s="717"/>
      <c r="CN1917" s="717"/>
      <c r="CO1917" s="717"/>
      <c r="CP1917" s="717"/>
      <c r="CQ1917" s="717"/>
      <c r="CR1917" s="717"/>
      <c r="CS1917" s="717"/>
      <c r="CT1917" s="717"/>
      <c r="CU1917" s="717"/>
      <c r="CV1917" s="717"/>
      <c r="CW1917" s="717"/>
      <c r="CX1917" s="717"/>
      <c r="CY1917" s="717"/>
      <c r="CZ1917" s="717"/>
      <c r="DA1917" s="717"/>
      <c r="DB1917" s="717"/>
      <c r="DC1917" s="717"/>
      <c r="DD1917" s="717"/>
      <c r="DE1917" s="717"/>
      <c r="DF1917" s="717"/>
      <c r="DG1917" s="717"/>
      <c r="DH1917" s="717"/>
      <c r="DI1917" s="717"/>
      <c r="DJ1917" s="717"/>
      <c r="DM1917" s="711"/>
      <c r="DN1917" s="711"/>
      <c r="DO1917" s="711"/>
      <c r="DP1917" s="711"/>
      <c r="DQ1917" s="711"/>
    </row>
    <row r="1918" spans="13:121" s="709" customFormat="1" hidden="1">
      <c r="M1918" s="710"/>
      <c r="P1918" s="711"/>
      <c r="Q1918" s="712"/>
      <c r="U1918" s="711"/>
      <c r="V1918" s="711"/>
      <c r="W1918" s="711"/>
      <c r="X1918" s="711"/>
      <c r="Y1918" s="711"/>
      <c r="Z1918" s="711"/>
      <c r="AU1918" s="713"/>
      <c r="AW1918" s="712"/>
      <c r="BY1918" s="714"/>
      <c r="BZ1918" s="715"/>
      <c r="CA1918" s="716"/>
      <c r="CB1918" s="717"/>
      <c r="CC1918" s="717"/>
      <c r="CD1918" s="717"/>
      <c r="CE1918" s="717"/>
      <c r="CF1918" s="717"/>
      <c r="CG1918" s="717"/>
      <c r="CH1918" s="717"/>
      <c r="CI1918" s="717"/>
      <c r="CJ1918" s="717"/>
      <c r="CK1918" s="717"/>
      <c r="CL1918" s="717"/>
      <c r="CM1918" s="717"/>
      <c r="CN1918" s="717"/>
      <c r="CO1918" s="717"/>
      <c r="CP1918" s="717"/>
      <c r="CQ1918" s="717"/>
      <c r="CR1918" s="717"/>
      <c r="CS1918" s="717"/>
      <c r="CT1918" s="717"/>
      <c r="CU1918" s="717"/>
      <c r="CV1918" s="717"/>
      <c r="CW1918" s="717"/>
      <c r="CX1918" s="717"/>
      <c r="CY1918" s="717"/>
      <c r="CZ1918" s="717"/>
      <c r="DA1918" s="717"/>
      <c r="DB1918" s="717"/>
      <c r="DC1918" s="717"/>
      <c r="DD1918" s="717"/>
      <c r="DE1918" s="717"/>
      <c r="DF1918" s="717"/>
      <c r="DG1918" s="717"/>
      <c r="DH1918" s="717"/>
      <c r="DI1918" s="717"/>
      <c r="DJ1918" s="717"/>
      <c r="DM1918" s="711"/>
      <c r="DN1918" s="711"/>
      <c r="DO1918" s="711"/>
      <c r="DP1918" s="711"/>
      <c r="DQ1918" s="711"/>
    </row>
    <row r="1919" spans="13:121" s="709" customFormat="1" hidden="1">
      <c r="M1919" s="710"/>
      <c r="P1919" s="711"/>
      <c r="Q1919" s="712"/>
      <c r="U1919" s="711"/>
      <c r="V1919" s="711"/>
      <c r="W1919" s="711"/>
      <c r="X1919" s="711"/>
      <c r="Y1919" s="711"/>
      <c r="Z1919" s="711"/>
      <c r="AU1919" s="713"/>
      <c r="AW1919" s="712"/>
      <c r="BY1919" s="714"/>
      <c r="BZ1919" s="715"/>
      <c r="CA1919" s="716"/>
      <c r="CB1919" s="717"/>
      <c r="CC1919" s="717"/>
      <c r="CD1919" s="717"/>
      <c r="CE1919" s="717"/>
      <c r="CF1919" s="717"/>
      <c r="CG1919" s="717"/>
      <c r="CH1919" s="717"/>
      <c r="CI1919" s="717"/>
      <c r="CJ1919" s="717"/>
      <c r="CK1919" s="717"/>
      <c r="CL1919" s="717"/>
      <c r="CM1919" s="717"/>
      <c r="CN1919" s="717"/>
      <c r="CO1919" s="717"/>
      <c r="CP1919" s="717"/>
      <c r="CQ1919" s="717"/>
      <c r="CR1919" s="717"/>
      <c r="CS1919" s="717"/>
      <c r="CT1919" s="717"/>
      <c r="CU1919" s="717"/>
      <c r="CV1919" s="717"/>
      <c r="CW1919" s="717"/>
      <c r="CX1919" s="717"/>
      <c r="CY1919" s="717"/>
      <c r="CZ1919" s="717"/>
      <c r="DA1919" s="717"/>
      <c r="DB1919" s="717"/>
      <c r="DC1919" s="717"/>
      <c r="DD1919" s="717"/>
      <c r="DE1919" s="717"/>
      <c r="DF1919" s="717"/>
      <c r="DG1919" s="717"/>
      <c r="DH1919" s="717"/>
      <c r="DI1919" s="717"/>
      <c r="DJ1919" s="717"/>
      <c r="DM1919" s="711"/>
      <c r="DN1919" s="711"/>
      <c r="DO1919" s="711"/>
      <c r="DP1919" s="711"/>
      <c r="DQ1919" s="711"/>
    </row>
    <row r="1920" spans="13:121" s="709" customFormat="1" hidden="1">
      <c r="M1920" s="710"/>
      <c r="P1920" s="711"/>
      <c r="Q1920" s="712"/>
      <c r="U1920" s="711"/>
      <c r="V1920" s="711"/>
      <c r="W1920" s="711"/>
      <c r="X1920" s="711"/>
      <c r="Y1920" s="711"/>
      <c r="Z1920" s="711"/>
      <c r="AU1920" s="713"/>
      <c r="AW1920" s="712"/>
      <c r="BY1920" s="714"/>
      <c r="BZ1920" s="715"/>
      <c r="CA1920" s="716"/>
      <c r="CB1920" s="717"/>
      <c r="CC1920" s="717"/>
      <c r="CD1920" s="717"/>
      <c r="CE1920" s="717"/>
      <c r="CF1920" s="717"/>
      <c r="CG1920" s="717"/>
      <c r="CH1920" s="717"/>
      <c r="CI1920" s="717"/>
      <c r="CJ1920" s="717"/>
      <c r="CK1920" s="717"/>
      <c r="CL1920" s="717"/>
      <c r="CM1920" s="717"/>
      <c r="CN1920" s="717"/>
      <c r="CO1920" s="717"/>
      <c r="CP1920" s="717"/>
      <c r="CQ1920" s="717"/>
      <c r="CR1920" s="717"/>
      <c r="CS1920" s="717"/>
      <c r="CT1920" s="717"/>
      <c r="CU1920" s="717"/>
      <c r="CV1920" s="717"/>
      <c r="CW1920" s="717"/>
      <c r="CX1920" s="717"/>
      <c r="CY1920" s="717"/>
      <c r="CZ1920" s="717"/>
      <c r="DA1920" s="717"/>
      <c r="DB1920" s="717"/>
      <c r="DC1920" s="717"/>
      <c r="DD1920" s="717"/>
      <c r="DE1920" s="717"/>
      <c r="DF1920" s="717"/>
      <c r="DG1920" s="717"/>
      <c r="DH1920" s="717"/>
      <c r="DI1920" s="717"/>
      <c r="DJ1920" s="717"/>
      <c r="DM1920" s="711"/>
      <c r="DN1920" s="711"/>
      <c r="DO1920" s="711"/>
      <c r="DP1920" s="711"/>
      <c r="DQ1920" s="711"/>
    </row>
    <row r="1921" spans="13:121" s="709" customFormat="1" hidden="1">
      <c r="M1921" s="710"/>
      <c r="P1921" s="711"/>
      <c r="Q1921" s="712"/>
      <c r="U1921" s="711"/>
      <c r="V1921" s="711"/>
      <c r="W1921" s="711"/>
      <c r="X1921" s="711"/>
      <c r="Y1921" s="711"/>
      <c r="Z1921" s="711"/>
      <c r="AU1921" s="713"/>
      <c r="AW1921" s="712"/>
      <c r="BY1921" s="714"/>
      <c r="BZ1921" s="715"/>
      <c r="CA1921" s="716"/>
      <c r="CB1921" s="717"/>
      <c r="CC1921" s="717"/>
      <c r="CD1921" s="717"/>
      <c r="CE1921" s="717"/>
      <c r="CF1921" s="717"/>
      <c r="CG1921" s="717"/>
      <c r="CH1921" s="717"/>
      <c r="CI1921" s="717"/>
      <c r="CJ1921" s="717"/>
      <c r="CK1921" s="717"/>
      <c r="CL1921" s="717"/>
      <c r="CM1921" s="717"/>
      <c r="CN1921" s="717"/>
      <c r="CO1921" s="717"/>
      <c r="CP1921" s="717"/>
      <c r="CQ1921" s="717"/>
      <c r="CR1921" s="717"/>
      <c r="CS1921" s="717"/>
      <c r="CT1921" s="717"/>
      <c r="CU1921" s="717"/>
      <c r="CV1921" s="717"/>
      <c r="CW1921" s="717"/>
      <c r="CX1921" s="717"/>
      <c r="CY1921" s="717"/>
      <c r="CZ1921" s="717"/>
      <c r="DA1921" s="717"/>
      <c r="DB1921" s="717"/>
      <c r="DC1921" s="717"/>
      <c r="DD1921" s="717"/>
      <c r="DE1921" s="717"/>
      <c r="DF1921" s="717"/>
      <c r="DG1921" s="717"/>
      <c r="DH1921" s="717"/>
      <c r="DI1921" s="717"/>
      <c r="DJ1921" s="717"/>
      <c r="DM1921" s="711"/>
      <c r="DN1921" s="711"/>
      <c r="DO1921" s="711"/>
      <c r="DP1921" s="711"/>
      <c r="DQ1921" s="711"/>
    </row>
    <row r="1922" spans="13:121" s="709" customFormat="1" hidden="1">
      <c r="M1922" s="710"/>
      <c r="P1922" s="711"/>
      <c r="Q1922" s="712"/>
      <c r="U1922" s="711"/>
      <c r="V1922" s="711"/>
      <c r="W1922" s="711"/>
      <c r="X1922" s="711"/>
      <c r="Y1922" s="711"/>
      <c r="Z1922" s="711"/>
      <c r="AU1922" s="713"/>
      <c r="AW1922" s="712"/>
      <c r="BY1922" s="714"/>
      <c r="BZ1922" s="715"/>
      <c r="CA1922" s="716"/>
      <c r="CB1922" s="717"/>
      <c r="CC1922" s="717"/>
      <c r="CD1922" s="717"/>
      <c r="CE1922" s="717"/>
      <c r="CF1922" s="717"/>
      <c r="CG1922" s="717"/>
      <c r="CH1922" s="717"/>
      <c r="CI1922" s="717"/>
      <c r="CJ1922" s="717"/>
      <c r="CK1922" s="717"/>
      <c r="CL1922" s="717"/>
      <c r="CM1922" s="717"/>
      <c r="CN1922" s="717"/>
      <c r="CO1922" s="717"/>
      <c r="CP1922" s="717"/>
      <c r="CQ1922" s="717"/>
      <c r="CR1922" s="717"/>
      <c r="CS1922" s="717"/>
      <c r="CT1922" s="717"/>
      <c r="CU1922" s="717"/>
      <c r="CV1922" s="717"/>
      <c r="CW1922" s="717"/>
      <c r="CX1922" s="717"/>
      <c r="CY1922" s="717"/>
      <c r="CZ1922" s="717"/>
      <c r="DA1922" s="717"/>
      <c r="DB1922" s="717"/>
      <c r="DC1922" s="717"/>
      <c r="DD1922" s="717"/>
      <c r="DE1922" s="717"/>
      <c r="DF1922" s="717"/>
      <c r="DG1922" s="717"/>
      <c r="DH1922" s="717"/>
      <c r="DI1922" s="717"/>
      <c r="DJ1922" s="717"/>
      <c r="DM1922" s="711"/>
      <c r="DN1922" s="711"/>
      <c r="DO1922" s="711"/>
      <c r="DP1922" s="711"/>
      <c r="DQ1922" s="711"/>
    </row>
    <row r="1923" spans="13:121" s="709" customFormat="1" hidden="1">
      <c r="M1923" s="710"/>
      <c r="P1923" s="711"/>
      <c r="Q1923" s="712"/>
      <c r="U1923" s="711"/>
      <c r="V1923" s="711"/>
      <c r="W1923" s="711"/>
      <c r="X1923" s="711"/>
      <c r="Y1923" s="711"/>
      <c r="Z1923" s="711"/>
      <c r="AU1923" s="713"/>
      <c r="AW1923" s="712"/>
      <c r="BY1923" s="714"/>
      <c r="BZ1923" s="715"/>
      <c r="CA1923" s="716"/>
      <c r="CB1923" s="717"/>
      <c r="CC1923" s="717"/>
      <c r="CD1923" s="717"/>
      <c r="CE1923" s="717"/>
      <c r="CF1923" s="717"/>
      <c r="CG1923" s="717"/>
      <c r="CH1923" s="717"/>
      <c r="CI1923" s="717"/>
      <c r="CJ1923" s="717"/>
      <c r="CK1923" s="717"/>
      <c r="CL1923" s="717"/>
      <c r="CM1923" s="717"/>
      <c r="CN1923" s="717"/>
      <c r="CO1923" s="717"/>
      <c r="CP1923" s="717"/>
      <c r="CQ1923" s="717"/>
      <c r="CR1923" s="717"/>
      <c r="CS1923" s="717"/>
      <c r="CT1923" s="717"/>
      <c r="CU1923" s="717"/>
      <c r="CV1923" s="717"/>
      <c r="CW1923" s="717"/>
      <c r="CX1923" s="717"/>
      <c r="CY1923" s="717"/>
      <c r="CZ1923" s="717"/>
      <c r="DA1923" s="717"/>
      <c r="DB1923" s="717"/>
      <c r="DC1923" s="717"/>
      <c r="DD1923" s="717"/>
      <c r="DE1923" s="717"/>
      <c r="DF1923" s="717"/>
      <c r="DG1923" s="717"/>
      <c r="DH1923" s="717"/>
      <c r="DI1923" s="717"/>
      <c r="DJ1923" s="717"/>
      <c r="DM1923" s="711"/>
      <c r="DN1923" s="711"/>
      <c r="DO1923" s="711"/>
      <c r="DP1923" s="711"/>
      <c r="DQ1923" s="711"/>
    </row>
    <row r="1924" spans="13:121" s="709" customFormat="1" hidden="1">
      <c r="M1924" s="710"/>
      <c r="P1924" s="711"/>
      <c r="Q1924" s="712"/>
      <c r="U1924" s="711"/>
      <c r="V1924" s="711"/>
      <c r="W1924" s="711"/>
      <c r="X1924" s="711"/>
      <c r="Y1924" s="711"/>
      <c r="Z1924" s="711"/>
      <c r="AU1924" s="713"/>
      <c r="AW1924" s="712"/>
      <c r="BY1924" s="714"/>
      <c r="BZ1924" s="715"/>
      <c r="CA1924" s="716"/>
      <c r="CB1924" s="717"/>
      <c r="CC1924" s="717"/>
      <c r="CD1924" s="717"/>
      <c r="CE1924" s="717"/>
      <c r="CF1924" s="717"/>
      <c r="CG1924" s="717"/>
      <c r="CH1924" s="717"/>
      <c r="CI1924" s="717"/>
      <c r="CJ1924" s="717"/>
      <c r="CK1924" s="717"/>
      <c r="CL1924" s="717"/>
      <c r="CM1924" s="717"/>
      <c r="CN1924" s="717"/>
      <c r="CO1924" s="717"/>
      <c r="CP1924" s="717"/>
      <c r="CQ1924" s="717"/>
      <c r="CR1924" s="717"/>
      <c r="CS1924" s="717"/>
      <c r="CT1924" s="717"/>
      <c r="CU1924" s="717"/>
      <c r="CV1924" s="717"/>
      <c r="CW1924" s="717"/>
      <c r="CX1924" s="717"/>
      <c r="CY1924" s="717"/>
      <c r="CZ1924" s="717"/>
      <c r="DA1924" s="717"/>
      <c r="DB1924" s="717"/>
      <c r="DC1924" s="717"/>
      <c r="DD1924" s="717"/>
      <c r="DE1924" s="717"/>
      <c r="DF1924" s="717"/>
      <c r="DG1924" s="717"/>
      <c r="DH1924" s="717"/>
      <c r="DI1924" s="717"/>
      <c r="DJ1924" s="717"/>
      <c r="DM1924" s="711"/>
      <c r="DN1924" s="711"/>
      <c r="DO1924" s="711"/>
      <c r="DP1924" s="711"/>
      <c r="DQ1924" s="711"/>
    </row>
    <row r="1925" spans="13:121" s="709" customFormat="1" hidden="1">
      <c r="M1925" s="710"/>
      <c r="P1925" s="711"/>
      <c r="Q1925" s="712"/>
      <c r="U1925" s="711"/>
      <c r="V1925" s="711"/>
      <c r="W1925" s="711"/>
      <c r="X1925" s="711"/>
      <c r="Y1925" s="711"/>
      <c r="Z1925" s="711"/>
      <c r="AU1925" s="713"/>
      <c r="AW1925" s="712"/>
      <c r="BY1925" s="714"/>
      <c r="BZ1925" s="715"/>
      <c r="CA1925" s="716"/>
      <c r="CB1925" s="717"/>
      <c r="CC1925" s="717"/>
      <c r="CD1925" s="717"/>
      <c r="CE1925" s="717"/>
      <c r="CF1925" s="717"/>
      <c r="CG1925" s="717"/>
      <c r="CH1925" s="717"/>
      <c r="CI1925" s="717"/>
      <c r="CJ1925" s="717"/>
      <c r="CK1925" s="717"/>
      <c r="CL1925" s="717"/>
      <c r="CM1925" s="717"/>
      <c r="CN1925" s="717"/>
      <c r="CO1925" s="717"/>
      <c r="CP1925" s="717"/>
      <c r="CQ1925" s="717"/>
      <c r="CR1925" s="717"/>
      <c r="CS1925" s="717"/>
      <c r="CT1925" s="717"/>
      <c r="CU1925" s="717"/>
      <c r="CV1925" s="717"/>
      <c r="CW1925" s="717"/>
      <c r="CX1925" s="717"/>
      <c r="CY1925" s="717"/>
      <c r="CZ1925" s="717"/>
      <c r="DA1925" s="717"/>
      <c r="DB1925" s="717"/>
      <c r="DC1925" s="717"/>
      <c r="DD1925" s="717"/>
      <c r="DE1925" s="717"/>
      <c r="DF1925" s="717"/>
      <c r="DG1925" s="717"/>
      <c r="DH1925" s="717"/>
      <c r="DI1925" s="717"/>
      <c r="DJ1925" s="717"/>
      <c r="DM1925" s="711"/>
      <c r="DN1925" s="711"/>
      <c r="DO1925" s="711"/>
      <c r="DP1925" s="711"/>
      <c r="DQ1925" s="711"/>
    </row>
    <row r="1926" spans="13:121" s="709" customFormat="1" hidden="1">
      <c r="M1926" s="710"/>
      <c r="P1926" s="711"/>
      <c r="Q1926" s="712"/>
      <c r="U1926" s="711"/>
      <c r="V1926" s="711"/>
      <c r="W1926" s="711"/>
      <c r="X1926" s="711"/>
      <c r="Y1926" s="711"/>
      <c r="Z1926" s="711"/>
      <c r="AU1926" s="713"/>
      <c r="AW1926" s="712"/>
      <c r="BY1926" s="714"/>
      <c r="BZ1926" s="715"/>
      <c r="CA1926" s="716"/>
      <c r="CB1926" s="717"/>
      <c r="CC1926" s="717"/>
      <c r="CD1926" s="717"/>
      <c r="CE1926" s="717"/>
      <c r="CF1926" s="717"/>
      <c r="CG1926" s="717"/>
      <c r="CH1926" s="717"/>
      <c r="CI1926" s="717"/>
      <c r="CJ1926" s="717"/>
      <c r="CK1926" s="717"/>
      <c r="CL1926" s="717"/>
      <c r="CM1926" s="717"/>
      <c r="CN1926" s="717"/>
      <c r="CO1926" s="717"/>
      <c r="CP1926" s="717"/>
      <c r="CQ1926" s="717"/>
      <c r="CR1926" s="717"/>
      <c r="CS1926" s="717"/>
      <c r="CT1926" s="717"/>
      <c r="CU1926" s="717"/>
      <c r="CV1926" s="717"/>
      <c r="CW1926" s="717"/>
      <c r="CX1926" s="717"/>
      <c r="CY1926" s="717"/>
      <c r="CZ1926" s="717"/>
      <c r="DA1926" s="717"/>
      <c r="DB1926" s="717"/>
      <c r="DC1926" s="717"/>
      <c r="DD1926" s="717"/>
      <c r="DE1926" s="717"/>
      <c r="DF1926" s="717"/>
      <c r="DG1926" s="717"/>
      <c r="DH1926" s="717"/>
      <c r="DI1926" s="717"/>
      <c r="DJ1926" s="717"/>
      <c r="DM1926" s="711"/>
      <c r="DN1926" s="711"/>
      <c r="DO1926" s="711"/>
      <c r="DP1926" s="711"/>
      <c r="DQ1926" s="711"/>
    </row>
    <row r="1927" spans="13:121" s="709" customFormat="1" hidden="1">
      <c r="M1927" s="710"/>
      <c r="P1927" s="711"/>
      <c r="Q1927" s="712"/>
      <c r="U1927" s="711"/>
      <c r="V1927" s="711"/>
      <c r="W1927" s="711"/>
      <c r="X1927" s="711"/>
      <c r="Y1927" s="711"/>
      <c r="Z1927" s="711"/>
      <c r="AU1927" s="713"/>
      <c r="AW1927" s="712"/>
      <c r="BY1927" s="714"/>
      <c r="BZ1927" s="715"/>
      <c r="CA1927" s="716"/>
      <c r="CB1927" s="717"/>
      <c r="CC1927" s="717"/>
      <c r="CD1927" s="717"/>
      <c r="CE1927" s="717"/>
      <c r="CF1927" s="717"/>
      <c r="CG1927" s="717"/>
      <c r="CH1927" s="717"/>
      <c r="CI1927" s="717"/>
      <c r="CJ1927" s="717"/>
      <c r="CK1927" s="717"/>
      <c r="CL1927" s="717"/>
      <c r="CM1927" s="717"/>
      <c r="CN1927" s="717"/>
      <c r="CO1927" s="717"/>
      <c r="CP1927" s="717"/>
      <c r="CQ1927" s="717"/>
      <c r="CR1927" s="717"/>
      <c r="CS1927" s="717"/>
      <c r="CT1927" s="717"/>
      <c r="CU1927" s="717"/>
      <c r="CV1927" s="717"/>
      <c r="CW1927" s="717"/>
      <c r="CX1927" s="717"/>
      <c r="CY1927" s="717"/>
      <c r="CZ1927" s="717"/>
      <c r="DA1927" s="717"/>
      <c r="DB1927" s="717"/>
      <c r="DC1927" s="717"/>
      <c r="DD1927" s="717"/>
      <c r="DE1927" s="717"/>
      <c r="DF1927" s="717"/>
      <c r="DG1927" s="717"/>
      <c r="DH1927" s="717"/>
      <c r="DI1927" s="717"/>
      <c r="DJ1927" s="717"/>
      <c r="DM1927" s="711"/>
      <c r="DN1927" s="711"/>
      <c r="DO1927" s="711"/>
      <c r="DP1927" s="711"/>
      <c r="DQ1927" s="711"/>
    </row>
    <row r="1928" spans="13:121" s="709" customFormat="1" hidden="1">
      <c r="M1928" s="710"/>
      <c r="P1928" s="711"/>
      <c r="Q1928" s="712"/>
      <c r="U1928" s="711"/>
      <c r="V1928" s="711"/>
      <c r="W1928" s="711"/>
      <c r="X1928" s="711"/>
      <c r="Y1928" s="711"/>
      <c r="Z1928" s="711"/>
      <c r="AU1928" s="713"/>
      <c r="AW1928" s="712"/>
      <c r="BY1928" s="714"/>
      <c r="BZ1928" s="715"/>
      <c r="CA1928" s="716"/>
      <c r="CB1928" s="717"/>
      <c r="CC1928" s="717"/>
      <c r="CD1928" s="717"/>
      <c r="CE1928" s="717"/>
      <c r="CF1928" s="717"/>
      <c r="CG1928" s="717"/>
      <c r="CH1928" s="717"/>
      <c r="CI1928" s="717"/>
      <c r="CJ1928" s="717"/>
      <c r="CK1928" s="717"/>
      <c r="CL1928" s="717"/>
      <c r="CM1928" s="717"/>
      <c r="CN1928" s="717"/>
      <c r="CO1928" s="717"/>
      <c r="CP1928" s="717"/>
      <c r="CQ1928" s="717"/>
      <c r="CR1928" s="717"/>
      <c r="CS1928" s="717"/>
      <c r="CT1928" s="717"/>
      <c r="CU1928" s="717"/>
      <c r="CV1928" s="717"/>
      <c r="CW1928" s="717"/>
      <c r="CX1928" s="717"/>
      <c r="CY1928" s="717"/>
      <c r="CZ1928" s="717"/>
      <c r="DA1928" s="717"/>
      <c r="DB1928" s="717"/>
      <c r="DC1928" s="717"/>
      <c r="DD1928" s="717"/>
      <c r="DE1928" s="717"/>
      <c r="DF1928" s="717"/>
      <c r="DG1928" s="717"/>
      <c r="DH1928" s="717"/>
      <c r="DI1928" s="717"/>
      <c r="DJ1928" s="717"/>
      <c r="DM1928" s="711"/>
      <c r="DN1928" s="711"/>
      <c r="DO1928" s="711"/>
      <c r="DP1928" s="711"/>
      <c r="DQ1928" s="711"/>
    </row>
    <row r="1929" spans="13:121" s="709" customFormat="1" hidden="1">
      <c r="M1929" s="710"/>
      <c r="P1929" s="711"/>
      <c r="Q1929" s="712"/>
      <c r="U1929" s="711"/>
      <c r="V1929" s="711"/>
      <c r="W1929" s="711"/>
      <c r="X1929" s="711"/>
      <c r="Y1929" s="711"/>
      <c r="Z1929" s="711"/>
      <c r="AU1929" s="713"/>
      <c r="AW1929" s="712"/>
      <c r="BY1929" s="714"/>
      <c r="BZ1929" s="715"/>
      <c r="CA1929" s="716"/>
      <c r="CB1929" s="717"/>
      <c r="CC1929" s="717"/>
      <c r="CD1929" s="717"/>
      <c r="CE1929" s="717"/>
      <c r="CF1929" s="717"/>
      <c r="CG1929" s="717"/>
      <c r="CH1929" s="717"/>
      <c r="CI1929" s="717"/>
      <c r="CJ1929" s="717"/>
      <c r="CK1929" s="717"/>
      <c r="CL1929" s="717"/>
      <c r="CM1929" s="717"/>
      <c r="CN1929" s="717"/>
      <c r="CO1929" s="717"/>
      <c r="CP1929" s="717"/>
      <c r="CQ1929" s="717"/>
      <c r="CR1929" s="717"/>
      <c r="CS1929" s="717"/>
      <c r="CT1929" s="717"/>
      <c r="CU1929" s="717"/>
      <c r="CV1929" s="717"/>
      <c r="CW1929" s="717"/>
      <c r="CX1929" s="717"/>
      <c r="CY1929" s="717"/>
      <c r="CZ1929" s="717"/>
      <c r="DA1929" s="717"/>
      <c r="DB1929" s="717"/>
      <c r="DC1929" s="717"/>
      <c r="DD1929" s="717"/>
      <c r="DE1929" s="717"/>
      <c r="DF1929" s="717"/>
      <c r="DG1929" s="717"/>
      <c r="DH1929" s="717"/>
      <c r="DI1929" s="717"/>
      <c r="DJ1929" s="717"/>
      <c r="DM1929" s="711"/>
      <c r="DN1929" s="711"/>
      <c r="DO1929" s="711"/>
      <c r="DP1929" s="711"/>
      <c r="DQ1929" s="711"/>
    </row>
    <row r="1930" spans="13:121" s="709" customFormat="1" hidden="1">
      <c r="M1930" s="710"/>
      <c r="P1930" s="711"/>
      <c r="Q1930" s="712"/>
      <c r="U1930" s="711"/>
      <c r="V1930" s="711"/>
      <c r="W1930" s="711"/>
      <c r="X1930" s="711"/>
      <c r="Y1930" s="711"/>
      <c r="Z1930" s="711"/>
      <c r="AU1930" s="713"/>
      <c r="AW1930" s="712"/>
      <c r="BY1930" s="714"/>
      <c r="BZ1930" s="715"/>
      <c r="CA1930" s="716"/>
      <c r="CB1930" s="717"/>
      <c r="CC1930" s="717"/>
      <c r="CD1930" s="717"/>
      <c r="CE1930" s="717"/>
      <c r="CF1930" s="717"/>
      <c r="CG1930" s="717"/>
      <c r="CH1930" s="717"/>
      <c r="CI1930" s="717"/>
      <c r="CJ1930" s="717"/>
      <c r="CK1930" s="717"/>
      <c r="CL1930" s="717"/>
      <c r="CM1930" s="717"/>
      <c r="CN1930" s="717"/>
      <c r="CO1930" s="717"/>
      <c r="CP1930" s="717"/>
      <c r="CQ1930" s="717"/>
      <c r="CR1930" s="717"/>
      <c r="CS1930" s="717"/>
      <c r="CT1930" s="717"/>
      <c r="CU1930" s="717"/>
      <c r="CV1930" s="717"/>
      <c r="CW1930" s="717"/>
      <c r="CX1930" s="717"/>
      <c r="CY1930" s="717"/>
      <c r="CZ1930" s="717"/>
      <c r="DA1930" s="717"/>
      <c r="DB1930" s="717"/>
      <c r="DC1930" s="717"/>
      <c r="DD1930" s="717"/>
      <c r="DE1930" s="717"/>
      <c r="DF1930" s="717"/>
      <c r="DG1930" s="717"/>
      <c r="DH1930" s="717"/>
      <c r="DI1930" s="717"/>
      <c r="DJ1930" s="717"/>
      <c r="DM1930" s="711"/>
      <c r="DN1930" s="711"/>
      <c r="DO1930" s="711"/>
      <c r="DP1930" s="711"/>
      <c r="DQ1930" s="711"/>
    </row>
    <row r="1931" spans="13:121" s="709" customFormat="1" hidden="1">
      <c r="M1931" s="710"/>
      <c r="P1931" s="711"/>
      <c r="Q1931" s="712"/>
      <c r="U1931" s="711"/>
      <c r="V1931" s="711"/>
      <c r="W1931" s="711"/>
      <c r="X1931" s="711"/>
      <c r="Y1931" s="711"/>
      <c r="Z1931" s="711"/>
      <c r="AU1931" s="713"/>
      <c r="AW1931" s="712"/>
      <c r="BY1931" s="714"/>
      <c r="BZ1931" s="715"/>
      <c r="CA1931" s="716"/>
      <c r="CB1931" s="717"/>
      <c r="CC1931" s="717"/>
      <c r="CD1931" s="717"/>
      <c r="CE1931" s="717"/>
      <c r="CF1931" s="717"/>
      <c r="CG1931" s="717"/>
      <c r="CH1931" s="717"/>
      <c r="CI1931" s="717"/>
      <c r="CJ1931" s="717"/>
      <c r="CK1931" s="717"/>
      <c r="CL1931" s="717"/>
      <c r="CM1931" s="717"/>
      <c r="CN1931" s="717"/>
      <c r="CO1931" s="717"/>
      <c r="CP1931" s="717"/>
      <c r="CQ1931" s="717"/>
      <c r="CR1931" s="717"/>
      <c r="CS1931" s="717"/>
      <c r="CT1931" s="717"/>
      <c r="CU1931" s="717"/>
      <c r="CV1931" s="717"/>
      <c r="CW1931" s="717"/>
      <c r="CX1931" s="717"/>
      <c r="CY1931" s="717"/>
      <c r="CZ1931" s="717"/>
      <c r="DA1931" s="717"/>
      <c r="DB1931" s="717"/>
      <c r="DC1931" s="717"/>
      <c r="DD1931" s="717"/>
      <c r="DE1931" s="717"/>
      <c r="DF1931" s="717"/>
      <c r="DG1931" s="717"/>
      <c r="DH1931" s="717"/>
      <c r="DI1931" s="717"/>
      <c r="DJ1931" s="717"/>
      <c r="DM1931" s="711"/>
      <c r="DN1931" s="711"/>
      <c r="DO1931" s="711"/>
      <c r="DP1931" s="711"/>
      <c r="DQ1931" s="711"/>
    </row>
    <row r="1932" spans="13:121" s="709" customFormat="1" hidden="1">
      <c r="M1932" s="710"/>
      <c r="P1932" s="711"/>
      <c r="Q1932" s="712"/>
      <c r="U1932" s="711"/>
      <c r="V1932" s="711"/>
      <c r="W1932" s="711"/>
      <c r="X1932" s="711"/>
      <c r="Y1932" s="711"/>
      <c r="Z1932" s="711"/>
      <c r="AU1932" s="713"/>
      <c r="AW1932" s="712"/>
      <c r="BY1932" s="714"/>
      <c r="BZ1932" s="715"/>
      <c r="CA1932" s="716"/>
      <c r="CB1932" s="717"/>
      <c r="CC1932" s="717"/>
      <c r="CD1932" s="717"/>
      <c r="CE1932" s="717"/>
      <c r="CF1932" s="717"/>
      <c r="CG1932" s="717"/>
      <c r="CH1932" s="717"/>
      <c r="CI1932" s="717"/>
      <c r="CJ1932" s="717"/>
      <c r="CK1932" s="717"/>
      <c r="CL1932" s="717"/>
      <c r="CM1932" s="717"/>
      <c r="CN1932" s="717"/>
      <c r="CO1932" s="717"/>
      <c r="CP1932" s="717"/>
      <c r="CQ1932" s="717"/>
      <c r="CR1932" s="717"/>
      <c r="CS1932" s="717"/>
      <c r="CT1932" s="717"/>
      <c r="CU1932" s="717"/>
      <c r="CV1932" s="717"/>
      <c r="CW1932" s="717"/>
      <c r="CX1932" s="717"/>
      <c r="CY1932" s="717"/>
      <c r="CZ1932" s="717"/>
      <c r="DA1932" s="717"/>
      <c r="DB1932" s="717"/>
      <c r="DC1932" s="717"/>
      <c r="DD1932" s="717"/>
      <c r="DE1932" s="717"/>
      <c r="DF1932" s="717"/>
      <c r="DG1932" s="717"/>
      <c r="DH1932" s="717"/>
      <c r="DI1932" s="717"/>
      <c r="DJ1932" s="717"/>
      <c r="DM1932" s="711"/>
      <c r="DN1932" s="711"/>
      <c r="DO1932" s="711"/>
      <c r="DP1932" s="711"/>
      <c r="DQ1932" s="711"/>
    </row>
    <row r="1933" spans="13:121" s="709" customFormat="1" hidden="1">
      <c r="M1933" s="710"/>
      <c r="P1933" s="711"/>
      <c r="Q1933" s="712"/>
      <c r="U1933" s="711"/>
      <c r="V1933" s="711"/>
      <c r="W1933" s="711"/>
      <c r="X1933" s="711"/>
      <c r="Y1933" s="711"/>
      <c r="Z1933" s="711"/>
      <c r="AU1933" s="713"/>
      <c r="AW1933" s="712"/>
      <c r="BY1933" s="714"/>
      <c r="BZ1933" s="715"/>
      <c r="CA1933" s="716"/>
      <c r="CB1933" s="717"/>
      <c r="CC1933" s="717"/>
      <c r="CD1933" s="717"/>
      <c r="CE1933" s="717"/>
      <c r="CF1933" s="717"/>
      <c r="CG1933" s="717"/>
      <c r="CH1933" s="717"/>
      <c r="CI1933" s="717"/>
      <c r="CJ1933" s="717"/>
      <c r="CK1933" s="717"/>
      <c r="CL1933" s="717"/>
      <c r="CM1933" s="717"/>
      <c r="CN1933" s="717"/>
      <c r="CO1933" s="717"/>
      <c r="CP1933" s="717"/>
      <c r="CQ1933" s="717"/>
      <c r="CR1933" s="717"/>
      <c r="CS1933" s="717"/>
      <c r="CT1933" s="717"/>
      <c r="CU1933" s="717"/>
      <c r="CV1933" s="717"/>
      <c r="CW1933" s="717"/>
      <c r="CX1933" s="717"/>
      <c r="CY1933" s="717"/>
      <c r="CZ1933" s="717"/>
      <c r="DA1933" s="717"/>
      <c r="DB1933" s="717"/>
      <c r="DC1933" s="717"/>
      <c r="DD1933" s="717"/>
      <c r="DE1933" s="717"/>
      <c r="DF1933" s="717"/>
      <c r="DG1933" s="717"/>
      <c r="DH1933" s="717"/>
      <c r="DI1933" s="717"/>
      <c r="DJ1933" s="717"/>
      <c r="DM1933" s="711"/>
      <c r="DN1933" s="711"/>
      <c r="DO1933" s="711"/>
      <c r="DP1933" s="711"/>
      <c r="DQ1933" s="711"/>
    </row>
    <row r="1934" spans="13:121" s="709" customFormat="1" hidden="1">
      <c r="M1934" s="710"/>
      <c r="P1934" s="711"/>
      <c r="Q1934" s="712"/>
      <c r="U1934" s="711"/>
      <c r="V1934" s="711"/>
      <c r="W1934" s="711"/>
      <c r="X1934" s="711"/>
      <c r="Y1934" s="711"/>
      <c r="Z1934" s="711"/>
      <c r="AU1934" s="713"/>
      <c r="AW1934" s="712"/>
      <c r="BY1934" s="714"/>
      <c r="BZ1934" s="715"/>
      <c r="CA1934" s="716"/>
      <c r="CB1934" s="717"/>
      <c r="CC1934" s="717"/>
      <c r="CD1934" s="717"/>
      <c r="CE1934" s="717"/>
      <c r="CF1934" s="717"/>
      <c r="CG1934" s="717"/>
      <c r="CH1934" s="717"/>
      <c r="CI1934" s="717"/>
      <c r="CJ1934" s="717"/>
      <c r="CK1934" s="717"/>
      <c r="CL1934" s="717"/>
      <c r="CM1934" s="717"/>
      <c r="CN1934" s="717"/>
      <c r="CO1934" s="717"/>
      <c r="CP1934" s="717"/>
      <c r="CQ1934" s="717"/>
      <c r="CR1934" s="717"/>
      <c r="CS1934" s="717"/>
      <c r="CT1934" s="717"/>
      <c r="CU1934" s="717"/>
      <c r="CV1934" s="717"/>
      <c r="CW1934" s="717"/>
      <c r="CX1934" s="717"/>
      <c r="CY1934" s="717"/>
      <c r="CZ1934" s="717"/>
      <c r="DA1934" s="717"/>
      <c r="DB1934" s="717"/>
      <c r="DC1934" s="717"/>
      <c r="DD1934" s="717"/>
      <c r="DE1934" s="717"/>
      <c r="DF1934" s="717"/>
      <c r="DG1934" s="717"/>
      <c r="DH1934" s="717"/>
      <c r="DI1934" s="717"/>
      <c r="DJ1934" s="717"/>
      <c r="DM1934" s="711"/>
      <c r="DN1934" s="711"/>
      <c r="DO1934" s="711"/>
      <c r="DP1934" s="711"/>
      <c r="DQ1934" s="711"/>
    </row>
    <row r="1935" spans="13:121" s="709" customFormat="1" hidden="1">
      <c r="M1935" s="710"/>
      <c r="P1935" s="711"/>
      <c r="Q1935" s="712"/>
      <c r="U1935" s="711"/>
      <c r="V1935" s="711"/>
      <c r="W1935" s="711"/>
      <c r="X1935" s="711"/>
      <c r="Y1935" s="711"/>
      <c r="Z1935" s="711"/>
      <c r="AU1935" s="713"/>
      <c r="AW1935" s="712"/>
      <c r="BY1935" s="714"/>
      <c r="BZ1935" s="715"/>
      <c r="CA1935" s="716"/>
      <c r="CB1935" s="717"/>
      <c r="CC1935" s="717"/>
      <c r="CD1935" s="717"/>
      <c r="CE1935" s="717"/>
      <c r="CF1935" s="717"/>
      <c r="CG1935" s="717"/>
      <c r="CH1935" s="717"/>
      <c r="CI1935" s="717"/>
      <c r="CJ1935" s="717"/>
      <c r="CK1935" s="717"/>
      <c r="CL1935" s="717"/>
      <c r="CM1935" s="717"/>
      <c r="CN1935" s="717"/>
      <c r="CO1935" s="717"/>
      <c r="CP1935" s="717"/>
      <c r="CQ1935" s="717"/>
      <c r="CR1935" s="717"/>
      <c r="CS1935" s="717"/>
      <c r="CT1935" s="717"/>
      <c r="CU1935" s="717"/>
      <c r="CV1935" s="717"/>
      <c r="CW1935" s="717"/>
      <c r="CX1935" s="717"/>
      <c r="CY1935" s="717"/>
      <c r="CZ1935" s="717"/>
      <c r="DA1935" s="717"/>
      <c r="DB1935" s="717"/>
      <c r="DC1935" s="717"/>
      <c r="DD1935" s="717"/>
      <c r="DE1935" s="717"/>
      <c r="DF1935" s="717"/>
      <c r="DG1935" s="717"/>
      <c r="DH1935" s="717"/>
      <c r="DI1935" s="717"/>
      <c r="DJ1935" s="717"/>
      <c r="DM1935" s="711"/>
      <c r="DN1935" s="711"/>
      <c r="DO1935" s="711"/>
      <c r="DP1935" s="711"/>
      <c r="DQ1935" s="711"/>
    </row>
    <row r="1936" spans="13:121" s="709" customFormat="1" hidden="1">
      <c r="M1936" s="710"/>
      <c r="P1936" s="711"/>
      <c r="Q1936" s="712"/>
      <c r="U1936" s="711"/>
      <c r="V1936" s="711"/>
      <c r="W1936" s="711"/>
      <c r="X1936" s="711"/>
      <c r="Y1936" s="711"/>
      <c r="Z1936" s="711"/>
      <c r="AU1936" s="713"/>
      <c r="AW1936" s="712"/>
      <c r="BY1936" s="714"/>
      <c r="BZ1936" s="715"/>
      <c r="CA1936" s="716"/>
      <c r="CB1936" s="717"/>
      <c r="CC1936" s="717"/>
      <c r="CD1936" s="717"/>
      <c r="CE1936" s="717"/>
      <c r="CF1936" s="717"/>
      <c r="CG1936" s="717"/>
      <c r="CH1936" s="717"/>
      <c r="CI1936" s="717"/>
      <c r="CJ1936" s="717"/>
      <c r="CK1936" s="717"/>
      <c r="CL1936" s="717"/>
      <c r="CM1936" s="717"/>
      <c r="CN1936" s="717"/>
      <c r="CO1936" s="717"/>
      <c r="CP1936" s="717"/>
      <c r="CQ1936" s="717"/>
      <c r="CR1936" s="717"/>
      <c r="CS1936" s="717"/>
      <c r="CT1936" s="717"/>
      <c r="CU1936" s="717"/>
      <c r="CV1936" s="717"/>
      <c r="CW1936" s="717"/>
      <c r="CX1936" s="717"/>
      <c r="CY1936" s="717"/>
      <c r="CZ1936" s="717"/>
      <c r="DA1936" s="717"/>
      <c r="DB1936" s="717"/>
      <c r="DC1936" s="717"/>
      <c r="DD1936" s="717"/>
      <c r="DE1936" s="717"/>
      <c r="DF1936" s="717"/>
      <c r="DG1936" s="717"/>
      <c r="DH1936" s="717"/>
      <c r="DI1936" s="717"/>
      <c r="DJ1936" s="717"/>
      <c r="DM1936" s="711"/>
      <c r="DN1936" s="711"/>
      <c r="DO1936" s="711"/>
      <c r="DP1936" s="711"/>
      <c r="DQ1936" s="711"/>
    </row>
    <row r="1937" spans="13:121" s="709" customFormat="1" hidden="1">
      <c r="M1937" s="710"/>
      <c r="P1937" s="711"/>
      <c r="Q1937" s="712"/>
      <c r="U1937" s="711"/>
      <c r="V1937" s="711"/>
      <c r="W1937" s="711"/>
      <c r="X1937" s="711"/>
      <c r="Y1937" s="711"/>
      <c r="Z1937" s="711"/>
      <c r="AU1937" s="713"/>
      <c r="AW1937" s="712"/>
      <c r="BY1937" s="714"/>
      <c r="BZ1937" s="715"/>
      <c r="CA1937" s="716"/>
      <c r="CB1937" s="717"/>
      <c r="CC1937" s="717"/>
      <c r="CD1937" s="717"/>
      <c r="CE1937" s="717"/>
      <c r="CF1937" s="717"/>
      <c r="CG1937" s="717"/>
      <c r="CH1937" s="717"/>
      <c r="CI1937" s="717"/>
      <c r="CJ1937" s="717"/>
      <c r="CK1937" s="717"/>
      <c r="CL1937" s="717"/>
      <c r="CM1937" s="717"/>
      <c r="CN1937" s="717"/>
      <c r="CO1937" s="717"/>
      <c r="CP1937" s="717"/>
      <c r="CQ1937" s="717"/>
      <c r="CR1937" s="717"/>
      <c r="CS1937" s="717"/>
      <c r="CT1937" s="717"/>
      <c r="CU1937" s="717"/>
      <c r="CV1937" s="717"/>
      <c r="CW1937" s="717"/>
      <c r="CX1937" s="717"/>
      <c r="CY1937" s="717"/>
      <c r="CZ1937" s="717"/>
      <c r="DA1937" s="717"/>
      <c r="DB1937" s="717"/>
      <c r="DC1937" s="717"/>
      <c r="DD1937" s="717"/>
      <c r="DE1937" s="717"/>
      <c r="DF1937" s="717"/>
      <c r="DG1937" s="717"/>
      <c r="DH1937" s="717"/>
      <c r="DI1937" s="717"/>
      <c r="DJ1937" s="717"/>
      <c r="DM1937" s="711"/>
      <c r="DN1937" s="711"/>
      <c r="DO1937" s="711"/>
      <c r="DP1937" s="711"/>
      <c r="DQ1937" s="711"/>
    </row>
    <row r="1938" spans="13:121" s="709" customFormat="1" hidden="1">
      <c r="M1938" s="710"/>
      <c r="P1938" s="711"/>
      <c r="Q1938" s="712"/>
      <c r="U1938" s="711"/>
      <c r="V1938" s="711"/>
      <c r="W1938" s="711"/>
      <c r="X1938" s="711"/>
      <c r="Y1938" s="711"/>
      <c r="Z1938" s="711"/>
      <c r="AU1938" s="713"/>
      <c r="AW1938" s="712"/>
      <c r="BY1938" s="714"/>
      <c r="BZ1938" s="715"/>
      <c r="CA1938" s="716"/>
      <c r="CB1938" s="717"/>
      <c r="CC1938" s="717"/>
      <c r="CD1938" s="717"/>
      <c r="CE1938" s="717"/>
      <c r="CF1938" s="717"/>
      <c r="CG1938" s="717"/>
      <c r="CH1938" s="717"/>
      <c r="CI1938" s="717"/>
      <c r="CJ1938" s="717"/>
      <c r="CK1938" s="717"/>
      <c r="CL1938" s="717"/>
      <c r="CM1938" s="717"/>
      <c r="CN1938" s="717"/>
      <c r="CO1938" s="717"/>
      <c r="CP1938" s="717"/>
      <c r="CQ1938" s="717"/>
      <c r="CR1938" s="717"/>
      <c r="CS1938" s="717"/>
      <c r="CT1938" s="717"/>
      <c r="CU1938" s="717"/>
      <c r="CV1938" s="717"/>
      <c r="CW1938" s="717"/>
      <c r="CX1938" s="717"/>
      <c r="CY1938" s="717"/>
      <c r="CZ1938" s="717"/>
      <c r="DA1938" s="717"/>
      <c r="DB1938" s="717"/>
      <c r="DC1938" s="717"/>
      <c r="DD1938" s="717"/>
      <c r="DE1938" s="717"/>
      <c r="DF1938" s="717"/>
      <c r="DG1938" s="717"/>
      <c r="DH1938" s="717"/>
      <c r="DI1938" s="717"/>
      <c r="DJ1938" s="717"/>
      <c r="DM1938" s="711"/>
      <c r="DN1938" s="711"/>
      <c r="DO1938" s="711"/>
      <c r="DP1938" s="711"/>
      <c r="DQ1938" s="711"/>
    </row>
    <row r="1939" spans="13:121" s="709" customFormat="1" hidden="1">
      <c r="M1939" s="710"/>
      <c r="P1939" s="711"/>
      <c r="Q1939" s="712"/>
      <c r="U1939" s="711"/>
      <c r="V1939" s="711"/>
      <c r="W1939" s="711"/>
      <c r="X1939" s="711"/>
      <c r="Y1939" s="711"/>
      <c r="Z1939" s="711"/>
      <c r="AU1939" s="713"/>
      <c r="AW1939" s="712"/>
      <c r="BY1939" s="714"/>
      <c r="BZ1939" s="715"/>
      <c r="CA1939" s="716"/>
      <c r="CB1939" s="717"/>
      <c r="CC1939" s="717"/>
      <c r="CD1939" s="717"/>
      <c r="CE1939" s="717"/>
      <c r="CF1939" s="717"/>
      <c r="CG1939" s="717"/>
      <c r="CH1939" s="717"/>
      <c r="CI1939" s="717"/>
      <c r="CJ1939" s="717"/>
      <c r="CK1939" s="717"/>
      <c r="CL1939" s="717"/>
      <c r="CM1939" s="717"/>
      <c r="CN1939" s="717"/>
      <c r="CO1939" s="717"/>
      <c r="CP1939" s="717"/>
      <c r="CQ1939" s="717"/>
      <c r="CR1939" s="717"/>
      <c r="CS1939" s="717"/>
      <c r="CT1939" s="717"/>
      <c r="CU1939" s="717"/>
      <c r="CV1939" s="717"/>
      <c r="CW1939" s="717"/>
      <c r="CX1939" s="717"/>
      <c r="CY1939" s="717"/>
      <c r="CZ1939" s="717"/>
      <c r="DA1939" s="717"/>
      <c r="DB1939" s="717"/>
      <c r="DC1939" s="717"/>
      <c r="DD1939" s="717"/>
      <c r="DE1939" s="717"/>
      <c r="DF1939" s="717"/>
      <c r="DG1939" s="717"/>
      <c r="DH1939" s="717"/>
      <c r="DI1939" s="717"/>
      <c r="DJ1939" s="717"/>
      <c r="DM1939" s="711"/>
      <c r="DN1939" s="711"/>
      <c r="DO1939" s="711"/>
      <c r="DP1939" s="711"/>
      <c r="DQ1939" s="711"/>
    </row>
    <row r="1940" spans="13:121" s="709" customFormat="1" hidden="1">
      <c r="M1940" s="710"/>
      <c r="P1940" s="711"/>
      <c r="Q1940" s="712"/>
      <c r="U1940" s="711"/>
      <c r="V1940" s="711"/>
      <c r="W1940" s="711"/>
      <c r="X1940" s="711"/>
      <c r="Y1940" s="711"/>
      <c r="Z1940" s="711"/>
      <c r="AU1940" s="713"/>
      <c r="AW1940" s="712"/>
      <c r="BY1940" s="714"/>
      <c r="BZ1940" s="715"/>
      <c r="CA1940" s="716"/>
      <c r="CB1940" s="717"/>
      <c r="CC1940" s="717"/>
      <c r="CD1940" s="717"/>
      <c r="CE1940" s="717"/>
      <c r="CF1940" s="717"/>
      <c r="CG1940" s="717"/>
      <c r="CH1940" s="717"/>
      <c r="CI1940" s="717"/>
      <c r="CJ1940" s="717"/>
      <c r="CK1940" s="717"/>
      <c r="CL1940" s="717"/>
      <c r="CM1940" s="717"/>
      <c r="CN1940" s="717"/>
      <c r="CO1940" s="717"/>
      <c r="CP1940" s="717"/>
      <c r="CQ1940" s="717"/>
      <c r="CR1940" s="717"/>
      <c r="CS1940" s="717"/>
      <c r="CT1940" s="717"/>
      <c r="CU1940" s="717"/>
      <c r="CV1940" s="717"/>
      <c r="CW1940" s="717"/>
      <c r="CX1940" s="717"/>
      <c r="CY1940" s="717"/>
      <c r="CZ1940" s="717"/>
      <c r="DA1940" s="717"/>
      <c r="DB1940" s="717"/>
      <c r="DC1940" s="717"/>
      <c r="DD1940" s="717"/>
      <c r="DE1940" s="717"/>
      <c r="DF1940" s="717"/>
      <c r="DG1940" s="717"/>
      <c r="DH1940" s="717"/>
      <c r="DI1940" s="717"/>
      <c r="DJ1940" s="717"/>
      <c r="DM1940" s="711"/>
      <c r="DN1940" s="711"/>
      <c r="DO1940" s="711"/>
      <c r="DP1940" s="711"/>
      <c r="DQ1940" s="711"/>
    </row>
    <row r="1941" spans="13:121" s="709" customFormat="1" hidden="1">
      <c r="M1941" s="710"/>
      <c r="P1941" s="711"/>
      <c r="Q1941" s="712"/>
      <c r="U1941" s="711"/>
      <c r="V1941" s="711"/>
      <c r="W1941" s="711"/>
      <c r="X1941" s="711"/>
      <c r="Y1941" s="711"/>
      <c r="Z1941" s="711"/>
      <c r="AU1941" s="713"/>
      <c r="AW1941" s="712"/>
      <c r="BY1941" s="714"/>
      <c r="BZ1941" s="715"/>
      <c r="CA1941" s="716"/>
      <c r="CB1941" s="717"/>
      <c r="CC1941" s="717"/>
      <c r="CD1941" s="717"/>
      <c r="CE1941" s="717"/>
      <c r="CF1941" s="717"/>
      <c r="CG1941" s="717"/>
      <c r="CH1941" s="717"/>
      <c r="CI1941" s="717"/>
      <c r="CJ1941" s="717"/>
      <c r="CK1941" s="717"/>
      <c r="CL1941" s="717"/>
      <c r="CM1941" s="717"/>
      <c r="CN1941" s="717"/>
      <c r="CO1941" s="717"/>
      <c r="CP1941" s="717"/>
      <c r="CQ1941" s="717"/>
      <c r="CR1941" s="717"/>
      <c r="CS1941" s="717"/>
      <c r="CT1941" s="717"/>
      <c r="CU1941" s="717"/>
      <c r="CV1941" s="717"/>
      <c r="CW1941" s="717"/>
      <c r="CX1941" s="717"/>
      <c r="CY1941" s="717"/>
      <c r="CZ1941" s="717"/>
      <c r="DA1941" s="717"/>
      <c r="DB1941" s="717"/>
      <c r="DC1941" s="717"/>
      <c r="DD1941" s="717"/>
      <c r="DE1941" s="717"/>
      <c r="DF1941" s="717"/>
      <c r="DG1941" s="717"/>
      <c r="DH1941" s="717"/>
      <c r="DI1941" s="717"/>
      <c r="DJ1941" s="717"/>
      <c r="DM1941" s="711"/>
      <c r="DN1941" s="711"/>
      <c r="DO1941" s="711"/>
      <c r="DP1941" s="711"/>
      <c r="DQ1941" s="711"/>
    </row>
    <row r="1942" spans="13:121" s="709" customFormat="1" hidden="1">
      <c r="M1942" s="710"/>
      <c r="P1942" s="711"/>
      <c r="Q1942" s="712"/>
      <c r="U1942" s="711"/>
      <c r="V1942" s="711"/>
      <c r="W1942" s="711"/>
      <c r="X1942" s="711"/>
      <c r="Y1942" s="711"/>
      <c r="Z1942" s="711"/>
      <c r="AU1942" s="713"/>
      <c r="AW1942" s="712"/>
      <c r="BY1942" s="714"/>
      <c r="BZ1942" s="715"/>
      <c r="CA1942" s="716"/>
      <c r="CB1942" s="717"/>
      <c r="CC1942" s="717"/>
      <c r="CD1942" s="717"/>
      <c r="CE1942" s="717"/>
      <c r="CF1942" s="717"/>
      <c r="CG1942" s="717"/>
      <c r="CH1942" s="717"/>
      <c r="CI1942" s="717"/>
      <c r="CJ1942" s="717"/>
      <c r="CK1942" s="717"/>
      <c r="CL1942" s="717"/>
      <c r="CM1942" s="717"/>
      <c r="CN1942" s="717"/>
      <c r="CO1942" s="717"/>
      <c r="CP1942" s="717"/>
      <c r="CQ1942" s="717"/>
      <c r="CR1942" s="717"/>
      <c r="CS1942" s="717"/>
      <c r="CT1942" s="717"/>
      <c r="CU1942" s="717"/>
      <c r="CV1942" s="717"/>
      <c r="CW1942" s="717"/>
      <c r="CX1942" s="717"/>
      <c r="CY1942" s="717"/>
      <c r="CZ1942" s="717"/>
      <c r="DA1942" s="717"/>
      <c r="DB1942" s="717"/>
      <c r="DC1942" s="717"/>
      <c r="DD1942" s="717"/>
      <c r="DE1942" s="717"/>
      <c r="DF1942" s="717"/>
      <c r="DG1942" s="717"/>
      <c r="DH1942" s="717"/>
      <c r="DI1942" s="717"/>
      <c r="DJ1942" s="717"/>
      <c r="DM1942" s="711"/>
      <c r="DN1942" s="711"/>
      <c r="DO1942" s="711"/>
      <c r="DP1942" s="711"/>
      <c r="DQ1942" s="711"/>
    </row>
    <row r="1943" spans="13:121" s="709" customFormat="1" hidden="1">
      <c r="M1943" s="710"/>
      <c r="P1943" s="711"/>
      <c r="Q1943" s="712"/>
      <c r="U1943" s="711"/>
      <c r="V1943" s="711"/>
      <c r="W1943" s="711"/>
      <c r="X1943" s="711"/>
      <c r="Y1943" s="711"/>
      <c r="Z1943" s="711"/>
      <c r="AU1943" s="713"/>
      <c r="AW1943" s="712"/>
      <c r="BY1943" s="714"/>
      <c r="BZ1943" s="715"/>
      <c r="CA1943" s="716"/>
      <c r="CB1943" s="717"/>
      <c r="CC1943" s="717"/>
      <c r="CD1943" s="717"/>
      <c r="CE1943" s="717"/>
      <c r="CF1943" s="717"/>
      <c r="CG1943" s="717"/>
      <c r="CH1943" s="717"/>
      <c r="CI1943" s="717"/>
      <c r="CJ1943" s="717"/>
      <c r="CK1943" s="717"/>
      <c r="CL1943" s="717"/>
      <c r="CM1943" s="717"/>
      <c r="CN1943" s="717"/>
      <c r="CO1943" s="717"/>
      <c r="CP1943" s="717"/>
      <c r="CQ1943" s="717"/>
      <c r="CR1943" s="717"/>
      <c r="CS1943" s="717"/>
      <c r="CT1943" s="717"/>
      <c r="CU1943" s="717"/>
      <c r="CV1943" s="717"/>
      <c r="CW1943" s="717"/>
      <c r="CX1943" s="717"/>
      <c r="CY1943" s="717"/>
      <c r="CZ1943" s="717"/>
      <c r="DA1943" s="717"/>
      <c r="DB1943" s="717"/>
      <c r="DC1943" s="717"/>
      <c r="DD1943" s="717"/>
      <c r="DE1943" s="717"/>
      <c r="DF1943" s="717"/>
      <c r="DG1943" s="717"/>
      <c r="DH1943" s="717"/>
      <c r="DI1943" s="717"/>
      <c r="DJ1943" s="717"/>
      <c r="DM1943" s="711"/>
      <c r="DN1943" s="711"/>
      <c r="DO1943" s="711"/>
      <c r="DP1943" s="711"/>
      <c r="DQ1943" s="711"/>
    </row>
    <row r="1944" spans="13:121" s="709" customFormat="1" hidden="1">
      <c r="M1944" s="710"/>
      <c r="P1944" s="711"/>
      <c r="Q1944" s="712"/>
      <c r="U1944" s="711"/>
      <c r="V1944" s="711"/>
      <c r="W1944" s="711"/>
      <c r="X1944" s="711"/>
      <c r="Y1944" s="711"/>
      <c r="Z1944" s="711"/>
      <c r="AU1944" s="713"/>
      <c r="AW1944" s="712"/>
      <c r="BY1944" s="714"/>
      <c r="BZ1944" s="715"/>
      <c r="CA1944" s="716"/>
      <c r="CB1944" s="717"/>
      <c r="CC1944" s="717"/>
      <c r="CD1944" s="717"/>
      <c r="CE1944" s="717"/>
      <c r="CF1944" s="717"/>
      <c r="CG1944" s="717"/>
      <c r="CH1944" s="717"/>
      <c r="CI1944" s="717"/>
      <c r="CJ1944" s="717"/>
      <c r="CK1944" s="717"/>
      <c r="CL1944" s="717"/>
      <c r="CM1944" s="717"/>
      <c r="CN1944" s="717"/>
      <c r="CO1944" s="717"/>
      <c r="CP1944" s="717"/>
      <c r="CQ1944" s="717"/>
      <c r="CR1944" s="717"/>
      <c r="CS1944" s="717"/>
      <c r="CT1944" s="717"/>
      <c r="CU1944" s="717"/>
      <c r="CV1944" s="717"/>
      <c r="CW1944" s="717"/>
      <c r="CX1944" s="717"/>
      <c r="CY1944" s="717"/>
      <c r="CZ1944" s="717"/>
      <c r="DA1944" s="717"/>
      <c r="DB1944" s="717"/>
      <c r="DC1944" s="717"/>
      <c r="DD1944" s="717"/>
      <c r="DE1944" s="717"/>
      <c r="DF1944" s="717"/>
      <c r="DG1944" s="717"/>
      <c r="DH1944" s="717"/>
      <c r="DI1944" s="717"/>
      <c r="DJ1944" s="717"/>
      <c r="DM1944" s="711"/>
      <c r="DN1944" s="711"/>
      <c r="DO1944" s="711"/>
      <c r="DP1944" s="711"/>
      <c r="DQ1944" s="711"/>
    </row>
    <row r="1945" spans="13:121" s="709" customFormat="1" hidden="1">
      <c r="M1945" s="710"/>
      <c r="P1945" s="711"/>
      <c r="Q1945" s="712"/>
      <c r="U1945" s="711"/>
      <c r="V1945" s="711"/>
      <c r="W1945" s="711"/>
      <c r="X1945" s="711"/>
      <c r="Y1945" s="711"/>
      <c r="Z1945" s="711"/>
      <c r="AU1945" s="713"/>
      <c r="AW1945" s="712"/>
      <c r="BY1945" s="714"/>
      <c r="BZ1945" s="715"/>
      <c r="CA1945" s="716"/>
      <c r="CB1945" s="717"/>
      <c r="CC1945" s="717"/>
      <c r="CD1945" s="717"/>
      <c r="CE1945" s="717"/>
      <c r="CF1945" s="717"/>
      <c r="CG1945" s="717"/>
      <c r="CH1945" s="717"/>
      <c r="CI1945" s="717"/>
      <c r="CJ1945" s="717"/>
      <c r="CK1945" s="717"/>
      <c r="CL1945" s="717"/>
      <c r="CM1945" s="717"/>
      <c r="CN1945" s="717"/>
      <c r="CO1945" s="717"/>
      <c r="CP1945" s="717"/>
      <c r="CQ1945" s="717"/>
      <c r="CR1945" s="717"/>
      <c r="CS1945" s="717"/>
      <c r="CT1945" s="717"/>
      <c r="CU1945" s="717"/>
      <c r="CV1945" s="717"/>
      <c r="CW1945" s="717"/>
      <c r="CX1945" s="717"/>
      <c r="CY1945" s="717"/>
      <c r="CZ1945" s="717"/>
      <c r="DA1945" s="717"/>
      <c r="DB1945" s="717"/>
      <c r="DC1945" s="717"/>
      <c r="DD1945" s="717"/>
      <c r="DE1945" s="717"/>
      <c r="DF1945" s="717"/>
      <c r="DG1945" s="717"/>
      <c r="DH1945" s="717"/>
      <c r="DI1945" s="717"/>
      <c r="DJ1945" s="717"/>
      <c r="DM1945" s="711"/>
      <c r="DN1945" s="711"/>
      <c r="DO1945" s="711"/>
      <c r="DP1945" s="711"/>
      <c r="DQ1945" s="711"/>
    </row>
    <row r="1946" spans="13:121" s="709" customFormat="1" hidden="1">
      <c r="M1946" s="710"/>
      <c r="P1946" s="711"/>
      <c r="Q1946" s="712"/>
      <c r="U1946" s="711"/>
      <c r="V1946" s="711"/>
      <c r="W1946" s="711"/>
      <c r="X1946" s="711"/>
      <c r="Y1946" s="711"/>
      <c r="Z1946" s="711"/>
      <c r="AU1946" s="713"/>
      <c r="AW1946" s="712"/>
      <c r="BY1946" s="714"/>
      <c r="BZ1946" s="715"/>
      <c r="CA1946" s="716"/>
      <c r="CB1946" s="717"/>
      <c r="CC1946" s="717"/>
      <c r="CD1946" s="717"/>
      <c r="CE1946" s="717"/>
      <c r="CF1946" s="717"/>
      <c r="CG1946" s="717"/>
      <c r="CH1946" s="717"/>
      <c r="CI1946" s="717"/>
      <c r="CJ1946" s="717"/>
      <c r="CK1946" s="717"/>
      <c r="CL1946" s="717"/>
      <c r="CM1946" s="717"/>
      <c r="CN1946" s="717"/>
      <c r="CO1946" s="717"/>
      <c r="CP1946" s="717"/>
      <c r="CQ1946" s="717"/>
      <c r="CR1946" s="717"/>
      <c r="CS1946" s="717"/>
      <c r="CT1946" s="717"/>
      <c r="CU1946" s="717"/>
      <c r="CV1946" s="717"/>
      <c r="CW1946" s="717"/>
      <c r="CX1946" s="717"/>
      <c r="CY1946" s="717"/>
      <c r="CZ1946" s="717"/>
      <c r="DA1946" s="717"/>
      <c r="DB1946" s="717"/>
      <c r="DC1946" s="717"/>
      <c r="DD1946" s="717"/>
      <c r="DE1946" s="717"/>
      <c r="DF1946" s="717"/>
      <c r="DG1946" s="717"/>
      <c r="DH1946" s="717"/>
      <c r="DI1946" s="717"/>
      <c r="DJ1946" s="717"/>
      <c r="DM1946" s="711"/>
      <c r="DN1946" s="711"/>
      <c r="DO1946" s="711"/>
      <c r="DP1946" s="711"/>
      <c r="DQ1946" s="711"/>
    </row>
    <row r="1947" spans="13:121" s="709" customFormat="1" hidden="1">
      <c r="M1947" s="710"/>
      <c r="P1947" s="711"/>
      <c r="Q1947" s="712"/>
      <c r="U1947" s="711"/>
      <c r="V1947" s="711"/>
      <c r="W1947" s="711"/>
      <c r="X1947" s="711"/>
      <c r="Y1947" s="711"/>
      <c r="Z1947" s="711"/>
      <c r="AU1947" s="713"/>
      <c r="AW1947" s="712"/>
      <c r="BY1947" s="714"/>
      <c r="BZ1947" s="715"/>
      <c r="CA1947" s="716"/>
      <c r="CB1947" s="717"/>
      <c r="CC1947" s="717"/>
      <c r="CD1947" s="717"/>
      <c r="CE1947" s="717"/>
      <c r="CF1947" s="717"/>
      <c r="CG1947" s="717"/>
      <c r="CH1947" s="717"/>
      <c r="CI1947" s="717"/>
      <c r="CJ1947" s="717"/>
      <c r="CK1947" s="717"/>
      <c r="CL1947" s="717"/>
      <c r="CM1947" s="717"/>
      <c r="CN1947" s="717"/>
      <c r="CO1947" s="717"/>
      <c r="CP1947" s="717"/>
      <c r="CQ1947" s="717"/>
      <c r="CR1947" s="717"/>
      <c r="CS1947" s="717"/>
      <c r="CT1947" s="717"/>
      <c r="CU1947" s="717"/>
      <c r="CV1947" s="717"/>
      <c r="CW1947" s="717"/>
      <c r="CX1947" s="717"/>
      <c r="CY1947" s="717"/>
      <c r="CZ1947" s="717"/>
      <c r="DA1947" s="717"/>
      <c r="DB1947" s="717"/>
      <c r="DC1947" s="717"/>
      <c r="DD1947" s="717"/>
      <c r="DE1947" s="717"/>
      <c r="DF1947" s="717"/>
      <c r="DG1947" s="717"/>
      <c r="DH1947" s="717"/>
      <c r="DI1947" s="717"/>
      <c r="DJ1947" s="717"/>
      <c r="DM1947" s="711"/>
      <c r="DN1947" s="711"/>
      <c r="DO1947" s="711"/>
      <c r="DP1947" s="711"/>
      <c r="DQ1947" s="711"/>
    </row>
    <row r="1948" spans="13:121" s="709" customFormat="1" hidden="1">
      <c r="M1948" s="710"/>
      <c r="P1948" s="711"/>
      <c r="Q1948" s="712"/>
      <c r="U1948" s="711"/>
      <c r="V1948" s="711"/>
      <c r="W1948" s="711"/>
      <c r="X1948" s="711"/>
      <c r="Y1948" s="711"/>
      <c r="Z1948" s="711"/>
      <c r="AU1948" s="713"/>
      <c r="AW1948" s="712"/>
      <c r="BY1948" s="714"/>
      <c r="BZ1948" s="715"/>
      <c r="CA1948" s="716"/>
      <c r="CB1948" s="717"/>
      <c r="CC1948" s="717"/>
      <c r="CD1948" s="717"/>
      <c r="CE1948" s="717"/>
      <c r="CF1948" s="717"/>
      <c r="CG1948" s="717"/>
      <c r="CH1948" s="717"/>
      <c r="CI1948" s="717"/>
      <c r="CJ1948" s="717"/>
      <c r="CK1948" s="717"/>
      <c r="CL1948" s="717"/>
      <c r="CM1948" s="717"/>
      <c r="CN1948" s="717"/>
      <c r="CO1948" s="717"/>
      <c r="CP1948" s="717"/>
      <c r="CQ1948" s="717"/>
      <c r="CR1948" s="717"/>
      <c r="CS1948" s="717"/>
      <c r="CT1948" s="717"/>
      <c r="CU1948" s="717"/>
      <c r="CV1948" s="717"/>
      <c r="CW1948" s="717"/>
      <c r="CX1948" s="717"/>
      <c r="CY1948" s="717"/>
      <c r="CZ1948" s="717"/>
      <c r="DA1948" s="717"/>
      <c r="DB1948" s="717"/>
      <c r="DC1948" s="717"/>
      <c r="DD1948" s="717"/>
      <c r="DE1948" s="717"/>
      <c r="DF1948" s="717"/>
      <c r="DG1948" s="717"/>
      <c r="DH1948" s="717"/>
      <c r="DI1948" s="717"/>
      <c r="DJ1948" s="717"/>
      <c r="DM1948" s="711"/>
      <c r="DN1948" s="711"/>
      <c r="DO1948" s="711"/>
      <c r="DP1948" s="711"/>
      <c r="DQ1948" s="711"/>
    </row>
    <row r="1949" spans="13:121" s="709" customFormat="1" hidden="1">
      <c r="M1949" s="710"/>
      <c r="P1949" s="711"/>
      <c r="Q1949" s="712"/>
      <c r="U1949" s="711"/>
      <c r="V1949" s="711"/>
      <c r="W1949" s="711"/>
      <c r="X1949" s="711"/>
      <c r="Y1949" s="711"/>
      <c r="Z1949" s="711"/>
      <c r="AU1949" s="713"/>
      <c r="AW1949" s="712"/>
      <c r="BY1949" s="714"/>
      <c r="BZ1949" s="715"/>
      <c r="CA1949" s="716"/>
      <c r="CB1949" s="717"/>
      <c r="CC1949" s="717"/>
      <c r="CD1949" s="717"/>
      <c r="CE1949" s="717"/>
      <c r="CF1949" s="717"/>
      <c r="CG1949" s="717"/>
      <c r="CH1949" s="717"/>
      <c r="CI1949" s="717"/>
      <c r="CJ1949" s="717"/>
      <c r="CK1949" s="717"/>
      <c r="CL1949" s="717"/>
      <c r="CM1949" s="717"/>
      <c r="CN1949" s="717"/>
      <c r="CO1949" s="717"/>
      <c r="CP1949" s="717"/>
      <c r="CQ1949" s="717"/>
      <c r="CR1949" s="717"/>
      <c r="CS1949" s="717"/>
      <c r="CT1949" s="717"/>
      <c r="CU1949" s="717"/>
      <c r="CV1949" s="717"/>
      <c r="CW1949" s="717"/>
      <c r="CX1949" s="717"/>
      <c r="CY1949" s="717"/>
      <c r="CZ1949" s="717"/>
      <c r="DA1949" s="717"/>
      <c r="DB1949" s="717"/>
      <c r="DC1949" s="717"/>
      <c r="DD1949" s="717"/>
      <c r="DE1949" s="717"/>
      <c r="DF1949" s="717"/>
      <c r="DG1949" s="717"/>
      <c r="DH1949" s="717"/>
      <c r="DI1949" s="717"/>
      <c r="DJ1949" s="717"/>
      <c r="DM1949" s="711"/>
      <c r="DN1949" s="711"/>
      <c r="DO1949" s="711"/>
      <c r="DP1949" s="711"/>
      <c r="DQ1949" s="711"/>
    </row>
    <row r="1950" spans="13:121" s="709" customFormat="1" hidden="1">
      <c r="M1950" s="710"/>
      <c r="P1950" s="711"/>
      <c r="Q1950" s="712"/>
      <c r="U1950" s="711"/>
      <c r="V1950" s="711"/>
      <c r="W1950" s="711"/>
      <c r="X1950" s="711"/>
      <c r="Y1950" s="711"/>
      <c r="Z1950" s="711"/>
      <c r="AU1950" s="713"/>
      <c r="AW1950" s="712"/>
      <c r="BY1950" s="714"/>
      <c r="BZ1950" s="715"/>
      <c r="CA1950" s="716"/>
      <c r="CB1950" s="717"/>
      <c r="CC1950" s="717"/>
      <c r="CD1950" s="717"/>
      <c r="CE1950" s="717"/>
      <c r="CF1950" s="717"/>
      <c r="CG1950" s="717"/>
      <c r="CH1950" s="717"/>
      <c r="CI1950" s="717"/>
      <c r="CJ1950" s="717"/>
      <c r="CK1950" s="717"/>
      <c r="CL1950" s="717"/>
      <c r="CM1950" s="717"/>
      <c r="CN1950" s="717"/>
      <c r="CO1950" s="717"/>
      <c r="CP1950" s="717"/>
      <c r="CQ1950" s="717"/>
      <c r="CR1950" s="717"/>
      <c r="CS1950" s="717"/>
      <c r="CT1950" s="717"/>
      <c r="CU1950" s="717"/>
      <c r="CV1950" s="717"/>
      <c r="CW1950" s="717"/>
      <c r="CX1950" s="717"/>
      <c r="CY1950" s="717"/>
      <c r="CZ1950" s="717"/>
      <c r="DA1950" s="717"/>
      <c r="DB1950" s="717"/>
      <c r="DC1950" s="717"/>
      <c r="DD1950" s="717"/>
      <c r="DE1950" s="717"/>
      <c r="DF1950" s="717"/>
      <c r="DG1950" s="717"/>
      <c r="DH1950" s="717"/>
      <c r="DI1950" s="717"/>
      <c r="DJ1950" s="717"/>
      <c r="DM1950" s="711"/>
      <c r="DN1950" s="711"/>
      <c r="DO1950" s="711"/>
      <c r="DP1950" s="711"/>
      <c r="DQ1950" s="711"/>
    </row>
    <row r="1951" spans="13:121" s="709" customFormat="1" hidden="1">
      <c r="M1951" s="710"/>
      <c r="P1951" s="711"/>
      <c r="Q1951" s="712"/>
      <c r="U1951" s="711"/>
      <c r="V1951" s="711"/>
      <c r="W1951" s="711"/>
      <c r="X1951" s="711"/>
      <c r="Y1951" s="711"/>
      <c r="Z1951" s="711"/>
      <c r="AU1951" s="713"/>
      <c r="AW1951" s="712"/>
      <c r="BY1951" s="714"/>
      <c r="BZ1951" s="715"/>
      <c r="CA1951" s="716"/>
      <c r="CB1951" s="717"/>
      <c r="CC1951" s="717"/>
      <c r="CD1951" s="717"/>
      <c r="CE1951" s="717"/>
      <c r="CF1951" s="717"/>
      <c r="CG1951" s="717"/>
      <c r="CH1951" s="717"/>
      <c r="CI1951" s="717"/>
      <c r="CJ1951" s="717"/>
      <c r="CK1951" s="717"/>
      <c r="CL1951" s="717"/>
      <c r="CM1951" s="717"/>
      <c r="CN1951" s="717"/>
      <c r="CO1951" s="717"/>
      <c r="CP1951" s="717"/>
      <c r="CQ1951" s="717"/>
      <c r="CR1951" s="717"/>
      <c r="CS1951" s="717"/>
      <c r="CT1951" s="717"/>
      <c r="CU1951" s="717"/>
      <c r="CV1951" s="717"/>
      <c r="CW1951" s="717"/>
      <c r="CX1951" s="717"/>
      <c r="CY1951" s="717"/>
      <c r="CZ1951" s="717"/>
      <c r="DA1951" s="717"/>
      <c r="DB1951" s="717"/>
      <c r="DC1951" s="717"/>
      <c r="DD1951" s="717"/>
      <c r="DE1951" s="717"/>
      <c r="DF1951" s="717"/>
      <c r="DG1951" s="717"/>
      <c r="DH1951" s="717"/>
      <c r="DI1951" s="717"/>
      <c r="DJ1951" s="717"/>
      <c r="DM1951" s="711"/>
      <c r="DN1951" s="711"/>
      <c r="DO1951" s="711"/>
      <c r="DP1951" s="711"/>
      <c r="DQ1951" s="711"/>
    </row>
    <row r="1952" spans="13:121" s="709" customFormat="1" hidden="1">
      <c r="M1952" s="710"/>
      <c r="P1952" s="711"/>
      <c r="Q1952" s="712"/>
      <c r="U1952" s="711"/>
      <c r="V1952" s="711"/>
      <c r="W1952" s="711"/>
      <c r="X1952" s="711"/>
      <c r="Y1952" s="711"/>
      <c r="Z1952" s="711"/>
      <c r="AU1952" s="713"/>
      <c r="AW1952" s="712"/>
      <c r="BY1952" s="714"/>
      <c r="BZ1952" s="715"/>
      <c r="CA1952" s="716"/>
      <c r="CB1952" s="717"/>
      <c r="CC1952" s="717"/>
      <c r="CD1952" s="717"/>
      <c r="CE1952" s="717"/>
      <c r="CF1952" s="717"/>
      <c r="CG1952" s="717"/>
      <c r="CH1952" s="717"/>
      <c r="CI1952" s="717"/>
      <c r="CJ1952" s="717"/>
      <c r="CK1952" s="717"/>
      <c r="CL1952" s="717"/>
      <c r="CM1952" s="717"/>
      <c r="CN1952" s="717"/>
      <c r="CO1952" s="717"/>
      <c r="CP1952" s="717"/>
      <c r="CQ1952" s="717"/>
      <c r="CR1952" s="717"/>
      <c r="CS1952" s="717"/>
      <c r="CT1952" s="717"/>
      <c r="CU1952" s="717"/>
      <c r="CV1952" s="717"/>
      <c r="CW1952" s="717"/>
      <c r="CX1952" s="717"/>
      <c r="CY1952" s="717"/>
      <c r="CZ1952" s="717"/>
      <c r="DA1952" s="717"/>
      <c r="DB1952" s="717"/>
      <c r="DC1952" s="717"/>
      <c r="DD1952" s="717"/>
      <c r="DE1952" s="717"/>
      <c r="DF1952" s="717"/>
      <c r="DG1952" s="717"/>
      <c r="DH1952" s="717"/>
      <c r="DI1952" s="717"/>
      <c r="DJ1952" s="717"/>
      <c r="DM1952" s="711"/>
      <c r="DN1952" s="711"/>
      <c r="DO1952" s="711"/>
      <c r="DP1952" s="711"/>
      <c r="DQ1952" s="711"/>
    </row>
    <row r="1953" spans="13:121" s="709" customFormat="1" hidden="1">
      <c r="M1953" s="710"/>
      <c r="P1953" s="711"/>
      <c r="Q1953" s="712"/>
      <c r="U1953" s="711"/>
      <c r="V1953" s="711"/>
      <c r="W1953" s="711"/>
      <c r="X1953" s="711"/>
      <c r="Y1953" s="711"/>
      <c r="Z1953" s="711"/>
      <c r="AU1953" s="713"/>
      <c r="AW1953" s="712"/>
      <c r="BY1953" s="714"/>
      <c r="BZ1953" s="715"/>
      <c r="CA1953" s="716"/>
      <c r="CB1953" s="717"/>
      <c r="CC1953" s="717"/>
      <c r="CD1953" s="717"/>
      <c r="CE1953" s="717"/>
      <c r="CF1953" s="717"/>
      <c r="CG1953" s="717"/>
      <c r="CH1953" s="717"/>
      <c r="CI1953" s="717"/>
      <c r="CJ1953" s="717"/>
      <c r="CK1953" s="717"/>
      <c r="CL1953" s="717"/>
      <c r="CM1953" s="717"/>
      <c r="CN1953" s="717"/>
      <c r="CO1953" s="717"/>
      <c r="CP1953" s="717"/>
      <c r="CQ1953" s="717"/>
      <c r="CR1953" s="717"/>
      <c r="CS1953" s="717"/>
      <c r="CT1953" s="717"/>
      <c r="CU1953" s="717"/>
      <c r="CV1953" s="717"/>
      <c r="CW1953" s="717"/>
      <c r="CX1953" s="717"/>
      <c r="CY1953" s="717"/>
      <c r="CZ1953" s="717"/>
      <c r="DA1953" s="717"/>
      <c r="DB1953" s="717"/>
      <c r="DC1953" s="717"/>
      <c r="DD1953" s="717"/>
      <c r="DE1953" s="717"/>
      <c r="DF1953" s="717"/>
      <c r="DG1953" s="717"/>
      <c r="DH1953" s="717"/>
      <c r="DI1953" s="717"/>
      <c r="DJ1953" s="717"/>
      <c r="DM1953" s="711"/>
      <c r="DN1953" s="711"/>
      <c r="DO1953" s="711"/>
      <c r="DP1953" s="711"/>
      <c r="DQ1953" s="711"/>
    </row>
    <row r="1954" spans="13:121" s="709" customFormat="1" hidden="1">
      <c r="M1954" s="710"/>
      <c r="P1954" s="711"/>
      <c r="Q1954" s="712"/>
      <c r="U1954" s="711"/>
      <c r="V1954" s="711"/>
      <c r="W1954" s="711"/>
      <c r="X1954" s="711"/>
      <c r="Y1954" s="711"/>
      <c r="Z1954" s="711"/>
      <c r="AU1954" s="713"/>
      <c r="AW1954" s="712"/>
      <c r="BY1954" s="714"/>
      <c r="BZ1954" s="715"/>
      <c r="CA1954" s="716"/>
      <c r="CB1954" s="717"/>
      <c r="CC1954" s="717"/>
      <c r="CD1954" s="717"/>
      <c r="CE1954" s="717"/>
      <c r="CF1954" s="717"/>
      <c r="CG1954" s="717"/>
      <c r="CH1954" s="717"/>
      <c r="CI1954" s="717"/>
      <c r="CJ1954" s="717"/>
      <c r="CK1954" s="717"/>
      <c r="CL1954" s="717"/>
      <c r="CM1954" s="717"/>
      <c r="CN1954" s="717"/>
      <c r="CO1954" s="717"/>
      <c r="CP1954" s="717"/>
      <c r="CQ1954" s="717"/>
      <c r="CR1954" s="717"/>
      <c r="CS1954" s="717"/>
      <c r="CT1954" s="717"/>
      <c r="CU1954" s="717"/>
      <c r="CV1954" s="717"/>
      <c r="CW1954" s="717"/>
      <c r="CX1954" s="717"/>
      <c r="CY1954" s="717"/>
      <c r="CZ1954" s="717"/>
      <c r="DA1954" s="717"/>
      <c r="DB1954" s="717"/>
      <c r="DC1954" s="717"/>
      <c r="DD1954" s="717"/>
      <c r="DE1954" s="717"/>
      <c r="DF1954" s="717"/>
      <c r="DG1954" s="717"/>
      <c r="DH1954" s="717"/>
      <c r="DI1954" s="717"/>
      <c r="DJ1954" s="717"/>
      <c r="DM1954" s="711"/>
      <c r="DN1954" s="711"/>
      <c r="DO1954" s="711"/>
      <c r="DP1954" s="711"/>
      <c r="DQ1954" s="711"/>
    </row>
    <row r="1955" spans="13:121" s="709" customFormat="1" hidden="1">
      <c r="M1955" s="710"/>
      <c r="P1955" s="711"/>
      <c r="Q1955" s="712"/>
      <c r="U1955" s="711"/>
      <c r="V1955" s="711"/>
      <c r="W1955" s="711"/>
      <c r="X1955" s="711"/>
      <c r="Y1955" s="711"/>
      <c r="Z1955" s="711"/>
      <c r="AU1955" s="713"/>
      <c r="AW1955" s="712"/>
      <c r="BY1955" s="714"/>
      <c r="BZ1955" s="715"/>
      <c r="CA1955" s="716"/>
      <c r="CB1955" s="717"/>
      <c r="CC1955" s="717"/>
      <c r="CD1955" s="717"/>
      <c r="CE1955" s="717"/>
      <c r="CF1955" s="717"/>
      <c r="CG1955" s="717"/>
      <c r="CH1955" s="717"/>
      <c r="CI1955" s="717"/>
      <c r="CJ1955" s="717"/>
      <c r="CK1955" s="717"/>
      <c r="CL1955" s="717"/>
      <c r="CM1955" s="717"/>
      <c r="CN1955" s="717"/>
      <c r="CO1955" s="717"/>
      <c r="CP1955" s="717"/>
      <c r="CQ1955" s="717"/>
      <c r="CR1955" s="717"/>
      <c r="CS1955" s="717"/>
      <c r="CT1955" s="717"/>
      <c r="CU1955" s="717"/>
      <c r="CV1955" s="717"/>
      <c r="CW1955" s="717"/>
      <c r="CX1955" s="717"/>
      <c r="CY1955" s="717"/>
      <c r="CZ1955" s="717"/>
      <c r="DA1955" s="717"/>
      <c r="DB1955" s="717"/>
      <c r="DC1955" s="717"/>
      <c r="DD1955" s="717"/>
      <c r="DE1955" s="717"/>
      <c r="DF1955" s="717"/>
      <c r="DG1955" s="717"/>
      <c r="DH1955" s="717"/>
      <c r="DI1955" s="717"/>
      <c r="DJ1955" s="717"/>
      <c r="DM1955" s="711"/>
      <c r="DN1955" s="711"/>
      <c r="DO1955" s="711"/>
      <c r="DP1955" s="711"/>
      <c r="DQ1955" s="711"/>
    </row>
    <row r="1956" spans="13:121" s="709" customFormat="1" hidden="1">
      <c r="M1956" s="710"/>
      <c r="P1956" s="711"/>
      <c r="Q1956" s="712"/>
      <c r="U1956" s="711"/>
      <c r="V1956" s="711"/>
      <c r="W1956" s="711"/>
      <c r="X1956" s="711"/>
      <c r="Y1956" s="711"/>
      <c r="Z1956" s="711"/>
      <c r="AU1956" s="713"/>
      <c r="AW1956" s="712"/>
      <c r="BY1956" s="714"/>
      <c r="BZ1956" s="715"/>
      <c r="CA1956" s="716"/>
      <c r="CB1956" s="717"/>
      <c r="CC1956" s="717"/>
      <c r="CD1956" s="717"/>
      <c r="CE1956" s="717"/>
      <c r="CF1956" s="717"/>
      <c r="CG1956" s="717"/>
      <c r="CH1956" s="717"/>
      <c r="CI1956" s="717"/>
      <c r="CJ1956" s="717"/>
      <c r="CK1956" s="717"/>
      <c r="CL1956" s="717"/>
      <c r="CM1956" s="717"/>
      <c r="CN1956" s="717"/>
      <c r="CO1956" s="717"/>
      <c r="CP1956" s="717"/>
      <c r="CQ1956" s="717"/>
      <c r="CR1956" s="717"/>
      <c r="CS1956" s="717"/>
      <c r="CT1956" s="717"/>
      <c r="CU1956" s="717"/>
      <c r="CV1956" s="717"/>
      <c r="CW1956" s="717"/>
      <c r="CX1956" s="717"/>
      <c r="CY1956" s="717"/>
      <c r="CZ1956" s="717"/>
      <c r="DA1956" s="717"/>
      <c r="DB1956" s="717"/>
      <c r="DC1956" s="717"/>
      <c r="DD1956" s="717"/>
      <c r="DE1956" s="717"/>
      <c r="DF1956" s="717"/>
      <c r="DG1956" s="717"/>
      <c r="DH1956" s="717"/>
      <c r="DI1956" s="717"/>
      <c r="DJ1956" s="717"/>
      <c r="DM1956" s="711"/>
      <c r="DN1956" s="711"/>
      <c r="DO1956" s="711"/>
      <c r="DP1956" s="711"/>
      <c r="DQ1956" s="711"/>
    </row>
    <row r="1957" spans="13:121" s="709" customFormat="1" hidden="1">
      <c r="M1957" s="710"/>
      <c r="P1957" s="711"/>
      <c r="Q1957" s="712"/>
      <c r="U1957" s="711"/>
      <c r="V1957" s="711"/>
      <c r="W1957" s="711"/>
      <c r="X1957" s="711"/>
      <c r="Y1957" s="711"/>
      <c r="Z1957" s="711"/>
      <c r="AU1957" s="713"/>
      <c r="AW1957" s="712"/>
      <c r="BY1957" s="714"/>
      <c r="BZ1957" s="715"/>
      <c r="CA1957" s="716"/>
      <c r="CB1957" s="717"/>
      <c r="CC1957" s="717"/>
      <c r="CD1957" s="717"/>
      <c r="CE1957" s="717"/>
      <c r="CF1957" s="717"/>
      <c r="CG1957" s="717"/>
      <c r="CH1957" s="717"/>
      <c r="CI1957" s="717"/>
      <c r="CJ1957" s="717"/>
      <c r="CK1957" s="717"/>
      <c r="CL1957" s="717"/>
      <c r="CM1957" s="717"/>
      <c r="CN1957" s="717"/>
      <c r="CO1957" s="717"/>
      <c r="CP1957" s="717"/>
      <c r="CQ1957" s="717"/>
      <c r="CR1957" s="717"/>
      <c r="CS1957" s="717"/>
      <c r="CT1957" s="717"/>
      <c r="CU1957" s="717"/>
      <c r="CV1957" s="717"/>
      <c r="CW1957" s="717"/>
      <c r="CX1957" s="717"/>
      <c r="CY1957" s="717"/>
      <c r="CZ1957" s="717"/>
      <c r="DA1957" s="717"/>
      <c r="DB1957" s="717"/>
      <c r="DC1957" s="717"/>
      <c r="DD1957" s="717"/>
      <c r="DE1957" s="717"/>
      <c r="DF1957" s="717"/>
      <c r="DG1957" s="717"/>
      <c r="DH1957" s="717"/>
      <c r="DI1957" s="717"/>
      <c r="DJ1957" s="717"/>
      <c r="DM1957" s="711"/>
      <c r="DN1957" s="711"/>
      <c r="DO1957" s="711"/>
      <c r="DP1957" s="711"/>
      <c r="DQ1957" s="711"/>
    </row>
    <row r="1958" spans="13:121" s="709" customFormat="1" hidden="1">
      <c r="M1958" s="710"/>
      <c r="P1958" s="711"/>
      <c r="Q1958" s="712"/>
      <c r="U1958" s="711"/>
      <c r="V1958" s="711"/>
      <c r="W1958" s="711"/>
      <c r="X1958" s="711"/>
      <c r="Y1958" s="711"/>
      <c r="Z1958" s="711"/>
      <c r="AU1958" s="713"/>
      <c r="AW1958" s="712"/>
      <c r="BY1958" s="714"/>
      <c r="BZ1958" s="715"/>
      <c r="CA1958" s="716"/>
      <c r="CB1958" s="717"/>
      <c r="CC1958" s="717"/>
      <c r="CD1958" s="717"/>
      <c r="CE1958" s="717"/>
      <c r="CF1958" s="717"/>
      <c r="CG1958" s="717"/>
      <c r="CH1958" s="717"/>
      <c r="CI1958" s="717"/>
      <c r="CJ1958" s="717"/>
      <c r="CK1958" s="717"/>
      <c r="CL1958" s="717"/>
      <c r="CM1958" s="717"/>
      <c r="CN1958" s="717"/>
      <c r="CO1958" s="717"/>
      <c r="CP1958" s="717"/>
      <c r="CQ1958" s="717"/>
      <c r="CR1958" s="717"/>
      <c r="CS1958" s="717"/>
      <c r="CT1958" s="717"/>
      <c r="CU1958" s="717"/>
      <c r="CV1958" s="717"/>
      <c r="CW1958" s="717"/>
      <c r="CX1958" s="717"/>
      <c r="CY1958" s="717"/>
      <c r="CZ1958" s="717"/>
      <c r="DA1958" s="717"/>
      <c r="DB1958" s="717"/>
      <c r="DC1958" s="717"/>
      <c r="DD1958" s="717"/>
      <c r="DE1958" s="717"/>
      <c r="DF1958" s="717"/>
      <c r="DG1958" s="717"/>
      <c r="DH1958" s="717"/>
      <c r="DI1958" s="717"/>
      <c r="DJ1958" s="717"/>
      <c r="DM1958" s="711"/>
      <c r="DN1958" s="711"/>
      <c r="DO1958" s="711"/>
      <c r="DP1958" s="711"/>
      <c r="DQ1958" s="711"/>
    </row>
    <row r="1959" spans="13:121" s="709" customFormat="1" hidden="1">
      <c r="M1959" s="710"/>
      <c r="P1959" s="711"/>
      <c r="Q1959" s="712"/>
      <c r="U1959" s="711"/>
      <c r="V1959" s="711"/>
      <c r="W1959" s="711"/>
      <c r="X1959" s="711"/>
      <c r="Y1959" s="711"/>
      <c r="Z1959" s="711"/>
      <c r="AU1959" s="713"/>
      <c r="AW1959" s="712"/>
      <c r="BY1959" s="714"/>
      <c r="BZ1959" s="715"/>
      <c r="CA1959" s="716"/>
      <c r="CB1959" s="717"/>
      <c r="CC1959" s="717"/>
      <c r="CD1959" s="717"/>
      <c r="CE1959" s="717"/>
      <c r="CF1959" s="717"/>
      <c r="CG1959" s="717"/>
      <c r="CH1959" s="717"/>
      <c r="CI1959" s="717"/>
      <c r="CJ1959" s="717"/>
      <c r="CK1959" s="717"/>
      <c r="CL1959" s="717"/>
      <c r="CM1959" s="717"/>
      <c r="CN1959" s="717"/>
      <c r="CO1959" s="717"/>
      <c r="CP1959" s="717"/>
      <c r="CQ1959" s="717"/>
      <c r="CR1959" s="717"/>
      <c r="CS1959" s="717"/>
      <c r="CT1959" s="717"/>
      <c r="CU1959" s="717"/>
      <c r="CV1959" s="717"/>
      <c r="CW1959" s="717"/>
      <c r="CX1959" s="717"/>
      <c r="CY1959" s="717"/>
      <c r="CZ1959" s="717"/>
      <c r="DA1959" s="717"/>
      <c r="DB1959" s="717"/>
      <c r="DC1959" s="717"/>
      <c r="DD1959" s="717"/>
      <c r="DE1959" s="717"/>
      <c r="DF1959" s="717"/>
      <c r="DG1959" s="717"/>
      <c r="DH1959" s="717"/>
      <c r="DI1959" s="717"/>
      <c r="DJ1959" s="717"/>
      <c r="DM1959" s="711"/>
      <c r="DN1959" s="711"/>
      <c r="DO1959" s="711"/>
      <c r="DP1959" s="711"/>
      <c r="DQ1959" s="711"/>
    </row>
    <row r="1960" spans="13:121" s="709" customFormat="1" hidden="1">
      <c r="M1960" s="710"/>
      <c r="P1960" s="711"/>
      <c r="Q1960" s="712"/>
      <c r="U1960" s="711"/>
      <c r="V1960" s="711"/>
      <c r="W1960" s="711"/>
      <c r="X1960" s="711"/>
      <c r="Y1960" s="711"/>
      <c r="Z1960" s="711"/>
      <c r="AU1960" s="713"/>
      <c r="AW1960" s="712"/>
      <c r="BY1960" s="714"/>
      <c r="BZ1960" s="715"/>
      <c r="CA1960" s="716"/>
      <c r="CB1960" s="717"/>
      <c r="CC1960" s="717"/>
      <c r="CD1960" s="717"/>
      <c r="CE1960" s="717"/>
      <c r="CF1960" s="717"/>
      <c r="CG1960" s="717"/>
      <c r="CH1960" s="717"/>
      <c r="CI1960" s="717"/>
      <c r="CJ1960" s="717"/>
      <c r="CK1960" s="717"/>
      <c r="CL1960" s="717"/>
      <c r="CM1960" s="717"/>
      <c r="CN1960" s="717"/>
      <c r="CO1960" s="717"/>
      <c r="CP1960" s="717"/>
      <c r="CQ1960" s="717"/>
      <c r="CR1960" s="717"/>
      <c r="CS1960" s="717"/>
      <c r="CT1960" s="717"/>
      <c r="CU1960" s="717"/>
      <c r="CV1960" s="717"/>
      <c r="CW1960" s="717"/>
      <c r="CX1960" s="717"/>
      <c r="CY1960" s="717"/>
      <c r="CZ1960" s="717"/>
      <c r="DA1960" s="717"/>
      <c r="DB1960" s="717"/>
      <c r="DC1960" s="717"/>
      <c r="DD1960" s="717"/>
      <c r="DE1960" s="717"/>
      <c r="DF1960" s="717"/>
      <c r="DG1960" s="717"/>
      <c r="DH1960" s="717"/>
      <c r="DI1960" s="717"/>
      <c r="DJ1960" s="717"/>
      <c r="DM1960" s="711"/>
      <c r="DN1960" s="711"/>
      <c r="DO1960" s="711"/>
      <c r="DP1960" s="711"/>
      <c r="DQ1960" s="711"/>
    </row>
    <row r="1961" spans="13:121" s="709" customFormat="1" hidden="1">
      <c r="M1961" s="710"/>
      <c r="P1961" s="711"/>
      <c r="Q1961" s="712"/>
      <c r="U1961" s="711"/>
      <c r="V1961" s="711"/>
      <c r="W1961" s="711"/>
      <c r="X1961" s="711"/>
      <c r="Y1961" s="711"/>
      <c r="Z1961" s="711"/>
      <c r="AU1961" s="713"/>
      <c r="AW1961" s="712"/>
      <c r="BY1961" s="714"/>
      <c r="BZ1961" s="715"/>
      <c r="CA1961" s="716"/>
      <c r="CB1961" s="717"/>
      <c r="CC1961" s="717"/>
      <c r="CD1961" s="717"/>
      <c r="CE1961" s="717"/>
      <c r="CF1961" s="717"/>
      <c r="CG1961" s="717"/>
      <c r="CH1961" s="717"/>
      <c r="CI1961" s="717"/>
      <c r="CJ1961" s="717"/>
      <c r="CK1961" s="717"/>
      <c r="CL1961" s="717"/>
      <c r="CM1961" s="717"/>
      <c r="CN1961" s="717"/>
      <c r="CO1961" s="717"/>
      <c r="CP1961" s="717"/>
      <c r="CQ1961" s="717"/>
      <c r="CR1961" s="717"/>
      <c r="CS1961" s="717"/>
      <c r="CT1961" s="717"/>
      <c r="CU1961" s="717"/>
      <c r="CV1961" s="717"/>
      <c r="CW1961" s="717"/>
      <c r="CX1961" s="717"/>
      <c r="CY1961" s="717"/>
      <c r="CZ1961" s="717"/>
      <c r="DA1961" s="717"/>
      <c r="DB1961" s="717"/>
      <c r="DC1961" s="717"/>
      <c r="DD1961" s="717"/>
      <c r="DE1961" s="717"/>
      <c r="DF1961" s="717"/>
      <c r="DG1961" s="717"/>
      <c r="DH1961" s="717"/>
      <c r="DI1961" s="717"/>
      <c r="DJ1961" s="717"/>
      <c r="DM1961" s="711"/>
      <c r="DN1961" s="711"/>
      <c r="DO1961" s="711"/>
      <c r="DP1961" s="711"/>
      <c r="DQ1961" s="711"/>
    </row>
    <row r="1962" spans="13:121" s="709" customFormat="1" hidden="1">
      <c r="M1962" s="710"/>
      <c r="P1962" s="711"/>
      <c r="Q1962" s="712"/>
      <c r="U1962" s="711"/>
      <c r="V1962" s="711"/>
      <c r="W1962" s="711"/>
      <c r="X1962" s="711"/>
      <c r="Y1962" s="711"/>
      <c r="Z1962" s="711"/>
      <c r="AU1962" s="713"/>
      <c r="AW1962" s="712"/>
      <c r="BY1962" s="714"/>
      <c r="BZ1962" s="715"/>
      <c r="CA1962" s="716"/>
      <c r="CB1962" s="717"/>
      <c r="CC1962" s="717"/>
      <c r="CD1962" s="717"/>
      <c r="CE1962" s="717"/>
      <c r="CF1962" s="717"/>
      <c r="CG1962" s="717"/>
      <c r="CH1962" s="717"/>
      <c r="CI1962" s="717"/>
      <c r="CJ1962" s="717"/>
      <c r="CK1962" s="717"/>
      <c r="CL1962" s="717"/>
      <c r="CM1962" s="717"/>
      <c r="CN1962" s="717"/>
      <c r="CO1962" s="717"/>
      <c r="CP1962" s="717"/>
      <c r="CQ1962" s="717"/>
      <c r="CR1962" s="717"/>
      <c r="CS1962" s="717"/>
      <c r="CT1962" s="717"/>
      <c r="CU1962" s="717"/>
      <c r="CV1962" s="717"/>
      <c r="CW1962" s="717"/>
      <c r="CX1962" s="717"/>
      <c r="CY1962" s="717"/>
      <c r="CZ1962" s="717"/>
      <c r="DA1962" s="717"/>
      <c r="DB1962" s="717"/>
      <c r="DC1962" s="717"/>
      <c r="DD1962" s="717"/>
      <c r="DE1962" s="717"/>
      <c r="DF1962" s="717"/>
      <c r="DG1962" s="717"/>
      <c r="DH1962" s="717"/>
      <c r="DI1962" s="717"/>
      <c r="DJ1962" s="717"/>
      <c r="DM1962" s="711"/>
      <c r="DN1962" s="711"/>
      <c r="DO1962" s="711"/>
      <c r="DP1962" s="711"/>
      <c r="DQ1962" s="711"/>
    </row>
    <row r="1963" spans="13:121" s="709" customFormat="1" hidden="1">
      <c r="M1963" s="710"/>
      <c r="P1963" s="711"/>
      <c r="Q1963" s="712"/>
      <c r="U1963" s="711"/>
      <c r="V1963" s="711"/>
      <c r="W1963" s="711"/>
      <c r="X1963" s="711"/>
      <c r="Y1963" s="711"/>
      <c r="Z1963" s="711"/>
      <c r="AU1963" s="713"/>
      <c r="AW1963" s="712"/>
      <c r="BY1963" s="714"/>
      <c r="BZ1963" s="715"/>
      <c r="CA1963" s="716"/>
      <c r="CB1963" s="717"/>
      <c r="CC1963" s="717"/>
      <c r="CD1963" s="717"/>
      <c r="CE1963" s="717"/>
      <c r="CF1963" s="717"/>
      <c r="CG1963" s="717"/>
      <c r="CH1963" s="717"/>
      <c r="CI1963" s="717"/>
      <c r="CJ1963" s="717"/>
      <c r="CK1963" s="717"/>
      <c r="CL1963" s="717"/>
      <c r="CM1963" s="717"/>
      <c r="CN1963" s="717"/>
      <c r="CO1963" s="717"/>
      <c r="CP1963" s="717"/>
      <c r="CQ1963" s="717"/>
      <c r="CR1963" s="717"/>
      <c r="CS1963" s="717"/>
      <c r="CT1963" s="717"/>
      <c r="CU1963" s="717"/>
      <c r="CV1963" s="717"/>
      <c r="CW1963" s="717"/>
      <c r="CX1963" s="717"/>
      <c r="CY1963" s="717"/>
      <c r="CZ1963" s="717"/>
      <c r="DA1963" s="717"/>
      <c r="DB1963" s="717"/>
      <c r="DC1963" s="717"/>
      <c r="DD1963" s="717"/>
      <c r="DE1963" s="717"/>
      <c r="DF1963" s="717"/>
      <c r="DG1963" s="717"/>
      <c r="DH1963" s="717"/>
      <c r="DI1963" s="717"/>
      <c r="DJ1963" s="717"/>
      <c r="DM1963" s="711"/>
      <c r="DN1963" s="711"/>
      <c r="DO1963" s="711"/>
      <c r="DP1963" s="711"/>
      <c r="DQ1963" s="711"/>
    </row>
    <row r="1964" spans="13:121" s="709" customFormat="1" hidden="1">
      <c r="M1964" s="710"/>
      <c r="P1964" s="711"/>
      <c r="Q1964" s="712"/>
      <c r="U1964" s="711"/>
      <c r="V1964" s="711"/>
      <c r="W1964" s="711"/>
      <c r="X1964" s="711"/>
      <c r="Y1964" s="711"/>
      <c r="Z1964" s="711"/>
      <c r="AU1964" s="713"/>
      <c r="AW1964" s="712"/>
      <c r="BY1964" s="714"/>
      <c r="BZ1964" s="715"/>
      <c r="CA1964" s="716"/>
      <c r="CB1964" s="717"/>
      <c r="CC1964" s="717"/>
      <c r="CD1964" s="717"/>
      <c r="CE1964" s="717"/>
      <c r="CF1964" s="717"/>
      <c r="CG1964" s="717"/>
      <c r="CH1964" s="717"/>
      <c r="CI1964" s="717"/>
      <c r="CJ1964" s="717"/>
      <c r="CK1964" s="717"/>
      <c r="CL1964" s="717"/>
      <c r="CM1964" s="717"/>
      <c r="CN1964" s="717"/>
      <c r="CO1964" s="717"/>
      <c r="CP1964" s="717"/>
      <c r="CQ1964" s="717"/>
      <c r="CR1964" s="717"/>
      <c r="CS1964" s="717"/>
      <c r="CT1964" s="717"/>
      <c r="CU1964" s="717"/>
      <c r="CV1964" s="717"/>
      <c r="CW1964" s="717"/>
      <c r="CX1964" s="717"/>
      <c r="CY1964" s="717"/>
      <c r="CZ1964" s="717"/>
      <c r="DA1964" s="717"/>
      <c r="DB1964" s="717"/>
      <c r="DC1964" s="717"/>
      <c r="DD1964" s="717"/>
      <c r="DE1964" s="717"/>
      <c r="DF1964" s="717"/>
      <c r="DG1964" s="717"/>
      <c r="DH1964" s="717"/>
      <c r="DI1964" s="717"/>
      <c r="DJ1964" s="717"/>
      <c r="DM1964" s="711"/>
      <c r="DN1964" s="711"/>
      <c r="DO1964" s="711"/>
      <c r="DP1964" s="711"/>
      <c r="DQ1964" s="711"/>
    </row>
    <row r="1965" spans="13:121" s="709" customFormat="1" hidden="1">
      <c r="M1965" s="710"/>
      <c r="P1965" s="711"/>
      <c r="Q1965" s="712"/>
      <c r="U1965" s="711"/>
      <c r="V1965" s="711"/>
      <c r="W1965" s="711"/>
      <c r="X1965" s="711"/>
      <c r="Y1965" s="711"/>
      <c r="Z1965" s="711"/>
      <c r="AU1965" s="713"/>
      <c r="AW1965" s="712"/>
      <c r="BY1965" s="714"/>
      <c r="BZ1965" s="715"/>
      <c r="CA1965" s="716"/>
      <c r="CB1965" s="717"/>
      <c r="CC1965" s="717"/>
      <c r="CD1965" s="717"/>
      <c r="CE1965" s="717"/>
      <c r="CF1965" s="717"/>
      <c r="CG1965" s="717"/>
      <c r="CH1965" s="717"/>
      <c r="CI1965" s="717"/>
      <c r="CJ1965" s="717"/>
      <c r="CK1965" s="717"/>
      <c r="CL1965" s="717"/>
      <c r="CM1965" s="717"/>
      <c r="CN1965" s="717"/>
      <c r="CO1965" s="717"/>
      <c r="CP1965" s="717"/>
      <c r="CQ1965" s="717"/>
      <c r="CR1965" s="717"/>
      <c r="CS1965" s="717"/>
      <c r="CT1965" s="717"/>
      <c r="CU1965" s="717"/>
      <c r="CV1965" s="717"/>
      <c r="CW1965" s="717"/>
      <c r="CX1965" s="717"/>
      <c r="CY1965" s="717"/>
      <c r="CZ1965" s="717"/>
      <c r="DA1965" s="717"/>
      <c r="DB1965" s="717"/>
      <c r="DC1965" s="717"/>
      <c r="DD1965" s="717"/>
      <c r="DE1965" s="717"/>
      <c r="DF1965" s="717"/>
      <c r="DG1965" s="717"/>
      <c r="DH1965" s="717"/>
      <c r="DI1965" s="717"/>
      <c r="DJ1965" s="717"/>
      <c r="DM1965" s="711"/>
      <c r="DN1965" s="711"/>
      <c r="DO1965" s="711"/>
      <c r="DP1965" s="711"/>
      <c r="DQ1965" s="711"/>
    </row>
    <row r="1966" spans="13:121" s="709" customFormat="1" hidden="1">
      <c r="M1966" s="710"/>
      <c r="P1966" s="711"/>
      <c r="Q1966" s="712"/>
      <c r="U1966" s="711"/>
      <c r="V1966" s="711"/>
      <c r="W1966" s="711"/>
      <c r="X1966" s="711"/>
      <c r="Y1966" s="711"/>
      <c r="Z1966" s="711"/>
      <c r="AU1966" s="713"/>
      <c r="AW1966" s="712"/>
      <c r="BY1966" s="714"/>
      <c r="BZ1966" s="715"/>
      <c r="CA1966" s="716"/>
      <c r="CB1966" s="717"/>
      <c r="CC1966" s="717"/>
      <c r="CD1966" s="717"/>
      <c r="CE1966" s="717"/>
      <c r="CF1966" s="717"/>
      <c r="CG1966" s="717"/>
      <c r="CH1966" s="717"/>
      <c r="CI1966" s="717"/>
      <c r="CJ1966" s="717"/>
      <c r="CK1966" s="717"/>
      <c r="CL1966" s="717"/>
      <c r="CM1966" s="717"/>
      <c r="CN1966" s="717"/>
      <c r="CO1966" s="717"/>
      <c r="CP1966" s="717"/>
      <c r="CQ1966" s="717"/>
      <c r="CR1966" s="717"/>
      <c r="CS1966" s="717"/>
      <c r="CT1966" s="717"/>
      <c r="CU1966" s="717"/>
      <c r="CV1966" s="717"/>
      <c r="CW1966" s="717"/>
      <c r="CX1966" s="717"/>
      <c r="CY1966" s="717"/>
      <c r="CZ1966" s="717"/>
      <c r="DA1966" s="717"/>
      <c r="DB1966" s="717"/>
      <c r="DC1966" s="717"/>
      <c r="DD1966" s="717"/>
      <c r="DE1966" s="717"/>
      <c r="DF1966" s="717"/>
      <c r="DG1966" s="717"/>
      <c r="DH1966" s="717"/>
      <c r="DI1966" s="717"/>
      <c r="DJ1966" s="717"/>
      <c r="DM1966" s="711"/>
      <c r="DN1966" s="711"/>
      <c r="DO1966" s="711"/>
      <c r="DP1966" s="711"/>
      <c r="DQ1966" s="711"/>
    </row>
    <row r="1967" spans="13:121" s="709" customFormat="1" hidden="1">
      <c r="M1967" s="710"/>
      <c r="P1967" s="711"/>
      <c r="Q1967" s="712"/>
      <c r="U1967" s="711"/>
      <c r="V1967" s="711"/>
      <c r="W1967" s="711"/>
      <c r="X1967" s="711"/>
      <c r="Y1967" s="711"/>
      <c r="Z1967" s="711"/>
      <c r="AU1967" s="713"/>
      <c r="AW1967" s="712"/>
      <c r="BY1967" s="714"/>
      <c r="BZ1967" s="715"/>
      <c r="CA1967" s="716"/>
      <c r="CB1967" s="717"/>
      <c r="CC1967" s="717"/>
      <c r="CD1967" s="717"/>
      <c r="CE1967" s="717"/>
      <c r="CF1967" s="717"/>
      <c r="CG1967" s="717"/>
      <c r="CH1967" s="717"/>
      <c r="CI1967" s="717"/>
      <c r="CJ1967" s="717"/>
      <c r="CK1967" s="717"/>
      <c r="CL1967" s="717"/>
      <c r="CM1967" s="717"/>
      <c r="CN1967" s="717"/>
      <c r="CO1967" s="717"/>
      <c r="CP1967" s="717"/>
      <c r="CQ1967" s="717"/>
      <c r="CR1967" s="717"/>
      <c r="CS1967" s="717"/>
      <c r="CT1967" s="717"/>
      <c r="CU1967" s="717"/>
      <c r="CV1967" s="717"/>
      <c r="CW1967" s="717"/>
      <c r="CX1967" s="717"/>
      <c r="CY1967" s="717"/>
      <c r="CZ1967" s="717"/>
      <c r="DA1967" s="717"/>
      <c r="DB1967" s="717"/>
      <c r="DC1967" s="717"/>
      <c r="DD1967" s="717"/>
      <c r="DE1967" s="717"/>
      <c r="DF1967" s="717"/>
      <c r="DG1967" s="717"/>
      <c r="DH1967" s="717"/>
      <c r="DI1967" s="717"/>
      <c r="DJ1967" s="717"/>
      <c r="DM1967" s="711"/>
      <c r="DN1967" s="711"/>
      <c r="DO1967" s="711"/>
      <c r="DP1967" s="711"/>
      <c r="DQ1967" s="711"/>
    </row>
    <row r="1968" spans="13:121" s="709" customFormat="1" hidden="1">
      <c r="M1968" s="710"/>
      <c r="P1968" s="711"/>
      <c r="Q1968" s="712"/>
      <c r="U1968" s="711"/>
      <c r="V1968" s="711"/>
      <c r="W1968" s="711"/>
      <c r="X1968" s="711"/>
      <c r="Y1968" s="711"/>
      <c r="Z1968" s="711"/>
      <c r="AU1968" s="713"/>
      <c r="AW1968" s="712"/>
      <c r="BY1968" s="714"/>
      <c r="BZ1968" s="715"/>
      <c r="CA1968" s="716"/>
      <c r="CB1968" s="717"/>
      <c r="CC1968" s="717"/>
      <c r="CD1968" s="717"/>
      <c r="CE1968" s="717"/>
      <c r="CF1968" s="717"/>
      <c r="CG1968" s="717"/>
      <c r="CH1968" s="717"/>
      <c r="CI1968" s="717"/>
      <c r="CJ1968" s="717"/>
      <c r="CK1968" s="717"/>
      <c r="CL1968" s="717"/>
      <c r="CM1968" s="717"/>
      <c r="CN1968" s="717"/>
      <c r="CO1968" s="717"/>
      <c r="CP1968" s="717"/>
      <c r="CQ1968" s="717"/>
      <c r="CR1968" s="717"/>
      <c r="CS1968" s="717"/>
      <c r="CT1968" s="717"/>
      <c r="CU1968" s="717"/>
      <c r="CV1968" s="717"/>
      <c r="CW1968" s="717"/>
      <c r="CX1968" s="717"/>
      <c r="CY1968" s="717"/>
      <c r="CZ1968" s="717"/>
      <c r="DA1968" s="717"/>
      <c r="DB1968" s="717"/>
      <c r="DC1968" s="717"/>
      <c r="DD1968" s="717"/>
      <c r="DE1968" s="717"/>
      <c r="DF1968" s="717"/>
      <c r="DG1968" s="717"/>
      <c r="DH1968" s="717"/>
      <c r="DI1968" s="717"/>
      <c r="DJ1968" s="717"/>
      <c r="DM1968" s="711"/>
      <c r="DN1968" s="711"/>
      <c r="DO1968" s="711"/>
      <c r="DP1968" s="711"/>
      <c r="DQ1968" s="711"/>
    </row>
    <row r="1969" spans="13:121" s="709" customFormat="1" hidden="1">
      <c r="M1969" s="710"/>
      <c r="P1969" s="711"/>
      <c r="Q1969" s="712"/>
      <c r="U1969" s="711"/>
      <c r="V1969" s="711"/>
      <c r="W1969" s="711"/>
      <c r="X1969" s="711"/>
      <c r="Y1969" s="711"/>
      <c r="Z1969" s="711"/>
      <c r="AU1969" s="713"/>
      <c r="AW1969" s="712"/>
      <c r="BY1969" s="714"/>
      <c r="BZ1969" s="715"/>
      <c r="CA1969" s="716"/>
      <c r="CB1969" s="717"/>
      <c r="CC1969" s="717"/>
      <c r="CD1969" s="717"/>
      <c r="CE1969" s="717"/>
      <c r="CF1969" s="717"/>
      <c r="CG1969" s="717"/>
      <c r="CH1969" s="717"/>
      <c r="CI1969" s="717"/>
      <c r="CJ1969" s="717"/>
      <c r="CK1969" s="717"/>
      <c r="CL1969" s="717"/>
      <c r="CM1969" s="717"/>
      <c r="CN1969" s="717"/>
      <c r="CO1969" s="717"/>
      <c r="CP1969" s="717"/>
      <c r="CQ1969" s="717"/>
      <c r="CR1969" s="717"/>
      <c r="CS1969" s="717"/>
      <c r="CT1969" s="717"/>
      <c r="CU1969" s="717"/>
      <c r="CV1969" s="717"/>
      <c r="CW1969" s="717"/>
      <c r="CX1969" s="717"/>
      <c r="CY1969" s="717"/>
      <c r="CZ1969" s="717"/>
      <c r="DA1969" s="717"/>
      <c r="DB1969" s="717"/>
      <c r="DC1969" s="717"/>
      <c r="DD1969" s="717"/>
      <c r="DE1969" s="717"/>
      <c r="DF1969" s="717"/>
      <c r="DG1969" s="717"/>
      <c r="DH1969" s="717"/>
      <c r="DI1969" s="717"/>
      <c r="DJ1969" s="717"/>
      <c r="DM1969" s="711"/>
      <c r="DN1969" s="711"/>
      <c r="DO1969" s="711"/>
      <c r="DP1969" s="711"/>
      <c r="DQ1969" s="711"/>
    </row>
    <row r="1970" spans="13:121" s="709" customFormat="1" hidden="1">
      <c r="M1970" s="710"/>
      <c r="P1970" s="711"/>
      <c r="Q1970" s="712"/>
      <c r="U1970" s="711"/>
      <c r="V1970" s="711"/>
      <c r="W1970" s="711"/>
      <c r="X1970" s="711"/>
      <c r="Y1970" s="711"/>
      <c r="Z1970" s="711"/>
      <c r="AU1970" s="713"/>
      <c r="AW1970" s="712"/>
      <c r="BY1970" s="714"/>
      <c r="BZ1970" s="715"/>
      <c r="CA1970" s="716"/>
      <c r="CB1970" s="717"/>
      <c r="CC1970" s="717"/>
      <c r="CD1970" s="717"/>
      <c r="CE1970" s="717"/>
      <c r="CF1970" s="717"/>
      <c r="CG1970" s="717"/>
      <c r="CH1970" s="717"/>
      <c r="CI1970" s="717"/>
      <c r="CJ1970" s="717"/>
      <c r="CK1970" s="717"/>
      <c r="CL1970" s="717"/>
      <c r="CM1970" s="717"/>
      <c r="CN1970" s="717"/>
      <c r="CO1970" s="717"/>
      <c r="CP1970" s="717"/>
      <c r="CQ1970" s="717"/>
      <c r="CR1970" s="717"/>
      <c r="CS1970" s="717"/>
      <c r="CT1970" s="717"/>
      <c r="CU1970" s="717"/>
      <c r="CV1970" s="717"/>
      <c r="CW1970" s="717"/>
      <c r="CX1970" s="717"/>
      <c r="CY1970" s="717"/>
      <c r="CZ1970" s="717"/>
      <c r="DA1970" s="717"/>
      <c r="DB1970" s="717"/>
      <c r="DC1970" s="717"/>
      <c r="DD1970" s="717"/>
      <c r="DE1970" s="717"/>
      <c r="DF1970" s="717"/>
      <c r="DG1970" s="717"/>
      <c r="DH1970" s="717"/>
      <c r="DI1970" s="717"/>
      <c r="DJ1970" s="717"/>
      <c r="DM1970" s="711"/>
      <c r="DN1970" s="711"/>
      <c r="DO1970" s="711"/>
      <c r="DP1970" s="711"/>
      <c r="DQ1970" s="711"/>
    </row>
    <row r="1971" spans="13:121" s="709" customFormat="1" hidden="1">
      <c r="M1971" s="710"/>
      <c r="P1971" s="711"/>
      <c r="Q1971" s="712"/>
      <c r="U1971" s="711"/>
      <c r="V1971" s="711"/>
      <c r="W1971" s="711"/>
      <c r="X1971" s="711"/>
      <c r="Y1971" s="711"/>
      <c r="Z1971" s="711"/>
      <c r="AU1971" s="713"/>
      <c r="AW1971" s="712"/>
      <c r="BY1971" s="714"/>
      <c r="BZ1971" s="715"/>
      <c r="CA1971" s="716"/>
      <c r="CB1971" s="717"/>
      <c r="CC1971" s="717"/>
      <c r="CD1971" s="717"/>
      <c r="CE1971" s="717"/>
      <c r="CF1971" s="717"/>
      <c r="CG1971" s="717"/>
      <c r="CH1971" s="717"/>
      <c r="CI1971" s="717"/>
      <c r="CJ1971" s="717"/>
      <c r="CK1971" s="717"/>
      <c r="CL1971" s="717"/>
      <c r="CM1971" s="717"/>
      <c r="CN1971" s="717"/>
      <c r="CO1971" s="717"/>
      <c r="CP1971" s="717"/>
      <c r="CQ1971" s="717"/>
      <c r="CR1971" s="717"/>
      <c r="CS1971" s="717"/>
      <c r="CT1971" s="717"/>
      <c r="CU1971" s="717"/>
      <c r="CV1971" s="717"/>
      <c r="CW1971" s="717"/>
      <c r="CX1971" s="717"/>
      <c r="CY1971" s="717"/>
      <c r="CZ1971" s="717"/>
      <c r="DA1971" s="717"/>
      <c r="DB1971" s="717"/>
      <c r="DC1971" s="717"/>
      <c r="DD1971" s="717"/>
      <c r="DE1971" s="717"/>
      <c r="DF1971" s="717"/>
      <c r="DG1971" s="717"/>
      <c r="DH1971" s="717"/>
      <c r="DI1971" s="717"/>
      <c r="DJ1971" s="717"/>
      <c r="DM1971" s="711"/>
      <c r="DN1971" s="711"/>
      <c r="DO1971" s="711"/>
      <c r="DP1971" s="711"/>
      <c r="DQ1971" s="711"/>
    </row>
    <row r="1972" spans="13:121" s="709" customFormat="1" hidden="1">
      <c r="M1972" s="710"/>
      <c r="P1972" s="711"/>
      <c r="Q1972" s="712"/>
      <c r="U1972" s="711"/>
      <c r="V1972" s="711"/>
      <c r="W1972" s="711"/>
      <c r="X1972" s="711"/>
      <c r="Y1972" s="711"/>
      <c r="Z1972" s="711"/>
      <c r="AU1972" s="713"/>
      <c r="AW1972" s="712"/>
      <c r="BY1972" s="714"/>
      <c r="BZ1972" s="715"/>
      <c r="CA1972" s="716"/>
      <c r="CB1972" s="717"/>
      <c r="CC1972" s="717"/>
      <c r="CD1972" s="717"/>
      <c r="CE1972" s="717"/>
      <c r="CF1972" s="717"/>
      <c r="CG1972" s="717"/>
      <c r="CH1972" s="717"/>
      <c r="CI1972" s="717"/>
      <c r="CJ1972" s="717"/>
      <c r="CK1972" s="717"/>
      <c r="CL1972" s="717"/>
      <c r="CM1972" s="717"/>
      <c r="CN1972" s="717"/>
      <c r="CO1972" s="717"/>
      <c r="CP1972" s="717"/>
      <c r="CQ1972" s="717"/>
      <c r="CR1972" s="717"/>
      <c r="CS1972" s="717"/>
      <c r="CT1972" s="717"/>
      <c r="CU1972" s="717"/>
      <c r="CV1972" s="717"/>
      <c r="CW1972" s="717"/>
      <c r="CX1972" s="717"/>
      <c r="CY1972" s="717"/>
      <c r="CZ1972" s="717"/>
      <c r="DA1972" s="717"/>
      <c r="DB1972" s="717"/>
      <c r="DC1972" s="717"/>
      <c r="DD1972" s="717"/>
      <c r="DE1972" s="717"/>
      <c r="DF1972" s="717"/>
      <c r="DG1972" s="717"/>
      <c r="DH1972" s="717"/>
      <c r="DI1972" s="717"/>
      <c r="DJ1972" s="717"/>
      <c r="DM1972" s="711"/>
      <c r="DN1972" s="711"/>
      <c r="DO1972" s="711"/>
      <c r="DP1972" s="711"/>
      <c r="DQ1972" s="711"/>
    </row>
    <row r="1973" spans="13:121" s="709" customFormat="1" hidden="1">
      <c r="M1973" s="710"/>
      <c r="P1973" s="711"/>
      <c r="Q1973" s="712"/>
      <c r="U1973" s="711"/>
      <c r="V1973" s="711"/>
      <c r="W1973" s="711"/>
      <c r="X1973" s="711"/>
      <c r="Y1973" s="711"/>
      <c r="Z1973" s="711"/>
      <c r="AU1973" s="713"/>
      <c r="AW1973" s="712"/>
      <c r="BY1973" s="714"/>
      <c r="BZ1973" s="715"/>
      <c r="CA1973" s="716"/>
      <c r="CB1973" s="717"/>
      <c r="CC1973" s="717"/>
      <c r="CD1973" s="717"/>
      <c r="CE1973" s="717"/>
      <c r="CF1973" s="717"/>
      <c r="CG1973" s="717"/>
      <c r="CH1973" s="717"/>
      <c r="CI1973" s="717"/>
      <c r="CJ1973" s="717"/>
      <c r="CK1973" s="717"/>
      <c r="CL1973" s="717"/>
      <c r="CM1973" s="717"/>
      <c r="CN1973" s="717"/>
      <c r="CO1973" s="717"/>
      <c r="CP1973" s="717"/>
      <c r="CQ1973" s="717"/>
      <c r="CR1973" s="717"/>
      <c r="CS1973" s="717"/>
      <c r="CT1973" s="717"/>
      <c r="CU1973" s="717"/>
      <c r="CV1973" s="717"/>
      <c r="CW1973" s="717"/>
      <c r="CX1973" s="717"/>
      <c r="CY1973" s="717"/>
      <c r="CZ1973" s="717"/>
      <c r="DA1973" s="717"/>
      <c r="DB1973" s="717"/>
      <c r="DC1973" s="717"/>
      <c r="DD1973" s="717"/>
      <c r="DE1973" s="717"/>
      <c r="DF1973" s="717"/>
      <c r="DG1973" s="717"/>
      <c r="DH1973" s="717"/>
      <c r="DI1973" s="717"/>
      <c r="DJ1973" s="717"/>
      <c r="DM1973" s="711"/>
      <c r="DN1973" s="711"/>
      <c r="DO1973" s="711"/>
      <c r="DP1973" s="711"/>
      <c r="DQ1973" s="711"/>
    </row>
    <row r="1974" spans="13:121" s="709" customFormat="1" hidden="1">
      <c r="M1974" s="710"/>
      <c r="P1974" s="711"/>
      <c r="Q1974" s="712"/>
      <c r="U1974" s="711"/>
      <c r="V1974" s="711"/>
      <c r="W1974" s="711"/>
      <c r="X1974" s="711"/>
      <c r="Y1974" s="711"/>
      <c r="Z1974" s="711"/>
      <c r="AU1974" s="713"/>
      <c r="AW1974" s="712"/>
      <c r="BY1974" s="714"/>
      <c r="BZ1974" s="715"/>
      <c r="CA1974" s="716"/>
      <c r="CB1974" s="717"/>
      <c r="CC1974" s="717"/>
      <c r="CD1974" s="717"/>
      <c r="CE1974" s="717"/>
      <c r="CF1974" s="717"/>
      <c r="CG1974" s="717"/>
      <c r="CH1974" s="717"/>
      <c r="CI1974" s="717"/>
      <c r="CJ1974" s="717"/>
      <c r="CK1974" s="717"/>
      <c r="CL1974" s="717"/>
      <c r="CM1974" s="717"/>
      <c r="CN1974" s="717"/>
      <c r="CO1974" s="717"/>
      <c r="CP1974" s="717"/>
      <c r="CQ1974" s="717"/>
      <c r="CR1974" s="717"/>
      <c r="CS1974" s="717"/>
      <c r="CT1974" s="717"/>
      <c r="CU1974" s="717"/>
      <c r="CV1974" s="717"/>
      <c r="CW1974" s="717"/>
      <c r="CX1974" s="717"/>
      <c r="CY1974" s="717"/>
      <c r="CZ1974" s="717"/>
      <c r="DA1974" s="717"/>
      <c r="DB1974" s="717"/>
      <c r="DC1974" s="717"/>
      <c r="DD1974" s="717"/>
      <c r="DE1974" s="717"/>
      <c r="DF1974" s="717"/>
      <c r="DG1974" s="717"/>
      <c r="DH1974" s="717"/>
      <c r="DI1974" s="717"/>
      <c r="DJ1974" s="717"/>
      <c r="DM1974" s="711"/>
      <c r="DN1974" s="711"/>
      <c r="DO1974" s="711"/>
      <c r="DP1974" s="711"/>
      <c r="DQ1974" s="711"/>
    </row>
    <row r="1975" spans="13:121" s="709" customFormat="1" hidden="1">
      <c r="M1975" s="710"/>
      <c r="P1975" s="711"/>
      <c r="Q1975" s="712"/>
      <c r="U1975" s="711"/>
      <c r="V1975" s="711"/>
      <c r="W1975" s="711"/>
      <c r="X1975" s="711"/>
      <c r="Y1975" s="711"/>
      <c r="Z1975" s="711"/>
      <c r="AU1975" s="713"/>
      <c r="AW1975" s="712"/>
      <c r="BY1975" s="714"/>
      <c r="BZ1975" s="715"/>
      <c r="CA1975" s="716"/>
      <c r="CB1975" s="717"/>
      <c r="CC1975" s="717"/>
      <c r="CD1975" s="717"/>
      <c r="CE1975" s="717"/>
      <c r="CF1975" s="717"/>
      <c r="CG1975" s="717"/>
      <c r="CH1975" s="717"/>
      <c r="CI1975" s="717"/>
      <c r="CJ1975" s="717"/>
      <c r="CK1975" s="717"/>
      <c r="CL1975" s="717"/>
      <c r="CM1975" s="717"/>
      <c r="CN1975" s="717"/>
      <c r="CO1975" s="717"/>
      <c r="CP1975" s="717"/>
      <c r="CQ1975" s="717"/>
      <c r="CR1975" s="717"/>
      <c r="CS1975" s="717"/>
      <c r="CT1975" s="717"/>
      <c r="CU1975" s="717"/>
      <c r="CV1975" s="717"/>
      <c r="CW1975" s="717"/>
      <c r="CX1975" s="717"/>
      <c r="CY1975" s="717"/>
      <c r="CZ1975" s="717"/>
      <c r="DA1975" s="717"/>
      <c r="DB1975" s="717"/>
      <c r="DC1975" s="717"/>
      <c r="DD1975" s="717"/>
      <c r="DE1975" s="717"/>
      <c r="DF1975" s="717"/>
      <c r="DG1975" s="717"/>
      <c r="DH1975" s="717"/>
      <c r="DI1975" s="717"/>
      <c r="DJ1975" s="717"/>
      <c r="DM1975" s="711"/>
      <c r="DN1975" s="711"/>
      <c r="DO1975" s="711"/>
      <c r="DP1975" s="711"/>
      <c r="DQ1975" s="711"/>
    </row>
    <row r="1976" spans="13:121" s="709" customFormat="1" hidden="1">
      <c r="M1976" s="710"/>
      <c r="P1976" s="711"/>
      <c r="Q1976" s="712"/>
      <c r="U1976" s="711"/>
      <c r="V1976" s="711"/>
      <c r="W1976" s="711"/>
      <c r="X1976" s="711"/>
      <c r="Y1976" s="711"/>
      <c r="Z1976" s="711"/>
      <c r="AU1976" s="713"/>
      <c r="AW1976" s="712"/>
      <c r="BY1976" s="714"/>
      <c r="BZ1976" s="715"/>
      <c r="CA1976" s="716"/>
      <c r="CB1976" s="717"/>
      <c r="CC1976" s="717"/>
      <c r="CD1976" s="717"/>
      <c r="CE1976" s="717"/>
      <c r="CF1976" s="717"/>
      <c r="CG1976" s="717"/>
      <c r="CH1976" s="717"/>
      <c r="CI1976" s="717"/>
      <c r="CJ1976" s="717"/>
      <c r="CK1976" s="717"/>
      <c r="CL1976" s="717"/>
      <c r="CM1976" s="717"/>
      <c r="CN1976" s="717"/>
      <c r="CO1976" s="717"/>
      <c r="CP1976" s="717"/>
      <c r="CQ1976" s="717"/>
      <c r="CR1976" s="717"/>
      <c r="CS1976" s="717"/>
      <c r="CT1976" s="717"/>
      <c r="CU1976" s="717"/>
      <c r="CV1976" s="717"/>
      <c r="CW1976" s="717"/>
      <c r="CX1976" s="717"/>
      <c r="CY1976" s="717"/>
      <c r="CZ1976" s="717"/>
      <c r="DA1976" s="717"/>
      <c r="DB1976" s="717"/>
      <c r="DC1976" s="717"/>
      <c r="DD1976" s="717"/>
      <c r="DE1976" s="717"/>
      <c r="DF1976" s="717"/>
      <c r="DG1976" s="717"/>
      <c r="DH1976" s="717"/>
      <c r="DI1976" s="717"/>
      <c r="DJ1976" s="717"/>
      <c r="DM1976" s="711"/>
      <c r="DN1976" s="711"/>
      <c r="DO1976" s="711"/>
      <c r="DP1976" s="711"/>
      <c r="DQ1976" s="711"/>
    </row>
    <row r="1977" spans="13:121" s="709" customFormat="1" hidden="1">
      <c r="M1977" s="710"/>
      <c r="P1977" s="711"/>
      <c r="Q1977" s="712"/>
      <c r="U1977" s="711"/>
      <c r="V1977" s="711"/>
      <c r="W1977" s="711"/>
      <c r="X1977" s="711"/>
      <c r="Y1977" s="711"/>
      <c r="Z1977" s="711"/>
      <c r="AU1977" s="713"/>
      <c r="AW1977" s="712"/>
      <c r="BY1977" s="714"/>
      <c r="BZ1977" s="715"/>
      <c r="CA1977" s="716"/>
      <c r="CB1977" s="717"/>
      <c r="CC1977" s="717"/>
      <c r="CD1977" s="717"/>
      <c r="CE1977" s="717"/>
      <c r="CF1977" s="717"/>
      <c r="CG1977" s="717"/>
      <c r="CH1977" s="717"/>
      <c r="CI1977" s="717"/>
      <c r="CJ1977" s="717"/>
      <c r="CK1977" s="717"/>
      <c r="CL1977" s="717"/>
      <c r="CM1977" s="717"/>
      <c r="CN1977" s="717"/>
      <c r="CO1977" s="717"/>
      <c r="CP1977" s="717"/>
      <c r="CQ1977" s="717"/>
      <c r="CR1977" s="717"/>
      <c r="CS1977" s="717"/>
      <c r="CT1977" s="717"/>
      <c r="CU1977" s="717"/>
      <c r="CV1977" s="717"/>
      <c r="CW1977" s="717"/>
      <c r="CX1977" s="717"/>
      <c r="CY1977" s="717"/>
      <c r="CZ1977" s="717"/>
      <c r="DA1977" s="717"/>
      <c r="DB1977" s="717"/>
      <c r="DC1977" s="717"/>
      <c r="DD1977" s="717"/>
      <c r="DE1977" s="717"/>
      <c r="DF1977" s="717"/>
      <c r="DG1977" s="717"/>
      <c r="DH1977" s="717"/>
      <c r="DI1977" s="717"/>
      <c r="DJ1977" s="717"/>
      <c r="DM1977" s="711"/>
      <c r="DN1977" s="711"/>
      <c r="DO1977" s="711"/>
      <c r="DP1977" s="711"/>
      <c r="DQ1977" s="711"/>
    </row>
    <row r="1978" spans="13:121" s="709" customFormat="1" hidden="1">
      <c r="M1978" s="710"/>
      <c r="P1978" s="711"/>
      <c r="Q1978" s="712"/>
      <c r="U1978" s="711"/>
      <c r="V1978" s="711"/>
      <c r="W1978" s="711"/>
      <c r="X1978" s="711"/>
      <c r="Y1978" s="711"/>
      <c r="Z1978" s="711"/>
      <c r="AU1978" s="713"/>
      <c r="AW1978" s="712"/>
      <c r="BY1978" s="714"/>
      <c r="BZ1978" s="715"/>
      <c r="CA1978" s="716"/>
      <c r="CB1978" s="717"/>
      <c r="CC1978" s="717"/>
      <c r="CD1978" s="717"/>
      <c r="CE1978" s="717"/>
      <c r="CF1978" s="717"/>
      <c r="CG1978" s="717"/>
      <c r="CH1978" s="717"/>
      <c r="CI1978" s="717"/>
      <c r="CJ1978" s="717"/>
      <c r="CK1978" s="717"/>
      <c r="CL1978" s="717"/>
      <c r="CM1978" s="717"/>
      <c r="CN1978" s="717"/>
      <c r="CO1978" s="717"/>
      <c r="CP1978" s="717"/>
      <c r="CQ1978" s="717"/>
      <c r="CR1978" s="717"/>
      <c r="CS1978" s="717"/>
      <c r="CT1978" s="717"/>
      <c r="CU1978" s="717"/>
      <c r="CV1978" s="717"/>
      <c r="CW1978" s="717"/>
      <c r="CX1978" s="717"/>
      <c r="CY1978" s="717"/>
      <c r="CZ1978" s="717"/>
      <c r="DA1978" s="717"/>
      <c r="DB1978" s="717"/>
      <c r="DC1978" s="717"/>
      <c r="DD1978" s="717"/>
      <c r="DE1978" s="717"/>
      <c r="DF1978" s="717"/>
      <c r="DG1978" s="717"/>
      <c r="DH1978" s="717"/>
      <c r="DI1978" s="717"/>
      <c r="DJ1978" s="717"/>
      <c r="DM1978" s="711"/>
      <c r="DN1978" s="711"/>
      <c r="DO1978" s="711"/>
      <c r="DP1978" s="711"/>
      <c r="DQ1978" s="711"/>
    </row>
    <row r="1979" spans="13:121" s="709" customFormat="1" hidden="1">
      <c r="M1979" s="710"/>
      <c r="P1979" s="711"/>
      <c r="Q1979" s="712"/>
      <c r="U1979" s="711"/>
      <c r="V1979" s="711"/>
      <c r="W1979" s="711"/>
      <c r="X1979" s="711"/>
      <c r="Y1979" s="711"/>
      <c r="Z1979" s="711"/>
      <c r="AU1979" s="713"/>
      <c r="AW1979" s="712"/>
      <c r="BY1979" s="714"/>
      <c r="BZ1979" s="715"/>
      <c r="CA1979" s="716"/>
      <c r="CB1979" s="717"/>
      <c r="CC1979" s="717"/>
      <c r="CD1979" s="717"/>
      <c r="CE1979" s="717"/>
      <c r="CF1979" s="717"/>
      <c r="CG1979" s="717"/>
      <c r="CH1979" s="717"/>
      <c r="CI1979" s="717"/>
      <c r="CJ1979" s="717"/>
      <c r="CK1979" s="717"/>
      <c r="CL1979" s="717"/>
      <c r="CM1979" s="717"/>
      <c r="CN1979" s="717"/>
      <c r="CO1979" s="717"/>
      <c r="CP1979" s="717"/>
      <c r="CQ1979" s="717"/>
      <c r="CR1979" s="717"/>
      <c r="CS1979" s="717"/>
      <c r="CT1979" s="717"/>
      <c r="CU1979" s="717"/>
      <c r="CV1979" s="717"/>
      <c r="CW1979" s="717"/>
      <c r="CX1979" s="717"/>
      <c r="CY1979" s="717"/>
      <c r="CZ1979" s="717"/>
      <c r="DA1979" s="717"/>
      <c r="DB1979" s="717"/>
      <c r="DC1979" s="717"/>
      <c r="DD1979" s="717"/>
      <c r="DE1979" s="717"/>
      <c r="DF1979" s="717"/>
      <c r="DG1979" s="717"/>
      <c r="DH1979" s="717"/>
      <c r="DI1979" s="717"/>
      <c r="DJ1979" s="717"/>
      <c r="DM1979" s="711"/>
      <c r="DN1979" s="711"/>
      <c r="DO1979" s="711"/>
      <c r="DP1979" s="711"/>
      <c r="DQ1979" s="711"/>
    </row>
    <row r="1980" spans="13:121" s="709" customFormat="1" hidden="1">
      <c r="M1980" s="710"/>
      <c r="P1980" s="711"/>
      <c r="Q1980" s="712"/>
      <c r="U1980" s="711"/>
      <c r="V1980" s="711"/>
      <c r="W1980" s="711"/>
      <c r="X1980" s="711"/>
      <c r="Y1980" s="711"/>
      <c r="Z1980" s="711"/>
      <c r="AU1980" s="713"/>
      <c r="AW1980" s="712"/>
      <c r="BY1980" s="714"/>
      <c r="BZ1980" s="715"/>
      <c r="CA1980" s="716"/>
      <c r="CB1980" s="717"/>
      <c r="CC1980" s="717"/>
      <c r="CD1980" s="717"/>
      <c r="CE1980" s="717"/>
      <c r="CF1980" s="717"/>
      <c r="CG1980" s="717"/>
      <c r="CH1980" s="717"/>
      <c r="CI1980" s="717"/>
      <c r="CJ1980" s="717"/>
      <c r="CK1980" s="717"/>
      <c r="CL1980" s="717"/>
      <c r="CM1980" s="717"/>
      <c r="CN1980" s="717"/>
      <c r="CO1980" s="717"/>
      <c r="CP1980" s="717"/>
      <c r="CQ1980" s="717"/>
      <c r="CR1980" s="717"/>
      <c r="CS1980" s="717"/>
      <c r="CT1980" s="717"/>
      <c r="CU1980" s="717"/>
      <c r="CV1980" s="717"/>
      <c r="CW1980" s="717"/>
      <c r="CX1980" s="717"/>
      <c r="CY1980" s="717"/>
      <c r="CZ1980" s="717"/>
      <c r="DA1980" s="717"/>
      <c r="DB1980" s="717"/>
      <c r="DC1980" s="717"/>
      <c r="DD1980" s="717"/>
      <c r="DE1980" s="717"/>
      <c r="DF1980" s="717"/>
      <c r="DG1980" s="717"/>
      <c r="DH1980" s="717"/>
      <c r="DI1980" s="717"/>
      <c r="DJ1980" s="717"/>
      <c r="DM1980" s="711"/>
      <c r="DN1980" s="711"/>
      <c r="DO1980" s="711"/>
      <c r="DP1980" s="711"/>
      <c r="DQ1980" s="711"/>
    </row>
    <row r="1981" spans="13:121" s="709" customFormat="1" hidden="1">
      <c r="M1981" s="710"/>
      <c r="P1981" s="711"/>
      <c r="Q1981" s="712"/>
      <c r="U1981" s="711"/>
      <c r="V1981" s="711"/>
      <c r="W1981" s="711"/>
      <c r="X1981" s="711"/>
      <c r="Y1981" s="711"/>
      <c r="Z1981" s="711"/>
      <c r="AU1981" s="713"/>
      <c r="AW1981" s="712"/>
      <c r="BY1981" s="714"/>
      <c r="BZ1981" s="715"/>
      <c r="CA1981" s="716"/>
      <c r="CB1981" s="717"/>
      <c r="CC1981" s="717"/>
      <c r="CD1981" s="717"/>
      <c r="CE1981" s="717"/>
      <c r="CF1981" s="717"/>
      <c r="CG1981" s="717"/>
      <c r="CH1981" s="717"/>
      <c r="CI1981" s="717"/>
      <c r="CJ1981" s="717"/>
      <c r="CK1981" s="717"/>
      <c r="CL1981" s="717"/>
      <c r="CM1981" s="717"/>
      <c r="CN1981" s="717"/>
      <c r="CO1981" s="717"/>
      <c r="CP1981" s="717"/>
      <c r="CQ1981" s="717"/>
      <c r="CR1981" s="717"/>
      <c r="CS1981" s="717"/>
      <c r="CT1981" s="717"/>
      <c r="CU1981" s="717"/>
      <c r="CV1981" s="717"/>
      <c r="CW1981" s="717"/>
      <c r="CX1981" s="717"/>
      <c r="CY1981" s="717"/>
      <c r="CZ1981" s="717"/>
      <c r="DA1981" s="717"/>
      <c r="DB1981" s="717"/>
      <c r="DC1981" s="717"/>
      <c r="DD1981" s="717"/>
      <c r="DE1981" s="717"/>
      <c r="DF1981" s="717"/>
      <c r="DG1981" s="717"/>
      <c r="DH1981" s="717"/>
      <c r="DI1981" s="717"/>
      <c r="DJ1981" s="717"/>
      <c r="DM1981" s="711"/>
      <c r="DN1981" s="711"/>
      <c r="DO1981" s="711"/>
      <c r="DP1981" s="711"/>
      <c r="DQ1981" s="711"/>
    </row>
    <row r="1982" spans="13:121" s="709" customFormat="1" hidden="1">
      <c r="M1982" s="710"/>
      <c r="P1982" s="711"/>
      <c r="Q1982" s="712"/>
      <c r="U1982" s="711"/>
      <c r="V1982" s="711"/>
      <c r="W1982" s="711"/>
      <c r="X1982" s="711"/>
      <c r="Y1982" s="711"/>
      <c r="Z1982" s="711"/>
      <c r="AU1982" s="713"/>
      <c r="AW1982" s="712"/>
      <c r="BY1982" s="714"/>
      <c r="BZ1982" s="715"/>
      <c r="CA1982" s="716"/>
      <c r="CB1982" s="717"/>
      <c r="CC1982" s="717"/>
      <c r="CD1982" s="717"/>
      <c r="CE1982" s="717"/>
      <c r="CF1982" s="717"/>
      <c r="CG1982" s="717"/>
      <c r="CH1982" s="717"/>
      <c r="CI1982" s="717"/>
      <c r="CJ1982" s="717"/>
      <c r="CK1982" s="717"/>
      <c r="CL1982" s="717"/>
      <c r="CM1982" s="717"/>
      <c r="CN1982" s="717"/>
      <c r="CO1982" s="717"/>
      <c r="CP1982" s="717"/>
      <c r="CQ1982" s="717"/>
      <c r="CR1982" s="717"/>
      <c r="CS1982" s="717"/>
      <c r="CT1982" s="717"/>
      <c r="CU1982" s="717"/>
      <c r="CV1982" s="717"/>
      <c r="CW1982" s="717"/>
      <c r="CX1982" s="717"/>
      <c r="CY1982" s="717"/>
      <c r="CZ1982" s="717"/>
      <c r="DA1982" s="717"/>
      <c r="DB1982" s="717"/>
      <c r="DC1982" s="717"/>
      <c r="DD1982" s="717"/>
      <c r="DE1982" s="717"/>
      <c r="DF1982" s="717"/>
      <c r="DG1982" s="717"/>
      <c r="DH1982" s="717"/>
      <c r="DI1982" s="717"/>
      <c r="DJ1982" s="717"/>
      <c r="DM1982" s="711"/>
      <c r="DN1982" s="711"/>
      <c r="DO1982" s="711"/>
      <c r="DP1982" s="711"/>
      <c r="DQ1982" s="711"/>
    </row>
    <row r="1983" spans="13:121" s="709" customFormat="1" hidden="1">
      <c r="M1983" s="710"/>
      <c r="P1983" s="711"/>
      <c r="Q1983" s="712"/>
      <c r="U1983" s="711"/>
      <c r="V1983" s="711"/>
      <c r="W1983" s="711"/>
      <c r="X1983" s="711"/>
      <c r="Y1983" s="711"/>
      <c r="Z1983" s="711"/>
      <c r="AU1983" s="713"/>
      <c r="AW1983" s="712"/>
      <c r="BY1983" s="714"/>
      <c r="BZ1983" s="715"/>
      <c r="CA1983" s="716"/>
      <c r="CB1983" s="717"/>
      <c r="CC1983" s="717"/>
      <c r="CD1983" s="717"/>
      <c r="CE1983" s="717"/>
      <c r="CF1983" s="717"/>
      <c r="CG1983" s="717"/>
      <c r="CH1983" s="717"/>
      <c r="CI1983" s="717"/>
      <c r="CJ1983" s="717"/>
      <c r="CK1983" s="717"/>
      <c r="CL1983" s="717"/>
      <c r="CM1983" s="717"/>
      <c r="CN1983" s="717"/>
      <c r="CO1983" s="717"/>
      <c r="CP1983" s="717"/>
      <c r="CQ1983" s="717"/>
      <c r="CR1983" s="717"/>
      <c r="CS1983" s="717"/>
      <c r="CT1983" s="717"/>
      <c r="CU1983" s="717"/>
      <c r="CV1983" s="717"/>
      <c r="CW1983" s="717"/>
      <c r="CX1983" s="717"/>
      <c r="CY1983" s="717"/>
      <c r="CZ1983" s="717"/>
      <c r="DA1983" s="717"/>
      <c r="DB1983" s="717"/>
      <c r="DC1983" s="717"/>
      <c r="DD1983" s="717"/>
      <c r="DE1983" s="717"/>
      <c r="DF1983" s="717"/>
      <c r="DG1983" s="717"/>
      <c r="DH1983" s="717"/>
      <c r="DI1983" s="717"/>
      <c r="DJ1983" s="717"/>
      <c r="DM1983" s="711"/>
      <c r="DN1983" s="711"/>
      <c r="DO1983" s="711"/>
      <c r="DP1983" s="711"/>
      <c r="DQ1983" s="711"/>
    </row>
    <row r="1984" spans="13:121" s="709" customFormat="1" hidden="1">
      <c r="M1984" s="710"/>
      <c r="P1984" s="711"/>
      <c r="Q1984" s="712"/>
      <c r="U1984" s="711"/>
      <c r="V1984" s="711"/>
      <c r="W1984" s="711"/>
      <c r="X1984" s="711"/>
      <c r="Y1984" s="711"/>
      <c r="Z1984" s="711"/>
      <c r="AU1984" s="713"/>
      <c r="AW1984" s="712"/>
      <c r="BY1984" s="714"/>
      <c r="BZ1984" s="715"/>
      <c r="CA1984" s="716"/>
      <c r="CB1984" s="717"/>
      <c r="CC1984" s="717"/>
      <c r="CD1984" s="717"/>
      <c r="CE1984" s="717"/>
      <c r="CF1984" s="717"/>
      <c r="CG1984" s="717"/>
      <c r="CH1984" s="717"/>
      <c r="CI1984" s="717"/>
      <c r="CJ1984" s="717"/>
      <c r="CK1984" s="717"/>
      <c r="CL1984" s="717"/>
      <c r="CM1984" s="717"/>
      <c r="CN1984" s="717"/>
      <c r="CO1984" s="717"/>
      <c r="CP1984" s="717"/>
      <c r="CQ1984" s="717"/>
      <c r="CR1984" s="717"/>
      <c r="CS1984" s="717"/>
      <c r="CT1984" s="717"/>
      <c r="CU1984" s="717"/>
      <c r="CV1984" s="717"/>
      <c r="CW1984" s="717"/>
      <c r="CX1984" s="717"/>
      <c r="CY1984" s="717"/>
      <c r="CZ1984" s="717"/>
      <c r="DA1984" s="717"/>
      <c r="DB1984" s="717"/>
      <c r="DC1984" s="717"/>
      <c r="DD1984" s="717"/>
      <c r="DE1984" s="717"/>
      <c r="DF1984" s="717"/>
      <c r="DG1984" s="717"/>
      <c r="DH1984" s="717"/>
      <c r="DI1984" s="717"/>
      <c r="DJ1984" s="717"/>
      <c r="DM1984" s="711"/>
      <c r="DN1984" s="711"/>
      <c r="DO1984" s="711"/>
      <c r="DP1984" s="711"/>
      <c r="DQ1984" s="711"/>
    </row>
    <row r="1985" spans="13:121" s="709" customFormat="1" hidden="1">
      <c r="M1985" s="710"/>
      <c r="P1985" s="711"/>
      <c r="Q1985" s="712"/>
      <c r="U1985" s="711"/>
      <c r="V1985" s="711"/>
      <c r="W1985" s="711"/>
      <c r="X1985" s="711"/>
      <c r="Y1985" s="711"/>
      <c r="Z1985" s="711"/>
      <c r="AU1985" s="713"/>
      <c r="AW1985" s="712"/>
      <c r="BY1985" s="714"/>
      <c r="BZ1985" s="715"/>
      <c r="CA1985" s="716"/>
      <c r="CB1985" s="717"/>
      <c r="CC1985" s="717"/>
      <c r="CD1985" s="717"/>
      <c r="CE1985" s="717"/>
      <c r="CF1985" s="717"/>
      <c r="CG1985" s="717"/>
      <c r="CH1985" s="717"/>
      <c r="CI1985" s="717"/>
      <c r="CJ1985" s="717"/>
      <c r="CK1985" s="717"/>
      <c r="CL1985" s="717"/>
      <c r="CM1985" s="717"/>
      <c r="CN1985" s="717"/>
      <c r="CO1985" s="717"/>
      <c r="CP1985" s="717"/>
      <c r="CQ1985" s="717"/>
      <c r="CR1985" s="717"/>
      <c r="CS1985" s="717"/>
      <c r="CT1985" s="717"/>
      <c r="CU1985" s="717"/>
      <c r="CV1985" s="717"/>
      <c r="CW1985" s="717"/>
      <c r="CX1985" s="717"/>
      <c r="CY1985" s="717"/>
      <c r="CZ1985" s="717"/>
      <c r="DA1985" s="717"/>
      <c r="DB1985" s="717"/>
      <c r="DC1985" s="717"/>
      <c r="DD1985" s="717"/>
      <c r="DE1985" s="717"/>
      <c r="DF1985" s="717"/>
      <c r="DG1985" s="717"/>
      <c r="DH1985" s="717"/>
      <c r="DI1985" s="717"/>
      <c r="DJ1985" s="717"/>
      <c r="DM1985" s="711"/>
      <c r="DN1985" s="711"/>
      <c r="DO1985" s="711"/>
      <c r="DP1985" s="711"/>
      <c r="DQ1985" s="711"/>
    </row>
    <row r="1986" spans="13:121" s="709" customFormat="1" hidden="1">
      <c r="M1986" s="710"/>
      <c r="P1986" s="711"/>
      <c r="Q1986" s="712"/>
      <c r="U1986" s="711"/>
      <c r="V1986" s="711"/>
      <c r="W1986" s="711"/>
      <c r="X1986" s="711"/>
      <c r="Y1986" s="711"/>
      <c r="Z1986" s="711"/>
      <c r="AU1986" s="713"/>
      <c r="AW1986" s="712"/>
      <c r="BY1986" s="714"/>
      <c r="BZ1986" s="715"/>
      <c r="CA1986" s="716"/>
      <c r="CB1986" s="717"/>
      <c r="CC1986" s="717"/>
      <c r="CD1986" s="717"/>
      <c r="CE1986" s="717"/>
      <c r="CF1986" s="717"/>
      <c r="CG1986" s="717"/>
      <c r="CH1986" s="717"/>
      <c r="CI1986" s="717"/>
      <c r="CJ1986" s="717"/>
      <c r="CK1986" s="717"/>
      <c r="CL1986" s="717"/>
      <c r="CM1986" s="717"/>
      <c r="CN1986" s="717"/>
      <c r="CO1986" s="717"/>
      <c r="CP1986" s="717"/>
      <c r="CQ1986" s="717"/>
      <c r="CR1986" s="717"/>
      <c r="CS1986" s="717"/>
      <c r="CT1986" s="717"/>
      <c r="CU1986" s="717"/>
      <c r="CV1986" s="717"/>
      <c r="CW1986" s="717"/>
      <c r="CX1986" s="717"/>
      <c r="CY1986" s="717"/>
      <c r="CZ1986" s="717"/>
      <c r="DA1986" s="717"/>
      <c r="DB1986" s="717"/>
      <c r="DC1986" s="717"/>
      <c r="DD1986" s="717"/>
      <c r="DE1986" s="717"/>
      <c r="DF1986" s="717"/>
      <c r="DG1986" s="717"/>
      <c r="DH1986" s="717"/>
      <c r="DI1986" s="717"/>
      <c r="DJ1986" s="717"/>
      <c r="DM1986" s="711"/>
      <c r="DN1986" s="711"/>
      <c r="DO1986" s="711"/>
      <c r="DP1986" s="711"/>
      <c r="DQ1986" s="711"/>
    </row>
    <row r="1987" spans="13:121" s="709" customFormat="1" hidden="1">
      <c r="M1987" s="710"/>
      <c r="P1987" s="711"/>
      <c r="Q1987" s="712"/>
      <c r="U1987" s="711"/>
      <c r="V1987" s="711"/>
      <c r="W1987" s="711"/>
      <c r="X1987" s="711"/>
      <c r="Y1987" s="711"/>
      <c r="Z1987" s="711"/>
      <c r="AU1987" s="713"/>
      <c r="AW1987" s="712"/>
      <c r="BY1987" s="714"/>
      <c r="BZ1987" s="715"/>
      <c r="CA1987" s="716"/>
      <c r="CB1987" s="717"/>
      <c r="CC1987" s="717"/>
      <c r="CD1987" s="717"/>
      <c r="CE1987" s="717"/>
      <c r="CF1987" s="717"/>
      <c r="CG1987" s="717"/>
      <c r="CH1987" s="717"/>
      <c r="CI1987" s="717"/>
      <c r="CJ1987" s="717"/>
      <c r="CK1987" s="717"/>
      <c r="CL1987" s="717"/>
      <c r="CM1987" s="717"/>
      <c r="CN1987" s="717"/>
      <c r="CO1987" s="717"/>
      <c r="CP1987" s="717"/>
      <c r="CQ1987" s="717"/>
      <c r="CR1987" s="717"/>
      <c r="CS1987" s="717"/>
      <c r="CT1987" s="717"/>
      <c r="CU1987" s="717"/>
      <c r="CV1987" s="717"/>
      <c r="CW1987" s="717"/>
      <c r="CX1987" s="717"/>
      <c r="CY1987" s="717"/>
      <c r="CZ1987" s="717"/>
      <c r="DA1987" s="717"/>
      <c r="DB1987" s="717"/>
      <c r="DC1987" s="717"/>
      <c r="DD1987" s="717"/>
      <c r="DE1987" s="717"/>
      <c r="DF1987" s="717"/>
      <c r="DG1987" s="717"/>
      <c r="DH1987" s="717"/>
      <c r="DI1987" s="717"/>
      <c r="DJ1987" s="717"/>
      <c r="DM1987" s="711"/>
      <c r="DN1987" s="711"/>
      <c r="DO1987" s="711"/>
      <c r="DP1987" s="711"/>
      <c r="DQ1987" s="711"/>
    </row>
    <row r="1988" spans="13:121" s="709" customFormat="1" hidden="1">
      <c r="M1988" s="710"/>
      <c r="P1988" s="711"/>
      <c r="Q1988" s="712"/>
      <c r="U1988" s="711"/>
      <c r="V1988" s="711"/>
      <c r="W1988" s="711"/>
      <c r="X1988" s="711"/>
      <c r="Y1988" s="711"/>
      <c r="Z1988" s="711"/>
      <c r="AU1988" s="713"/>
      <c r="AW1988" s="712"/>
      <c r="BY1988" s="714"/>
      <c r="BZ1988" s="715"/>
      <c r="CA1988" s="716"/>
      <c r="CB1988" s="717"/>
      <c r="CC1988" s="717"/>
      <c r="CD1988" s="717"/>
      <c r="CE1988" s="717"/>
      <c r="CF1988" s="717"/>
      <c r="CG1988" s="717"/>
      <c r="CH1988" s="717"/>
      <c r="CI1988" s="717"/>
      <c r="CJ1988" s="717"/>
      <c r="CK1988" s="717"/>
      <c r="CL1988" s="717"/>
      <c r="CM1988" s="717"/>
      <c r="CN1988" s="717"/>
      <c r="CO1988" s="717"/>
      <c r="CP1988" s="717"/>
      <c r="CQ1988" s="717"/>
      <c r="CR1988" s="717"/>
      <c r="CS1988" s="717"/>
      <c r="CT1988" s="717"/>
      <c r="CU1988" s="717"/>
      <c r="CV1988" s="717"/>
      <c r="CW1988" s="717"/>
      <c r="CX1988" s="717"/>
      <c r="CY1988" s="717"/>
      <c r="CZ1988" s="717"/>
      <c r="DA1988" s="717"/>
      <c r="DB1988" s="717"/>
      <c r="DC1988" s="717"/>
      <c r="DD1988" s="717"/>
      <c r="DE1988" s="717"/>
      <c r="DF1988" s="717"/>
      <c r="DG1988" s="717"/>
      <c r="DH1988" s="717"/>
      <c r="DI1988" s="717"/>
      <c r="DJ1988" s="717"/>
      <c r="DM1988" s="711"/>
      <c r="DN1988" s="711"/>
      <c r="DO1988" s="711"/>
      <c r="DP1988" s="711"/>
      <c r="DQ1988" s="711"/>
    </row>
    <row r="1989" spans="13:121" s="709" customFormat="1" hidden="1">
      <c r="M1989" s="710"/>
      <c r="P1989" s="711"/>
      <c r="Q1989" s="712"/>
      <c r="U1989" s="711"/>
      <c r="V1989" s="711"/>
      <c r="W1989" s="711"/>
      <c r="X1989" s="711"/>
      <c r="Y1989" s="711"/>
      <c r="Z1989" s="711"/>
      <c r="AU1989" s="713"/>
      <c r="AW1989" s="712"/>
      <c r="BY1989" s="714"/>
      <c r="BZ1989" s="715"/>
      <c r="CA1989" s="716"/>
      <c r="CB1989" s="717"/>
      <c r="CC1989" s="717"/>
      <c r="CD1989" s="717"/>
      <c r="CE1989" s="717"/>
      <c r="CF1989" s="717"/>
      <c r="CG1989" s="717"/>
      <c r="CH1989" s="717"/>
      <c r="CI1989" s="717"/>
      <c r="CJ1989" s="717"/>
      <c r="CK1989" s="717"/>
      <c r="CL1989" s="717"/>
      <c r="CM1989" s="717"/>
      <c r="CN1989" s="717"/>
      <c r="CO1989" s="717"/>
      <c r="CP1989" s="717"/>
      <c r="CQ1989" s="717"/>
      <c r="CR1989" s="717"/>
      <c r="CS1989" s="717"/>
      <c r="CT1989" s="717"/>
      <c r="CU1989" s="717"/>
      <c r="CV1989" s="717"/>
      <c r="CW1989" s="717"/>
      <c r="CX1989" s="717"/>
      <c r="CY1989" s="717"/>
      <c r="CZ1989" s="717"/>
      <c r="DA1989" s="717"/>
      <c r="DB1989" s="717"/>
      <c r="DC1989" s="717"/>
      <c r="DD1989" s="717"/>
      <c r="DE1989" s="717"/>
      <c r="DF1989" s="717"/>
      <c r="DG1989" s="717"/>
      <c r="DH1989" s="717"/>
      <c r="DI1989" s="717"/>
      <c r="DJ1989" s="717"/>
      <c r="DM1989" s="711"/>
      <c r="DN1989" s="711"/>
      <c r="DO1989" s="711"/>
      <c r="DP1989" s="711"/>
      <c r="DQ1989" s="711"/>
    </row>
    <row r="1990" spans="13:121" s="709" customFormat="1" hidden="1">
      <c r="M1990" s="710"/>
      <c r="P1990" s="711"/>
      <c r="Q1990" s="712"/>
      <c r="U1990" s="711"/>
      <c r="V1990" s="711"/>
      <c r="W1990" s="711"/>
      <c r="X1990" s="711"/>
      <c r="Y1990" s="711"/>
      <c r="Z1990" s="711"/>
      <c r="AU1990" s="713"/>
      <c r="AW1990" s="712"/>
      <c r="BY1990" s="714"/>
      <c r="BZ1990" s="715"/>
      <c r="CA1990" s="716"/>
      <c r="CB1990" s="717"/>
      <c r="CC1990" s="717"/>
      <c r="CD1990" s="717"/>
      <c r="CE1990" s="717"/>
      <c r="CF1990" s="717"/>
      <c r="CG1990" s="717"/>
      <c r="CH1990" s="717"/>
      <c r="CI1990" s="717"/>
      <c r="CJ1990" s="717"/>
      <c r="CK1990" s="717"/>
      <c r="CL1990" s="717"/>
      <c r="CM1990" s="717"/>
      <c r="CN1990" s="717"/>
      <c r="CO1990" s="717"/>
      <c r="CP1990" s="717"/>
      <c r="CQ1990" s="717"/>
      <c r="CR1990" s="717"/>
      <c r="CS1990" s="717"/>
      <c r="CT1990" s="717"/>
      <c r="CU1990" s="717"/>
      <c r="CV1990" s="717"/>
      <c r="CW1990" s="717"/>
      <c r="CX1990" s="717"/>
      <c r="CY1990" s="717"/>
      <c r="CZ1990" s="717"/>
      <c r="DA1990" s="717"/>
      <c r="DB1990" s="717"/>
      <c r="DC1990" s="717"/>
      <c r="DD1990" s="717"/>
      <c r="DE1990" s="717"/>
      <c r="DF1990" s="717"/>
      <c r="DG1990" s="717"/>
      <c r="DH1990" s="717"/>
      <c r="DI1990" s="717"/>
      <c r="DJ1990" s="717"/>
      <c r="DM1990" s="711"/>
      <c r="DN1990" s="711"/>
      <c r="DO1990" s="711"/>
      <c r="DP1990" s="711"/>
      <c r="DQ1990" s="711"/>
    </row>
    <row r="1991" spans="13:121" s="709" customFormat="1" hidden="1">
      <c r="M1991" s="710"/>
      <c r="P1991" s="711"/>
      <c r="Q1991" s="712"/>
      <c r="U1991" s="711"/>
      <c r="V1991" s="711"/>
      <c r="W1991" s="711"/>
      <c r="X1991" s="711"/>
      <c r="Y1991" s="711"/>
      <c r="Z1991" s="711"/>
      <c r="AU1991" s="713"/>
      <c r="AW1991" s="712"/>
      <c r="BY1991" s="714"/>
      <c r="BZ1991" s="715"/>
      <c r="CA1991" s="716"/>
      <c r="CB1991" s="717"/>
      <c r="CC1991" s="717"/>
      <c r="CD1991" s="717"/>
      <c r="CE1991" s="717"/>
      <c r="CF1991" s="717"/>
      <c r="CG1991" s="717"/>
      <c r="CH1991" s="717"/>
      <c r="CI1991" s="717"/>
      <c r="CJ1991" s="717"/>
      <c r="CK1991" s="717"/>
      <c r="CL1991" s="717"/>
      <c r="CM1991" s="717"/>
      <c r="CN1991" s="717"/>
      <c r="CO1991" s="717"/>
      <c r="CP1991" s="717"/>
      <c r="CQ1991" s="717"/>
      <c r="CR1991" s="717"/>
      <c r="CS1991" s="717"/>
      <c r="CT1991" s="717"/>
      <c r="CU1991" s="717"/>
      <c r="CV1991" s="717"/>
      <c r="CW1991" s="717"/>
      <c r="CX1991" s="717"/>
      <c r="CY1991" s="717"/>
      <c r="CZ1991" s="717"/>
      <c r="DA1991" s="717"/>
      <c r="DB1991" s="717"/>
      <c r="DC1991" s="717"/>
      <c r="DD1991" s="717"/>
      <c r="DE1991" s="717"/>
      <c r="DF1991" s="717"/>
      <c r="DG1991" s="717"/>
      <c r="DH1991" s="717"/>
      <c r="DI1991" s="717"/>
      <c r="DJ1991" s="717"/>
      <c r="DM1991" s="711"/>
      <c r="DN1991" s="711"/>
      <c r="DO1991" s="711"/>
      <c r="DP1991" s="711"/>
      <c r="DQ1991" s="711"/>
    </row>
    <row r="1992" spans="13:121" s="709" customFormat="1" hidden="1">
      <c r="M1992" s="710"/>
      <c r="P1992" s="711"/>
      <c r="Q1992" s="712"/>
      <c r="U1992" s="711"/>
      <c r="V1992" s="711"/>
      <c r="W1992" s="711"/>
      <c r="X1992" s="711"/>
      <c r="Y1992" s="711"/>
      <c r="Z1992" s="711"/>
      <c r="AU1992" s="713"/>
      <c r="AW1992" s="712"/>
      <c r="BY1992" s="714"/>
      <c r="BZ1992" s="715"/>
      <c r="CA1992" s="716"/>
      <c r="CB1992" s="717"/>
      <c r="CC1992" s="717"/>
      <c r="CD1992" s="717"/>
      <c r="CE1992" s="717"/>
      <c r="CF1992" s="717"/>
      <c r="CG1992" s="717"/>
      <c r="CH1992" s="717"/>
      <c r="CI1992" s="717"/>
      <c r="CJ1992" s="717"/>
      <c r="CK1992" s="717"/>
      <c r="CL1992" s="717"/>
      <c r="CM1992" s="717"/>
      <c r="CN1992" s="717"/>
      <c r="CO1992" s="717"/>
      <c r="CP1992" s="717"/>
      <c r="CQ1992" s="717"/>
      <c r="CR1992" s="717"/>
      <c r="CS1992" s="717"/>
      <c r="CT1992" s="717"/>
      <c r="CU1992" s="717"/>
      <c r="CV1992" s="717"/>
      <c r="CW1992" s="717"/>
      <c r="CX1992" s="717"/>
      <c r="CY1992" s="717"/>
      <c r="CZ1992" s="717"/>
      <c r="DA1992" s="717"/>
      <c r="DB1992" s="717"/>
      <c r="DC1992" s="717"/>
      <c r="DD1992" s="717"/>
      <c r="DE1992" s="717"/>
      <c r="DF1992" s="717"/>
      <c r="DG1992" s="717"/>
      <c r="DH1992" s="717"/>
      <c r="DI1992" s="717"/>
      <c r="DJ1992" s="717"/>
      <c r="DM1992" s="711"/>
      <c r="DN1992" s="711"/>
      <c r="DO1992" s="711"/>
      <c r="DP1992" s="711"/>
      <c r="DQ1992" s="711"/>
    </row>
    <row r="1993" spans="13:121" s="709" customFormat="1" hidden="1">
      <c r="M1993" s="710"/>
      <c r="P1993" s="711"/>
      <c r="Q1993" s="712"/>
      <c r="U1993" s="711"/>
      <c r="V1993" s="711"/>
      <c r="W1993" s="711"/>
      <c r="X1993" s="711"/>
      <c r="Y1993" s="711"/>
      <c r="Z1993" s="711"/>
      <c r="AU1993" s="713"/>
      <c r="AW1993" s="712"/>
      <c r="BY1993" s="714"/>
      <c r="BZ1993" s="715"/>
      <c r="CA1993" s="716"/>
      <c r="CB1993" s="717"/>
      <c r="CC1993" s="717"/>
      <c r="CD1993" s="717"/>
      <c r="CE1993" s="717"/>
      <c r="CF1993" s="717"/>
      <c r="CG1993" s="717"/>
      <c r="CH1993" s="717"/>
      <c r="CI1993" s="717"/>
      <c r="CJ1993" s="717"/>
      <c r="CK1993" s="717"/>
      <c r="CL1993" s="717"/>
      <c r="CM1993" s="717"/>
      <c r="CN1993" s="717"/>
      <c r="CO1993" s="717"/>
      <c r="CP1993" s="717"/>
      <c r="CQ1993" s="717"/>
      <c r="CR1993" s="717"/>
      <c r="CS1993" s="717"/>
      <c r="CT1993" s="717"/>
      <c r="CU1993" s="717"/>
      <c r="CV1993" s="717"/>
      <c r="CW1993" s="717"/>
      <c r="CX1993" s="717"/>
      <c r="CY1993" s="717"/>
      <c r="CZ1993" s="717"/>
      <c r="DA1993" s="717"/>
      <c r="DB1993" s="717"/>
      <c r="DC1993" s="717"/>
      <c r="DD1993" s="717"/>
      <c r="DE1993" s="717"/>
      <c r="DF1993" s="717"/>
      <c r="DG1993" s="717"/>
      <c r="DH1993" s="717"/>
      <c r="DI1993" s="717"/>
      <c r="DJ1993" s="717"/>
      <c r="DM1993" s="711"/>
      <c r="DN1993" s="711"/>
      <c r="DO1993" s="711"/>
      <c r="DP1993" s="711"/>
      <c r="DQ1993" s="711"/>
    </row>
    <row r="1994" spans="13:121" s="709" customFormat="1" hidden="1">
      <c r="M1994" s="710"/>
      <c r="P1994" s="711"/>
      <c r="Q1994" s="712"/>
      <c r="U1994" s="711"/>
      <c r="V1994" s="711"/>
      <c r="W1994" s="711"/>
      <c r="X1994" s="711"/>
      <c r="Y1994" s="711"/>
      <c r="Z1994" s="711"/>
      <c r="AU1994" s="713"/>
      <c r="AW1994" s="712"/>
      <c r="BY1994" s="714"/>
      <c r="BZ1994" s="715"/>
      <c r="CA1994" s="716"/>
      <c r="CB1994" s="717"/>
      <c r="CC1994" s="717"/>
      <c r="CD1994" s="717"/>
      <c r="CE1994" s="717"/>
      <c r="CF1994" s="717"/>
      <c r="CG1994" s="717"/>
      <c r="CH1994" s="717"/>
      <c r="CI1994" s="717"/>
      <c r="CJ1994" s="717"/>
      <c r="CK1994" s="717"/>
      <c r="CL1994" s="717"/>
      <c r="CM1994" s="717"/>
      <c r="CN1994" s="717"/>
      <c r="CO1994" s="717"/>
      <c r="CP1994" s="717"/>
      <c r="CQ1994" s="717"/>
      <c r="CR1994" s="717"/>
      <c r="CS1994" s="717"/>
      <c r="CT1994" s="717"/>
      <c r="CU1994" s="717"/>
      <c r="CV1994" s="717"/>
      <c r="CW1994" s="717"/>
      <c r="CX1994" s="717"/>
      <c r="CY1994" s="717"/>
      <c r="CZ1994" s="717"/>
      <c r="DA1994" s="717"/>
      <c r="DB1994" s="717"/>
      <c r="DC1994" s="717"/>
      <c r="DD1994" s="717"/>
      <c r="DE1994" s="717"/>
      <c r="DF1994" s="717"/>
      <c r="DG1994" s="717"/>
      <c r="DH1994" s="717"/>
      <c r="DI1994" s="717"/>
      <c r="DJ1994" s="717"/>
      <c r="DM1994" s="711"/>
      <c r="DN1994" s="711"/>
      <c r="DO1994" s="711"/>
      <c r="DP1994" s="711"/>
      <c r="DQ1994" s="711"/>
    </row>
    <row r="1995" spans="13:121" s="709" customFormat="1" hidden="1">
      <c r="M1995" s="710"/>
      <c r="P1995" s="711"/>
      <c r="Q1995" s="712"/>
      <c r="U1995" s="711"/>
      <c r="V1995" s="711"/>
      <c r="W1995" s="711"/>
      <c r="X1995" s="711"/>
      <c r="Y1995" s="711"/>
      <c r="Z1995" s="711"/>
      <c r="AU1995" s="713"/>
      <c r="AW1995" s="712"/>
      <c r="BY1995" s="714"/>
      <c r="BZ1995" s="715"/>
      <c r="CA1995" s="716"/>
      <c r="CB1995" s="717"/>
      <c r="CC1995" s="717"/>
      <c r="CD1995" s="717"/>
      <c r="CE1995" s="717"/>
      <c r="CF1995" s="717"/>
      <c r="CG1995" s="717"/>
      <c r="CH1995" s="717"/>
      <c r="CI1995" s="717"/>
      <c r="CJ1995" s="717"/>
      <c r="CK1995" s="717"/>
      <c r="CL1995" s="717"/>
      <c r="CM1995" s="717"/>
      <c r="CN1995" s="717"/>
      <c r="CO1995" s="717"/>
      <c r="CP1995" s="717"/>
      <c r="CQ1995" s="717"/>
      <c r="CR1995" s="717"/>
      <c r="CS1995" s="717"/>
      <c r="CT1995" s="717"/>
      <c r="CU1995" s="717"/>
      <c r="CV1995" s="717"/>
      <c r="CW1995" s="717"/>
      <c r="CX1995" s="717"/>
      <c r="CY1995" s="717"/>
      <c r="CZ1995" s="717"/>
      <c r="DA1995" s="717"/>
      <c r="DB1995" s="717"/>
      <c r="DC1995" s="717"/>
      <c r="DD1995" s="717"/>
      <c r="DE1995" s="717"/>
      <c r="DF1995" s="717"/>
      <c r="DG1995" s="717"/>
      <c r="DH1995" s="717"/>
      <c r="DI1995" s="717"/>
      <c r="DJ1995" s="717"/>
      <c r="DM1995" s="711"/>
      <c r="DN1995" s="711"/>
      <c r="DO1995" s="711"/>
      <c r="DP1995" s="711"/>
      <c r="DQ1995" s="711"/>
    </row>
    <row r="1996" spans="13:121" s="709" customFormat="1" hidden="1">
      <c r="M1996" s="710"/>
      <c r="P1996" s="711"/>
      <c r="Q1996" s="712"/>
      <c r="U1996" s="711"/>
      <c r="V1996" s="711"/>
      <c r="W1996" s="711"/>
      <c r="X1996" s="711"/>
      <c r="Y1996" s="711"/>
      <c r="Z1996" s="711"/>
      <c r="AU1996" s="713"/>
      <c r="AW1996" s="712"/>
      <c r="BY1996" s="714"/>
      <c r="BZ1996" s="715"/>
      <c r="CA1996" s="716"/>
      <c r="CB1996" s="717"/>
      <c r="CC1996" s="717"/>
      <c r="CD1996" s="717"/>
      <c r="CE1996" s="717"/>
      <c r="CF1996" s="717"/>
      <c r="CG1996" s="717"/>
      <c r="CH1996" s="717"/>
      <c r="CI1996" s="717"/>
      <c r="CJ1996" s="717"/>
      <c r="CK1996" s="717"/>
      <c r="CL1996" s="717"/>
      <c r="CM1996" s="717"/>
      <c r="CN1996" s="717"/>
      <c r="CO1996" s="717"/>
      <c r="CP1996" s="717"/>
      <c r="CQ1996" s="717"/>
      <c r="CR1996" s="717"/>
      <c r="CS1996" s="717"/>
      <c r="CT1996" s="717"/>
      <c r="CU1996" s="717"/>
      <c r="CV1996" s="717"/>
      <c r="CW1996" s="717"/>
      <c r="CX1996" s="717"/>
      <c r="CY1996" s="717"/>
      <c r="CZ1996" s="717"/>
      <c r="DA1996" s="717"/>
      <c r="DB1996" s="717"/>
      <c r="DC1996" s="717"/>
      <c r="DD1996" s="717"/>
      <c r="DE1996" s="717"/>
      <c r="DF1996" s="717"/>
      <c r="DG1996" s="717"/>
      <c r="DH1996" s="717"/>
      <c r="DI1996" s="717"/>
      <c r="DJ1996" s="717"/>
      <c r="DM1996" s="711"/>
      <c r="DN1996" s="711"/>
      <c r="DO1996" s="711"/>
      <c r="DP1996" s="711"/>
      <c r="DQ1996" s="711"/>
    </row>
    <row r="1997" spans="13:121" s="709" customFormat="1" hidden="1">
      <c r="M1997" s="710"/>
      <c r="P1997" s="711"/>
      <c r="Q1997" s="712"/>
      <c r="U1997" s="711"/>
      <c r="V1997" s="711"/>
      <c r="W1997" s="711"/>
      <c r="X1997" s="711"/>
      <c r="Y1997" s="711"/>
      <c r="Z1997" s="711"/>
      <c r="AU1997" s="713"/>
      <c r="AW1997" s="712"/>
      <c r="BY1997" s="714"/>
      <c r="BZ1997" s="715"/>
      <c r="CA1997" s="716"/>
      <c r="CB1997" s="717"/>
      <c r="CC1997" s="717"/>
      <c r="CD1997" s="717"/>
      <c r="CE1997" s="717"/>
      <c r="CF1997" s="717"/>
      <c r="CG1997" s="717"/>
      <c r="CH1997" s="717"/>
      <c r="CI1997" s="717"/>
      <c r="CJ1997" s="717"/>
      <c r="CK1997" s="717"/>
      <c r="CL1997" s="717"/>
      <c r="CM1997" s="717"/>
      <c r="CN1997" s="717"/>
      <c r="CO1997" s="717"/>
      <c r="CP1997" s="717"/>
      <c r="CQ1997" s="717"/>
      <c r="CR1997" s="717"/>
      <c r="CS1997" s="717"/>
      <c r="CT1997" s="717"/>
      <c r="CU1997" s="717"/>
      <c r="CV1997" s="717"/>
      <c r="CW1997" s="717"/>
      <c r="CX1997" s="717"/>
      <c r="CY1997" s="717"/>
      <c r="CZ1997" s="717"/>
      <c r="DA1997" s="717"/>
      <c r="DB1997" s="717"/>
      <c r="DC1997" s="717"/>
      <c r="DD1997" s="717"/>
      <c r="DE1997" s="717"/>
      <c r="DF1997" s="717"/>
      <c r="DG1997" s="717"/>
      <c r="DH1997" s="717"/>
      <c r="DI1997" s="717"/>
      <c r="DJ1997" s="717"/>
      <c r="DM1997" s="711"/>
      <c r="DN1997" s="711"/>
      <c r="DO1997" s="711"/>
      <c r="DP1997" s="711"/>
      <c r="DQ1997" s="711"/>
    </row>
    <row r="1998" spans="13:121" s="709" customFormat="1" hidden="1">
      <c r="M1998" s="710"/>
      <c r="P1998" s="711"/>
      <c r="Q1998" s="712"/>
      <c r="U1998" s="711"/>
      <c r="V1998" s="711"/>
      <c r="W1998" s="711"/>
      <c r="X1998" s="711"/>
      <c r="Y1998" s="711"/>
      <c r="Z1998" s="711"/>
      <c r="AU1998" s="713"/>
      <c r="AW1998" s="712"/>
      <c r="BY1998" s="714"/>
      <c r="BZ1998" s="715"/>
      <c r="CA1998" s="716"/>
      <c r="CB1998" s="717"/>
      <c r="CC1998" s="717"/>
      <c r="CD1998" s="717"/>
      <c r="CE1998" s="717"/>
      <c r="CF1998" s="717"/>
      <c r="CG1998" s="717"/>
      <c r="CH1998" s="717"/>
      <c r="CI1998" s="717"/>
      <c r="CJ1998" s="717"/>
      <c r="CK1998" s="717"/>
      <c r="CL1998" s="717"/>
      <c r="CM1998" s="717"/>
      <c r="CN1998" s="717"/>
      <c r="CO1998" s="717"/>
      <c r="CP1998" s="717"/>
      <c r="CQ1998" s="717"/>
      <c r="CR1998" s="717"/>
      <c r="CS1998" s="717"/>
      <c r="CT1998" s="717"/>
      <c r="CU1998" s="717"/>
      <c r="CV1998" s="717"/>
      <c r="CW1998" s="717"/>
      <c r="CX1998" s="717"/>
      <c r="CY1998" s="717"/>
      <c r="CZ1998" s="717"/>
      <c r="DA1998" s="717"/>
      <c r="DB1998" s="717"/>
      <c r="DC1998" s="717"/>
      <c r="DD1998" s="717"/>
      <c r="DE1998" s="717"/>
      <c r="DF1998" s="717"/>
      <c r="DG1998" s="717"/>
      <c r="DH1998" s="717"/>
      <c r="DI1998" s="717"/>
      <c r="DJ1998" s="717"/>
      <c r="DM1998" s="711"/>
      <c r="DN1998" s="711"/>
      <c r="DO1998" s="711"/>
      <c r="DP1998" s="711"/>
      <c r="DQ1998" s="711"/>
    </row>
    <row r="1999" spans="13:121" s="709" customFormat="1" hidden="1">
      <c r="M1999" s="710"/>
      <c r="P1999" s="711"/>
      <c r="Q1999" s="712"/>
      <c r="U1999" s="711"/>
      <c r="V1999" s="711"/>
      <c r="W1999" s="711"/>
      <c r="X1999" s="711"/>
      <c r="Y1999" s="711"/>
      <c r="Z1999" s="711"/>
      <c r="AU1999" s="713"/>
      <c r="AW1999" s="712"/>
      <c r="BY1999" s="714"/>
      <c r="BZ1999" s="715"/>
      <c r="CA1999" s="716"/>
      <c r="CB1999" s="717"/>
      <c r="CC1999" s="717"/>
      <c r="CD1999" s="717"/>
      <c r="CE1999" s="717"/>
      <c r="CF1999" s="717"/>
      <c r="CG1999" s="717"/>
      <c r="CH1999" s="717"/>
      <c r="CI1999" s="717"/>
      <c r="CJ1999" s="717"/>
      <c r="CK1999" s="717"/>
      <c r="CL1999" s="717"/>
      <c r="CM1999" s="717"/>
      <c r="CN1999" s="717"/>
      <c r="CO1999" s="717"/>
      <c r="CP1999" s="717"/>
      <c r="CQ1999" s="717"/>
      <c r="CR1999" s="717"/>
      <c r="CS1999" s="717"/>
      <c r="CT1999" s="717"/>
      <c r="CU1999" s="717"/>
      <c r="CV1999" s="717"/>
      <c r="CW1999" s="717"/>
      <c r="CX1999" s="717"/>
      <c r="CY1999" s="717"/>
      <c r="CZ1999" s="717"/>
      <c r="DA1999" s="717"/>
      <c r="DB1999" s="717"/>
      <c r="DC1999" s="717"/>
      <c r="DD1999" s="717"/>
      <c r="DE1999" s="717"/>
      <c r="DF1999" s="717"/>
      <c r="DG1999" s="717"/>
      <c r="DH1999" s="717"/>
      <c r="DI1999" s="717"/>
      <c r="DJ1999" s="717"/>
      <c r="DM1999" s="711"/>
      <c r="DN1999" s="711"/>
      <c r="DO1999" s="711"/>
      <c r="DP1999" s="711"/>
      <c r="DQ1999" s="711"/>
    </row>
    <row r="2000" spans="13:121" s="709" customFormat="1" hidden="1">
      <c r="M2000" s="710"/>
      <c r="P2000" s="711"/>
      <c r="Q2000" s="712"/>
      <c r="U2000" s="711"/>
      <c r="V2000" s="711"/>
      <c r="W2000" s="711"/>
      <c r="X2000" s="711"/>
      <c r="Y2000" s="711"/>
      <c r="Z2000" s="711"/>
      <c r="AU2000" s="713"/>
      <c r="AW2000" s="712"/>
      <c r="BY2000" s="714"/>
      <c r="BZ2000" s="715"/>
      <c r="CA2000" s="716"/>
      <c r="CB2000" s="717"/>
      <c r="CC2000" s="717"/>
      <c r="CD2000" s="717"/>
      <c r="CE2000" s="717"/>
      <c r="CF2000" s="717"/>
      <c r="CG2000" s="717"/>
      <c r="CH2000" s="717"/>
      <c r="CI2000" s="717"/>
      <c r="CJ2000" s="717"/>
      <c r="CK2000" s="717"/>
      <c r="CL2000" s="717"/>
      <c r="CM2000" s="717"/>
      <c r="CN2000" s="717"/>
      <c r="CO2000" s="717"/>
      <c r="CP2000" s="717"/>
      <c r="CQ2000" s="717"/>
      <c r="CR2000" s="717"/>
      <c r="CS2000" s="717"/>
      <c r="CT2000" s="717"/>
      <c r="CU2000" s="717"/>
      <c r="CV2000" s="717"/>
      <c r="CW2000" s="717"/>
      <c r="CX2000" s="717"/>
      <c r="CY2000" s="717"/>
      <c r="CZ2000" s="717"/>
      <c r="DA2000" s="717"/>
      <c r="DB2000" s="717"/>
      <c r="DC2000" s="717"/>
      <c r="DD2000" s="717"/>
      <c r="DE2000" s="717"/>
      <c r="DF2000" s="717"/>
      <c r="DG2000" s="717"/>
      <c r="DH2000" s="717"/>
      <c r="DI2000" s="717"/>
      <c r="DJ2000" s="717"/>
      <c r="DM2000" s="711"/>
      <c r="DN2000" s="711"/>
      <c r="DO2000" s="711"/>
      <c r="DP2000" s="711"/>
      <c r="DQ2000" s="711"/>
    </row>
    <row r="2001" spans="13:121" s="709" customFormat="1" hidden="1">
      <c r="M2001" s="710"/>
      <c r="P2001" s="711"/>
      <c r="Q2001" s="712"/>
      <c r="U2001" s="711"/>
      <c r="V2001" s="711"/>
      <c r="W2001" s="711"/>
      <c r="X2001" s="711"/>
      <c r="Y2001" s="711"/>
      <c r="Z2001" s="711"/>
      <c r="AU2001" s="713"/>
      <c r="AW2001" s="712"/>
      <c r="BY2001" s="714"/>
      <c r="BZ2001" s="715"/>
      <c r="CA2001" s="716"/>
      <c r="CB2001" s="717"/>
      <c r="CC2001" s="717"/>
      <c r="CD2001" s="717"/>
      <c r="CE2001" s="717"/>
      <c r="CF2001" s="717"/>
      <c r="CG2001" s="717"/>
      <c r="CH2001" s="717"/>
      <c r="CI2001" s="717"/>
      <c r="CJ2001" s="717"/>
      <c r="CK2001" s="717"/>
      <c r="CL2001" s="717"/>
      <c r="CM2001" s="717"/>
      <c r="CN2001" s="717"/>
      <c r="CO2001" s="717"/>
      <c r="CP2001" s="717"/>
      <c r="CQ2001" s="717"/>
      <c r="CR2001" s="717"/>
      <c r="CS2001" s="717"/>
      <c r="CT2001" s="717"/>
      <c r="CU2001" s="717"/>
      <c r="CV2001" s="717"/>
      <c r="CW2001" s="717"/>
      <c r="CX2001" s="717"/>
      <c r="CY2001" s="717"/>
      <c r="CZ2001" s="717"/>
      <c r="DA2001" s="717"/>
      <c r="DB2001" s="717"/>
      <c r="DC2001" s="717"/>
      <c r="DD2001" s="717"/>
      <c r="DE2001" s="717"/>
      <c r="DF2001" s="717"/>
      <c r="DG2001" s="717"/>
      <c r="DH2001" s="717"/>
      <c r="DI2001" s="717"/>
      <c r="DJ2001" s="717"/>
      <c r="DM2001" s="711"/>
      <c r="DN2001" s="711"/>
      <c r="DO2001" s="711"/>
      <c r="DP2001" s="711"/>
      <c r="DQ2001" s="711"/>
    </row>
    <row r="2002" spans="13:121" s="709" customFormat="1" hidden="1">
      <c r="M2002" s="710"/>
      <c r="P2002" s="711"/>
      <c r="Q2002" s="712"/>
      <c r="U2002" s="711"/>
      <c r="V2002" s="711"/>
      <c r="W2002" s="711"/>
      <c r="X2002" s="711"/>
      <c r="Y2002" s="711"/>
      <c r="Z2002" s="711"/>
      <c r="AU2002" s="713"/>
      <c r="AW2002" s="712"/>
      <c r="BY2002" s="714"/>
      <c r="BZ2002" s="715"/>
      <c r="CA2002" s="716"/>
      <c r="CB2002" s="717"/>
      <c r="CC2002" s="717"/>
      <c r="CD2002" s="717"/>
      <c r="CE2002" s="717"/>
      <c r="CF2002" s="717"/>
      <c r="CG2002" s="717"/>
      <c r="CH2002" s="717"/>
      <c r="CI2002" s="717"/>
      <c r="CJ2002" s="717"/>
      <c r="CK2002" s="717"/>
      <c r="CL2002" s="717"/>
      <c r="CM2002" s="717"/>
      <c r="CN2002" s="717"/>
      <c r="CO2002" s="717"/>
      <c r="CP2002" s="717"/>
      <c r="CQ2002" s="717"/>
      <c r="CR2002" s="717"/>
      <c r="CS2002" s="717"/>
      <c r="CT2002" s="717"/>
      <c r="CU2002" s="717"/>
      <c r="CV2002" s="717"/>
      <c r="CW2002" s="717"/>
      <c r="CX2002" s="717"/>
      <c r="CY2002" s="717"/>
      <c r="CZ2002" s="717"/>
      <c r="DA2002" s="717"/>
      <c r="DB2002" s="717"/>
      <c r="DC2002" s="717"/>
      <c r="DD2002" s="717"/>
      <c r="DE2002" s="717"/>
      <c r="DF2002" s="717"/>
      <c r="DG2002" s="717"/>
      <c r="DH2002" s="717"/>
      <c r="DI2002" s="717"/>
      <c r="DJ2002" s="717"/>
      <c r="DM2002" s="711"/>
      <c r="DN2002" s="711"/>
      <c r="DO2002" s="711"/>
      <c r="DP2002" s="711"/>
      <c r="DQ2002" s="711"/>
    </row>
    <row r="2003" spans="13:121" s="709" customFormat="1" hidden="1">
      <c r="M2003" s="710"/>
      <c r="P2003" s="711"/>
      <c r="Q2003" s="712"/>
      <c r="U2003" s="711"/>
      <c r="V2003" s="711"/>
      <c r="W2003" s="711"/>
      <c r="X2003" s="711"/>
      <c r="Y2003" s="711"/>
      <c r="Z2003" s="711"/>
      <c r="AU2003" s="713"/>
      <c r="AW2003" s="712"/>
      <c r="BY2003" s="714"/>
      <c r="BZ2003" s="715"/>
      <c r="CA2003" s="716"/>
      <c r="CB2003" s="717"/>
      <c r="CC2003" s="717"/>
      <c r="CD2003" s="717"/>
      <c r="CE2003" s="717"/>
      <c r="CF2003" s="717"/>
      <c r="CG2003" s="717"/>
      <c r="CH2003" s="717"/>
      <c r="CI2003" s="717"/>
      <c r="CJ2003" s="717"/>
      <c r="CK2003" s="717"/>
      <c r="CL2003" s="717"/>
      <c r="CM2003" s="717"/>
      <c r="CN2003" s="717"/>
      <c r="CO2003" s="717"/>
      <c r="CP2003" s="717"/>
      <c r="CQ2003" s="717"/>
      <c r="CR2003" s="717"/>
      <c r="CS2003" s="717"/>
      <c r="CT2003" s="717"/>
      <c r="CU2003" s="717"/>
      <c r="CV2003" s="717"/>
      <c r="CW2003" s="717"/>
      <c r="CX2003" s="717"/>
      <c r="CY2003" s="717"/>
      <c r="CZ2003" s="717"/>
      <c r="DA2003" s="717"/>
      <c r="DB2003" s="717"/>
      <c r="DC2003" s="717"/>
      <c r="DD2003" s="717"/>
      <c r="DE2003" s="717"/>
      <c r="DF2003" s="717"/>
      <c r="DG2003" s="717"/>
      <c r="DH2003" s="717"/>
      <c r="DI2003" s="717"/>
      <c r="DJ2003" s="717"/>
      <c r="DM2003" s="711"/>
      <c r="DN2003" s="711"/>
      <c r="DO2003" s="711"/>
      <c r="DP2003" s="711"/>
      <c r="DQ2003" s="711"/>
    </row>
    <row r="2004" spans="13:121" s="709" customFormat="1" hidden="1">
      <c r="M2004" s="710"/>
      <c r="P2004" s="711"/>
      <c r="Q2004" s="712"/>
      <c r="U2004" s="711"/>
      <c r="V2004" s="711"/>
      <c r="W2004" s="711"/>
      <c r="X2004" s="711"/>
      <c r="Y2004" s="711"/>
      <c r="Z2004" s="711"/>
      <c r="AU2004" s="713"/>
      <c r="AW2004" s="712"/>
      <c r="BY2004" s="714"/>
      <c r="BZ2004" s="715"/>
      <c r="CA2004" s="716"/>
      <c r="CB2004" s="717"/>
      <c r="CC2004" s="717"/>
      <c r="CD2004" s="717"/>
      <c r="CE2004" s="717"/>
      <c r="CF2004" s="717"/>
      <c r="CG2004" s="717"/>
      <c r="CH2004" s="717"/>
      <c r="CI2004" s="717"/>
      <c r="CJ2004" s="717"/>
      <c r="CK2004" s="717"/>
      <c r="CL2004" s="717"/>
      <c r="CM2004" s="717"/>
      <c r="CN2004" s="717"/>
      <c r="CO2004" s="717"/>
      <c r="CP2004" s="717"/>
      <c r="CQ2004" s="717"/>
      <c r="CR2004" s="717"/>
      <c r="CS2004" s="717"/>
      <c r="CT2004" s="717"/>
      <c r="CU2004" s="717"/>
      <c r="CV2004" s="717"/>
      <c r="CW2004" s="717"/>
      <c r="CX2004" s="717"/>
      <c r="CY2004" s="717"/>
      <c r="CZ2004" s="717"/>
      <c r="DA2004" s="717"/>
      <c r="DB2004" s="717"/>
      <c r="DC2004" s="717"/>
      <c r="DD2004" s="717"/>
      <c r="DE2004" s="717"/>
      <c r="DF2004" s="717"/>
      <c r="DG2004" s="717"/>
      <c r="DH2004" s="717"/>
      <c r="DI2004" s="717"/>
      <c r="DJ2004" s="717"/>
      <c r="DM2004" s="711"/>
      <c r="DN2004" s="711"/>
      <c r="DO2004" s="711"/>
      <c r="DP2004" s="711"/>
      <c r="DQ2004" s="711"/>
    </row>
    <row r="2005" spans="13:121" s="709" customFormat="1" hidden="1">
      <c r="M2005" s="710"/>
      <c r="P2005" s="711"/>
      <c r="Q2005" s="712"/>
      <c r="U2005" s="711"/>
      <c r="V2005" s="711"/>
      <c r="W2005" s="711"/>
      <c r="X2005" s="711"/>
      <c r="Y2005" s="711"/>
      <c r="Z2005" s="711"/>
      <c r="AU2005" s="713"/>
      <c r="AW2005" s="712"/>
      <c r="BY2005" s="714"/>
      <c r="BZ2005" s="715"/>
      <c r="CA2005" s="716"/>
      <c r="CB2005" s="717"/>
      <c r="CC2005" s="717"/>
      <c r="CD2005" s="717"/>
      <c r="CE2005" s="717"/>
      <c r="CF2005" s="717"/>
      <c r="CG2005" s="717"/>
      <c r="CH2005" s="717"/>
      <c r="CI2005" s="717"/>
      <c r="CJ2005" s="717"/>
      <c r="CK2005" s="717"/>
      <c r="CL2005" s="717"/>
      <c r="CM2005" s="717"/>
      <c r="CN2005" s="717"/>
      <c r="CO2005" s="717"/>
      <c r="CP2005" s="717"/>
      <c r="CQ2005" s="717"/>
      <c r="CR2005" s="717"/>
      <c r="CS2005" s="717"/>
      <c r="CT2005" s="717"/>
      <c r="CU2005" s="717"/>
      <c r="CV2005" s="717"/>
      <c r="CW2005" s="717"/>
      <c r="CX2005" s="717"/>
      <c r="CY2005" s="717"/>
      <c r="CZ2005" s="717"/>
      <c r="DA2005" s="717"/>
      <c r="DB2005" s="717"/>
      <c r="DC2005" s="717"/>
      <c r="DD2005" s="717"/>
      <c r="DE2005" s="717"/>
      <c r="DF2005" s="717"/>
      <c r="DG2005" s="717"/>
      <c r="DH2005" s="717"/>
      <c r="DI2005" s="717"/>
      <c r="DJ2005" s="717"/>
      <c r="DM2005" s="711"/>
      <c r="DN2005" s="711"/>
      <c r="DO2005" s="711"/>
      <c r="DP2005" s="711"/>
      <c r="DQ2005" s="711"/>
    </row>
    <row r="2006" spans="13:121" s="709" customFormat="1" hidden="1">
      <c r="M2006" s="710"/>
      <c r="P2006" s="711"/>
      <c r="Q2006" s="712"/>
      <c r="U2006" s="711"/>
      <c r="V2006" s="711"/>
      <c r="W2006" s="711"/>
      <c r="X2006" s="711"/>
      <c r="Y2006" s="711"/>
      <c r="Z2006" s="711"/>
      <c r="AU2006" s="713"/>
      <c r="AW2006" s="712"/>
      <c r="BY2006" s="714"/>
      <c r="BZ2006" s="715"/>
      <c r="CA2006" s="716"/>
      <c r="CB2006" s="717"/>
      <c r="CC2006" s="717"/>
      <c r="CD2006" s="717"/>
      <c r="CE2006" s="717"/>
      <c r="CF2006" s="717"/>
      <c r="CG2006" s="717"/>
      <c r="CH2006" s="717"/>
      <c r="CI2006" s="717"/>
      <c r="CJ2006" s="717"/>
      <c r="CK2006" s="717"/>
      <c r="CL2006" s="717"/>
      <c r="CM2006" s="717"/>
      <c r="CN2006" s="717"/>
      <c r="CO2006" s="717"/>
      <c r="CP2006" s="717"/>
      <c r="CQ2006" s="717"/>
      <c r="CR2006" s="717"/>
      <c r="CS2006" s="717"/>
      <c r="CT2006" s="717"/>
      <c r="CU2006" s="717"/>
      <c r="CV2006" s="717"/>
      <c r="CW2006" s="717"/>
      <c r="CX2006" s="717"/>
      <c r="CY2006" s="717"/>
      <c r="CZ2006" s="717"/>
      <c r="DA2006" s="717"/>
      <c r="DB2006" s="717"/>
      <c r="DC2006" s="717"/>
      <c r="DD2006" s="717"/>
      <c r="DE2006" s="717"/>
      <c r="DF2006" s="717"/>
      <c r="DG2006" s="717"/>
      <c r="DH2006" s="717"/>
      <c r="DI2006" s="717"/>
      <c r="DJ2006" s="717"/>
      <c r="DM2006" s="711"/>
      <c r="DN2006" s="711"/>
      <c r="DO2006" s="711"/>
      <c r="DP2006" s="711"/>
      <c r="DQ2006" s="711"/>
    </row>
    <row r="2007" spans="13:121" s="709" customFormat="1" hidden="1">
      <c r="M2007" s="710"/>
      <c r="P2007" s="711"/>
      <c r="Q2007" s="712"/>
      <c r="U2007" s="711"/>
      <c r="V2007" s="711"/>
      <c r="W2007" s="711"/>
      <c r="X2007" s="711"/>
      <c r="Y2007" s="711"/>
      <c r="Z2007" s="711"/>
      <c r="AU2007" s="713"/>
      <c r="AW2007" s="712"/>
      <c r="BY2007" s="714"/>
      <c r="BZ2007" s="715"/>
      <c r="CA2007" s="716"/>
      <c r="CB2007" s="717"/>
      <c r="CC2007" s="717"/>
      <c r="CD2007" s="717"/>
      <c r="CE2007" s="717"/>
      <c r="CF2007" s="717"/>
      <c r="CG2007" s="717"/>
      <c r="CH2007" s="717"/>
      <c r="CI2007" s="717"/>
      <c r="CJ2007" s="717"/>
      <c r="CK2007" s="717"/>
      <c r="CL2007" s="717"/>
      <c r="CM2007" s="717"/>
      <c r="CN2007" s="717"/>
      <c r="CO2007" s="717"/>
      <c r="CP2007" s="717"/>
      <c r="CQ2007" s="717"/>
      <c r="CR2007" s="717"/>
      <c r="CS2007" s="717"/>
      <c r="CT2007" s="717"/>
      <c r="CU2007" s="717"/>
      <c r="CV2007" s="717"/>
      <c r="CW2007" s="717"/>
      <c r="CX2007" s="717"/>
      <c r="CY2007" s="717"/>
      <c r="CZ2007" s="717"/>
      <c r="DA2007" s="717"/>
      <c r="DB2007" s="717"/>
      <c r="DC2007" s="717"/>
      <c r="DD2007" s="717"/>
      <c r="DE2007" s="717"/>
      <c r="DF2007" s="717"/>
      <c r="DG2007" s="717"/>
      <c r="DH2007" s="717"/>
      <c r="DI2007" s="717"/>
      <c r="DJ2007" s="717"/>
      <c r="DM2007" s="711"/>
      <c r="DN2007" s="711"/>
      <c r="DO2007" s="711"/>
      <c r="DP2007" s="711"/>
      <c r="DQ2007" s="711"/>
    </row>
    <row r="2008" spans="13:121" s="709" customFormat="1" hidden="1">
      <c r="M2008" s="710"/>
      <c r="P2008" s="711"/>
      <c r="Q2008" s="712"/>
      <c r="U2008" s="711"/>
      <c r="V2008" s="711"/>
      <c r="W2008" s="711"/>
      <c r="X2008" s="711"/>
      <c r="Y2008" s="711"/>
      <c r="Z2008" s="711"/>
      <c r="AU2008" s="713"/>
      <c r="AW2008" s="712"/>
      <c r="BY2008" s="714"/>
      <c r="BZ2008" s="715"/>
      <c r="CA2008" s="716"/>
      <c r="CB2008" s="717"/>
      <c r="CC2008" s="717"/>
      <c r="CD2008" s="717"/>
      <c r="CE2008" s="717"/>
      <c r="CF2008" s="717"/>
      <c r="CG2008" s="717"/>
      <c r="CH2008" s="717"/>
      <c r="CI2008" s="717"/>
      <c r="CJ2008" s="717"/>
      <c r="CK2008" s="717"/>
      <c r="CL2008" s="717"/>
      <c r="CM2008" s="717"/>
      <c r="CN2008" s="717"/>
      <c r="CO2008" s="717"/>
      <c r="CP2008" s="717"/>
      <c r="CQ2008" s="717"/>
      <c r="CR2008" s="717"/>
      <c r="CS2008" s="717"/>
      <c r="CT2008" s="717"/>
      <c r="CU2008" s="717"/>
      <c r="CV2008" s="717"/>
      <c r="CW2008" s="717"/>
      <c r="CX2008" s="717"/>
      <c r="CY2008" s="717"/>
      <c r="CZ2008" s="717"/>
      <c r="DA2008" s="717"/>
      <c r="DB2008" s="717"/>
      <c r="DC2008" s="717"/>
      <c r="DD2008" s="717"/>
      <c r="DE2008" s="717"/>
      <c r="DF2008" s="717"/>
      <c r="DG2008" s="717"/>
      <c r="DH2008" s="717"/>
      <c r="DI2008" s="717"/>
      <c r="DJ2008" s="717"/>
      <c r="DM2008" s="711"/>
      <c r="DN2008" s="711"/>
      <c r="DO2008" s="711"/>
      <c r="DP2008" s="711"/>
      <c r="DQ2008" s="711"/>
    </row>
    <row r="2009" spans="13:121" s="709" customFormat="1" hidden="1">
      <c r="M2009" s="710"/>
      <c r="P2009" s="711"/>
      <c r="Q2009" s="712"/>
      <c r="U2009" s="711"/>
      <c r="V2009" s="711"/>
      <c r="W2009" s="711"/>
      <c r="X2009" s="711"/>
      <c r="Y2009" s="711"/>
      <c r="Z2009" s="711"/>
      <c r="AU2009" s="713"/>
      <c r="AW2009" s="712"/>
      <c r="BY2009" s="714"/>
      <c r="BZ2009" s="715"/>
      <c r="CA2009" s="716"/>
      <c r="CB2009" s="717"/>
      <c r="CC2009" s="717"/>
      <c r="CD2009" s="717"/>
      <c r="CE2009" s="717"/>
      <c r="CF2009" s="717"/>
      <c r="CG2009" s="717"/>
      <c r="CH2009" s="717"/>
      <c r="CI2009" s="717"/>
      <c r="CJ2009" s="717"/>
      <c r="CK2009" s="717"/>
      <c r="CL2009" s="717"/>
      <c r="CM2009" s="717"/>
      <c r="CN2009" s="717"/>
      <c r="CO2009" s="717"/>
      <c r="CP2009" s="717"/>
      <c r="CQ2009" s="717"/>
      <c r="CR2009" s="717"/>
      <c r="CS2009" s="717"/>
      <c r="CT2009" s="717"/>
      <c r="CU2009" s="717"/>
      <c r="CV2009" s="717"/>
      <c r="CW2009" s="717"/>
      <c r="CX2009" s="717"/>
      <c r="CY2009" s="717"/>
      <c r="CZ2009" s="717"/>
      <c r="DA2009" s="717"/>
      <c r="DB2009" s="717"/>
      <c r="DC2009" s="717"/>
      <c r="DD2009" s="717"/>
      <c r="DE2009" s="717"/>
      <c r="DF2009" s="717"/>
      <c r="DG2009" s="717"/>
      <c r="DH2009" s="717"/>
      <c r="DI2009" s="717"/>
      <c r="DJ2009" s="717"/>
      <c r="DM2009" s="711"/>
      <c r="DN2009" s="711"/>
      <c r="DO2009" s="711"/>
      <c r="DP2009" s="711"/>
      <c r="DQ2009" s="711"/>
    </row>
    <row r="2010" spans="13:121" s="709" customFormat="1" hidden="1">
      <c r="M2010" s="710"/>
      <c r="P2010" s="711"/>
      <c r="Q2010" s="712"/>
      <c r="U2010" s="711"/>
      <c r="V2010" s="711"/>
      <c r="W2010" s="711"/>
      <c r="X2010" s="711"/>
      <c r="Y2010" s="711"/>
      <c r="Z2010" s="711"/>
      <c r="AU2010" s="713"/>
      <c r="AW2010" s="712"/>
      <c r="BY2010" s="714"/>
      <c r="BZ2010" s="715"/>
      <c r="CA2010" s="716"/>
      <c r="CB2010" s="717"/>
      <c r="CC2010" s="717"/>
      <c r="CD2010" s="717"/>
      <c r="CE2010" s="717"/>
      <c r="CF2010" s="717"/>
      <c r="CG2010" s="717"/>
      <c r="CH2010" s="717"/>
      <c r="CI2010" s="717"/>
      <c r="CJ2010" s="717"/>
      <c r="CK2010" s="717"/>
      <c r="CL2010" s="717"/>
      <c r="CM2010" s="717"/>
      <c r="CN2010" s="717"/>
      <c r="CO2010" s="717"/>
      <c r="CP2010" s="717"/>
      <c r="CQ2010" s="717"/>
      <c r="CR2010" s="717"/>
      <c r="CS2010" s="717"/>
      <c r="CT2010" s="717"/>
      <c r="CU2010" s="717"/>
      <c r="CV2010" s="717"/>
      <c r="CW2010" s="717"/>
      <c r="CX2010" s="717"/>
      <c r="CY2010" s="717"/>
      <c r="CZ2010" s="717"/>
      <c r="DA2010" s="717"/>
      <c r="DB2010" s="717"/>
      <c r="DC2010" s="717"/>
      <c r="DD2010" s="717"/>
      <c r="DE2010" s="717"/>
      <c r="DF2010" s="717"/>
      <c r="DG2010" s="717"/>
      <c r="DH2010" s="717"/>
      <c r="DI2010" s="717"/>
      <c r="DJ2010" s="717"/>
      <c r="DM2010" s="711"/>
      <c r="DN2010" s="711"/>
      <c r="DO2010" s="711"/>
      <c r="DP2010" s="711"/>
      <c r="DQ2010" s="711"/>
    </row>
    <row r="2011" spans="13:121" s="709" customFormat="1" hidden="1">
      <c r="M2011" s="710"/>
      <c r="P2011" s="711"/>
      <c r="Q2011" s="712"/>
      <c r="U2011" s="711"/>
      <c r="V2011" s="711"/>
      <c r="W2011" s="711"/>
      <c r="X2011" s="711"/>
      <c r="Y2011" s="711"/>
      <c r="Z2011" s="711"/>
      <c r="AU2011" s="713"/>
      <c r="AW2011" s="712"/>
      <c r="BY2011" s="714"/>
      <c r="BZ2011" s="715"/>
      <c r="CA2011" s="716"/>
      <c r="CB2011" s="717"/>
      <c r="CC2011" s="717"/>
      <c r="CD2011" s="717"/>
      <c r="CE2011" s="717"/>
      <c r="CF2011" s="717"/>
      <c r="CG2011" s="717"/>
      <c r="CH2011" s="717"/>
      <c r="CI2011" s="717"/>
      <c r="CJ2011" s="717"/>
      <c r="CK2011" s="717"/>
      <c r="CL2011" s="717"/>
      <c r="CM2011" s="717"/>
      <c r="CN2011" s="717"/>
      <c r="CO2011" s="717"/>
      <c r="CP2011" s="717"/>
      <c r="CQ2011" s="717"/>
      <c r="CR2011" s="717"/>
      <c r="CS2011" s="717"/>
      <c r="CT2011" s="717"/>
      <c r="CU2011" s="717"/>
      <c r="CV2011" s="717"/>
      <c r="CW2011" s="717"/>
      <c r="CX2011" s="717"/>
      <c r="CY2011" s="717"/>
      <c r="CZ2011" s="717"/>
      <c r="DA2011" s="717"/>
      <c r="DB2011" s="717"/>
      <c r="DC2011" s="717"/>
      <c r="DD2011" s="717"/>
      <c r="DE2011" s="717"/>
      <c r="DF2011" s="717"/>
      <c r="DG2011" s="717"/>
      <c r="DH2011" s="717"/>
      <c r="DI2011" s="717"/>
      <c r="DJ2011" s="717"/>
      <c r="DM2011" s="711"/>
      <c r="DN2011" s="711"/>
      <c r="DO2011" s="711"/>
      <c r="DP2011" s="711"/>
      <c r="DQ2011" s="711"/>
    </row>
    <row r="2012" spans="13:121" s="709" customFormat="1" hidden="1">
      <c r="M2012" s="710"/>
      <c r="P2012" s="711"/>
      <c r="Q2012" s="712"/>
      <c r="U2012" s="711"/>
      <c r="V2012" s="711"/>
      <c r="W2012" s="711"/>
      <c r="X2012" s="711"/>
      <c r="Y2012" s="711"/>
      <c r="Z2012" s="711"/>
      <c r="AU2012" s="713"/>
      <c r="AW2012" s="712"/>
      <c r="BY2012" s="714"/>
      <c r="BZ2012" s="715"/>
      <c r="CA2012" s="716"/>
      <c r="CB2012" s="717"/>
      <c r="CC2012" s="717"/>
      <c r="CD2012" s="717"/>
      <c r="CE2012" s="717"/>
      <c r="CF2012" s="717"/>
      <c r="CG2012" s="717"/>
      <c r="CH2012" s="717"/>
      <c r="CI2012" s="717"/>
      <c r="CJ2012" s="717"/>
      <c r="CK2012" s="717"/>
      <c r="CL2012" s="717"/>
      <c r="CM2012" s="717"/>
      <c r="CN2012" s="717"/>
      <c r="CO2012" s="717"/>
      <c r="CP2012" s="717"/>
      <c r="CQ2012" s="717"/>
      <c r="CR2012" s="717"/>
      <c r="CS2012" s="717"/>
      <c r="CT2012" s="717"/>
      <c r="CU2012" s="717"/>
      <c r="CV2012" s="717"/>
      <c r="CW2012" s="717"/>
      <c r="CX2012" s="717"/>
      <c r="CY2012" s="717"/>
      <c r="CZ2012" s="717"/>
      <c r="DA2012" s="717"/>
      <c r="DB2012" s="717"/>
      <c r="DC2012" s="717"/>
      <c r="DD2012" s="717"/>
      <c r="DE2012" s="717"/>
      <c r="DF2012" s="717"/>
      <c r="DG2012" s="717"/>
      <c r="DH2012" s="717"/>
      <c r="DI2012" s="717"/>
      <c r="DJ2012" s="717"/>
      <c r="DM2012" s="711"/>
      <c r="DN2012" s="711"/>
      <c r="DO2012" s="711"/>
      <c r="DP2012" s="711"/>
      <c r="DQ2012" s="711"/>
    </row>
    <row r="2013" spans="13:121" s="709" customFormat="1" hidden="1">
      <c r="M2013" s="710"/>
      <c r="P2013" s="711"/>
      <c r="Q2013" s="712"/>
      <c r="U2013" s="711"/>
      <c r="V2013" s="711"/>
      <c r="W2013" s="711"/>
      <c r="X2013" s="711"/>
      <c r="Y2013" s="711"/>
      <c r="Z2013" s="711"/>
      <c r="AU2013" s="713"/>
      <c r="AW2013" s="712"/>
      <c r="BY2013" s="714"/>
      <c r="BZ2013" s="715"/>
      <c r="CA2013" s="716"/>
      <c r="CB2013" s="717"/>
      <c r="CC2013" s="717"/>
      <c r="CD2013" s="717"/>
      <c r="CE2013" s="717"/>
      <c r="CF2013" s="717"/>
      <c r="CG2013" s="717"/>
      <c r="CH2013" s="717"/>
      <c r="CI2013" s="717"/>
      <c r="CJ2013" s="717"/>
      <c r="CK2013" s="717"/>
      <c r="CL2013" s="717"/>
      <c r="CM2013" s="717"/>
      <c r="CN2013" s="717"/>
      <c r="CO2013" s="717"/>
      <c r="CP2013" s="717"/>
      <c r="CQ2013" s="717"/>
      <c r="CR2013" s="717"/>
      <c r="CS2013" s="717"/>
      <c r="CT2013" s="717"/>
      <c r="CU2013" s="717"/>
      <c r="CV2013" s="717"/>
      <c r="CW2013" s="717"/>
      <c r="CX2013" s="717"/>
      <c r="CY2013" s="717"/>
      <c r="CZ2013" s="717"/>
      <c r="DA2013" s="717"/>
      <c r="DB2013" s="717"/>
      <c r="DC2013" s="717"/>
      <c r="DD2013" s="717"/>
      <c r="DE2013" s="717"/>
      <c r="DF2013" s="717"/>
      <c r="DG2013" s="717"/>
      <c r="DH2013" s="717"/>
      <c r="DI2013" s="717"/>
      <c r="DJ2013" s="717"/>
      <c r="DM2013" s="711"/>
      <c r="DN2013" s="711"/>
      <c r="DO2013" s="711"/>
      <c r="DP2013" s="711"/>
      <c r="DQ2013" s="711"/>
    </row>
    <row r="2014" spans="13:121" s="709" customFormat="1" hidden="1">
      <c r="M2014" s="710"/>
      <c r="P2014" s="711"/>
      <c r="Q2014" s="712"/>
      <c r="U2014" s="711"/>
      <c r="V2014" s="711"/>
      <c r="W2014" s="711"/>
      <c r="X2014" s="711"/>
      <c r="Y2014" s="711"/>
      <c r="Z2014" s="711"/>
      <c r="AU2014" s="713"/>
      <c r="AW2014" s="712"/>
      <c r="BY2014" s="714"/>
      <c r="BZ2014" s="715"/>
      <c r="CA2014" s="716"/>
      <c r="CB2014" s="717"/>
      <c r="CC2014" s="717"/>
      <c r="CD2014" s="717"/>
      <c r="CE2014" s="717"/>
      <c r="CF2014" s="717"/>
      <c r="CG2014" s="717"/>
      <c r="CH2014" s="717"/>
      <c r="CI2014" s="717"/>
      <c r="CJ2014" s="717"/>
      <c r="CK2014" s="717"/>
      <c r="CL2014" s="717"/>
      <c r="CM2014" s="717"/>
      <c r="CN2014" s="717"/>
      <c r="CO2014" s="717"/>
      <c r="CP2014" s="717"/>
      <c r="CQ2014" s="717"/>
      <c r="CR2014" s="717"/>
      <c r="CS2014" s="717"/>
      <c r="CT2014" s="717"/>
      <c r="CU2014" s="717"/>
      <c r="CV2014" s="717"/>
      <c r="CW2014" s="717"/>
      <c r="CX2014" s="717"/>
      <c r="CY2014" s="717"/>
      <c r="CZ2014" s="717"/>
      <c r="DA2014" s="717"/>
      <c r="DB2014" s="717"/>
      <c r="DC2014" s="717"/>
      <c r="DD2014" s="717"/>
      <c r="DE2014" s="717"/>
      <c r="DF2014" s="717"/>
      <c r="DG2014" s="717"/>
      <c r="DH2014" s="717"/>
      <c r="DI2014" s="717"/>
      <c r="DJ2014" s="717"/>
      <c r="DM2014" s="711"/>
      <c r="DN2014" s="711"/>
      <c r="DO2014" s="711"/>
      <c r="DP2014" s="711"/>
      <c r="DQ2014" s="711"/>
    </row>
    <row r="2015" spans="13:121" s="709" customFormat="1" hidden="1">
      <c r="M2015" s="710"/>
      <c r="P2015" s="711"/>
      <c r="Q2015" s="712"/>
      <c r="U2015" s="711"/>
      <c r="V2015" s="711"/>
      <c r="W2015" s="711"/>
      <c r="X2015" s="711"/>
      <c r="Y2015" s="711"/>
      <c r="Z2015" s="711"/>
      <c r="AU2015" s="713"/>
      <c r="AW2015" s="712"/>
      <c r="BY2015" s="714"/>
      <c r="BZ2015" s="715"/>
      <c r="CA2015" s="716"/>
      <c r="CB2015" s="717"/>
      <c r="CC2015" s="717"/>
      <c r="CD2015" s="717"/>
      <c r="CE2015" s="717"/>
      <c r="CF2015" s="717"/>
      <c r="CG2015" s="717"/>
      <c r="CH2015" s="717"/>
      <c r="CI2015" s="717"/>
      <c r="CJ2015" s="717"/>
      <c r="CK2015" s="717"/>
      <c r="CL2015" s="717"/>
      <c r="CM2015" s="717"/>
      <c r="CN2015" s="717"/>
      <c r="CO2015" s="717"/>
      <c r="CP2015" s="717"/>
      <c r="CQ2015" s="717"/>
      <c r="CR2015" s="717"/>
      <c r="CS2015" s="717"/>
      <c r="CT2015" s="717"/>
      <c r="CU2015" s="717"/>
      <c r="CV2015" s="717"/>
      <c r="CW2015" s="717"/>
      <c r="CX2015" s="717"/>
      <c r="CY2015" s="717"/>
      <c r="CZ2015" s="717"/>
      <c r="DA2015" s="717"/>
      <c r="DB2015" s="717"/>
      <c r="DC2015" s="717"/>
      <c r="DD2015" s="717"/>
      <c r="DE2015" s="717"/>
      <c r="DF2015" s="717"/>
      <c r="DG2015" s="717"/>
      <c r="DH2015" s="717"/>
      <c r="DI2015" s="717"/>
      <c r="DJ2015" s="717"/>
      <c r="DM2015" s="711"/>
      <c r="DN2015" s="711"/>
      <c r="DO2015" s="711"/>
      <c r="DP2015" s="711"/>
      <c r="DQ2015" s="711"/>
    </row>
    <row r="2016" spans="13:121" s="709" customFormat="1" hidden="1">
      <c r="M2016" s="710"/>
      <c r="P2016" s="711"/>
      <c r="Q2016" s="712"/>
      <c r="U2016" s="711"/>
      <c r="V2016" s="711"/>
      <c r="W2016" s="711"/>
      <c r="X2016" s="711"/>
      <c r="Y2016" s="711"/>
      <c r="Z2016" s="711"/>
      <c r="AU2016" s="713"/>
      <c r="AW2016" s="712"/>
      <c r="BY2016" s="714"/>
      <c r="BZ2016" s="715"/>
      <c r="CA2016" s="716"/>
      <c r="CB2016" s="717"/>
      <c r="CC2016" s="717"/>
      <c r="CD2016" s="717"/>
      <c r="CE2016" s="717"/>
      <c r="CF2016" s="717"/>
      <c r="CG2016" s="717"/>
      <c r="CH2016" s="717"/>
      <c r="CI2016" s="717"/>
      <c r="CJ2016" s="717"/>
      <c r="CK2016" s="717"/>
      <c r="CL2016" s="717"/>
      <c r="CM2016" s="717"/>
      <c r="CN2016" s="717"/>
      <c r="CO2016" s="717"/>
      <c r="CP2016" s="717"/>
      <c r="CQ2016" s="717"/>
      <c r="CR2016" s="717"/>
      <c r="CS2016" s="717"/>
      <c r="CT2016" s="717"/>
      <c r="CU2016" s="717"/>
      <c r="CV2016" s="717"/>
      <c r="CW2016" s="717"/>
      <c r="CX2016" s="717"/>
      <c r="CY2016" s="717"/>
      <c r="CZ2016" s="717"/>
      <c r="DA2016" s="717"/>
      <c r="DB2016" s="717"/>
      <c r="DC2016" s="717"/>
      <c r="DD2016" s="717"/>
      <c r="DE2016" s="717"/>
      <c r="DF2016" s="717"/>
      <c r="DG2016" s="717"/>
      <c r="DH2016" s="717"/>
      <c r="DI2016" s="717"/>
      <c r="DJ2016" s="717"/>
      <c r="DM2016" s="711"/>
      <c r="DN2016" s="711"/>
      <c r="DO2016" s="711"/>
      <c r="DP2016" s="711"/>
      <c r="DQ2016" s="711"/>
    </row>
    <row r="2017" spans="13:121" s="709" customFormat="1" hidden="1">
      <c r="M2017" s="710"/>
      <c r="P2017" s="711"/>
      <c r="Q2017" s="712"/>
      <c r="U2017" s="711"/>
      <c r="V2017" s="711"/>
      <c r="W2017" s="711"/>
      <c r="X2017" s="711"/>
      <c r="Y2017" s="711"/>
      <c r="Z2017" s="711"/>
      <c r="AU2017" s="713"/>
      <c r="AW2017" s="712"/>
      <c r="BY2017" s="714"/>
      <c r="BZ2017" s="715"/>
      <c r="CA2017" s="716"/>
      <c r="CB2017" s="717"/>
      <c r="CC2017" s="717"/>
      <c r="CD2017" s="717"/>
      <c r="CE2017" s="717"/>
      <c r="CF2017" s="717"/>
      <c r="CG2017" s="717"/>
      <c r="CH2017" s="717"/>
      <c r="CI2017" s="717"/>
      <c r="CJ2017" s="717"/>
      <c r="CK2017" s="717"/>
      <c r="CL2017" s="717"/>
      <c r="CM2017" s="717"/>
      <c r="CN2017" s="717"/>
      <c r="CO2017" s="717"/>
      <c r="CP2017" s="717"/>
      <c r="CQ2017" s="717"/>
      <c r="CR2017" s="717"/>
      <c r="CS2017" s="717"/>
      <c r="CT2017" s="717"/>
      <c r="CU2017" s="717"/>
      <c r="CV2017" s="717"/>
      <c r="CW2017" s="717"/>
      <c r="CX2017" s="717"/>
      <c r="CY2017" s="717"/>
      <c r="CZ2017" s="717"/>
      <c r="DA2017" s="717"/>
      <c r="DB2017" s="717"/>
      <c r="DC2017" s="717"/>
      <c r="DD2017" s="717"/>
      <c r="DE2017" s="717"/>
      <c r="DF2017" s="717"/>
      <c r="DG2017" s="717"/>
      <c r="DH2017" s="717"/>
      <c r="DI2017" s="717"/>
      <c r="DJ2017" s="717"/>
      <c r="DM2017" s="711"/>
      <c r="DN2017" s="711"/>
      <c r="DO2017" s="711"/>
      <c r="DP2017" s="711"/>
      <c r="DQ2017" s="711"/>
    </row>
    <row r="2018" spans="13:121" s="709" customFormat="1" hidden="1">
      <c r="M2018" s="710"/>
      <c r="P2018" s="711"/>
      <c r="Q2018" s="712"/>
      <c r="U2018" s="711"/>
      <c r="V2018" s="711"/>
      <c r="W2018" s="711"/>
      <c r="X2018" s="711"/>
      <c r="Y2018" s="711"/>
      <c r="Z2018" s="711"/>
      <c r="AU2018" s="713"/>
      <c r="AW2018" s="712"/>
      <c r="BY2018" s="714"/>
      <c r="BZ2018" s="715"/>
      <c r="CA2018" s="716"/>
      <c r="CB2018" s="717"/>
      <c r="CC2018" s="717"/>
      <c r="CD2018" s="717"/>
      <c r="CE2018" s="717"/>
      <c r="CF2018" s="717"/>
      <c r="CG2018" s="717"/>
      <c r="CH2018" s="717"/>
      <c r="CI2018" s="717"/>
      <c r="CJ2018" s="717"/>
      <c r="CK2018" s="717"/>
      <c r="CL2018" s="717"/>
      <c r="CM2018" s="717"/>
      <c r="CN2018" s="717"/>
      <c r="CO2018" s="717"/>
      <c r="CP2018" s="717"/>
      <c r="CQ2018" s="717"/>
      <c r="CR2018" s="717"/>
      <c r="CS2018" s="717"/>
      <c r="CT2018" s="717"/>
      <c r="CU2018" s="717"/>
      <c r="CV2018" s="717"/>
      <c r="CW2018" s="717"/>
      <c r="CX2018" s="717"/>
      <c r="CY2018" s="717"/>
      <c r="CZ2018" s="717"/>
      <c r="DA2018" s="717"/>
      <c r="DB2018" s="717"/>
      <c r="DC2018" s="717"/>
      <c r="DD2018" s="717"/>
      <c r="DE2018" s="717"/>
      <c r="DF2018" s="717"/>
      <c r="DG2018" s="717"/>
      <c r="DH2018" s="717"/>
      <c r="DI2018" s="717"/>
      <c r="DJ2018" s="717"/>
      <c r="DM2018" s="711"/>
      <c r="DN2018" s="711"/>
      <c r="DO2018" s="711"/>
      <c r="DP2018" s="711"/>
      <c r="DQ2018" s="711"/>
    </row>
    <row r="2019" spans="13:121" s="709" customFormat="1" hidden="1">
      <c r="M2019" s="710"/>
      <c r="P2019" s="711"/>
      <c r="Q2019" s="712"/>
      <c r="U2019" s="711"/>
      <c r="V2019" s="711"/>
      <c r="W2019" s="711"/>
      <c r="X2019" s="711"/>
      <c r="Y2019" s="711"/>
      <c r="Z2019" s="711"/>
      <c r="AU2019" s="713"/>
      <c r="AW2019" s="712"/>
      <c r="BY2019" s="714"/>
      <c r="BZ2019" s="715"/>
      <c r="CA2019" s="716"/>
      <c r="CB2019" s="717"/>
      <c r="CC2019" s="717"/>
      <c r="CD2019" s="717"/>
      <c r="CE2019" s="717"/>
      <c r="CF2019" s="717"/>
      <c r="CG2019" s="717"/>
      <c r="CH2019" s="717"/>
      <c r="CI2019" s="717"/>
      <c r="CJ2019" s="717"/>
      <c r="CK2019" s="717"/>
      <c r="CL2019" s="717"/>
      <c r="CM2019" s="717"/>
      <c r="CN2019" s="717"/>
      <c r="CO2019" s="717"/>
      <c r="CP2019" s="717"/>
      <c r="CQ2019" s="717"/>
      <c r="CR2019" s="717"/>
      <c r="CS2019" s="717"/>
      <c r="CT2019" s="717"/>
      <c r="CU2019" s="717"/>
      <c r="CV2019" s="717"/>
      <c r="CW2019" s="717"/>
      <c r="CX2019" s="717"/>
      <c r="CY2019" s="717"/>
      <c r="CZ2019" s="717"/>
      <c r="DA2019" s="717"/>
      <c r="DB2019" s="717"/>
      <c r="DC2019" s="717"/>
      <c r="DD2019" s="717"/>
      <c r="DE2019" s="717"/>
      <c r="DF2019" s="717"/>
      <c r="DG2019" s="717"/>
      <c r="DH2019" s="717"/>
      <c r="DI2019" s="717"/>
      <c r="DJ2019" s="717"/>
      <c r="DM2019" s="711"/>
      <c r="DN2019" s="711"/>
      <c r="DO2019" s="711"/>
      <c r="DP2019" s="711"/>
      <c r="DQ2019" s="711"/>
    </row>
    <row r="2020" spans="13:121" s="709" customFormat="1" hidden="1">
      <c r="M2020" s="710"/>
      <c r="P2020" s="711"/>
      <c r="Q2020" s="712"/>
      <c r="U2020" s="711"/>
      <c r="V2020" s="711"/>
      <c r="W2020" s="711"/>
      <c r="X2020" s="711"/>
      <c r="Y2020" s="711"/>
      <c r="Z2020" s="711"/>
      <c r="AU2020" s="713"/>
      <c r="AW2020" s="712"/>
      <c r="BY2020" s="714"/>
      <c r="BZ2020" s="715"/>
      <c r="CA2020" s="716"/>
      <c r="CB2020" s="717"/>
      <c r="CC2020" s="717"/>
      <c r="CD2020" s="717"/>
      <c r="CE2020" s="717"/>
      <c r="CF2020" s="717"/>
      <c r="CG2020" s="717"/>
      <c r="CH2020" s="717"/>
      <c r="CI2020" s="717"/>
      <c r="CJ2020" s="717"/>
      <c r="CK2020" s="717"/>
      <c r="CL2020" s="717"/>
      <c r="CM2020" s="717"/>
      <c r="CN2020" s="717"/>
      <c r="CO2020" s="717"/>
      <c r="CP2020" s="717"/>
      <c r="CQ2020" s="717"/>
      <c r="CR2020" s="717"/>
      <c r="CS2020" s="717"/>
      <c r="CT2020" s="717"/>
      <c r="CU2020" s="717"/>
      <c r="CV2020" s="717"/>
      <c r="CW2020" s="717"/>
      <c r="CX2020" s="717"/>
      <c r="CY2020" s="717"/>
      <c r="CZ2020" s="717"/>
      <c r="DA2020" s="717"/>
      <c r="DB2020" s="717"/>
      <c r="DC2020" s="717"/>
      <c r="DD2020" s="717"/>
      <c r="DE2020" s="717"/>
      <c r="DF2020" s="717"/>
      <c r="DG2020" s="717"/>
      <c r="DH2020" s="717"/>
      <c r="DI2020" s="717"/>
      <c r="DJ2020" s="717"/>
      <c r="DM2020" s="711"/>
      <c r="DN2020" s="711"/>
      <c r="DO2020" s="711"/>
      <c r="DP2020" s="711"/>
      <c r="DQ2020" s="711"/>
    </row>
    <row r="2021" spans="13:121" s="709" customFormat="1" hidden="1">
      <c r="M2021" s="710"/>
      <c r="P2021" s="711"/>
      <c r="Q2021" s="712"/>
      <c r="U2021" s="711"/>
      <c r="V2021" s="711"/>
      <c r="W2021" s="711"/>
      <c r="X2021" s="711"/>
      <c r="Y2021" s="711"/>
      <c r="Z2021" s="711"/>
      <c r="AU2021" s="713"/>
      <c r="AW2021" s="712"/>
      <c r="BY2021" s="714"/>
      <c r="BZ2021" s="715"/>
      <c r="CA2021" s="716"/>
      <c r="CB2021" s="717"/>
      <c r="CC2021" s="717"/>
      <c r="CD2021" s="717"/>
      <c r="CE2021" s="717"/>
      <c r="CF2021" s="717"/>
      <c r="CG2021" s="717"/>
      <c r="CH2021" s="717"/>
      <c r="CI2021" s="717"/>
      <c r="CJ2021" s="717"/>
      <c r="CK2021" s="717"/>
      <c r="CL2021" s="717"/>
      <c r="CM2021" s="717"/>
      <c r="CN2021" s="717"/>
      <c r="CO2021" s="717"/>
      <c r="CP2021" s="717"/>
      <c r="CQ2021" s="717"/>
      <c r="CR2021" s="717"/>
      <c r="CS2021" s="717"/>
      <c r="CT2021" s="717"/>
      <c r="CU2021" s="717"/>
      <c r="CV2021" s="717"/>
      <c r="CW2021" s="717"/>
      <c r="CX2021" s="717"/>
      <c r="CY2021" s="717"/>
      <c r="CZ2021" s="717"/>
      <c r="DA2021" s="717"/>
      <c r="DB2021" s="717"/>
      <c r="DC2021" s="717"/>
      <c r="DD2021" s="717"/>
      <c r="DE2021" s="717"/>
      <c r="DF2021" s="717"/>
      <c r="DG2021" s="717"/>
      <c r="DH2021" s="717"/>
      <c r="DI2021" s="717"/>
      <c r="DJ2021" s="717"/>
      <c r="DM2021" s="711"/>
      <c r="DN2021" s="711"/>
      <c r="DO2021" s="711"/>
      <c r="DP2021" s="711"/>
      <c r="DQ2021" s="711"/>
    </row>
    <row r="2022" spans="13:121" s="709" customFormat="1" hidden="1">
      <c r="M2022" s="710"/>
      <c r="P2022" s="711"/>
      <c r="Q2022" s="712"/>
      <c r="U2022" s="711"/>
      <c r="V2022" s="711"/>
      <c r="W2022" s="711"/>
      <c r="X2022" s="711"/>
      <c r="Y2022" s="711"/>
      <c r="Z2022" s="711"/>
      <c r="AU2022" s="713"/>
      <c r="AW2022" s="712"/>
      <c r="BY2022" s="714"/>
      <c r="BZ2022" s="715"/>
      <c r="CA2022" s="716"/>
      <c r="CB2022" s="717"/>
      <c r="CC2022" s="717"/>
      <c r="CD2022" s="717"/>
      <c r="CE2022" s="717"/>
      <c r="CF2022" s="717"/>
      <c r="CG2022" s="717"/>
      <c r="CH2022" s="717"/>
      <c r="CI2022" s="717"/>
      <c r="CJ2022" s="717"/>
      <c r="CK2022" s="717"/>
      <c r="CL2022" s="717"/>
      <c r="CM2022" s="717"/>
      <c r="CN2022" s="717"/>
      <c r="CO2022" s="717"/>
      <c r="CP2022" s="717"/>
      <c r="CQ2022" s="717"/>
      <c r="CR2022" s="717"/>
      <c r="CS2022" s="717"/>
      <c r="CT2022" s="717"/>
      <c r="CU2022" s="717"/>
      <c r="CV2022" s="717"/>
      <c r="CW2022" s="717"/>
      <c r="CX2022" s="717"/>
      <c r="CY2022" s="717"/>
      <c r="CZ2022" s="717"/>
      <c r="DA2022" s="717"/>
      <c r="DB2022" s="717"/>
      <c r="DC2022" s="717"/>
      <c r="DD2022" s="717"/>
      <c r="DE2022" s="717"/>
      <c r="DF2022" s="717"/>
      <c r="DG2022" s="717"/>
      <c r="DH2022" s="717"/>
      <c r="DI2022" s="717"/>
      <c r="DJ2022" s="717"/>
      <c r="DM2022" s="711"/>
      <c r="DN2022" s="711"/>
      <c r="DO2022" s="711"/>
      <c r="DP2022" s="711"/>
      <c r="DQ2022" s="711"/>
    </row>
    <row r="2023" spans="13:121" s="709" customFormat="1" hidden="1">
      <c r="M2023" s="710"/>
      <c r="P2023" s="711"/>
      <c r="Q2023" s="712"/>
      <c r="U2023" s="711"/>
      <c r="V2023" s="711"/>
      <c r="W2023" s="711"/>
      <c r="X2023" s="711"/>
      <c r="Y2023" s="711"/>
      <c r="Z2023" s="711"/>
      <c r="AU2023" s="713"/>
      <c r="AW2023" s="712"/>
      <c r="BY2023" s="714"/>
      <c r="BZ2023" s="715"/>
      <c r="CA2023" s="716"/>
      <c r="CB2023" s="717"/>
      <c r="CC2023" s="717"/>
      <c r="CD2023" s="717"/>
      <c r="CE2023" s="717"/>
      <c r="CF2023" s="717"/>
      <c r="CG2023" s="717"/>
      <c r="CH2023" s="717"/>
      <c r="CI2023" s="717"/>
      <c r="CJ2023" s="717"/>
      <c r="CK2023" s="717"/>
      <c r="CL2023" s="717"/>
      <c r="CM2023" s="717"/>
      <c r="CN2023" s="717"/>
      <c r="CO2023" s="717"/>
      <c r="CP2023" s="717"/>
      <c r="CQ2023" s="717"/>
      <c r="CR2023" s="717"/>
      <c r="CS2023" s="717"/>
      <c r="CT2023" s="717"/>
      <c r="CU2023" s="717"/>
      <c r="CV2023" s="717"/>
      <c r="CW2023" s="717"/>
      <c r="CX2023" s="717"/>
      <c r="CY2023" s="717"/>
      <c r="CZ2023" s="717"/>
      <c r="DA2023" s="717"/>
      <c r="DB2023" s="717"/>
      <c r="DC2023" s="717"/>
      <c r="DD2023" s="717"/>
      <c r="DE2023" s="717"/>
      <c r="DF2023" s="717"/>
      <c r="DG2023" s="717"/>
      <c r="DH2023" s="717"/>
      <c r="DI2023" s="717"/>
      <c r="DJ2023" s="717"/>
      <c r="DM2023" s="711"/>
      <c r="DN2023" s="711"/>
      <c r="DO2023" s="711"/>
      <c r="DP2023" s="711"/>
      <c r="DQ2023" s="711"/>
    </row>
    <row r="2024" spans="13:121" s="709" customFormat="1" hidden="1">
      <c r="M2024" s="710"/>
      <c r="P2024" s="711"/>
      <c r="Q2024" s="712"/>
      <c r="U2024" s="711"/>
      <c r="V2024" s="711"/>
      <c r="W2024" s="711"/>
      <c r="X2024" s="711"/>
      <c r="Y2024" s="711"/>
      <c r="Z2024" s="711"/>
      <c r="AU2024" s="713"/>
      <c r="AW2024" s="712"/>
      <c r="BY2024" s="714"/>
      <c r="BZ2024" s="715"/>
      <c r="CA2024" s="716"/>
      <c r="CB2024" s="717"/>
      <c r="CC2024" s="717"/>
      <c r="CD2024" s="717"/>
      <c r="CE2024" s="717"/>
      <c r="CF2024" s="717"/>
      <c r="CG2024" s="717"/>
      <c r="CH2024" s="717"/>
      <c r="CI2024" s="717"/>
      <c r="CJ2024" s="717"/>
      <c r="CK2024" s="717"/>
      <c r="CL2024" s="717"/>
      <c r="CM2024" s="717"/>
      <c r="CN2024" s="717"/>
      <c r="CO2024" s="717"/>
      <c r="CP2024" s="717"/>
      <c r="CQ2024" s="717"/>
      <c r="CR2024" s="717"/>
      <c r="CS2024" s="717"/>
      <c r="CT2024" s="717"/>
      <c r="CU2024" s="717"/>
      <c r="CV2024" s="717"/>
      <c r="CW2024" s="717"/>
      <c r="CX2024" s="717"/>
      <c r="CY2024" s="717"/>
      <c r="CZ2024" s="717"/>
      <c r="DA2024" s="717"/>
      <c r="DB2024" s="717"/>
      <c r="DC2024" s="717"/>
      <c r="DD2024" s="717"/>
      <c r="DE2024" s="717"/>
      <c r="DF2024" s="717"/>
      <c r="DG2024" s="717"/>
      <c r="DH2024" s="717"/>
      <c r="DI2024" s="717"/>
      <c r="DJ2024" s="717"/>
      <c r="DM2024" s="711"/>
      <c r="DN2024" s="711"/>
      <c r="DO2024" s="711"/>
      <c r="DP2024" s="711"/>
      <c r="DQ2024" s="711"/>
    </row>
    <row r="2025" spans="13:121" s="709" customFormat="1" hidden="1">
      <c r="M2025" s="710"/>
      <c r="P2025" s="711"/>
      <c r="Q2025" s="712"/>
      <c r="U2025" s="711"/>
      <c r="V2025" s="711"/>
      <c r="W2025" s="711"/>
      <c r="X2025" s="711"/>
      <c r="Y2025" s="711"/>
      <c r="Z2025" s="711"/>
      <c r="AU2025" s="713"/>
      <c r="AW2025" s="712"/>
      <c r="BY2025" s="714"/>
      <c r="BZ2025" s="715"/>
      <c r="CA2025" s="716"/>
      <c r="CB2025" s="717"/>
      <c r="CC2025" s="717"/>
      <c r="CD2025" s="717"/>
      <c r="CE2025" s="717"/>
      <c r="CF2025" s="717"/>
      <c r="CG2025" s="717"/>
      <c r="CH2025" s="717"/>
      <c r="CI2025" s="717"/>
      <c r="CJ2025" s="717"/>
      <c r="CK2025" s="717"/>
      <c r="CL2025" s="717"/>
      <c r="CM2025" s="717"/>
      <c r="CN2025" s="717"/>
      <c r="CO2025" s="717"/>
      <c r="CP2025" s="717"/>
      <c r="CQ2025" s="717"/>
      <c r="CR2025" s="717"/>
      <c r="CS2025" s="717"/>
      <c r="CT2025" s="717"/>
      <c r="CU2025" s="717"/>
      <c r="CV2025" s="717"/>
      <c r="CW2025" s="717"/>
      <c r="CX2025" s="717"/>
      <c r="CY2025" s="717"/>
      <c r="CZ2025" s="717"/>
      <c r="DA2025" s="717"/>
      <c r="DB2025" s="717"/>
      <c r="DC2025" s="717"/>
      <c r="DD2025" s="717"/>
      <c r="DE2025" s="717"/>
      <c r="DF2025" s="717"/>
      <c r="DG2025" s="717"/>
      <c r="DH2025" s="717"/>
      <c r="DI2025" s="717"/>
      <c r="DJ2025" s="717"/>
      <c r="DM2025" s="711"/>
      <c r="DN2025" s="711"/>
      <c r="DO2025" s="711"/>
      <c r="DP2025" s="711"/>
      <c r="DQ2025" s="711"/>
    </row>
    <row r="2026" spans="13:121" s="709" customFormat="1" hidden="1">
      <c r="M2026" s="710"/>
      <c r="P2026" s="711"/>
      <c r="Q2026" s="712"/>
      <c r="U2026" s="711"/>
      <c r="V2026" s="711"/>
      <c r="W2026" s="711"/>
      <c r="X2026" s="711"/>
      <c r="Y2026" s="711"/>
      <c r="Z2026" s="711"/>
      <c r="AU2026" s="713"/>
      <c r="AW2026" s="712"/>
      <c r="BY2026" s="714"/>
      <c r="BZ2026" s="715"/>
      <c r="CA2026" s="716"/>
      <c r="CB2026" s="717"/>
      <c r="CC2026" s="717"/>
      <c r="CD2026" s="717"/>
      <c r="CE2026" s="717"/>
      <c r="CF2026" s="717"/>
      <c r="CG2026" s="717"/>
      <c r="CH2026" s="717"/>
      <c r="CI2026" s="717"/>
      <c r="CJ2026" s="717"/>
      <c r="CK2026" s="717"/>
      <c r="CL2026" s="717"/>
      <c r="CM2026" s="717"/>
      <c r="CN2026" s="717"/>
      <c r="CO2026" s="717"/>
      <c r="CP2026" s="717"/>
      <c r="CQ2026" s="717"/>
      <c r="CR2026" s="717"/>
      <c r="CS2026" s="717"/>
      <c r="CT2026" s="717"/>
      <c r="CU2026" s="717"/>
      <c r="CV2026" s="717"/>
      <c r="CW2026" s="717"/>
      <c r="CX2026" s="717"/>
      <c r="CY2026" s="717"/>
      <c r="CZ2026" s="717"/>
      <c r="DA2026" s="717"/>
      <c r="DB2026" s="717"/>
      <c r="DC2026" s="717"/>
      <c r="DD2026" s="717"/>
      <c r="DE2026" s="717"/>
      <c r="DF2026" s="717"/>
      <c r="DG2026" s="717"/>
      <c r="DH2026" s="717"/>
      <c r="DI2026" s="717"/>
      <c r="DJ2026" s="717"/>
      <c r="DM2026" s="711"/>
      <c r="DN2026" s="711"/>
      <c r="DO2026" s="711"/>
      <c r="DP2026" s="711"/>
      <c r="DQ2026" s="711"/>
    </row>
    <row r="2027" spans="13:121" s="709" customFormat="1" hidden="1">
      <c r="M2027" s="710"/>
      <c r="P2027" s="711"/>
      <c r="Q2027" s="712"/>
      <c r="U2027" s="711"/>
      <c r="V2027" s="711"/>
      <c r="W2027" s="711"/>
      <c r="X2027" s="711"/>
      <c r="Y2027" s="711"/>
      <c r="Z2027" s="711"/>
      <c r="AU2027" s="713"/>
      <c r="AW2027" s="712"/>
      <c r="BY2027" s="714"/>
      <c r="BZ2027" s="715"/>
      <c r="CA2027" s="716"/>
      <c r="CB2027" s="717"/>
      <c r="CC2027" s="717"/>
      <c r="CD2027" s="717"/>
      <c r="CE2027" s="717"/>
      <c r="CF2027" s="717"/>
      <c r="CG2027" s="717"/>
      <c r="CH2027" s="717"/>
      <c r="CI2027" s="717"/>
      <c r="CJ2027" s="717"/>
      <c r="CK2027" s="717"/>
      <c r="CL2027" s="717"/>
      <c r="CM2027" s="717"/>
      <c r="CN2027" s="717"/>
      <c r="CO2027" s="717"/>
      <c r="CP2027" s="717"/>
      <c r="CQ2027" s="717"/>
      <c r="CR2027" s="717"/>
      <c r="CS2027" s="717"/>
      <c r="CT2027" s="717"/>
      <c r="CU2027" s="717"/>
      <c r="CV2027" s="717"/>
      <c r="CW2027" s="717"/>
      <c r="CX2027" s="717"/>
      <c r="CY2027" s="717"/>
      <c r="CZ2027" s="717"/>
      <c r="DA2027" s="717"/>
      <c r="DB2027" s="717"/>
      <c r="DC2027" s="717"/>
      <c r="DD2027" s="717"/>
      <c r="DE2027" s="717"/>
      <c r="DF2027" s="717"/>
      <c r="DG2027" s="717"/>
      <c r="DH2027" s="717"/>
      <c r="DI2027" s="717"/>
      <c r="DJ2027" s="717"/>
      <c r="DM2027" s="711"/>
      <c r="DN2027" s="711"/>
      <c r="DO2027" s="711"/>
      <c r="DP2027" s="711"/>
      <c r="DQ2027" s="711"/>
    </row>
    <row r="2028" spans="13:121" s="709" customFormat="1" hidden="1">
      <c r="M2028" s="710"/>
      <c r="P2028" s="711"/>
      <c r="Q2028" s="712"/>
      <c r="U2028" s="711"/>
      <c r="V2028" s="711"/>
      <c r="W2028" s="711"/>
      <c r="X2028" s="711"/>
      <c r="Y2028" s="711"/>
      <c r="Z2028" s="711"/>
      <c r="AU2028" s="713"/>
      <c r="AW2028" s="712"/>
      <c r="BY2028" s="714"/>
      <c r="BZ2028" s="715"/>
      <c r="CA2028" s="716"/>
      <c r="CB2028" s="717"/>
      <c r="CC2028" s="717"/>
      <c r="CD2028" s="717"/>
      <c r="CE2028" s="717"/>
      <c r="CF2028" s="717"/>
      <c r="CG2028" s="717"/>
      <c r="CH2028" s="717"/>
      <c r="CI2028" s="717"/>
      <c r="CJ2028" s="717"/>
      <c r="CK2028" s="717"/>
      <c r="CL2028" s="717"/>
      <c r="CM2028" s="717"/>
      <c r="CN2028" s="717"/>
      <c r="CO2028" s="717"/>
      <c r="CP2028" s="717"/>
      <c r="CQ2028" s="717"/>
      <c r="CR2028" s="717"/>
      <c r="CS2028" s="717"/>
      <c r="CT2028" s="717"/>
      <c r="CU2028" s="717"/>
      <c r="CV2028" s="717"/>
      <c r="CW2028" s="717"/>
      <c r="CX2028" s="717"/>
      <c r="CY2028" s="717"/>
      <c r="CZ2028" s="717"/>
      <c r="DA2028" s="717"/>
      <c r="DB2028" s="717"/>
      <c r="DC2028" s="717"/>
      <c r="DD2028" s="717"/>
      <c r="DE2028" s="717"/>
      <c r="DF2028" s="717"/>
      <c r="DG2028" s="717"/>
      <c r="DH2028" s="717"/>
      <c r="DI2028" s="717"/>
      <c r="DJ2028" s="717"/>
      <c r="DM2028" s="711"/>
      <c r="DN2028" s="711"/>
      <c r="DO2028" s="711"/>
      <c r="DP2028" s="711"/>
      <c r="DQ2028" s="711"/>
    </row>
    <row r="2029" spans="13:121" s="709" customFormat="1" hidden="1">
      <c r="M2029" s="710"/>
      <c r="P2029" s="711"/>
      <c r="Q2029" s="712"/>
      <c r="U2029" s="711"/>
      <c r="V2029" s="711"/>
      <c r="W2029" s="711"/>
      <c r="X2029" s="711"/>
      <c r="Y2029" s="711"/>
      <c r="Z2029" s="711"/>
      <c r="AU2029" s="713"/>
      <c r="AW2029" s="712"/>
      <c r="BY2029" s="714"/>
      <c r="BZ2029" s="715"/>
      <c r="CA2029" s="716"/>
      <c r="CB2029" s="717"/>
      <c r="CC2029" s="717"/>
      <c r="CD2029" s="717"/>
      <c r="CE2029" s="717"/>
      <c r="CF2029" s="717"/>
      <c r="CG2029" s="717"/>
      <c r="CH2029" s="717"/>
      <c r="CI2029" s="717"/>
      <c r="CJ2029" s="717"/>
      <c r="CK2029" s="717"/>
      <c r="CL2029" s="717"/>
      <c r="CM2029" s="717"/>
      <c r="CN2029" s="717"/>
      <c r="CO2029" s="717"/>
      <c r="CP2029" s="717"/>
      <c r="CQ2029" s="717"/>
      <c r="CR2029" s="717"/>
      <c r="CS2029" s="717"/>
      <c r="CT2029" s="717"/>
      <c r="CU2029" s="717"/>
      <c r="CV2029" s="717"/>
      <c r="CW2029" s="717"/>
      <c r="CX2029" s="717"/>
      <c r="CY2029" s="717"/>
      <c r="CZ2029" s="717"/>
      <c r="DA2029" s="717"/>
      <c r="DB2029" s="717"/>
      <c r="DC2029" s="717"/>
      <c r="DD2029" s="717"/>
      <c r="DE2029" s="717"/>
      <c r="DF2029" s="717"/>
      <c r="DG2029" s="717"/>
      <c r="DH2029" s="717"/>
      <c r="DI2029" s="717"/>
      <c r="DJ2029" s="717"/>
      <c r="DM2029" s="711"/>
      <c r="DN2029" s="711"/>
      <c r="DO2029" s="711"/>
      <c r="DP2029" s="711"/>
      <c r="DQ2029" s="711"/>
    </row>
    <row r="2030" spans="13:121" s="709" customFormat="1" hidden="1">
      <c r="M2030" s="710"/>
      <c r="P2030" s="711"/>
      <c r="Q2030" s="712"/>
      <c r="U2030" s="711"/>
      <c r="V2030" s="711"/>
      <c r="W2030" s="711"/>
      <c r="X2030" s="711"/>
      <c r="Y2030" s="711"/>
      <c r="Z2030" s="711"/>
      <c r="AU2030" s="713"/>
      <c r="AW2030" s="712"/>
      <c r="BY2030" s="714"/>
      <c r="BZ2030" s="715"/>
      <c r="CA2030" s="716"/>
      <c r="CB2030" s="717"/>
      <c r="CC2030" s="717"/>
      <c r="CD2030" s="717"/>
      <c r="CE2030" s="717"/>
      <c r="CF2030" s="717"/>
      <c r="CG2030" s="717"/>
      <c r="CH2030" s="717"/>
      <c r="CI2030" s="717"/>
      <c r="CJ2030" s="717"/>
      <c r="CK2030" s="717"/>
      <c r="CL2030" s="717"/>
      <c r="CM2030" s="717"/>
      <c r="CN2030" s="717"/>
      <c r="CO2030" s="717"/>
      <c r="CP2030" s="717"/>
      <c r="CQ2030" s="717"/>
      <c r="CR2030" s="717"/>
      <c r="CS2030" s="717"/>
      <c r="CT2030" s="717"/>
      <c r="CU2030" s="717"/>
      <c r="CV2030" s="717"/>
      <c r="CW2030" s="717"/>
      <c r="CX2030" s="717"/>
      <c r="CY2030" s="717"/>
      <c r="CZ2030" s="717"/>
      <c r="DA2030" s="717"/>
      <c r="DB2030" s="717"/>
      <c r="DC2030" s="717"/>
      <c r="DD2030" s="717"/>
      <c r="DE2030" s="717"/>
      <c r="DF2030" s="717"/>
      <c r="DG2030" s="717"/>
      <c r="DH2030" s="717"/>
      <c r="DI2030" s="717"/>
      <c r="DJ2030" s="717"/>
      <c r="DM2030" s="711"/>
      <c r="DN2030" s="711"/>
      <c r="DO2030" s="711"/>
      <c r="DP2030" s="711"/>
      <c r="DQ2030" s="711"/>
    </row>
    <row r="2031" spans="13:121" s="709" customFormat="1" hidden="1">
      <c r="M2031" s="710"/>
      <c r="P2031" s="711"/>
      <c r="Q2031" s="712"/>
      <c r="U2031" s="711"/>
      <c r="V2031" s="711"/>
      <c r="W2031" s="711"/>
      <c r="X2031" s="711"/>
      <c r="Y2031" s="711"/>
      <c r="Z2031" s="711"/>
      <c r="AU2031" s="713"/>
      <c r="AW2031" s="712"/>
      <c r="BY2031" s="714"/>
      <c r="BZ2031" s="715"/>
      <c r="CA2031" s="716"/>
      <c r="CB2031" s="717"/>
      <c r="CC2031" s="717"/>
      <c r="CD2031" s="717"/>
      <c r="CE2031" s="717"/>
      <c r="CF2031" s="717"/>
      <c r="CG2031" s="717"/>
      <c r="CH2031" s="717"/>
      <c r="CI2031" s="717"/>
      <c r="CJ2031" s="717"/>
      <c r="CK2031" s="717"/>
      <c r="CL2031" s="717"/>
      <c r="CM2031" s="717"/>
      <c r="CN2031" s="717"/>
      <c r="CO2031" s="717"/>
      <c r="CP2031" s="717"/>
      <c r="CQ2031" s="717"/>
      <c r="CR2031" s="717"/>
      <c r="CS2031" s="717"/>
      <c r="CT2031" s="717"/>
      <c r="CU2031" s="717"/>
      <c r="CV2031" s="717"/>
      <c r="CW2031" s="717"/>
      <c r="CX2031" s="717"/>
      <c r="CY2031" s="717"/>
      <c r="CZ2031" s="717"/>
      <c r="DA2031" s="717"/>
      <c r="DB2031" s="717"/>
      <c r="DC2031" s="717"/>
      <c r="DD2031" s="717"/>
      <c r="DE2031" s="717"/>
      <c r="DF2031" s="717"/>
      <c r="DG2031" s="717"/>
      <c r="DH2031" s="717"/>
      <c r="DI2031" s="717"/>
      <c r="DJ2031" s="717"/>
      <c r="DM2031" s="711"/>
      <c r="DN2031" s="711"/>
      <c r="DO2031" s="711"/>
      <c r="DP2031" s="711"/>
      <c r="DQ2031" s="711"/>
    </row>
    <row r="2032" spans="13:121" s="709" customFormat="1" hidden="1">
      <c r="M2032" s="710"/>
      <c r="P2032" s="711"/>
      <c r="Q2032" s="712"/>
      <c r="U2032" s="711"/>
      <c r="V2032" s="711"/>
      <c r="W2032" s="711"/>
      <c r="X2032" s="711"/>
      <c r="Y2032" s="711"/>
      <c r="Z2032" s="711"/>
      <c r="AU2032" s="713"/>
      <c r="AW2032" s="712"/>
      <c r="BY2032" s="714"/>
      <c r="BZ2032" s="715"/>
      <c r="CA2032" s="716"/>
      <c r="CB2032" s="717"/>
      <c r="CC2032" s="717"/>
      <c r="CD2032" s="717"/>
      <c r="CE2032" s="717"/>
      <c r="CF2032" s="717"/>
      <c r="CG2032" s="717"/>
      <c r="CH2032" s="717"/>
      <c r="CI2032" s="717"/>
      <c r="CJ2032" s="717"/>
      <c r="CK2032" s="717"/>
      <c r="CL2032" s="717"/>
      <c r="CM2032" s="717"/>
      <c r="CN2032" s="717"/>
      <c r="CO2032" s="717"/>
      <c r="CP2032" s="717"/>
      <c r="CQ2032" s="717"/>
      <c r="CR2032" s="717"/>
      <c r="CS2032" s="717"/>
      <c r="CT2032" s="717"/>
      <c r="CU2032" s="717"/>
      <c r="CV2032" s="717"/>
      <c r="CW2032" s="717"/>
      <c r="CX2032" s="717"/>
      <c r="CY2032" s="717"/>
      <c r="CZ2032" s="717"/>
      <c r="DA2032" s="717"/>
      <c r="DB2032" s="717"/>
      <c r="DC2032" s="717"/>
      <c r="DD2032" s="717"/>
      <c r="DE2032" s="717"/>
      <c r="DF2032" s="717"/>
      <c r="DG2032" s="717"/>
      <c r="DH2032" s="717"/>
      <c r="DI2032" s="717"/>
      <c r="DJ2032" s="717"/>
      <c r="DM2032" s="711"/>
      <c r="DN2032" s="711"/>
      <c r="DO2032" s="711"/>
      <c r="DP2032" s="711"/>
      <c r="DQ2032" s="711"/>
    </row>
    <row r="2033" spans="13:121" s="709" customFormat="1" hidden="1">
      <c r="M2033" s="710"/>
      <c r="P2033" s="711"/>
      <c r="Q2033" s="712"/>
      <c r="U2033" s="711"/>
      <c r="V2033" s="711"/>
      <c r="W2033" s="711"/>
      <c r="X2033" s="711"/>
      <c r="Y2033" s="711"/>
      <c r="Z2033" s="711"/>
      <c r="AU2033" s="713"/>
      <c r="AW2033" s="712"/>
      <c r="BY2033" s="714"/>
      <c r="BZ2033" s="715"/>
      <c r="CA2033" s="716"/>
      <c r="CB2033" s="717"/>
      <c r="CC2033" s="717"/>
      <c r="CD2033" s="717"/>
      <c r="CE2033" s="717"/>
      <c r="CF2033" s="717"/>
      <c r="CG2033" s="717"/>
      <c r="CH2033" s="717"/>
      <c r="CI2033" s="717"/>
      <c r="CJ2033" s="717"/>
      <c r="CK2033" s="717"/>
      <c r="CL2033" s="717"/>
      <c r="CM2033" s="717"/>
      <c r="CN2033" s="717"/>
      <c r="CO2033" s="717"/>
      <c r="CP2033" s="717"/>
      <c r="CQ2033" s="717"/>
      <c r="CR2033" s="717"/>
      <c r="CS2033" s="717"/>
      <c r="CT2033" s="717"/>
      <c r="CU2033" s="717"/>
      <c r="CV2033" s="717"/>
      <c r="CW2033" s="717"/>
      <c r="CX2033" s="717"/>
      <c r="CY2033" s="717"/>
      <c r="CZ2033" s="717"/>
      <c r="DA2033" s="717"/>
      <c r="DB2033" s="717"/>
      <c r="DC2033" s="717"/>
      <c r="DD2033" s="717"/>
      <c r="DE2033" s="717"/>
      <c r="DF2033" s="717"/>
      <c r="DG2033" s="717"/>
      <c r="DH2033" s="717"/>
      <c r="DI2033" s="717"/>
      <c r="DJ2033" s="717"/>
      <c r="DM2033" s="711"/>
      <c r="DN2033" s="711"/>
      <c r="DO2033" s="711"/>
      <c r="DP2033" s="711"/>
      <c r="DQ2033" s="711"/>
    </row>
    <row r="2034" spans="13:121" s="709" customFormat="1" hidden="1">
      <c r="M2034" s="710"/>
      <c r="P2034" s="711"/>
      <c r="Q2034" s="712"/>
      <c r="U2034" s="711"/>
      <c r="V2034" s="711"/>
      <c r="W2034" s="711"/>
      <c r="X2034" s="711"/>
      <c r="Y2034" s="711"/>
      <c r="Z2034" s="711"/>
      <c r="AU2034" s="713"/>
      <c r="AW2034" s="712"/>
      <c r="BY2034" s="714"/>
      <c r="BZ2034" s="715"/>
      <c r="CA2034" s="716"/>
      <c r="CB2034" s="717"/>
      <c r="CC2034" s="717"/>
      <c r="CD2034" s="717"/>
      <c r="CE2034" s="717"/>
      <c r="CF2034" s="717"/>
      <c r="CG2034" s="717"/>
      <c r="CH2034" s="717"/>
      <c r="CI2034" s="717"/>
      <c r="CJ2034" s="717"/>
      <c r="CK2034" s="717"/>
      <c r="CL2034" s="717"/>
      <c r="CM2034" s="717"/>
      <c r="CN2034" s="717"/>
      <c r="CO2034" s="717"/>
      <c r="CP2034" s="717"/>
      <c r="CQ2034" s="717"/>
      <c r="CR2034" s="717"/>
      <c r="CS2034" s="717"/>
      <c r="CT2034" s="717"/>
      <c r="CU2034" s="717"/>
      <c r="CV2034" s="717"/>
      <c r="CW2034" s="717"/>
      <c r="CX2034" s="717"/>
      <c r="CY2034" s="717"/>
      <c r="CZ2034" s="717"/>
      <c r="DA2034" s="717"/>
      <c r="DB2034" s="717"/>
      <c r="DC2034" s="717"/>
      <c r="DD2034" s="717"/>
      <c r="DE2034" s="717"/>
      <c r="DF2034" s="717"/>
      <c r="DG2034" s="717"/>
      <c r="DH2034" s="717"/>
      <c r="DI2034" s="717"/>
      <c r="DJ2034" s="717"/>
      <c r="DM2034" s="711"/>
      <c r="DN2034" s="711"/>
      <c r="DO2034" s="711"/>
      <c r="DP2034" s="711"/>
      <c r="DQ2034" s="711"/>
    </row>
    <row r="2035" spans="13:121" s="709" customFormat="1" hidden="1">
      <c r="M2035" s="710"/>
      <c r="P2035" s="711"/>
      <c r="Q2035" s="712"/>
      <c r="U2035" s="711"/>
      <c r="V2035" s="711"/>
      <c r="W2035" s="711"/>
      <c r="X2035" s="711"/>
      <c r="Y2035" s="711"/>
      <c r="Z2035" s="711"/>
      <c r="AU2035" s="713"/>
      <c r="AW2035" s="712"/>
      <c r="BY2035" s="714"/>
      <c r="BZ2035" s="715"/>
      <c r="CA2035" s="716"/>
      <c r="CB2035" s="717"/>
      <c r="CC2035" s="717"/>
      <c r="CD2035" s="717"/>
      <c r="CE2035" s="717"/>
      <c r="CF2035" s="717"/>
      <c r="CG2035" s="717"/>
      <c r="CH2035" s="717"/>
      <c r="CI2035" s="717"/>
      <c r="CJ2035" s="717"/>
      <c r="CK2035" s="717"/>
      <c r="CL2035" s="717"/>
      <c r="CM2035" s="717"/>
      <c r="CN2035" s="717"/>
      <c r="CO2035" s="717"/>
      <c r="CP2035" s="717"/>
      <c r="CQ2035" s="717"/>
      <c r="CR2035" s="717"/>
      <c r="CS2035" s="717"/>
      <c r="CT2035" s="717"/>
      <c r="CU2035" s="717"/>
      <c r="CV2035" s="717"/>
      <c r="CW2035" s="717"/>
      <c r="CX2035" s="717"/>
      <c r="CY2035" s="717"/>
      <c r="CZ2035" s="717"/>
      <c r="DA2035" s="717"/>
      <c r="DB2035" s="717"/>
      <c r="DC2035" s="717"/>
      <c r="DD2035" s="717"/>
      <c r="DE2035" s="717"/>
      <c r="DF2035" s="717"/>
      <c r="DG2035" s="717"/>
      <c r="DH2035" s="717"/>
      <c r="DI2035" s="717"/>
      <c r="DJ2035" s="717"/>
      <c r="DM2035" s="711"/>
      <c r="DN2035" s="711"/>
      <c r="DO2035" s="711"/>
      <c r="DP2035" s="711"/>
      <c r="DQ2035" s="711"/>
    </row>
    <row r="2036" spans="13:121" s="709" customFormat="1" hidden="1">
      <c r="M2036" s="710"/>
      <c r="P2036" s="711"/>
      <c r="Q2036" s="712"/>
      <c r="U2036" s="711"/>
      <c r="V2036" s="711"/>
      <c r="W2036" s="711"/>
      <c r="X2036" s="711"/>
      <c r="Y2036" s="711"/>
      <c r="Z2036" s="711"/>
      <c r="AU2036" s="713"/>
      <c r="AW2036" s="712"/>
      <c r="BY2036" s="714"/>
      <c r="BZ2036" s="715"/>
      <c r="CA2036" s="716"/>
      <c r="CB2036" s="717"/>
      <c r="CC2036" s="717"/>
      <c r="CD2036" s="717"/>
      <c r="CE2036" s="717"/>
      <c r="CF2036" s="717"/>
      <c r="CG2036" s="717"/>
      <c r="CH2036" s="717"/>
      <c r="CI2036" s="717"/>
      <c r="CJ2036" s="717"/>
      <c r="CK2036" s="717"/>
      <c r="CL2036" s="717"/>
      <c r="CM2036" s="717"/>
      <c r="CN2036" s="717"/>
      <c r="CO2036" s="717"/>
      <c r="CP2036" s="717"/>
      <c r="CQ2036" s="717"/>
      <c r="CR2036" s="717"/>
      <c r="CS2036" s="717"/>
      <c r="CT2036" s="717"/>
      <c r="CU2036" s="717"/>
      <c r="CV2036" s="717"/>
      <c r="CW2036" s="717"/>
      <c r="CX2036" s="717"/>
      <c r="CY2036" s="717"/>
      <c r="CZ2036" s="717"/>
      <c r="DA2036" s="717"/>
      <c r="DB2036" s="717"/>
      <c r="DC2036" s="717"/>
      <c r="DD2036" s="717"/>
      <c r="DE2036" s="717"/>
      <c r="DF2036" s="717"/>
      <c r="DG2036" s="717"/>
      <c r="DH2036" s="717"/>
      <c r="DI2036" s="717"/>
      <c r="DJ2036" s="717"/>
      <c r="DM2036" s="711"/>
      <c r="DN2036" s="711"/>
      <c r="DO2036" s="711"/>
      <c r="DP2036" s="711"/>
      <c r="DQ2036" s="711"/>
    </row>
    <row r="2037" spans="13:121" s="709" customFormat="1" hidden="1">
      <c r="M2037" s="710"/>
      <c r="P2037" s="711"/>
      <c r="Q2037" s="712"/>
      <c r="U2037" s="711"/>
      <c r="V2037" s="711"/>
      <c r="W2037" s="711"/>
      <c r="X2037" s="711"/>
      <c r="Y2037" s="711"/>
      <c r="Z2037" s="711"/>
      <c r="AU2037" s="713"/>
      <c r="AW2037" s="712"/>
      <c r="BY2037" s="714"/>
      <c r="BZ2037" s="715"/>
      <c r="CA2037" s="716"/>
      <c r="CB2037" s="717"/>
      <c r="CC2037" s="717"/>
      <c r="CD2037" s="717"/>
      <c r="CE2037" s="717"/>
      <c r="CF2037" s="717"/>
      <c r="CG2037" s="717"/>
      <c r="CH2037" s="717"/>
      <c r="CI2037" s="717"/>
      <c r="CJ2037" s="717"/>
      <c r="CK2037" s="717"/>
      <c r="CL2037" s="717"/>
      <c r="CM2037" s="717"/>
      <c r="CN2037" s="717"/>
      <c r="CO2037" s="717"/>
      <c r="CP2037" s="717"/>
      <c r="CQ2037" s="717"/>
      <c r="CR2037" s="717"/>
      <c r="CS2037" s="717"/>
      <c r="CT2037" s="717"/>
      <c r="CU2037" s="717"/>
      <c r="CV2037" s="717"/>
      <c r="CW2037" s="717"/>
      <c r="CX2037" s="717"/>
      <c r="CY2037" s="717"/>
      <c r="CZ2037" s="717"/>
      <c r="DA2037" s="717"/>
      <c r="DB2037" s="717"/>
      <c r="DC2037" s="717"/>
      <c r="DD2037" s="717"/>
      <c r="DE2037" s="717"/>
      <c r="DF2037" s="717"/>
      <c r="DG2037" s="717"/>
      <c r="DH2037" s="717"/>
      <c r="DI2037" s="717"/>
      <c r="DJ2037" s="717"/>
      <c r="DM2037" s="711"/>
      <c r="DN2037" s="711"/>
      <c r="DO2037" s="711"/>
      <c r="DP2037" s="711"/>
      <c r="DQ2037" s="711"/>
    </row>
    <row r="2038" spans="13:121" s="709" customFormat="1" hidden="1">
      <c r="M2038" s="710"/>
      <c r="P2038" s="711"/>
      <c r="Q2038" s="712"/>
      <c r="U2038" s="711"/>
      <c r="V2038" s="711"/>
      <c r="W2038" s="711"/>
      <c r="X2038" s="711"/>
      <c r="Y2038" s="711"/>
      <c r="Z2038" s="711"/>
      <c r="AU2038" s="713"/>
      <c r="AW2038" s="712"/>
      <c r="BY2038" s="714"/>
      <c r="BZ2038" s="715"/>
      <c r="CA2038" s="716"/>
      <c r="CB2038" s="717"/>
      <c r="CC2038" s="717"/>
      <c r="CD2038" s="717"/>
      <c r="CE2038" s="717"/>
      <c r="CF2038" s="717"/>
      <c r="CG2038" s="717"/>
      <c r="CH2038" s="717"/>
      <c r="CI2038" s="717"/>
      <c r="CJ2038" s="717"/>
      <c r="CK2038" s="717"/>
      <c r="CL2038" s="717"/>
      <c r="CM2038" s="717"/>
      <c r="CN2038" s="717"/>
      <c r="CO2038" s="717"/>
      <c r="CP2038" s="717"/>
      <c r="CQ2038" s="717"/>
      <c r="CR2038" s="717"/>
      <c r="CS2038" s="717"/>
      <c r="CT2038" s="717"/>
      <c r="CU2038" s="717"/>
      <c r="CV2038" s="717"/>
      <c r="CW2038" s="717"/>
      <c r="CX2038" s="717"/>
      <c r="CY2038" s="717"/>
      <c r="CZ2038" s="717"/>
      <c r="DA2038" s="717"/>
      <c r="DB2038" s="717"/>
      <c r="DC2038" s="717"/>
      <c r="DD2038" s="717"/>
      <c r="DE2038" s="717"/>
      <c r="DF2038" s="717"/>
      <c r="DG2038" s="717"/>
      <c r="DH2038" s="717"/>
      <c r="DI2038" s="717"/>
      <c r="DJ2038" s="717"/>
      <c r="DM2038" s="711"/>
      <c r="DN2038" s="711"/>
      <c r="DO2038" s="711"/>
      <c r="DP2038" s="711"/>
      <c r="DQ2038" s="711"/>
    </row>
    <row r="2039" spans="13:121" s="709" customFormat="1" hidden="1">
      <c r="M2039" s="710"/>
      <c r="P2039" s="711"/>
      <c r="Q2039" s="712"/>
      <c r="U2039" s="711"/>
      <c r="V2039" s="711"/>
      <c r="W2039" s="711"/>
      <c r="X2039" s="711"/>
      <c r="Y2039" s="711"/>
      <c r="Z2039" s="711"/>
      <c r="AU2039" s="713"/>
      <c r="AW2039" s="712"/>
      <c r="BY2039" s="714"/>
      <c r="BZ2039" s="715"/>
      <c r="CA2039" s="716"/>
      <c r="CB2039" s="717"/>
      <c r="CC2039" s="717"/>
      <c r="CD2039" s="717"/>
      <c r="CE2039" s="717"/>
      <c r="CF2039" s="717"/>
      <c r="CG2039" s="717"/>
      <c r="CH2039" s="717"/>
      <c r="CI2039" s="717"/>
      <c r="CJ2039" s="717"/>
      <c r="CK2039" s="717"/>
      <c r="CL2039" s="717"/>
      <c r="CM2039" s="717"/>
      <c r="CN2039" s="717"/>
      <c r="CO2039" s="717"/>
      <c r="CP2039" s="717"/>
      <c r="CQ2039" s="717"/>
      <c r="CR2039" s="717"/>
      <c r="CS2039" s="717"/>
      <c r="CT2039" s="717"/>
      <c r="CU2039" s="717"/>
      <c r="CV2039" s="717"/>
      <c r="CW2039" s="717"/>
      <c r="CX2039" s="717"/>
      <c r="CY2039" s="717"/>
      <c r="CZ2039" s="717"/>
      <c r="DA2039" s="717"/>
      <c r="DB2039" s="717"/>
      <c r="DC2039" s="717"/>
      <c r="DD2039" s="717"/>
      <c r="DE2039" s="717"/>
      <c r="DF2039" s="717"/>
      <c r="DG2039" s="717"/>
      <c r="DH2039" s="717"/>
      <c r="DI2039" s="717"/>
      <c r="DJ2039" s="717"/>
      <c r="DM2039" s="711"/>
      <c r="DN2039" s="711"/>
      <c r="DO2039" s="711"/>
      <c r="DP2039" s="711"/>
      <c r="DQ2039" s="711"/>
    </row>
    <row r="2040" spans="13:121" s="709" customFormat="1" hidden="1">
      <c r="M2040" s="710"/>
      <c r="P2040" s="711"/>
      <c r="Q2040" s="712"/>
      <c r="U2040" s="711"/>
      <c r="V2040" s="711"/>
      <c r="W2040" s="711"/>
      <c r="X2040" s="711"/>
      <c r="Y2040" s="711"/>
      <c r="Z2040" s="711"/>
      <c r="AU2040" s="713"/>
      <c r="AW2040" s="712"/>
      <c r="BY2040" s="714"/>
      <c r="BZ2040" s="715"/>
      <c r="CA2040" s="716"/>
      <c r="CB2040" s="717"/>
      <c r="CC2040" s="717"/>
      <c r="CD2040" s="717"/>
      <c r="CE2040" s="717"/>
      <c r="CF2040" s="717"/>
      <c r="CG2040" s="717"/>
      <c r="CH2040" s="717"/>
      <c r="CI2040" s="717"/>
      <c r="CJ2040" s="717"/>
      <c r="CK2040" s="717"/>
      <c r="CL2040" s="717"/>
      <c r="CM2040" s="717"/>
      <c r="CN2040" s="717"/>
      <c r="CO2040" s="717"/>
      <c r="CP2040" s="717"/>
      <c r="CQ2040" s="717"/>
      <c r="CR2040" s="717"/>
      <c r="CS2040" s="717"/>
      <c r="CT2040" s="717"/>
      <c r="CU2040" s="717"/>
      <c r="CV2040" s="717"/>
      <c r="CW2040" s="717"/>
      <c r="CX2040" s="717"/>
      <c r="CY2040" s="717"/>
      <c r="CZ2040" s="717"/>
      <c r="DA2040" s="717"/>
      <c r="DB2040" s="717"/>
      <c r="DC2040" s="717"/>
      <c r="DD2040" s="717"/>
      <c r="DE2040" s="717"/>
      <c r="DF2040" s="717"/>
      <c r="DG2040" s="717"/>
      <c r="DH2040" s="717"/>
      <c r="DI2040" s="717"/>
      <c r="DJ2040" s="717"/>
      <c r="DM2040" s="711"/>
      <c r="DN2040" s="711"/>
      <c r="DO2040" s="711"/>
      <c r="DP2040" s="711"/>
      <c r="DQ2040" s="711"/>
    </row>
    <row r="2041" spans="13:121" s="709" customFormat="1" hidden="1">
      <c r="M2041" s="710"/>
      <c r="P2041" s="711"/>
      <c r="Q2041" s="712"/>
      <c r="U2041" s="711"/>
      <c r="V2041" s="711"/>
      <c r="W2041" s="711"/>
      <c r="X2041" s="711"/>
      <c r="Y2041" s="711"/>
      <c r="Z2041" s="711"/>
      <c r="AU2041" s="713"/>
      <c r="AW2041" s="712"/>
      <c r="BY2041" s="714"/>
      <c r="BZ2041" s="715"/>
      <c r="CA2041" s="716"/>
      <c r="CB2041" s="717"/>
      <c r="CC2041" s="717"/>
      <c r="CD2041" s="717"/>
      <c r="CE2041" s="717"/>
      <c r="CF2041" s="717"/>
      <c r="CG2041" s="717"/>
      <c r="CH2041" s="717"/>
      <c r="CI2041" s="717"/>
      <c r="CJ2041" s="717"/>
      <c r="CK2041" s="717"/>
      <c r="CL2041" s="717"/>
      <c r="CM2041" s="717"/>
      <c r="CN2041" s="717"/>
      <c r="CO2041" s="717"/>
      <c r="CP2041" s="717"/>
      <c r="CQ2041" s="717"/>
      <c r="CR2041" s="717"/>
      <c r="CS2041" s="717"/>
      <c r="CT2041" s="717"/>
      <c r="CU2041" s="717"/>
      <c r="CV2041" s="717"/>
      <c r="CW2041" s="717"/>
      <c r="CX2041" s="717"/>
      <c r="CY2041" s="717"/>
      <c r="CZ2041" s="717"/>
      <c r="DA2041" s="717"/>
      <c r="DB2041" s="717"/>
      <c r="DC2041" s="717"/>
      <c r="DD2041" s="717"/>
      <c r="DE2041" s="717"/>
      <c r="DF2041" s="717"/>
      <c r="DG2041" s="717"/>
      <c r="DH2041" s="717"/>
      <c r="DI2041" s="717"/>
      <c r="DJ2041" s="717"/>
      <c r="DM2041" s="711"/>
      <c r="DN2041" s="711"/>
      <c r="DO2041" s="711"/>
      <c r="DP2041" s="711"/>
      <c r="DQ2041" s="711"/>
    </row>
    <row r="2042" spans="13:121" s="709" customFormat="1" hidden="1">
      <c r="M2042" s="710"/>
      <c r="P2042" s="711"/>
      <c r="Q2042" s="712"/>
      <c r="U2042" s="711"/>
      <c r="V2042" s="711"/>
      <c r="W2042" s="711"/>
      <c r="X2042" s="711"/>
      <c r="Y2042" s="711"/>
      <c r="Z2042" s="711"/>
      <c r="AU2042" s="713"/>
      <c r="AW2042" s="712"/>
      <c r="BY2042" s="714"/>
      <c r="BZ2042" s="715"/>
      <c r="CA2042" s="716"/>
      <c r="CB2042" s="717"/>
      <c r="CC2042" s="717"/>
      <c r="CD2042" s="717"/>
      <c r="CE2042" s="717"/>
      <c r="CF2042" s="717"/>
      <c r="CG2042" s="717"/>
      <c r="CH2042" s="717"/>
      <c r="CI2042" s="717"/>
      <c r="CJ2042" s="717"/>
      <c r="CK2042" s="717"/>
      <c r="CL2042" s="717"/>
      <c r="CM2042" s="717"/>
      <c r="CN2042" s="717"/>
      <c r="CO2042" s="717"/>
      <c r="CP2042" s="717"/>
      <c r="CQ2042" s="717"/>
      <c r="CR2042" s="717"/>
      <c r="CS2042" s="717"/>
      <c r="CT2042" s="717"/>
      <c r="CU2042" s="717"/>
      <c r="CV2042" s="717"/>
      <c r="CW2042" s="717"/>
      <c r="CX2042" s="717"/>
      <c r="CY2042" s="717"/>
      <c r="CZ2042" s="717"/>
      <c r="DA2042" s="717"/>
      <c r="DB2042" s="717"/>
      <c r="DC2042" s="717"/>
      <c r="DD2042" s="717"/>
      <c r="DE2042" s="717"/>
      <c r="DF2042" s="717"/>
      <c r="DG2042" s="717"/>
      <c r="DH2042" s="717"/>
      <c r="DI2042" s="717"/>
      <c r="DJ2042" s="717"/>
      <c r="DM2042" s="711"/>
      <c r="DN2042" s="711"/>
      <c r="DO2042" s="711"/>
      <c r="DP2042" s="711"/>
      <c r="DQ2042" s="711"/>
    </row>
    <row r="2043" spans="13:121" s="709" customFormat="1" hidden="1">
      <c r="M2043" s="710"/>
      <c r="P2043" s="711"/>
      <c r="Q2043" s="712"/>
      <c r="U2043" s="711"/>
      <c r="V2043" s="711"/>
      <c r="W2043" s="711"/>
      <c r="X2043" s="711"/>
      <c r="Y2043" s="711"/>
      <c r="Z2043" s="711"/>
      <c r="AU2043" s="713"/>
      <c r="AW2043" s="712"/>
      <c r="BY2043" s="714"/>
      <c r="BZ2043" s="715"/>
      <c r="CA2043" s="716"/>
      <c r="CB2043" s="717"/>
      <c r="CC2043" s="717"/>
      <c r="CD2043" s="717"/>
      <c r="CE2043" s="717"/>
      <c r="CF2043" s="717"/>
      <c r="CG2043" s="717"/>
      <c r="CH2043" s="717"/>
      <c r="CI2043" s="717"/>
      <c r="CJ2043" s="717"/>
      <c r="CK2043" s="717"/>
      <c r="CL2043" s="717"/>
      <c r="CM2043" s="717"/>
      <c r="CN2043" s="717"/>
      <c r="CO2043" s="717"/>
      <c r="CP2043" s="717"/>
      <c r="CQ2043" s="717"/>
      <c r="CR2043" s="717"/>
      <c r="CS2043" s="717"/>
      <c r="CT2043" s="717"/>
      <c r="CU2043" s="717"/>
      <c r="CV2043" s="717"/>
      <c r="CW2043" s="717"/>
      <c r="CX2043" s="717"/>
      <c r="CY2043" s="717"/>
      <c r="CZ2043" s="717"/>
      <c r="DA2043" s="717"/>
      <c r="DB2043" s="717"/>
      <c r="DC2043" s="717"/>
      <c r="DD2043" s="717"/>
      <c r="DE2043" s="717"/>
      <c r="DF2043" s="717"/>
      <c r="DG2043" s="717"/>
      <c r="DH2043" s="717"/>
      <c r="DI2043" s="717"/>
      <c r="DJ2043" s="717"/>
      <c r="DM2043" s="711"/>
      <c r="DN2043" s="711"/>
      <c r="DO2043" s="711"/>
      <c r="DP2043" s="711"/>
      <c r="DQ2043" s="711"/>
    </row>
    <row r="2044" spans="13:121" s="709" customFormat="1" hidden="1">
      <c r="M2044" s="710"/>
      <c r="P2044" s="711"/>
      <c r="Q2044" s="712"/>
      <c r="U2044" s="711"/>
      <c r="V2044" s="711"/>
      <c r="W2044" s="711"/>
      <c r="X2044" s="711"/>
      <c r="Y2044" s="711"/>
      <c r="Z2044" s="711"/>
      <c r="AU2044" s="713"/>
      <c r="AW2044" s="712"/>
      <c r="BY2044" s="714"/>
      <c r="BZ2044" s="715"/>
      <c r="CA2044" s="716"/>
      <c r="CB2044" s="717"/>
      <c r="CC2044" s="717"/>
      <c r="CD2044" s="717"/>
      <c r="CE2044" s="717"/>
      <c r="CF2044" s="717"/>
      <c r="CG2044" s="717"/>
      <c r="CH2044" s="717"/>
      <c r="CI2044" s="717"/>
      <c r="CJ2044" s="717"/>
      <c r="CK2044" s="717"/>
      <c r="CL2044" s="717"/>
      <c r="CM2044" s="717"/>
      <c r="CN2044" s="717"/>
      <c r="CO2044" s="717"/>
      <c r="CP2044" s="717"/>
      <c r="CQ2044" s="717"/>
      <c r="CR2044" s="717"/>
      <c r="CS2044" s="717"/>
      <c r="CT2044" s="717"/>
      <c r="CU2044" s="717"/>
      <c r="CV2044" s="717"/>
      <c r="CW2044" s="717"/>
      <c r="CX2044" s="717"/>
      <c r="CY2044" s="717"/>
      <c r="CZ2044" s="717"/>
      <c r="DA2044" s="717"/>
      <c r="DB2044" s="717"/>
      <c r="DC2044" s="717"/>
      <c r="DD2044" s="717"/>
      <c r="DE2044" s="717"/>
      <c r="DF2044" s="717"/>
      <c r="DG2044" s="717"/>
      <c r="DH2044" s="717"/>
      <c r="DI2044" s="717"/>
      <c r="DJ2044" s="717"/>
      <c r="DM2044" s="711"/>
      <c r="DN2044" s="711"/>
      <c r="DO2044" s="711"/>
      <c r="DP2044" s="711"/>
      <c r="DQ2044" s="711"/>
    </row>
    <row r="2045" spans="13:121" s="709" customFormat="1" hidden="1">
      <c r="M2045" s="710"/>
      <c r="P2045" s="711"/>
      <c r="Q2045" s="712"/>
      <c r="U2045" s="711"/>
      <c r="V2045" s="711"/>
      <c r="W2045" s="711"/>
      <c r="X2045" s="711"/>
      <c r="Y2045" s="711"/>
      <c r="Z2045" s="711"/>
      <c r="AU2045" s="713"/>
      <c r="AW2045" s="712"/>
      <c r="BY2045" s="714"/>
      <c r="BZ2045" s="715"/>
      <c r="CA2045" s="716"/>
      <c r="CB2045" s="717"/>
      <c r="CC2045" s="717"/>
      <c r="CD2045" s="717"/>
      <c r="CE2045" s="717"/>
      <c r="CF2045" s="717"/>
      <c r="CG2045" s="717"/>
      <c r="CH2045" s="717"/>
      <c r="CI2045" s="717"/>
      <c r="CJ2045" s="717"/>
      <c r="CK2045" s="717"/>
      <c r="CL2045" s="717"/>
      <c r="CM2045" s="717"/>
      <c r="CN2045" s="717"/>
      <c r="CO2045" s="717"/>
      <c r="CP2045" s="717"/>
      <c r="CQ2045" s="717"/>
      <c r="CR2045" s="717"/>
      <c r="CS2045" s="717"/>
      <c r="CT2045" s="717"/>
      <c r="CU2045" s="717"/>
      <c r="CV2045" s="717"/>
      <c r="CW2045" s="717"/>
      <c r="CX2045" s="717"/>
      <c r="CY2045" s="717"/>
      <c r="CZ2045" s="717"/>
      <c r="DA2045" s="717"/>
      <c r="DB2045" s="717"/>
      <c r="DC2045" s="717"/>
      <c r="DD2045" s="717"/>
      <c r="DE2045" s="717"/>
      <c r="DF2045" s="717"/>
      <c r="DG2045" s="717"/>
      <c r="DH2045" s="717"/>
      <c r="DI2045" s="717"/>
      <c r="DJ2045" s="717"/>
      <c r="DM2045" s="711"/>
      <c r="DN2045" s="711"/>
      <c r="DO2045" s="711"/>
      <c r="DP2045" s="711"/>
      <c r="DQ2045" s="711"/>
    </row>
    <row r="2046" spans="13:121" s="709" customFormat="1" hidden="1">
      <c r="M2046" s="710"/>
      <c r="P2046" s="711"/>
      <c r="Q2046" s="712"/>
      <c r="U2046" s="711"/>
      <c r="V2046" s="711"/>
      <c r="W2046" s="711"/>
      <c r="X2046" s="711"/>
      <c r="Y2046" s="711"/>
      <c r="Z2046" s="711"/>
      <c r="AU2046" s="713"/>
      <c r="AW2046" s="712"/>
      <c r="BY2046" s="714"/>
      <c r="BZ2046" s="715"/>
      <c r="CA2046" s="716"/>
      <c r="CB2046" s="717"/>
      <c r="CC2046" s="717"/>
      <c r="CD2046" s="717"/>
      <c r="CE2046" s="717"/>
      <c r="CF2046" s="717"/>
      <c r="CG2046" s="717"/>
      <c r="CH2046" s="717"/>
      <c r="CI2046" s="717"/>
      <c r="CJ2046" s="717"/>
      <c r="CK2046" s="717"/>
      <c r="CL2046" s="717"/>
      <c r="CM2046" s="717"/>
      <c r="CN2046" s="717"/>
      <c r="CO2046" s="717"/>
      <c r="CP2046" s="717"/>
      <c r="CQ2046" s="717"/>
      <c r="CR2046" s="717"/>
      <c r="CS2046" s="717"/>
      <c r="CT2046" s="717"/>
      <c r="CU2046" s="717"/>
      <c r="CV2046" s="717"/>
      <c r="CW2046" s="717"/>
      <c r="CX2046" s="717"/>
      <c r="CY2046" s="717"/>
      <c r="CZ2046" s="717"/>
      <c r="DA2046" s="717"/>
      <c r="DB2046" s="717"/>
      <c r="DC2046" s="717"/>
      <c r="DD2046" s="717"/>
      <c r="DE2046" s="717"/>
      <c r="DF2046" s="717"/>
      <c r="DG2046" s="717"/>
      <c r="DH2046" s="717"/>
      <c r="DI2046" s="717"/>
      <c r="DJ2046" s="717"/>
      <c r="DM2046" s="711"/>
      <c r="DN2046" s="711"/>
      <c r="DO2046" s="711"/>
      <c r="DP2046" s="711"/>
      <c r="DQ2046" s="711"/>
    </row>
    <row r="2047" spans="13:121" s="709" customFormat="1" hidden="1">
      <c r="M2047" s="710"/>
      <c r="P2047" s="711"/>
      <c r="Q2047" s="712"/>
      <c r="U2047" s="711"/>
      <c r="V2047" s="711"/>
      <c r="W2047" s="711"/>
      <c r="X2047" s="711"/>
      <c r="Y2047" s="711"/>
      <c r="Z2047" s="711"/>
      <c r="AU2047" s="713"/>
      <c r="AW2047" s="712"/>
      <c r="BY2047" s="714"/>
      <c r="BZ2047" s="715"/>
      <c r="CA2047" s="716"/>
      <c r="CB2047" s="717"/>
      <c r="CC2047" s="717"/>
      <c r="CD2047" s="717"/>
      <c r="CE2047" s="717"/>
      <c r="CF2047" s="717"/>
      <c r="CG2047" s="717"/>
      <c r="CH2047" s="717"/>
      <c r="CI2047" s="717"/>
      <c r="CJ2047" s="717"/>
      <c r="CK2047" s="717"/>
      <c r="CL2047" s="717"/>
      <c r="CM2047" s="717"/>
      <c r="CN2047" s="717"/>
      <c r="CO2047" s="717"/>
      <c r="CP2047" s="717"/>
      <c r="CQ2047" s="717"/>
      <c r="CR2047" s="717"/>
      <c r="CS2047" s="717"/>
      <c r="CT2047" s="717"/>
      <c r="CU2047" s="717"/>
      <c r="CV2047" s="717"/>
      <c r="CW2047" s="717"/>
      <c r="CX2047" s="717"/>
      <c r="CY2047" s="717"/>
      <c r="CZ2047" s="717"/>
      <c r="DA2047" s="717"/>
      <c r="DB2047" s="717"/>
      <c r="DC2047" s="717"/>
      <c r="DD2047" s="717"/>
      <c r="DE2047" s="717"/>
      <c r="DF2047" s="717"/>
      <c r="DG2047" s="717"/>
      <c r="DH2047" s="717"/>
      <c r="DI2047" s="717"/>
      <c r="DJ2047" s="717"/>
      <c r="DM2047" s="711"/>
      <c r="DN2047" s="711"/>
      <c r="DO2047" s="711"/>
      <c r="DP2047" s="711"/>
      <c r="DQ2047" s="711"/>
    </row>
    <row r="2048" spans="13:121" s="709" customFormat="1" hidden="1">
      <c r="M2048" s="710"/>
      <c r="P2048" s="711"/>
      <c r="Q2048" s="712"/>
      <c r="U2048" s="711"/>
      <c r="V2048" s="711"/>
      <c r="W2048" s="711"/>
      <c r="X2048" s="711"/>
      <c r="Y2048" s="711"/>
      <c r="Z2048" s="711"/>
      <c r="AU2048" s="713"/>
      <c r="AW2048" s="712"/>
      <c r="BY2048" s="714"/>
      <c r="BZ2048" s="715"/>
      <c r="CA2048" s="716"/>
      <c r="CB2048" s="717"/>
      <c r="CC2048" s="717"/>
      <c r="CD2048" s="717"/>
      <c r="CE2048" s="717"/>
      <c r="CF2048" s="717"/>
      <c r="CG2048" s="717"/>
      <c r="CH2048" s="717"/>
      <c r="CI2048" s="717"/>
      <c r="CJ2048" s="717"/>
      <c r="CK2048" s="717"/>
      <c r="CL2048" s="717"/>
      <c r="CM2048" s="717"/>
      <c r="CN2048" s="717"/>
      <c r="CO2048" s="717"/>
      <c r="CP2048" s="717"/>
      <c r="CQ2048" s="717"/>
      <c r="CR2048" s="717"/>
      <c r="CS2048" s="717"/>
      <c r="CT2048" s="717"/>
      <c r="CU2048" s="717"/>
      <c r="CV2048" s="717"/>
      <c r="CW2048" s="717"/>
      <c r="CX2048" s="717"/>
      <c r="CY2048" s="717"/>
      <c r="CZ2048" s="717"/>
      <c r="DA2048" s="717"/>
      <c r="DB2048" s="717"/>
      <c r="DC2048" s="717"/>
      <c r="DD2048" s="717"/>
      <c r="DE2048" s="717"/>
      <c r="DF2048" s="717"/>
      <c r="DG2048" s="717"/>
      <c r="DH2048" s="717"/>
      <c r="DI2048" s="717"/>
      <c r="DJ2048" s="717"/>
      <c r="DM2048" s="711"/>
      <c r="DN2048" s="711"/>
      <c r="DO2048" s="711"/>
      <c r="DP2048" s="711"/>
      <c r="DQ2048" s="711"/>
    </row>
    <row r="2049" spans="13:121" s="709" customFormat="1" hidden="1">
      <c r="M2049" s="710"/>
      <c r="P2049" s="711"/>
      <c r="Q2049" s="712"/>
      <c r="U2049" s="711"/>
      <c r="V2049" s="711"/>
      <c r="W2049" s="711"/>
      <c r="X2049" s="711"/>
      <c r="Y2049" s="711"/>
      <c r="Z2049" s="711"/>
      <c r="AU2049" s="713"/>
      <c r="AW2049" s="712"/>
      <c r="BY2049" s="714"/>
      <c r="BZ2049" s="715"/>
      <c r="CA2049" s="716"/>
      <c r="CB2049" s="717"/>
      <c r="CC2049" s="717"/>
      <c r="CD2049" s="717"/>
      <c r="CE2049" s="717"/>
      <c r="CF2049" s="717"/>
      <c r="CG2049" s="717"/>
      <c r="CH2049" s="717"/>
      <c r="CI2049" s="717"/>
      <c r="CJ2049" s="717"/>
      <c r="CK2049" s="717"/>
      <c r="CL2049" s="717"/>
      <c r="CM2049" s="717"/>
      <c r="CN2049" s="717"/>
      <c r="CO2049" s="717"/>
      <c r="CP2049" s="717"/>
      <c r="CQ2049" s="717"/>
      <c r="CR2049" s="717"/>
      <c r="CS2049" s="717"/>
      <c r="CT2049" s="717"/>
      <c r="CU2049" s="717"/>
      <c r="CV2049" s="717"/>
      <c r="CW2049" s="717"/>
      <c r="CX2049" s="717"/>
      <c r="CY2049" s="717"/>
      <c r="CZ2049" s="717"/>
      <c r="DA2049" s="717"/>
      <c r="DB2049" s="717"/>
      <c r="DC2049" s="717"/>
      <c r="DD2049" s="717"/>
      <c r="DE2049" s="717"/>
      <c r="DF2049" s="717"/>
      <c r="DG2049" s="717"/>
      <c r="DH2049" s="717"/>
      <c r="DI2049" s="717"/>
      <c r="DJ2049" s="717"/>
      <c r="DM2049" s="711"/>
      <c r="DN2049" s="711"/>
      <c r="DO2049" s="711"/>
      <c r="DP2049" s="711"/>
      <c r="DQ2049" s="711"/>
    </row>
    <row r="2050" spans="13:121" s="709" customFormat="1" hidden="1">
      <c r="M2050" s="710"/>
      <c r="P2050" s="711"/>
      <c r="Q2050" s="712"/>
      <c r="U2050" s="711"/>
      <c r="V2050" s="711"/>
      <c r="W2050" s="711"/>
      <c r="X2050" s="711"/>
      <c r="Y2050" s="711"/>
      <c r="Z2050" s="711"/>
      <c r="AU2050" s="713"/>
      <c r="AW2050" s="712"/>
      <c r="BY2050" s="714"/>
      <c r="BZ2050" s="715"/>
      <c r="CA2050" s="716"/>
      <c r="CB2050" s="717"/>
      <c r="CC2050" s="717"/>
      <c r="CD2050" s="717"/>
      <c r="CE2050" s="717"/>
      <c r="CF2050" s="717"/>
      <c r="CG2050" s="717"/>
      <c r="CH2050" s="717"/>
      <c r="CI2050" s="717"/>
      <c r="CJ2050" s="717"/>
      <c r="CK2050" s="717"/>
      <c r="CL2050" s="717"/>
      <c r="CM2050" s="717"/>
      <c r="CN2050" s="717"/>
      <c r="CO2050" s="717"/>
      <c r="CP2050" s="717"/>
      <c r="CQ2050" s="717"/>
      <c r="CR2050" s="717"/>
      <c r="CS2050" s="717"/>
      <c r="CT2050" s="717"/>
      <c r="CU2050" s="717"/>
      <c r="CV2050" s="717"/>
      <c r="CW2050" s="717"/>
      <c r="CX2050" s="717"/>
      <c r="CY2050" s="717"/>
      <c r="CZ2050" s="717"/>
      <c r="DA2050" s="717"/>
      <c r="DB2050" s="717"/>
      <c r="DC2050" s="717"/>
      <c r="DD2050" s="717"/>
      <c r="DE2050" s="717"/>
      <c r="DF2050" s="717"/>
      <c r="DG2050" s="717"/>
      <c r="DH2050" s="717"/>
      <c r="DI2050" s="717"/>
      <c r="DJ2050" s="717"/>
      <c r="DM2050" s="711"/>
      <c r="DN2050" s="711"/>
      <c r="DO2050" s="711"/>
      <c r="DP2050" s="711"/>
      <c r="DQ2050" s="711"/>
    </row>
    <row r="2051" spans="13:121" s="709" customFormat="1" hidden="1">
      <c r="M2051" s="710"/>
      <c r="P2051" s="711"/>
      <c r="Q2051" s="712"/>
      <c r="U2051" s="711"/>
      <c r="V2051" s="711"/>
      <c r="W2051" s="711"/>
      <c r="X2051" s="711"/>
      <c r="Y2051" s="711"/>
      <c r="Z2051" s="711"/>
      <c r="AU2051" s="713"/>
      <c r="AW2051" s="712"/>
      <c r="BY2051" s="714"/>
      <c r="BZ2051" s="715"/>
      <c r="CA2051" s="716"/>
      <c r="CB2051" s="717"/>
      <c r="CC2051" s="717"/>
      <c r="CD2051" s="717"/>
      <c r="CE2051" s="717"/>
      <c r="CF2051" s="717"/>
      <c r="CG2051" s="717"/>
      <c r="CH2051" s="717"/>
      <c r="CI2051" s="717"/>
      <c r="CJ2051" s="717"/>
      <c r="CK2051" s="717"/>
      <c r="CL2051" s="717"/>
      <c r="CM2051" s="717"/>
      <c r="CN2051" s="717"/>
      <c r="CO2051" s="717"/>
      <c r="CP2051" s="717"/>
      <c r="CQ2051" s="717"/>
      <c r="CR2051" s="717"/>
      <c r="CS2051" s="717"/>
      <c r="CT2051" s="717"/>
      <c r="CU2051" s="717"/>
      <c r="CV2051" s="717"/>
      <c r="CW2051" s="717"/>
      <c r="CX2051" s="717"/>
      <c r="CY2051" s="717"/>
      <c r="CZ2051" s="717"/>
      <c r="DA2051" s="717"/>
      <c r="DB2051" s="717"/>
      <c r="DC2051" s="717"/>
      <c r="DD2051" s="717"/>
      <c r="DE2051" s="717"/>
      <c r="DF2051" s="717"/>
      <c r="DG2051" s="717"/>
      <c r="DH2051" s="717"/>
      <c r="DI2051" s="717"/>
      <c r="DJ2051" s="717"/>
      <c r="DM2051" s="711"/>
      <c r="DN2051" s="711"/>
      <c r="DO2051" s="711"/>
      <c r="DP2051" s="711"/>
      <c r="DQ2051" s="711"/>
    </row>
    <row r="2052" spans="13:121" s="709" customFormat="1" hidden="1">
      <c r="M2052" s="710"/>
      <c r="P2052" s="711"/>
      <c r="Q2052" s="712"/>
      <c r="U2052" s="711"/>
      <c r="V2052" s="711"/>
      <c r="W2052" s="711"/>
      <c r="X2052" s="711"/>
      <c r="Y2052" s="711"/>
      <c r="Z2052" s="711"/>
      <c r="AU2052" s="713"/>
      <c r="AW2052" s="712"/>
      <c r="BY2052" s="714"/>
      <c r="BZ2052" s="715"/>
      <c r="CA2052" s="716"/>
      <c r="CB2052" s="717"/>
      <c r="CC2052" s="717"/>
      <c r="CD2052" s="717"/>
      <c r="CE2052" s="717"/>
      <c r="CF2052" s="717"/>
      <c r="CG2052" s="717"/>
      <c r="CH2052" s="717"/>
      <c r="CI2052" s="717"/>
      <c r="CJ2052" s="717"/>
      <c r="CK2052" s="717"/>
      <c r="CL2052" s="717"/>
      <c r="CM2052" s="717"/>
      <c r="CN2052" s="717"/>
      <c r="CO2052" s="717"/>
      <c r="CP2052" s="717"/>
      <c r="CQ2052" s="717"/>
      <c r="CR2052" s="717"/>
      <c r="CS2052" s="717"/>
      <c r="CT2052" s="717"/>
      <c r="CU2052" s="717"/>
      <c r="CV2052" s="717"/>
      <c r="CW2052" s="717"/>
      <c r="CX2052" s="717"/>
      <c r="CY2052" s="717"/>
      <c r="CZ2052" s="717"/>
      <c r="DA2052" s="717"/>
      <c r="DB2052" s="717"/>
      <c r="DC2052" s="717"/>
      <c r="DD2052" s="717"/>
      <c r="DE2052" s="717"/>
      <c r="DF2052" s="717"/>
      <c r="DG2052" s="717"/>
      <c r="DH2052" s="717"/>
      <c r="DI2052" s="717"/>
      <c r="DJ2052" s="717"/>
      <c r="DM2052" s="711"/>
      <c r="DN2052" s="711"/>
      <c r="DO2052" s="711"/>
      <c r="DP2052" s="711"/>
      <c r="DQ2052" s="711"/>
    </row>
    <row r="2053" spans="13:121" s="709" customFormat="1" hidden="1">
      <c r="M2053" s="710"/>
      <c r="P2053" s="711"/>
      <c r="Q2053" s="712"/>
      <c r="U2053" s="711"/>
      <c r="V2053" s="711"/>
      <c r="W2053" s="711"/>
      <c r="X2053" s="711"/>
      <c r="Y2053" s="711"/>
      <c r="Z2053" s="711"/>
      <c r="AU2053" s="713"/>
      <c r="AW2053" s="712"/>
      <c r="BY2053" s="714"/>
      <c r="BZ2053" s="715"/>
      <c r="CA2053" s="716"/>
      <c r="CB2053" s="717"/>
      <c r="CC2053" s="717"/>
      <c r="CD2053" s="717"/>
      <c r="CE2053" s="717"/>
      <c r="CF2053" s="717"/>
      <c r="CG2053" s="717"/>
      <c r="CH2053" s="717"/>
      <c r="CI2053" s="717"/>
      <c r="CJ2053" s="717"/>
      <c r="CK2053" s="717"/>
      <c r="CL2053" s="717"/>
      <c r="CM2053" s="717"/>
      <c r="CN2053" s="717"/>
      <c r="CO2053" s="717"/>
      <c r="CP2053" s="717"/>
      <c r="CQ2053" s="717"/>
      <c r="CR2053" s="717"/>
      <c r="CS2053" s="717"/>
      <c r="CT2053" s="717"/>
      <c r="CU2053" s="717"/>
      <c r="CV2053" s="717"/>
      <c r="CW2053" s="717"/>
      <c r="CX2053" s="717"/>
      <c r="CY2053" s="717"/>
      <c r="CZ2053" s="717"/>
      <c r="DA2053" s="717"/>
      <c r="DB2053" s="717"/>
      <c r="DC2053" s="717"/>
      <c r="DD2053" s="717"/>
      <c r="DE2053" s="717"/>
      <c r="DF2053" s="717"/>
      <c r="DG2053" s="717"/>
      <c r="DH2053" s="717"/>
      <c r="DI2053" s="717"/>
      <c r="DJ2053" s="717"/>
      <c r="DM2053" s="711"/>
      <c r="DN2053" s="711"/>
      <c r="DO2053" s="711"/>
      <c r="DP2053" s="711"/>
      <c r="DQ2053" s="711"/>
    </row>
    <row r="2054" spans="13:121" s="709" customFormat="1" hidden="1">
      <c r="M2054" s="710"/>
      <c r="P2054" s="711"/>
      <c r="Q2054" s="712"/>
      <c r="U2054" s="711"/>
      <c r="V2054" s="711"/>
      <c r="W2054" s="711"/>
      <c r="X2054" s="711"/>
      <c r="Y2054" s="711"/>
      <c r="Z2054" s="711"/>
      <c r="AU2054" s="713"/>
      <c r="AW2054" s="712"/>
      <c r="BY2054" s="714"/>
      <c r="BZ2054" s="715"/>
      <c r="CA2054" s="716"/>
      <c r="CB2054" s="717"/>
      <c r="CC2054" s="717"/>
      <c r="CD2054" s="717"/>
      <c r="CE2054" s="717"/>
      <c r="CF2054" s="717"/>
      <c r="CG2054" s="717"/>
      <c r="CH2054" s="717"/>
      <c r="CI2054" s="717"/>
      <c r="CJ2054" s="717"/>
      <c r="CK2054" s="717"/>
      <c r="CL2054" s="717"/>
      <c r="CM2054" s="717"/>
      <c r="CN2054" s="717"/>
      <c r="CO2054" s="717"/>
      <c r="CP2054" s="717"/>
      <c r="CQ2054" s="717"/>
      <c r="CR2054" s="717"/>
      <c r="CS2054" s="717"/>
      <c r="CT2054" s="717"/>
      <c r="CU2054" s="717"/>
      <c r="CV2054" s="717"/>
      <c r="CW2054" s="717"/>
      <c r="CX2054" s="717"/>
      <c r="CY2054" s="717"/>
      <c r="CZ2054" s="717"/>
      <c r="DA2054" s="717"/>
      <c r="DB2054" s="717"/>
      <c r="DC2054" s="717"/>
      <c r="DD2054" s="717"/>
      <c r="DE2054" s="717"/>
      <c r="DF2054" s="717"/>
      <c r="DG2054" s="717"/>
      <c r="DH2054" s="717"/>
      <c r="DI2054" s="717"/>
      <c r="DJ2054" s="717"/>
      <c r="DM2054" s="711"/>
      <c r="DN2054" s="711"/>
      <c r="DO2054" s="711"/>
      <c r="DP2054" s="711"/>
      <c r="DQ2054" s="711"/>
    </row>
    <row r="2055" spans="13:121" s="709" customFormat="1" hidden="1">
      <c r="M2055" s="710"/>
      <c r="P2055" s="711"/>
      <c r="Q2055" s="712"/>
      <c r="U2055" s="711"/>
      <c r="V2055" s="711"/>
      <c r="W2055" s="711"/>
      <c r="X2055" s="711"/>
      <c r="Y2055" s="711"/>
      <c r="Z2055" s="711"/>
      <c r="AU2055" s="713"/>
      <c r="AW2055" s="712"/>
      <c r="BY2055" s="714"/>
      <c r="BZ2055" s="715"/>
      <c r="CA2055" s="716"/>
      <c r="CB2055" s="717"/>
      <c r="CC2055" s="717"/>
      <c r="CD2055" s="717"/>
      <c r="CE2055" s="717"/>
      <c r="CF2055" s="717"/>
      <c r="CG2055" s="717"/>
      <c r="CH2055" s="717"/>
      <c r="CI2055" s="717"/>
      <c r="CJ2055" s="717"/>
      <c r="CK2055" s="717"/>
      <c r="CL2055" s="717"/>
      <c r="CM2055" s="717"/>
      <c r="CN2055" s="717"/>
      <c r="CO2055" s="717"/>
      <c r="CP2055" s="717"/>
      <c r="CQ2055" s="717"/>
      <c r="CR2055" s="717"/>
      <c r="CS2055" s="717"/>
      <c r="CT2055" s="717"/>
      <c r="CU2055" s="717"/>
      <c r="CV2055" s="717"/>
      <c r="CW2055" s="717"/>
      <c r="CX2055" s="717"/>
      <c r="CY2055" s="717"/>
      <c r="CZ2055" s="717"/>
      <c r="DA2055" s="717"/>
      <c r="DB2055" s="717"/>
      <c r="DC2055" s="717"/>
      <c r="DD2055" s="717"/>
      <c r="DE2055" s="717"/>
      <c r="DF2055" s="717"/>
      <c r="DG2055" s="717"/>
      <c r="DH2055" s="717"/>
      <c r="DI2055" s="717"/>
      <c r="DJ2055" s="717"/>
      <c r="DM2055" s="711"/>
      <c r="DN2055" s="711"/>
      <c r="DO2055" s="711"/>
      <c r="DP2055" s="711"/>
      <c r="DQ2055" s="711"/>
    </row>
    <row r="2056" spans="13:121" s="709" customFormat="1" hidden="1">
      <c r="M2056" s="710"/>
      <c r="P2056" s="711"/>
      <c r="Q2056" s="712"/>
      <c r="U2056" s="711"/>
      <c r="V2056" s="711"/>
      <c r="W2056" s="711"/>
      <c r="X2056" s="711"/>
      <c r="Y2056" s="711"/>
      <c r="Z2056" s="711"/>
      <c r="AU2056" s="713"/>
      <c r="AW2056" s="712"/>
      <c r="BY2056" s="714"/>
      <c r="BZ2056" s="715"/>
      <c r="CA2056" s="716"/>
      <c r="CB2056" s="717"/>
      <c r="CC2056" s="717"/>
      <c r="CD2056" s="717"/>
      <c r="CE2056" s="717"/>
      <c r="CF2056" s="717"/>
      <c r="CG2056" s="717"/>
      <c r="CH2056" s="717"/>
      <c r="CI2056" s="717"/>
      <c r="CJ2056" s="717"/>
      <c r="CK2056" s="717"/>
      <c r="CL2056" s="717"/>
      <c r="CM2056" s="717"/>
      <c r="CN2056" s="717"/>
      <c r="CO2056" s="717"/>
      <c r="CP2056" s="717"/>
      <c r="CQ2056" s="717"/>
      <c r="CR2056" s="717"/>
      <c r="CS2056" s="717"/>
      <c r="CT2056" s="717"/>
      <c r="CU2056" s="717"/>
      <c r="CV2056" s="717"/>
      <c r="CW2056" s="717"/>
      <c r="CX2056" s="717"/>
      <c r="CY2056" s="717"/>
      <c r="CZ2056" s="717"/>
      <c r="DA2056" s="717"/>
      <c r="DB2056" s="717"/>
      <c r="DC2056" s="717"/>
      <c r="DD2056" s="717"/>
      <c r="DE2056" s="717"/>
      <c r="DF2056" s="717"/>
      <c r="DG2056" s="717"/>
      <c r="DH2056" s="717"/>
      <c r="DI2056" s="717"/>
      <c r="DJ2056" s="717"/>
      <c r="DM2056" s="711"/>
      <c r="DN2056" s="711"/>
      <c r="DO2056" s="711"/>
      <c r="DP2056" s="711"/>
      <c r="DQ2056" s="711"/>
    </row>
    <row r="2057" spans="13:121" s="709" customFormat="1" hidden="1">
      <c r="M2057" s="710"/>
      <c r="P2057" s="711"/>
      <c r="Q2057" s="712"/>
      <c r="U2057" s="711"/>
      <c r="V2057" s="711"/>
      <c r="W2057" s="711"/>
      <c r="X2057" s="711"/>
      <c r="Y2057" s="711"/>
      <c r="Z2057" s="711"/>
      <c r="AU2057" s="713"/>
      <c r="AW2057" s="712"/>
      <c r="BY2057" s="714"/>
      <c r="BZ2057" s="715"/>
      <c r="CA2057" s="716"/>
      <c r="CB2057" s="717"/>
      <c r="CC2057" s="717"/>
      <c r="CD2057" s="717"/>
      <c r="CE2057" s="717"/>
      <c r="CF2057" s="717"/>
      <c r="CG2057" s="717"/>
      <c r="CH2057" s="717"/>
      <c r="CI2057" s="717"/>
      <c r="CJ2057" s="717"/>
      <c r="CK2057" s="717"/>
      <c r="CL2057" s="717"/>
      <c r="CM2057" s="717"/>
      <c r="CN2057" s="717"/>
      <c r="CO2057" s="717"/>
      <c r="CP2057" s="717"/>
      <c r="CQ2057" s="717"/>
      <c r="CR2057" s="717"/>
      <c r="CS2057" s="717"/>
      <c r="CT2057" s="717"/>
      <c r="CU2057" s="717"/>
      <c r="CV2057" s="717"/>
      <c r="CW2057" s="717"/>
      <c r="CX2057" s="717"/>
      <c r="CY2057" s="717"/>
      <c r="CZ2057" s="717"/>
      <c r="DA2057" s="717"/>
      <c r="DB2057" s="717"/>
      <c r="DC2057" s="717"/>
      <c r="DD2057" s="717"/>
      <c r="DE2057" s="717"/>
      <c r="DF2057" s="717"/>
      <c r="DG2057" s="717"/>
      <c r="DH2057" s="717"/>
      <c r="DI2057" s="717"/>
      <c r="DJ2057" s="717"/>
      <c r="DM2057" s="711"/>
      <c r="DN2057" s="711"/>
      <c r="DO2057" s="711"/>
      <c r="DP2057" s="711"/>
      <c r="DQ2057" s="711"/>
    </row>
    <row r="2058" spans="13:121" s="709" customFormat="1" hidden="1">
      <c r="M2058" s="710"/>
      <c r="P2058" s="711"/>
      <c r="Q2058" s="712"/>
      <c r="U2058" s="711"/>
      <c r="V2058" s="711"/>
      <c r="W2058" s="711"/>
      <c r="X2058" s="711"/>
      <c r="Y2058" s="711"/>
      <c r="Z2058" s="711"/>
      <c r="AU2058" s="713"/>
      <c r="AW2058" s="712"/>
      <c r="BY2058" s="714"/>
      <c r="BZ2058" s="715"/>
      <c r="CA2058" s="716"/>
      <c r="CB2058" s="717"/>
      <c r="CC2058" s="717"/>
      <c r="CD2058" s="717"/>
      <c r="CE2058" s="717"/>
      <c r="CF2058" s="717"/>
      <c r="CG2058" s="717"/>
      <c r="CH2058" s="717"/>
      <c r="CI2058" s="717"/>
      <c r="CJ2058" s="717"/>
      <c r="CK2058" s="717"/>
      <c r="CL2058" s="717"/>
      <c r="CM2058" s="717"/>
      <c r="CN2058" s="717"/>
      <c r="CO2058" s="717"/>
      <c r="CP2058" s="717"/>
      <c r="CQ2058" s="717"/>
      <c r="CR2058" s="717"/>
      <c r="CS2058" s="717"/>
      <c r="CT2058" s="717"/>
      <c r="CU2058" s="717"/>
      <c r="CV2058" s="717"/>
      <c r="CW2058" s="717"/>
      <c r="CX2058" s="717"/>
      <c r="CY2058" s="717"/>
      <c r="CZ2058" s="717"/>
      <c r="DA2058" s="717"/>
      <c r="DB2058" s="717"/>
      <c r="DC2058" s="717"/>
      <c r="DD2058" s="717"/>
      <c r="DE2058" s="717"/>
      <c r="DF2058" s="717"/>
      <c r="DG2058" s="717"/>
      <c r="DH2058" s="717"/>
      <c r="DI2058" s="717"/>
      <c r="DJ2058" s="717"/>
      <c r="DM2058" s="711"/>
      <c r="DN2058" s="711"/>
      <c r="DO2058" s="711"/>
      <c r="DP2058" s="711"/>
      <c r="DQ2058" s="711"/>
    </row>
    <row r="2059" spans="13:121" s="709" customFormat="1" hidden="1">
      <c r="M2059" s="710"/>
      <c r="P2059" s="711"/>
      <c r="Q2059" s="712"/>
      <c r="U2059" s="711"/>
      <c r="V2059" s="711"/>
      <c r="W2059" s="711"/>
      <c r="X2059" s="711"/>
      <c r="Y2059" s="711"/>
      <c r="Z2059" s="711"/>
      <c r="AU2059" s="713"/>
      <c r="AW2059" s="712"/>
      <c r="BY2059" s="714"/>
      <c r="BZ2059" s="715"/>
      <c r="CA2059" s="716"/>
      <c r="CB2059" s="717"/>
      <c r="CC2059" s="717"/>
      <c r="CD2059" s="717"/>
      <c r="CE2059" s="717"/>
      <c r="CF2059" s="717"/>
      <c r="CG2059" s="717"/>
      <c r="CH2059" s="717"/>
      <c r="CI2059" s="717"/>
      <c r="CJ2059" s="717"/>
      <c r="CK2059" s="717"/>
      <c r="CL2059" s="717"/>
      <c r="CM2059" s="717"/>
      <c r="CN2059" s="717"/>
      <c r="CO2059" s="717"/>
      <c r="CP2059" s="717"/>
      <c r="CQ2059" s="717"/>
      <c r="CR2059" s="717"/>
      <c r="CS2059" s="717"/>
      <c r="CT2059" s="717"/>
      <c r="CU2059" s="717"/>
      <c r="CV2059" s="717"/>
      <c r="CW2059" s="717"/>
      <c r="CX2059" s="717"/>
      <c r="CY2059" s="717"/>
      <c r="CZ2059" s="717"/>
      <c r="DA2059" s="717"/>
      <c r="DB2059" s="717"/>
      <c r="DC2059" s="717"/>
      <c r="DD2059" s="717"/>
      <c r="DE2059" s="717"/>
      <c r="DF2059" s="717"/>
      <c r="DG2059" s="717"/>
      <c r="DH2059" s="717"/>
      <c r="DI2059" s="717"/>
      <c r="DJ2059" s="717"/>
      <c r="DM2059" s="711"/>
      <c r="DN2059" s="711"/>
      <c r="DO2059" s="711"/>
      <c r="DP2059" s="711"/>
      <c r="DQ2059" s="711"/>
    </row>
    <row r="2060" spans="13:121" s="709" customFormat="1" hidden="1">
      <c r="M2060" s="710"/>
      <c r="P2060" s="711"/>
      <c r="Q2060" s="712"/>
      <c r="U2060" s="711"/>
      <c r="V2060" s="711"/>
      <c r="W2060" s="711"/>
      <c r="X2060" s="711"/>
      <c r="Y2060" s="711"/>
      <c r="Z2060" s="711"/>
      <c r="AU2060" s="713"/>
      <c r="AW2060" s="712"/>
      <c r="BY2060" s="714"/>
      <c r="BZ2060" s="715"/>
      <c r="CA2060" s="716"/>
      <c r="CB2060" s="717"/>
      <c r="CC2060" s="717"/>
      <c r="CD2060" s="717"/>
      <c r="CE2060" s="717"/>
      <c r="CF2060" s="717"/>
      <c r="CG2060" s="717"/>
      <c r="CH2060" s="717"/>
      <c r="CI2060" s="717"/>
      <c r="CJ2060" s="717"/>
      <c r="CK2060" s="717"/>
      <c r="CL2060" s="717"/>
      <c r="CM2060" s="717"/>
      <c r="CN2060" s="717"/>
      <c r="CO2060" s="717"/>
      <c r="CP2060" s="717"/>
      <c r="CQ2060" s="717"/>
      <c r="CR2060" s="717"/>
      <c r="CS2060" s="717"/>
      <c r="CT2060" s="717"/>
      <c r="CU2060" s="717"/>
      <c r="CV2060" s="717"/>
      <c r="CW2060" s="717"/>
      <c r="CX2060" s="717"/>
      <c r="CY2060" s="717"/>
      <c r="CZ2060" s="717"/>
      <c r="DA2060" s="717"/>
      <c r="DB2060" s="717"/>
      <c r="DC2060" s="717"/>
      <c r="DD2060" s="717"/>
      <c r="DE2060" s="717"/>
      <c r="DF2060" s="717"/>
      <c r="DG2060" s="717"/>
      <c r="DH2060" s="717"/>
      <c r="DI2060" s="717"/>
      <c r="DJ2060" s="717"/>
      <c r="DM2060" s="711"/>
      <c r="DN2060" s="711"/>
      <c r="DO2060" s="711"/>
      <c r="DP2060" s="711"/>
      <c r="DQ2060" s="711"/>
    </row>
    <row r="2061" spans="13:121" s="709" customFormat="1" hidden="1">
      <c r="M2061" s="710"/>
      <c r="P2061" s="711"/>
      <c r="Q2061" s="712"/>
      <c r="U2061" s="711"/>
      <c r="V2061" s="711"/>
      <c r="W2061" s="711"/>
      <c r="X2061" s="711"/>
      <c r="Y2061" s="711"/>
      <c r="Z2061" s="711"/>
      <c r="AU2061" s="713"/>
      <c r="AW2061" s="712"/>
      <c r="BY2061" s="714"/>
      <c r="BZ2061" s="715"/>
      <c r="CA2061" s="716"/>
      <c r="CB2061" s="717"/>
      <c r="CC2061" s="717"/>
      <c r="CD2061" s="717"/>
      <c r="CE2061" s="717"/>
      <c r="CF2061" s="717"/>
      <c r="CG2061" s="717"/>
      <c r="CH2061" s="717"/>
      <c r="CI2061" s="717"/>
      <c r="CJ2061" s="717"/>
      <c r="CK2061" s="717"/>
      <c r="CL2061" s="717"/>
      <c r="CM2061" s="717"/>
      <c r="CN2061" s="717"/>
      <c r="CO2061" s="717"/>
      <c r="CP2061" s="717"/>
      <c r="CQ2061" s="717"/>
      <c r="CR2061" s="717"/>
      <c r="CS2061" s="717"/>
      <c r="CT2061" s="717"/>
      <c r="CU2061" s="717"/>
      <c r="CV2061" s="717"/>
      <c r="CW2061" s="717"/>
      <c r="CX2061" s="717"/>
      <c r="CY2061" s="717"/>
      <c r="CZ2061" s="717"/>
      <c r="DA2061" s="717"/>
      <c r="DB2061" s="717"/>
      <c r="DC2061" s="717"/>
      <c r="DD2061" s="717"/>
      <c r="DE2061" s="717"/>
      <c r="DF2061" s="717"/>
      <c r="DG2061" s="717"/>
      <c r="DH2061" s="717"/>
      <c r="DI2061" s="717"/>
      <c r="DJ2061" s="717"/>
      <c r="DM2061" s="711"/>
      <c r="DN2061" s="711"/>
      <c r="DO2061" s="711"/>
      <c r="DP2061" s="711"/>
      <c r="DQ2061" s="711"/>
    </row>
    <row r="2062" spans="13:121" s="709" customFormat="1" hidden="1">
      <c r="M2062" s="710"/>
      <c r="P2062" s="711"/>
      <c r="Q2062" s="712"/>
      <c r="U2062" s="711"/>
      <c r="V2062" s="711"/>
      <c r="W2062" s="711"/>
      <c r="X2062" s="711"/>
      <c r="Y2062" s="711"/>
      <c r="Z2062" s="711"/>
      <c r="AU2062" s="713"/>
      <c r="AW2062" s="712"/>
      <c r="BY2062" s="714"/>
      <c r="BZ2062" s="715"/>
      <c r="CA2062" s="716"/>
      <c r="CB2062" s="717"/>
      <c r="CC2062" s="717"/>
      <c r="CD2062" s="717"/>
      <c r="CE2062" s="717"/>
      <c r="CF2062" s="717"/>
      <c r="CG2062" s="717"/>
      <c r="CH2062" s="717"/>
      <c r="CI2062" s="717"/>
      <c r="CJ2062" s="717"/>
      <c r="CK2062" s="717"/>
      <c r="CL2062" s="717"/>
      <c r="CM2062" s="717"/>
      <c r="CN2062" s="717"/>
      <c r="CO2062" s="717"/>
      <c r="CP2062" s="717"/>
      <c r="CQ2062" s="717"/>
      <c r="CR2062" s="717"/>
      <c r="CS2062" s="717"/>
      <c r="CT2062" s="717"/>
      <c r="CU2062" s="717"/>
      <c r="CV2062" s="717"/>
      <c r="CW2062" s="717"/>
      <c r="CX2062" s="717"/>
      <c r="CY2062" s="717"/>
      <c r="CZ2062" s="717"/>
      <c r="DA2062" s="717"/>
      <c r="DB2062" s="717"/>
      <c r="DC2062" s="717"/>
      <c r="DD2062" s="717"/>
      <c r="DE2062" s="717"/>
      <c r="DF2062" s="717"/>
      <c r="DG2062" s="717"/>
      <c r="DH2062" s="717"/>
      <c r="DI2062" s="717"/>
      <c r="DJ2062" s="717"/>
      <c r="DM2062" s="711"/>
      <c r="DN2062" s="711"/>
      <c r="DO2062" s="711"/>
      <c r="DP2062" s="711"/>
      <c r="DQ2062" s="711"/>
    </row>
    <row r="2063" spans="13:121" s="709" customFormat="1" hidden="1">
      <c r="M2063" s="710"/>
      <c r="P2063" s="711"/>
      <c r="Q2063" s="712"/>
      <c r="U2063" s="711"/>
      <c r="V2063" s="711"/>
      <c r="W2063" s="711"/>
      <c r="X2063" s="711"/>
      <c r="Y2063" s="711"/>
      <c r="Z2063" s="711"/>
      <c r="AU2063" s="713"/>
      <c r="AW2063" s="712"/>
      <c r="BY2063" s="714"/>
      <c r="BZ2063" s="715"/>
      <c r="CA2063" s="716"/>
      <c r="CB2063" s="717"/>
      <c r="CC2063" s="717"/>
      <c r="CD2063" s="717"/>
      <c r="CE2063" s="717"/>
      <c r="CF2063" s="717"/>
      <c r="CG2063" s="717"/>
      <c r="CH2063" s="717"/>
      <c r="CI2063" s="717"/>
      <c r="CJ2063" s="717"/>
      <c r="CK2063" s="717"/>
      <c r="CL2063" s="717"/>
      <c r="CM2063" s="717"/>
      <c r="CN2063" s="717"/>
      <c r="CO2063" s="717"/>
      <c r="CP2063" s="717"/>
      <c r="CQ2063" s="717"/>
      <c r="CR2063" s="717"/>
      <c r="CS2063" s="717"/>
      <c r="CT2063" s="717"/>
      <c r="CU2063" s="717"/>
      <c r="CV2063" s="717"/>
      <c r="CW2063" s="717"/>
      <c r="CX2063" s="717"/>
      <c r="CY2063" s="717"/>
      <c r="CZ2063" s="717"/>
      <c r="DA2063" s="717"/>
      <c r="DB2063" s="717"/>
      <c r="DC2063" s="717"/>
      <c r="DD2063" s="717"/>
      <c r="DE2063" s="717"/>
      <c r="DF2063" s="717"/>
      <c r="DG2063" s="717"/>
      <c r="DH2063" s="717"/>
      <c r="DI2063" s="717"/>
      <c r="DJ2063" s="717"/>
      <c r="DM2063" s="711"/>
      <c r="DN2063" s="711"/>
      <c r="DO2063" s="711"/>
      <c r="DP2063" s="711"/>
      <c r="DQ2063" s="711"/>
    </row>
    <row r="2064" spans="13:121" s="709" customFormat="1" hidden="1">
      <c r="M2064" s="710"/>
      <c r="P2064" s="711"/>
      <c r="Q2064" s="712"/>
      <c r="U2064" s="711"/>
      <c r="V2064" s="711"/>
      <c r="W2064" s="711"/>
      <c r="X2064" s="711"/>
      <c r="Y2064" s="711"/>
      <c r="Z2064" s="711"/>
      <c r="AU2064" s="713"/>
      <c r="AW2064" s="712"/>
      <c r="BY2064" s="714"/>
      <c r="BZ2064" s="715"/>
      <c r="CA2064" s="716"/>
      <c r="CB2064" s="717"/>
      <c r="CC2064" s="717"/>
      <c r="CD2064" s="717"/>
      <c r="CE2064" s="717"/>
      <c r="CF2064" s="717"/>
      <c r="CG2064" s="717"/>
      <c r="CH2064" s="717"/>
      <c r="CI2064" s="717"/>
      <c r="CJ2064" s="717"/>
      <c r="CK2064" s="717"/>
      <c r="CL2064" s="717"/>
      <c r="CM2064" s="717"/>
      <c r="CN2064" s="717"/>
      <c r="CO2064" s="717"/>
      <c r="CP2064" s="717"/>
      <c r="CQ2064" s="717"/>
      <c r="CR2064" s="717"/>
      <c r="CS2064" s="717"/>
      <c r="CT2064" s="717"/>
      <c r="CU2064" s="717"/>
      <c r="CV2064" s="717"/>
      <c r="CW2064" s="717"/>
      <c r="CX2064" s="717"/>
      <c r="CY2064" s="717"/>
      <c r="CZ2064" s="717"/>
      <c r="DA2064" s="717"/>
      <c r="DB2064" s="717"/>
      <c r="DC2064" s="717"/>
      <c r="DD2064" s="717"/>
      <c r="DE2064" s="717"/>
      <c r="DF2064" s="717"/>
      <c r="DG2064" s="717"/>
      <c r="DH2064" s="717"/>
      <c r="DI2064" s="717"/>
      <c r="DJ2064" s="717"/>
      <c r="DM2064" s="711"/>
      <c r="DN2064" s="711"/>
      <c r="DO2064" s="711"/>
      <c r="DP2064" s="711"/>
      <c r="DQ2064" s="711"/>
    </row>
    <row r="2065" spans="13:121" s="709" customFormat="1" hidden="1">
      <c r="M2065" s="710"/>
      <c r="P2065" s="711"/>
      <c r="Q2065" s="712"/>
      <c r="U2065" s="711"/>
      <c r="V2065" s="711"/>
      <c r="W2065" s="711"/>
      <c r="X2065" s="711"/>
      <c r="Y2065" s="711"/>
      <c r="Z2065" s="711"/>
      <c r="AU2065" s="713"/>
      <c r="AW2065" s="712"/>
      <c r="BY2065" s="714"/>
      <c r="BZ2065" s="715"/>
      <c r="CA2065" s="716"/>
      <c r="CB2065" s="717"/>
      <c r="CC2065" s="717"/>
      <c r="CD2065" s="717"/>
      <c r="CE2065" s="717"/>
      <c r="CF2065" s="717"/>
      <c r="CG2065" s="717"/>
      <c r="CH2065" s="717"/>
      <c r="CI2065" s="717"/>
      <c r="CJ2065" s="717"/>
      <c r="CK2065" s="717"/>
      <c r="CL2065" s="717"/>
      <c r="CM2065" s="717"/>
      <c r="CN2065" s="717"/>
      <c r="CO2065" s="717"/>
      <c r="CP2065" s="717"/>
      <c r="CQ2065" s="717"/>
      <c r="CR2065" s="717"/>
      <c r="CS2065" s="717"/>
      <c r="CT2065" s="717"/>
      <c r="CU2065" s="717"/>
      <c r="CV2065" s="717"/>
      <c r="CW2065" s="717"/>
      <c r="CX2065" s="717"/>
      <c r="CY2065" s="717"/>
      <c r="CZ2065" s="717"/>
      <c r="DA2065" s="717"/>
      <c r="DB2065" s="717"/>
      <c r="DC2065" s="717"/>
      <c r="DD2065" s="717"/>
      <c r="DE2065" s="717"/>
      <c r="DF2065" s="717"/>
      <c r="DG2065" s="717"/>
      <c r="DH2065" s="717"/>
      <c r="DI2065" s="717"/>
      <c r="DJ2065" s="717"/>
      <c r="DM2065" s="711"/>
      <c r="DN2065" s="711"/>
      <c r="DO2065" s="711"/>
      <c r="DP2065" s="711"/>
      <c r="DQ2065" s="711"/>
    </row>
    <row r="2066" spans="13:121" s="709" customFormat="1" hidden="1">
      <c r="M2066" s="710"/>
      <c r="P2066" s="711"/>
      <c r="Q2066" s="712"/>
      <c r="U2066" s="711"/>
      <c r="V2066" s="711"/>
      <c r="W2066" s="711"/>
      <c r="X2066" s="711"/>
      <c r="Y2066" s="711"/>
      <c r="Z2066" s="711"/>
      <c r="AU2066" s="713"/>
      <c r="AW2066" s="712"/>
      <c r="BY2066" s="714"/>
      <c r="BZ2066" s="715"/>
      <c r="CA2066" s="716"/>
      <c r="CB2066" s="717"/>
      <c r="CC2066" s="717"/>
      <c r="CD2066" s="717"/>
      <c r="CE2066" s="717"/>
      <c r="CF2066" s="717"/>
      <c r="CG2066" s="717"/>
      <c r="CH2066" s="717"/>
      <c r="CI2066" s="717"/>
      <c r="CJ2066" s="717"/>
      <c r="CK2066" s="717"/>
      <c r="CL2066" s="717"/>
      <c r="CM2066" s="717"/>
      <c r="CN2066" s="717"/>
      <c r="CO2066" s="717"/>
      <c r="CP2066" s="717"/>
      <c r="CQ2066" s="717"/>
      <c r="CR2066" s="717"/>
      <c r="CS2066" s="717"/>
      <c r="CT2066" s="717"/>
      <c r="CU2066" s="717"/>
      <c r="CV2066" s="717"/>
      <c r="CW2066" s="717"/>
      <c r="CX2066" s="717"/>
      <c r="CY2066" s="717"/>
      <c r="CZ2066" s="717"/>
      <c r="DA2066" s="717"/>
      <c r="DB2066" s="717"/>
      <c r="DC2066" s="717"/>
      <c r="DD2066" s="717"/>
      <c r="DE2066" s="717"/>
      <c r="DF2066" s="717"/>
      <c r="DG2066" s="717"/>
      <c r="DH2066" s="717"/>
      <c r="DI2066" s="717"/>
      <c r="DJ2066" s="717"/>
      <c r="DM2066" s="711"/>
      <c r="DN2066" s="711"/>
      <c r="DO2066" s="711"/>
      <c r="DP2066" s="711"/>
      <c r="DQ2066" s="711"/>
    </row>
    <row r="2067" spans="13:121" s="709" customFormat="1" hidden="1">
      <c r="M2067" s="710"/>
      <c r="P2067" s="711"/>
      <c r="Q2067" s="712"/>
      <c r="U2067" s="711"/>
      <c r="V2067" s="711"/>
      <c r="W2067" s="711"/>
      <c r="X2067" s="711"/>
      <c r="Y2067" s="711"/>
      <c r="Z2067" s="711"/>
      <c r="AU2067" s="713"/>
      <c r="AW2067" s="712"/>
      <c r="BY2067" s="714"/>
      <c r="BZ2067" s="715"/>
      <c r="CA2067" s="716"/>
      <c r="CB2067" s="717"/>
      <c r="CC2067" s="717"/>
      <c r="CD2067" s="717"/>
      <c r="CE2067" s="717"/>
      <c r="CF2067" s="717"/>
      <c r="CG2067" s="717"/>
      <c r="CH2067" s="717"/>
      <c r="CI2067" s="717"/>
      <c r="CJ2067" s="717"/>
      <c r="CK2067" s="717"/>
      <c r="CL2067" s="717"/>
      <c r="CM2067" s="717"/>
      <c r="CN2067" s="717"/>
      <c r="CO2067" s="717"/>
      <c r="CP2067" s="717"/>
      <c r="CQ2067" s="717"/>
      <c r="CR2067" s="717"/>
      <c r="CS2067" s="717"/>
      <c r="CT2067" s="717"/>
      <c r="CU2067" s="717"/>
      <c r="CV2067" s="717"/>
      <c r="CW2067" s="717"/>
      <c r="CX2067" s="717"/>
      <c r="CY2067" s="717"/>
      <c r="CZ2067" s="717"/>
      <c r="DA2067" s="717"/>
      <c r="DB2067" s="717"/>
      <c r="DC2067" s="717"/>
      <c r="DD2067" s="717"/>
      <c r="DE2067" s="717"/>
      <c r="DF2067" s="717"/>
      <c r="DG2067" s="717"/>
      <c r="DH2067" s="717"/>
      <c r="DI2067" s="717"/>
      <c r="DJ2067" s="717"/>
      <c r="DM2067" s="711"/>
      <c r="DN2067" s="711"/>
      <c r="DO2067" s="711"/>
      <c r="DP2067" s="711"/>
      <c r="DQ2067" s="711"/>
    </row>
    <row r="2068" spans="13:121" s="709" customFormat="1" hidden="1">
      <c r="M2068" s="710"/>
      <c r="P2068" s="711"/>
      <c r="Q2068" s="712"/>
      <c r="U2068" s="711"/>
      <c r="V2068" s="711"/>
      <c r="W2068" s="711"/>
      <c r="X2068" s="711"/>
      <c r="Y2068" s="711"/>
      <c r="Z2068" s="711"/>
      <c r="AU2068" s="713"/>
      <c r="AW2068" s="712"/>
      <c r="BY2068" s="714"/>
      <c r="BZ2068" s="715"/>
      <c r="CA2068" s="716"/>
      <c r="CB2068" s="717"/>
      <c r="CC2068" s="717"/>
      <c r="CD2068" s="717"/>
      <c r="CE2068" s="717"/>
      <c r="CF2068" s="717"/>
      <c r="CG2068" s="717"/>
      <c r="CH2068" s="717"/>
      <c r="CI2068" s="717"/>
      <c r="CJ2068" s="717"/>
      <c r="CK2068" s="717"/>
      <c r="CL2068" s="717"/>
      <c r="CM2068" s="717"/>
      <c r="CN2068" s="717"/>
      <c r="CO2068" s="717"/>
      <c r="CP2068" s="717"/>
      <c r="CQ2068" s="717"/>
      <c r="CR2068" s="717"/>
      <c r="CS2068" s="717"/>
      <c r="CT2068" s="717"/>
      <c r="CU2068" s="717"/>
      <c r="CV2068" s="717"/>
      <c r="CW2068" s="717"/>
      <c r="CX2068" s="717"/>
      <c r="CY2068" s="717"/>
      <c r="CZ2068" s="717"/>
      <c r="DA2068" s="717"/>
      <c r="DB2068" s="717"/>
      <c r="DC2068" s="717"/>
      <c r="DD2068" s="717"/>
      <c r="DE2068" s="717"/>
      <c r="DF2068" s="717"/>
      <c r="DG2068" s="717"/>
      <c r="DH2068" s="717"/>
      <c r="DI2068" s="717"/>
      <c r="DJ2068" s="717"/>
      <c r="DM2068" s="711"/>
      <c r="DN2068" s="711"/>
      <c r="DO2068" s="711"/>
      <c r="DP2068" s="711"/>
      <c r="DQ2068" s="711"/>
    </row>
    <row r="2069" spans="13:121" s="709" customFormat="1" hidden="1">
      <c r="M2069" s="710"/>
      <c r="P2069" s="711"/>
      <c r="Q2069" s="712"/>
      <c r="U2069" s="711"/>
      <c r="V2069" s="711"/>
      <c r="W2069" s="711"/>
      <c r="X2069" s="711"/>
      <c r="Y2069" s="711"/>
      <c r="Z2069" s="711"/>
      <c r="AU2069" s="713"/>
      <c r="AW2069" s="712"/>
      <c r="BY2069" s="714"/>
      <c r="BZ2069" s="715"/>
      <c r="CA2069" s="716"/>
      <c r="CB2069" s="717"/>
      <c r="CC2069" s="717"/>
      <c r="CD2069" s="717"/>
      <c r="CE2069" s="717"/>
      <c r="CF2069" s="717"/>
      <c r="CG2069" s="717"/>
      <c r="CH2069" s="717"/>
      <c r="CI2069" s="717"/>
      <c r="CJ2069" s="717"/>
      <c r="CK2069" s="717"/>
      <c r="CL2069" s="717"/>
      <c r="CM2069" s="717"/>
      <c r="CN2069" s="717"/>
      <c r="CO2069" s="717"/>
      <c r="CP2069" s="717"/>
      <c r="CQ2069" s="717"/>
      <c r="CR2069" s="717"/>
      <c r="CS2069" s="717"/>
      <c r="CT2069" s="717"/>
      <c r="CU2069" s="717"/>
      <c r="CV2069" s="717"/>
      <c r="CW2069" s="717"/>
      <c r="CX2069" s="717"/>
      <c r="CY2069" s="717"/>
      <c r="CZ2069" s="717"/>
      <c r="DA2069" s="717"/>
      <c r="DB2069" s="717"/>
      <c r="DC2069" s="717"/>
      <c r="DD2069" s="717"/>
      <c r="DE2069" s="717"/>
      <c r="DF2069" s="717"/>
      <c r="DG2069" s="717"/>
      <c r="DH2069" s="717"/>
      <c r="DI2069" s="717"/>
      <c r="DJ2069" s="717"/>
      <c r="DM2069" s="711"/>
      <c r="DN2069" s="711"/>
      <c r="DO2069" s="711"/>
      <c r="DP2069" s="711"/>
      <c r="DQ2069" s="711"/>
    </row>
    <row r="2070" spans="13:121" s="709" customFormat="1" hidden="1">
      <c r="M2070" s="710"/>
      <c r="P2070" s="711"/>
      <c r="Q2070" s="712"/>
      <c r="U2070" s="711"/>
      <c r="V2070" s="711"/>
      <c r="W2070" s="711"/>
      <c r="X2070" s="711"/>
      <c r="Y2070" s="711"/>
      <c r="Z2070" s="711"/>
      <c r="AU2070" s="713"/>
      <c r="AW2070" s="712"/>
      <c r="BY2070" s="714"/>
      <c r="BZ2070" s="715"/>
      <c r="CA2070" s="716"/>
      <c r="CB2070" s="717"/>
      <c r="CC2070" s="717"/>
      <c r="CD2070" s="717"/>
      <c r="CE2070" s="717"/>
      <c r="CF2070" s="717"/>
      <c r="CG2070" s="717"/>
      <c r="CH2070" s="717"/>
      <c r="CI2070" s="717"/>
      <c r="CJ2070" s="717"/>
      <c r="CK2070" s="717"/>
      <c r="CL2070" s="717"/>
      <c r="CM2070" s="717"/>
      <c r="CN2070" s="717"/>
      <c r="CO2070" s="717"/>
      <c r="CP2070" s="717"/>
      <c r="CQ2070" s="717"/>
      <c r="CR2070" s="717"/>
      <c r="CS2070" s="717"/>
      <c r="CT2070" s="717"/>
      <c r="CU2070" s="717"/>
      <c r="CV2070" s="717"/>
      <c r="CW2070" s="717"/>
      <c r="CX2070" s="717"/>
      <c r="CY2070" s="717"/>
      <c r="CZ2070" s="717"/>
      <c r="DA2070" s="717"/>
      <c r="DB2070" s="717"/>
      <c r="DC2070" s="717"/>
      <c r="DD2070" s="717"/>
      <c r="DE2070" s="717"/>
      <c r="DF2070" s="717"/>
      <c r="DG2070" s="717"/>
      <c r="DH2070" s="717"/>
      <c r="DI2070" s="717"/>
      <c r="DJ2070" s="717"/>
      <c r="DM2070" s="711"/>
      <c r="DN2070" s="711"/>
      <c r="DO2070" s="711"/>
      <c r="DP2070" s="711"/>
      <c r="DQ2070" s="711"/>
    </row>
    <row r="2071" spans="13:121" s="709" customFormat="1" hidden="1">
      <c r="M2071" s="710"/>
      <c r="P2071" s="711"/>
      <c r="Q2071" s="712"/>
      <c r="U2071" s="711"/>
      <c r="V2071" s="711"/>
      <c r="W2071" s="711"/>
      <c r="X2071" s="711"/>
      <c r="Y2071" s="711"/>
      <c r="Z2071" s="711"/>
      <c r="AU2071" s="713"/>
      <c r="AW2071" s="712"/>
      <c r="BY2071" s="714"/>
      <c r="BZ2071" s="715"/>
      <c r="CA2071" s="716"/>
      <c r="CB2071" s="717"/>
      <c r="CC2071" s="717"/>
      <c r="CD2071" s="717"/>
      <c r="CE2071" s="717"/>
      <c r="CF2071" s="717"/>
      <c r="CG2071" s="717"/>
      <c r="CH2071" s="717"/>
      <c r="CI2071" s="717"/>
      <c r="CJ2071" s="717"/>
      <c r="CK2071" s="717"/>
      <c r="CL2071" s="717"/>
      <c r="CM2071" s="717"/>
      <c r="CN2071" s="717"/>
      <c r="CO2071" s="717"/>
      <c r="CP2071" s="717"/>
      <c r="CQ2071" s="717"/>
      <c r="CR2071" s="717"/>
      <c r="CS2071" s="717"/>
      <c r="CT2071" s="717"/>
      <c r="CU2071" s="717"/>
      <c r="CV2071" s="717"/>
      <c r="CW2071" s="717"/>
      <c r="CX2071" s="717"/>
      <c r="CY2071" s="717"/>
      <c r="CZ2071" s="717"/>
      <c r="DA2071" s="717"/>
      <c r="DB2071" s="717"/>
      <c r="DC2071" s="717"/>
      <c r="DD2071" s="717"/>
      <c r="DE2071" s="717"/>
      <c r="DF2071" s="717"/>
      <c r="DG2071" s="717"/>
      <c r="DH2071" s="717"/>
      <c r="DI2071" s="717"/>
      <c r="DJ2071" s="717"/>
      <c r="DM2071" s="711"/>
      <c r="DN2071" s="711"/>
      <c r="DO2071" s="711"/>
      <c r="DP2071" s="711"/>
      <c r="DQ2071" s="711"/>
    </row>
    <row r="2072" spans="13:121" s="709" customFormat="1" hidden="1">
      <c r="M2072" s="710"/>
      <c r="P2072" s="711"/>
      <c r="Q2072" s="712"/>
      <c r="U2072" s="711"/>
      <c r="V2072" s="711"/>
      <c r="W2072" s="711"/>
      <c r="X2072" s="711"/>
      <c r="Y2072" s="711"/>
      <c r="Z2072" s="711"/>
      <c r="AU2072" s="713"/>
      <c r="AW2072" s="712"/>
      <c r="BY2072" s="714"/>
      <c r="BZ2072" s="715"/>
      <c r="CA2072" s="716"/>
      <c r="CB2072" s="717"/>
      <c r="CC2072" s="717"/>
      <c r="CD2072" s="717"/>
      <c r="CE2072" s="717"/>
      <c r="CF2072" s="717"/>
      <c r="CG2072" s="717"/>
      <c r="CH2072" s="717"/>
      <c r="CI2072" s="717"/>
      <c r="CJ2072" s="717"/>
      <c r="CK2072" s="717"/>
      <c r="CL2072" s="717"/>
      <c r="CM2072" s="717"/>
      <c r="CN2072" s="717"/>
      <c r="CO2072" s="717"/>
      <c r="CP2072" s="717"/>
      <c r="CQ2072" s="717"/>
      <c r="CR2072" s="717"/>
      <c r="CS2072" s="717"/>
      <c r="CT2072" s="717"/>
      <c r="CU2072" s="717"/>
      <c r="CV2072" s="717"/>
      <c r="CW2072" s="717"/>
      <c r="CX2072" s="717"/>
      <c r="CY2072" s="717"/>
      <c r="CZ2072" s="717"/>
      <c r="DA2072" s="717"/>
      <c r="DB2072" s="717"/>
      <c r="DC2072" s="717"/>
      <c r="DD2072" s="717"/>
      <c r="DE2072" s="717"/>
      <c r="DF2072" s="717"/>
      <c r="DG2072" s="717"/>
      <c r="DH2072" s="717"/>
      <c r="DI2072" s="717"/>
      <c r="DJ2072" s="717"/>
      <c r="DM2072" s="711"/>
      <c r="DN2072" s="711"/>
      <c r="DO2072" s="711"/>
      <c r="DP2072" s="711"/>
      <c r="DQ2072" s="711"/>
    </row>
    <row r="2073" spans="13:121" s="709" customFormat="1" hidden="1">
      <c r="M2073" s="710"/>
      <c r="P2073" s="711"/>
      <c r="Q2073" s="712"/>
      <c r="U2073" s="711"/>
      <c r="V2073" s="711"/>
      <c r="W2073" s="711"/>
      <c r="X2073" s="711"/>
      <c r="Y2073" s="711"/>
      <c r="Z2073" s="711"/>
      <c r="AU2073" s="713"/>
      <c r="AW2073" s="712"/>
      <c r="BY2073" s="714"/>
      <c r="BZ2073" s="715"/>
      <c r="CA2073" s="716"/>
      <c r="CB2073" s="717"/>
      <c r="CC2073" s="717"/>
      <c r="CD2073" s="717"/>
      <c r="CE2073" s="717"/>
      <c r="CF2073" s="717"/>
      <c r="CG2073" s="717"/>
      <c r="CH2073" s="717"/>
      <c r="CI2073" s="717"/>
      <c r="CJ2073" s="717"/>
      <c r="CK2073" s="717"/>
      <c r="CL2073" s="717"/>
      <c r="CM2073" s="717"/>
      <c r="CN2073" s="717"/>
      <c r="CO2073" s="717"/>
      <c r="CP2073" s="717"/>
      <c r="CQ2073" s="717"/>
      <c r="CR2073" s="717"/>
      <c r="CS2073" s="717"/>
      <c r="CT2073" s="717"/>
      <c r="CU2073" s="717"/>
      <c r="CV2073" s="717"/>
      <c r="CW2073" s="717"/>
      <c r="CX2073" s="717"/>
      <c r="CY2073" s="717"/>
      <c r="CZ2073" s="717"/>
      <c r="DA2073" s="717"/>
      <c r="DB2073" s="717"/>
      <c r="DC2073" s="717"/>
      <c r="DD2073" s="717"/>
      <c r="DE2073" s="717"/>
      <c r="DF2073" s="717"/>
      <c r="DG2073" s="717"/>
      <c r="DH2073" s="717"/>
      <c r="DI2073" s="717"/>
      <c r="DJ2073" s="717"/>
      <c r="DM2073" s="711"/>
      <c r="DN2073" s="711"/>
      <c r="DO2073" s="711"/>
      <c r="DP2073" s="711"/>
      <c r="DQ2073" s="711"/>
    </row>
    <row r="2074" spans="13:121" s="709" customFormat="1" hidden="1">
      <c r="M2074" s="710"/>
      <c r="P2074" s="711"/>
      <c r="Q2074" s="712"/>
      <c r="U2074" s="711"/>
      <c r="V2074" s="711"/>
      <c r="W2074" s="711"/>
      <c r="X2074" s="711"/>
      <c r="Y2074" s="711"/>
      <c r="Z2074" s="711"/>
      <c r="AU2074" s="713"/>
      <c r="AW2074" s="712"/>
      <c r="BY2074" s="714"/>
      <c r="BZ2074" s="715"/>
      <c r="CA2074" s="716"/>
      <c r="CB2074" s="717"/>
      <c r="CC2074" s="717"/>
      <c r="CD2074" s="717"/>
      <c r="CE2074" s="717"/>
      <c r="CF2074" s="717"/>
      <c r="CG2074" s="717"/>
      <c r="CH2074" s="717"/>
      <c r="CI2074" s="717"/>
      <c r="CJ2074" s="717"/>
      <c r="CK2074" s="717"/>
      <c r="CL2074" s="717"/>
      <c r="CM2074" s="717"/>
      <c r="CN2074" s="717"/>
      <c r="CO2074" s="717"/>
      <c r="CP2074" s="717"/>
      <c r="CQ2074" s="717"/>
      <c r="CR2074" s="717"/>
      <c r="CS2074" s="717"/>
      <c r="CT2074" s="717"/>
      <c r="CU2074" s="717"/>
      <c r="CV2074" s="717"/>
      <c r="CW2074" s="717"/>
      <c r="CX2074" s="717"/>
      <c r="CY2074" s="717"/>
      <c r="CZ2074" s="717"/>
      <c r="DA2074" s="717"/>
      <c r="DB2074" s="717"/>
      <c r="DC2074" s="717"/>
      <c r="DD2074" s="717"/>
      <c r="DE2074" s="717"/>
      <c r="DF2074" s="717"/>
      <c r="DG2074" s="717"/>
      <c r="DH2074" s="717"/>
      <c r="DI2074" s="717"/>
      <c r="DJ2074" s="717"/>
      <c r="DM2074" s="711"/>
      <c r="DN2074" s="711"/>
      <c r="DO2074" s="711"/>
      <c r="DP2074" s="711"/>
      <c r="DQ2074" s="711"/>
    </row>
    <row r="2075" spans="13:121" s="709" customFormat="1" hidden="1">
      <c r="M2075" s="710"/>
      <c r="P2075" s="711"/>
      <c r="Q2075" s="712"/>
      <c r="U2075" s="711"/>
      <c r="V2075" s="711"/>
      <c r="W2075" s="711"/>
      <c r="X2075" s="711"/>
      <c r="Y2075" s="711"/>
      <c r="Z2075" s="711"/>
      <c r="AU2075" s="713"/>
      <c r="AW2075" s="712"/>
      <c r="BY2075" s="714"/>
      <c r="BZ2075" s="715"/>
      <c r="CA2075" s="716"/>
      <c r="CB2075" s="717"/>
      <c r="CC2075" s="717"/>
      <c r="CD2075" s="717"/>
      <c r="CE2075" s="717"/>
      <c r="CF2075" s="717"/>
      <c r="CG2075" s="717"/>
      <c r="CH2075" s="717"/>
      <c r="CI2075" s="717"/>
      <c r="CJ2075" s="717"/>
      <c r="CK2075" s="717"/>
      <c r="CL2075" s="717"/>
      <c r="CM2075" s="717"/>
      <c r="CN2075" s="717"/>
      <c r="CO2075" s="717"/>
      <c r="CP2075" s="717"/>
      <c r="CQ2075" s="717"/>
      <c r="CR2075" s="717"/>
      <c r="CS2075" s="717"/>
      <c r="CT2075" s="717"/>
      <c r="CU2075" s="717"/>
      <c r="CV2075" s="717"/>
      <c r="CW2075" s="717"/>
      <c r="CX2075" s="717"/>
      <c r="CY2075" s="717"/>
      <c r="CZ2075" s="717"/>
      <c r="DA2075" s="717"/>
      <c r="DB2075" s="717"/>
      <c r="DC2075" s="717"/>
      <c r="DD2075" s="717"/>
      <c r="DE2075" s="717"/>
      <c r="DF2075" s="717"/>
      <c r="DG2075" s="717"/>
      <c r="DH2075" s="717"/>
      <c r="DI2075" s="717"/>
      <c r="DJ2075" s="717"/>
      <c r="DM2075" s="711"/>
      <c r="DN2075" s="711"/>
      <c r="DO2075" s="711"/>
      <c r="DP2075" s="711"/>
      <c r="DQ2075" s="711"/>
    </row>
    <row r="2076" spans="13:121" s="709" customFormat="1" hidden="1">
      <c r="M2076" s="710"/>
      <c r="P2076" s="711"/>
      <c r="Q2076" s="712"/>
      <c r="U2076" s="711"/>
      <c r="V2076" s="711"/>
      <c r="W2076" s="711"/>
      <c r="X2076" s="711"/>
      <c r="Y2076" s="711"/>
      <c r="Z2076" s="711"/>
      <c r="AU2076" s="713"/>
      <c r="AW2076" s="712"/>
      <c r="BY2076" s="714"/>
      <c r="BZ2076" s="715"/>
      <c r="CA2076" s="716"/>
      <c r="CB2076" s="717"/>
      <c r="CC2076" s="717"/>
      <c r="CD2076" s="717"/>
      <c r="CE2076" s="717"/>
      <c r="CF2076" s="717"/>
      <c r="CG2076" s="717"/>
      <c r="CH2076" s="717"/>
      <c r="CI2076" s="717"/>
      <c r="CJ2076" s="717"/>
      <c r="CK2076" s="717"/>
      <c r="CL2076" s="717"/>
      <c r="CM2076" s="717"/>
      <c r="CN2076" s="717"/>
      <c r="CO2076" s="717"/>
      <c r="CP2076" s="717"/>
      <c r="CQ2076" s="717"/>
      <c r="CR2076" s="717"/>
      <c r="CS2076" s="717"/>
      <c r="CT2076" s="717"/>
      <c r="CU2076" s="717"/>
      <c r="CV2076" s="717"/>
      <c r="CW2076" s="717"/>
      <c r="CX2076" s="717"/>
      <c r="CY2076" s="717"/>
      <c r="CZ2076" s="717"/>
      <c r="DA2076" s="717"/>
      <c r="DB2076" s="717"/>
      <c r="DC2076" s="717"/>
      <c r="DD2076" s="717"/>
      <c r="DE2076" s="717"/>
      <c r="DF2076" s="717"/>
      <c r="DG2076" s="717"/>
      <c r="DH2076" s="717"/>
      <c r="DI2076" s="717"/>
      <c r="DJ2076" s="717"/>
      <c r="DM2076" s="711"/>
      <c r="DN2076" s="711"/>
      <c r="DO2076" s="711"/>
      <c r="DP2076" s="711"/>
      <c r="DQ2076" s="711"/>
    </row>
    <row r="2077" spans="13:121" s="709" customFormat="1" hidden="1">
      <c r="M2077" s="710"/>
      <c r="P2077" s="711"/>
      <c r="Q2077" s="712"/>
      <c r="U2077" s="711"/>
      <c r="V2077" s="711"/>
      <c r="W2077" s="711"/>
      <c r="X2077" s="711"/>
      <c r="Y2077" s="711"/>
      <c r="Z2077" s="711"/>
      <c r="AU2077" s="713"/>
      <c r="AW2077" s="712"/>
      <c r="BY2077" s="714"/>
      <c r="BZ2077" s="715"/>
      <c r="CA2077" s="716"/>
      <c r="CB2077" s="717"/>
      <c r="CC2077" s="717"/>
      <c r="CD2077" s="717"/>
      <c r="CE2077" s="717"/>
      <c r="CF2077" s="717"/>
      <c r="CG2077" s="717"/>
      <c r="CH2077" s="717"/>
      <c r="CI2077" s="717"/>
      <c r="CJ2077" s="717"/>
      <c r="CK2077" s="717"/>
      <c r="CL2077" s="717"/>
      <c r="CM2077" s="717"/>
      <c r="CN2077" s="717"/>
      <c r="CO2077" s="717"/>
      <c r="CP2077" s="717"/>
      <c r="CQ2077" s="717"/>
      <c r="CR2077" s="717"/>
      <c r="CS2077" s="717"/>
      <c r="CT2077" s="717"/>
      <c r="CU2077" s="717"/>
      <c r="CV2077" s="717"/>
      <c r="CW2077" s="717"/>
      <c r="CX2077" s="717"/>
      <c r="CY2077" s="717"/>
      <c r="CZ2077" s="717"/>
      <c r="DA2077" s="717"/>
      <c r="DB2077" s="717"/>
      <c r="DC2077" s="717"/>
      <c r="DD2077" s="717"/>
      <c r="DE2077" s="717"/>
      <c r="DF2077" s="717"/>
      <c r="DG2077" s="717"/>
      <c r="DH2077" s="717"/>
      <c r="DI2077" s="717"/>
      <c r="DJ2077" s="717"/>
      <c r="DM2077" s="711"/>
      <c r="DN2077" s="711"/>
      <c r="DO2077" s="711"/>
      <c r="DP2077" s="711"/>
      <c r="DQ2077" s="711"/>
    </row>
    <row r="2078" spans="13:121" s="709" customFormat="1" hidden="1">
      <c r="M2078" s="710"/>
      <c r="P2078" s="711"/>
      <c r="Q2078" s="712"/>
      <c r="U2078" s="711"/>
      <c r="V2078" s="711"/>
      <c r="W2078" s="711"/>
      <c r="X2078" s="711"/>
      <c r="Y2078" s="711"/>
      <c r="Z2078" s="711"/>
      <c r="AU2078" s="713"/>
      <c r="AW2078" s="712"/>
      <c r="BY2078" s="714"/>
      <c r="BZ2078" s="715"/>
      <c r="CA2078" s="716"/>
      <c r="CB2078" s="717"/>
      <c r="CC2078" s="717"/>
      <c r="CD2078" s="717"/>
      <c r="CE2078" s="717"/>
      <c r="CF2078" s="717"/>
      <c r="CG2078" s="717"/>
      <c r="CH2078" s="717"/>
      <c r="CI2078" s="717"/>
      <c r="CJ2078" s="717"/>
      <c r="CK2078" s="717"/>
      <c r="CL2078" s="717"/>
      <c r="CM2078" s="717"/>
      <c r="CN2078" s="717"/>
      <c r="CO2078" s="717"/>
      <c r="CP2078" s="717"/>
      <c r="CQ2078" s="717"/>
      <c r="CR2078" s="717"/>
      <c r="CS2078" s="717"/>
      <c r="CT2078" s="717"/>
      <c r="CU2078" s="717"/>
      <c r="CV2078" s="717"/>
      <c r="CW2078" s="717"/>
      <c r="CX2078" s="717"/>
      <c r="CY2078" s="717"/>
      <c r="CZ2078" s="717"/>
      <c r="DA2078" s="717"/>
      <c r="DB2078" s="717"/>
      <c r="DC2078" s="717"/>
      <c r="DD2078" s="717"/>
      <c r="DE2078" s="717"/>
      <c r="DF2078" s="717"/>
      <c r="DG2078" s="717"/>
      <c r="DH2078" s="717"/>
      <c r="DI2078" s="717"/>
      <c r="DJ2078" s="717"/>
      <c r="DM2078" s="711"/>
      <c r="DN2078" s="711"/>
      <c r="DO2078" s="711"/>
      <c r="DP2078" s="711"/>
      <c r="DQ2078" s="711"/>
    </row>
    <row r="2079" spans="13:121" s="709" customFormat="1" hidden="1">
      <c r="M2079" s="710"/>
      <c r="P2079" s="711"/>
      <c r="Q2079" s="712"/>
      <c r="U2079" s="711"/>
      <c r="V2079" s="711"/>
      <c r="W2079" s="711"/>
      <c r="X2079" s="711"/>
      <c r="Y2079" s="711"/>
      <c r="Z2079" s="711"/>
      <c r="AU2079" s="713"/>
      <c r="AW2079" s="712"/>
      <c r="BY2079" s="714"/>
      <c r="BZ2079" s="715"/>
      <c r="CA2079" s="716"/>
      <c r="CB2079" s="717"/>
      <c r="CC2079" s="717"/>
      <c r="CD2079" s="717"/>
      <c r="CE2079" s="717"/>
      <c r="CF2079" s="717"/>
      <c r="CG2079" s="717"/>
      <c r="CH2079" s="717"/>
      <c r="CI2079" s="717"/>
      <c r="CJ2079" s="717"/>
      <c r="CK2079" s="717"/>
      <c r="CL2079" s="717"/>
      <c r="CM2079" s="717"/>
      <c r="CN2079" s="717"/>
      <c r="CO2079" s="717"/>
      <c r="CP2079" s="717"/>
      <c r="CQ2079" s="717"/>
      <c r="CR2079" s="717"/>
      <c r="CS2079" s="717"/>
      <c r="CT2079" s="717"/>
      <c r="CU2079" s="717"/>
      <c r="CV2079" s="717"/>
      <c r="CW2079" s="717"/>
      <c r="CX2079" s="717"/>
      <c r="CY2079" s="717"/>
      <c r="CZ2079" s="717"/>
      <c r="DA2079" s="717"/>
      <c r="DB2079" s="717"/>
      <c r="DC2079" s="717"/>
      <c r="DD2079" s="717"/>
      <c r="DE2079" s="717"/>
      <c r="DF2079" s="717"/>
      <c r="DG2079" s="717"/>
      <c r="DH2079" s="717"/>
      <c r="DI2079" s="717"/>
      <c r="DJ2079" s="717"/>
      <c r="DM2079" s="711"/>
      <c r="DN2079" s="711"/>
      <c r="DO2079" s="711"/>
      <c r="DP2079" s="711"/>
      <c r="DQ2079" s="711"/>
    </row>
    <row r="2080" spans="13:121" s="709" customFormat="1" hidden="1">
      <c r="M2080" s="710"/>
      <c r="P2080" s="711"/>
      <c r="Q2080" s="712"/>
      <c r="U2080" s="711"/>
      <c r="V2080" s="711"/>
      <c r="W2080" s="711"/>
      <c r="X2080" s="711"/>
      <c r="Y2080" s="711"/>
      <c r="Z2080" s="711"/>
      <c r="AU2080" s="713"/>
      <c r="AW2080" s="712"/>
      <c r="BY2080" s="714"/>
      <c r="BZ2080" s="715"/>
      <c r="CA2080" s="716"/>
      <c r="CB2080" s="717"/>
      <c r="CC2080" s="717"/>
      <c r="CD2080" s="717"/>
      <c r="CE2080" s="717"/>
      <c r="CF2080" s="717"/>
      <c r="CG2080" s="717"/>
      <c r="CH2080" s="717"/>
      <c r="CI2080" s="717"/>
      <c r="CJ2080" s="717"/>
      <c r="CK2080" s="717"/>
      <c r="CL2080" s="717"/>
      <c r="CM2080" s="717"/>
      <c r="CN2080" s="717"/>
      <c r="CO2080" s="717"/>
      <c r="CP2080" s="717"/>
      <c r="CQ2080" s="717"/>
      <c r="CR2080" s="717"/>
      <c r="CS2080" s="717"/>
      <c r="CT2080" s="717"/>
      <c r="CU2080" s="717"/>
      <c r="CV2080" s="717"/>
      <c r="CW2080" s="717"/>
      <c r="CX2080" s="717"/>
      <c r="CY2080" s="717"/>
      <c r="CZ2080" s="717"/>
      <c r="DA2080" s="717"/>
      <c r="DB2080" s="717"/>
      <c r="DC2080" s="717"/>
      <c r="DD2080" s="717"/>
      <c r="DE2080" s="717"/>
      <c r="DF2080" s="717"/>
      <c r="DG2080" s="717"/>
      <c r="DH2080" s="717"/>
      <c r="DI2080" s="717"/>
      <c r="DJ2080" s="717"/>
      <c r="DM2080" s="711"/>
      <c r="DN2080" s="711"/>
      <c r="DO2080" s="711"/>
      <c r="DP2080" s="711"/>
      <c r="DQ2080" s="711"/>
    </row>
    <row r="2081" spans="13:121" s="709" customFormat="1" hidden="1">
      <c r="M2081" s="710"/>
      <c r="P2081" s="711"/>
      <c r="Q2081" s="712"/>
      <c r="U2081" s="711"/>
      <c r="V2081" s="711"/>
      <c r="W2081" s="711"/>
      <c r="X2081" s="711"/>
      <c r="Y2081" s="711"/>
      <c r="Z2081" s="711"/>
      <c r="AU2081" s="713"/>
      <c r="AW2081" s="712"/>
      <c r="BY2081" s="714"/>
      <c r="BZ2081" s="715"/>
      <c r="CA2081" s="716"/>
      <c r="CB2081" s="717"/>
      <c r="CC2081" s="717"/>
      <c r="CD2081" s="717"/>
      <c r="CE2081" s="717"/>
      <c r="CF2081" s="717"/>
      <c r="CG2081" s="717"/>
      <c r="CH2081" s="717"/>
      <c r="CI2081" s="717"/>
      <c r="CJ2081" s="717"/>
      <c r="CK2081" s="717"/>
      <c r="CL2081" s="717"/>
      <c r="CM2081" s="717"/>
      <c r="CN2081" s="717"/>
      <c r="CO2081" s="717"/>
      <c r="CP2081" s="717"/>
      <c r="CQ2081" s="717"/>
      <c r="CR2081" s="717"/>
      <c r="CS2081" s="717"/>
      <c r="CT2081" s="717"/>
      <c r="CU2081" s="717"/>
      <c r="CV2081" s="717"/>
      <c r="CW2081" s="717"/>
      <c r="CX2081" s="717"/>
      <c r="CY2081" s="717"/>
      <c r="CZ2081" s="717"/>
      <c r="DA2081" s="717"/>
      <c r="DB2081" s="717"/>
      <c r="DC2081" s="717"/>
      <c r="DD2081" s="717"/>
      <c r="DE2081" s="717"/>
      <c r="DF2081" s="717"/>
      <c r="DG2081" s="717"/>
      <c r="DH2081" s="717"/>
      <c r="DI2081" s="717"/>
      <c r="DJ2081" s="717"/>
      <c r="DM2081" s="711"/>
      <c r="DN2081" s="711"/>
      <c r="DO2081" s="711"/>
      <c r="DP2081" s="711"/>
      <c r="DQ2081" s="711"/>
    </row>
    <row r="2082" spans="13:121" s="709" customFormat="1" hidden="1">
      <c r="M2082" s="710"/>
      <c r="P2082" s="711"/>
      <c r="Q2082" s="712"/>
      <c r="U2082" s="711"/>
      <c r="V2082" s="711"/>
      <c r="W2082" s="711"/>
      <c r="X2082" s="711"/>
      <c r="Y2082" s="711"/>
      <c r="Z2082" s="711"/>
      <c r="AU2082" s="713"/>
      <c r="AW2082" s="712"/>
      <c r="BY2082" s="714"/>
      <c r="BZ2082" s="715"/>
      <c r="CA2082" s="716"/>
      <c r="CB2082" s="717"/>
      <c r="CC2082" s="717"/>
      <c r="CD2082" s="717"/>
      <c r="CE2082" s="717"/>
      <c r="CF2082" s="717"/>
      <c r="CG2082" s="717"/>
      <c r="CH2082" s="717"/>
      <c r="CI2082" s="717"/>
      <c r="CJ2082" s="717"/>
      <c r="CK2082" s="717"/>
      <c r="CL2082" s="717"/>
      <c r="CM2082" s="717"/>
      <c r="CN2082" s="717"/>
      <c r="CO2082" s="717"/>
      <c r="CP2082" s="717"/>
      <c r="CQ2082" s="717"/>
      <c r="CR2082" s="717"/>
      <c r="CS2082" s="717"/>
      <c r="CT2082" s="717"/>
      <c r="CU2082" s="717"/>
      <c r="CV2082" s="717"/>
      <c r="CW2082" s="717"/>
      <c r="CX2082" s="717"/>
      <c r="CY2082" s="717"/>
      <c r="CZ2082" s="717"/>
      <c r="DA2082" s="717"/>
      <c r="DB2082" s="717"/>
      <c r="DC2082" s="717"/>
      <c r="DD2082" s="717"/>
      <c r="DE2082" s="717"/>
      <c r="DF2082" s="717"/>
      <c r="DG2082" s="717"/>
      <c r="DH2082" s="717"/>
      <c r="DI2082" s="717"/>
      <c r="DJ2082" s="717"/>
      <c r="DM2082" s="711"/>
      <c r="DN2082" s="711"/>
      <c r="DO2082" s="711"/>
      <c r="DP2082" s="711"/>
      <c r="DQ2082" s="711"/>
    </row>
    <row r="2083" spans="13:121" s="709" customFormat="1" hidden="1">
      <c r="M2083" s="710"/>
      <c r="P2083" s="711"/>
      <c r="Q2083" s="712"/>
      <c r="U2083" s="711"/>
      <c r="V2083" s="711"/>
      <c r="W2083" s="711"/>
      <c r="X2083" s="711"/>
      <c r="Y2083" s="711"/>
      <c r="Z2083" s="711"/>
      <c r="AU2083" s="713"/>
      <c r="AW2083" s="712"/>
      <c r="BY2083" s="714"/>
      <c r="BZ2083" s="715"/>
      <c r="CA2083" s="716"/>
      <c r="CB2083" s="717"/>
      <c r="CC2083" s="717"/>
      <c r="CD2083" s="717"/>
      <c r="CE2083" s="717"/>
      <c r="CF2083" s="717"/>
      <c r="CG2083" s="717"/>
      <c r="CH2083" s="717"/>
      <c r="CI2083" s="717"/>
      <c r="CJ2083" s="717"/>
      <c r="CK2083" s="717"/>
      <c r="CL2083" s="717"/>
      <c r="CM2083" s="717"/>
      <c r="CN2083" s="717"/>
      <c r="CO2083" s="717"/>
      <c r="CP2083" s="717"/>
      <c r="CQ2083" s="717"/>
      <c r="CR2083" s="717"/>
      <c r="CS2083" s="717"/>
      <c r="CT2083" s="717"/>
      <c r="CU2083" s="717"/>
      <c r="CV2083" s="717"/>
      <c r="CW2083" s="717"/>
      <c r="CX2083" s="717"/>
      <c r="CY2083" s="717"/>
      <c r="CZ2083" s="717"/>
      <c r="DA2083" s="717"/>
      <c r="DB2083" s="717"/>
      <c r="DC2083" s="717"/>
      <c r="DD2083" s="717"/>
      <c r="DE2083" s="717"/>
      <c r="DF2083" s="717"/>
      <c r="DG2083" s="717"/>
      <c r="DH2083" s="717"/>
      <c r="DI2083" s="717"/>
      <c r="DJ2083" s="717"/>
      <c r="DM2083" s="711"/>
      <c r="DN2083" s="711"/>
      <c r="DO2083" s="711"/>
      <c r="DP2083" s="711"/>
      <c r="DQ2083" s="711"/>
    </row>
    <row r="2084" spans="13:121" s="709" customFormat="1" hidden="1">
      <c r="M2084" s="710"/>
      <c r="P2084" s="711"/>
      <c r="Q2084" s="712"/>
      <c r="U2084" s="711"/>
      <c r="V2084" s="711"/>
      <c r="W2084" s="711"/>
      <c r="X2084" s="711"/>
      <c r="Y2084" s="711"/>
      <c r="Z2084" s="711"/>
      <c r="AU2084" s="713"/>
      <c r="AW2084" s="712"/>
      <c r="BY2084" s="714"/>
      <c r="BZ2084" s="715"/>
      <c r="CA2084" s="716"/>
      <c r="CB2084" s="717"/>
      <c r="CC2084" s="717"/>
      <c r="CD2084" s="717"/>
      <c r="CE2084" s="717"/>
      <c r="CF2084" s="717"/>
      <c r="CG2084" s="717"/>
      <c r="CH2084" s="717"/>
      <c r="CI2084" s="717"/>
      <c r="CJ2084" s="717"/>
      <c r="CK2084" s="717"/>
      <c r="CL2084" s="717"/>
      <c r="CM2084" s="717"/>
      <c r="CN2084" s="717"/>
      <c r="CO2084" s="717"/>
      <c r="CP2084" s="717"/>
      <c r="CQ2084" s="717"/>
      <c r="CR2084" s="717"/>
      <c r="CS2084" s="717"/>
      <c r="CT2084" s="717"/>
      <c r="CU2084" s="717"/>
      <c r="CV2084" s="717"/>
      <c r="CW2084" s="717"/>
      <c r="CX2084" s="717"/>
      <c r="CY2084" s="717"/>
      <c r="CZ2084" s="717"/>
      <c r="DA2084" s="717"/>
      <c r="DB2084" s="717"/>
      <c r="DC2084" s="717"/>
      <c r="DD2084" s="717"/>
      <c r="DE2084" s="717"/>
      <c r="DF2084" s="717"/>
      <c r="DG2084" s="717"/>
      <c r="DH2084" s="717"/>
      <c r="DI2084" s="717"/>
      <c r="DJ2084" s="717"/>
      <c r="DM2084" s="711"/>
      <c r="DN2084" s="711"/>
      <c r="DO2084" s="711"/>
      <c r="DP2084" s="711"/>
      <c r="DQ2084" s="711"/>
    </row>
    <row r="2085" spans="13:121" s="709" customFormat="1" hidden="1">
      <c r="M2085" s="710"/>
      <c r="P2085" s="711"/>
      <c r="Q2085" s="712"/>
      <c r="U2085" s="711"/>
      <c r="V2085" s="711"/>
      <c r="W2085" s="711"/>
      <c r="X2085" s="711"/>
      <c r="Y2085" s="711"/>
      <c r="Z2085" s="711"/>
      <c r="AU2085" s="713"/>
      <c r="AW2085" s="712"/>
      <c r="BY2085" s="714"/>
      <c r="BZ2085" s="715"/>
      <c r="CA2085" s="716"/>
      <c r="CB2085" s="717"/>
      <c r="CC2085" s="717"/>
      <c r="CD2085" s="717"/>
      <c r="CE2085" s="717"/>
      <c r="CF2085" s="717"/>
      <c r="CG2085" s="717"/>
      <c r="CH2085" s="717"/>
      <c r="CI2085" s="717"/>
      <c r="CJ2085" s="717"/>
      <c r="CK2085" s="717"/>
      <c r="CL2085" s="717"/>
      <c r="CM2085" s="717"/>
      <c r="CN2085" s="717"/>
      <c r="CO2085" s="717"/>
      <c r="CP2085" s="717"/>
      <c r="CQ2085" s="717"/>
      <c r="CR2085" s="717"/>
      <c r="CS2085" s="717"/>
      <c r="CT2085" s="717"/>
      <c r="CU2085" s="717"/>
      <c r="CV2085" s="717"/>
      <c r="CW2085" s="717"/>
      <c r="CX2085" s="717"/>
      <c r="CY2085" s="717"/>
      <c r="CZ2085" s="717"/>
      <c r="DA2085" s="717"/>
      <c r="DB2085" s="717"/>
      <c r="DC2085" s="717"/>
      <c r="DD2085" s="717"/>
      <c r="DE2085" s="717"/>
      <c r="DF2085" s="717"/>
      <c r="DG2085" s="717"/>
      <c r="DH2085" s="717"/>
      <c r="DI2085" s="717"/>
      <c r="DJ2085" s="717"/>
      <c r="DM2085" s="711"/>
      <c r="DN2085" s="711"/>
      <c r="DO2085" s="711"/>
      <c r="DP2085" s="711"/>
      <c r="DQ2085" s="711"/>
    </row>
    <row r="2086" spans="13:121" s="709" customFormat="1" hidden="1">
      <c r="M2086" s="710"/>
      <c r="P2086" s="711"/>
      <c r="Q2086" s="712"/>
      <c r="U2086" s="711"/>
      <c r="V2086" s="711"/>
      <c r="W2086" s="711"/>
      <c r="X2086" s="711"/>
      <c r="Y2086" s="711"/>
      <c r="Z2086" s="711"/>
      <c r="AU2086" s="713"/>
      <c r="AW2086" s="712"/>
      <c r="BY2086" s="714"/>
      <c r="BZ2086" s="715"/>
      <c r="CA2086" s="716"/>
      <c r="CB2086" s="717"/>
      <c r="CC2086" s="717"/>
      <c r="CD2086" s="717"/>
      <c r="CE2086" s="717"/>
      <c r="CF2086" s="717"/>
      <c r="CG2086" s="717"/>
      <c r="CH2086" s="717"/>
      <c r="CI2086" s="717"/>
      <c r="CJ2086" s="717"/>
      <c r="CK2086" s="717"/>
      <c r="CL2086" s="717"/>
      <c r="CM2086" s="717"/>
      <c r="CN2086" s="717"/>
      <c r="CO2086" s="717"/>
      <c r="CP2086" s="717"/>
      <c r="CQ2086" s="717"/>
      <c r="CR2086" s="717"/>
      <c r="CS2086" s="717"/>
      <c r="CT2086" s="717"/>
      <c r="CU2086" s="717"/>
      <c r="CV2086" s="717"/>
      <c r="CW2086" s="717"/>
      <c r="CX2086" s="717"/>
      <c r="CY2086" s="717"/>
      <c r="CZ2086" s="717"/>
      <c r="DA2086" s="717"/>
      <c r="DB2086" s="717"/>
      <c r="DC2086" s="717"/>
      <c r="DD2086" s="717"/>
      <c r="DE2086" s="717"/>
      <c r="DF2086" s="717"/>
      <c r="DG2086" s="717"/>
      <c r="DH2086" s="717"/>
      <c r="DI2086" s="717"/>
      <c r="DJ2086" s="717"/>
      <c r="DM2086" s="711"/>
      <c r="DN2086" s="711"/>
      <c r="DO2086" s="711"/>
      <c r="DP2086" s="711"/>
      <c r="DQ2086" s="711"/>
    </row>
    <row r="2087" spans="13:121" s="709" customFormat="1" hidden="1">
      <c r="M2087" s="710"/>
      <c r="P2087" s="711"/>
      <c r="Q2087" s="712"/>
      <c r="U2087" s="711"/>
      <c r="V2087" s="711"/>
      <c r="W2087" s="711"/>
      <c r="X2087" s="711"/>
      <c r="Y2087" s="711"/>
      <c r="Z2087" s="711"/>
      <c r="AU2087" s="713"/>
      <c r="AW2087" s="712"/>
      <c r="BY2087" s="714"/>
      <c r="BZ2087" s="715"/>
      <c r="CA2087" s="716"/>
      <c r="CB2087" s="717"/>
      <c r="CC2087" s="717"/>
      <c r="CD2087" s="717"/>
      <c r="CE2087" s="717"/>
      <c r="CF2087" s="717"/>
      <c r="CG2087" s="717"/>
      <c r="CH2087" s="717"/>
      <c r="CI2087" s="717"/>
      <c r="CJ2087" s="717"/>
      <c r="CK2087" s="717"/>
      <c r="CL2087" s="717"/>
      <c r="CM2087" s="717"/>
      <c r="CN2087" s="717"/>
      <c r="CO2087" s="717"/>
      <c r="CP2087" s="717"/>
      <c r="CQ2087" s="717"/>
      <c r="CR2087" s="717"/>
      <c r="CS2087" s="717"/>
      <c r="CT2087" s="717"/>
      <c r="CU2087" s="717"/>
      <c r="CV2087" s="717"/>
      <c r="CW2087" s="717"/>
      <c r="CX2087" s="717"/>
      <c r="CY2087" s="717"/>
      <c r="CZ2087" s="717"/>
      <c r="DA2087" s="717"/>
      <c r="DB2087" s="717"/>
      <c r="DC2087" s="717"/>
      <c r="DD2087" s="717"/>
      <c r="DE2087" s="717"/>
      <c r="DF2087" s="717"/>
      <c r="DG2087" s="717"/>
      <c r="DH2087" s="717"/>
      <c r="DI2087" s="717"/>
      <c r="DJ2087" s="717"/>
      <c r="DM2087" s="711"/>
      <c r="DN2087" s="711"/>
      <c r="DO2087" s="711"/>
      <c r="DP2087" s="711"/>
      <c r="DQ2087" s="711"/>
    </row>
    <row r="2088" spans="13:121" s="709" customFormat="1" hidden="1">
      <c r="M2088" s="710"/>
      <c r="P2088" s="711"/>
      <c r="Q2088" s="712"/>
      <c r="U2088" s="711"/>
      <c r="V2088" s="711"/>
      <c r="W2088" s="711"/>
      <c r="X2088" s="711"/>
      <c r="Y2088" s="711"/>
      <c r="Z2088" s="711"/>
      <c r="AU2088" s="713"/>
      <c r="AW2088" s="712"/>
      <c r="BY2088" s="714"/>
      <c r="BZ2088" s="715"/>
      <c r="CA2088" s="716"/>
      <c r="CB2088" s="717"/>
      <c r="CC2088" s="717"/>
      <c r="CD2088" s="717"/>
      <c r="CE2088" s="717"/>
      <c r="CF2088" s="717"/>
      <c r="CG2088" s="717"/>
      <c r="CH2088" s="717"/>
      <c r="CI2088" s="717"/>
      <c r="CJ2088" s="717"/>
      <c r="CK2088" s="717"/>
      <c r="CL2088" s="717"/>
      <c r="CM2088" s="717"/>
      <c r="CN2088" s="717"/>
      <c r="CO2088" s="717"/>
      <c r="CP2088" s="717"/>
      <c r="CQ2088" s="717"/>
      <c r="CR2088" s="717"/>
      <c r="CS2088" s="717"/>
      <c r="CT2088" s="717"/>
      <c r="CU2088" s="717"/>
      <c r="CV2088" s="717"/>
      <c r="CW2088" s="717"/>
      <c r="CX2088" s="717"/>
      <c r="CY2088" s="717"/>
      <c r="CZ2088" s="717"/>
      <c r="DA2088" s="717"/>
      <c r="DB2088" s="717"/>
      <c r="DC2088" s="717"/>
      <c r="DD2088" s="717"/>
      <c r="DE2088" s="717"/>
      <c r="DF2088" s="717"/>
      <c r="DG2088" s="717"/>
      <c r="DH2088" s="717"/>
      <c r="DI2088" s="717"/>
      <c r="DJ2088" s="717"/>
      <c r="DM2088" s="711"/>
      <c r="DN2088" s="711"/>
      <c r="DO2088" s="711"/>
      <c r="DP2088" s="711"/>
      <c r="DQ2088" s="711"/>
    </row>
    <row r="2089" spans="13:121" s="709" customFormat="1" hidden="1">
      <c r="M2089" s="710"/>
      <c r="P2089" s="711"/>
      <c r="Q2089" s="712"/>
      <c r="U2089" s="711"/>
      <c r="V2089" s="711"/>
      <c r="W2089" s="711"/>
      <c r="X2089" s="711"/>
      <c r="Y2089" s="711"/>
      <c r="Z2089" s="711"/>
      <c r="AU2089" s="713"/>
      <c r="AW2089" s="712"/>
      <c r="BY2089" s="714"/>
      <c r="BZ2089" s="715"/>
      <c r="CA2089" s="716"/>
      <c r="CB2089" s="717"/>
      <c r="CC2089" s="717"/>
      <c r="CD2089" s="717"/>
      <c r="CE2089" s="717"/>
      <c r="CF2089" s="717"/>
      <c r="CG2089" s="717"/>
      <c r="CH2089" s="717"/>
      <c r="CI2089" s="717"/>
      <c r="CJ2089" s="717"/>
      <c r="CK2089" s="717"/>
      <c r="CL2089" s="717"/>
      <c r="CM2089" s="717"/>
      <c r="CN2089" s="717"/>
      <c r="CO2089" s="717"/>
      <c r="CP2089" s="717"/>
      <c r="CQ2089" s="717"/>
      <c r="CR2089" s="717"/>
      <c r="CS2089" s="717"/>
      <c r="CT2089" s="717"/>
      <c r="CU2089" s="717"/>
      <c r="CV2089" s="717"/>
      <c r="CW2089" s="717"/>
      <c r="CX2089" s="717"/>
      <c r="CY2089" s="717"/>
      <c r="CZ2089" s="717"/>
      <c r="DA2089" s="717"/>
      <c r="DB2089" s="717"/>
      <c r="DC2089" s="717"/>
      <c r="DD2089" s="717"/>
      <c r="DE2089" s="717"/>
      <c r="DF2089" s="717"/>
      <c r="DG2089" s="717"/>
      <c r="DH2089" s="717"/>
      <c r="DI2089" s="717"/>
      <c r="DJ2089" s="717"/>
      <c r="DM2089" s="711"/>
      <c r="DN2089" s="711"/>
      <c r="DO2089" s="711"/>
      <c r="DP2089" s="711"/>
      <c r="DQ2089" s="711"/>
    </row>
    <row r="2090" spans="13:121" s="709" customFormat="1" hidden="1">
      <c r="M2090" s="710"/>
      <c r="P2090" s="711"/>
      <c r="Q2090" s="712"/>
      <c r="U2090" s="711"/>
      <c r="V2090" s="711"/>
      <c r="W2090" s="711"/>
      <c r="X2090" s="711"/>
      <c r="Y2090" s="711"/>
      <c r="Z2090" s="711"/>
      <c r="AU2090" s="713"/>
      <c r="AW2090" s="712"/>
      <c r="BY2090" s="714"/>
      <c r="BZ2090" s="715"/>
      <c r="CA2090" s="716"/>
      <c r="CB2090" s="717"/>
      <c r="CC2090" s="717"/>
      <c r="CD2090" s="717"/>
      <c r="CE2090" s="717"/>
      <c r="CF2090" s="717"/>
      <c r="CG2090" s="717"/>
      <c r="CH2090" s="717"/>
      <c r="CI2090" s="717"/>
      <c r="CJ2090" s="717"/>
      <c r="CK2090" s="717"/>
      <c r="CL2090" s="717"/>
      <c r="CM2090" s="717"/>
      <c r="CN2090" s="717"/>
      <c r="CO2090" s="717"/>
      <c r="CP2090" s="717"/>
      <c r="CQ2090" s="717"/>
      <c r="CR2090" s="717"/>
      <c r="CS2090" s="717"/>
      <c r="CT2090" s="717"/>
      <c r="CU2090" s="717"/>
      <c r="CV2090" s="717"/>
      <c r="CW2090" s="717"/>
      <c r="CX2090" s="717"/>
      <c r="CY2090" s="717"/>
      <c r="CZ2090" s="717"/>
      <c r="DA2090" s="717"/>
      <c r="DB2090" s="717"/>
      <c r="DC2090" s="717"/>
      <c r="DD2090" s="717"/>
      <c r="DE2090" s="717"/>
      <c r="DF2090" s="717"/>
      <c r="DG2090" s="717"/>
      <c r="DH2090" s="717"/>
      <c r="DI2090" s="717"/>
      <c r="DJ2090" s="717"/>
      <c r="DM2090" s="711"/>
      <c r="DN2090" s="711"/>
      <c r="DO2090" s="711"/>
      <c r="DP2090" s="711"/>
      <c r="DQ2090" s="711"/>
    </row>
    <row r="2091" spans="13:121" s="709" customFormat="1" hidden="1">
      <c r="M2091" s="710"/>
      <c r="P2091" s="711"/>
      <c r="Q2091" s="712"/>
      <c r="U2091" s="711"/>
      <c r="V2091" s="711"/>
      <c r="W2091" s="711"/>
      <c r="X2091" s="711"/>
      <c r="Y2091" s="711"/>
      <c r="Z2091" s="711"/>
      <c r="AU2091" s="713"/>
      <c r="AW2091" s="712"/>
      <c r="BY2091" s="714"/>
      <c r="BZ2091" s="715"/>
      <c r="CA2091" s="716"/>
      <c r="CB2091" s="717"/>
      <c r="CC2091" s="717"/>
      <c r="CD2091" s="717"/>
      <c r="CE2091" s="717"/>
      <c r="CF2091" s="717"/>
      <c r="CG2091" s="717"/>
      <c r="CH2091" s="717"/>
      <c r="CI2091" s="717"/>
      <c r="CJ2091" s="717"/>
      <c r="CK2091" s="717"/>
      <c r="CL2091" s="717"/>
      <c r="CM2091" s="717"/>
      <c r="CN2091" s="717"/>
      <c r="CO2091" s="717"/>
      <c r="CP2091" s="717"/>
      <c r="CQ2091" s="717"/>
      <c r="CR2091" s="717"/>
      <c r="CS2091" s="717"/>
      <c r="CT2091" s="717"/>
      <c r="CU2091" s="717"/>
      <c r="CV2091" s="717"/>
      <c r="CW2091" s="717"/>
      <c r="CX2091" s="717"/>
      <c r="CY2091" s="717"/>
      <c r="CZ2091" s="717"/>
      <c r="DA2091" s="717"/>
      <c r="DB2091" s="717"/>
      <c r="DC2091" s="717"/>
      <c r="DD2091" s="717"/>
      <c r="DE2091" s="717"/>
      <c r="DF2091" s="717"/>
      <c r="DG2091" s="717"/>
      <c r="DH2091" s="717"/>
      <c r="DI2091" s="717"/>
      <c r="DJ2091" s="717"/>
      <c r="DM2091" s="711"/>
      <c r="DN2091" s="711"/>
      <c r="DO2091" s="711"/>
      <c r="DP2091" s="711"/>
      <c r="DQ2091" s="711"/>
    </row>
    <row r="2092" spans="13:121" s="709" customFormat="1" hidden="1">
      <c r="M2092" s="710"/>
      <c r="P2092" s="711"/>
      <c r="Q2092" s="712"/>
      <c r="U2092" s="711"/>
      <c r="V2092" s="711"/>
      <c r="W2092" s="711"/>
      <c r="X2092" s="711"/>
      <c r="Y2092" s="711"/>
      <c r="Z2092" s="711"/>
      <c r="AU2092" s="713"/>
      <c r="AW2092" s="712"/>
      <c r="BY2092" s="714"/>
      <c r="BZ2092" s="715"/>
      <c r="CA2092" s="716"/>
      <c r="CB2092" s="717"/>
      <c r="CC2092" s="717"/>
      <c r="CD2092" s="717"/>
      <c r="CE2092" s="717"/>
      <c r="CF2092" s="717"/>
      <c r="CG2092" s="717"/>
      <c r="CH2092" s="717"/>
      <c r="CI2092" s="717"/>
      <c r="CJ2092" s="717"/>
      <c r="CK2092" s="717"/>
      <c r="CL2092" s="717"/>
      <c r="CM2092" s="717"/>
      <c r="CN2092" s="717"/>
      <c r="CO2092" s="717"/>
      <c r="CP2092" s="717"/>
      <c r="CQ2092" s="717"/>
      <c r="CR2092" s="717"/>
      <c r="CS2092" s="717"/>
      <c r="CT2092" s="717"/>
      <c r="CU2092" s="717"/>
      <c r="CV2092" s="717"/>
      <c r="CW2092" s="717"/>
      <c r="CX2092" s="717"/>
      <c r="CY2092" s="717"/>
      <c r="CZ2092" s="717"/>
      <c r="DA2092" s="717"/>
      <c r="DB2092" s="717"/>
      <c r="DC2092" s="717"/>
      <c r="DD2092" s="717"/>
      <c r="DE2092" s="717"/>
      <c r="DF2092" s="717"/>
      <c r="DG2092" s="717"/>
      <c r="DH2092" s="717"/>
      <c r="DI2092" s="717"/>
      <c r="DJ2092" s="717"/>
      <c r="DM2092" s="711"/>
      <c r="DN2092" s="711"/>
      <c r="DO2092" s="711"/>
      <c r="DP2092" s="711"/>
      <c r="DQ2092" s="711"/>
    </row>
    <row r="2093" spans="13:121" s="709" customFormat="1" hidden="1">
      <c r="M2093" s="710"/>
      <c r="P2093" s="711"/>
      <c r="Q2093" s="712"/>
      <c r="U2093" s="711"/>
      <c r="V2093" s="711"/>
      <c r="W2093" s="711"/>
      <c r="X2093" s="711"/>
      <c r="Y2093" s="711"/>
      <c r="Z2093" s="711"/>
      <c r="AU2093" s="713"/>
      <c r="AW2093" s="712"/>
      <c r="BY2093" s="714"/>
      <c r="BZ2093" s="715"/>
      <c r="CA2093" s="716"/>
      <c r="CB2093" s="717"/>
      <c r="CC2093" s="717"/>
      <c r="CD2093" s="717"/>
      <c r="CE2093" s="717"/>
      <c r="CF2093" s="717"/>
      <c r="CG2093" s="717"/>
      <c r="CH2093" s="717"/>
      <c r="CI2093" s="717"/>
      <c r="CJ2093" s="717"/>
      <c r="CK2093" s="717"/>
      <c r="CL2093" s="717"/>
      <c r="CM2093" s="717"/>
      <c r="CN2093" s="717"/>
      <c r="CO2093" s="717"/>
      <c r="CP2093" s="717"/>
      <c r="CQ2093" s="717"/>
      <c r="CR2093" s="717"/>
      <c r="CS2093" s="717"/>
      <c r="CT2093" s="717"/>
      <c r="CU2093" s="717"/>
      <c r="CV2093" s="717"/>
      <c r="CW2093" s="717"/>
      <c r="CX2093" s="717"/>
      <c r="CY2093" s="717"/>
      <c r="CZ2093" s="717"/>
      <c r="DA2093" s="717"/>
      <c r="DB2093" s="717"/>
      <c r="DC2093" s="717"/>
      <c r="DD2093" s="717"/>
      <c r="DE2093" s="717"/>
      <c r="DF2093" s="717"/>
      <c r="DG2093" s="717"/>
      <c r="DH2093" s="717"/>
      <c r="DI2093" s="717"/>
      <c r="DJ2093" s="717"/>
      <c r="DM2093" s="711"/>
      <c r="DN2093" s="711"/>
      <c r="DO2093" s="711"/>
      <c r="DP2093" s="711"/>
      <c r="DQ2093" s="711"/>
    </row>
    <row r="2094" spans="13:121" s="709" customFormat="1" hidden="1">
      <c r="M2094" s="710"/>
      <c r="P2094" s="711"/>
      <c r="Q2094" s="712"/>
      <c r="U2094" s="711"/>
      <c r="V2094" s="711"/>
      <c r="W2094" s="711"/>
      <c r="X2094" s="711"/>
      <c r="Y2094" s="711"/>
      <c r="Z2094" s="711"/>
      <c r="AU2094" s="713"/>
      <c r="AW2094" s="712"/>
      <c r="BY2094" s="714"/>
      <c r="BZ2094" s="715"/>
      <c r="CA2094" s="716"/>
      <c r="CB2094" s="717"/>
      <c r="CC2094" s="717"/>
      <c r="CD2094" s="717"/>
      <c r="CE2094" s="717"/>
      <c r="CF2094" s="717"/>
      <c r="CG2094" s="717"/>
      <c r="CH2094" s="717"/>
      <c r="CI2094" s="717"/>
      <c r="CJ2094" s="717"/>
      <c r="CK2094" s="717"/>
      <c r="CL2094" s="717"/>
      <c r="CM2094" s="717"/>
      <c r="CN2094" s="717"/>
      <c r="CO2094" s="717"/>
      <c r="CP2094" s="717"/>
      <c r="CQ2094" s="717"/>
      <c r="CR2094" s="717"/>
      <c r="CS2094" s="717"/>
      <c r="CT2094" s="717"/>
      <c r="CU2094" s="717"/>
      <c r="CV2094" s="717"/>
      <c r="CW2094" s="717"/>
      <c r="CX2094" s="717"/>
      <c r="CY2094" s="717"/>
      <c r="CZ2094" s="717"/>
      <c r="DA2094" s="717"/>
      <c r="DB2094" s="717"/>
      <c r="DC2094" s="717"/>
      <c r="DD2094" s="717"/>
      <c r="DE2094" s="717"/>
      <c r="DF2094" s="717"/>
      <c r="DG2094" s="717"/>
      <c r="DH2094" s="717"/>
      <c r="DI2094" s="717"/>
      <c r="DJ2094" s="717"/>
      <c r="DM2094" s="711"/>
      <c r="DN2094" s="711"/>
      <c r="DO2094" s="711"/>
      <c r="DP2094" s="711"/>
      <c r="DQ2094" s="711"/>
    </row>
    <row r="2095" spans="13:121" s="709" customFormat="1" hidden="1">
      <c r="M2095" s="710"/>
      <c r="P2095" s="711"/>
      <c r="Q2095" s="712"/>
      <c r="U2095" s="711"/>
      <c r="V2095" s="711"/>
      <c r="W2095" s="711"/>
      <c r="X2095" s="711"/>
      <c r="Y2095" s="711"/>
      <c r="Z2095" s="711"/>
      <c r="AU2095" s="713"/>
      <c r="AW2095" s="712"/>
      <c r="BY2095" s="714"/>
      <c r="BZ2095" s="715"/>
      <c r="CA2095" s="716"/>
      <c r="CB2095" s="717"/>
      <c r="CC2095" s="717"/>
      <c r="CD2095" s="717"/>
      <c r="CE2095" s="717"/>
      <c r="CF2095" s="717"/>
      <c r="CG2095" s="717"/>
      <c r="CH2095" s="717"/>
      <c r="CI2095" s="717"/>
      <c r="CJ2095" s="717"/>
      <c r="CK2095" s="717"/>
      <c r="CL2095" s="717"/>
      <c r="CM2095" s="717"/>
      <c r="CN2095" s="717"/>
      <c r="CO2095" s="717"/>
      <c r="CP2095" s="717"/>
      <c r="CQ2095" s="717"/>
      <c r="CR2095" s="717"/>
      <c r="CS2095" s="717"/>
      <c r="CT2095" s="717"/>
      <c r="CU2095" s="717"/>
      <c r="CV2095" s="717"/>
      <c r="CW2095" s="717"/>
      <c r="CX2095" s="717"/>
      <c r="CY2095" s="717"/>
      <c r="CZ2095" s="717"/>
      <c r="DA2095" s="717"/>
      <c r="DB2095" s="717"/>
      <c r="DC2095" s="717"/>
      <c r="DD2095" s="717"/>
      <c r="DE2095" s="717"/>
      <c r="DF2095" s="717"/>
      <c r="DG2095" s="717"/>
      <c r="DH2095" s="717"/>
      <c r="DI2095" s="717"/>
      <c r="DJ2095" s="717"/>
      <c r="DM2095" s="711"/>
      <c r="DN2095" s="711"/>
      <c r="DO2095" s="711"/>
      <c r="DP2095" s="711"/>
      <c r="DQ2095" s="711"/>
    </row>
    <row r="2096" spans="13:121" s="709" customFormat="1" hidden="1">
      <c r="M2096" s="710"/>
      <c r="P2096" s="711"/>
      <c r="Q2096" s="712"/>
      <c r="U2096" s="711"/>
      <c r="V2096" s="711"/>
      <c r="W2096" s="711"/>
      <c r="X2096" s="711"/>
      <c r="Y2096" s="711"/>
      <c r="Z2096" s="711"/>
      <c r="AU2096" s="713"/>
      <c r="AW2096" s="712"/>
      <c r="BY2096" s="714"/>
      <c r="BZ2096" s="715"/>
      <c r="CA2096" s="716"/>
      <c r="CB2096" s="717"/>
      <c r="CC2096" s="717"/>
      <c r="CD2096" s="717"/>
      <c r="CE2096" s="717"/>
      <c r="CF2096" s="717"/>
      <c r="CG2096" s="717"/>
      <c r="CH2096" s="717"/>
      <c r="CI2096" s="717"/>
      <c r="CJ2096" s="717"/>
      <c r="CK2096" s="717"/>
      <c r="CL2096" s="717"/>
      <c r="CM2096" s="717"/>
      <c r="CN2096" s="717"/>
      <c r="CO2096" s="717"/>
      <c r="CP2096" s="717"/>
      <c r="CQ2096" s="717"/>
      <c r="CR2096" s="717"/>
      <c r="CS2096" s="717"/>
      <c r="CT2096" s="717"/>
      <c r="CU2096" s="717"/>
      <c r="CV2096" s="717"/>
      <c r="CW2096" s="717"/>
      <c r="CX2096" s="717"/>
      <c r="CY2096" s="717"/>
      <c r="CZ2096" s="717"/>
      <c r="DA2096" s="717"/>
      <c r="DB2096" s="717"/>
      <c r="DC2096" s="717"/>
      <c r="DD2096" s="717"/>
      <c r="DE2096" s="717"/>
      <c r="DF2096" s="717"/>
      <c r="DG2096" s="717"/>
      <c r="DH2096" s="717"/>
      <c r="DI2096" s="717"/>
      <c r="DJ2096" s="717"/>
      <c r="DM2096" s="711"/>
      <c r="DN2096" s="711"/>
      <c r="DO2096" s="711"/>
      <c r="DP2096" s="711"/>
      <c r="DQ2096" s="711"/>
    </row>
    <row r="2097" spans="13:121" s="709" customFormat="1" hidden="1">
      <c r="M2097" s="710"/>
      <c r="P2097" s="711"/>
      <c r="Q2097" s="712"/>
      <c r="U2097" s="711"/>
      <c r="V2097" s="711"/>
      <c r="W2097" s="711"/>
      <c r="X2097" s="711"/>
      <c r="Y2097" s="711"/>
      <c r="Z2097" s="711"/>
      <c r="AU2097" s="713"/>
      <c r="AW2097" s="712"/>
      <c r="BY2097" s="714"/>
      <c r="BZ2097" s="715"/>
      <c r="CA2097" s="716"/>
      <c r="CB2097" s="717"/>
      <c r="CC2097" s="717"/>
      <c r="CD2097" s="717"/>
      <c r="CE2097" s="717"/>
      <c r="CF2097" s="717"/>
      <c r="CG2097" s="717"/>
      <c r="CH2097" s="717"/>
      <c r="CI2097" s="717"/>
      <c r="CJ2097" s="717"/>
      <c r="CK2097" s="717"/>
      <c r="CL2097" s="717"/>
      <c r="CM2097" s="717"/>
      <c r="CN2097" s="717"/>
      <c r="CO2097" s="717"/>
      <c r="CP2097" s="717"/>
      <c r="CQ2097" s="717"/>
      <c r="CR2097" s="717"/>
      <c r="CS2097" s="717"/>
      <c r="CT2097" s="717"/>
      <c r="CU2097" s="717"/>
      <c r="CV2097" s="717"/>
      <c r="CW2097" s="717"/>
      <c r="CX2097" s="717"/>
      <c r="CY2097" s="717"/>
      <c r="CZ2097" s="717"/>
      <c r="DA2097" s="717"/>
      <c r="DB2097" s="717"/>
      <c r="DC2097" s="717"/>
      <c r="DD2097" s="717"/>
      <c r="DE2097" s="717"/>
      <c r="DF2097" s="717"/>
      <c r="DG2097" s="717"/>
      <c r="DH2097" s="717"/>
      <c r="DI2097" s="717"/>
      <c r="DJ2097" s="717"/>
      <c r="DM2097" s="711"/>
      <c r="DN2097" s="711"/>
      <c r="DO2097" s="711"/>
      <c r="DP2097" s="711"/>
      <c r="DQ2097" s="711"/>
    </row>
    <row r="2098" spans="13:121" s="709" customFormat="1" hidden="1">
      <c r="M2098" s="710"/>
      <c r="P2098" s="711"/>
      <c r="Q2098" s="712"/>
      <c r="U2098" s="711"/>
      <c r="V2098" s="711"/>
      <c r="W2098" s="711"/>
      <c r="X2098" s="711"/>
      <c r="Y2098" s="711"/>
      <c r="Z2098" s="711"/>
      <c r="AU2098" s="713"/>
      <c r="AW2098" s="712"/>
      <c r="BY2098" s="714"/>
      <c r="BZ2098" s="715"/>
      <c r="CA2098" s="716"/>
      <c r="CB2098" s="717"/>
      <c r="CC2098" s="717"/>
      <c r="CD2098" s="717"/>
      <c r="CE2098" s="717"/>
      <c r="CF2098" s="717"/>
      <c r="CG2098" s="717"/>
      <c r="CH2098" s="717"/>
      <c r="CI2098" s="717"/>
      <c r="CJ2098" s="717"/>
      <c r="CK2098" s="717"/>
      <c r="CL2098" s="717"/>
      <c r="CM2098" s="717"/>
      <c r="CN2098" s="717"/>
      <c r="CO2098" s="717"/>
      <c r="CP2098" s="717"/>
      <c r="CQ2098" s="717"/>
      <c r="CR2098" s="717"/>
      <c r="CS2098" s="717"/>
      <c r="CT2098" s="717"/>
      <c r="CU2098" s="717"/>
      <c r="CV2098" s="717"/>
      <c r="CW2098" s="717"/>
      <c r="CX2098" s="717"/>
      <c r="CY2098" s="717"/>
      <c r="CZ2098" s="717"/>
      <c r="DA2098" s="717"/>
      <c r="DB2098" s="717"/>
      <c r="DC2098" s="717"/>
      <c r="DD2098" s="717"/>
      <c r="DE2098" s="717"/>
      <c r="DF2098" s="717"/>
      <c r="DG2098" s="717"/>
      <c r="DH2098" s="717"/>
      <c r="DI2098" s="717"/>
      <c r="DJ2098" s="717"/>
      <c r="DM2098" s="711"/>
      <c r="DN2098" s="711"/>
      <c r="DO2098" s="711"/>
      <c r="DP2098" s="711"/>
      <c r="DQ2098" s="711"/>
    </row>
    <row r="2099" spans="13:121" s="709" customFormat="1" hidden="1">
      <c r="M2099" s="710"/>
      <c r="P2099" s="711"/>
      <c r="Q2099" s="712"/>
      <c r="U2099" s="711"/>
      <c r="V2099" s="711"/>
      <c r="W2099" s="711"/>
      <c r="X2099" s="711"/>
      <c r="Y2099" s="711"/>
      <c r="Z2099" s="711"/>
      <c r="AU2099" s="713"/>
      <c r="AW2099" s="712"/>
      <c r="BY2099" s="714"/>
      <c r="BZ2099" s="715"/>
      <c r="CA2099" s="716"/>
      <c r="CB2099" s="717"/>
      <c r="CC2099" s="717"/>
      <c r="CD2099" s="717"/>
      <c r="CE2099" s="717"/>
      <c r="CF2099" s="717"/>
      <c r="CG2099" s="717"/>
      <c r="CH2099" s="717"/>
      <c r="CI2099" s="717"/>
      <c r="CJ2099" s="717"/>
      <c r="CK2099" s="717"/>
      <c r="CL2099" s="717"/>
      <c r="CM2099" s="717"/>
      <c r="CN2099" s="717"/>
      <c r="CO2099" s="717"/>
      <c r="CP2099" s="717"/>
      <c r="CQ2099" s="717"/>
      <c r="CR2099" s="717"/>
      <c r="CS2099" s="717"/>
      <c r="CT2099" s="717"/>
      <c r="CU2099" s="717"/>
      <c r="CV2099" s="717"/>
      <c r="CW2099" s="717"/>
      <c r="CX2099" s="717"/>
      <c r="CY2099" s="717"/>
      <c r="CZ2099" s="717"/>
      <c r="DA2099" s="717"/>
      <c r="DB2099" s="717"/>
      <c r="DC2099" s="717"/>
      <c r="DD2099" s="717"/>
      <c r="DE2099" s="717"/>
      <c r="DF2099" s="717"/>
      <c r="DG2099" s="717"/>
      <c r="DH2099" s="717"/>
      <c r="DI2099" s="717"/>
      <c r="DJ2099" s="717"/>
      <c r="DM2099" s="711"/>
      <c r="DN2099" s="711"/>
      <c r="DO2099" s="711"/>
      <c r="DP2099" s="711"/>
      <c r="DQ2099" s="711"/>
    </row>
    <row r="2100" spans="13:121" s="709" customFormat="1" hidden="1">
      <c r="M2100" s="710"/>
      <c r="P2100" s="711"/>
      <c r="Q2100" s="712"/>
      <c r="U2100" s="711"/>
      <c r="V2100" s="711"/>
      <c r="W2100" s="711"/>
      <c r="X2100" s="711"/>
      <c r="Y2100" s="711"/>
      <c r="Z2100" s="711"/>
      <c r="AU2100" s="713"/>
      <c r="AW2100" s="712"/>
      <c r="BY2100" s="714"/>
      <c r="BZ2100" s="715"/>
      <c r="CA2100" s="716"/>
      <c r="CB2100" s="717"/>
      <c r="CC2100" s="717"/>
      <c r="CD2100" s="717"/>
      <c r="CE2100" s="717"/>
      <c r="CF2100" s="717"/>
      <c r="CG2100" s="717"/>
      <c r="CH2100" s="717"/>
      <c r="CI2100" s="717"/>
      <c r="CJ2100" s="717"/>
      <c r="CK2100" s="717"/>
      <c r="CL2100" s="717"/>
      <c r="CM2100" s="717"/>
      <c r="CN2100" s="717"/>
      <c r="CO2100" s="717"/>
      <c r="CP2100" s="717"/>
      <c r="CQ2100" s="717"/>
      <c r="CR2100" s="717"/>
      <c r="CS2100" s="717"/>
      <c r="CT2100" s="717"/>
      <c r="CU2100" s="717"/>
      <c r="CV2100" s="717"/>
      <c r="CW2100" s="717"/>
      <c r="CX2100" s="717"/>
      <c r="CY2100" s="717"/>
      <c r="CZ2100" s="717"/>
      <c r="DA2100" s="717"/>
      <c r="DB2100" s="717"/>
      <c r="DC2100" s="717"/>
      <c r="DD2100" s="717"/>
      <c r="DE2100" s="717"/>
      <c r="DF2100" s="717"/>
      <c r="DG2100" s="717"/>
      <c r="DH2100" s="717"/>
      <c r="DI2100" s="717"/>
      <c r="DJ2100" s="717"/>
      <c r="DM2100" s="711"/>
      <c r="DN2100" s="711"/>
      <c r="DO2100" s="711"/>
      <c r="DP2100" s="711"/>
      <c r="DQ2100" s="711"/>
    </row>
    <row r="2101" spans="13:121" s="709" customFormat="1" hidden="1">
      <c r="M2101" s="710"/>
      <c r="P2101" s="711"/>
      <c r="Q2101" s="712"/>
      <c r="U2101" s="711"/>
      <c r="V2101" s="711"/>
      <c r="W2101" s="711"/>
      <c r="X2101" s="711"/>
      <c r="Y2101" s="711"/>
      <c r="Z2101" s="711"/>
      <c r="AU2101" s="713"/>
      <c r="AW2101" s="712"/>
      <c r="BY2101" s="714"/>
      <c r="BZ2101" s="715"/>
      <c r="CA2101" s="716"/>
      <c r="CB2101" s="717"/>
      <c r="CC2101" s="717"/>
      <c r="CD2101" s="717"/>
      <c r="CE2101" s="717"/>
      <c r="CF2101" s="717"/>
      <c r="CG2101" s="717"/>
      <c r="CH2101" s="717"/>
      <c r="CI2101" s="717"/>
      <c r="CJ2101" s="717"/>
      <c r="CK2101" s="717"/>
      <c r="CL2101" s="717"/>
      <c r="CM2101" s="717"/>
      <c r="CN2101" s="717"/>
      <c r="CO2101" s="717"/>
      <c r="CP2101" s="717"/>
      <c r="CQ2101" s="717"/>
      <c r="CR2101" s="717"/>
      <c r="CS2101" s="717"/>
      <c r="CT2101" s="717"/>
      <c r="CU2101" s="717"/>
      <c r="CV2101" s="717"/>
      <c r="CW2101" s="717"/>
      <c r="CX2101" s="717"/>
      <c r="CY2101" s="717"/>
      <c r="CZ2101" s="717"/>
      <c r="DA2101" s="717"/>
      <c r="DB2101" s="717"/>
      <c r="DC2101" s="717"/>
      <c r="DD2101" s="717"/>
      <c r="DE2101" s="717"/>
      <c r="DF2101" s="717"/>
      <c r="DG2101" s="717"/>
      <c r="DH2101" s="717"/>
      <c r="DI2101" s="717"/>
      <c r="DJ2101" s="717"/>
      <c r="DM2101" s="711"/>
      <c r="DN2101" s="711"/>
      <c r="DO2101" s="711"/>
      <c r="DP2101" s="711"/>
      <c r="DQ2101" s="711"/>
    </row>
    <row r="2102" spans="13:121" s="709" customFormat="1" hidden="1">
      <c r="M2102" s="710"/>
      <c r="P2102" s="711"/>
      <c r="Q2102" s="712"/>
      <c r="U2102" s="711"/>
      <c r="V2102" s="711"/>
      <c r="W2102" s="711"/>
      <c r="X2102" s="711"/>
      <c r="Y2102" s="711"/>
      <c r="Z2102" s="711"/>
      <c r="AU2102" s="713"/>
      <c r="AW2102" s="712"/>
      <c r="BY2102" s="714"/>
      <c r="BZ2102" s="715"/>
      <c r="CA2102" s="716"/>
      <c r="CB2102" s="717"/>
      <c r="CC2102" s="717"/>
      <c r="CD2102" s="717"/>
      <c r="CE2102" s="717"/>
      <c r="CF2102" s="717"/>
      <c r="CG2102" s="717"/>
      <c r="CH2102" s="717"/>
      <c r="CI2102" s="717"/>
      <c r="CJ2102" s="717"/>
      <c r="CK2102" s="717"/>
      <c r="CL2102" s="717"/>
      <c r="CM2102" s="717"/>
      <c r="CN2102" s="717"/>
      <c r="CO2102" s="717"/>
      <c r="CP2102" s="717"/>
      <c r="CQ2102" s="717"/>
      <c r="CR2102" s="717"/>
      <c r="CS2102" s="717"/>
      <c r="CT2102" s="717"/>
      <c r="CU2102" s="717"/>
      <c r="CV2102" s="717"/>
      <c r="CW2102" s="717"/>
      <c r="CX2102" s="717"/>
      <c r="CY2102" s="717"/>
      <c r="CZ2102" s="717"/>
      <c r="DA2102" s="717"/>
      <c r="DB2102" s="717"/>
      <c r="DC2102" s="717"/>
      <c r="DD2102" s="717"/>
      <c r="DE2102" s="717"/>
      <c r="DF2102" s="717"/>
      <c r="DG2102" s="717"/>
      <c r="DH2102" s="717"/>
      <c r="DI2102" s="717"/>
      <c r="DJ2102" s="717"/>
      <c r="DM2102" s="711"/>
      <c r="DN2102" s="711"/>
      <c r="DO2102" s="711"/>
      <c r="DP2102" s="711"/>
      <c r="DQ2102" s="711"/>
    </row>
    <row r="2103" spans="13:121" s="709" customFormat="1" hidden="1">
      <c r="M2103" s="710"/>
      <c r="P2103" s="711"/>
      <c r="Q2103" s="712"/>
      <c r="U2103" s="711"/>
      <c r="V2103" s="711"/>
      <c r="W2103" s="711"/>
      <c r="X2103" s="711"/>
      <c r="Y2103" s="711"/>
      <c r="Z2103" s="711"/>
      <c r="AU2103" s="713"/>
      <c r="AW2103" s="712"/>
      <c r="BY2103" s="714"/>
      <c r="BZ2103" s="715"/>
      <c r="CA2103" s="716"/>
      <c r="CB2103" s="717"/>
      <c r="CC2103" s="717"/>
      <c r="CD2103" s="717"/>
      <c r="CE2103" s="717"/>
      <c r="CF2103" s="717"/>
      <c r="CG2103" s="717"/>
      <c r="CH2103" s="717"/>
      <c r="CI2103" s="717"/>
      <c r="CJ2103" s="717"/>
      <c r="CK2103" s="717"/>
      <c r="CL2103" s="717"/>
      <c r="CM2103" s="717"/>
      <c r="CN2103" s="717"/>
      <c r="CO2103" s="717"/>
      <c r="CP2103" s="717"/>
      <c r="CQ2103" s="717"/>
      <c r="CR2103" s="717"/>
      <c r="CS2103" s="717"/>
      <c r="CT2103" s="717"/>
      <c r="CU2103" s="717"/>
      <c r="CV2103" s="717"/>
      <c r="CW2103" s="717"/>
      <c r="CX2103" s="717"/>
      <c r="CY2103" s="717"/>
      <c r="CZ2103" s="717"/>
      <c r="DA2103" s="717"/>
      <c r="DB2103" s="717"/>
      <c r="DC2103" s="717"/>
      <c r="DD2103" s="717"/>
      <c r="DE2103" s="717"/>
      <c r="DF2103" s="717"/>
      <c r="DG2103" s="717"/>
      <c r="DH2103" s="717"/>
      <c r="DI2103" s="717"/>
      <c r="DJ2103" s="717"/>
      <c r="DM2103" s="711"/>
      <c r="DN2103" s="711"/>
      <c r="DO2103" s="711"/>
      <c r="DP2103" s="711"/>
      <c r="DQ2103" s="711"/>
    </row>
    <row r="2104" spans="13:121" s="709" customFormat="1" hidden="1">
      <c r="M2104" s="710"/>
      <c r="P2104" s="711"/>
      <c r="Q2104" s="712"/>
      <c r="U2104" s="711"/>
      <c r="V2104" s="711"/>
      <c r="W2104" s="711"/>
      <c r="X2104" s="711"/>
      <c r="Y2104" s="711"/>
      <c r="Z2104" s="711"/>
      <c r="AU2104" s="713"/>
      <c r="AW2104" s="712"/>
      <c r="BY2104" s="714"/>
      <c r="BZ2104" s="715"/>
      <c r="CA2104" s="716"/>
      <c r="CB2104" s="717"/>
      <c r="CC2104" s="717"/>
      <c r="CD2104" s="717"/>
      <c r="CE2104" s="717"/>
      <c r="CF2104" s="717"/>
      <c r="CG2104" s="717"/>
      <c r="CH2104" s="717"/>
      <c r="CI2104" s="717"/>
      <c r="CJ2104" s="717"/>
      <c r="CK2104" s="717"/>
      <c r="CL2104" s="717"/>
      <c r="CM2104" s="717"/>
      <c r="CN2104" s="717"/>
      <c r="CO2104" s="717"/>
      <c r="CP2104" s="717"/>
      <c r="CQ2104" s="717"/>
      <c r="CR2104" s="717"/>
      <c r="CS2104" s="717"/>
      <c r="CT2104" s="717"/>
      <c r="CU2104" s="717"/>
      <c r="CV2104" s="717"/>
      <c r="CW2104" s="717"/>
      <c r="CX2104" s="717"/>
      <c r="CY2104" s="717"/>
      <c r="CZ2104" s="717"/>
      <c r="DA2104" s="717"/>
      <c r="DB2104" s="717"/>
      <c r="DC2104" s="717"/>
      <c r="DD2104" s="717"/>
      <c r="DE2104" s="717"/>
      <c r="DF2104" s="717"/>
      <c r="DG2104" s="717"/>
      <c r="DH2104" s="717"/>
      <c r="DI2104" s="717"/>
      <c r="DJ2104" s="717"/>
      <c r="DM2104" s="711"/>
      <c r="DN2104" s="711"/>
      <c r="DO2104" s="711"/>
      <c r="DP2104" s="711"/>
      <c r="DQ2104" s="711"/>
    </row>
    <row r="2105" spans="13:121" s="709" customFormat="1" hidden="1">
      <c r="M2105" s="710"/>
      <c r="P2105" s="711"/>
      <c r="Q2105" s="712"/>
      <c r="U2105" s="711"/>
      <c r="V2105" s="711"/>
      <c r="W2105" s="711"/>
      <c r="X2105" s="711"/>
      <c r="Y2105" s="711"/>
      <c r="Z2105" s="711"/>
      <c r="AU2105" s="713"/>
      <c r="AW2105" s="712"/>
      <c r="BY2105" s="714"/>
      <c r="BZ2105" s="715"/>
      <c r="CA2105" s="716"/>
      <c r="CB2105" s="717"/>
      <c r="CC2105" s="717"/>
      <c r="CD2105" s="717"/>
      <c r="CE2105" s="717"/>
      <c r="CF2105" s="717"/>
      <c r="CG2105" s="717"/>
      <c r="CH2105" s="717"/>
      <c r="CI2105" s="717"/>
      <c r="CJ2105" s="717"/>
      <c r="CK2105" s="717"/>
      <c r="CL2105" s="717"/>
      <c r="CM2105" s="717"/>
      <c r="CN2105" s="717"/>
      <c r="CO2105" s="717"/>
      <c r="CP2105" s="717"/>
      <c r="CQ2105" s="717"/>
      <c r="CR2105" s="717"/>
      <c r="CS2105" s="717"/>
      <c r="CT2105" s="717"/>
      <c r="CU2105" s="717"/>
      <c r="CV2105" s="717"/>
      <c r="CW2105" s="717"/>
      <c r="CX2105" s="717"/>
      <c r="CY2105" s="717"/>
      <c r="CZ2105" s="717"/>
      <c r="DA2105" s="717"/>
      <c r="DB2105" s="717"/>
      <c r="DC2105" s="717"/>
      <c r="DD2105" s="717"/>
      <c r="DE2105" s="717"/>
      <c r="DF2105" s="717"/>
      <c r="DG2105" s="717"/>
      <c r="DH2105" s="717"/>
      <c r="DI2105" s="717"/>
      <c r="DJ2105" s="717"/>
      <c r="DM2105" s="711"/>
      <c r="DN2105" s="711"/>
      <c r="DO2105" s="711"/>
      <c r="DP2105" s="711"/>
      <c r="DQ2105" s="711"/>
    </row>
    <row r="2106" spans="13:121" s="709" customFormat="1" hidden="1">
      <c r="M2106" s="710"/>
      <c r="P2106" s="711"/>
      <c r="Q2106" s="712"/>
      <c r="U2106" s="711"/>
      <c r="V2106" s="711"/>
      <c r="W2106" s="711"/>
      <c r="X2106" s="711"/>
      <c r="Y2106" s="711"/>
      <c r="Z2106" s="711"/>
      <c r="AU2106" s="713"/>
      <c r="AW2106" s="712"/>
      <c r="BY2106" s="714"/>
      <c r="BZ2106" s="715"/>
      <c r="CA2106" s="716"/>
      <c r="CB2106" s="717"/>
      <c r="CC2106" s="717"/>
      <c r="CD2106" s="717"/>
      <c r="CE2106" s="717"/>
      <c r="CF2106" s="717"/>
      <c r="CG2106" s="717"/>
      <c r="CH2106" s="717"/>
      <c r="CI2106" s="717"/>
      <c r="CJ2106" s="717"/>
      <c r="CK2106" s="717"/>
      <c r="CL2106" s="717"/>
      <c r="CM2106" s="717"/>
      <c r="CN2106" s="717"/>
      <c r="CO2106" s="717"/>
      <c r="CP2106" s="717"/>
      <c r="CQ2106" s="717"/>
      <c r="CR2106" s="717"/>
      <c r="CS2106" s="717"/>
      <c r="CT2106" s="717"/>
      <c r="CU2106" s="717"/>
      <c r="CV2106" s="717"/>
      <c r="CW2106" s="717"/>
      <c r="CX2106" s="717"/>
      <c r="CY2106" s="717"/>
      <c r="CZ2106" s="717"/>
      <c r="DA2106" s="717"/>
      <c r="DB2106" s="717"/>
      <c r="DC2106" s="717"/>
      <c r="DD2106" s="717"/>
      <c r="DE2106" s="717"/>
      <c r="DF2106" s="717"/>
      <c r="DG2106" s="717"/>
      <c r="DH2106" s="717"/>
      <c r="DI2106" s="717"/>
      <c r="DJ2106" s="717"/>
      <c r="DM2106" s="711"/>
      <c r="DN2106" s="711"/>
      <c r="DO2106" s="711"/>
      <c r="DP2106" s="711"/>
      <c r="DQ2106" s="711"/>
    </row>
    <row r="2107" spans="13:121" s="709" customFormat="1" hidden="1">
      <c r="M2107" s="710"/>
      <c r="P2107" s="711"/>
      <c r="Q2107" s="712"/>
      <c r="U2107" s="711"/>
      <c r="V2107" s="711"/>
      <c r="W2107" s="711"/>
      <c r="X2107" s="711"/>
      <c r="Y2107" s="711"/>
      <c r="Z2107" s="711"/>
      <c r="AU2107" s="713"/>
      <c r="AW2107" s="712"/>
      <c r="BY2107" s="714"/>
      <c r="BZ2107" s="715"/>
      <c r="CA2107" s="716"/>
      <c r="CB2107" s="717"/>
      <c r="CC2107" s="717"/>
      <c r="CD2107" s="717"/>
      <c r="CE2107" s="717"/>
      <c r="CF2107" s="717"/>
      <c r="CG2107" s="717"/>
      <c r="CH2107" s="717"/>
      <c r="CI2107" s="717"/>
      <c r="CJ2107" s="717"/>
      <c r="CK2107" s="717"/>
      <c r="CL2107" s="717"/>
      <c r="CM2107" s="717"/>
      <c r="CN2107" s="717"/>
      <c r="CO2107" s="717"/>
      <c r="CP2107" s="717"/>
      <c r="CQ2107" s="717"/>
      <c r="CR2107" s="717"/>
      <c r="CS2107" s="717"/>
      <c r="CT2107" s="717"/>
      <c r="CU2107" s="717"/>
      <c r="CV2107" s="717"/>
      <c r="CW2107" s="717"/>
      <c r="CX2107" s="717"/>
      <c r="CY2107" s="717"/>
      <c r="CZ2107" s="717"/>
      <c r="DA2107" s="717"/>
      <c r="DB2107" s="717"/>
      <c r="DC2107" s="717"/>
      <c r="DD2107" s="717"/>
      <c r="DE2107" s="717"/>
      <c r="DF2107" s="717"/>
      <c r="DG2107" s="717"/>
      <c r="DH2107" s="717"/>
      <c r="DI2107" s="717"/>
      <c r="DJ2107" s="717"/>
      <c r="DM2107" s="711"/>
      <c r="DN2107" s="711"/>
      <c r="DO2107" s="711"/>
      <c r="DP2107" s="711"/>
      <c r="DQ2107" s="711"/>
    </row>
    <row r="2108" spans="13:121" s="709" customFormat="1" hidden="1">
      <c r="M2108" s="710"/>
      <c r="P2108" s="711"/>
      <c r="Q2108" s="712"/>
      <c r="U2108" s="711"/>
      <c r="V2108" s="711"/>
      <c r="W2108" s="711"/>
      <c r="X2108" s="711"/>
      <c r="Y2108" s="711"/>
      <c r="Z2108" s="711"/>
      <c r="AU2108" s="713"/>
      <c r="AW2108" s="712"/>
      <c r="BY2108" s="714"/>
      <c r="BZ2108" s="715"/>
      <c r="CA2108" s="716"/>
      <c r="CB2108" s="717"/>
      <c r="CC2108" s="717"/>
      <c r="CD2108" s="717"/>
      <c r="CE2108" s="717"/>
      <c r="CF2108" s="717"/>
      <c r="CG2108" s="717"/>
      <c r="CH2108" s="717"/>
      <c r="CI2108" s="717"/>
      <c r="CJ2108" s="717"/>
      <c r="CK2108" s="717"/>
      <c r="CL2108" s="717"/>
      <c r="CM2108" s="717"/>
      <c r="CN2108" s="717"/>
      <c r="CO2108" s="717"/>
      <c r="CP2108" s="717"/>
      <c r="CQ2108" s="717"/>
      <c r="CR2108" s="717"/>
      <c r="CS2108" s="717"/>
      <c r="CT2108" s="717"/>
      <c r="CU2108" s="717"/>
      <c r="CV2108" s="717"/>
      <c r="CW2108" s="717"/>
      <c r="CX2108" s="717"/>
      <c r="CY2108" s="717"/>
      <c r="CZ2108" s="717"/>
      <c r="DA2108" s="717"/>
      <c r="DB2108" s="717"/>
      <c r="DC2108" s="717"/>
      <c r="DD2108" s="717"/>
      <c r="DE2108" s="717"/>
      <c r="DF2108" s="717"/>
      <c r="DG2108" s="717"/>
      <c r="DH2108" s="717"/>
      <c r="DI2108" s="717"/>
      <c r="DJ2108" s="717"/>
      <c r="DM2108" s="711"/>
      <c r="DN2108" s="711"/>
      <c r="DO2108" s="711"/>
      <c r="DP2108" s="711"/>
      <c r="DQ2108" s="711"/>
    </row>
    <row r="2109" spans="13:121" s="709" customFormat="1" hidden="1">
      <c r="M2109" s="710"/>
      <c r="P2109" s="711"/>
      <c r="Q2109" s="712"/>
      <c r="U2109" s="711"/>
      <c r="V2109" s="711"/>
      <c r="W2109" s="711"/>
      <c r="X2109" s="711"/>
      <c r="Y2109" s="711"/>
      <c r="Z2109" s="711"/>
      <c r="AU2109" s="713"/>
      <c r="AW2109" s="712"/>
      <c r="BY2109" s="714"/>
      <c r="BZ2109" s="715"/>
      <c r="CA2109" s="716"/>
      <c r="CB2109" s="717"/>
      <c r="CC2109" s="717"/>
      <c r="CD2109" s="717"/>
      <c r="CE2109" s="717"/>
      <c r="CF2109" s="717"/>
      <c r="CG2109" s="717"/>
      <c r="CH2109" s="717"/>
      <c r="CI2109" s="717"/>
      <c r="CJ2109" s="717"/>
      <c r="CK2109" s="717"/>
      <c r="CL2109" s="717"/>
      <c r="CM2109" s="717"/>
      <c r="CN2109" s="717"/>
      <c r="CO2109" s="717"/>
      <c r="CP2109" s="717"/>
      <c r="CQ2109" s="717"/>
      <c r="CR2109" s="717"/>
      <c r="CS2109" s="717"/>
      <c r="CT2109" s="717"/>
      <c r="CU2109" s="717"/>
      <c r="CV2109" s="717"/>
      <c r="CW2109" s="717"/>
      <c r="CX2109" s="717"/>
      <c r="CY2109" s="717"/>
      <c r="CZ2109" s="717"/>
      <c r="DA2109" s="717"/>
      <c r="DB2109" s="717"/>
      <c r="DC2109" s="717"/>
      <c r="DD2109" s="717"/>
      <c r="DE2109" s="717"/>
      <c r="DF2109" s="717"/>
      <c r="DG2109" s="717"/>
      <c r="DH2109" s="717"/>
      <c r="DI2109" s="717"/>
      <c r="DJ2109" s="717"/>
      <c r="DM2109" s="711"/>
      <c r="DN2109" s="711"/>
      <c r="DO2109" s="711"/>
      <c r="DP2109" s="711"/>
      <c r="DQ2109" s="711"/>
    </row>
    <row r="2110" spans="13:121" s="709" customFormat="1" hidden="1">
      <c r="M2110" s="710"/>
      <c r="P2110" s="711"/>
      <c r="Q2110" s="712"/>
      <c r="U2110" s="711"/>
      <c r="V2110" s="711"/>
      <c r="W2110" s="711"/>
      <c r="X2110" s="711"/>
      <c r="Y2110" s="711"/>
      <c r="Z2110" s="711"/>
      <c r="AU2110" s="713"/>
      <c r="AW2110" s="712"/>
      <c r="BY2110" s="714"/>
      <c r="BZ2110" s="715"/>
      <c r="CA2110" s="716"/>
      <c r="CB2110" s="717"/>
      <c r="CC2110" s="717"/>
      <c r="CD2110" s="717"/>
      <c r="CE2110" s="717"/>
      <c r="CF2110" s="717"/>
      <c r="CG2110" s="717"/>
      <c r="CH2110" s="717"/>
      <c r="CI2110" s="717"/>
      <c r="CJ2110" s="717"/>
      <c r="CK2110" s="717"/>
      <c r="CL2110" s="717"/>
      <c r="CM2110" s="717"/>
      <c r="CN2110" s="717"/>
      <c r="CO2110" s="717"/>
      <c r="CP2110" s="717"/>
      <c r="CQ2110" s="717"/>
      <c r="CR2110" s="717"/>
      <c r="CS2110" s="717"/>
      <c r="CT2110" s="717"/>
      <c r="CU2110" s="717"/>
      <c r="CV2110" s="717"/>
      <c r="CW2110" s="717"/>
      <c r="CX2110" s="717"/>
      <c r="CY2110" s="717"/>
      <c r="CZ2110" s="717"/>
      <c r="DA2110" s="717"/>
      <c r="DB2110" s="717"/>
      <c r="DC2110" s="717"/>
      <c r="DD2110" s="717"/>
      <c r="DE2110" s="717"/>
      <c r="DF2110" s="717"/>
      <c r="DG2110" s="717"/>
      <c r="DH2110" s="717"/>
      <c r="DI2110" s="717"/>
      <c r="DJ2110" s="717"/>
      <c r="DM2110" s="711"/>
      <c r="DN2110" s="711"/>
      <c r="DO2110" s="711"/>
      <c r="DP2110" s="711"/>
      <c r="DQ2110" s="711"/>
    </row>
    <row r="2111" spans="13:121" s="709" customFormat="1" hidden="1">
      <c r="M2111" s="710"/>
      <c r="P2111" s="711"/>
      <c r="Q2111" s="712"/>
      <c r="U2111" s="711"/>
      <c r="V2111" s="711"/>
      <c r="W2111" s="711"/>
      <c r="X2111" s="711"/>
      <c r="Y2111" s="711"/>
      <c r="Z2111" s="711"/>
      <c r="AU2111" s="713"/>
      <c r="AW2111" s="712"/>
      <c r="BY2111" s="714"/>
      <c r="BZ2111" s="715"/>
      <c r="CA2111" s="716"/>
      <c r="CB2111" s="717"/>
      <c r="CC2111" s="717"/>
      <c r="CD2111" s="717"/>
      <c r="CE2111" s="717"/>
      <c r="CF2111" s="717"/>
      <c r="CG2111" s="717"/>
      <c r="CH2111" s="717"/>
      <c r="CI2111" s="717"/>
      <c r="CJ2111" s="717"/>
      <c r="CK2111" s="717"/>
      <c r="CL2111" s="717"/>
      <c r="CM2111" s="717"/>
      <c r="CN2111" s="717"/>
      <c r="CO2111" s="717"/>
      <c r="CP2111" s="717"/>
      <c r="CQ2111" s="717"/>
      <c r="CR2111" s="717"/>
      <c r="CS2111" s="717"/>
      <c r="CT2111" s="717"/>
      <c r="CU2111" s="717"/>
      <c r="CV2111" s="717"/>
      <c r="CW2111" s="717"/>
      <c r="CX2111" s="717"/>
      <c r="CY2111" s="717"/>
      <c r="CZ2111" s="717"/>
      <c r="DA2111" s="717"/>
      <c r="DB2111" s="717"/>
      <c r="DC2111" s="717"/>
      <c r="DD2111" s="717"/>
      <c r="DE2111" s="717"/>
      <c r="DF2111" s="717"/>
      <c r="DG2111" s="717"/>
      <c r="DH2111" s="717"/>
      <c r="DI2111" s="717"/>
      <c r="DJ2111" s="717"/>
      <c r="DM2111" s="711"/>
      <c r="DN2111" s="711"/>
      <c r="DO2111" s="711"/>
      <c r="DP2111" s="711"/>
      <c r="DQ2111" s="711"/>
    </row>
    <row r="2112" spans="13:121" s="709" customFormat="1" hidden="1">
      <c r="M2112" s="710"/>
      <c r="P2112" s="711"/>
      <c r="Q2112" s="712"/>
      <c r="U2112" s="711"/>
      <c r="V2112" s="711"/>
      <c r="W2112" s="711"/>
      <c r="X2112" s="711"/>
      <c r="Y2112" s="711"/>
      <c r="Z2112" s="711"/>
      <c r="AU2112" s="713"/>
      <c r="AW2112" s="712"/>
      <c r="BY2112" s="714"/>
      <c r="BZ2112" s="715"/>
      <c r="CA2112" s="716"/>
      <c r="CB2112" s="717"/>
      <c r="CC2112" s="717"/>
      <c r="CD2112" s="717"/>
      <c r="CE2112" s="717"/>
      <c r="CF2112" s="717"/>
      <c r="CG2112" s="717"/>
      <c r="CH2112" s="717"/>
      <c r="CI2112" s="717"/>
      <c r="CJ2112" s="717"/>
      <c r="CK2112" s="717"/>
      <c r="CL2112" s="717"/>
      <c r="CM2112" s="717"/>
      <c r="CN2112" s="717"/>
      <c r="CO2112" s="717"/>
      <c r="CP2112" s="717"/>
      <c r="CQ2112" s="717"/>
      <c r="CR2112" s="717"/>
      <c r="CS2112" s="717"/>
      <c r="CT2112" s="717"/>
      <c r="CU2112" s="717"/>
      <c r="CV2112" s="717"/>
      <c r="CW2112" s="717"/>
      <c r="CX2112" s="717"/>
      <c r="CY2112" s="717"/>
      <c r="CZ2112" s="717"/>
      <c r="DA2112" s="717"/>
      <c r="DB2112" s="717"/>
      <c r="DC2112" s="717"/>
      <c r="DD2112" s="717"/>
      <c r="DE2112" s="717"/>
      <c r="DF2112" s="717"/>
      <c r="DG2112" s="717"/>
      <c r="DH2112" s="717"/>
      <c r="DI2112" s="717"/>
      <c r="DJ2112" s="717"/>
      <c r="DM2112" s="711"/>
      <c r="DN2112" s="711"/>
      <c r="DO2112" s="711"/>
      <c r="DP2112" s="711"/>
      <c r="DQ2112" s="711"/>
    </row>
    <row r="2113" spans="13:121" s="709" customFormat="1" hidden="1">
      <c r="M2113" s="710"/>
      <c r="P2113" s="711"/>
      <c r="Q2113" s="712"/>
      <c r="U2113" s="711"/>
      <c r="V2113" s="711"/>
      <c r="W2113" s="711"/>
      <c r="X2113" s="711"/>
      <c r="Y2113" s="711"/>
      <c r="Z2113" s="711"/>
      <c r="AU2113" s="713"/>
      <c r="AW2113" s="712"/>
      <c r="BY2113" s="714"/>
      <c r="BZ2113" s="715"/>
      <c r="CA2113" s="716"/>
      <c r="CB2113" s="717"/>
      <c r="CC2113" s="717"/>
      <c r="CD2113" s="717"/>
      <c r="CE2113" s="717"/>
      <c r="CF2113" s="717"/>
      <c r="CG2113" s="717"/>
      <c r="CH2113" s="717"/>
      <c r="CI2113" s="717"/>
      <c r="CJ2113" s="717"/>
      <c r="CK2113" s="717"/>
      <c r="CL2113" s="717"/>
      <c r="CM2113" s="717"/>
      <c r="CN2113" s="717"/>
      <c r="CO2113" s="717"/>
      <c r="CP2113" s="717"/>
      <c r="CQ2113" s="717"/>
      <c r="CR2113" s="717"/>
      <c r="CS2113" s="717"/>
      <c r="CT2113" s="717"/>
      <c r="CU2113" s="717"/>
      <c r="CV2113" s="717"/>
      <c r="CW2113" s="717"/>
      <c r="CX2113" s="717"/>
      <c r="CY2113" s="717"/>
      <c r="CZ2113" s="717"/>
      <c r="DA2113" s="717"/>
      <c r="DB2113" s="717"/>
      <c r="DC2113" s="717"/>
      <c r="DD2113" s="717"/>
      <c r="DE2113" s="717"/>
      <c r="DF2113" s="717"/>
      <c r="DG2113" s="717"/>
      <c r="DH2113" s="717"/>
      <c r="DI2113" s="717"/>
      <c r="DJ2113" s="717"/>
      <c r="DM2113" s="711"/>
      <c r="DN2113" s="711"/>
      <c r="DO2113" s="711"/>
      <c r="DP2113" s="711"/>
      <c r="DQ2113" s="711"/>
    </row>
    <row r="2114" spans="13:121" s="709" customFormat="1" hidden="1">
      <c r="M2114" s="710"/>
      <c r="P2114" s="711"/>
      <c r="Q2114" s="712"/>
      <c r="U2114" s="711"/>
      <c r="V2114" s="711"/>
      <c r="W2114" s="711"/>
      <c r="X2114" s="711"/>
      <c r="Y2114" s="711"/>
      <c r="Z2114" s="711"/>
      <c r="AU2114" s="713"/>
      <c r="AW2114" s="712"/>
      <c r="BY2114" s="714"/>
      <c r="BZ2114" s="715"/>
      <c r="CA2114" s="716"/>
      <c r="CB2114" s="717"/>
      <c r="CC2114" s="717"/>
      <c r="CD2114" s="717"/>
      <c r="CE2114" s="717"/>
      <c r="CF2114" s="717"/>
      <c r="CG2114" s="717"/>
      <c r="CH2114" s="717"/>
      <c r="CI2114" s="717"/>
      <c r="CJ2114" s="717"/>
      <c r="CK2114" s="717"/>
      <c r="CL2114" s="717"/>
      <c r="CM2114" s="717"/>
      <c r="CN2114" s="717"/>
      <c r="CO2114" s="717"/>
      <c r="CP2114" s="717"/>
      <c r="CQ2114" s="717"/>
      <c r="CR2114" s="717"/>
      <c r="CS2114" s="717"/>
      <c r="CT2114" s="717"/>
      <c r="CU2114" s="717"/>
      <c r="CV2114" s="717"/>
      <c r="CW2114" s="717"/>
      <c r="CX2114" s="717"/>
      <c r="CY2114" s="717"/>
      <c r="CZ2114" s="717"/>
      <c r="DA2114" s="717"/>
      <c r="DB2114" s="717"/>
      <c r="DC2114" s="717"/>
      <c r="DD2114" s="717"/>
      <c r="DE2114" s="717"/>
      <c r="DF2114" s="717"/>
      <c r="DG2114" s="717"/>
      <c r="DH2114" s="717"/>
      <c r="DI2114" s="717"/>
      <c r="DJ2114" s="717"/>
      <c r="DM2114" s="711"/>
      <c r="DN2114" s="711"/>
      <c r="DO2114" s="711"/>
      <c r="DP2114" s="711"/>
      <c r="DQ2114" s="711"/>
    </row>
    <row r="2115" spans="13:121" s="709" customFormat="1" hidden="1">
      <c r="M2115" s="710"/>
      <c r="P2115" s="711"/>
      <c r="Q2115" s="712"/>
      <c r="U2115" s="711"/>
      <c r="V2115" s="711"/>
      <c r="W2115" s="711"/>
      <c r="X2115" s="711"/>
      <c r="Y2115" s="711"/>
      <c r="Z2115" s="711"/>
      <c r="AU2115" s="713"/>
      <c r="AW2115" s="712"/>
      <c r="BY2115" s="714"/>
      <c r="BZ2115" s="715"/>
      <c r="CA2115" s="716"/>
      <c r="CB2115" s="717"/>
      <c r="CC2115" s="717"/>
      <c r="CD2115" s="717"/>
      <c r="CE2115" s="717"/>
      <c r="CF2115" s="717"/>
      <c r="CG2115" s="717"/>
      <c r="CH2115" s="717"/>
      <c r="CI2115" s="717"/>
      <c r="CJ2115" s="717"/>
      <c r="CK2115" s="717"/>
      <c r="CL2115" s="717"/>
      <c r="CM2115" s="717"/>
      <c r="CN2115" s="717"/>
      <c r="CO2115" s="717"/>
      <c r="CP2115" s="717"/>
      <c r="CQ2115" s="717"/>
      <c r="CR2115" s="717"/>
      <c r="CS2115" s="717"/>
      <c r="CT2115" s="717"/>
      <c r="CU2115" s="717"/>
      <c r="CV2115" s="717"/>
      <c r="CW2115" s="717"/>
      <c r="CX2115" s="717"/>
      <c r="CY2115" s="717"/>
      <c r="CZ2115" s="717"/>
      <c r="DA2115" s="717"/>
      <c r="DB2115" s="717"/>
      <c r="DC2115" s="717"/>
      <c r="DD2115" s="717"/>
      <c r="DE2115" s="717"/>
      <c r="DF2115" s="717"/>
      <c r="DG2115" s="717"/>
      <c r="DH2115" s="717"/>
      <c r="DI2115" s="717"/>
      <c r="DJ2115" s="717"/>
      <c r="DM2115" s="711"/>
      <c r="DN2115" s="711"/>
      <c r="DO2115" s="711"/>
      <c r="DP2115" s="711"/>
      <c r="DQ2115" s="711"/>
    </row>
    <row r="2116" spans="13:121" s="709" customFormat="1" hidden="1">
      <c r="M2116" s="710"/>
      <c r="P2116" s="711"/>
      <c r="Q2116" s="712"/>
      <c r="U2116" s="711"/>
      <c r="V2116" s="711"/>
      <c r="W2116" s="711"/>
      <c r="X2116" s="711"/>
      <c r="Y2116" s="711"/>
      <c r="Z2116" s="711"/>
      <c r="AU2116" s="713"/>
      <c r="AW2116" s="712"/>
      <c r="BY2116" s="714"/>
      <c r="BZ2116" s="715"/>
      <c r="CA2116" s="716"/>
      <c r="CB2116" s="717"/>
      <c r="CC2116" s="717"/>
      <c r="CD2116" s="717"/>
      <c r="CE2116" s="717"/>
      <c r="CF2116" s="717"/>
      <c r="CG2116" s="717"/>
      <c r="CH2116" s="717"/>
      <c r="CI2116" s="717"/>
      <c r="CJ2116" s="717"/>
      <c r="CK2116" s="717"/>
      <c r="CL2116" s="717"/>
      <c r="CM2116" s="717"/>
      <c r="CN2116" s="717"/>
      <c r="CO2116" s="717"/>
      <c r="CP2116" s="717"/>
      <c r="CQ2116" s="717"/>
      <c r="CR2116" s="717"/>
      <c r="CS2116" s="717"/>
      <c r="CT2116" s="717"/>
      <c r="CU2116" s="717"/>
      <c r="CV2116" s="717"/>
      <c r="CW2116" s="717"/>
      <c r="CX2116" s="717"/>
      <c r="CY2116" s="717"/>
      <c r="CZ2116" s="717"/>
      <c r="DA2116" s="717"/>
      <c r="DB2116" s="717"/>
      <c r="DC2116" s="717"/>
      <c r="DD2116" s="717"/>
      <c r="DE2116" s="717"/>
      <c r="DF2116" s="717"/>
      <c r="DG2116" s="717"/>
      <c r="DH2116" s="717"/>
      <c r="DI2116" s="717"/>
      <c r="DJ2116" s="717"/>
      <c r="DM2116" s="711"/>
      <c r="DN2116" s="711"/>
      <c r="DO2116" s="711"/>
      <c r="DP2116" s="711"/>
      <c r="DQ2116" s="711"/>
    </row>
    <row r="2117" spans="13:121" s="709" customFormat="1" hidden="1">
      <c r="M2117" s="710"/>
      <c r="P2117" s="711"/>
      <c r="Q2117" s="712"/>
      <c r="U2117" s="711"/>
      <c r="V2117" s="711"/>
      <c r="W2117" s="711"/>
      <c r="X2117" s="711"/>
      <c r="Y2117" s="711"/>
      <c r="Z2117" s="711"/>
      <c r="AU2117" s="713"/>
      <c r="AW2117" s="712"/>
      <c r="BY2117" s="714"/>
      <c r="BZ2117" s="715"/>
      <c r="CA2117" s="716"/>
      <c r="CB2117" s="717"/>
      <c r="CC2117" s="717"/>
      <c r="CD2117" s="717"/>
      <c r="CE2117" s="717"/>
      <c r="CF2117" s="717"/>
      <c r="CG2117" s="717"/>
      <c r="CH2117" s="717"/>
      <c r="CI2117" s="717"/>
      <c r="CJ2117" s="717"/>
      <c r="CK2117" s="717"/>
      <c r="CL2117" s="717"/>
      <c r="CM2117" s="717"/>
      <c r="CN2117" s="717"/>
      <c r="CO2117" s="717"/>
      <c r="CP2117" s="717"/>
      <c r="CQ2117" s="717"/>
      <c r="CR2117" s="717"/>
      <c r="CS2117" s="717"/>
      <c r="CT2117" s="717"/>
      <c r="CU2117" s="717"/>
      <c r="CV2117" s="717"/>
      <c r="CW2117" s="717"/>
      <c r="CX2117" s="717"/>
      <c r="CY2117" s="717"/>
      <c r="CZ2117" s="717"/>
      <c r="DA2117" s="717"/>
      <c r="DB2117" s="717"/>
      <c r="DC2117" s="717"/>
      <c r="DD2117" s="717"/>
      <c r="DE2117" s="717"/>
      <c r="DF2117" s="717"/>
      <c r="DG2117" s="717"/>
      <c r="DH2117" s="717"/>
      <c r="DI2117" s="717"/>
      <c r="DJ2117" s="717"/>
      <c r="DM2117" s="711"/>
      <c r="DN2117" s="711"/>
      <c r="DO2117" s="711"/>
      <c r="DP2117" s="711"/>
      <c r="DQ2117" s="711"/>
    </row>
    <row r="2118" spans="13:121" s="709" customFormat="1" hidden="1">
      <c r="M2118" s="710"/>
      <c r="P2118" s="711"/>
      <c r="Q2118" s="712"/>
      <c r="U2118" s="711"/>
      <c r="V2118" s="711"/>
      <c r="W2118" s="711"/>
      <c r="X2118" s="711"/>
      <c r="Y2118" s="711"/>
      <c r="Z2118" s="711"/>
      <c r="AU2118" s="713"/>
      <c r="AW2118" s="712"/>
      <c r="BY2118" s="714"/>
      <c r="BZ2118" s="715"/>
      <c r="CA2118" s="716"/>
      <c r="CB2118" s="717"/>
      <c r="CC2118" s="717"/>
      <c r="CD2118" s="717"/>
      <c r="CE2118" s="717"/>
      <c r="CF2118" s="717"/>
      <c r="CG2118" s="717"/>
      <c r="CH2118" s="717"/>
      <c r="CI2118" s="717"/>
      <c r="CJ2118" s="717"/>
      <c r="CK2118" s="717"/>
      <c r="CL2118" s="717"/>
      <c r="CM2118" s="717"/>
      <c r="CN2118" s="717"/>
      <c r="CO2118" s="717"/>
      <c r="CP2118" s="717"/>
      <c r="CQ2118" s="717"/>
      <c r="CR2118" s="717"/>
      <c r="CS2118" s="717"/>
      <c r="CT2118" s="717"/>
      <c r="CU2118" s="717"/>
      <c r="CV2118" s="717"/>
      <c r="CW2118" s="717"/>
      <c r="CX2118" s="717"/>
      <c r="CY2118" s="717"/>
      <c r="CZ2118" s="717"/>
      <c r="DA2118" s="717"/>
      <c r="DB2118" s="717"/>
      <c r="DC2118" s="717"/>
      <c r="DD2118" s="717"/>
      <c r="DE2118" s="717"/>
      <c r="DF2118" s="717"/>
      <c r="DG2118" s="717"/>
      <c r="DH2118" s="717"/>
      <c r="DI2118" s="717"/>
      <c r="DJ2118" s="717"/>
      <c r="DM2118" s="711"/>
      <c r="DN2118" s="711"/>
      <c r="DO2118" s="711"/>
      <c r="DP2118" s="711"/>
      <c r="DQ2118" s="711"/>
    </row>
    <row r="2119" spans="13:121" s="709" customFormat="1" hidden="1">
      <c r="M2119" s="710"/>
      <c r="P2119" s="711"/>
      <c r="Q2119" s="712"/>
      <c r="U2119" s="711"/>
      <c r="V2119" s="711"/>
      <c r="W2119" s="711"/>
      <c r="X2119" s="711"/>
      <c r="Y2119" s="711"/>
      <c r="Z2119" s="711"/>
      <c r="AU2119" s="713"/>
      <c r="AW2119" s="712"/>
      <c r="BY2119" s="714"/>
      <c r="BZ2119" s="715"/>
      <c r="CA2119" s="716"/>
      <c r="CB2119" s="717"/>
      <c r="CC2119" s="717"/>
      <c r="CD2119" s="717"/>
      <c r="CE2119" s="717"/>
      <c r="CF2119" s="717"/>
      <c r="CG2119" s="717"/>
      <c r="CH2119" s="717"/>
      <c r="CI2119" s="717"/>
      <c r="CJ2119" s="717"/>
      <c r="CK2119" s="717"/>
      <c r="CL2119" s="717"/>
      <c r="CM2119" s="717"/>
      <c r="CN2119" s="717"/>
      <c r="CO2119" s="717"/>
      <c r="CP2119" s="717"/>
      <c r="CQ2119" s="717"/>
      <c r="CR2119" s="717"/>
      <c r="CS2119" s="717"/>
      <c r="CT2119" s="717"/>
      <c r="CU2119" s="717"/>
      <c r="CV2119" s="717"/>
      <c r="CW2119" s="717"/>
      <c r="CX2119" s="717"/>
      <c r="CY2119" s="717"/>
      <c r="CZ2119" s="717"/>
      <c r="DA2119" s="717"/>
      <c r="DB2119" s="717"/>
      <c r="DC2119" s="717"/>
      <c r="DD2119" s="717"/>
      <c r="DE2119" s="717"/>
      <c r="DF2119" s="717"/>
      <c r="DG2119" s="717"/>
      <c r="DH2119" s="717"/>
      <c r="DI2119" s="717"/>
      <c r="DJ2119" s="717"/>
      <c r="DM2119" s="711"/>
      <c r="DN2119" s="711"/>
      <c r="DO2119" s="711"/>
      <c r="DP2119" s="711"/>
      <c r="DQ2119" s="711"/>
    </row>
    <row r="2120" spans="13:121" s="709" customFormat="1" hidden="1">
      <c r="M2120" s="710"/>
      <c r="P2120" s="711"/>
      <c r="Q2120" s="712"/>
      <c r="U2120" s="711"/>
      <c r="V2120" s="711"/>
      <c r="W2120" s="711"/>
      <c r="X2120" s="711"/>
      <c r="Y2120" s="711"/>
      <c r="Z2120" s="711"/>
      <c r="AU2120" s="713"/>
      <c r="AW2120" s="712"/>
      <c r="BY2120" s="714"/>
      <c r="BZ2120" s="715"/>
      <c r="CA2120" s="716"/>
      <c r="CB2120" s="717"/>
      <c r="CC2120" s="717"/>
      <c r="CD2120" s="717"/>
      <c r="CE2120" s="717"/>
      <c r="CF2120" s="717"/>
      <c r="CG2120" s="717"/>
      <c r="CH2120" s="717"/>
      <c r="CI2120" s="717"/>
      <c r="CJ2120" s="717"/>
      <c r="CK2120" s="717"/>
      <c r="CL2120" s="717"/>
      <c r="CM2120" s="717"/>
      <c r="CN2120" s="717"/>
      <c r="CO2120" s="717"/>
      <c r="CP2120" s="717"/>
      <c r="CQ2120" s="717"/>
      <c r="CR2120" s="717"/>
      <c r="CS2120" s="717"/>
      <c r="CT2120" s="717"/>
      <c r="CU2120" s="717"/>
      <c r="CV2120" s="717"/>
      <c r="CW2120" s="717"/>
      <c r="CX2120" s="717"/>
      <c r="CY2120" s="717"/>
      <c r="CZ2120" s="717"/>
      <c r="DA2120" s="717"/>
      <c r="DB2120" s="717"/>
      <c r="DC2120" s="717"/>
      <c r="DD2120" s="717"/>
      <c r="DE2120" s="717"/>
      <c r="DF2120" s="717"/>
      <c r="DG2120" s="717"/>
      <c r="DH2120" s="717"/>
      <c r="DI2120" s="717"/>
      <c r="DJ2120" s="717"/>
      <c r="DM2120" s="711"/>
      <c r="DN2120" s="711"/>
      <c r="DO2120" s="711"/>
      <c r="DP2120" s="711"/>
      <c r="DQ2120" s="711"/>
    </row>
    <row r="2121" spans="13:121" s="709" customFormat="1" hidden="1">
      <c r="M2121" s="710"/>
      <c r="P2121" s="711"/>
      <c r="Q2121" s="712"/>
      <c r="U2121" s="711"/>
      <c r="V2121" s="711"/>
      <c r="W2121" s="711"/>
      <c r="X2121" s="711"/>
      <c r="Y2121" s="711"/>
      <c r="Z2121" s="711"/>
      <c r="AU2121" s="713"/>
      <c r="AW2121" s="712"/>
      <c r="BY2121" s="714"/>
      <c r="BZ2121" s="715"/>
      <c r="CA2121" s="716"/>
      <c r="CB2121" s="717"/>
      <c r="CC2121" s="717"/>
      <c r="CD2121" s="717"/>
      <c r="CE2121" s="717"/>
      <c r="CF2121" s="717"/>
      <c r="CG2121" s="717"/>
      <c r="CH2121" s="717"/>
      <c r="CI2121" s="717"/>
      <c r="CJ2121" s="717"/>
      <c r="CK2121" s="717"/>
      <c r="CL2121" s="717"/>
      <c r="CM2121" s="717"/>
      <c r="CN2121" s="717"/>
      <c r="CO2121" s="717"/>
      <c r="CP2121" s="717"/>
      <c r="CQ2121" s="717"/>
      <c r="CR2121" s="717"/>
      <c r="CS2121" s="717"/>
      <c r="CT2121" s="717"/>
      <c r="CU2121" s="717"/>
      <c r="CV2121" s="717"/>
      <c r="CW2121" s="717"/>
      <c r="CX2121" s="717"/>
      <c r="CY2121" s="717"/>
      <c r="CZ2121" s="717"/>
      <c r="DA2121" s="717"/>
      <c r="DB2121" s="717"/>
      <c r="DC2121" s="717"/>
      <c r="DD2121" s="717"/>
      <c r="DE2121" s="717"/>
      <c r="DF2121" s="717"/>
      <c r="DG2121" s="717"/>
      <c r="DH2121" s="717"/>
      <c r="DI2121" s="717"/>
      <c r="DJ2121" s="717"/>
      <c r="DM2121" s="711"/>
      <c r="DN2121" s="711"/>
      <c r="DO2121" s="711"/>
      <c r="DP2121" s="711"/>
      <c r="DQ2121" s="711"/>
    </row>
    <row r="2122" spans="13:121" s="709" customFormat="1" hidden="1">
      <c r="M2122" s="710"/>
      <c r="P2122" s="711"/>
      <c r="Q2122" s="712"/>
      <c r="U2122" s="711"/>
      <c r="V2122" s="711"/>
      <c r="W2122" s="711"/>
      <c r="X2122" s="711"/>
      <c r="Y2122" s="711"/>
      <c r="Z2122" s="711"/>
      <c r="AU2122" s="713"/>
      <c r="AW2122" s="712"/>
      <c r="BY2122" s="714"/>
      <c r="BZ2122" s="715"/>
      <c r="CA2122" s="716"/>
      <c r="CB2122" s="717"/>
      <c r="CC2122" s="717"/>
      <c r="CD2122" s="717"/>
      <c r="CE2122" s="717"/>
      <c r="CF2122" s="717"/>
      <c r="CG2122" s="717"/>
      <c r="CH2122" s="717"/>
      <c r="CI2122" s="717"/>
      <c r="CJ2122" s="717"/>
      <c r="CK2122" s="717"/>
      <c r="CL2122" s="717"/>
      <c r="CM2122" s="717"/>
      <c r="CN2122" s="717"/>
      <c r="CO2122" s="717"/>
      <c r="CP2122" s="717"/>
      <c r="CQ2122" s="717"/>
      <c r="CR2122" s="717"/>
      <c r="CS2122" s="717"/>
      <c r="CT2122" s="717"/>
      <c r="CU2122" s="717"/>
      <c r="CV2122" s="717"/>
      <c r="CW2122" s="717"/>
      <c r="CX2122" s="717"/>
      <c r="CY2122" s="717"/>
      <c r="CZ2122" s="717"/>
      <c r="DA2122" s="717"/>
      <c r="DB2122" s="717"/>
      <c r="DC2122" s="717"/>
      <c r="DD2122" s="717"/>
      <c r="DE2122" s="717"/>
      <c r="DF2122" s="717"/>
      <c r="DG2122" s="717"/>
      <c r="DH2122" s="717"/>
      <c r="DI2122" s="717"/>
      <c r="DJ2122" s="717"/>
      <c r="DM2122" s="711"/>
      <c r="DN2122" s="711"/>
      <c r="DO2122" s="711"/>
      <c r="DP2122" s="711"/>
      <c r="DQ2122" s="711"/>
    </row>
    <row r="2123" spans="13:121" s="709" customFormat="1" hidden="1">
      <c r="M2123" s="710"/>
      <c r="P2123" s="711"/>
      <c r="Q2123" s="712"/>
      <c r="U2123" s="711"/>
      <c r="V2123" s="711"/>
      <c r="W2123" s="711"/>
      <c r="X2123" s="711"/>
      <c r="Y2123" s="711"/>
      <c r="Z2123" s="711"/>
      <c r="AU2123" s="713"/>
      <c r="AW2123" s="712"/>
      <c r="BY2123" s="714"/>
      <c r="BZ2123" s="715"/>
      <c r="CA2123" s="716"/>
      <c r="CB2123" s="717"/>
      <c r="CC2123" s="717"/>
      <c r="CD2123" s="717"/>
      <c r="CE2123" s="717"/>
      <c r="CF2123" s="717"/>
      <c r="CG2123" s="717"/>
      <c r="CH2123" s="717"/>
      <c r="CI2123" s="717"/>
      <c r="CJ2123" s="717"/>
      <c r="CK2123" s="717"/>
      <c r="CL2123" s="717"/>
      <c r="CM2123" s="717"/>
      <c r="CN2123" s="717"/>
      <c r="CO2123" s="717"/>
      <c r="CP2123" s="717"/>
      <c r="CQ2123" s="717"/>
      <c r="CR2123" s="717"/>
      <c r="CS2123" s="717"/>
      <c r="CT2123" s="717"/>
      <c r="CU2123" s="717"/>
      <c r="CV2123" s="717"/>
      <c r="CW2123" s="717"/>
      <c r="CX2123" s="717"/>
      <c r="CY2123" s="717"/>
      <c r="CZ2123" s="717"/>
      <c r="DA2123" s="717"/>
      <c r="DB2123" s="717"/>
      <c r="DC2123" s="717"/>
      <c r="DD2123" s="717"/>
      <c r="DE2123" s="717"/>
      <c r="DF2123" s="717"/>
      <c r="DG2123" s="717"/>
      <c r="DH2123" s="717"/>
      <c r="DI2123" s="717"/>
      <c r="DJ2123" s="717"/>
      <c r="DM2123" s="711"/>
      <c r="DN2123" s="711"/>
      <c r="DO2123" s="711"/>
      <c r="DP2123" s="711"/>
      <c r="DQ2123" s="711"/>
    </row>
    <row r="2124" spans="13:121" s="709" customFormat="1" hidden="1">
      <c r="M2124" s="710"/>
      <c r="P2124" s="711"/>
      <c r="Q2124" s="712"/>
      <c r="U2124" s="711"/>
      <c r="V2124" s="711"/>
      <c r="W2124" s="711"/>
      <c r="X2124" s="711"/>
      <c r="Y2124" s="711"/>
      <c r="Z2124" s="711"/>
      <c r="AU2124" s="713"/>
      <c r="AW2124" s="712"/>
      <c r="BY2124" s="714"/>
      <c r="BZ2124" s="715"/>
      <c r="CA2124" s="716"/>
      <c r="CB2124" s="717"/>
      <c r="CC2124" s="717"/>
      <c r="CD2124" s="717"/>
      <c r="CE2124" s="717"/>
      <c r="CF2124" s="717"/>
      <c r="CG2124" s="717"/>
      <c r="CH2124" s="717"/>
      <c r="CI2124" s="717"/>
      <c r="CJ2124" s="717"/>
      <c r="CK2124" s="717"/>
      <c r="CL2124" s="717"/>
      <c r="CM2124" s="717"/>
      <c r="CN2124" s="717"/>
      <c r="CO2124" s="717"/>
      <c r="CP2124" s="717"/>
      <c r="CQ2124" s="717"/>
      <c r="CR2124" s="717"/>
      <c r="CS2124" s="717"/>
      <c r="CT2124" s="717"/>
      <c r="CU2124" s="717"/>
      <c r="CV2124" s="717"/>
      <c r="CW2124" s="717"/>
      <c r="CX2124" s="717"/>
      <c r="CY2124" s="717"/>
      <c r="CZ2124" s="717"/>
      <c r="DA2124" s="717"/>
      <c r="DB2124" s="717"/>
      <c r="DC2124" s="717"/>
      <c r="DD2124" s="717"/>
      <c r="DE2124" s="717"/>
      <c r="DF2124" s="717"/>
      <c r="DG2124" s="717"/>
      <c r="DH2124" s="717"/>
      <c r="DI2124" s="717"/>
      <c r="DJ2124" s="717"/>
      <c r="DM2124" s="711"/>
      <c r="DN2124" s="711"/>
      <c r="DO2124" s="711"/>
      <c r="DP2124" s="711"/>
      <c r="DQ2124" s="711"/>
    </row>
    <row r="2125" spans="13:121" s="709" customFormat="1" hidden="1">
      <c r="M2125" s="710"/>
      <c r="P2125" s="711"/>
      <c r="Q2125" s="712"/>
      <c r="U2125" s="711"/>
      <c r="V2125" s="711"/>
      <c r="W2125" s="711"/>
      <c r="X2125" s="711"/>
      <c r="Y2125" s="711"/>
      <c r="Z2125" s="711"/>
      <c r="AU2125" s="713"/>
      <c r="AW2125" s="712"/>
      <c r="BY2125" s="714"/>
      <c r="BZ2125" s="715"/>
      <c r="CA2125" s="716"/>
      <c r="CB2125" s="717"/>
      <c r="CC2125" s="717"/>
      <c r="CD2125" s="717"/>
      <c r="CE2125" s="717"/>
      <c r="CF2125" s="717"/>
      <c r="CG2125" s="717"/>
      <c r="CH2125" s="717"/>
      <c r="CI2125" s="717"/>
      <c r="CJ2125" s="717"/>
      <c r="CK2125" s="717"/>
      <c r="CL2125" s="717"/>
      <c r="CM2125" s="717"/>
      <c r="CN2125" s="717"/>
      <c r="CO2125" s="717"/>
      <c r="CP2125" s="717"/>
      <c r="CQ2125" s="717"/>
      <c r="CR2125" s="717"/>
      <c r="CS2125" s="717"/>
      <c r="CT2125" s="717"/>
      <c r="CU2125" s="717"/>
      <c r="CV2125" s="717"/>
      <c r="CW2125" s="717"/>
      <c r="CX2125" s="717"/>
      <c r="CY2125" s="717"/>
      <c r="CZ2125" s="717"/>
      <c r="DA2125" s="717"/>
      <c r="DB2125" s="717"/>
      <c r="DC2125" s="717"/>
      <c r="DD2125" s="717"/>
      <c r="DE2125" s="717"/>
      <c r="DF2125" s="717"/>
      <c r="DG2125" s="717"/>
      <c r="DH2125" s="717"/>
      <c r="DI2125" s="717"/>
      <c r="DJ2125" s="717"/>
      <c r="DM2125" s="711"/>
      <c r="DN2125" s="711"/>
      <c r="DO2125" s="711"/>
      <c r="DP2125" s="711"/>
      <c r="DQ2125" s="711"/>
    </row>
    <row r="2126" spans="13:121" s="709" customFormat="1" hidden="1">
      <c r="M2126" s="710"/>
      <c r="P2126" s="711"/>
      <c r="Q2126" s="712"/>
      <c r="U2126" s="711"/>
      <c r="V2126" s="711"/>
      <c r="W2126" s="711"/>
      <c r="X2126" s="711"/>
      <c r="Y2126" s="711"/>
      <c r="Z2126" s="711"/>
      <c r="AU2126" s="713"/>
      <c r="AW2126" s="712"/>
      <c r="BY2126" s="714"/>
      <c r="BZ2126" s="715"/>
      <c r="CA2126" s="716"/>
      <c r="CB2126" s="717"/>
      <c r="CC2126" s="717"/>
      <c r="CD2126" s="717"/>
      <c r="CE2126" s="717"/>
      <c r="CF2126" s="717"/>
      <c r="CG2126" s="717"/>
      <c r="CH2126" s="717"/>
      <c r="CI2126" s="717"/>
      <c r="CJ2126" s="717"/>
      <c r="CK2126" s="717"/>
      <c r="CL2126" s="717"/>
      <c r="CM2126" s="717"/>
      <c r="CN2126" s="717"/>
      <c r="CO2126" s="717"/>
      <c r="CP2126" s="717"/>
      <c r="CQ2126" s="717"/>
      <c r="CR2126" s="717"/>
      <c r="CS2126" s="717"/>
      <c r="CT2126" s="717"/>
      <c r="CU2126" s="717"/>
      <c r="CV2126" s="717"/>
      <c r="CW2126" s="717"/>
      <c r="CX2126" s="717"/>
      <c r="CY2126" s="717"/>
      <c r="CZ2126" s="717"/>
      <c r="DA2126" s="717"/>
      <c r="DB2126" s="717"/>
      <c r="DC2126" s="717"/>
      <c r="DD2126" s="717"/>
      <c r="DE2126" s="717"/>
      <c r="DF2126" s="717"/>
      <c r="DG2126" s="717"/>
      <c r="DH2126" s="717"/>
      <c r="DI2126" s="717"/>
      <c r="DJ2126" s="717"/>
      <c r="DM2126" s="711"/>
      <c r="DN2126" s="711"/>
      <c r="DO2126" s="711"/>
      <c r="DP2126" s="711"/>
      <c r="DQ2126" s="711"/>
    </row>
    <row r="2127" spans="13:121" s="709" customFormat="1" hidden="1">
      <c r="M2127" s="710"/>
      <c r="P2127" s="711"/>
      <c r="Q2127" s="712"/>
      <c r="U2127" s="711"/>
      <c r="V2127" s="711"/>
      <c r="W2127" s="711"/>
      <c r="X2127" s="711"/>
      <c r="Y2127" s="711"/>
      <c r="Z2127" s="711"/>
      <c r="AU2127" s="713"/>
      <c r="AW2127" s="712"/>
      <c r="BY2127" s="714"/>
      <c r="BZ2127" s="715"/>
      <c r="CA2127" s="716"/>
      <c r="CB2127" s="717"/>
      <c r="CC2127" s="717"/>
      <c r="CD2127" s="717"/>
      <c r="CE2127" s="717"/>
      <c r="CF2127" s="717"/>
      <c r="CG2127" s="717"/>
      <c r="CH2127" s="717"/>
      <c r="CI2127" s="717"/>
      <c r="CJ2127" s="717"/>
      <c r="CK2127" s="717"/>
      <c r="CL2127" s="717"/>
      <c r="CM2127" s="717"/>
      <c r="CN2127" s="717"/>
      <c r="CO2127" s="717"/>
      <c r="CP2127" s="717"/>
      <c r="CQ2127" s="717"/>
      <c r="CR2127" s="717"/>
      <c r="CS2127" s="717"/>
      <c r="CT2127" s="717"/>
      <c r="CU2127" s="717"/>
      <c r="CV2127" s="717"/>
      <c r="CW2127" s="717"/>
      <c r="CX2127" s="717"/>
      <c r="CY2127" s="717"/>
      <c r="CZ2127" s="717"/>
      <c r="DA2127" s="717"/>
      <c r="DB2127" s="717"/>
      <c r="DC2127" s="717"/>
      <c r="DD2127" s="717"/>
      <c r="DE2127" s="717"/>
      <c r="DF2127" s="717"/>
      <c r="DG2127" s="717"/>
      <c r="DH2127" s="717"/>
      <c r="DI2127" s="717"/>
      <c r="DJ2127" s="717"/>
      <c r="DM2127" s="711"/>
      <c r="DN2127" s="711"/>
      <c r="DO2127" s="711"/>
      <c r="DP2127" s="711"/>
      <c r="DQ2127" s="711"/>
    </row>
    <row r="2128" spans="13:121" s="709" customFormat="1" hidden="1">
      <c r="M2128" s="710"/>
      <c r="P2128" s="711"/>
      <c r="Q2128" s="712"/>
      <c r="U2128" s="711"/>
      <c r="V2128" s="711"/>
      <c r="W2128" s="711"/>
      <c r="X2128" s="711"/>
      <c r="Y2128" s="711"/>
      <c r="Z2128" s="711"/>
      <c r="AU2128" s="713"/>
      <c r="AW2128" s="712"/>
      <c r="BY2128" s="714"/>
      <c r="BZ2128" s="715"/>
      <c r="CA2128" s="716"/>
      <c r="CB2128" s="717"/>
      <c r="CC2128" s="717"/>
      <c r="CD2128" s="717"/>
      <c r="CE2128" s="717"/>
      <c r="CF2128" s="717"/>
      <c r="CG2128" s="717"/>
      <c r="CH2128" s="717"/>
      <c r="CI2128" s="717"/>
      <c r="CJ2128" s="717"/>
      <c r="CK2128" s="717"/>
      <c r="CL2128" s="717"/>
      <c r="CM2128" s="717"/>
      <c r="CN2128" s="717"/>
      <c r="CO2128" s="717"/>
      <c r="CP2128" s="717"/>
      <c r="CQ2128" s="717"/>
      <c r="CR2128" s="717"/>
      <c r="CS2128" s="717"/>
      <c r="CT2128" s="717"/>
      <c r="CU2128" s="717"/>
      <c r="CV2128" s="717"/>
      <c r="CW2128" s="717"/>
      <c r="CX2128" s="717"/>
      <c r="CY2128" s="717"/>
      <c r="CZ2128" s="717"/>
      <c r="DA2128" s="717"/>
      <c r="DB2128" s="717"/>
      <c r="DC2128" s="717"/>
      <c r="DD2128" s="717"/>
      <c r="DE2128" s="717"/>
      <c r="DF2128" s="717"/>
      <c r="DG2128" s="717"/>
      <c r="DH2128" s="717"/>
      <c r="DI2128" s="717"/>
      <c r="DJ2128" s="717"/>
      <c r="DM2128" s="711"/>
      <c r="DN2128" s="711"/>
      <c r="DO2128" s="711"/>
      <c r="DP2128" s="711"/>
      <c r="DQ2128" s="711"/>
    </row>
    <row r="2129" spans="13:121" s="709" customFormat="1" hidden="1">
      <c r="M2129" s="710"/>
      <c r="P2129" s="711"/>
      <c r="Q2129" s="712"/>
      <c r="U2129" s="711"/>
      <c r="V2129" s="711"/>
      <c r="W2129" s="711"/>
      <c r="X2129" s="711"/>
      <c r="Y2129" s="711"/>
      <c r="Z2129" s="711"/>
      <c r="AU2129" s="713"/>
      <c r="AW2129" s="712"/>
      <c r="BY2129" s="714"/>
      <c r="BZ2129" s="715"/>
      <c r="CA2129" s="716"/>
      <c r="CB2129" s="717"/>
      <c r="CC2129" s="717"/>
      <c r="CD2129" s="717"/>
      <c r="CE2129" s="717"/>
      <c r="CF2129" s="717"/>
      <c r="CG2129" s="717"/>
      <c r="CH2129" s="717"/>
      <c r="CI2129" s="717"/>
      <c r="CJ2129" s="717"/>
      <c r="CK2129" s="717"/>
      <c r="CL2129" s="717"/>
      <c r="CM2129" s="717"/>
      <c r="CN2129" s="717"/>
      <c r="CO2129" s="717"/>
      <c r="CP2129" s="717"/>
      <c r="CQ2129" s="717"/>
      <c r="CR2129" s="717"/>
      <c r="CS2129" s="717"/>
      <c r="CT2129" s="717"/>
      <c r="CU2129" s="717"/>
      <c r="CV2129" s="717"/>
      <c r="CW2129" s="717"/>
      <c r="CX2129" s="717"/>
      <c r="CY2129" s="717"/>
      <c r="CZ2129" s="717"/>
      <c r="DA2129" s="717"/>
      <c r="DB2129" s="717"/>
      <c r="DC2129" s="717"/>
      <c r="DD2129" s="717"/>
      <c r="DE2129" s="717"/>
      <c r="DF2129" s="717"/>
      <c r="DG2129" s="717"/>
      <c r="DH2129" s="717"/>
      <c r="DI2129" s="717"/>
      <c r="DJ2129" s="717"/>
      <c r="DM2129" s="711"/>
      <c r="DN2129" s="711"/>
      <c r="DO2129" s="711"/>
      <c r="DP2129" s="711"/>
      <c r="DQ2129" s="711"/>
    </row>
    <row r="2130" spans="13:121" s="709" customFormat="1" hidden="1">
      <c r="M2130" s="710"/>
      <c r="P2130" s="711"/>
      <c r="Q2130" s="712"/>
      <c r="U2130" s="711"/>
      <c r="V2130" s="711"/>
      <c r="W2130" s="711"/>
      <c r="X2130" s="711"/>
      <c r="Y2130" s="711"/>
      <c r="Z2130" s="711"/>
      <c r="AU2130" s="713"/>
      <c r="AW2130" s="712"/>
      <c r="BY2130" s="714"/>
      <c r="BZ2130" s="715"/>
      <c r="CA2130" s="716"/>
      <c r="CB2130" s="717"/>
      <c r="CC2130" s="717"/>
      <c r="CD2130" s="717"/>
      <c r="CE2130" s="717"/>
      <c r="CF2130" s="717"/>
      <c r="CG2130" s="717"/>
      <c r="CH2130" s="717"/>
      <c r="CI2130" s="717"/>
      <c r="CJ2130" s="717"/>
      <c r="CK2130" s="717"/>
      <c r="CL2130" s="717"/>
      <c r="CM2130" s="717"/>
      <c r="CN2130" s="717"/>
      <c r="CO2130" s="717"/>
      <c r="CP2130" s="717"/>
      <c r="CQ2130" s="717"/>
      <c r="CR2130" s="717"/>
      <c r="CS2130" s="717"/>
      <c r="CT2130" s="717"/>
      <c r="CU2130" s="717"/>
      <c r="CV2130" s="717"/>
      <c r="CW2130" s="717"/>
      <c r="CX2130" s="717"/>
      <c r="CY2130" s="717"/>
      <c r="CZ2130" s="717"/>
      <c r="DA2130" s="717"/>
      <c r="DB2130" s="717"/>
      <c r="DC2130" s="717"/>
      <c r="DD2130" s="717"/>
      <c r="DE2130" s="717"/>
      <c r="DF2130" s="717"/>
      <c r="DG2130" s="717"/>
      <c r="DH2130" s="717"/>
      <c r="DI2130" s="717"/>
      <c r="DJ2130" s="717"/>
      <c r="DM2130" s="711"/>
      <c r="DN2130" s="711"/>
      <c r="DO2130" s="711"/>
      <c r="DP2130" s="711"/>
      <c r="DQ2130" s="711"/>
    </row>
    <row r="2131" spans="13:121" s="709" customFormat="1" hidden="1">
      <c r="M2131" s="710"/>
      <c r="P2131" s="711"/>
      <c r="Q2131" s="712"/>
      <c r="U2131" s="711"/>
      <c r="V2131" s="711"/>
      <c r="W2131" s="711"/>
      <c r="X2131" s="711"/>
      <c r="Y2131" s="711"/>
      <c r="Z2131" s="711"/>
      <c r="AU2131" s="713"/>
      <c r="AW2131" s="712"/>
      <c r="BY2131" s="714"/>
      <c r="BZ2131" s="715"/>
      <c r="CA2131" s="716"/>
      <c r="CB2131" s="717"/>
      <c r="CC2131" s="717"/>
      <c r="CD2131" s="717"/>
      <c r="CE2131" s="717"/>
      <c r="CF2131" s="717"/>
      <c r="CG2131" s="717"/>
      <c r="CH2131" s="717"/>
      <c r="CI2131" s="717"/>
      <c r="CJ2131" s="717"/>
      <c r="CK2131" s="717"/>
      <c r="CL2131" s="717"/>
      <c r="CM2131" s="717"/>
      <c r="CN2131" s="717"/>
      <c r="CO2131" s="717"/>
      <c r="CP2131" s="717"/>
      <c r="CQ2131" s="717"/>
      <c r="CR2131" s="717"/>
      <c r="CS2131" s="717"/>
      <c r="CT2131" s="717"/>
      <c r="CU2131" s="717"/>
      <c r="CV2131" s="717"/>
      <c r="CW2131" s="717"/>
      <c r="CX2131" s="717"/>
      <c r="CY2131" s="717"/>
      <c r="CZ2131" s="717"/>
      <c r="DA2131" s="717"/>
      <c r="DB2131" s="717"/>
      <c r="DC2131" s="717"/>
      <c r="DD2131" s="717"/>
      <c r="DE2131" s="717"/>
      <c r="DF2131" s="717"/>
      <c r="DG2131" s="717"/>
      <c r="DH2131" s="717"/>
      <c r="DI2131" s="717"/>
      <c r="DJ2131" s="717"/>
      <c r="DM2131" s="711"/>
      <c r="DN2131" s="711"/>
      <c r="DO2131" s="711"/>
      <c r="DP2131" s="711"/>
      <c r="DQ2131" s="711"/>
    </row>
    <row r="2132" spans="13:121" s="709" customFormat="1" hidden="1">
      <c r="M2132" s="710"/>
      <c r="P2132" s="711"/>
      <c r="Q2132" s="712"/>
      <c r="U2132" s="711"/>
      <c r="V2132" s="711"/>
      <c r="W2132" s="711"/>
      <c r="X2132" s="711"/>
      <c r="Y2132" s="711"/>
      <c r="Z2132" s="711"/>
      <c r="AU2132" s="713"/>
      <c r="AW2132" s="712"/>
      <c r="BY2132" s="714"/>
      <c r="BZ2132" s="715"/>
      <c r="CA2132" s="716"/>
      <c r="CB2132" s="717"/>
      <c r="CC2132" s="717"/>
      <c r="CD2132" s="717"/>
      <c r="CE2132" s="717"/>
      <c r="CF2132" s="717"/>
      <c r="CG2132" s="717"/>
      <c r="CH2132" s="717"/>
      <c r="CI2132" s="717"/>
      <c r="CJ2132" s="717"/>
      <c r="CK2132" s="717"/>
      <c r="CL2132" s="717"/>
      <c r="CM2132" s="717"/>
      <c r="CN2132" s="717"/>
      <c r="CO2132" s="717"/>
      <c r="CP2132" s="717"/>
      <c r="CQ2132" s="717"/>
      <c r="CR2132" s="717"/>
      <c r="CS2132" s="717"/>
      <c r="CT2132" s="717"/>
      <c r="CU2132" s="717"/>
      <c r="CV2132" s="717"/>
      <c r="CW2132" s="717"/>
      <c r="CX2132" s="717"/>
      <c r="CY2132" s="717"/>
      <c r="CZ2132" s="717"/>
      <c r="DA2132" s="717"/>
      <c r="DB2132" s="717"/>
      <c r="DC2132" s="717"/>
      <c r="DD2132" s="717"/>
      <c r="DE2132" s="717"/>
      <c r="DF2132" s="717"/>
      <c r="DG2132" s="717"/>
      <c r="DH2132" s="717"/>
      <c r="DI2132" s="717"/>
      <c r="DJ2132" s="717"/>
      <c r="DM2132" s="711"/>
      <c r="DN2132" s="711"/>
      <c r="DO2132" s="711"/>
      <c r="DP2132" s="711"/>
      <c r="DQ2132" s="711"/>
    </row>
    <row r="2133" spans="13:121" s="709" customFormat="1" hidden="1">
      <c r="M2133" s="710"/>
      <c r="P2133" s="711"/>
      <c r="Q2133" s="712"/>
      <c r="U2133" s="711"/>
      <c r="V2133" s="711"/>
      <c r="W2133" s="711"/>
      <c r="X2133" s="711"/>
      <c r="Y2133" s="711"/>
      <c r="Z2133" s="711"/>
      <c r="AU2133" s="713"/>
      <c r="AW2133" s="712"/>
      <c r="BY2133" s="714"/>
      <c r="BZ2133" s="715"/>
      <c r="CA2133" s="716"/>
      <c r="CB2133" s="717"/>
      <c r="CC2133" s="717"/>
      <c r="CD2133" s="717"/>
      <c r="CE2133" s="717"/>
      <c r="CF2133" s="717"/>
      <c r="CG2133" s="717"/>
      <c r="CH2133" s="717"/>
      <c r="CI2133" s="717"/>
      <c r="CJ2133" s="717"/>
      <c r="CK2133" s="717"/>
      <c r="CL2133" s="717"/>
      <c r="CM2133" s="717"/>
      <c r="CN2133" s="717"/>
      <c r="CO2133" s="717"/>
      <c r="CP2133" s="717"/>
      <c r="CQ2133" s="717"/>
      <c r="CR2133" s="717"/>
      <c r="CS2133" s="717"/>
      <c r="CT2133" s="717"/>
      <c r="CU2133" s="717"/>
      <c r="CV2133" s="717"/>
      <c r="CW2133" s="717"/>
      <c r="CX2133" s="717"/>
      <c r="CY2133" s="717"/>
      <c r="CZ2133" s="717"/>
      <c r="DA2133" s="717"/>
      <c r="DB2133" s="717"/>
      <c r="DC2133" s="717"/>
      <c r="DD2133" s="717"/>
      <c r="DE2133" s="717"/>
      <c r="DF2133" s="717"/>
      <c r="DG2133" s="717"/>
      <c r="DH2133" s="717"/>
      <c r="DI2133" s="717"/>
      <c r="DJ2133" s="717"/>
      <c r="DM2133" s="711"/>
      <c r="DN2133" s="711"/>
      <c r="DO2133" s="711"/>
      <c r="DP2133" s="711"/>
      <c r="DQ2133" s="711"/>
    </row>
    <row r="2134" spans="13:121" s="709" customFormat="1" hidden="1">
      <c r="M2134" s="710"/>
      <c r="P2134" s="711"/>
      <c r="Q2134" s="712"/>
      <c r="U2134" s="711"/>
      <c r="V2134" s="711"/>
      <c r="W2134" s="711"/>
      <c r="X2134" s="711"/>
      <c r="Y2134" s="711"/>
      <c r="Z2134" s="711"/>
      <c r="AU2134" s="713"/>
      <c r="AW2134" s="712"/>
      <c r="BY2134" s="714"/>
      <c r="BZ2134" s="715"/>
      <c r="CA2134" s="716"/>
      <c r="CB2134" s="717"/>
      <c r="CC2134" s="717"/>
      <c r="CD2134" s="717"/>
      <c r="CE2134" s="717"/>
      <c r="CF2134" s="717"/>
      <c r="CG2134" s="717"/>
      <c r="CH2134" s="717"/>
      <c r="CI2134" s="717"/>
      <c r="CJ2134" s="717"/>
      <c r="CK2134" s="717"/>
      <c r="CL2134" s="717"/>
      <c r="CM2134" s="717"/>
      <c r="CN2134" s="717"/>
      <c r="CO2134" s="717"/>
      <c r="CP2134" s="717"/>
      <c r="CQ2134" s="717"/>
      <c r="CR2134" s="717"/>
      <c r="CS2134" s="717"/>
      <c r="CT2134" s="717"/>
      <c r="CU2134" s="717"/>
      <c r="CV2134" s="717"/>
      <c r="CW2134" s="717"/>
      <c r="CX2134" s="717"/>
      <c r="CY2134" s="717"/>
      <c r="CZ2134" s="717"/>
      <c r="DA2134" s="717"/>
      <c r="DB2134" s="717"/>
      <c r="DC2134" s="717"/>
      <c r="DD2134" s="717"/>
      <c r="DE2134" s="717"/>
      <c r="DF2134" s="717"/>
      <c r="DG2134" s="717"/>
      <c r="DH2134" s="717"/>
      <c r="DI2134" s="717"/>
      <c r="DJ2134" s="717"/>
      <c r="DM2134" s="711"/>
      <c r="DN2134" s="711"/>
      <c r="DO2134" s="711"/>
      <c r="DP2134" s="711"/>
      <c r="DQ2134" s="711"/>
    </row>
    <row r="2135" spans="13:121" s="709" customFormat="1" hidden="1">
      <c r="M2135" s="710"/>
      <c r="P2135" s="711"/>
      <c r="Q2135" s="712"/>
      <c r="U2135" s="711"/>
      <c r="V2135" s="711"/>
      <c r="W2135" s="711"/>
      <c r="X2135" s="711"/>
      <c r="Y2135" s="711"/>
      <c r="Z2135" s="711"/>
      <c r="AU2135" s="713"/>
      <c r="AW2135" s="712"/>
      <c r="BY2135" s="714"/>
      <c r="BZ2135" s="715"/>
      <c r="CA2135" s="716"/>
      <c r="CB2135" s="717"/>
      <c r="CC2135" s="717"/>
      <c r="CD2135" s="717"/>
      <c r="CE2135" s="717"/>
      <c r="CF2135" s="717"/>
      <c r="CG2135" s="717"/>
      <c r="CH2135" s="717"/>
      <c r="CI2135" s="717"/>
      <c r="CJ2135" s="717"/>
      <c r="CK2135" s="717"/>
      <c r="CL2135" s="717"/>
      <c r="CM2135" s="717"/>
      <c r="CN2135" s="717"/>
      <c r="CO2135" s="717"/>
      <c r="CP2135" s="717"/>
      <c r="CQ2135" s="717"/>
      <c r="CR2135" s="717"/>
      <c r="CS2135" s="717"/>
      <c r="CT2135" s="717"/>
      <c r="CU2135" s="717"/>
      <c r="CV2135" s="717"/>
      <c r="CW2135" s="717"/>
      <c r="CX2135" s="717"/>
      <c r="CY2135" s="717"/>
      <c r="CZ2135" s="717"/>
      <c r="DA2135" s="717"/>
      <c r="DB2135" s="717"/>
      <c r="DC2135" s="717"/>
      <c r="DD2135" s="717"/>
      <c r="DE2135" s="717"/>
      <c r="DF2135" s="717"/>
      <c r="DG2135" s="717"/>
      <c r="DH2135" s="717"/>
      <c r="DI2135" s="717"/>
      <c r="DJ2135" s="717"/>
      <c r="DM2135" s="711"/>
      <c r="DN2135" s="711"/>
      <c r="DO2135" s="711"/>
      <c r="DP2135" s="711"/>
      <c r="DQ2135" s="711"/>
    </row>
    <row r="2136" spans="13:121" s="709" customFormat="1" hidden="1">
      <c r="M2136" s="710"/>
      <c r="P2136" s="711"/>
      <c r="Q2136" s="712"/>
      <c r="U2136" s="711"/>
      <c r="V2136" s="711"/>
      <c r="W2136" s="711"/>
      <c r="X2136" s="711"/>
      <c r="Y2136" s="711"/>
      <c r="Z2136" s="711"/>
      <c r="AU2136" s="713"/>
      <c r="AW2136" s="712"/>
      <c r="BY2136" s="714"/>
      <c r="BZ2136" s="715"/>
      <c r="CA2136" s="716"/>
      <c r="CB2136" s="717"/>
      <c r="CC2136" s="717"/>
      <c r="CD2136" s="717"/>
      <c r="CE2136" s="717"/>
      <c r="CF2136" s="717"/>
      <c r="CG2136" s="717"/>
      <c r="CH2136" s="717"/>
      <c r="CI2136" s="717"/>
      <c r="CJ2136" s="717"/>
      <c r="CK2136" s="717"/>
      <c r="CL2136" s="717"/>
      <c r="CM2136" s="717"/>
      <c r="CN2136" s="717"/>
      <c r="CO2136" s="717"/>
      <c r="CP2136" s="717"/>
      <c r="CQ2136" s="717"/>
      <c r="CR2136" s="717"/>
      <c r="CS2136" s="717"/>
      <c r="CT2136" s="717"/>
      <c r="CU2136" s="717"/>
      <c r="CV2136" s="717"/>
      <c r="CW2136" s="717"/>
      <c r="CX2136" s="717"/>
      <c r="CY2136" s="717"/>
      <c r="CZ2136" s="717"/>
      <c r="DA2136" s="717"/>
      <c r="DB2136" s="717"/>
      <c r="DC2136" s="717"/>
      <c r="DD2136" s="717"/>
      <c r="DE2136" s="717"/>
      <c r="DF2136" s="717"/>
      <c r="DG2136" s="717"/>
      <c r="DH2136" s="717"/>
      <c r="DI2136" s="717"/>
      <c r="DJ2136" s="717"/>
      <c r="DM2136" s="711"/>
      <c r="DN2136" s="711"/>
      <c r="DO2136" s="711"/>
      <c r="DP2136" s="711"/>
      <c r="DQ2136" s="711"/>
    </row>
    <row r="2137" spans="13:121" s="709" customFormat="1" hidden="1">
      <c r="M2137" s="710"/>
      <c r="P2137" s="711"/>
      <c r="Q2137" s="712"/>
      <c r="U2137" s="711"/>
      <c r="V2137" s="711"/>
      <c r="W2137" s="711"/>
      <c r="X2137" s="711"/>
      <c r="Y2137" s="711"/>
      <c r="Z2137" s="711"/>
      <c r="AU2137" s="713"/>
      <c r="AW2137" s="712"/>
      <c r="BY2137" s="714"/>
      <c r="BZ2137" s="715"/>
      <c r="CA2137" s="716"/>
      <c r="CB2137" s="717"/>
      <c r="CC2137" s="717"/>
      <c r="CD2137" s="717"/>
      <c r="CE2137" s="717"/>
      <c r="CF2137" s="717"/>
      <c r="CG2137" s="717"/>
      <c r="CH2137" s="717"/>
      <c r="CI2137" s="717"/>
      <c r="CJ2137" s="717"/>
      <c r="CK2137" s="717"/>
      <c r="CL2137" s="717"/>
      <c r="CM2137" s="717"/>
      <c r="CN2137" s="717"/>
      <c r="CO2137" s="717"/>
      <c r="CP2137" s="717"/>
      <c r="CQ2137" s="717"/>
      <c r="CR2137" s="717"/>
      <c r="CS2137" s="717"/>
      <c r="CT2137" s="717"/>
      <c r="CU2137" s="717"/>
      <c r="CV2137" s="717"/>
      <c r="CW2137" s="717"/>
      <c r="CX2137" s="717"/>
      <c r="CY2137" s="717"/>
      <c r="CZ2137" s="717"/>
      <c r="DA2137" s="717"/>
      <c r="DB2137" s="717"/>
      <c r="DC2137" s="717"/>
      <c r="DD2137" s="717"/>
      <c r="DE2137" s="717"/>
      <c r="DF2137" s="717"/>
      <c r="DG2137" s="717"/>
      <c r="DH2137" s="717"/>
      <c r="DI2137" s="717"/>
      <c r="DJ2137" s="717"/>
      <c r="DM2137" s="711"/>
      <c r="DN2137" s="711"/>
      <c r="DO2137" s="711"/>
      <c r="DP2137" s="711"/>
      <c r="DQ2137" s="711"/>
    </row>
    <row r="2138" spans="13:121" s="709" customFormat="1" hidden="1">
      <c r="M2138" s="710"/>
      <c r="P2138" s="711"/>
      <c r="Q2138" s="712"/>
      <c r="U2138" s="711"/>
      <c r="V2138" s="711"/>
      <c r="W2138" s="711"/>
      <c r="X2138" s="711"/>
      <c r="Y2138" s="711"/>
      <c r="Z2138" s="711"/>
      <c r="AU2138" s="713"/>
      <c r="AW2138" s="712"/>
      <c r="BY2138" s="714"/>
      <c r="BZ2138" s="715"/>
      <c r="CA2138" s="716"/>
      <c r="CB2138" s="717"/>
      <c r="CC2138" s="717"/>
      <c r="CD2138" s="717"/>
      <c r="CE2138" s="717"/>
      <c r="CF2138" s="717"/>
      <c r="CG2138" s="717"/>
      <c r="CH2138" s="717"/>
      <c r="CI2138" s="717"/>
      <c r="CJ2138" s="717"/>
      <c r="CK2138" s="717"/>
      <c r="CL2138" s="717"/>
      <c r="CM2138" s="717"/>
      <c r="CN2138" s="717"/>
      <c r="CO2138" s="717"/>
      <c r="CP2138" s="717"/>
      <c r="CQ2138" s="717"/>
      <c r="CR2138" s="717"/>
      <c r="CS2138" s="717"/>
      <c r="CT2138" s="717"/>
      <c r="CU2138" s="717"/>
      <c r="CV2138" s="717"/>
      <c r="CW2138" s="717"/>
      <c r="CX2138" s="717"/>
      <c r="CY2138" s="717"/>
      <c r="CZ2138" s="717"/>
      <c r="DA2138" s="717"/>
      <c r="DB2138" s="717"/>
      <c r="DC2138" s="717"/>
      <c r="DD2138" s="717"/>
      <c r="DE2138" s="717"/>
      <c r="DF2138" s="717"/>
      <c r="DG2138" s="717"/>
      <c r="DH2138" s="717"/>
      <c r="DI2138" s="717"/>
      <c r="DJ2138" s="717"/>
      <c r="DM2138" s="711"/>
      <c r="DN2138" s="711"/>
      <c r="DO2138" s="711"/>
      <c r="DP2138" s="711"/>
      <c r="DQ2138" s="711"/>
    </row>
    <row r="2139" spans="13:121" s="709" customFormat="1" hidden="1">
      <c r="M2139" s="710"/>
      <c r="P2139" s="711"/>
      <c r="Q2139" s="712"/>
      <c r="U2139" s="711"/>
      <c r="V2139" s="711"/>
      <c r="W2139" s="711"/>
      <c r="X2139" s="711"/>
      <c r="Y2139" s="711"/>
      <c r="Z2139" s="711"/>
      <c r="AU2139" s="713"/>
      <c r="AW2139" s="712"/>
      <c r="BY2139" s="714"/>
      <c r="BZ2139" s="715"/>
      <c r="CA2139" s="716"/>
      <c r="CB2139" s="717"/>
      <c r="CC2139" s="717"/>
      <c r="CD2139" s="717"/>
      <c r="CE2139" s="717"/>
      <c r="CF2139" s="717"/>
      <c r="CG2139" s="717"/>
      <c r="CH2139" s="717"/>
      <c r="CI2139" s="717"/>
      <c r="CJ2139" s="717"/>
      <c r="CK2139" s="717"/>
      <c r="CL2139" s="717"/>
      <c r="CM2139" s="717"/>
      <c r="CN2139" s="717"/>
      <c r="CO2139" s="717"/>
      <c r="CP2139" s="717"/>
      <c r="CQ2139" s="717"/>
      <c r="CR2139" s="717"/>
      <c r="CS2139" s="717"/>
      <c r="CT2139" s="717"/>
      <c r="CU2139" s="717"/>
      <c r="CV2139" s="717"/>
      <c r="CW2139" s="717"/>
      <c r="CX2139" s="717"/>
      <c r="CY2139" s="717"/>
      <c r="CZ2139" s="717"/>
      <c r="DA2139" s="717"/>
      <c r="DB2139" s="717"/>
      <c r="DC2139" s="717"/>
      <c r="DD2139" s="717"/>
      <c r="DE2139" s="717"/>
      <c r="DF2139" s="717"/>
      <c r="DG2139" s="717"/>
      <c r="DH2139" s="717"/>
      <c r="DI2139" s="717"/>
      <c r="DJ2139" s="717"/>
      <c r="DM2139" s="711"/>
      <c r="DN2139" s="711"/>
      <c r="DO2139" s="711"/>
      <c r="DP2139" s="711"/>
      <c r="DQ2139" s="711"/>
    </row>
    <row r="2140" spans="13:121" s="709" customFormat="1" hidden="1">
      <c r="M2140" s="710"/>
      <c r="P2140" s="711"/>
      <c r="Q2140" s="712"/>
      <c r="U2140" s="711"/>
      <c r="V2140" s="711"/>
      <c r="W2140" s="711"/>
      <c r="X2140" s="711"/>
      <c r="Y2140" s="711"/>
      <c r="Z2140" s="711"/>
      <c r="AU2140" s="713"/>
      <c r="AW2140" s="712"/>
      <c r="BY2140" s="714"/>
      <c r="BZ2140" s="715"/>
      <c r="CA2140" s="716"/>
      <c r="CB2140" s="717"/>
      <c r="CC2140" s="717"/>
      <c r="CD2140" s="717"/>
      <c r="CE2140" s="717"/>
      <c r="CF2140" s="717"/>
      <c r="CG2140" s="717"/>
      <c r="CH2140" s="717"/>
      <c r="CI2140" s="717"/>
      <c r="CJ2140" s="717"/>
      <c r="CK2140" s="717"/>
      <c r="CL2140" s="717"/>
      <c r="CM2140" s="717"/>
      <c r="CN2140" s="717"/>
      <c r="CO2140" s="717"/>
      <c r="CP2140" s="717"/>
      <c r="CQ2140" s="717"/>
      <c r="CR2140" s="717"/>
      <c r="CS2140" s="717"/>
      <c r="CT2140" s="717"/>
      <c r="CU2140" s="717"/>
      <c r="CV2140" s="717"/>
      <c r="CW2140" s="717"/>
      <c r="CX2140" s="717"/>
      <c r="CY2140" s="717"/>
      <c r="CZ2140" s="717"/>
      <c r="DA2140" s="717"/>
      <c r="DB2140" s="717"/>
      <c r="DC2140" s="717"/>
      <c r="DD2140" s="717"/>
      <c r="DE2140" s="717"/>
      <c r="DF2140" s="717"/>
      <c r="DG2140" s="717"/>
      <c r="DH2140" s="717"/>
      <c r="DI2140" s="717"/>
      <c r="DJ2140" s="717"/>
      <c r="DM2140" s="711"/>
      <c r="DN2140" s="711"/>
      <c r="DO2140" s="711"/>
      <c r="DP2140" s="711"/>
      <c r="DQ2140" s="711"/>
    </row>
    <row r="2141" spans="13:121" s="709" customFormat="1" hidden="1">
      <c r="M2141" s="710"/>
      <c r="P2141" s="711"/>
      <c r="Q2141" s="712"/>
      <c r="U2141" s="711"/>
      <c r="V2141" s="711"/>
      <c r="W2141" s="711"/>
      <c r="X2141" s="711"/>
      <c r="Y2141" s="711"/>
      <c r="Z2141" s="711"/>
      <c r="AU2141" s="713"/>
      <c r="AW2141" s="712"/>
      <c r="BY2141" s="714"/>
      <c r="BZ2141" s="715"/>
      <c r="CA2141" s="716"/>
      <c r="CB2141" s="717"/>
      <c r="CC2141" s="717"/>
      <c r="CD2141" s="717"/>
      <c r="CE2141" s="717"/>
      <c r="CF2141" s="717"/>
      <c r="CG2141" s="717"/>
      <c r="CH2141" s="717"/>
      <c r="CI2141" s="717"/>
      <c r="CJ2141" s="717"/>
      <c r="CK2141" s="717"/>
      <c r="CL2141" s="717"/>
      <c r="CM2141" s="717"/>
      <c r="CN2141" s="717"/>
      <c r="CO2141" s="717"/>
      <c r="CP2141" s="717"/>
      <c r="CQ2141" s="717"/>
      <c r="CR2141" s="717"/>
      <c r="CS2141" s="717"/>
      <c r="CT2141" s="717"/>
      <c r="CU2141" s="717"/>
      <c r="CV2141" s="717"/>
      <c r="CW2141" s="717"/>
      <c r="CX2141" s="717"/>
      <c r="CY2141" s="717"/>
      <c r="CZ2141" s="717"/>
      <c r="DA2141" s="717"/>
      <c r="DB2141" s="717"/>
      <c r="DC2141" s="717"/>
      <c r="DD2141" s="717"/>
      <c r="DE2141" s="717"/>
      <c r="DF2141" s="717"/>
      <c r="DG2141" s="717"/>
      <c r="DH2141" s="717"/>
      <c r="DI2141" s="717"/>
      <c r="DJ2141" s="717"/>
      <c r="DM2141" s="711"/>
      <c r="DN2141" s="711"/>
      <c r="DO2141" s="711"/>
      <c r="DP2141" s="711"/>
      <c r="DQ2141" s="711"/>
    </row>
    <row r="2142" spans="13:121" s="709" customFormat="1" hidden="1">
      <c r="M2142" s="710"/>
      <c r="P2142" s="711"/>
      <c r="Q2142" s="712"/>
      <c r="U2142" s="711"/>
      <c r="V2142" s="711"/>
      <c r="W2142" s="711"/>
      <c r="X2142" s="711"/>
      <c r="Y2142" s="711"/>
      <c r="Z2142" s="711"/>
      <c r="AU2142" s="713"/>
      <c r="AW2142" s="712"/>
      <c r="BY2142" s="714"/>
      <c r="BZ2142" s="715"/>
      <c r="CA2142" s="716"/>
      <c r="CB2142" s="717"/>
      <c r="CC2142" s="717"/>
      <c r="CD2142" s="717"/>
      <c r="CE2142" s="717"/>
      <c r="CF2142" s="717"/>
      <c r="CG2142" s="717"/>
      <c r="CH2142" s="717"/>
      <c r="CI2142" s="717"/>
      <c r="CJ2142" s="717"/>
      <c r="CK2142" s="717"/>
      <c r="CL2142" s="717"/>
      <c r="CM2142" s="717"/>
      <c r="CN2142" s="717"/>
      <c r="CO2142" s="717"/>
      <c r="CP2142" s="717"/>
      <c r="CQ2142" s="717"/>
      <c r="CR2142" s="717"/>
      <c r="CS2142" s="717"/>
      <c r="CT2142" s="717"/>
      <c r="CU2142" s="717"/>
      <c r="CV2142" s="717"/>
      <c r="CW2142" s="717"/>
      <c r="CX2142" s="717"/>
      <c r="CY2142" s="717"/>
      <c r="CZ2142" s="717"/>
      <c r="DA2142" s="717"/>
      <c r="DB2142" s="717"/>
      <c r="DC2142" s="717"/>
      <c r="DD2142" s="717"/>
      <c r="DE2142" s="717"/>
      <c r="DF2142" s="717"/>
      <c r="DG2142" s="717"/>
      <c r="DH2142" s="717"/>
      <c r="DI2142" s="717"/>
      <c r="DJ2142" s="717"/>
      <c r="DM2142" s="711"/>
      <c r="DN2142" s="711"/>
      <c r="DO2142" s="711"/>
      <c r="DP2142" s="711"/>
      <c r="DQ2142" s="711"/>
    </row>
    <row r="2143" spans="13:121" s="709" customFormat="1" hidden="1">
      <c r="M2143" s="710"/>
      <c r="P2143" s="711"/>
      <c r="Q2143" s="712"/>
      <c r="U2143" s="711"/>
      <c r="V2143" s="711"/>
      <c r="W2143" s="711"/>
      <c r="X2143" s="711"/>
      <c r="Y2143" s="711"/>
      <c r="Z2143" s="711"/>
      <c r="AU2143" s="713"/>
      <c r="AW2143" s="712"/>
      <c r="BY2143" s="714"/>
      <c r="BZ2143" s="715"/>
      <c r="CA2143" s="716"/>
      <c r="CB2143" s="717"/>
      <c r="CC2143" s="717"/>
      <c r="CD2143" s="717"/>
      <c r="CE2143" s="717"/>
      <c r="CF2143" s="717"/>
      <c r="CG2143" s="717"/>
      <c r="CH2143" s="717"/>
      <c r="CI2143" s="717"/>
      <c r="CJ2143" s="717"/>
      <c r="CK2143" s="717"/>
      <c r="CL2143" s="717"/>
      <c r="CM2143" s="717"/>
      <c r="CN2143" s="717"/>
      <c r="CO2143" s="717"/>
      <c r="CP2143" s="717"/>
      <c r="CQ2143" s="717"/>
      <c r="CR2143" s="717"/>
      <c r="CS2143" s="717"/>
      <c r="CT2143" s="717"/>
      <c r="CU2143" s="717"/>
      <c r="CV2143" s="717"/>
      <c r="CW2143" s="717"/>
      <c r="CX2143" s="717"/>
      <c r="CY2143" s="717"/>
      <c r="CZ2143" s="717"/>
      <c r="DA2143" s="717"/>
      <c r="DB2143" s="717"/>
      <c r="DC2143" s="717"/>
      <c r="DD2143" s="717"/>
      <c r="DE2143" s="717"/>
      <c r="DF2143" s="717"/>
      <c r="DG2143" s="717"/>
      <c r="DH2143" s="717"/>
      <c r="DI2143" s="717"/>
      <c r="DJ2143" s="717"/>
      <c r="DM2143" s="711"/>
      <c r="DN2143" s="711"/>
      <c r="DO2143" s="711"/>
      <c r="DP2143" s="711"/>
      <c r="DQ2143" s="711"/>
    </row>
    <row r="2144" spans="13:121" s="709" customFormat="1" hidden="1">
      <c r="M2144" s="710"/>
      <c r="P2144" s="711"/>
      <c r="Q2144" s="712"/>
      <c r="U2144" s="711"/>
      <c r="V2144" s="711"/>
      <c r="W2144" s="711"/>
      <c r="X2144" s="711"/>
      <c r="Y2144" s="711"/>
      <c r="Z2144" s="711"/>
      <c r="AU2144" s="713"/>
      <c r="AW2144" s="712"/>
      <c r="BY2144" s="714"/>
      <c r="BZ2144" s="715"/>
      <c r="CA2144" s="716"/>
      <c r="CB2144" s="717"/>
      <c r="CC2144" s="717"/>
      <c r="CD2144" s="717"/>
      <c r="CE2144" s="717"/>
      <c r="CF2144" s="717"/>
      <c r="CG2144" s="717"/>
      <c r="CH2144" s="717"/>
      <c r="CI2144" s="717"/>
      <c r="CJ2144" s="717"/>
      <c r="CK2144" s="717"/>
      <c r="CL2144" s="717"/>
      <c r="CM2144" s="717"/>
      <c r="CN2144" s="717"/>
      <c r="CO2144" s="717"/>
      <c r="CP2144" s="717"/>
      <c r="CQ2144" s="717"/>
      <c r="CR2144" s="717"/>
      <c r="CS2144" s="717"/>
      <c r="CT2144" s="717"/>
      <c r="CU2144" s="717"/>
      <c r="CV2144" s="717"/>
      <c r="CW2144" s="717"/>
      <c r="CX2144" s="717"/>
      <c r="CY2144" s="717"/>
      <c r="CZ2144" s="717"/>
      <c r="DA2144" s="717"/>
      <c r="DB2144" s="717"/>
      <c r="DC2144" s="717"/>
      <c r="DD2144" s="717"/>
      <c r="DE2144" s="717"/>
      <c r="DF2144" s="717"/>
      <c r="DG2144" s="717"/>
      <c r="DH2144" s="717"/>
      <c r="DI2144" s="717"/>
      <c r="DJ2144" s="717"/>
      <c r="DM2144" s="711"/>
      <c r="DN2144" s="711"/>
      <c r="DO2144" s="711"/>
      <c r="DP2144" s="711"/>
      <c r="DQ2144" s="711"/>
    </row>
    <row r="2145" spans="13:121" s="709" customFormat="1" hidden="1">
      <c r="M2145" s="710"/>
      <c r="P2145" s="711"/>
      <c r="Q2145" s="712"/>
      <c r="U2145" s="711"/>
      <c r="V2145" s="711"/>
      <c r="W2145" s="711"/>
      <c r="X2145" s="711"/>
      <c r="Y2145" s="711"/>
      <c r="Z2145" s="711"/>
      <c r="AU2145" s="713"/>
      <c r="AW2145" s="712"/>
      <c r="BY2145" s="714"/>
      <c r="BZ2145" s="715"/>
      <c r="CA2145" s="716"/>
      <c r="CB2145" s="717"/>
      <c r="CC2145" s="717"/>
      <c r="CD2145" s="717"/>
      <c r="CE2145" s="717"/>
      <c r="CF2145" s="717"/>
      <c r="CG2145" s="717"/>
      <c r="CH2145" s="717"/>
      <c r="CI2145" s="717"/>
      <c r="CJ2145" s="717"/>
      <c r="CK2145" s="717"/>
      <c r="CL2145" s="717"/>
      <c r="CM2145" s="717"/>
      <c r="CN2145" s="717"/>
      <c r="CO2145" s="717"/>
      <c r="CP2145" s="717"/>
      <c r="CQ2145" s="717"/>
      <c r="CR2145" s="717"/>
      <c r="CS2145" s="717"/>
      <c r="CT2145" s="717"/>
      <c r="CU2145" s="717"/>
      <c r="CV2145" s="717"/>
      <c r="CW2145" s="717"/>
      <c r="CX2145" s="717"/>
      <c r="CY2145" s="717"/>
      <c r="CZ2145" s="717"/>
      <c r="DA2145" s="717"/>
      <c r="DB2145" s="717"/>
      <c r="DC2145" s="717"/>
      <c r="DD2145" s="717"/>
      <c r="DE2145" s="717"/>
      <c r="DF2145" s="717"/>
      <c r="DG2145" s="717"/>
      <c r="DH2145" s="717"/>
      <c r="DI2145" s="717"/>
      <c r="DJ2145" s="717"/>
      <c r="DM2145" s="711"/>
      <c r="DN2145" s="711"/>
      <c r="DO2145" s="711"/>
      <c r="DP2145" s="711"/>
      <c r="DQ2145" s="711"/>
    </row>
    <row r="2146" spans="13:121" s="709" customFormat="1" hidden="1">
      <c r="M2146" s="710"/>
      <c r="P2146" s="711"/>
      <c r="Q2146" s="712"/>
      <c r="U2146" s="711"/>
      <c r="V2146" s="711"/>
      <c r="W2146" s="711"/>
      <c r="X2146" s="711"/>
      <c r="Y2146" s="711"/>
      <c r="Z2146" s="711"/>
      <c r="AU2146" s="713"/>
      <c r="AW2146" s="712"/>
      <c r="BY2146" s="714"/>
      <c r="BZ2146" s="715"/>
      <c r="CA2146" s="716"/>
      <c r="CB2146" s="717"/>
      <c r="CC2146" s="717"/>
      <c r="CD2146" s="717"/>
      <c r="CE2146" s="717"/>
      <c r="CF2146" s="717"/>
      <c r="CG2146" s="717"/>
      <c r="CH2146" s="717"/>
      <c r="CI2146" s="717"/>
      <c r="CJ2146" s="717"/>
      <c r="CK2146" s="717"/>
      <c r="CL2146" s="717"/>
      <c r="CM2146" s="717"/>
      <c r="CN2146" s="717"/>
      <c r="CO2146" s="717"/>
      <c r="CP2146" s="717"/>
      <c r="CQ2146" s="717"/>
      <c r="CR2146" s="717"/>
      <c r="CS2146" s="717"/>
      <c r="CT2146" s="717"/>
      <c r="CU2146" s="717"/>
      <c r="CV2146" s="717"/>
      <c r="CW2146" s="717"/>
      <c r="CX2146" s="717"/>
      <c r="CY2146" s="717"/>
      <c r="CZ2146" s="717"/>
      <c r="DA2146" s="717"/>
      <c r="DB2146" s="717"/>
      <c r="DC2146" s="717"/>
      <c r="DD2146" s="717"/>
      <c r="DE2146" s="717"/>
      <c r="DF2146" s="717"/>
      <c r="DG2146" s="717"/>
      <c r="DH2146" s="717"/>
      <c r="DI2146" s="717"/>
      <c r="DJ2146" s="717"/>
      <c r="DM2146" s="711"/>
      <c r="DN2146" s="711"/>
      <c r="DO2146" s="711"/>
      <c r="DP2146" s="711"/>
      <c r="DQ2146" s="711"/>
    </row>
    <row r="2147" spans="13:121" s="709" customFormat="1" hidden="1">
      <c r="M2147" s="710"/>
      <c r="P2147" s="711"/>
      <c r="Q2147" s="712"/>
      <c r="U2147" s="711"/>
      <c r="V2147" s="711"/>
      <c r="W2147" s="711"/>
      <c r="X2147" s="711"/>
      <c r="Y2147" s="711"/>
      <c r="Z2147" s="711"/>
      <c r="AU2147" s="713"/>
      <c r="AW2147" s="712"/>
      <c r="BY2147" s="714"/>
      <c r="BZ2147" s="715"/>
      <c r="CA2147" s="716"/>
      <c r="CB2147" s="717"/>
      <c r="CC2147" s="717"/>
      <c r="CD2147" s="717"/>
      <c r="CE2147" s="717"/>
      <c r="CF2147" s="717"/>
      <c r="CG2147" s="717"/>
      <c r="CH2147" s="717"/>
      <c r="CI2147" s="717"/>
      <c r="CJ2147" s="717"/>
      <c r="CK2147" s="717"/>
      <c r="CL2147" s="717"/>
      <c r="CM2147" s="717"/>
      <c r="CN2147" s="717"/>
      <c r="CO2147" s="717"/>
      <c r="CP2147" s="717"/>
      <c r="CQ2147" s="717"/>
      <c r="CR2147" s="717"/>
      <c r="CS2147" s="717"/>
      <c r="CT2147" s="717"/>
      <c r="CU2147" s="717"/>
      <c r="CV2147" s="717"/>
      <c r="CW2147" s="717"/>
      <c r="CX2147" s="717"/>
      <c r="CY2147" s="717"/>
      <c r="CZ2147" s="717"/>
      <c r="DA2147" s="717"/>
      <c r="DB2147" s="717"/>
      <c r="DC2147" s="717"/>
      <c r="DD2147" s="717"/>
      <c r="DE2147" s="717"/>
      <c r="DF2147" s="717"/>
      <c r="DG2147" s="717"/>
      <c r="DH2147" s="717"/>
      <c r="DI2147" s="717"/>
      <c r="DJ2147" s="717"/>
      <c r="DM2147" s="711"/>
      <c r="DN2147" s="711"/>
      <c r="DO2147" s="711"/>
      <c r="DP2147" s="711"/>
      <c r="DQ2147" s="711"/>
    </row>
    <row r="2148" spans="13:121" s="709" customFormat="1" hidden="1">
      <c r="M2148" s="710"/>
      <c r="P2148" s="711"/>
      <c r="Q2148" s="712"/>
      <c r="U2148" s="711"/>
      <c r="V2148" s="711"/>
      <c r="W2148" s="711"/>
      <c r="X2148" s="711"/>
      <c r="Y2148" s="711"/>
      <c r="Z2148" s="711"/>
      <c r="AU2148" s="713"/>
      <c r="AW2148" s="712"/>
      <c r="BY2148" s="714"/>
      <c r="BZ2148" s="715"/>
      <c r="CA2148" s="716"/>
      <c r="CB2148" s="717"/>
      <c r="CC2148" s="717"/>
      <c r="CD2148" s="717"/>
      <c r="CE2148" s="717"/>
      <c r="CF2148" s="717"/>
      <c r="CG2148" s="717"/>
      <c r="CH2148" s="717"/>
      <c r="CI2148" s="717"/>
      <c r="CJ2148" s="717"/>
      <c r="CK2148" s="717"/>
      <c r="CL2148" s="717"/>
      <c r="CM2148" s="717"/>
      <c r="CN2148" s="717"/>
      <c r="CO2148" s="717"/>
      <c r="CP2148" s="717"/>
      <c r="CQ2148" s="717"/>
      <c r="CR2148" s="717"/>
      <c r="CS2148" s="717"/>
      <c r="CT2148" s="717"/>
      <c r="CU2148" s="717"/>
      <c r="CV2148" s="717"/>
      <c r="CW2148" s="717"/>
      <c r="CX2148" s="717"/>
      <c r="CY2148" s="717"/>
      <c r="CZ2148" s="717"/>
      <c r="DA2148" s="717"/>
      <c r="DB2148" s="717"/>
      <c r="DC2148" s="717"/>
      <c r="DD2148" s="717"/>
      <c r="DE2148" s="717"/>
      <c r="DF2148" s="717"/>
      <c r="DG2148" s="717"/>
      <c r="DH2148" s="717"/>
      <c r="DI2148" s="717"/>
      <c r="DJ2148" s="717"/>
      <c r="DM2148" s="711"/>
      <c r="DN2148" s="711"/>
      <c r="DO2148" s="711"/>
      <c r="DP2148" s="711"/>
      <c r="DQ2148" s="711"/>
    </row>
    <row r="2149" spans="13:121" s="709" customFormat="1" hidden="1">
      <c r="M2149" s="710"/>
      <c r="P2149" s="711"/>
      <c r="Q2149" s="712"/>
      <c r="U2149" s="711"/>
      <c r="V2149" s="711"/>
      <c r="W2149" s="711"/>
      <c r="X2149" s="711"/>
      <c r="Y2149" s="711"/>
      <c r="Z2149" s="711"/>
      <c r="AU2149" s="713"/>
      <c r="AW2149" s="712"/>
      <c r="BY2149" s="714"/>
      <c r="BZ2149" s="715"/>
      <c r="CA2149" s="716"/>
      <c r="CB2149" s="717"/>
      <c r="CC2149" s="717"/>
      <c r="CD2149" s="717"/>
      <c r="CE2149" s="717"/>
      <c r="CF2149" s="717"/>
      <c r="CG2149" s="717"/>
      <c r="CH2149" s="717"/>
      <c r="CI2149" s="717"/>
      <c r="CJ2149" s="717"/>
      <c r="CK2149" s="717"/>
      <c r="CL2149" s="717"/>
      <c r="CM2149" s="717"/>
      <c r="CN2149" s="717"/>
      <c r="CO2149" s="717"/>
      <c r="CP2149" s="717"/>
      <c r="CQ2149" s="717"/>
      <c r="CR2149" s="717"/>
      <c r="CS2149" s="717"/>
      <c r="CT2149" s="717"/>
      <c r="CU2149" s="717"/>
      <c r="CV2149" s="717"/>
      <c r="CW2149" s="717"/>
      <c r="CX2149" s="717"/>
      <c r="CY2149" s="717"/>
      <c r="CZ2149" s="717"/>
      <c r="DA2149" s="717"/>
      <c r="DB2149" s="717"/>
      <c r="DC2149" s="717"/>
      <c r="DD2149" s="717"/>
      <c r="DE2149" s="717"/>
      <c r="DF2149" s="717"/>
      <c r="DG2149" s="717"/>
      <c r="DH2149" s="717"/>
      <c r="DI2149" s="717"/>
      <c r="DJ2149" s="717"/>
      <c r="DM2149" s="711"/>
      <c r="DN2149" s="711"/>
      <c r="DO2149" s="711"/>
      <c r="DP2149" s="711"/>
      <c r="DQ2149" s="711"/>
    </row>
    <row r="2150" spans="13:121" s="709" customFormat="1" hidden="1">
      <c r="M2150" s="710"/>
      <c r="P2150" s="711"/>
      <c r="Q2150" s="712"/>
      <c r="U2150" s="711"/>
      <c r="V2150" s="711"/>
      <c r="W2150" s="711"/>
      <c r="X2150" s="711"/>
      <c r="Y2150" s="711"/>
      <c r="Z2150" s="711"/>
      <c r="AU2150" s="713"/>
      <c r="AW2150" s="712"/>
      <c r="BY2150" s="714"/>
      <c r="BZ2150" s="715"/>
      <c r="CA2150" s="716"/>
      <c r="CB2150" s="717"/>
      <c r="CC2150" s="717"/>
      <c r="CD2150" s="717"/>
      <c r="CE2150" s="717"/>
      <c r="CF2150" s="717"/>
      <c r="CG2150" s="717"/>
      <c r="CH2150" s="717"/>
      <c r="CI2150" s="717"/>
      <c r="CJ2150" s="717"/>
      <c r="CK2150" s="717"/>
      <c r="CL2150" s="717"/>
      <c r="CM2150" s="717"/>
      <c r="CN2150" s="717"/>
      <c r="CO2150" s="717"/>
      <c r="CP2150" s="717"/>
      <c r="CQ2150" s="717"/>
      <c r="CR2150" s="717"/>
      <c r="CS2150" s="717"/>
      <c r="CT2150" s="717"/>
      <c r="CU2150" s="717"/>
      <c r="CV2150" s="717"/>
      <c r="CW2150" s="717"/>
      <c r="CX2150" s="717"/>
      <c r="CY2150" s="717"/>
      <c r="CZ2150" s="717"/>
      <c r="DA2150" s="717"/>
      <c r="DB2150" s="717"/>
      <c r="DC2150" s="717"/>
      <c r="DD2150" s="717"/>
      <c r="DE2150" s="717"/>
      <c r="DF2150" s="717"/>
      <c r="DG2150" s="717"/>
      <c r="DH2150" s="717"/>
      <c r="DI2150" s="717"/>
      <c r="DJ2150" s="717"/>
      <c r="DM2150" s="711"/>
      <c r="DN2150" s="711"/>
      <c r="DO2150" s="711"/>
      <c r="DP2150" s="711"/>
      <c r="DQ2150" s="711"/>
    </row>
    <row r="2151" spans="13:121" s="709" customFormat="1" hidden="1">
      <c r="M2151" s="710"/>
      <c r="P2151" s="711"/>
      <c r="Q2151" s="712"/>
      <c r="U2151" s="711"/>
      <c r="V2151" s="711"/>
      <c r="W2151" s="711"/>
      <c r="X2151" s="711"/>
      <c r="Y2151" s="711"/>
      <c r="Z2151" s="711"/>
      <c r="AU2151" s="713"/>
      <c r="AW2151" s="712"/>
      <c r="BY2151" s="714"/>
      <c r="BZ2151" s="715"/>
      <c r="CA2151" s="716"/>
      <c r="CB2151" s="717"/>
      <c r="CC2151" s="717"/>
      <c r="CD2151" s="717"/>
      <c r="CE2151" s="717"/>
      <c r="CF2151" s="717"/>
      <c r="CG2151" s="717"/>
      <c r="CH2151" s="717"/>
      <c r="CI2151" s="717"/>
      <c r="CJ2151" s="717"/>
      <c r="CK2151" s="717"/>
      <c r="CL2151" s="717"/>
      <c r="CM2151" s="717"/>
      <c r="CN2151" s="717"/>
      <c r="CO2151" s="717"/>
      <c r="CP2151" s="717"/>
      <c r="CQ2151" s="717"/>
      <c r="CR2151" s="717"/>
      <c r="CS2151" s="717"/>
      <c r="CT2151" s="717"/>
      <c r="CU2151" s="717"/>
      <c r="CV2151" s="717"/>
      <c r="CW2151" s="717"/>
      <c r="CX2151" s="717"/>
      <c r="CY2151" s="717"/>
      <c r="CZ2151" s="717"/>
      <c r="DA2151" s="717"/>
      <c r="DB2151" s="717"/>
      <c r="DC2151" s="717"/>
      <c r="DD2151" s="717"/>
      <c r="DE2151" s="717"/>
      <c r="DF2151" s="717"/>
      <c r="DG2151" s="717"/>
      <c r="DH2151" s="717"/>
      <c r="DI2151" s="717"/>
      <c r="DJ2151" s="717"/>
      <c r="DM2151" s="711"/>
      <c r="DN2151" s="711"/>
      <c r="DO2151" s="711"/>
      <c r="DP2151" s="711"/>
      <c r="DQ2151" s="711"/>
    </row>
    <row r="2152" spans="13:121" s="709" customFormat="1" hidden="1">
      <c r="M2152" s="710"/>
      <c r="P2152" s="711"/>
      <c r="Q2152" s="712"/>
      <c r="U2152" s="711"/>
      <c r="V2152" s="711"/>
      <c r="W2152" s="711"/>
      <c r="X2152" s="711"/>
      <c r="Y2152" s="711"/>
      <c r="Z2152" s="711"/>
      <c r="AU2152" s="713"/>
      <c r="AW2152" s="712"/>
      <c r="BY2152" s="714"/>
      <c r="BZ2152" s="715"/>
      <c r="CA2152" s="716"/>
      <c r="CB2152" s="717"/>
      <c r="CC2152" s="717"/>
      <c r="CD2152" s="717"/>
      <c r="CE2152" s="717"/>
      <c r="CF2152" s="717"/>
      <c r="CG2152" s="717"/>
      <c r="CH2152" s="717"/>
      <c r="CI2152" s="717"/>
      <c r="CJ2152" s="717"/>
      <c r="CK2152" s="717"/>
      <c r="CL2152" s="717"/>
      <c r="CM2152" s="717"/>
      <c r="CN2152" s="717"/>
      <c r="CO2152" s="717"/>
      <c r="CP2152" s="717"/>
      <c r="CQ2152" s="717"/>
      <c r="CR2152" s="717"/>
      <c r="CS2152" s="717"/>
      <c r="CT2152" s="717"/>
      <c r="CU2152" s="717"/>
      <c r="CV2152" s="717"/>
      <c r="CW2152" s="717"/>
      <c r="CX2152" s="717"/>
      <c r="CY2152" s="717"/>
      <c r="CZ2152" s="717"/>
      <c r="DA2152" s="717"/>
      <c r="DB2152" s="717"/>
      <c r="DC2152" s="717"/>
      <c r="DD2152" s="717"/>
      <c r="DE2152" s="717"/>
      <c r="DF2152" s="717"/>
      <c r="DG2152" s="717"/>
      <c r="DH2152" s="717"/>
      <c r="DI2152" s="717"/>
      <c r="DJ2152" s="717"/>
      <c r="DM2152" s="711"/>
      <c r="DN2152" s="711"/>
      <c r="DO2152" s="711"/>
      <c r="DP2152" s="711"/>
      <c r="DQ2152" s="711"/>
    </row>
    <row r="2153" spans="13:121" s="709" customFormat="1" hidden="1">
      <c r="M2153" s="710"/>
      <c r="P2153" s="711"/>
      <c r="Q2153" s="712"/>
      <c r="U2153" s="711"/>
      <c r="V2153" s="711"/>
      <c r="W2153" s="711"/>
      <c r="X2153" s="711"/>
      <c r="Y2153" s="711"/>
      <c r="Z2153" s="711"/>
      <c r="AU2153" s="713"/>
      <c r="AW2153" s="712"/>
      <c r="BY2153" s="714"/>
      <c r="BZ2153" s="715"/>
      <c r="CA2153" s="716"/>
      <c r="CB2153" s="717"/>
      <c r="CC2153" s="717"/>
      <c r="CD2153" s="717"/>
      <c r="CE2153" s="717"/>
      <c r="CF2153" s="717"/>
      <c r="CG2153" s="717"/>
      <c r="CH2153" s="717"/>
      <c r="CI2153" s="717"/>
      <c r="CJ2153" s="717"/>
      <c r="CK2153" s="717"/>
      <c r="CL2153" s="717"/>
      <c r="CM2153" s="717"/>
      <c r="CN2153" s="717"/>
      <c r="CO2153" s="717"/>
      <c r="CP2153" s="717"/>
      <c r="CQ2153" s="717"/>
      <c r="CR2153" s="717"/>
      <c r="CS2153" s="717"/>
      <c r="CT2153" s="717"/>
      <c r="CU2153" s="717"/>
      <c r="CV2153" s="717"/>
      <c r="CW2153" s="717"/>
      <c r="CX2153" s="717"/>
      <c r="CY2153" s="717"/>
      <c r="CZ2153" s="717"/>
      <c r="DA2153" s="717"/>
      <c r="DB2153" s="717"/>
      <c r="DC2153" s="717"/>
      <c r="DD2153" s="717"/>
      <c r="DE2153" s="717"/>
      <c r="DF2153" s="717"/>
      <c r="DG2153" s="717"/>
      <c r="DH2153" s="717"/>
      <c r="DI2153" s="717"/>
      <c r="DJ2153" s="717"/>
      <c r="DM2153" s="711"/>
      <c r="DN2153" s="711"/>
      <c r="DO2153" s="711"/>
      <c r="DP2153" s="711"/>
      <c r="DQ2153" s="711"/>
    </row>
    <row r="2154" spans="13:121" s="709" customFormat="1" hidden="1">
      <c r="M2154" s="710"/>
      <c r="P2154" s="711"/>
      <c r="Q2154" s="712"/>
      <c r="U2154" s="711"/>
      <c r="V2154" s="711"/>
      <c r="W2154" s="711"/>
      <c r="X2154" s="711"/>
      <c r="Y2154" s="711"/>
      <c r="Z2154" s="711"/>
      <c r="AU2154" s="713"/>
      <c r="AW2154" s="712"/>
      <c r="BY2154" s="714"/>
      <c r="BZ2154" s="715"/>
      <c r="CA2154" s="716"/>
      <c r="CB2154" s="717"/>
      <c r="CC2154" s="717"/>
      <c r="CD2154" s="717"/>
      <c r="CE2154" s="717"/>
      <c r="CF2154" s="717"/>
      <c r="CG2154" s="717"/>
      <c r="CH2154" s="717"/>
      <c r="CI2154" s="717"/>
      <c r="CJ2154" s="717"/>
      <c r="CK2154" s="717"/>
      <c r="CL2154" s="717"/>
      <c r="CM2154" s="717"/>
      <c r="CN2154" s="717"/>
      <c r="CO2154" s="717"/>
      <c r="CP2154" s="717"/>
      <c r="CQ2154" s="717"/>
      <c r="CR2154" s="717"/>
      <c r="CS2154" s="717"/>
      <c r="CT2154" s="717"/>
      <c r="CU2154" s="717"/>
      <c r="CV2154" s="717"/>
      <c r="CW2154" s="717"/>
      <c r="CX2154" s="717"/>
      <c r="CY2154" s="717"/>
      <c r="CZ2154" s="717"/>
      <c r="DA2154" s="717"/>
      <c r="DB2154" s="717"/>
      <c r="DC2154" s="717"/>
      <c r="DD2154" s="717"/>
      <c r="DE2154" s="717"/>
      <c r="DF2154" s="717"/>
      <c r="DG2154" s="717"/>
      <c r="DH2154" s="717"/>
      <c r="DI2154" s="717"/>
      <c r="DJ2154" s="717"/>
      <c r="DM2154" s="711"/>
      <c r="DN2154" s="711"/>
      <c r="DO2154" s="711"/>
      <c r="DP2154" s="711"/>
      <c r="DQ2154" s="711"/>
    </row>
    <row r="2155" spans="13:121" s="709" customFormat="1" hidden="1">
      <c r="M2155" s="710"/>
      <c r="P2155" s="711"/>
      <c r="Q2155" s="712"/>
      <c r="U2155" s="711"/>
      <c r="V2155" s="711"/>
      <c r="W2155" s="711"/>
      <c r="X2155" s="711"/>
      <c r="Y2155" s="711"/>
      <c r="Z2155" s="711"/>
      <c r="AU2155" s="713"/>
      <c r="AW2155" s="712"/>
      <c r="BY2155" s="714"/>
      <c r="BZ2155" s="715"/>
      <c r="CA2155" s="716"/>
      <c r="CB2155" s="717"/>
      <c r="CC2155" s="717"/>
      <c r="CD2155" s="717"/>
      <c r="CE2155" s="717"/>
      <c r="CF2155" s="717"/>
      <c r="CG2155" s="717"/>
      <c r="CH2155" s="717"/>
      <c r="CI2155" s="717"/>
      <c r="CJ2155" s="717"/>
      <c r="CK2155" s="717"/>
      <c r="CL2155" s="717"/>
      <c r="CM2155" s="717"/>
      <c r="CN2155" s="717"/>
      <c r="CO2155" s="717"/>
      <c r="CP2155" s="717"/>
      <c r="CQ2155" s="717"/>
      <c r="CR2155" s="717"/>
      <c r="CS2155" s="717"/>
      <c r="CT2155" s="717"/>
      <c r="CU2155" s="717"/>
      <c r="CV2155" s="717"/>
      <c r="CW2155" s="717"/>
      <c r="CX2155" s="717"/>
      <c r="CY2155" s="717"/>
      <c r="CZ2155" s="717"/>
      <c r="DA2155" s="717"/>
      <c r="DB2155" s="717"/>
      <c r="DC2155" s="717"/>
      <c r="DD2155" s="717"/>
      <c r="DE2155" s="717"/>
      <c r="DF2155" s="717"/>
      <c r="DG2155" s="717"/>
      <c r="DH2155" s="717"/>
      <c r="DI2155" s="717"/>
      <c r="DJ2155" s="717"/>
      <c r="DM2155" s="711"/>
      <c r="DN2155" s="711"/>
      <c r="DO2155" s="711"/>
      <c r="DP2155" s="711"/>
      <c r="DQ2155" s="711"/>
    </row>
    <row r="2156" spans="13:121" s="709" customFormat="1" hidden="1">
      <c r="M2156" s="710"/>
      <c r="P2156" s="711"/>
      <c r="Q2156" s="712"/>
      <c r="U2156" s="711"/>
      <c r="V2156" s="711"/>
      <c r="W2156" s="711"/>
      <c r="X2156" s="711"/>
      <c r="Y2156" s="711"/>
      <c r="Z2156" s="711"/>
      <c r="AU2156" s="713"/>
      <c r="AW2156" s="712"/>
      <c r="BY2156" s="714"/>
      <c r="BZ2156" s="715"/>
      <c r="CA2156" s="716"/>
      <c r="CB2156" s="717"/>
      <c r="CC2156" s="717"/>
      <c r="CD2156" s="717"/>
      <c r="CE2156" s="717"/>
      <c r="CF2156" s="717"/>
      <c r="CG2156" s="717"/>
      <c r="CH2156" s="717"/>
      <c r="CI2156" s="717"/>
      <c r="CJ2156" s="717"/>
      <c r="CK2156" s="717"/>
      <c r="CL2156" s="717"/>
      <c r="CM2156" s="717"/>
      <c r="CN2156" s="717"/>
      <c r="CO2156" s="717"/>
      <c r="CP2156" s="717"/>
      <c r="CQ2156" s="717"/>
      <c r="CR2156" s="717"/>
      <c r="CS2156" s="717"/>
      <c r="CT2156" s="717"/>
      <c r="CU2156" s="717"/>
      <c r="CV2156" s="717"/>
      <c r="CW2156" s="717"/>
      <c r="CX2156" s="717"/>
      <c r="CY2156" s="717"/>
      <c r="CZ2156" s="717"/>
      <c r="DA2156" s="717"/>
      <c r="DB2156" s="717"/>
      <c r="DC2156" s="717"/>
      <c r="DD2156" s="717"/>
      <c r="DE2156" s="717"/>
      <c r="DF2156" s="717"/>
      <c r="DG2156" s="717"/>
      <c r="DH2156" s="717"/>
      <c r="DI2156" s="717"/>
      <c r="DJ2156" s="717"/>
      <c r="DM2156" s="711"/>
      <c r="DN2156" s="711"/>
      <c r="DO2156" s="711"/>
      <c r="DP2156" s="711"/>
      <c r="DQ2156" s="711"/>
    </row>
    <row r="2157" spans="13:121" s="709" customFormat="1" hidden="1">
      <c r="M2157" s="710"/>
      <c r="P2157" s="711"/>
      <c r="Q2157" s="712"/>
      <c r="U2157" s="711"/>
      <c r="V2157" s="711"/>
      <c r="W2157" s="711"/>
      <c r="X2157" s="711"/>
      <c r="Y2157" s="711"/>
      <c r="Z2157" s="711"/>
      <c r="AU2157" s="713"/>
      <c r="AW2157" s="712"/>
      <c r="BY2157" s="714"/>
      <c r="BZ2157" s="715"/>
      <c r="CA2157" s="716"/>
      <c r="CB2157" s="717"/>
      <c r="CC2157" s="717"/>
      <c r="CD2157" s="717"/>
      <c r="CE2157" s="717"/>
      <c r="CF2157" s="717"/>
      <c r="CG2157" s="717"/>
      <c r="CH2157" s="717"/>
      <c r="CI2157" s="717"/>
      <c r="CJ2157" s="717"/>
      <c r="CK2157" s="717"/>
      <c r="CL2157" s="717"/>
      <c r="CM2157" s="717"/>
      <c r="CN2157" s="717"/>
      <c r="CO2157" s="717"/>
      <c r="CP2157" s="717"/>
      <c r="CQ2157" s="717"/>
      <c r="CR2157" s="717"/>
      <c r="CS2157" s="717"/>
      <c r="CT2157" s="717"/>
      <c r="CU2157" s="717"/>
      <c r="CV2157" s="717"/>
      <c r="CW2157" s="717"/>
      <c r="CX2157" s="717"/>
      <c r="CY2157" s="717"/>
      <c r="CZ2157" s="717"/>
      <c r="DA2157" s="717"/>
      <c r="DB2157" s="717"/>
      <c r="DC2157" s="717"/>
      <c r="DD2157" s="717"/>
      <c r="DE2157" s="717"/>
      <c r="DF2157" s="717"/>
      <c r="DG2157" s="717"/>
      <c r="DH2157" s="717"/>
      <c r="DI2157" s="717"/>
      <c r="DJ2157" s="717"/>
      <c r="DM2157" s="711"/>
      <c r="DN2157" s="711"/>
      <c r="DO2157" s="711"/>
      <c r="DP2157" s="711"/>
      <c r="DQ2157" s="711"/>
    </row>
    <row r="2158" spans="13:121" s="709" customFormat="1" hidden="1">
      <c r="M2158" s="710"/>
      <c r="P2158" s="711"/>
      <c r="Q2158" s="712"/>
      <c r="U2158" s="711"/>
      <c r="V2158" s="711"/>
      <c r="W2158" s="711"/>
      <c r="X2158" s="711"/>
      <c r="Y2158" s="711"/>
      <c r="Z2158" s="711"/>
      <c r="AU2158" s="713"/>
      <c r="AW2158" s="712"/>
      <c r="BY2158" s="714"/>
      <c r="BZ2158" s="715"/>
      <c r="CA2158" s="716"/>
      <c r="CB2158" s="717"/>
      <c r="CC2158" s="717"/>
      <c r="CD2158" s="717"/>
      <c r="CE2158" s="717"/>
      <c r="CF2158" s="717"/>
      <c r="CG2158" s="717"/>
      <c r="CH2158" s="717"/>
      <c r="CI2158" s="717"/>
      <c r="CJ2158" s="717"/>
      <c r="CK2158" s="717"/>
      <c r="CL2158" s="717"/>
      <c r="CM2158" s="717"/>
      <c r="CN2158" s="717"/>
      <c r="CO2158" s="717"/>
      <c r="CP2158" s="717"/>
      <c r="CQ2158" s="717"/>
      <c r="CR2158" s="717"/>
      <c r="CS2158" s="717"/>
      <c r="CT2158" s="717"/>
      <c r="CU2158" s="717"/>
      <c r="CV2158" s="717"/>
      <c r="CW2158" s="717"/>
      <c r="CX2158" s="717"/>
      <c r="CY2158" s="717"/>
      <c r="CZ2158" s="717"/>
      <c r="DA2158" s="717"/>
      <c r="DB2158" s="717"/>
      <c r="DC2158" s="717"/>
      <c r="DD2158" s="717"/>
      <c r="DE2158" s="717"/>
      <c r="DF2158" s="717"/>
      <c r="DG2158" s="717"/>
      <c r="DH2158" s="717"/>
      <c r="DI2158" s="717"/>
      <c r="DJ2158" s="717"/>
      <c r="DM2158" s="711"/>
      <c r="DN2158" s="711"/>
      <c r="DO2158" s="711"/>
      <c r="DP2158" s="711"/>
      <c r="DQ2158" s="711"/>
    </row>
    <row r="2159" spans="13:121" s="709" customFormat="1" hidden="1">
      <c r="M2159" s="710"/>
      <c r="P2159" s="711"/>
      <c r="Q2159" s="712"/>
      <c r="U2159" s="711"/>
      <c r="V2159" s="711"/>
      <c r="W2159" s="711"/>
      <c r="X2159" s="711"/>
      <c r="Y2159" s="711"/>
      <c r="Z2159" s="711"/>
      <c r="AU2159" s="713"/>
      <c r="AW2159" s="712"/>
      <c r="BY2159" s="714"/>
      <c r="BZ2159" s="715"/>
      <c r="CA2159" s="716"/>
      <c r="CB2159" s="717"/>
      <c r="CC2159" s="717"/>
      <c r="CD2159" s="717"/>
      <c r="CE2159" s="717"/>
      <c r="CF2159" s="717"/>
      <c r="CG2159" s="717"/>
      <c r="CH2159" s="717"/>
      <c r="CI2159" s="717"/>
      <c r="CJ2159" s="717"/>
      <c r="CK2159" s="717"/>
      <c r="CL2159" s="717"/>
      <c r="CM2159" s="717"/>
      <c r="CN2159" s="717"/>
      <c r="CO2159" s="717"/>
      <c r="CP2159" s="717"/>
      <c r="CQ2159" s="717"/>
      <c r="CR2159" s="717"/>
      <c r="CS2159" s="717"/>
      <c r="CT2159" s="717"/>
      <c r="CU2159" s="717"/>
      <c r="CV2159" s="717"/>
      <c r="CW2159" s="717"/>
      <c r="CX2159" s="717"/>
      <c r="CY2159" s="717"/>
      <c r="CZ2159" s="717"/>
      <c r="DA2159" s="717"/>
      <c r="DB2159" s="717"/>
      <c r="DC2159" s="717"/>
      <c r="DD2159" s="717"/>
      <c r="DE2159" s="717"/>
      <c r="DF2159" s="717"/>
      <c r="DG2159" s="717"/>
      <c r="DH2159" s="717"/>
      <c r="DI2159" s="717"/>
      <c r="DJ2159" s="717"/>
      <c r="DM2159" s="711"/>
      <c r="DN2159" s="711"/>
      <c r="DO2159" s="711"/>
      <c r="DP2159" s="711"/>
      <c r="DQ2159" s="711"/>
    </row>
    <row r="2160" spans="13:121" s="709" customFormat="1" hidden="1">
      <c r="M2160" s="710"/>
      <c r="P2160" s="711"/>
      <c r="Q2160" s="712"/>
      <c r="U2160" s="711"/>
      <c r="V2160" s="711"/>
      <c r="W2160" s="711"/>
      <c r="X2160" s="711"/>
      <c r="Y2160" s="711"/>
      <c r="Z2160" s="711"/>
      <c r="AU2160" s="713"/>
      <c r="AW2160" s="712"/>
      <c r="BY2160" s="714"/>
      <c r="BZ2160" s="715"/>
      <c r="CA2160" s="716"/>
      <c r="CB2160" s="717"/>
      <c r="CC2160" s="717"/>
      <c r="CD2160" s="717"/>
      <c r="CE2160" s="717"/>
      <c r="CF2160" s="717"/>
      <c r="CG2160" s="717"/>
      <c r="CH2160" s="717"/>
      <c r="CI2160" s="717"/>
      <c r="CJ2160" s="717"/>
      <c r="CK2160" s="717"/>
      <c r="CL2160" s="717"/>
      <c r="CM2160" s="717"/>
      <c r="CN2160" s="717"/>
      <c r="CO2160" s="717"/>
      <c r="CP2160" s="717"/>
      <c r="CQ2160" s="717"/>
      <c r="CR2160" s="717"/>
      <c r="CS2160" s="717"/>
      <c r="CT2160" s="717"/>
      <c r="CU2160" s="717"/>
      <c r="CV2160" s="717"/>
      <c r="CW2160" s="717"/>
      <c r="CX2160" s="717"/>
      <c r="CY2160" s="717"/>
      <c r="CZ2160" s="717"/>
      <c r="DA2160" s="717"/>
      <c r="DB2160" s="717"/>
      <c r="DC2160" s="717"/>
      <c r="DD2160" s="717"/>
      <c r="DE2160" s="717"/>
      <c r="DF2160" s="717"/>
      <c r="DG2160" s="717"/>
      <c r="DH2160" s="717"/>
      <c r="DI2160" s="717"/>
      <c r="DJ2160" s="717"/>
      <c r="DM2160" s="711"/>
      <c r="DN2160" s="711"/>
      <c r="DO2160" s="711"/>
      <c r="DP2160" s="711"/>
      <c r="DQ2160" s="711"/>
    </row>
    <row r="2161" spans="13:121" s="709" customFormat="1" hidden="1">
      <c r="M2161" s="710"/>
      <c r="P2161" s="711"/>
      <c r="Q2161" s="712"/>
      <c r="U2161" s="711"/>
      <c r="V2161" s="711"/>
      <c r="W2161" s="711"/>
      <c r="X2161" s="711"/>
      <c r="Y2161" s="711"/>
      <c r="Z2161" s="711"/>
      <c r="AU2161" s="713"/>
      <c r="AW2161" s="712"/>
      <c r="BY2161" s="714"/>
      <c r="BZ2161" s="715"/>
      <c r="CA2161" s="716"/>
      <c r="CB2161" s="717"/>
      <c r="CC2161" s="717"/>
      <c r="CD2161" s="717"/>
      <c r="CE2161" s="717"/>
      <c r="CF2161" s="717"/>
      <c r="CG2161" s="717"/>
      <c r="CH2161" s="717"/>
      <c r="CI2161" s="717"/>
      <c r="CJ2161" s="717"/>
      <c r="CK2161" s="717"/>
      <c r="CL2161" s="717"/>
      <c r="CM2161" s="717"/>
      <c r="CN2161" s="717"/>
      <c r="CO2161" s="717"/>
      <c r="CP2161" s="717"/>
      <c r="CQ2161" s="717"/>
      <c r="CR2161" s="717"/>
      <c r="CS2161" s="717"/>
      <c r="CT2161" s="717"/>
      <c r="CU2161" s="717"/>
      <c r="CV2161" s="717"/>
      <c r="CW2161" s="717"/>
      <c r="CX2161" s="717"/>
      <c r="CY2161" s="717"/>
      <c r="CZ2161" s="717"/>
      <c r="DA2161" s="717"/>
      <c r="DB2161" s="717"/>
      <c r="DC2161" s="717"/>
      <c r="DD2161" s="717"/>
      <c r="DE2161" s="717"/>
      <c r="DF2161" s="717"/>
      <c r="DG2161" s="717"/>
      <c r="DH2161" s="717"/>
      <c r="DI2161" s="717"/>
      <c r="DJ2161" s="717"/>
      <c r="DM2161" s="711"/>
      <c r="DN2161" s="711"/>
      <c r="DO2161" s="711"/>
      <c r="DP2161" s="711"/>
      <c r="DQ2161" s="711"/>
    </row>
    <row r="2162" spans="13:121" s="709" customFormat="1" hidden="1">
      <c r="M2162" s="710"/>
      <c r="P2162" s="711"/>
      <c r="Q2162" s="712"/>
      <c r="U2162" s="711"/>
      <c r="V2162" s="711"/>
      <c r="W2162" s="711"/>
      <c r="X2162" s="711"/>
      <c r="Y2162" s="711"/>
      <c r="Z2162" s="711"/>
      <c r="AU2162" s="713"/>
      <c r="AW2162" s="712"/>
      <c r="BY2162" s="714"/>
      <c r="BZ2162" s="715"/>
      <c r="CA2162" s="716"/>
      <c r="CB2162" s="717"/>
      <c r="CC2162" s="717"/>
      <c r="CD2162" s="717"/>
      <c r="CE2162" s="717"/>
      <c r="CF2162" s="717"/>
      <c r="CG2162" s="717"/>
      <c r="CH2162" s="717"/>
      <c r="CI2162" s="717"/>
      <c r="CJ2162" s="717"/>
      <c r="CK2162" s="717"/>
      <c r="CL2162" s="717"/>
      <c r="CM2162" s="717"/>
      <c r="CN2162" s="717"/>
      <c r="CO2162" s="717"/>
      <c r="CP2162" s="717"/>
      <c r="CQ2162" s="717"/>
      <c r="CR2162" s="717"/>
      <c r="CS2162" s="717"/>
      <c r="CT2162" s="717"/>
      <c r="CU2162" s="717"/>
      <c r="CV2162" s="717"/>
      <c r="CW2162" s="717"/>
      <c r="CX2162" s="717"/>
      <c r="CY2162" s="717"/>
      <c r="CZ2162" s="717"/>
      <c r="DA2162" s="717"/>
      <c r="DB2162" s="717"/>
      <c r="DC2162" s="717"/>
      <c r="DD2162" s="717"/>
      <c r="DE2162" s="717"/>
      <c r="DF2162" s="717"/>
      <c r="DG2162" s="717"/>
      <c r="DH2162" s="717"/>
      <c r="DI2162" s="717"/>
      <c r="DJ2162" s="717"/>
      <c r="DM2162" s="711"/>
      <c r="DN2162" s="711"/>
      <c r="DO2162" s="711"/>
      <c r="DP2162" s="711"/>
      <c r="DQ2162" s="711"/>
    </row>
    <row r="2163" spans="13:121" s="709" customFormat="1" hidden="1">
      <c r="M2163" s="710"/>
      <c r="P2163" s="711"/>
      <c r="Q2163" s="712"/>
      <c r="U2163" s="711"/>
      <c r="V2163" s="711"/>
      <c r="W2163" s="711"/>
      <c r="X2163" s="711"/>
      <c r="Y2163" s="711"/>
      <c r="Z2163" s="711"/>
      <c r="AU2163" s="713"/>
      <c r="AW2163" s="712"/>
      <c r="BY2163" s="714"/>
      <c r="BZ2163" s="715"/>
      <c r="CA2163" s="716"/>
      <c r="CB2163" s="717"/>
      <c r="CC2163" s="717"/>
      <c r="CD2163" s="717"/>
      <c r="CE2163" s="717"/>
      <c r="CF2163" s="717"/>
      <c r="CG2163" s="717"/>
      <c r="CH2163" s="717"/>
      <c r="CI2163" s="717"/>
      <c r="CJ2163" s="717"/>
      <c r="CK2163" s="717"/>
      <c r="CL2163" s="717"/>
      <c r="CM2163" s="717"/>
      <c r="CN2163" s="717"/>
      <c r="CO2163" s="717"/>
      <c r="CP2163" s="717"/>
      <c r="CQ2163" s="717"/>
      <c r="CR2163" s="717"/>
      <c r="CS2163" s="717"/>
      <c r="CT2163" s="717"/>
      <c r="CU2163" s="717"/>
      <c r="CV2163" s="717"/>
      <c r="CW2163" s="717"/>
      <c r="CX2163" s="717"/>
      <c r="CY2163" s="717"/>
      <c r="CZ2163" s="717"/>
      <c r="DA2163" s="717"/>
      <c r="DB2163" s="717"/>
      <c r="DC2163" s="717"/>
      <c r="DD2163" s="717"/>
      <c r="DE2163" s="717"/>
      <c r="DF2163" s="717"/>
      <c r="DG2163" s="717"/>
      <c r="DH2163" s="717"/>
      <c r="DI2163" s="717"/>
      <c r="DJ2163" s="717"/>
      <c r="DM2163" s="711"/>
      <c r="DN2163" s="711"/>
      <c r="DO2163" s="711"/>
      <c r="DP2163" s="711"/>
      <c r="DQ2163" s="711"/>
    </row>
    <row r="2164" spans="13:121" s="709" customFormat="1" hidden="1">
      <c r="M2164" s="710"/>
      <c r="P2164" s="711"/>
      <c r="Q2164" s="712"/>
      <c r="U2164" s="711"/>
      <c r="V2164" s="711"/>
      <c r="W2164" s="711"/>
      <c r="X2164" s="711"/>
      <c r="Y2164" s="711"/>
      <c r="Z2164" s="711"/>
      <c r="AU2164" s="713"/>
      <c r="AW2164" s="712"/>
      <c r="BY2164" s="714"/>
      <c r="BZ2164" s="715"/>
      <c r="CA2164" s="716"/>
      <c r="CB2164" s="717"/>
      <c r="CC2164" s="717"/>
      <c r="CD2164" s="717"/>
      <c r="CE2164" s="717"/>
      <c r="CF2164" s="717"/>
      <c r="CG2164" s="717"/>
      <c r="CH2164" s="717"/>
      <c r="CI2164" s="717"/>
      <c r="CJ2164" s="717"/>
      <c r="CK2164" s="717"/>
      <c r="CL2164" s="717"/>
      <c r="CM2164" s="717"/>
      <c r="CN2164" s="717"/>
      <c r="CO2164" s="717"/>
      <c r="CP2164" s="717"/>
      <c r="CQ2164" s="717"/>
      <c r="CR2164" s="717"/>
      <c r="CS2164" s="717"/>
      <c r="CT2164" s="717"/>
      <c r="CU2164" s="717"/>
      <c r="CV2164" s="717"/>
      <c r="CW2164" s="717"/>
      <c r="CX2164" s="717"/>
      <c r="CY2164" s="717"/>
      <c r="CZ2164" s="717"/>
      <c r="DA2164" s="717"/>
      <c r="DB2164" s="717"/>
      <c r="DC2164" s="717"/>
      <c r="DD2164" s="717"/>
      <c r="DE2164" s="717"/>
      <c r="DF2164" s="717"/>
      <c r="DG2164" s="717"/>
      <c r="DH2164" s="717"/>
      <c r="DI2164" s="717"/>
      <c r="DJ2164" s="717"/>
      <c r="DM2164" s="711"/>
      <c r="DN2164" s="711"/>
      <c r="DO2164" s="711"/>
      <c r="DP2164" s="711"/>
      <c r="DQ2164" s="711"/>
    </row>
    <row r="2165" spans="13:121" s="709" customFormat="1" hidden="1">
      <c r="M2165" s="710"/>
      <c r="P2165" s="711"/>
      <c r="Q2165" s="712"/>
      <c r="U2165" s="711"/>
      <c r="V2165" s="711"/>
      <c r="W2165" s="711"/>
      <c r="X2165" s="711"/>
      <c r="Y2165" s="711"/>
      <c r="Z2165" s="711"/>
      <c r="AU2165" s="713"/>
      <c r="AW2165" s="712"/>
      <c r="BY2165" s="714"/>
      <c r="BZ2165" s="715"/>
      <c r="CA2165" s="716"/>
      <c r="CB2165" s="717"/>
      <c r="CC2165" s="717"/>
      <c r="CD2165" s="717"/>
      <c r="CE2165" s="717"/>
      <c r="CF2165" s="717"/>
      <c r="CG2165" s="717"/>
      <c r="CH2165" s="717"/>
      <c r="CI2165" s="717"/>
      <c r="CJ2165" s="717"/>
      <c r="CK2165" s="717"/>
      <c r="CL2165" s="717"/>
      <c r="CM2165" s="717"/>
      <c r="CN2165" s="717"/>
      <c r="CO2165" s="717"/>
      <c r="CP2165" s="717"/>
      <c r="CQ2165" s="717"/>
      <c r="CR2165" s="717"/>
      <c r="CS2165" s="717"/>
      <c r="CT2165" s="717"/>
      <c r="CU2165" s="717"/>
      <c r="CV2165" s="717"/>
      <c r="CW2165" s="717"/>
      <c r="CX2165" s="717"/>
      <c r="CY2165" s="717"/>
      <c r="CZ2165" s="717"/>
      <c r="DA2165" s="717"/>
      <c r="DB2165" s="717"/>
      <c r="DC2165" s="717"/>
      <c r="DD2165" s="717"/>
      <c r="DE2165" s="717"/>
      <c r="DF2165" s="717"/>
      <c r="DG2165" s="717"/>
      <c r="DH2165" s="717"/>
      <c r="DI2165" s="717"/>
      <c r="DJ2165" s="717"/>
      <c r="DM2165" s="711"/>
      <c r="DN2165" s="711"/>
      <c r="DO2165" s="711"/>
      <c r="DP2165" s="711"/>
      <c r="DQ2165" s="711"/>
    </row>
    <row r="2166" spans="13:121" s="709" customFormat="1" hidden="1">
      <c r="M2166" s="710"/>
      <c r="P2166" s="711"/>
      <c r="Q2166" s="712"/>
      <c r="U2166" s="711"/>
      <c r="V2166" s="711"/>
      <c r="W2166" s="711"/>
      <c r="X2166" s="711"/>
      <c r="Y2166" s="711"/>
      <c r="Z2166" s="711"/>
      <c r="AU2166" s="713"/>
      <c r="AW2166" s="712"/>
      <c r="BY2166" s="714"/>
      <c r="BZ2166" s="715"/>
      <c r="CA2166" s="716"/>
      <c r="CB2166" s="717"/>
      <c r="CC2166" s="717"/>
      <c r="CD2166" s="717"/>
      <c r="CE2166" s="717"/>
      <c r="CF2166" s="717"/>
      <c r="CG2166" s="717"/>
      <c r="CH2166" s="717"/>
      <c r="CI2166" s="717"/>
      <c r="CJ2166" s="717"/>
      <c r="CK2166" s="717"/>
      <c r="CL2166" s="717"/>
      <c r="CM2166" s="717"/>
      <c r="CN2166" s="717"/>
      <c r="CO2166" s="717"/>
      <c r="CP2166" s="717"/>
      <c r="CQ2166" s="717"/>
      <c r="CR2166" s="717"/>
      <c r="CS2166" s="717"/>
      <c r="CT2166" s="717"/>
      <c r="CU2166" s="717"/>
      <c r="CV2166" s="717"/>
      <c r="CW2166" s="717"/>
      <c r="CX2166" s="717"/>
      <c r="CY2166" s="717"/>
      <c r="CZ2166" s="717"/>
      <c r="DA2166" s="717"/>
      <c r="DB2166" s="717"/>
      <c r="DC2166" s="717"/>
      <c r="DD2166" s="717"/>
      <c r="DE2166" s="717"/>
      <c r="DF2166" s="717"/>
      <c r="DG2166" s="717"/>
      <c r="DH2166" s="717"/>
      <c r="DI2166" s="717"/>
      <c r="DJ2166" s="717"/>
      <c r="DM2166" s="711"/>
      <c r="DN2166" s="711"/>
      <c r="DO2166" s="711"/>
      <c r="DP2166" s="711"/>
      <c r="DQ2166" s="711"/>
    </row>
    <row r="2167" spans="13:121" s="709" customFormat="1" hidden="1">
      <c r="M2167" s="710"/>
      <c r="P2167" s="711"/>
      <c r="Q2167" s="712"/>
      <c r="U2167" s="711"/>
      <c r="V2167" s="711"/>
      <c r="W2167" s="711"/>
      <c r="X2167" s="711"/>
      <c r="Y2167" s="711"/>
      <c r="Z2167" s="711"/>
      <c r="AU2167" s="713"/>
      <c r="AW2167" s="712"/>
      <c r="BY2167" s="714"/>
      <c r="BZ2167" s="715"/>
      <c r="CA2167" s="716"/>
      <c r="CB2167" s="717"/>
      <c r="CC2167" s="717"/>
      <c r="CD2167" s="717"/>
      <c r="CE2167" s="717"/>
      <c r="CF2167" s="717"/>
      <c r="CG2167" s="717"/>
      <c r="CH2167" s="717"/>
      <c r="CI2167" s="717"/>
      <c r="CJ2167" s="717"/>
      <c r="CK2167" s="717"/>
      <c r="CL2167" s="717"/>
      <c r="CM2167" s="717"/>
      <c r="CN2167" s="717"/>
      <c r="CO2167" s="717"/>
      <c r="CP2167" s="717"/>
      <c r="CQ2167" s="717"/>
      <c r="CR2167" s="717"/>
      <c r="CS2167" s="717"/>
      <c r="CT2167" s="717"/>
      <c r="CU2167" s="717"/>
      <c r="CV2167" s="717"/>
      <c r="CW2167" s="717"/>
      <c r="CX2167" s="717"/>
      <c r="CY2167" s="717"/>
      <c r="CZ2167" s="717"/>
      <c r="DA2167" s="717"/>
      <c r="DB2167" s="717"/>
      <c r="DC2167" s="717"/>
      <c r="DD2167" s="717"/>
      <c r="DE2167" s="717"/>
      <c r="DF2167" s="717"/>
      <c r="DG2167" s="717"/>
      <c r="DH2167" s="717"/>
      <c r="DI2167" s="717"/>
      <c r="DJ2167" s="717"/>
      <c r="DM2167" s="711"/>
      <c r="DN2167" s="711"/>
      <c r="DO2167" s="711"/>
      <c r="DP2167" s="711"/>
      <c r="DQ2167" s="711"/>
    </row>
    <row r="2168" spans="13:121" s="709" customFormat="1" hidden="1">
      <c r="M2168" s="710"/>
      <c r="P2168" s="711"/>
      <c r="Q2168" s="712"/>
      <c r="U2168" s="711"/>
      <c r="V2168" s="711"/>
      <c r="W2168" s="711"/>
      <c r="X2168" s="711"/>
      <c r="Y2168" s="711"/>
      <c r="Z2168" s="711"/>
      <c r="AU2168" s="713"/>
      <c r="AW2168" s="712"/>
      <c r="BY2168" s="714"/>
      <c r="BZ2168" s="715"/>
      <c r="CA2168" s="716"/>
      <c r="CB2168" s="717"/>
      <c r="CC2168" s="717"/>
      <c r="CD2168" s="717"/>
      <c r="CE2168" s="717"/>
      <c r="CF2168" s="717"/>
      <c r="CG2168" s="717"/>
      <c r="CH2168" s="717"/>
      <c r="CI2168" s="717"/>
      <c r="CJ2168" s="717"/>
      <c r="CK2168" s="717"/>
      <c r="CL2168" s="717"/>
      <c r="CM2168" s="717"/>
      <c r="CN2168" s="717"/>
      <c r="CO2168" s="717"/>
      <c r="CP2168" s="717"/>
      <c r="CQ2168" s="717"/>
      <c r="CR2168" s="717"/>
      <c r="CS2168" s="717"/>
      <c r="CT2168" s="717"/>
      <c r="CU2168" s="717"/>
      <c r="CV2168" s="717"/>
      <c r="CW2168" s="717"/>
      <c r="CX2168" s="717"/>
      <c r="CY2168" s="717"/>
      <c r="CZ2168" s="717"/>
      <c r="DA2168" s="717"/>
      <c r="DB2168" s="717"/>
      <c r="DC2168" s="717"/>
      <c r="DD2168" s="717"/>
      <c r="DE2168" s="717"/>
      <c r="DF2168" s="717"/>
      <c r="DG2168" s="717"/>
      <c r="DH2168" s="717"/>
      <c r="DI2168" s="717"/>
      <c r="DJ2168" s="717"/>
      <c r="DM2168" s="711"/>
      <c r="DN2168" s="711"/>
      <c r="DO2168" s="711"/>
      <c r="DP2168" s="711"/>
      <c r="DQ2168" s="711"/>
    </row>
    <row r="2169" spans="13:121" s="709" customFormat="1" hidden="1">
      <c r="M2169" s="710"/>
      <c r="P2169" s="711"/>
      <c r="Q2169" s="712"/>
      <c r="U2169" s="711"/>
      <c r="V2169" s="711"/>
      <c r="W2169" s="711"/>
      <c r="X2169" s="711"/>
      <c r="Y2169" s="711"/>
      <c r="Z2169" s="711"/>
      <c r="AU2169" s="713"/>
      <c r="AW2169" s="712"/>
      <c r="BY2169" s="714"/>
      <c r="BZ2169" s="715"/>
      <c r="CA2169" s="716"/>
      <c r="CB2169" s="717"/>
      <c r="CC2169" s="717"/>
      <c r="CD2169" s="717"/>
      <c r="CE2169" s="717"/>
      <c r="CF2169" s="717"/>
      <c r="CG2169" s="717"/>
      <c r="CH2169" s="717"/>
      <c r="CI2169" s="717"/>
      <c r="CJ2169" s="717"/>
      <c r="CK2169" s="717"/>
      <c r="CL2169" s="717"/>
      <c r="CM2169" s="717"/>
      <c r="CN2169" s="717"/>
      <c r="CO2169" s="717"/>
      <c r="CP2169" s="717"/>
      <c r="CQ2169" s="717"/>
      <c r="CR2169" s="717"/>
      <c r="CS2169" s="717"/>
      <c r="CT2169" s="717"/>
      <c r="CU2169" s="717"/>
      <c r="CV2169" s="717"/>
      <c r="CW2169" s="717"/>
      <c r="CX2169" s="717"/>
      <c r="CY2169" s="717"/>
      <c r="CZ2169" s="717"/>
      <c r="DA2169" s="717"/>
      <c r="DB2169" s="717"/>
      <c r="DC2169" s="717"/>
      <c r="DD2169" s="717"/>
      <c r="DE2169" s="717"/>
      <c r="DF2169" s="717"/>
      <c r="DG2169" s="717"/>
      <c r="DH2169" s="717"/>
      <c r="DI2169" s="717"/>
      <c r="DJ2169" s="717"/>
      <c r="DM2169" s="711"/>
      <c r="DN2169" s="711"/>
      <c r="DO2169" s="711"/>
      <c r="DP2169" s="711"/>
      <c r="DQ2169" s="711"/>
    </row>
    <row r="2170" spans="13:121" s="709" customFormat="1" hidden="1">
      <c r="M2170" s="710"/>
      <c r="P2170" s="711"/>
      <c r="Q2170" s="712"/>
      <c r="U2170" s="711"/>
      <c r="V2170" s="711"/>
      <c r="W2170" s="711"/>
      <c r="X2170" s="711"/>
      <c r="Y2170" s="711"/>
      <c r="Z2170" s="711"/>
      <c r="AU2170" s="713"/>
      <c r="AW2170" s="712"/>
      <c r="BY2170" s="714"/>
      <c r="BZ2170" s="715"/>
      <c r="CA2170" s="716"/>
      <c r="CB2170" s="717"/>
      <c r="CC2170" s="717"/>
      <c r="CD2170" s="717"/>
      <c r="CE2170" s="717"/>
      <c r="CF2170" s="717"/>
      <c r="CG2170" s="717"/>
      <c r="CH2170" s="717"/>
      <c r="CI2170" s="717"/>
      <c r="CJ2170" s="717"/>
      <c r="CK2170" s="717"/>
      <c r="CL2170" s="717"/>
      <c r="CM2170" s="717"/>
      <c r="CN2170" s="717"/>
      <c r="CO2170" s="717"/>
      <c r="CP2170" s="717"/>
      <c r="CQ2170" s="717"/>
      <c r="CR2170" s="717"/>
      <c r="CS2170" s="717"/>
      <c r="CT2170" s="717"/>
      <c r="CU2170" s="717"/>
      <c r="CV2170" s="717"/>
      <c r="CW2170" s="717"/>
      <c r="CX2170" s="717"/>
      <c r="CY2170" s="717"/>
      <c r="CZ2170" s="717"/>
      <c r="DA2170" s="717"/>
      <c r="DB2170" s="717"/>
      <c r="DC2170" s="717"/>
      <c r="DD2170" s="717"/>
      <c r="DE2170" s="717"/>
      <c r="DF2170" s="717"/>
      <c r="DG2170" s="717"/>
      <c r="DH2170" s="717"/>
      <c r="DI2170" s="717"/>
      <c r="DJ2170" s="717"/>
      <c r="DM2170" s="711"/>
      <c r="DN2170" s="711"/>
      <c r="DO2170" s="711"/>
      <c r="DP2170" s="711"/>
      <c r="DQ2170" s="711"/>
    </row>
    <row r="2171" spans="13:121" s="709" customFormat="1" hidden="1">
      <c r="M2171" s="710"/>
      <c r="P2171" s="711"/>
      <c r="Q2171" s="712"/>
      <c r="U2171" s="711"/>
      <c r="V2171" s="711"/>
      <c r="W2171" s="711"/>
      <c r="X2171" s="711"/>
      <c r="Y2171" s="711"/>
      <c r="Z2171" s="711"/>
      <c r="AU2171" s="713"/>
      <c r="AW2171" s="712"/>
      <c r="BY2171" s="714"/>
      <c r="BZ2171" s="715"/>
      <c r="CA2171" s="716"/>
      <c r="CB2171" s="717"/>
      <c r="CC2171" s="717"/>
      <c r="CD2171" s="717"/>
      <c r="CE2171" s="717"/>
      <c r="CF2171" s="717"/>
      <c r="CG2171" s="717"/>
      <c r="CH2171" s="717"/>
      <c r="CI2171" s="717"/>
      <c r="CJ2171" s="717"/>
      <c r="CK2171" s="717"/>
      <c r="CL2171" s="717"/>
      <c r="CM2171" s="717"/>
      <c r="CN2171" s="717"/>
      <c r="CO2171" s="717"/>
      <c r="CP2171" s="717"/>
      <c r="CQ2171" s="717"/>
      <c r="CR2171" s="717"/>
      <c r="CS2171" s="717"/>
      <c r="CT2171" s="717"/>
      <c r="CU2171" s="717"/>
      <c r="CV2171" s="717"/>
      <c r="CW2171" s="717"/>
      <c r="CX2171" s="717"/>
      <c r="CY2171" s="717"/>
      <c r="CZ2171" s="717"/>
      <c r="DA2171" s="717"/>
      <c r="DB2171" s="717"/>
      <c r="DC2171" s="717"/>
      <c r="DD2171" s="717"/>
      <c r="DE2171" s="717"/>
      <c r="DF2171" s="717"/>
      <c r="DG2171" s="717"/>
      <c r="DH2171" s="717"/>
      <c r="DI2171" s="717"/>
      <c r="DJ2171" s="717"/>
      <c r="DM2171" s="711"/>
      <c r="DN2171" s="711"/>
      <c r="DO2171" s="711"/>
      <c r="DP2171" s="711"/>
      <c r="DQ2171" s="711"/>
    </row>
    <row r="2172" spans="13:121" s="709" customFormat="1" hidden="1">
      <c r="M2172" s="710"/>
      <c r="P2172" s="711"/>
      <c r="Q2172" s="712"/>
      <c r="U2172" s="711"/>
      <c r="V2172" s="711"/>
      <c r="W2172" s="711"/>
      <c r="X2172" s="711"/>
      <c r="Y2172" s="711"/>
      <c r="Z2172" s="711"/>
      <c r="AU2172" s="713"/>
      <c r="AW2172" s="712"/>
      <c r="BY2172" s="714"/>
      <c r="BZ2172" s="715"/>
      <c r="CA2172" s="716"/>
      <c r="CB2172" s="717"/>
      <c r="CC2172" s="717"/>
      <c r="CD2172" s="717"/>
      <c r="CE2172" s="717"/>
      <c r="CF2172" s="717"/>
      <c r="CG2172" s="717"/>
      <c r="CH2172" s="717"/>
      <c r="CI2172" s="717"/>
      <c r="CJ2172" s="717"/>
      <c r="CK2172" s="717"/>
      <c r="CL2172" s="717"/>
      <c r="CM2172" s="717"/>
      <c r="CN2172" s="717"/>
      <c r="CO2172" s="717"/>
      <c r="CP2172" s="717"/>
      <c r="CQ2172" s="717"/>
      <c r="CR2172" s="717"/>
      <c r="CS2172" s="717"/>
      <c r="CT2172" s="717"/>
      <c r="CU2172" s="717"/>
      <c r="CV2172" s="717"/>
      <c r="CW2172" s="717"/>
      <c r="CX2172" s="717"/>
      <c r="CY2172" s="717"/>
      <c r="CZ2172" s="717"/>
      <c r="DA2172" s="717"/>
      <c r="DB2172" s="717"/>
      <c r="DC2172" s="717"/>
      <c r="DD2172" s="717"/>
      <c r="DE2172" s="717"/>
      <c r="DF2172" s="717"/>
      <c r="DG2172" s="717"/>
      <c r="DH2172" s="717"/>
      <c r="DI2172" s="717"/>
      <c r="DJ2172" s="717"/>
      <c r="DM2172" s="711"/>
      <c r="DN2172" s="711"/>
      <c r="DO2172" s="711"/>
      <c r="DP2172" s="711"/>
      <c r="DQ2172" s="711"/>
    </row>
    <row r="2173" spans="13:121" s="709" customFormat="1" hidden="1">
      <c r="M2173" s="710"/>
      <c r="P2173" s="711"/>
      <c r="Q2173" s="712"/>
      <c r="U2173" s="711"/>
      <c r="V2173" s="711"/>
      <c r="W2173" s="711"/>
      <c r="X2173" s="711"/>
      <c r="Y2173" s="711"/>
      <c r="Z2173" s="711"/>
      <c r="AU2173" s="713"/>
      <c r="AW2173" s="712"/>
      <c r="BY2173" s="714"/>
      <c r="BZ2173" s="715"/>
      <c r="CA2173" s="716"/>
      <c r="CB2173" s="717"/>
      <c r="CC2173" s="717"/>
      <c r="CD2173" s="717"/>
      <c r="CE2173" s="717"/>
      <c r="CF2173" s="717"/>
      <c r="CG2173" s="717"/>
      <c r="CH2173" s="717"/>
      <c r="CI2173" s="717"/>
      <c r="CJ2173" s="717"/>
      <c r="CK2173" s="717"/>
      <c r="CL2173" s="717"/>
      <c r="CM2173" s="717"/>
      <c r="CN2173" s="717"/>
      <c r="CO2173" s="717"/>
      <c r="CP2173" s="717"/>
      <c r="CQ2173" s="717"/>
      <c r="CR2173" s="717"/>
      <c r="CS2173" s="717"/>
      <c r="CT2173" s="717"/>
      <c r="CU2173" s="717"/>
      <c r="CV2173" s="717"/>
      <c r="CW2173" s="717"/>
      <c r="CX2173" s="717"/>
      <c r="CY2173" s="717"/>
      <c r="CZ2173" s="717"/>
      <c r="DA2173" s="717"/>
      <c r="DB2173" s="717"/>
      <c r="DC2173" s="717"/>
      <c r="DD2173" s="717"/>
      <c r="DE2173" s="717"/>
      <c r="DF2173" s="717"/>
      <c r="DG2173" s="717"/>
      <c r="DH2173" s="717"/>
      <c r="DI2173" s="717"/>
      <c r="DJ2173" s="717"/>
      <c r="DM2173" s="711"/>
      <c r="DN2173" s="711"/>
      <c r="DO2173" s="711"/>
      <c r="DP2173" s="711"/>
      <c r="DQ2173" s="711"/>
    </row>
    <row r="2174" spans="13:121" s="709" customFormat="1" hidden="1">
      <c r="M2174" s="710"/>
      <c r="P2174" s="711"/>
      <c r="Q2174" s="712"/>
      <c r="U2174" s="711"/>
      <c r="V2174" s="711"/>
      <c r="W2174" s="711"/>
      <c r="X2174" s="711"/>
      <c r="Y2174" s="711"/>
      <c r="Z2174" s="711"/>
      <c r="AU2174" s="713"/>
      <c r="AW2174" s="712"/>
      <c r="BY2174" s="714"/>
      <c r="BZ2174" s="715"/>
      <c r="CA2174" s="716"/>
      <c r="CB2174" s="717"/>
      <c r="CC2174" s="717"/>
      <c r="CD2174" s="717"/>
      <c r="CE2174" s="717"/>
      <c r="CF2174" s="717"/>
      <c r="CG2174" s="717"/>
      <c r="CH2174" s="717"/>
      <c r="CI2174" s="717"/>
      <c r="CJ2174" s="717"/>
      <c r="CK2174" s="717"/>
      <c r="CL2174" s="717"/>
      <c r="CM2174" s="717"/>
      <c r="CN2174" s="717"/>
      <c r="CO2174" s="717"/>
      <c r="CP2174" s="717"/>
      <c r="CQ2174" s="717"/>
      <c r="CR2174" s="717"/>
      <c r="CS2174" s="717"/>
      <c r="CT2174" s="717"/>
      <c r="CU2174" s="717"/>
      <c r="CV2174" s="717"/>
      <c r="CW2174" s="717"/>
      <c r="CX2174" s="717"/>
      <c r="CY2174" s="717"/>
      <c r="CZ2174" s="717"/>
      <c r="DA2174" s="717"/>
      <c r="DB2174" s="717"/>
      <c r="DC2174" s="717"/>
      <c r="DD2174" s="717"/>
      <c r="DE2174" s="717"/>
      <c r="DF2174" s="717"/>
      <c r="DG2174" s="717"/>
      <c r="DH2174" s="717"/>
      <c r="DI2174" s="717"/>
      <c r="DJ2174" s="717"/>
      <c r="DM2174" s="711"/>
      <c r="DN2174" s="711"/>
      <c r="DO2174" s="711"/>
      <c r="DP2174" s="711"/>
      <c r="DQ2174" s="711"/>
    </row>
    <row r="2175" spans="13:121" s="709" customFormat="1" hidden="1">
      <c r="M2175" s="710"/>
      <c r="P2175" s="711"/>
      <c r="Q2175" s="712"/>
      <c r="U2175" s="711"/>
      <c r="V2175" s="711"/>
      <c r="W2175" s="711"/>
      <c r="X2175" s="711"/>
      <c r="Y2175" s="711"/>
      <c r="Z2175" s="711"/>
      <c r="AU2175" s="713"/>
      <c r="AW2175" s="712"/>
      <c r="BY2175" s="714"/>
      <c r="BZ2175" s="715"/>
      <c r="CA2175" s="716"/>
      <c r="CB2175" s="717"/>
      <c r="CC2175" s="717"/>
      <c r="CD2175" s="717"/>
      <c r="CE2175" s="717"/>
      <c r="CF2175" s="717"/>
      <c r="CG2175" s="717"/>
      <c r="CH2175" s="717"/>
      <c r="CI2175" s="717"/>
      <c r="CJ2175" s="717"/>
      <c r="CK2175" s="717"/>
      <c r="CL2175" s="717"/>
      <c r="CM2175" s="717"/>
      <c r="CN2175" s="717"/>
      <c r="CO2175" s="717"/>
      <c r="CP2175" s="717"/>
      <c r="CQ2175" s="717"/>
      <c r="CR2175" s="717"/>
      <c r="CS2175" s="717"/>
      <c r="CT2175" s="717"/>
      <c r="CU2175" s="717"/>
      <c r="CV2175" s="717"/>
      <c r="CW2175" s="717"/>
      <c r="CX2175" s="717"/>
      <c r="CY2175" s="717"/>
      <c r="CZ2175" s="717"/>
      <c r="DA2175" s="717"/>
      <c r="DB2175" s="717"/>
      <c r="DC2175" s="717"/>
      <c r="DD2175" s="717"/>
      <c r="DE2175" s="717"/>
      <c r="DF2175" s="717"/>
      <c r="DG2175" s="717"/>
      <c r="DH2175" s="717"/>
      <c r="DI2175" s="717"/>
      <c r="DJ2175" s="717"/>
      <c r="DM2175" s="711"/>
      <c r="DN2175" s="711"/>
      <c r="DO2175" s="711"/>
      <c r="DP2175" s="711"/>
      <c r="DQ2175" s="711"/>
    </row>
    <row r="2176" spans="13:121" s="709" customFormat="1" hidden="1">
      <c r="M2176" s="710"/>
      <c r="P2176" s="711"/>
      <c r="Q2176" s="712"/>
      <c r="U2176" s="711"/>
      <c r="V2176" s="711"/>
      <c r="W2176" s="711"/>
      <c r="X2176" s="711"/>
      <c r="Y2176" s="711"/>
      <c r="Z2176" s="711"/>
      <c r="AU2176" s="713"/>
      <c r="AW2176" s="712"/>
      <c r="BY2176" s="714"/>
      <c r="BZ2176" s="715"/>
      <c r="CA2176" s="716"/>
      <c r="CB2176" s="717"/>
      <c r="CC2176" s="717"/>
      <c r="CD2176" s="717"/>
      <c r="CE2176" s="717"/>
      <c r="CF2176" s="717"/>
      <c r="CG2176" s="717"/>
      <c r="CH2176" s="717"/>
      <c r="CI2176" s="717"/>
      <c r="CJ2176" s="717"/>
      <c r="CK2176" s="717"/>
      <c r="CL2176" s="717"/>
      <c r="CM2176" s="717"/>
      <c r="CN2176" s="717"/>
      <c r="CO2176" s="717"/>
      <c r="CP2176" s="717"/>
      <c r="CQ2176" s="717"/>
      <c r="CR2176" s="717"/>
      <c r="CS2176" s="717"/>
      <c r="CT2176" s="717"/>
      <c r="CU2176" s="717"/>
      <c r="CV2176" s="717"/>
      <c r="CW2176" s="717"/>
      <c r="CX2176" s="717"/>
      <c r="CY2176" s="717"/>
      <c r="CZ2176" s="717"/>
      <c r="DA2176" s="717"/>
      <c r="DB2176" s="717"/>
      <c r="DC2176" s="717"/>
      <c r="DD2176" s="717"/>
      <c r="DE2176" s="717"/>
      <c r="DF2176" s="717"/>
      <c r="DG2176" s="717"/>
      <c r="DH2176" s="717"/>
      <c r="DI2176" s="717"/>
      <c r="DJ2176" s="717"/>
      <c r="DM2176" s="711"/>
      <c r="DN2176" s="711"/>
      <c r="DO2176" s="711"/>
      <c r="DP2176" s="711"/>
      <c r="DQ2176" s="711"/>
    </row>
    <row r="2177" spans="13:121" s="709" customFormat="1" hidden="1">
      <c r="M2177" s="710"/>
      <c r="P2177" s="711"/>
      <c r="Q2177" s="712"/>
      <c r="U2177" s="711"/>
      <c r="V2177" s="711"/>
      <c r="W2177" s="711"/>
      <c r="X2177" s="711"/>
      <c r="Y2177" s="711"/>
      <c r="Z2177" s="711"/>
      <c r="AU2177" s="713"/>
      <c r="AW2177" s="712"/>
      <c r="BY2177" s="714"/>
      <c r="BZ2177" s="715"/>
      <c r="CA2177" s="716"/>
      <c r="CB2177" s="717"/>
      <c r="CC2177" s="717"/>
      <c r="CD2177" s="717"/>
      <c r="CE2177" s="717"/>
      <c r="CF2177" s="717"/>
      <c r="CG2177" s="717"/>
      <c r="CH2177" s="717"/>
      <c r="CI2177" s="717"/>
      <c r="CJ2177" s="717"/>
      <c r="CK2177" s="717"/>
      <c r="CL2177" s="717"/>
      <c r="CM2177" s="717"/>
      <c r="CN2177" s="717"/>
      <c r="CO2177" s="717"/>
      <c r="CP2177" s="717"/>
      <c r="CQ2177" s="717"/>
      <c r="CR2177" s="717"/>
      <c r="CS2177" s="717"/>
      <c r="CT2177" s="717"/>
      <c r="CU2177" s="717"/>
      <c r="CV2177" s="717"/>
      <c r="CW2177" s="717"/>
      <c r="CX2177" s="717"/>
      <c r="CY2177" s="717"/>
      <c r="CZ2177" s="717"/>
      <c r="DA2177" s="717"/>
      <c r="DB2177" s="717"/>
      <c r="DC2177" s="717"/>
      <c r="DD2177" s="717"/>
      <c r="DE2177" s="717"/>
      <c r="DF2177" s="717"/>
      <c r="DG2177" s="717"/>
      <c r="DH2177" s="717"/>
      <c r="DI2177" s="717"/>
      <c r="DJ2177" s="717"/>
      <c r="DM2177" s="711"/>
      <c r="DN2177" s="711"/>
      <c r="DO2177" s="711"/>
      <c r="DP2177" s="711"/>
      <c r="DQ2177" s="711"/>
    </row>
    <row r="2178" spans="13:121" s="709" customFormat="1" hidden="1">
      <c r="M2178" s="710"/>
      <c r="P2178" s="711"/>
      <c r="Q2178" s="712"/>
      <c r="U2178" s="711"/>
      <c r="V2178" s="711"/>
      <c r="W2178" s="711"/>
      <c r="X2178" s="711"/>
      <c r="Y2178" s="711"/>
      <c r="Z2178" s="711"/>
      <c r="AU2178" s="713"/>
      <c r="AW2178" s="712"/>
      <c r="BY2178" s="714"/>
      <c r="BZ2178" s="715"/>
      <c r="CA2178" s="716"/>
      <c r="CB2178" s="717"/>
      <c r="CC2178" s="717"/>
      <c r="CD2178" s="717"/>
      <c r="CE2178" s="717"/>
      <c r="CF2178" s="717"/>
      <c r="CG2178" s="717"/>
      <c r="CH2178" s="717"/>
      <c r="CI2178" s="717"/>
      <c r="CJ2178" s="717"/>
      <c r="CK2178" s="717"/>
      <c r="CL2178" s="717"/>
      <c r="CM2178" s="717"/>
      <c r="CN2178" s="717"/>
      <c r="CO2178" s="717"/>
      <c r="CP2178" s="717"/>
      <c r="CQ2178" s="717"/>
      <c r="CR2178" s="717"/>
      <c r="CS2178" s="717"/>
      <c r="CT2178" s="717"/>
      <c r="CU2178" s="717"/>
      <c r="CV2178" s="717"/>
      <c r="CW2178" s="717"/>
      <c r="CX2178" s="717"/>
      <c r="CY2178" s="717"/>
      <c r="CZ2178" s="717"/>
      <c r="DA2178" s="717"/>
      <c r="DB2178" s="717"/>
      <c r="DC2178" s="717"/>
      <c r="DD2178" s="717"/>
      <c r="DE2178" s="717"/>
      <c r="DF2178" s="717"/>
      <c r="DG2178" s="717"/>
      <c r="DH2178" s="717"/>
      <c r="DI2178" s="717"/>
      <c r="DJ2178" s="717"/>
      <c r="DM2178" s="711"/>
      <c r="DN2178" s="711"/>
      <c r="DO2178" s="711"/>
      <c r="DP2178" s="711"/>
      <c r="DQ2178" s="711"/>
    </row>
    <row r="2179" spans="13:121" s="709" customFormat="1" hidden="1">
      <c r="M2179" s="710"/>
      <c r="P2179" s="711"/>
      <c r="Q2179" s="712"/>
      <c r="U2179" s="711"/>
      <c r="V2179" s="711"/>
      <c r="W2179" s="711"/>
      <c r="X2179" s="711"/>
      <c r="Y2179" s="711"/>
      <c r="Z2179" s="711"/>
      <c r="AU2179" s="713"/>
      <c r="AW2179" s="712"/>
      <c r="BY2179" s="714"/>
      <c r="BZ2179" s="715"/>
      <c r="CA2179" s="716"/>
      <c r="CB2179" s="717"/>
      <c r="CC2179" s="717"/>
      <c r="CD2179" s="717"/>
      <c r="CE2179" s="717"/>
      <c r="CF2179" s="717"/>
      <c r="CG2179" s="717"/>
      <c r="CH2179" s="717"/>
      <c r="CI2179" s="717"/>
      <c r="CJ2179" s="717"/>
      <c r="CK2179" s="717"/>
      <c r="CL2179" s="717"/>
      <c r="CM2179" s="717"/>
      <c r="CN2179" s="717"/>
      <c r="CO2179" s="717"/>
      <c r="CP2179" s="717"/>
      <c r="CQ2179" s="717"/>
      <c r="CR2179" s="717"/>
      <c r="CS2179" s="717"/>
      <c r="CT2179" s="717"/>
      <c r="CU2179" s="717"/>
      <c r="CV2179" s="717"/>
      <c r="CW2179" s="717"/>
      <c r="CX2179" s="717"/>
      <c r="CY2179" s="717"/>
      <c r="CZ2179" s="717"/>
      <c r="DA2179" s="717"/>
      <c r="DB2179" s="717"/>
      <c r="DC2179" s="717"/>
      <c r="DD2179" s="717"/>
      <c r="DE2179" s="717"/>
      <c r="DF2179" s="717"/>
      <c r="DG2179" s="717"/>
      <c r="DH2179" s="717"/>
      <c r="DI2179" s="717"/>
      <c r="DJ2179" s="717"/>
      <c r="DM2179" s="711"/>
      <c r="DN2179" s="711"/>
      <c r="DO2179" s="711"/>
      <c r="DP2179" s="711"/>
      <c r="DQ2179" s="711"/>
    </row>
    <row r="2180" spans="13:121" s="709" customFormat="1" hidden="1">
      <c r="M2180" s="710"/>
      <c r="P2180" s="711"/>
      <c r="Q2180" s="712"/>
      <c r="U2180" s="711"/>
      <c r="V2180" s="711"/>
      <c r="W2180" s="711"/>
      <c r="X2180" s="711"/>
      <c r="Y2180" s="711"/>
      <c r="Z2180" s="711"/>
      <c r="AU2180" s="713"/>
      <c r="AW2180" s="712"/>
      <c r="BY2180" s="714"/>
      <c r="BZ2180" s="715"/>
      <c r="CA2180" s="716"/>
      <c r="CB2180" s="717"/>
      <c r="CC2180" s="717"/>
      <c r="CD2180" s="717"/>
      <c r="CE2180" s="717"/>
      <c r="CF2180" s="717"/>
      <c r="CG2180" s="717"/>
      <c r="CH2180" s="717"/>
      <c r="CI2180" s="717"/>
      <c r="CJ2180" s="717"/>
      <c r="CK2180" s="717"/>
      <c r="CL2180" s="717"/>
      <c r="CM2180" s="717"/>
      <c r="CN2180" s="717"/>
      <c r="CO2180" s="717"/>
      <c r="CP2180" s="717"/>
      <c r="CQ2180" s="717"/>
      <c r="CR2180" s="717"/>
      <c r="CS2180" s="717"/>
      <c r="CT2180" s="717"/>
      <c r="CU2180" s="717"/>
      <c r="CV2180" s="717"/>
      <c r="CW2180" s="717"/>
      <c r="CX2180" s="717"/>
      <c r="CY2180" s="717"/>
      <c r="CZ2180" s="717"/>
      <c r="DA2180" s="717"/>
      <c r="DB2180" s="717"/>
      <c r="DC2180" s="717"/>
      <c r="DD2180" s="717"/>
      <c r="DE2180" s="717"/>
      <c r="DF2180" s="717"/>
      <c r="DG2180" s="717"/>
      <c r="DH2180" s="717"/>
      <c r="DI2180" s="717"/>
      <c r="DJ2180" s="717"/>
      <c r="DM2180" s="711"/>
      <c r="DN2180" s="711"/>
      <c r="DO2180" s="711"/>
      <c r="DP2180" s="711"/>
      <c r="DQ2180" s="711"/>
    </row>
    <row r="2181" spans="13:121" s="709" customFormat="1" hidden="1">
      <c r="M2181" s="710"/>
      <c r="P2181" s="711"/>
      <c r="Q2181" s="712"/>
      <c r="U2181" s="711"/>
      <c r="V2181" s="711"/>
      <c r="W2181" s="711"/>
      <c r="X2181" s="711"/>
      <c r="Y2181" s="711"/>
      <c r="Z2181" s="711"/>
      <c r="AU2181" s="713"/>
      <c r="AW2181" s="712"/>
      <c r="BY2181" s="714"/>
      <c r="BZ2181" s="715"/>
      <c r="CA2181" s="716"/>
      <c r="CB2181" s="717"/>
      <c r="CC2181" s="717"/>
      <c r="CD2181" s="717"/>
      <c r="CE2181" s="717"/>
      <c r="CF2181" s="717"/>
      <c r="CG2181" s="717"/>
      <c r="CH2181" s="717"/>
      <c r="CI2181" s="717"/>
      <c r="CJ2181" s="717"/>
      <c r="CK2181" s="717"/>
      <c r="CL2181" s="717"/>
      <c r="CM2181" s="717"/>
      <c r="CN2181" s="717"/>
      <c r="CO2181" s="717"/>
      <c r="CP2181" s="717"/>
      <c r="CQ2181" s="717"/>
      <c r="CR2181" s="717"/>
      <c r="CS2181" s="717"/>
      <c r="CT2181" s="717"/>
      <c r="CU2181" s="717"/>
      <c r="CV2181" s="717"/>
      <c r="CW2181" s="717"/>
      <c r="CX2181" s="717"/>
      <c r="CY2181" s="717"/>
      <c r="CZ2181" s="717"/>
      <c r="DA2181" s="717"/>
      <c r="DB2181" s="717"/>
      <c r="DC2181" s="717"/>
      <c r="DD2181" s="717"/>
      <c r="DE2181" s="717"/>
      <c r="DF2181" s="717"/>
      <c r="DG2181" s="717"/>
      <c r="DH2181" s="717"/>
      <c r="DI2181" s="717"/>
      <c r="DJ2181" s="717"/>
      <c r="DM2181" s="711"/>
      <c r="DN2181" s="711"/>
      <c r="DO2181" s="711"/>
      <c r="DP2181" s="711"/>
      <c r="DQ2181" s="711"/>
    </row>
    <row r="2182" spans="13:121" s="709" customFormat="1" hidden="1">
      <c r="M2182" s="710"/>
      <c r="P2182" s="711"/>
      <c r="Q2182" s="712"/>
      <c r="U2182" s="711"/>
      <c r="V2182" s="711"/>
      <c r="W2182" s="711"/>
      <c r="X2182" s="711"/>
      <c r="Y2182" s="711"/>
      <c r="Z2182" s="711"/>
      <c r="AU2182" s="713"/>
      <c r="AW2182" s="712"/>
      <c r="BY2182" s="714"/>
      <c r="BZ2182" s="715"/>
      <c r="CA2182" s="716"/>
      <c r="CB2182" s="717"/>
      <c r="CC2182" s="717"/>
      <c r="CD2182" s="717"/>
      <c r="CE2182" s="717"/>
      <c r="CF2182" s="717"/>
      <c r="CG2182" s="717"/>
      <c r="CH2182" s="717"/>
      <c r="CI2182" s="717"/>
      <c r="CJ2182" s="717"/>
      <c r="CK2182" s="717"/>
      <c r="CL2182" s="717"/>
      <c r="CM2182" s="717"/>
      <c r="CN2182" s="717"/>
      <c r="CO2182" s="717"/>
      <c r="CP2182" s="717"/>
      <c r="CQ2182" s="717"/>
      <c r="CR2182" s="717"/>
      <c r="CS2182" s="717"/>
      <c r="CT2182" s="717"/>
      <c r="CU2182" s="717"/>
      <c r="CV2182" s="717"/>
      <c r="CW2182" s="717"/>
      <c r="CX2182" s="717"/>
      <c r="CY2182" s="717"/>
      <c r="CZ2182" s="717"/>
      <c r="DA2182" s="717"/>
      <c r="DB2182" s="717"/>
      <c r="DC2182" s="717"/>
      <c r="DD2182" s="717"/>
      <c r="DE2182" s="717"/>
      <c r="DF2182" s="717"/>
      <c r="DG2182" s="717"/>
      <c r="DH2182" s="717"/>
      <c r="DI2182" s="717"/>
      <c r="DJ2182" s="717"/>
      <c r="DM2182" s="711"/>
      <c r="DN2182" s="711"/>
      <c r="DO2182" s="711"/>
      <c r="DP2182" s="711"/>
      <c r="DQ2182" s="711"/>
    </row>
    <row r="2183" spans="13:121" s="709" customFormat="1" hidden="1">
      <c r="M2183" s="710"/>
      <c r="P2183" s="711"/>
      <c r="Q2183" s="712"/>
      <c r="U2183" s="711"/>
      <c r="V2183" s="711"/>
      <c r="W2183" s="711"/>
      <c r="X2183" s="711"/>
      <c r="Y2183" s="711"/>
      <c r="Z2183" s="711"/>
      <c r="AU2183" s="713"/>
      <c r="AW2183" s="712"/>
      <c r="BY2183" s="714"/>
      <c r="BZ2183" s="715"/>
      <c r="CA2183" s="716"/>
      <c r="CB2183" s="717"/>
      <c r="CC2183" s="717"/>
      <c r="CD2183" s="717"/>
      <c r="CE2183" s="717"/>
      <c r="CF2183" s="717"/>
      <c r="CG2183" s="717"/>
      <c r="CH2183" s="717"/>
      <c r="CI2183" s="717"/>
      <c r="CJ2183" s="717"/>
      <c r="CK2183" s="717"/>
      <c r="CL2183" s="717"/>
      <c r="CM2183" s="717"/>
      <c r="CN2183" s="717"/>
      <c r="CO2183" s="717"/>
      <c r="CP2183" s="717"/>
      <c r="CQ2183" s="717"/>
      <c r="CR2183" s="717"/>
      <c r="CS2183" s="717"/>
      <c r="CT2183" s="717"/>
      <c r="CU2183" s="717"/>
      <c r="CV2183" s="717"/>
      <c r="CW2183" s="717"/>
      <c r="CX2183" s="717"/>
      <c r="CY2183" s="717"/>
      <c r="CZ2183" s="717"/>
      <c r="DA2183" s="717"/>
      <c r="DB2183" s="717"/>
      <c r="DC2183" s="717"/>
      <c r="DD2183" s="717"/>
      <c r="DE2183" s="717"/>
      <c r="DF2183" s="717"/>
      <c r="DG2183" s="717"/>
      <c r="DH2183" s="717"/>
      <c r="DI2183" s="717"/>
      <c r="DJ2183" s="717"/>
      <c r="DM2183" s="711"/>
      <c r="DN2183" s="711"/>
      <c r="DO2183" s="711"/>
      <c r="DP2183" s="711"/>
      <c r="DQ2183" s="711"/>
    </row>
    <row r="2184" spans="13:121" s="709" customFormat="1" hidden="1">
      <c r="M2184" s="710"/>
      <c r="P2184" s="711"/>
      <c r="Q2184" s="712"/>
      <c r="U2184" s="711"/>
      <c r="V2184" s="711"/>
      <c r="W2184" s="711"/>
      <c r="X2184" s="711"/>
      <c r="Y2184" s="711"/>
      <c r="Z2184" s="711"/>
      <c r="AU2184" s="713"/>
      <c r="AW2184" s="712"/>
      <c r="BY2184" s="714"/>
      <c r="BZ2184" s="715"/>
      <c r="CA2184" s="716"/>
      <c r="CB2184" s="717"/>
      <c r="CC2184" s="717"/>
      <c r="CD2184" s="717"/>
      <c r="CE2184" s="717"/>
      <c r="CF2184" s="717"/>
      <c r="CG2184" s="717"/>
      <c r="CH2184" s="717"/>
      <c r="CI2184" s="717"/>
      <c r="CJ2184" s="717"/>
      <c r="CK2184" s="717"/>
      <c r="CL2184" s="717"/>
      <c r="CM2184" s="717"/>
      <c r="CN2184" s="717"/>
      <c r="CO2184" s="717"/>
      <c r="CP2184" s="717"/>
      <c r="CQ2184" s="717"/>
      <c r="CR2184" s="717"/>
      <c r="CS2184" s="717"/>
      <c r="CT2184" s="717"/>
      <c r="CU2184" s="717"/>
      <c r="CV2184" s="717"/>
      <c r="CW2184" s="717"/>
      <c r="CX2184" s="717"/>
      <c r="CY2184" s="717"/>
      <c r="CZ2184" s="717"/>
      <c r="DA2184" s="717"/>
      <c r="DB2184" s="717"/>
      <c r="DC2184" s="717"/>
      <c r="DD2184" s="717"/>
      <c r="DE2184" s="717"/>
      <c r="DF2184" s="717"/>
      <c r="DG2184" s="717"/>
      <c r="DH2184" s="717"/>
      <c r="DI2184" s="717"/>
      <c r="DJ2184" s="717"/>
      <c r="DM2184" s="711"/>
      <c r="DN2184" s="711"/>
      <c r="DO2184" s="711"/>
      <c r="DP2184" s="711"/>
      <c r="DQ2184" s="711"/>
    </row>
    <row r="2185" spans="13:121" s="709" customFormat="1" hidden="1">
      <c r="M2185" s="710"/>
      <c r="P2185" s="711"/>
      <c r="Q2185" s="712"/>
      <c r="U2185" s="711"/>
      <c r="V2185" s="711"/>
      <c r="W2185" s="711"/>
      <c r="X2185" s="711"/>
      <c r="Y2185" s="711"/>
      <c r="Z2185" s="711"/>
      <c r="AU2185" s="713"/>
      <c r="AW2185" s="712"/>
      <c r="BY2185" s="714"/>
      <c r="BZ2185" s="715"/>
      <c r="CA2185" s="716"/>
      <c r="CB2185" s="717"/>
      <c r="CC2185" s="717"/>
      <c r="CD2185" s="717"/>
      <c r="CE2185" s="717"/>
      <c r="CF2185" s="717"/>
      <c r="CG2185" s="717"/>
      <c r="CH2185" s="717"/>
      <c r="CI2185" s="717"/>
      <c r="CJ2185" s="717"/>
      <c r="CK2185" s="717"/>
      <c r="CL2185" s="717"/>
      <c r="CM2185" s="717"/>
      <c r="CN2185" s="717"/>
      <c r="CO2185" s="717"/>
      <c r="CP2185" s="717"/>
      <c r="CQ2185" s="717"/>
      <c r="CR2185" s="717"/>
      <c r="CS2185" s="717"/>
      <c r="CT2185" s="717"/>
      <c r="CU2185" s="717"/>
      <c r="CV2185" s="717"/>
      <c r="CW2185" s="717"/>
      <c r="CX2185" s="717"/>
      <c r="CY2185" s="717"/>
      <c r="CZ2185" s="717"/>
      <c r="DA2185" s="717"/>
      <c r="DB2185" s="717"/>
      <c r="DC2185" s="717"/>
      <c r="DD2185" s="717"/>
      <c r="DE2185" s="717"/>
      <c r="DF2185" s="717"/>
      <c r="DG2185" s="717"/>
      <c r="DH2185" s="717"/>
      <c r="DI2185" s="717"/>
      <c r="DJ2185" s="717"/>
      <c r="DM2185" s="711"/>
      <c r="DN2185" s="711"/>
      <c r="DO2185" s="711"/>
      <c r="DP2185" s="711"/>
      <c r="DQ2185" s="711"/>
    </row>
    <row r="2186" spans="13:121" s="709" customFormat="1" hidden="1">
      <c r="M2186" s="710"/>
      <c r="P2186" s="711"/>
      <c r="Q2186" s="712"/>
      <c r="U2186" s="711"/>
      <c r="V2186" s="711"/>
      <c r="W2186" s="711"/>
      <c r="X2186" s="711"/>
      <c r="Y2186" s="711"/>
      <c r="Z2186" s="711"/>
      <c r="AU2186" s="713"/>
      <c r="AW2186" s="712"/>
      <c r="BY2186" s="714"/>
      <c r="BZ2186" s="715"/>
      <c r="CA2186" s="716"/>
      <c r="CB2186" s="717"/>
      <c r="CC2186" s="717"/>
      <c r="CD2186" s="717"/>
      <c r="CE2186" s="717"/>
      <c r="CF2186" s="717"/>
      <c r="CG2186" s="717"/>
      <c r="CH2186" s="717"/>
      <c r="CI2186" s="717"/>
      <c r="CJ2186" s="717"/>
      <c r="CK2186" s="717"/>
      <c r="CL2186" s="717"/>
      <c r="CM2186" s="717"/>
      <c r="CN2186" s="717"/>
      <c r="CO2186" s="717"/>
      <c r="CP2186" s="717"/>
      <c r="CQ2186" s="717"/>
      <c r="CR2186" s="717"/>
      <c r="CS2186" s="717"/>
      <c r="CT2186" s="717"/>
      <c r="CU2186" s="717"/>
      <c r="CV2186" s="717"/>
      <c r="CW2186" s="717"/>
      <c r="CX2186" s="717"/>
      <c r="CY2186" s="717"/>
      <c r="CZ2186" s="717"/>
      <c r="DA2186" s="717"/>
      <c r="DB2186" s="717"/>
      <c r="DC2186" s="717"/>
      <c r="DD2186" s="717"/>
      <c r="DE2186" s="717"/>
      <c r="DF2186" s="717"/>
      <c r="DG2186" s="717"/>
      <c r="DH2186" s="717"/>
      <c r="DI2186" s="717"/>
      <c r="DJ2186" s="717"/>
      <c r="DM2186" s="711"/>
      <c r="DN2186" s="711"/>
      <c r="DO2186" s="711"/>
      <c r="DP2186" s="711"/>
      <c r="DQ2186" s="711"/>
    </row>
    <row r="2187" spans="13:121" s="709" customFormat="1" hidden="1">
      <c r="M2187" s="710"/>
      <c r="P2187" s="711"/>
      <c r="Q2187" s="712"/>
      <c r="U2187" s="711"/>
      <c r="V2187" s="711"/>
      <c r="W2187" s="711"/>
      <c r="X2187" s="711"/>
      <c r="Y2187" s="711"/>
      <c r="Z2187" s="711"/>
      <c r="AU2187" s="713"/>
      <c r="AW2187" s="712"/>
      <c r="BY2187" s="714"/>
      <c r="BZ2187" s="715"/>
      <c r="CA2187" s="716"/>
      <c r="CB2187" s="717"/>
      <c r="CC2187" s="717"/>
      <c r="CD2187" s="717"/>
      <c r="CE2187" s="717"/>
      <c r="CF2187" s="717"/>
      <c r="CG2187" s="717"/>
      <c r="CH2187" s="717"/>
      <c r="CI2187" s="717"/>
      <c r="CJ2187" s="717"/>
      <c r="CK2187" s="717"/>
      <c r="CL2187" s="717"/>
      <c r="CM2187" s="717"/>
      <c r="CN2187" s="717"/>
      <c r="CO2187" s="717"/>
      <c r="CP2187" s="717"/>
      <c r="CQ2187" s="717"/>
      <c r="CR2187" s="717"/>
      <c r="CS2187" s="717"/>
      <c r="CT2187" s="717"/>
      <c r="CU2187" s="717"/>
      <c r="CV2187" s="717"/>
      <c r="CW2187" s="717"/>
      <c r="CX2187" s="717"/>
      <c r="CY2187" s="717"/>
      <c r="CZ2187" s="717"/>
      <c r="DA2187" s="717"/>
      <c r="DB2187" s="717"/>
      <c r="DC2187" s="717"/>
      <c r="DD2187" s="717"/>
      <c r="DE2187" s="717"/>
      <c r="DF2187" s="717"/>
      <c r="DG2187" s="717"/>
      <c r="DH2187" s="717"/>
      <c r="DI2187" s="717"/>
      <c r="DJ2187" s="717"/>
      <c r="DM2187" s="711"/>
      <c r="DN2187" s="711"/>
      <c r="DO2187" s="711"/>
      <c r="DP2187" s="711"/>
      <c r="DQ2187" s="711"/>
    </row>
    <row r="2188" spans="13:121" s="709" customFormat="1" hidden="1">
      <c r="M2188" s="710"/>
      <c r="P2188" s="711"/>
      <c r="Q2188" s="712"/>
      <c r="U2188" s="711"/>
      <c r="V2188" s="711"/>
      <c r="W2188" s="711"/>
      <c r="X2188" s="711"/>
      <c r="Y2188" s="711"/>
      <c r="Z2188" s="711"/>
      <c r="AU2188" s="713"/>
      <c r="AW2188" s="712"/>
      <c r="BY2188" s="714"/>
      <c r="BZ2188" s="715"/>
      <c r="CA2188" s="716"/>
      <c r="CB2188" s="717"/>
      <c r="CC2188" s="717"/>
      <c r="CD2188" s="717"/>
      <c r="CE2188" s="717"/>
      <c r="CF2188" s="717"/>
      <c r="CG2188" s="717"/>
      <c r="CH2188" s="717"/>
      <c r="CI2188" s="717"/>
      <c r="CJ2188" s="717"/>
      <c r="CK2188" s="717"/>
      <c r="CL2188" s="717"/>
      <c r="CM2188" s="717"/>
      <c r="CN2188" s="717"/>
      <c r="CO2188" s="717"/>
      <c r="CP2188" s="717"/>
      <c r="CQ2188" s="717"/>
      <c r="CR2188" s="717"/>
      <c r="CS2188" s="717"/>
      <c r="CT2188" s="717"/>
      <c r="CU2188" s="717"/>
      <c r="CV2188" s="717"/>
      <c r="CW2188" s="717"/>
      <c r="CX2188" s="717"/>
      <c r="CY2188" s="717"/>
      <c r="CZ2188" s="717"/>
      <c r="DA2188" s="717"/>
      <c r="DB2188" s="717"/>
      <c r="DC2188" s="717"/>
      <c r="DD2188" s="717"/>
      <c r="DE2188" s="717"/>
      <c r="DF2188" s="717"/>
      <c r="DG2188" s="717"/>
      <c r="DH2188" s="717"/>
      <c r="DI2188" s="717"/>
      <c r="DJ2188" s="717"/>
      <c r="DM2188" s="711"/>
      <c r="DN2188" s="711"/>
      <c r="DO2188" s="711"/>
      <c r="DP2188" s="711"/>
      <c r="DQ2188" s="711"/>
    </row>
    <row r="2189" spans="13:121" s="709" customFormat="1" hidden="1">
      <c r="M2189" s="710"/>
      <c r="P2189" s="711"/>
      <c r="Q2189" s="712"/>
      <c r="U2189" s="711"/>
      <c r="V2189" s="711"/>
      <c r="W2189" s="711"/>
      <c r="X2189" s="711"/>
      <c r="Y2189" s="711"/>
      <c r="Z2189" s="711"/>
      <c r="AU2189" s="713"/>
      <c r="AW2189" s="712"/>
      <c r="BY2189" s="714"/>
      <c r="BZ2189" s="715"/>
      <c r="CA2189" s="716"/>
      <c r="CB2189" s="717"/>
      <c r="CC2189" s="717"/>
      <c r="CD2189" s="717"/>
      <c r="CE2189" s="717"/>
      <c r="CF2189" s="717"/>
      <c r="CG2189" s="717"/>
      <c r="CH2189" s="717"/>
      <c r="CI2189" s="717"/>
      <c r="CJ2189" s="717"/>
      <c r="CK2189" s="717"/>
      <c r="CL2189" s="717"/>
      <c r="CM2189" s="717"/>
      <c r="CN2189" s="717"/>
      <c r="CO2189" s="717"/>
      <c r="CP2189" s="717"/>
      <c r="CQ2189" s="717"/>
      <c r="CR2189" s="717"/>
      <c r="CS2189" s="717"/>
      <c r="CT2189" s="717"/>
      <c r="CU2189" s="717"/>
      <c r="CV2189" s="717"/>
      <c r="CW2189" s="717"/>
      <c r="CX2189" s="717"/>
      <c r="CY2189" s="717"/>
      <c r="CZ2189" s="717"/>
      <c r="DA2189" s="717"/>
      <c r="DB2189" s="717"/>
      <c r="DC2189" s="717"/>
      <c r="DD2189" s="717"/>
      <c r="DE2189" s="717"/>
      <c r="DF2189" s="717"/>
      <c r="DG2189" s="717"/>
      <c r="DH2189" s="717"/>
      <c r="DI2189" s="717"/>
      <c r="DJ2189" s="717"/>
      <c r="DM2189" s="711"/>
      <c r="DN2189" s="711"/>
      <c r="DO2189" s="711"/>
      <c r="DP2189" s="711"/>
      <c r="DQ2189" s="711"/>
    </row>
    <row r="2190" spans="13:121" s="709" customFormat="1" hidden="1">
      <c r="M2190" s="710"/>
      <c r="P2190" s="711"/>
      <c r="Q2190" s="712"/>
      <c r="U2190" s="711"/>
      <c r="V2190" s="711"/>
      <c r="W2190" s="711"/>
      <c r="X2190" s="711"/>
      <c r="Y2190" s="711"/>
      <c r="Z2190" s="711"/>
      <c r="AU2190" s="713"/>
      <c r="AW2190" s="712"/>
      <c r="BY2190" s="714"/>
      <c r="BZ2190" s="715"/>
      <c r="CA2190" s="716"/>
      <c r="CB2190" s="717"/>
      <c r="CC2190" s="717"/>
      <c r="CD2190" s="717"/>
      <c r="CE2190" s="717"/>
      <c r="CF2190" s="717"/>
      <c r="CG2190" s="717"/>
      <c r="CH2190" s="717"/>
      <c r="CI2190" s="717"/>
      <c r="CJ2190" s="717"/>
      <c r="CK2190" s="717"/>
      <c r="CL2190" s="717"/>
      <c r="CM2190" s="717"/>
      <c r="CN2190" s="717"/>
      <c r="CO2190" s="717"/>
      <c r="CP2190" s="717"/>
      <c r="CQ2190" s="717"/>
      <c r="CR2190" s="717"/>
      <c r="CS2190" s="717"/>
      <c r="CT2190" s="717"/>
      <c r="CU2190" s="717"/>
      <c r="CV2190" s="717"/>
      <c r="CW2190" s="717"/>
      <c r="CX2190" s="717"/>
      <c r="CY2190" s="717"/>
      <c r="CZ2190" s="717"/>
      <c r="DA2190" s="717"/>
      <c r="DB2190" s="717"/>
      <c r="DC2190" s="717"/>
      <c r="DD2190" s="717"/>
      <c r="DE2190" s="717"/>
      <c r="DF2190" s="717"/>
      <c r="DG2190" s="717"/>
      <c r="DH2190" s="717"/>
      <c r="DI2190" s="717"/>
      <c r="DJ2190" s="717"/>
      <c r="DM2190" s="711"/>
      <c r="DN2190" s="711"/>
      <c r="DO2190" s="711"/>
      <c r="DP2190" s="711"/>
      <c r="DQ2190" s="711"/>
    </row>
    <row r="2191" spans="13:121" s="709" customFormat="1" hidden="1">
      <c r="M2191" s="710"/>
      <c r="P2191" s="711"/>
      <c r="Q2191" s="712"/>
      <c r="U2191" s="711"/>
      <c r="V2191" s="711"/>
      <c r="W2191" s="711"/>
      <c r="X2191" s="711"/>
      <c r="Y2191" s="711"/>
      <c r="Z2191" s="711"/>
      <c r="AU2191" s="713"/>
      <c r="AW2191" s="712"/>
      <c r="BY2191" s="714"/>
      <c r="BZ2191" s="715"/>
      <c r="CA2191" s="716"/>
      <c r="CB2191" s="717"/>
      <c r="CC2191" s="717"/>
      <c r="CD2191" s="717"/>
      <c r="CE2191" s="717"/>
      <c r="CF2191" s="717"/>
      <c r="CG2191" s="717"/>
      <c r="CH2191" s="717"/>
      <c r="CI2191" s="717"/>
      <c r="CJ2191" s="717"/>
      <c r="CK2191" s="717"/>
      <c r="CL2191" s="717"/>
      <c r="CM2191" s="717"/>
      <c r="CN2191" s="717"/>
      <c r="CO2191" s="717"/>
      <c r="CP2191" s="717"/>
      <c r="CQ2191" s="717"/>
      <c r="CR2191" s="717"/>
      <c r="CS2191" s="717"/>
      <c r="CT2191" s="717"/>
      <c r="CU2191" s="717"/>
      <c r="CV2191" s="717"/>
      <c r="CW2191" s="717"/>
      <c r="CX2191" s="717"/>
      <c r="CY2191" s="717"/>
      <c r="CZ2191" s="717"/>
      <c r="DA2191" s="717"/>
      <c r="DB2191" s="717"/>
      <c r="DC2191" s="717"/>
      <c r="DD2191" s="717"/>
      <c r="DE2191" s="717"/>
      <c r="DF2191" s="717"/>
      <c r="DG2191" s="717"/>
      <c r="DH2191" s="717"/>
      <c r="DI2191" s="717"/>
      <c r="DJ2191" s="717"/>
      <c r="DM2191" s="711"/>
      <c r="DN2191" s="711"/>
      <c r="DO2191" s="711"/>
      <c r="DP2191" s="711"/>
      <c r="DQ2191" s="711"/>
    </row>
    <row r="2192" spans="13:121" s="709" customFormat="1" hidden="1">
      <c r="M2192" s="710"/>
      <c r="P2192" s="711"/>
      <c r="Q2192" s="712"/>
      <c r="U2192" s="711"/>
      <c r="V2192" s="711"/>
      <c r="W2192" s="711"/>
      <c r="X2192" s="711"/>
      <c r="Y2192" s="711"/>
      <c r="Z2192" s="711"/>
      <c r="AU2192" s="713"/>
      <c r="AW2192" s="712"/>
      <c r="BY2192" s="714"/>
      <c r="BZ2192" s="715"/>
      <c r="CA2192" s="716"/>
      <c r="CB2192" s="717"/>
      <c r="CC2192" s="717"/>
      <c r="CD2192" s="717"/>
      <c r="CE2192" s="717"/>
      <c r="CF2192" s="717"/>
      <c r="CG2192" s="717"/>
      <c r="CH2192" s="717"/>
      <c r="CI2192" s="717"/>
      <c r="CJ2192" s="717"/>
      <c r="CK2192" s="717"/>
      <c r="CL2192" s="717"/>
      <c r="CM2192" s="717"/>
      <c r="CN2192" s="717"/>
      <c r="CO2192" s="717"/>
      <c r="CP2192" s="717"/>
      <c r="CQ2192" s="717"/>
      <c r="CR2192" s="717"/>
      <c r="CS2192" s="717"/>
      <c r="CT2192" s="717"/>
      <c r="CU2192" s="717"/>
      <c r="CV2192" s="717"/>
      <c r="CW2192" s="717"/>
      <c r="CX2192" s="717"/>
      <c r="CY2192" s="717"/>
      <c r="CZ2192" s="717"/>
      <c r="DA2192" s="717"/>
      <c r="DB2192" s="717"/>
      <c r="DC2192" s="717"/>
      <c r="DD2192" s="717"/>
      <c r="DE2192" s="717"/>
      <c r="DF2192" s="717"/>
      <c r="DG2192" s="717"/>
      <c r="DH2192" s="717"/>
      <c r="DI2192" s="717"/>
      <c r="DJ2192" s="717"/>
      <c r="DM2192" s="711"/>
      <c r="DN2192" s="711"/>
      <c r="DO2192" s="711"/>
      <c r="DP2192" s="711"/>
      <c r="DQ2192" s="711"/>
    </row>
    <row r="2193" spans="13:121" s="709" customFormat="1" hidden="1">
      <c r="M2193" s="710"/>
      <c r="P2193" s="711"/>
      <c r="Q2193" s="712"/>
      <c r="U2193" s="711"/>
      <c r="V2193" s="711"/>
      <c r="W2193" s="711"/>
      <c r="X2193" s="711"/>
      <c r="Y2193" s="711"/>
      <c r="Z2193" s="711"/>
      <c r="AU2193" s="713"/>
      <c r="AW2193" s="712"/>
      <c r="BY2193" s="714"/>
      <c r="BZ2193" s="715"/>
      <c r="CA2193" s="716"/>
      <c r="CB2193" s="717"/>
      <c r="CC2193" s="717"/>
      <c r="CD2193" s="717"/>
      <c r="CE2193" s="717"/>
      <c r="CF2193" s="717"/>
      <c r="CG2193" s="717"/>
      <c r="CH2193" s="717"/>
      <c r="CI2193" s="717"/>
      <c r="CJ2193" s="717"/>
      <c r="CK2193" s="717"/>
      <c r="CL2193" s="717"/>
      <c r="CM2193" s="717"/>
      <c r="CN2193" s="717"/>
      <c r="CO2193" s="717"/>
      <c r="CP2193" s="717"/>
      <c r="CQ2193" s="717"/>
      <c r="CR2193" s="717"/>
      <c r="CS2193" s="717"/>
      <c r="CT2193" s="717"/>
      <c r="CU2193" s="717"/>
      <c r="CV2193" s="717"/>
      <c r="CW2193" s="717"/>
      <c r="CX2193" s="717"/>
      <c r="CY2193" s="717"/>
      <c r="CZ2193" s="717"/>
      <c r="DA2193" s="717"/>
      <c r="DB2193" s="717"/>
      <c r="DC2193" s="717"/>
      <c r="DD2193" s="717"/>
      <c r="DE2193" s="717"/>
      <c r="DF2193" s="717"/>
      <c r="DG2193" s="717"/>
      <c r="DH2193" s="717"/>
      <c r="DI2193" s="717"/>
      <c r="DJ2193" s="717"/>
      <c r="DM2193" s="711"/>
      <c r="DN2193" s="711"/>
      <c r="DO2193" s="711"/>
      <c r="DP2193" s="711"/>
      <c r="DQ2193" s="711"/>
    </row>
    <row r="2194" spans="13:121" s="709" customFormat="1" hidden="1">
      <c r="M2194" s="710"/>
      <c r="P2194" s="711"/>
      <c r="Q2194" s="712"/>
      <c r="U2194" s="711"/>
      <c r="V2194" s="711"/>
      <c r="W2194" s="711"/>
      <c r="X2194" s="711"/>
      <c r="Y2194" s="711"/>
      <c r="Z2194" s="711"/>
      <c r="AU2194" s="713"/>
      <c r="AW2194" s="712"/>
      <c r="BY2194" s="714"/>
      <c r="BZ2194" s="715"/>
      <c r="CA2194" s="716"/>
      <c r="CB2194" s="717"/>
      <c r="CC2194" s="717"/>
      <c r="CD2194" s="717"/>
      <c r="CE2194" s="717"/>
      <c r="CF2194" s="717"/>
      <c r="CG2194" s="717"/>
      <c r="CH2194" s="717"/>
      <c r="CI2194" s="717"/>
      <c r="CJ2194" s="717"/>
      <c r="CK2194" s="717"/>
      <c r="CL2194" s="717"/>
      <c r="CM2194" s="717"/>
      <c r="CN2194" s="717"/>
      <c r="CO2194" s="717"/>
      <c r="CP2194" s="717"/>
      <c r="CQ2194" s="717"/>
      <c r="CR2194" s="717"/>
      <c r="CS2194" s="717"/>
      <c r="CT2194" s="717"/>
      <c r="CU2194" s="717"/>
      <c r="CV2194" s="717"/>
      <c r="CW2194" s="717"/>
      <c r="CX2194" s="717"/>
      <c r="CY2194" s="717"/>
      <c r="CZ2194" s="717"/>
      <c r="DA2194" s="717"/>
      <c r="DB2194" s="717"/>
      <c r="DC2194" s="717"/>
      <c r="DD2194" s="717"/>
      <c r="DE2194" s="717"/>
      <c r="DF2194" s="717"/>
      <c r="DG2194" s="717"/>
      <c r="DH2194" s="717"/>
      <c r="DI2194" s="717"/>
      <c r="DJ2194" s="717"/>
      <c r="DM2194" s="711"/>
      <c r="DN2194" s="711"/>
      <c r="DO2194" s="711"/>
      <c r="DP2194" s="711"/>
      <c r="DQ2194" s="711"/>
    </row>
    <row r="2195" spans="13:121" s="709" customFormat="1" hidden="1">
      <c r="M2195" s="710"/>
      <c r="P2195" s="711"/>
      <c r="Q2195" s="712"/>
      <c r="U2195" s="711"/>
      <c r="V2195" s="711"/>
      <c r="W2195" s="711"/>
      <c r="X2195" s="711"/>
      <c r="Y2195" s="711"/>
      <c r="Z2195" s="711"/>
      <c r="AU2195" s="713"/>
      <c r="AW2195" s="712"/>
      <c r="BY2195" s="714"/>
      <c r="BZ2195" s="715"/>
      <c r="CA2195" s="716"/>
      <c r="CB2195" s="717"/>
      <c r="CC2195" s="717"/>
      <c r="CD2195" s="717"/>
      <c r="CE2195" s="717"/>
      <c r="CF2195" s="717"/>
      <c r="CG2195" s="717"/>
      <c r="CH2195" s="717"/>
      <c r="CI2195" s="717"/>
      <c r="CJ2195" s="717"/>
      <c r="CK2195" s="717"/>
      <c r="CL2195" s="717"/>
      <c r="CM2195" s="717"/>
      <c r="CN2195" s="717"/>
      <c r="CO2195" s="717"/>
      <c r="CP2195" s="717"/>
      <c r="CQ2195" s="717"/>
      <c r="CR2195" s="717"/>
      <c r="CS2195" s="717"/>
      <c r="CT2195" s="717"/>
      <c r="CU2195" s="717"/>
      <c r="CV2195" s="717"/>
      <c r="CW2195" s="717"/>
      <c r="CX2195" s="717"/>
      <c r="CY2195" s="717"/>
      <c r="CZ2195" s="717"/>
      <c r="DA2195" s="717"/>
      <c r="DB2195" s="717"/>
      <c r="DC2195" s="717"/>
      <c r="DD2195" s="717"/>
      <c r="DE2195" s="717"/>
      <c r="DF2195" s="717"/>
      <c r="DG2195" s="717"/>
      <c r="DH2195" s="717"/>
      <c r="DI2195" s="717"/>
      <c r="DJ2195" s="717"/>
      <c r="DM2195" s="711"/>
      <c r="DN2195" s="711"/>
      <c r="DO2195" s="711"/>
      <c r="DP2195" s="711"/>
      <c r="DQ2195" s="711"/>
    </row>
    <row r="2196" spans="13:121" s="709" customFormat="1" hidden="1">
      <c r="M2196" s="710"/>
      <c r="P2196" s="711"/>
      <c r="Q2196" s="712"/>
      <c r="U2196" s="711"/>
      <c r="V2196" s="711"/>
      <c r="W2196" s="711"/>
      <c r="X2196" s="711"/>
      <c r="Y2196" s="711"/>
      <c r="Z2196" s="711"/>
      <c r="AU2196" s="713"/>
      <c r="AW2196" s="712"/>
      <c r="BY2196" s="714"/>
      <c r="BZ2196" s="715"/>
      <c r="CA2196" s="716"/>
      <c r="CB2196" s="717"/>
      <c r="CC2196" s="717"/>
      <c r="CD2196" s="717"/>
      <c r="CE2196" s="717"/>
      <c r="CF2196" s="717"/>
      <c r="CG2196" s="717"/>
      <c r="CH2196" s="717"/>
      <c r="CI2196" s="717"/>
      <c r="CJ2196" s="717"/>
      <c r="CK2196" s="717"/>
      <c r="CL2196" s="717"/>
      <c r="CM2196" s="717"/>
      <c r="CN2196" s="717"/>
      <c r="CO2196" s="717"/>
      <c r="CP2196" s="717"/>
      <c r="CQ2196" s="717"/>
      <c r="CR2196" s="717"/>
      <c r="CS2196" s="717"/>
      <c r="CT2196" s="717"/>
      <c r="CU2196" s="717"/>
      <c r="CV2196" s="717"/>
      <c r="CW2196" s="717"/>
      <c r="CX2196" s="717"/>
      <c r="CY2196" s="717"/>
      <c r="CZ2196" s="717"/>
      <c r="DA2196" s="717"/>
      <c r="DB2196" s="717"/>
      <c r="DC2196" s="717"/>
      <c r="DD2196" s="717"/>
      <c r="DE2196" s="717"/>
      <c r="DF2196" s="717"/>
      <c r="DG2196" s="717"/>
      <c r="DH2196" s="717"/>
      <c r="DI2196" s="717"/>
      <c r="DJ2196" s="717"/>
      <c r="DM2196" s="711"/>
      <c r="DN2196" s="711"/>
      <c r="DO2196" s="711"/>
      <c r="DP2196" s="711"/>
      <c r="DQ2196" s="711"/>
    </row>
    <row r="2197" spans="13:121" s="709" customFormat="1" hidden="1">
      <c r="M2197" s="710"/>
      <c r="P2197" s="711"/>
      <c r="Q2197" s="712"/>
      <c r="U2197" s="711"/>
      <c r="V2197" s="711"/>
      <c r="W2197" s="711"/>
      <c r="X2197" s="711"/>
      <c r="Y2197" s="711"/>
      <c r="Z2197" s="711"/>
      <c r="AU2197" s="713"/>
      <c r="AW2197" s="712"/>
      <c r="BY2197" s="714"/>
      <c r="BZ2197" s="715"/>
      <c r="CA2197" s="716"/>
      <c r="CB2197" s="717"/>
      <c r="CC2197" s="717"/>
      <c r="CD2197" s="717"/>
      <c r="CE2197" s="717"/>
      <c r="CF2197" s="717"/>
      <c r="CG2197" s="717"/>
      <c r="CH2197" s="717"/>
      <c r="CI2197" s="717"/>
      <c r="CJ2197" s="717"/>
      <c r="CK2197" s="717"/>
      <c r="CL2197" s="717"/>
      <c r="CM2197" s="717"/>
      <c r="CN2197" s="717"/>
      <c r="CO2197" s="717"/>
      <c r="CP2197" s="717"/>
      <c r="CQ2197" s="717"/>
      <c r="CR2197" s="717"/>
      <c r="CS2197" s="717"/>
      <c r="CT2197" s="717"/>
      <c r="CU2197" s="717"/>
      <c r="CV2197" s="717"/>
      <c r="CW2197" s="717"/>
      <c r="CX2197" s="717"/>
      <c r="CY2197" s="717"/>
      <c r="CZ2197" s="717"/>
      <c r="DA2197" s="717"/>
      <c r="DB2197" s="717"/>
      <c r="DC2197" s="717"/>
      <c r="DD2197" s="717"/>
      <c r="DE2197" s="717"/>
      <c r="DF2197" s="717"/>
      <c r="DG2197" s="717"/>
      <c r="DH2197" s="717"/>
      <c r="DI2197" s="717"/>
      <c r="DJ2197" s="717"/>
      <c r="DM2197" s="711"/>
      <c r="DN2197" s="711"/>
      <c r="DO2197" s="711"/>
      <c r="DP2197" s="711"/>
      <c r="DQ2197" s="711"/>
    </row>
    <row r="2198" spans="13:121" s="709" customFormat="1" hidden="1">
      <c r="M2198" s="710"/>
      <c r="P2198" s="711"/>
      <c r="Q2198" s="712"/>
      <c r="U2198" s="711"/>
      <c r="V2198" s="711"/>
      <c r="W2198" s="711"/>
      <c r="X2198" s="711"/>
      <c r="Y2198" s="711"/>
      <c r="Z2198" s="711"/>
      <c r="AU2198" s="713"/>
      <c r="AW2198" s="712"/>
      <c r="BY2198" s="714"/>
      <c r="BZ2198" s="715"/>
      <c r="CA2198" s="716"/>
      <c r="CB2198" s="717"/>
      <c r="CC2198" s="717"/>
      <c r="CD2198" s="717"/>
      <c r="CE2198" s="717"/>
      <c r="CF2198" s="717"/>
      <c r="CG2198" s="717"/>
      <c r="CH2198" s="717"/>
      <c r="CI2198" s="717"/>
      <c r="CJ2198" s="717"/>
      <c r="CK2198" s="717"/>
      <c r="CL2198" s="717"/>
      <c r="CM2198" s="717"/>
      <c r="CN2198" s="717"/>
      <c r="CO2198" s="717"/>
      <c r="CP2198" s="717"/>
      <c r="CQ2198" s="717"/>
      <c r="CR2198" s="717"/>
      <c r="CS2198" s="717"/>
      <c r="CT2198" s="717"/>
      <c r="CU2198" s="717"/>
      <c r="CV2198" s="717"/>
      <c r="CW2198" s="717"/>
      <c r="CX2198" s="717"/>
      <c r="CY2198" s="717"/>
      <c r="CZ2198" s="717"/>
      <c r="DA2198" s="717"/>
      <c r="DB2198" s="717"/>
      <c r="DC2198" s="717"/>
      <c r="DD2198" s="717"/>
      <c r="DE2198" s="717"/>
      <c r="DF2198" s="717"/>
      <c r="DG2198" s="717"/>
      <c r="DH2198" s="717"/>
      <c r="DI2198" s="717"/>
      <c r="DJ2198" s="717"/>
      <c r="DM2198" s="711"/>
      <c r="DN2198" s="711"/>
      <c r="DO2198" s="711"/>
      <c r="DP2198" s="711"/>
      <c r="DQ2198" s="711"/>
    </row>
    <row r="2199" spans="13:121" s="709" customFormat="1" hidden="1">
      <c r="M2199" s="710"/>
      <c r="P2199" s="711"/>
      <c r="Q2199" s="712"/>
      <c r="U2199" s="711"/>
      <c r="V2199" s="711"/>
      <c r="W2199" s="711"/>
      <c r="X2199" s="711"/>
      <c r="Y2199" s="711"/>
      <c r="Z2199" s="711"/>
      <c r="AU2199" s="713"/>
      <c r="AW2199" s="712"/>
      <c r="BY2199" s="714"/>
      <c r="BZ2199" s="715"/>
      <c r="CA2199" s="716"/>
      <c r="CB2199" s="717"/>
      <c r="CC2199" s="717"/>
      <c r="CD2199" s="717"/>
      <c r="CE2199" s="717"/>
      <c r="CF2199" s="717"/>
      <c r="CG2199" s="717"/>
      <c r="CH2199" s="717"/>
      <c r="CI2199" s="717"/>
      <c r="CJ2199" s="717"/>
      <c r="CK2199" s="717"/>
      <c r="CL2199" s="717"/>
      <c r="CM2199" s="717"/>
      <c r="CN2199" s="717"/>
      <c r="CO2199" s="717"/>
      <c r="CP2199" s="717"/>
      <c r="CQ2199" s="717"/>
      <c r="CR2199" s="717"/>
      <c r="CS2199" s="717"/>
      <c r="CT2199" s="717"/>
      <c r="CU2199" s="717"/>
      <c r="CV2199" s="717"/>
      <c r="CW2199" s="717"/>
      <c r="CX2199" s="717"/>
      <c r="CY2199" s="717"/>
      <c r="CZ2199" s="717"/>
      <c r="DA2199" s="717"/>
      <c r="DB2199" s="717"/>
      <c r="DC2199" s="717"/>
      <c r="DD2199" s="717"/>
      <c r="DE2199" s="717"/>
      <c r="DF2199" s="717"/>
      <c r="DG2199" s="717"/>
      <c r="DH2199" s="717"/>
      <c r="DI2199" s="717"/>
      <c r="DJ2199" s="717"/>
      <c r="DM2199" s="711"/>
      <c r="DN2199" s="711"/>
      <c r="DO2199" s="711"/>
      <c r="DP2199" s="711"/>
      <c r="DQ2199" s="711"/>
    </row>
    <row r="2200" spans="13:121" s="709" customFormat="1" hidden="1">
      <c r="M2200" s="710"/>
      <c r="P2200" s="711"/>
      <c r="Q2200" s="712"/>
      <c r="U2200" s="711"/>
      <c r="V2200" s="711"/>
      <c r="W2200" s="711"/>
      <c r="X2200" s="711"/>
      <c r="Y2200" s="711"/>
      <c r="Z2200" s="711"/>
      <c r="AU2200" s="713"/>
      <c r="AW2200" s="712"/>
      <c r="BY2200" s="714"/>
      <c r="BZ2200" s="715"/>
      <c r="CA2200" s="716"/>
      <c r="CB2200" s="717"/>
      <c r="CC2200" s="717"/>
      <c r="CD2200" s="717"/>
      <c r="CE2200" s="717"/>
      <c r="CF2200" s="717"/>
      <c r="CG2200" s="717"/>
      <c r="CH2200" s="717"/>
      <c r="CI2200" s="717"/>
      <c r="CJ2200" s="717"/>
      <c r="CK2200" s="717"/>
      <c r="CL2200" s="717"/>
      <c r="CM2200" s="717"/>
      <c r="CN2200" s="717"/>
      <c r="CO2200" s="717"/>
      <c r="CP2200" s="717"/>
      <c r="CQ2200" s="717"/>
      <c r="CR2200" s="717"/>
      <c r="CS2200" s="717"/>
      <c r="CT2200" s="717"/>
      <c r="CU2200" s="717"/>
      <c r="CV2200" s="717"/>
      <c r="CW2200" s="717"/>
      <c r="CX2200" s="717"/>
      <c r="CY2200" s="717"/>
      <c r="CZ2200" s="717"/>
      <c r="DA2200" s="717"/>
      <c r="DB2200" s="717"/>
      <c r="DC2200" s="717"/>
      <c r="DD2200" s="717"/>
      <c r="DE2200" s="717"/>
      <c r="DF2200" s="717"/>
      <c r="DG2200" s="717"/>
      <c r="DH2200" s="717"/>
      <c r="DI2200" s="717"/>
      <c r="DJ2200" s="717"/>
      <c r="DM2200" s="711"/>
      <c r="DN2200" s="711"/>
      <c r="DO2200" s="711"/>
      <c r="DP2200" s="711"/>
      <c r="DQ2200" s="711"/>
    </row>
    <row r="2201" spans="13:121" s="709" customFormat="1" hidden="1">
      <c r="M2201" s="710"/>
      <c r="P2201" s="711"/>
      <c r="Q2201" s="712"/>
      <c r="U2201" s="711"/>
      <c r="V2201" s="711"/>
      <c r="W2201" s="711"/>
      <c r="X2201" s="711"/>
      <c r="Y2201" s="711"/>
      <c r="Z2201" s="711"/>
      <c r="AU2201" s="713"/>
      <c r="AW2201" s="712"/>
      <c r="BY2201" s="714"/>
      <c r="BZ2201" s="715"/>
      <c r="CA2201" s="716"/>
      <c r="CB2201" s="717"/>
      <c r="CC2201" s="717"/>
      <c r="CD2201" s="717"/>
      <c r="CE2201" s="717"/>
      <c r="CF2201" s="717"/>
      <c r="CG2201" s="717"/>
      <c r="CH2201" s="717"/>
      <c r="CI2201" s="717"/>
      <c r="CJ2201" s="717"/>
      <c r="CK2201" s="717"/>
      <c r="CL2201" s="717"/>
      <c r="CM2201" s="717"/>
      <c r="CN2201" s="717"/>
      <c r="CO2201" s="717"/>
      <c r="CP2201" s="717"/>
      <c r="CQ2201" s="717"/>
      <c r="CR2201" s="717"/>
      <c r="CS2201" s="717"/>
      <c r="CT2201" s="717"/>
      <c r="CU2201" s="717"/>
      <c r="CV2201" s="717"/>
      <c r="CW2201" s="717"/>
      <c r="CX2201" s="717"/>
      <c r="CY2201" s="717"/>
      <c r="CZ2201" s="717"/>
      <c r="DA2201" s="717"/>
      <c r="DB2201" s="717"/>
      <c r="DC2201" s="717"/>
      <c r="DD2201" s="717"/>
      <c r="DE2201" s="717"/>
      <c r="DF2201" s="717"/>
      <c r="DG2201" s="717"/>
      <c r="DH2201" s="717"/>
      <c r="DI2201" s="717"/>
      <c r="DJ2201" s="717"/>
      <c r="DM2201" s="711"/>
      <c r="DN2201" s="711"/>
      <c r="DO2201" s="711"/>
      <c r="DP2201" s="711"/>
      <c r="DQ2201" s="711"/>
    </row>
    <row r="2202" spans="13:121" s="709" customFormat="1" hidden="1">
      <c r="M2202" s="710"/>
      <c r="P2202" s="711"/>
      <c r="Q2202" s="712"/>
      <c r="U2202" s="711"/>
      <c r="V2202" s="711"/>
      <c r="W2202" s="711"/>
      <c r="X2202" s="711"/>
      <c r="Y2202" s="711"/>
      <c r="Z2202" s="711"/>
      <c r="AU2202" s="713"/>
      <c r="AW2202" s="712"/>
      <c r="BY2202" s="714"/>
      <c r="BZ2202" s="715"/>
      <c r="CA2202" s="716"/>
      <c r="CB2202" s="717"/>
      <c r="CC2202" s="717"/>
      <c r="CD2202" s="717"/>
      <c r="CE2202" s="717"/>
      <c r="CF2202" s="717"/>
      <c r="CG2202" s="717"/>
      <c r="CH2202" s="717"/>
      <c r="CI2202" s="717"/>
      <c r="CJ2202" s="717"/>
      <c r="CK2202" s="717"/>
      <c r="CL2202" s="717"/>
      <c r="CM2202" s="717"/>
      <c r="CN2202" s="717"/>
      <c r="CO2202" s="717"/>
      <c r="CP2202" s="717"/>
      <c r="CQ2202" s="717"/>
      <c r="CR2202" s="717"/>
      <c r="CS2202" s="717"/>
      <c r="CT2202" s="717"/>
      <c r="CU2202" s="717"/>
      <c r="CV2202" s="717"/>
      <c r="CW2202" s="717"/>
      <c r="CX2202" s="717"/>
      <c r="CY2202" s="717"/>
      <c r="CZ2202" s="717"/>
      <c r="DA2202" s="717"/>
      <c r="DB2202" s="717"/>
      <c r="DC2202" s="717"/>
      <c r="DD2202" s="717"/>
      <c r="DE2202" s="717"/>
      <c r="DF2202" s="717"/>
      <c r="DG2202" s="717"/>
      <c r="DH2202" s="717"/>
      <c r="DI2202" s="717"/>
      <c r="DJ2202" s="717"/>
      <c r="DM2202" s="711"/>
      <c r="DN2202" s="711"/>
      <c r="DO2202" s="711"/>
      <c r="DP2202" s="711"/>
      <c r="DQ2202" s="711"/>
    </row>
    <row r="2203" spans="13:121" s="709" customFormat="1" hidden="1">
      <c r="M2203" s="710"/>
      <c r="P2203" s="711"/>
      <c r="Q2203" s="712"/>
      <c r="U2203" s="711"/>
      <c r="V2203" s="711"/>
      <c r="W2203" s="711"/>
      <c r="X2203" s="711"/>
      <c r="Y2203" s="711"/>
      <c r="Z2203" s="711"/>
      <c r="AU2203" s="713"/>
      <c r="AW2203" s="712"/>
      <c r="BY2203" s="714"/>
      <c r="BZ2203" s="715"/>
      <c r="CA2203" s="716"/>
      <c r="CB2203" s="717"/>
      <c r="CC2203" s="717"/>
      <c r="CD2203" s="717"/>
      <c r="CE2203" s="717"/>
      <c r="CF2203" s="717"/>
      <c r="CG2203" s="717"/>
      <c r="CH2203" s="717"/>
      <c r="CI2203" s="717"/>
      <c r="CJ2203" s="717"/>
      <c r="CK2203" s="717"/>
      <c r="CL2203" s="717"/>
      <c r="CM2203" s="717"/>
      <c r="CN2203" s="717"/>
      <c r="CO2203" s="717"/>
      <c r="CP2203" s="717"/>
      <c r="CQ2203" s="717"/>
      <c r="CR2203" s="717"/>
      <c r="CS2203" s="717"/>
      <c r="CT2203" s="717"/>
      <c r="CU2203" s="717"/>
      <c r="CV2203" s="717"/>
      <c r="CW2203" s="717"/>
      <c r="CX2203" s="717"/>
      <c r="CY2203" s="717"/>
      <c r="CZ2203" s="717"/>
      <c r="DA2203" s="717"/>
      <c r="DB2203" s="717"/>
      <c r="DC2203" s="717"/>
      <c r="DD2203" s="717"/>
      <c r="DE2203" s="717"/>
      <c r="DF2203" s="717"/>
      <c r="DG2203" s="717"/>
      <c r="DH2203" s="717"/>
      <c r="DI2203" s="717"/>
      <c r="DJ2203" s="717"/>
      <c r="DM2203" s="711"/>
      <c r="DN2203" s="711"/>
      <c r="DO2203" s="711"/>
      <c r="DP2203" s="711"/>
      <c r="DQ2203" s="711"/>
    </row>
    <row r="2204" spans="13:121" s="709" customFormat="1" hidden="1">
      <c r="M2204" s="710"/>
      <c r="P2204" s="711"/>
      <c r="Q2204" s="712"/>
      <c r="U2204" s="711"/>
      <c r="V2204" s="711"/>
      <c r="W2204" s="711"/>
      <c r="X2204" s="711"/>
      <c r="Y2204" s="711"/>
      <c r="Z2204" s="711"/>
      <c r="AU2204" s="713"/>
      <c r="AW2204" s="712"/>
      <c r="BY2204" s="714"/>
      <c r="BZ2204" s="715"/>
      <c r="CA2204" s="716"/>
      <c r="CB2204" s="717"/>
      <c r="CC2204" s="717"/>
      <c r="CD2204" s="717"/>
      <c r="CE2204" s="717"/>
      <c r="CF2204" s="717"/>
      <c r="CG2204" s="717"/>
      <c r="CH2204" s="717"/>
      <c r="CI2204" s="717"/>
      <c r="CJ2204" s="717"/>
      <c r="CK2204" s="717"/>
      <c r="CL2204" s="717"/>
      <c r="CM2204" s="717"/>
      <c r="CN2204" s="717"/>
      <c r="CO2204" s="717"/>
      <c r="CP2204" s="717"/>
      <c r="CQ2204" s="717"/>
      <c r="CR2204" s="717"/>
      <c r="CS2204" s="717"/>
      <c r="CT2204" s="717"/>
      <c r="CU2204" s="717"/>
      <c r="CV2204" s="717"/>
      <c r="CW2204" s="717"/>
      <c r="CX2204" s="717"/>
      <c r="CY2204" s="717"/>
      <c r="CZ2204" s="717"/>
      <c r="DA2204" s="717"/>
      <c r="DB2204" s="717"/>
      <c r="DC2204" s="717"/>
      <c r="DD2204" s="717"/>
      <c r="DE2204" s="717"/>
      <c r="DF2204" s="717"/>
      <c r="DG2204" s="717"/>
      <c r="DH2204" s="717"/>
      <c r="DI2204" s="717"/>
      <c r="DJ2204" s="717"/>
      <c r="DM2204" s="711"/>
      <c r="DN2204" s="711"/>
      <c r="DO2204" s="711"/>
      <c r="DP2204" s="711"/>
      <c r="DQ2204" s="711"/>
    </row>
    <row r="2205" spans="13:121" s="709" customFormat="1" hidden="1">
      <c r="M2205" s="710"/>
      <c r="P2205" s="711"/>
      <c r="Q2205" s="712"/>
      <c r="U2205" s="711"/>
      <c r="V2205" s="711"/>
      <c r="W2205" s="711"/>
      <c r="X2205" s="711"/>
      <c r="Y2205" s="711"/>
      <c r="Z2205" s="711"/>
      <c r="AU2205" s="713"/>
      <c r="AW2205" s="712"/>
      <c r="BY2205" s="714"/>
      <c r="BZ2205" s="715"/>
      <c r="CA2205" s="716"/>
      <c r="CB2205" s="717"/>
      <c r="CC2205" s="717"/>
      <c r="CD2205" s="717"/>
      <c r="CE2205" s="717"/>
      <c r="CF2205" s="717"/>
      <c r="CG2205" s="717"/>
      <c r="CH2205" s="717"/>
      <c r="CI2205" s="717"/>
      <c r="CJ2205" s="717"/>
      <c r="CK2205" s="717"/>
      <c r="CL2205" s="717"/>
      <c r="CM2205" s="717"/>
      <c r="CN2205" s="717"/>
      <c r="CO2205" s="717"/>
      <c r="CP2205" s="717"/>
      <c r="CQ2205" s="717"/>
      <c r="CR2205" s="717"/>
      <c r="CS2205" s="717"/>
      <c r="CT2205" s="717"/>
      <c r="CU2205" s="717"/>
      <c r="CV2205" s="717"/>
      <c r="CW2205" s="717"/>
      <c r="CX2205" s="717"/>
      <c r="CY2205" s="717"/>
      <c r="CZ2205" s="717"/>
      <c r="DA2205" s="717"/>
      <c r="DB2205" s="717"/>
      <c r="DC2205" s="717"/>
      <c r="DD2205" s="717"/>
      <c r="DE2205" s="717"/>
      <c r="DF2205" s="717"/>
      <c r="DG2205" s="717"/>
      <c r="DH2205" s="717"/>
      <c r="DI2205" s="717"/>
      <c r="DJ2205" s="717"/>
      <c r="DM2205" s="711"/>
      <c r="DN2205" s="711"/>
      <c r="DO2205" s="711"/>
      <c r="DP2205" s="711"/>
      <c r="DQ2205" s="711"/>
    </row>
    <row r="2206" spans="13:121" s="709" customFormat="1" hidden="1">
      <c r="M2206" s="710"/>
      <c r="P2206" s="711"/>
      <c r="Q2206" s="712"/>
      <c r="U2206" s="711"/>
      <c r="V2206" s="711"/>
      <c r="W2206" s="711"/>
      <c r="X2206" s="711"/>
      <c r="Y2206" s="711"/>
      <c r="Z2206" s="711"/>
      <c r="AU2206" s="713"/>
      <c r="AW2206" s="712"/>
      <c r="BY2206" s="714"/>
      <c r="BZ2206" s="715"/>
      <c r="CA2206" s="716"/>
      <c r="CB2206" s="717"/>
      <c r="CC2206" s="717"/>
      <c r="CD2206" s="717"/>
      <c r="CE2206" s="717"/>
      <c r="CF2206" s="717"/>
      <c r="CG2206" s="717"/>
      <c r="CH2206" s="717"/>
      <c r="CI2206" s="717"/>
      <c r="CJ2206" s="717"/>
      <c r="CK2206" s="717"/>
      <c r="CL2206" s="717"/>
      <c r="CM2206" s="717"/>
      <c r="CN2206" s="717"/>
      <c r="CO2206" s="717"/>
      <c r="CP2206" s="717"/>
      <c r="CQ2206" s="717"/>
      <c r="CR2206" s="717"/>
      <c r="CS2206" s="717"/>
      <c r="CT2206" s="717"/>
      <c r="CU2206" s="717"/>
      <c r="CV2206" s="717"/>
      <c r="CW2206" s="717"/>
      <c r="CX2206" s="717"/>
      <c r="CY2206" s="717"/>
      <c r="CZ2206" s="717"/>
      <c r="DA2206" s="717"/>
      <c r="DB2206" s="717"/>
      <c r="DC2206" s="717"/>
      <c r="DD2206" s="717"/>
      <c r="DE2206" s="717"/>
      <c r="DF2206" s="717"/>
      <c r="DG2206" s="717"/>
      <c r="DH2206" s="717"/>
      <c r="DI2206" s="717"/>
      <c r="DJ2206" s="717"/>
      <c r="DM2206" s="711"/>
      <c r="DN2206" s="711"/>
      <c r="DO2206" s="711"/>
      <c r="DP2206" s="711"/>
      <c r="DQ2206" s="711"/>
    </row>
    <row r="2207" spans="13:121" s="709" customFormat="1" hidden="1">
      <c r="M2207" s="710"/>
      <c r="P2207" s="711"/>
      <c r="Q2207" s="712"/>
      <c r="U2207" s="711"/>
      <c r="V2207" s="711"/>
      <c r="W2207" s="711"/>
      <c r="X2207" s="711"/>
      <c r="Y2207" s="711"/>
      <c r="Z2207" s="711"/>
      <c r="AU2207" s="713"/>
      <c r="AW2207" s="712"/>
      <c r="BY2207" s="714"/>
      <c r="BZ2207" s="715"/>
      <c r="CA2207" s="716"/>
      <c r="CB2207" s="717"/>
      <c r="CC2207" s="717"/>
      <c r="CD2207" s="717"/>
      <c r="CE2207" s="717"/>
      <c r="CF2207" s="717"/>
      <c r="CG2207" s="717"/>
      <c r="CH2207" s="717"/>
      <c r="CI2207" s="717"/>
      <c r="CJ2207" s="717"/>
      <c r="CK2207" s="717"/>
      <c r="CL2207" s="717"/>
      <c r="CM2207" s="717"/>
      <c r="CN2207" s="717"/>
      <c r="CO2207" s="717"/>
      <c r="CP2207" s="717"/>
      <c r="CQ2207" s="717"/>
      <c r="CR2207" s="717"/>
      <c r="CS2207" s="717"/>
      <c r="CT2207" s="717"/>
      <c r="CU2207" s="717"/>
      <c r="CV2207" s="717"/>
      <c r="CW2207" s="717"/>
      <c r="CX2207" s="717"/>
      <c r="CY2207" s="717"/>
      <c r="CZ2207" s="717"/>
      <c r="DA2207" s="717"/>
      <c r="DB2207" s="717"/>
      <c r="DC2207" s="717"/>
      <c r="DD2207" s="717"/>
      <c r="DE2207" s="717"/>
      <c r="DF2207" s="717"/>
      <c r="DG2207" s="717"/>
      <c r="DH2207" s="717"/>
      <c r="DI2207" s="717"/>
      <c r="DJ2207" s="717"/>
      <c r="DM2207" s="711"/>
      <c r="DN2207" s="711"/>
      <c r="DO2207" s="711"/>
      <c r="DP2207" s="711"/>
      <c r="DQ2207" s="711"/>
    </row>
    <row r="2208" spans="13:121" s="709" customFormat="1" hidden="1">
      <c r="M2208" s="710"/>
      <c r="P2208" s="711"/>
      <c r="Q2208" s="712"/>
      <c r="U2208" s="711"/>
      <c r="V2208" s="711"/>
      <c r="W2208" s="711"/>
      <c r="X2208" s="711"/>
      <c r="Y2208" s="711"/>
      <c r="Z2208" s="711"/>
      <c r="AU2208" s="713"/>
      <c r="AW2208" s="712"/>
      <c r="BY2208" s="714"/>
      <c r="BZ2208" s="715"/>
      <c r="CA2208" s="716"/>
      <c r="CB2208" s="717"/>
      <c r="CC2208" s="717"/>
      <c r="CD2208" s="717"/>
      <c r="CE2208" s="717"/>
      <c r="CF2208" s="717"/>
      <c r="CG2208" s="717"/>
      <c r="CH2208" s="717"/>
      <c r="CI2208" s="717"/>
      <c r="CJ2208" s="717"/>
      <c r="CK2208" s="717"/>
      <c r="CL2208" s="717"/>
      <c r="CM2208" s="717"/>
      <c r="CN2208" s="717"/>
      <c r="CO2208" s="717"/>
      <c r="CP2208" s="717"/>
      <c r="CQ2208" s="717"/>
      <c r="CR2208" s="717"/>
      <c r="CS2208" s="717"/>
      <c r="CT2208" s="717"/>
      <c r="CU2208" s="717"/>
      <c r="CV2208" s="717"/>
      <c r="CW2208" s="717"/>
      <c r="CX2208" s="717"/>
      <c r="CY2208" s="717"/>
      <c r="CZ2208" s="717"/>
      <c r="DA2208" s="717"/>
      <c r="DB2208" s="717"/>
      <c r="DC2208" s="717"/>
      <c r="DD2208" s="717"/>
      <c r="DE2208" s="717"/>
      <c r="DF2208" s="717"/>
      <c r="DG2208" s="717"/>
      <c r="DH2208" s="717"/>
      <c r="DI2208" s="717"/>
      <c r="DJ2208" s="717"/>
      <c r="DM2208" s="711"/>
      <c r="DN2208" s="711"/>
      <c r="DO2208" s="711"/>
      <c r="DP2208" s="711"/>
      <c r="DQ2208" s="711"/>
    </row>
    <row r="2209" spans="13:121" s="709" customFormat="1" hidden="1">
      <c r="M2209" s="710"/>
      <c r="P2209" s="711"/>
      <c r="Q2209" s="712"/>
      <c r="U2209" s="711"/>
      <c r="V2209" s="711"/>
      <c r="W2209" s="711"/>
      <c r="X2209" s="711"/>
      <c r="Y2209" s="711"/>
      <c r="Z2209" s="711"/>
      <c r="AU2209" s="713"/>
      <c r="AW2209" s="712"/>
      <c r="BY2209" s="714"/>
      <c r="BZ2209" s="715"/>
      <c r="CA2209" s="716"/>
      <c r="CB2209" s="717"/>
      <c r="CC2209" s="717"/>
      <c r="CD2209" s="717"/>
      <c r="CE2209" s="717"/>
      <c r="CF2209" s="717"/>
      <c r="CG2209" s="717"/>
      <c r="CH2209" s="717"/>
      <c r="CI2209" s="717"/>
      <c r="CJ2209" s="717"/>
      <c r="CK2209" s="717"/>
      <c r="CL2209" s="717"/>
      <c r="CM2209" s="717"/>
      <c r="CN2209" s="717"/>
      <c r="CO2209" s="717"/>
      <c r="CP2209" s="717"/>
      <c r="CQ2209" s="717"/>
      <c r="CR2209" s="717"/>
      <c r="CS2209" s="717"/>
      <c r="CT2209" s="717"/>
      <c r="CU2209" s="717"/>
      <c r="CV2209" s="717"/>
      <c r="CW2209" s="717"/>
      <c r="CX2209" s="717"/>
      <c r="CY2209" s="717"/>
      <c r="CZ2209" s="717"/>
      <c r="DA2209" s="717"/>
      <c r="DB2209" s="717"/>
      <c r="DC2209" s="717"/>
      <c r="DD2209" s="717"/>
      <c r="DE2209" s="717"/>
      <c r="DF2209" s="717"/>
      <c r="DG2209" s="717"/>
      <c r="DH2209" s="717"/>
      <c r="DI2209" s="717"/>
      <c r="DJ2209" s="717"/>
      <c r="DM2209" s="711"/>
      <c r="DN2209" s="711"/>
      <c r="DO2209" s="711"/>
      <c r="DP2209" s="711"/>
      <c r="DQ2209" s="711"/>
    </row>
    <row r="2210" spans="13:121" s="709" customFormat="1" hidden="1">
      <c r="M2210" s="710"/>
      <c r="P2210" s="711"/>
      <c r="Q2210" s="712"/>
      <c r="U2210" s="711"/>
      <c r="V2210" s="711"/>
      <c r="W2210" s="711"/>
      <c r="X2210" s="711"/>
      <c r="Y2210" s="711"/>
      <c r="Z2210" s="711"/>
      <c r="AU2210" s="713"/>
      <c r="AW2210" s="712"/>
      <c r="BY2210" s="714"/>
      <c r="BZ2210" s="715"/>
      <c r="CA2210" s="716"/>
      <c r="CB2210" s="717"/>
      <c r="CC2210" s="717"/>
      <c r="CD2210" s="717"/>
      <c r="CE2210" s="717"/>
      <c r="CF2210" s="717"/>
      <c r="CG2210" s="717"/>
      <c r="CH2210" s="717"/>
      <c r="CI2210" s="717"/>
      <c r="CJ2210" s="717"/>
      <c r="CK2210" s="717"/>
      <c r="CL2210" s="717"/>
      <c r="CM2210" s="717"/>
      <c r="CN2210" s="717"/>
      <c r="CO2210" s="717"/>
      <c r="CP2210" s="717"/>
      <c r="CQ2210" s="717"/>
      <c r="CR2210" s="717"/>
      <c r="CS2210" s="717"/>
      <c r="CT2210" s="717"/>
      <c r="CU2210" s="717"/>
      <c r="CV2210" s="717"/>
      <c r="CW2210" s="717"/>
      <c r="CX2210" s="717"/>
      <c r="CY2210" s="717"/>
      <c r="CZ2210" s="717"/>
      <c r="DA2210" s="717"/>
      <c r="DB2210" s="717"/>
      <c r="DC2210" s="717"/>
      <c r="DD2210" s="717"/>
      <c r="DE2210" s="717"/>
      <c r="DF2210" s="717"/>
      <c r="DG2210" s="717"/>
      <c r="DH2210" s="717"/>
      <c r="DI2210" s="717"/>
      <c r="DJ2210" s="717"/>
      <c r="DM2210" s="711"/>
      <c r="DN2210" s="711"/>
      <c r="DO2210" s="711"/>
      <c r="DP2210" s="711"/>
      <c r="DQ2210" s="711"/>
    </row>
    <row r="2211" spans="13:121" s="709" customFormat="1" hidden="1">
      <c r="M2211" s="710"/>
      <c r="P2211" s="711"/>
      <c r="Q2211" s="712"/>
      <c r="U2211" s="711"/>
      <c r="V2211" s="711"/>
      <c r="W2211" s="711"/>
      <c r="X2211" s="711"/>
      <c r="Y2211" s="711"/>
      <c r="Z2211" s="711"/>
      <c r="AU2211" s="713"/>
      <c r="AW2211" s="712"/>
      <c r="BY2211" s="714"/>
      <c r="BZ2211" s="715"/>
      <c r="CA2211" s="716"/>
      <c r="CB2211" s="717"/>
      <c r="CC2211" s="717"/>
      <c r="CD2211" s="717"/>
      <c r="CE2211" s="717"/>
      <c r="CF2211" s="717"/>
      <c r="CG2211" s="717"/>
      <c r="CH2211" s="717"/>
      <c r="CI2211" s="717"/>
      <c r="CJ2211" s="717"/>
      <c r="CK2211" s="717"/>
      <c r="CL2211" s="717"/>
      <c r="CM2211" s="717"/>
      <c r="CN2211" s="717"/>
      <c r="CO2211" s="717"/>
      <c r="CP2211" s="717"/>
      <c r="CQ2211" s="717"/>
      <c r="CR2211" s="717"/>
      <c r="CS2211" s="717"/>
      <c r="CT2211" s="717"/>
      <c r="CU2211" s="717"/>
      <c r="CV2211" s="717"/>
      <c r="CW2211" s="717"/>
      <c r="CX2211" s="717"/>
      <c r="CY2211" s="717"/>
      <c r="CZ2211" s="717"/>
      <c r="DA2211" s="717"/>
      <c r="DB2211" s="717"/>
      <c r="DC2211" s="717"/>
      <c r="DD2211" s="717"/>
      <c r="DE2211" s="717"/>
      <c r="DF2211" s="717"/>
      <c r="DG2211" s="717"/>
      <c r="DH2211" s="717"/>
      <c r="DI2211" s="717"/>
      <c r="DJ2211" s="717"/>
      <c r="DM2211" s="711"/>
      <c r="DN2211" s="711"/>
      <c r="DO2211" s="711"/>
      <c r="DP2211" s="711"/>
      <c r="DQ2211" s="711"/>
    </row>
    <row r="2212" spans="13:121" s="709" customFormat="1" hidden="1">
      <c r="M2212" s="710"/>
      <c r="P2212" s="711"/>
      <c r="Q2212" s="712"/>
      <c r="U2212" s="711"/>
      <c r="V2212" s="711"/>
      <c r="W2212" s="711"/>
      <c r="X2212" s="711"/>
      <c r="Y2212" s="711"/>
      <c r="Z2212" s="711"/>
      <c r="AU2212" s="713"/>
      <c r="AW2212" s="712"/>
      <c r="BY2212" s="714"/>
      <c r="BZ2212" s="715"/>
      <c r="CA2212" s="716"/>
      <c r="CB2212" s="717"/>
      <c r="CC2212" s="717"/>
      <c r="CD2212" s="717"/>
      <c r="CE2212" s="717"/>
      <c r="CF2212" s="717"/>
      <c r="CG2212" s="717"/>
      <c r="CH2212" s="717"/>
      <c r="CI2212" s="717"/>
      <c r="CJ2212" s="717"/>
      <c r="CK2212" s="717"/>
      <c r="CL2212" s="717"/>
      <c r="CM2212" s="717"/>
      <c r="CN2212" s="717"/>
      <c r="CO2212" s="717"/>
      <c r="CP2212" s="717"/>
      <c r="CQ2212" s="717"/>
      <c r="CR2212" s="717"/>
      <c r="CS2212" s="717"/>
      <c r="CT2212" s="717"/>
      <c r="CU2212" s="717"/>
      <c r="CV2212" s="717"/>
      <c r="CW2212" s="717"/>
      <c r="CX2212" s="717"/>
      <c r="CY2212" s="717"/>
      <c r="CZ2212" s="717"/>
      <c r="DA2212" s="717"/>
      <c r="DB2212" s="717"/>
      <c r="DC2212" s="717"/>
      <c r="DD2212" s="717"/>
      <c r="DE2212" s="717"/>
      <c r="DF2212" s="717"/>
      <c r="DG2212" s="717"/>
      <c r="DH2212" s="717"/>
      <c r="DI2212" s="717"/>
      <c r="DJ2212" s="717"/>
      <c r="DM2212" s="711"/>
      <c r="DN2212" s="711"/>
      <c r="DO2212" s="711"/>
      <c r="DP2212" s="711"/>
      <c r="DQ2212" s="711"/>
    </row>
    <row r="2213" spans="13:121" s="709" customFormat="1" hidden="1">
      <c r="M2213" s="710"/>
      <c r="P2213" s="711"/>
      <c r="Q2213" s="712"/>
      <c r="U2213" s="711"/>
      <c r="V2213" s="711"/>
      <c r="W2213" s="711"/>
      <c r="X2213" s="711"/>
      <c r="Y2213" s="711"/>
      <c r="Z2213" s="711"/>
      <c r="AU2213" s="713"/>
      <c r="AW2213" s="712"/>
      <c r="BY2213" s="714"/>
      <c r="BZ2213" s="715"/>
      <c r="CA2213" s="716"/>
      <c r="CB2213" s="717"/>
      <c r="CC2213" s="717"/>
      <c r="CD2213" s="717"/>
      <c r="CE2213" s="717"/>
      <c r="CF2213" s="717"/>
      <c r="CG2213" s="717"/>
      <c r="CH2213" s="717"/>
      <c r="CI2213" s="717"/>
      <c r="CJ2213" s="717"/>
      <c r="CK2213" s="717"/>
      <c r="CL2213" s="717"/>
      <c r="CM2213" s="717"/>
      <c r="CN2213" s="717"/>
      <c r="CO2213" s="717"/>
      <c r="CP2213" s="717"/>
      <c r="CQ2213" s="717"/>
      <c r="CR2213" s="717"/>
      <c r="CS2213" s="717"/>
      <c r="CT2213" s="717"/>
      <c r="CU2213" s="717"/>
      <c r="CV2213" s="717"/>
      <c r="CW2213" s="717"/>
      <c r="CX2213" s="717"/>
      <c r="CY2213" s="717"/>
      <c r="CZ2213" s="717"/>
      <c r="DA2213" s="717"/>
      <c r="DB2213" s="717"/>
      <c r="DC2213" s="717"/>
      <c r="DD2213" s="717"/>
      <c r="DE2213" s="717"/>
      <c r="DF2213" s="717"/>
      <c r="DG2213" s="717"/>
      <c r="DH2213" s="717"/>
      <c r="DI2213" s="717"/>
      <c r="DJ2213" s="717"/>
      <c r="DM2213" s="711"/>
      <c r="DN2213" s="711"/>
      <c r="DO2213" s="711"/>
      <c r="DP2213" s="711"/>
      <c r="DQ2213" s="711"/>
    </row>
    <row r="2214" spans="13:121" s="709" customFormat="1" hidden="1">
      <c r="M2214" s="710"/>
      <c r="P2214" s="711"/>
      <c r="Q2214" s="712"/>
      <c r="U2214" s="711"/>
      <c r="V2214" s="711"/>
      <c r="W2214" s="711"/>
      <c r="X2214" s="711"/>
      <c r="Y2214" s="711"/>
      <c r="Z2214" s="711"/>
      <c r="AU2214" s="713"/>
      <c r="AW2214" s="712"/>
      <c r="BY2214" s="714"/>
      <c r="BZ2214" s="715"/>
      <c r="CA2214" s="716"/>
      <c r="CB2214" s="717"/>
      <c r="CC2214" s="717"/>
      <c r="CD2214" s="717"/>
      <c r="CE2214" s="717"/>
      <c r="CF2214" s="717"/>
      <c r="CG2214" s="717"/>
      <c r="CH2214" s="717"/>
      <c r="CI2214" s="717"/>
      <c r="CJ2214" s="717"/>
      <c r="CK2214" s="717"/>
      <c r="CL2214" s="717"/>
      <c r="CM2214" s="717"/>
      <c r="CN2214" s="717"/>
      <c r="CO2214" s="717"/>
      <c r="CP2214" s="717"/>
      <c r="CQ2214" s="717"/>
      <c r="CR2214" s="717"/>
      <c r="CS2214" s="717"/>
      <c r="CT2214" s="717"/>
      <c r="CU2214" s="717"/>
      <c r="CV2214" s="717"/>
      <c r="CW2214" s="717"/>
      <c r="CX2214" s="717"/>
      <c r="CY2214" s="717"/>
      <c r="CZ2214" s="717"/>
      <c r="DA2214" s="717"/>
      <c r="DB2214" s="717"/>
      <c r="DC2214" s="717"/>
      <c r="DD2214" s="717"/>
      <c r="DE2214" s="717"/>
      <c r="DF2214" s="717"/>
      <c r="DG2214" s="717"/>
      <c r="DH2214" s="717"/>
      <c r="DI2214" s="717"/>
      <c r="DJ2214" s="717"/>
      <c r="DM2214" s="711"/>
      <c r="DN2214" s="711"/>
      <c r="DO2214" s="711"/>
      <c r="DP2214" s="711"/>
      <c r="DQ2214" s="711"/>
    </row>
    <row r="2215" spans="13:121" s="709" customFormat="1" hidden="1">
      <c r="M2215" s="710"/>
      <c r="P2215" s="711"/>
      <c r="Q2215" s="712"/>
      <c r="U2215" s="711"/>
      <c r="V2215" s="711"/>
      <c r="W2215" s="711"/>
      <c r="X2215" s="711"/>
      <c r="Y2215" s="711"/>
      <c r="Z2215" s="711"/>
      <c r="AU2215" s="713"/>
      <c r="AW2215" s="712"/>
      <c r="BY2215" s="714"/>
      <c r="BZ2215" s="715"/>
      <c r="CA2215" s="716"/>
      <c r="CB2215" s="717"/>
      <c r="CC2215" s="717"/>
      <c r="CD2215" s="717"/>
      <c r="CE2215" s="717"/>
      <c r="CF2215" s="717"/>
      <c r="CG2215" s="717"/>
      <c r="CH2215" s="717"/>
      <c r="CI2215" s="717"/>
      <c r="CJ2215" s="717"/>
      <c r="CK2215" s="717"/>
      <c r="CL2215" s="717"/>
      <c r="CM2215" s="717"/>
      <c r="CN2215" s="717"/>
      <c r="CO2215" s="717"/>
      <c r="CP2215" s="717"/>
      <c r="CQ2215" s="717"/>
      <c r="CR2215" s="717"/>
      <c r="CS2215" s="717"/>
      <c r="CT2215" s="717"/>
      <c r="CU2215" s="717"/>
      <c r="CV2215" s="717"/>
      <c r="CW2215" s="717"/>
      <c r="CX2215" s="717"/>
      <c r="CY2215" s="717"/>
      <c r="CZ2215" s="717"/>
      <c r="DA2215" s="717"/>
      <c r="DB2215" s="717"/>
      <c r="DC2215" s="717"/>
      <c r="DD2215" s="717"/>
      <c r="DE2215" s="717"/>
      <c r="DF2215" s="717"/>
      <c r="DG2215" s="717"/>
      <c r="DH2215" s="717"/>
      <c r="DI2215" s="717"/>
      <c r="DJ2215" s="717"/>
      <c r="DM2215" s="711"/>
      <c r="DN2215" s="711"/>
      <c r="DO2215" s="711"/>
      <c r="DP2215" s="711"/>
      <c r="DQ2215" s="711"/>
    </row>
    <row r="2216" spans="13:121" s="709" customFormat="1" hidden="1">
      <c r="M2216" s="710"/>
      <c r="P2216" s="711"/>
      <c r="Q2216" s="712"/>
      <c r="U2216" s="711"/>
      <c r="V2216" s="711"/>
      <c r="W2216" s="711"/>
      <c r="X2216" s="711"/>
      <c r="Y2216" s="711"/>
      <c r="Z2216" s="711"/>
      <c r="AU2216" s="713"/>
      <c r="AW2216" s="712"/>
      <c r="BY2216" s="714"/>
      <c r="BZ2216" s="715"/>
      <c r="CA2216" s="716"/>
      <c r="CB2216" s="717"/>
      <c r="CC2216" s="717"/>
      <c r="CD2216" s="717"/>
      <c r="CE2216" s="717"/>
      <c r="CF2216" s="717"/>
      <c r="CG2216" s="717"/>
      <c r="CH2216" s="717"/>
      <c r="CI2216" s="717"/>
      <c r="CJ2216" s="717"/>
      <c r="CK2216" s="717"/>
      <c r="CL2216" s="717"/>
      <c r="CM2216" s="717"/>
      <c r="CN2216" s="717"/>
      <c r="CO2216" s="717"/>
      <c r="CP2216" s="717"/>
      <c r="CQ2216" s="717"/>
      <c r="CR2216" s="717"/>
      <c r="CS2216" s="717"/>
      <c r="CT2216" s="717"/>
      <c r="CU2216" s="717"/>
      <c r="CV2216" s="717"/>
      <c r="CW2216" s="717"/>
      <c r="CX2216" s="717"/>
      <c r="CY2216" s="717"/>
      <c r="CZ2216" s="717"/>
      <c r="DA2216" s="717"/>
      <c r="DB2216" s="717"/>
      <c r="DC2216" s="717"/>
      <c r="DD2216" s="717"/>
      <c r="DE2216" s="717"/>
      <c r="DF2216" s="717"/>
      <c r="DG2216" s="717"/>
      <c r="DH2216" s="717"/>
      <c r="DI2216" s="717"/>
      <c r="DJ2216" s="717"/>
      <c r="DM2216" s="711"/>
      <c r="DN2216" s="711"/>
      <c r="DO2216" s="711"/>
      <c r="DP2216" s="711"/>
      <c r="DQ2216" s="711"/>
    </row>
    <row r="2217" spans="13:121" s="709" customFormat="1" hidden="1">
      <c r="M2217" s="710"/>
      <c r="P2217" s="711"/>
      <c r="Q2217" s="712"/>
      <c r="U2217" s="711"/>
      <c r="V2217" s="711"/>
      <c r="W2217" s="711"/>
      <c r="X2217" s="711"/>
      <c r="Y2217" s="711"/>
      <c r="Z2217" s="711"/>
      <c r="AU2217" s="713"/>
      <c r="AW2217" s="712"/>
      <c r="BY2217" s="714"/>
      <c r="BZ2217" s="715"/>
      <c r="CA2217" s="716"/>
      <c r="CB2217" s="717"/>
      <c r="CC2217" s="717"/>
      <c r="CD2217" s="717"/>
      <c r="CE2217" s="717"/>
      <c r="CF2217" s="717"/>
      <c r="CG2217" s="717"/>
      <c r="CH2217" s="717"/>
      <c r="CI2217" s="717"/>
      <c r="CJ2217" s="717"/>
      <c r="CK2217" s="717"/>
      <c r="CL2217" s="717"/>
      <c r="CM2217" s="717"/>
      <c r="CN2217" s="717"/>
      <c r="CO2217" s="717"/>
      <c r="CP2217" s="717"/>
      <c r="CQ2217" s="717"/>
      <c r="CR2217" s="717"/>
      <c r="CS2217" s="717"/>
      <c r="CT2217" s="717"/>
      <c r="CU2217" s="717"/>
      <c r="CV2217" s="717"/>
      <c r="CW2217" s="717"/>
      <c r="CX2217" s="717"/>
      <c r="CY2217" s="717"/>
      <c r="CZ2217" s="717"/>
      <c r="DA2217" s="717"/>
      <c r="DB2217" s="717"/>
      <c r="DC2217" s="717"/>
      <c r="DD2217" s="717"/>
      <c r="DE2217" s="717"/>
      <c r="DF2217" s="717"/>
      <c r="DG2217" s="717"/>
      <c r="DH2217" s="717"/>
      <c r="DI2217" s="717"/>
      <c r="DJ2217" s="717"/>
      <c r="DM2217" s="711"/>
      <c r="DN2217" s="711"/>
      <c r="DO2217" s="711"/>
      <c r="DP2217" s="711"/>
      <c r="DQ2217" s="711"/>
    </row>
    <row r="2218" spans="13:121" s="709" customFormat="1" hidden="1">
      <c r="M2218" s="710"/>
      <c r="P2218" s="711"/>
      <c r="Q2218" s="712"/>
      <c r="U2218" s="711"/>
      <c r="V2218" s="711"/>
      <c r="W2218" s="711"/>
      <c r="X2218" s="711"/>
      <c r="Y2218" s="711"/>
      <c r="Z2218" s="711"/>
      <c r="AU2218" s="713"/>
      <c r="AW2218" s="712"/>
      <c r="BY2218" s="714"/>
      <c r="BZ2218" s="715"/>
      <c r="CA2218" s="716"/>
      <c r="CB2218" s="717"/>
      <c r="CC2218" s="717"/>
      <c r="CD2218" s="717"/>
      <c r="CE2218" s="717"/>
      <c r="CF2218" s="717"/>
      <c r="CG2218" s="717"/>
      <c r="CH2218" s="717"/>
      <c r="CI2218" s="717"/>
      <c r="CJ2218" s="717"/>
      <c r="CK2218" s="717"/>
      <c r="CL2218" s="717"/>
      <c r="CM2218" s="717"/>
      <c r="CN2218" s="717"/>
      <c r="CO2218" s="717"/>
      <c r="CP2218" s="717"/>
      <c r="CQ2218" s="717"/>
      <c r="CR2218" s="717"/>
      <c r="CS2218" s="717"/>
      <c r="CT2218" s="717"/>
      <c r="CU2218" s="717"/>
      <c r="CV2218" s="717"/>
      <c r="CW2218" s="717"/>
      <c r="CX2218" s="717"/>
      <c r="CY2218" s="717"/>
      <c r="CZ2218" s="717"/>
      <c r="DA2218" s="717"/>
      <c r="DB2218" s="717"/>
      <c r="DC2218" s="717"/>
      <c r="DD2218" s="717"/>
      <c r="DE2218" s="717"/>
      <c r="DF2218" s="717"/>
      <c r="DG2218" s="717"/>
      <c r="DH2218" s="717"/>
      <c r="DI2218" s="717"/>
      <c r="DJ2218" s="717"/>
      <c r="DM2218" s="711"/>
      <c r="DN2218" s="711"/>
      <c r="DO2218" s="711"/>
      <c r="DP2218" s="711"/>
      <c r="DQ2218" s="711"/>
    </row>
    <row r="2219" spans="13:121" s="709" customFormat="1" hidden="1">
      <c r="M2219" s="710"/>
      <c r="P2219" s="711"/>
      <c r="Q2219" s="712"/>
      <c r="U2219" s="711"/>
      <c r="V2219" s="711"/>
      <c r="W2219" s="711"/>
      <c r="X2219" s="711"/>
      <c r="Y2219" s="711"/>
      <c r="Z2219" s="711"/>
      <c r="AU2219" s="713"/>
      <c r="AW2219" s="712"/>
      <c r="BY2219" s="714"/>
      <c r="BZ2219" s="715"/>
      <c r="CA2219" s="716"/>
      <c r="CB2219" s="717"/>
      <c r="CC2219" s="717"/>
      <c r="CD2219" s="717"/>
      <c r="CE2219" s="717"/>
      <c r="CF2219" s="717"/>
      <c r="CG2219" s="717"/>
      <c r="CH2219" s="717"/>
      <c r="CI2219" s="717"/>
      <c r="CJ2219" s="717"/>
      <c r="CK2219" s="717"/>
      <c r="CL2219" s="717"/>
      <c r="CM2219" s="717"/>
      <c r="CN2219" s="717"/>
      <c r="CO2219" s="717"/>
      <c r="CP2219" s="717"/>
      <c r="CQ2219" s="717"/>
      <c r="CR2219" s="717"/>
      <c r="CS2219" s="717"/>
      <c r="CT2219" s="717"/>
      <c r="CU2219" s="717"/>
      <c r="CV2219" s="717"/>
      <c r="CW2219" s="717"/>
      <c r="CX2219" s="717"/>
      <c r="CY2219" s="717"/>
      <c r="CZ2219" s="717"/>
      <c r="DA2219" s="717"/>
      <c r="DB2219" s="717"/>
      <c r="DC2219" s="717"/>
      <c r="DD2219" s="717"/>
      <c r="DE2219" s="717"/>
      <c r="DF2219" s="717"/>
      <c r="DG2219" s="717"/>
      <c r="DH2219" s="717"/>
      <c r="DI2219" s="717"/>
      <c r="DJ2219" s="717"/>
      <c r="DM2219" s="711"/>
      <c r="DN2219" s="711"/>
      <c r="DO2219" s="711"/>
      <c r="DP2219" s="711"/>
      <c r="DQ2219" s="711"/>
    </row>
    <row r="2220" spans="13:121" s="709" customFormat="1" hidden="1">
      <c r="M2220" s="710"/>
      <c r="P2220" s="711"/>
      <c r="Q2220" s="712"/>
      <c r="U2220" s="711"/>
      <c r="V2220" s="711"/>
      <c r="W2220" s="711"/>
      <c r="X2220" s="711"/>
      <c r="Y2220" s="711"/>
      <c r="Z2220" s="711"/>
      <c r="AU2220" s="713"/>
      <c r="AW2220" s="712"/>
      <c r="BY2220" s="714"/>
      <c r="BZ2220" s="715"/>
      <c r="CA2220" s="716"/>
      <c r="CB2220" s="717"/>
      <c r="CC2220" s="717"/>
      <c r="CD2220" s="717"/>
      <c r="CE2220" s="717"/>
      <c r="CF2220" s="717"/>
      <c r="CG2220" s="717"/>
      <c r="CH2220" s="717"/>
      <c r="CI2220" s="717"/>
      <c r="CJ2220" s="717"/>
      <c r="CK2220" s="717"/>
      <c r="CL2220" s="717"/>
      <c r="CM2220" s="717"/>
      <c r="CN2220" s="717"/>
      <c r="CO2220" s="717"/>
      <c r="CP2220" s="717"/>
      <c r="CQ2220" s="717"/>
      <c r="CR2220" s="717"/>
      <c r="CS2220" s="717"/>
      <c r="CT2220" s="717"/>
      <c r="CU2220" s="717"/>
      <c r="CV2220" s="717"/>
      <c r="CW2220" s="717"/>
      <c r="CX2220" s="717"/>
      <c r="CY2220" s="717"/>
      <c r="CZ2220" s="717"/>
      <c r="DA2220" s="717"/>
      <c r="DB2220" s="717"/>
      <c r="DC2220" s="717"/>
      <c r="DD2220" s="717"/>
      <c r="DE2220" s="717"/>
      <c r="DF2220" s="717"/>
      <c r="DG2220" s="717"/>
      <c r="DH2220" s="717"/>
      <c r="DI2220" s="717"/>
      <c r="DJ2220" s="717"/>
      <c r="DM2220" s="711"/>
      <c r="DN2220" s="711"/>
      <c r="DO2220" s="711"/>
      <c r="DP2220" s="711"/>
      <c r="DQ2220" s="711"/>
    </row>
    <row r="2221" spans="13:121" s="709" customFormat="1" hidden="1">
      <c r="M2221" s="710"/>
      <c r="P2221" s="711"/>
      <c r="Q2221" s="712"/>
      <c r="U2221" s="711"/>
      <c r="V2221" s="711"/>
      <c r="W2221" s="711"/>
      <c r="X2221" s="711"/>
      <c r="Y2221" s="711"/>
      <c r="Z2221" s="711"/>
      <c r="AU2221" s="713"/>
      <c r="AW2221" s="712"/>
      <c r="BY2221" s="714"/>
      <c r="BZ2221" s="715"/>
      <c r="CA2221" s="716"/>
      <c r="CB2221" s="717"/>
      <c r="CC2221" s="717"/>
      <c r="CD2221" s="717"/>
      <c r="CE2221" s="717"/>
      <c r="CF2221" s="717"/>
      <c r="CG2221" s="717"/>
      <c r="CH2221" s="717"/>
      <c r="CI2221" s="717"/>
      <c r="CJ2221" s="717"/>
      <c r="CK2221" s="717"/>
      <c r="CL2221" s="717"/>
      <c r="CM2221" s="717"/>
      <c r="CN2221" s="717"/>
      <c r="CO2221" s="717"/>
      <c r="CP2221" s="717"/>
      <c r="CQ2221" s="717"/>
      <c r="CR2221" s="717"/>
      <c r="CS2221" s="717"/>
      <c r="CT2221" s="717"/>
      <c r="CU2221" s="717"/>
      <c r="CV2221" s="717"/>
      <c r="CW2221" s="717"/>
      <c r="CX2221" s="717"/>
      <c r="CY2221" s="717"/>
      <c r="CZ2221" s="717"/>
      <c r="DA2221" s="717"/>
      <c r="DB2221" s="717"/>
      <c r="DC2221" s="717"/>
      <c r="DD2221" s="717"/>
      <c r="DE2221" s="717"/>
      <c r="DF2221" s="717"/>
      <c r="DG2221" s="717"/>
      <c r="DH2221" s="717"/>
      <c r="DI2221" s="717"/>
      <c r="DJ2221" s="717"/>
      <c r="DM2221" s="711"/>
      <c r="DN2221" s="711"/>
      <c r="DO2221" s="711"/>
      <c r="DP2221" s="711"/>
      <c r="DQ2221" s="711"/>
    </row>
    <row r="2222" spans="13:121" s="709" customFormat="1" hidden="1">
      <c r="M2222" s="710"/>
      <c r="P2222" s="711"/>
      <c r="Q2222" s="712"/>
      <c r="U2222" s="711"/>
      <c r="V2222" s="711"/>
      <c r="W2222" s="711"/>
      <c r="X2222" s="711"/>
      <c r="Y2222" s="711"/>
      <c r="Z2222" s="711"/>
      <c r="AU2222" s="713"/>
      <c r="AW2222" s="712"/>
      <c r="BY2222" s="714"/>
      <c r="BZ2222" s="715"/>
      <c r="CA2222" s="716"/>
      <c r="CB2222" s="717"/>
      <c r="CC2222" s="717"/>
      <c r="CD2222" s="717"/>
      <c r="CE2222" s="717"/>
      <c r="CF2222" s="717"/>
      <c r="CG2222" s="717"/>
      <c r="CH2222" s="717"/>
      <c r="CI2222" s="717"/>
      <c r="CJ2222" s="717"/>
      <c r="CK2222" s="717"/>
      <c r="CL2222" s="717"/>
      <c r="CM2222" s="717"/>
      <c r="CN2222" s="717"/>
      <c r="CO2222" s="717"/>
      <c r="CP2222" s="717"/>
      <c r="CQ2222" s="717"/>
      <c r="CR2222" s="717"/>
      <c r="CS2222" s="717"/>
      <c r="CT2222" s="717"/>
      <c r="CU2222" s="717"/>
      <c r="CV2222" s="717"/>
      <c r="CW2222" s="717"/>
      <c r="CX2222" s="717"/>
      <c r="CY2222" s="717"/>
      <c r="CZ2222" s="717"/>
      <c r="DA2222" s="717"/>
      <c r="DB2222" s="717"/>
      <c r="DC2222" s="717"/>
      <c r="DD2222" s="717"/>
      <c r="DE2222" s="717"/>
      <c r="DF2222" s="717"/>
      <c r="DG2222" s="717"/>
      <c r="DH2222" s="717"/>
      <c r="DI2222" s="717"/>
      <c r="DJ2222" s="717"/>
      <c r="DM2222" s="711"/>
      <c r="DN2222" s="711"/>
      <c r="DO2222" s="711"/>
      <c r="DP2222" s="711"/>
      <c r="DQ2222" s="711"/>
    </row>
    <row r="2223" spans="13:121" s="709" customFormat="1" hidden="1">
      <c r="M2223" s="710"/>
      <c r="P2223" s="711"/>
      <c r="Q2223" s="712"/>
      <c r="U2223" s="711"/>
      <c r="V2223" s="711"/>
      <c r="W2223" s="711"/>
      <c r="X2223" s="711"/>
      <c r="Y2223" s="711"/>
      <c r="Z2223" s="711"/>
      <c r="AU2223" s="713"/>
      <c r="AW2223" s="712"/>
      <c r="BY2223" s="714"/>
      <c r="BZ2223" s="715"/>
      <c r="CA2223" s="716"/>
      <c r="CB2223" s="717"/>
      <c r="CC2223" s="717"/>
      <c r="CD2223" s="717"/>
      <c r="CE2223" s="717"/>
      <c r="CF2223" s="717"/>
      <c r="CG2223" s="717"/>
      <c r="CH2223" s="717"/>
      <c r="CI2223" s="717"/>
      <c r="CJ2223" s="717"/>
      <c r="CK2223" s="717"/>
      <c r="CL2223" s="717"/>
      <c r="CM2223" s="717"/>
      <c r="CN2223" s="717"/>
      <c r="CO2223" s="717"/>
      <c r="CP2223" s="717"/>
      <c r="CQ2223" s="717"/>
      <c r="CR2223" s="717"/>
      <c r="CS2223" s="717"/>
      <c r="CT2223" s="717"/>
      <c r="CU2223" s="717"/>
      <c r="CV2223" s="717"/>
      <c r="CW2223" s="717"/>
      <c r="CX2223" s="717"/>
      <c r="CY2223" s="717"/>
      <c r="CZ2223" s="717"/>
      <c r="DA2223" s="717"/>
      <c r="DB2223" s="717"/>
      <c r="DC2223" s="717"/>
      <c r="DD2223" s="717"/>
      <c r="DE2223" s="717"/>
      <c r="DF2223" s="717"/>
      <c r="DG2223" s="717"/>
      <c r="DH2223" s="717"/>
      <c r="DI2223" s="717"/>
      <c r="DJ2223" s="717"/>
      <c r="DM2223" s="711"/>
      <c r="DN2223" s="711"/>
      <c r="DO2223" s="711"/>
      <c r="DP2223" s="711"/>
      <c r="DQ2223" s="711"/>
    </row>
    <row r="2224" spans="13:121" s="709" customFormat="1" hidden="1">
      <c r="M2224" s="710"/>
      <c r="P2224" s="711"/>
      <c r="Q2224" s="712"/>
      <c r="U2224" s="711"/>
      <c r="V2224" s="711"/>
      <c r="W2224" s="711"/>
      <c r="X2224" s="711"/>
      <c r="Y2224" s="711"/>
      <c r="Z2224" s="711"/>
      <c r="AU2224" s="713"/>
      <c r="AW2224" s="712"/>
      <c r="BY2224" s="714"/>
      <c r="BZ2224" s="715"/>
      <c r="CA2224" s="716"/>
      <c r="CB2224" s="717"/>
      <c r="CC2224" s="717"/>
      <c r="CD2224" s="717"/>
      <c r="CE2224" s="717"/>
      <c r="CF2224" s="717"/>
      <c r="CG2224" s="717"/>
      <c r="CH2224" s="717"/>
      <c r="CI2224" s="717"/>
      <c r="CJ2224" s="717"/>
      <c r="CK2224" s="717"/>
      <c r="CL2224" s="717"/>
      <c r="CM2224" s="717"/>
      <c r="CN2224" s="717"/>
      <c r="CO2224" s="717"/>
      <c r="CP2224" s="717"/>
      <c r="CQ2224" s="717"/>
      <c r="CR2224" s="717"/>
      <c r="CS2224" s="717"/>
      <c r="CT2224" s="717"/>
      <c r="CU2224" s="717"/>
      <c r="CV2224" s="717"/>
      <c r="CW2224" s="717"/>
      <c r="CX2224" s="717"/>
      <c r="CY2224" s="717"/>
      <c r="CZ2224" s="717"/>
      <c r="DA2224" s="717"/>
      <c r="DB2224" s="717"/>
      <c r="DC2224" s="717"/>
      <c r="DD2224" s="717"/>
      <c r="DE2224" s="717"/>
      <c r="DF2224" s="717"/>
      <c r="DG2224" s="717"/>
      <c r="DH2224" s="717"/>
      <c r="DI2224" s="717"/>
      <c r="DJ2224" s="717"/>
      <c r="DM2224" s="711"/>
      <c r="DN2224" s="711"/>
      <c r="DO2224" s="711"/>
      <c r="DP2224" s="711"/>
      <c r="DQ2224" s="711"/>
    </row>
    <row r="2225" spans="13:121" s="709" customFormat="1" hidden="1">
      <c r="M2225" s="710"/>
      <c r="P2225" s="711"/>
      <c r="Q2225" s="712"/>
      <c r="U2225" s="711"/>
      <c r="V2225" s="711"/>
      <c r="W2225" s="711"/>
      <c r="X2225" s="711"/>
      <c r="Y2225" s="711"/>
      <c r="Z2225" s="711"/>
      <c r="AU2225" s="713"/>
      <c r="AW2225" s="712"/>
      <c r="BY2225" s="714"/>
      <c r="BZ2225" s="715"/>
      <c r="CA2225" s="716"/>
      <c r="CB2225" s="717"/>
      <c r="CC2225" s="717"/>
      <c r="CD2225" s="717"/>
      <c r="CE2225" s="717"/>
      <c r="CF2225" s="717"/>
      <c r="CG2225" s="717"/>
      <c r="CH2225" s="717"/>
      <c r="CI2225" s="717"/>
      <c r="CJ2225" s="717"/>
      <c r="CK2225" s="717"/>
      <c r="CL2225" s="717"/>
      <c r="CM2225" s="717"/>
      <c r="CN2225" s="717"/>
      <c r="CO2225" s="717"/>
      <c r="CP2225" s="717"/>
      <c r="CQ2225" s="717"/>
      <c r="CR2225" s="717"/>
      <c r="CS2225" s="717"/>
      <c r="CT2225" s="717"/>
      <c r="CU2225" s="717"/>
      <c r="CV2225" s="717"/>
      <c r="CW2225" s="717"/>
      <c r="CX2225" s="717"/>
      <c r="CY2225" s="717"/>
      <c r="CZ2225" s="717"/>
      <c r="DA2225" s="717"/>
      <c r="DB2225" s="717"/>
      <c r="DC2225" s="717"/>
      <c r="DD2225" s="717"/>
      <c r="DE2225" s="717"/>
      <c r="DF2225" s="717"/>
      <c r="DG2225" s="717"/>
      <c r="DH2225" s="717"/>
      <c r="DI2225" s="717"/>
      <c r="DJ2225" s="717"/>
      <c r="DM2225" s="711"/>
      <c r="DN2225" s="711"/>
      <c r="DO2225" s="711"/>
      <c r="DP2225" s="711"/>
      <c r="DQ2225" s="711"/>
    </row>
    <row r="2226" spans="13:121" s="709" customFormat="1" hidden="1">
      <c r="M2226" s="710"/>
      <c r="P2226" s="711"/>
      <c r="Q2226" s="712"/>
      <c r="U2226" s="711"/>
      <c r="V2226" s="711"/>
      <c r="W2226" s="711"/>
      <c r="X2226" s="711"/>
      <c r="Y2226" s="711"/>
      <c r="Z2226" s="711"/>
      <c r="AU2226" s="713"/>
      <c r="AW2226" s="712"/>
      <c r="BY2226" s="714"/>
      <c r="BZ2226" s="715"/>
      <c r="CA2226" s="716"/>
      <c r="CB2226" s="717"/>
      <c r="CC2226" s="717"/>
      <c r="CD2226" s="717"/>
      <c r="CE2226" s="717"/>
      <c r="CF2226" s="717"/>
      <c r="CG2226" s="717"/>
      <c r="CH2226" s="717"/>
      <c r="CI2226" s="717"/>
      <c r="CJ2226" s="717"/>
      <c r="CK2226" s="717"/>
      <c r="CL2226" s="717"/>
      <c r="CM2226" s="717"/>
      <c r="CN2226" s="717"/>
      <c r="CO2226" s="717"/>
      <c r="CP2226" s="717"/>
      <c r="CQ2226" s="717"/>
      <c r="CR2226" s="717"/>
      <c r="CS2226" s="717"/>
      <c r="CT2226" s="717"/>
      <c r="CU2226" s="717"/>
      <c r="CV2226" s="717"/>
      <c r="CW2226" s="717"/>
      <c r="CX2226" s="717"/>
      <c r="CY2226" s="717"/>
      <c r="CZ2226" s="717"/>
      <c r="DA2226" s="717"/>
      <c r="DB2226" s="717"/>
      <c r="DC2226" s="717"/>
      <c r="DD2226" s="717"/>
      <c r="DE2226" s="717"/>
      <c r="DF2226" s="717"/>
      <c r="DG2226" s="717"/>
      <c r="DH2226" s="717"/>
      <c r="DI2226" s="717"/>
      <c r="DJ2226" s="717"/>
      <c r="DM2226" s="711"/>
      <c r="DN2226" s="711"/>
      <c r="DO2226" s="711"/>
      <c r="DP2226" s="711"/>
      <c r="DQ2226" s="711"/>
    </row>
    <row r="2227" spans="13:121" s="709" customFormat="1" hidden="1">
      <c r="M2227" s="710"/>
      <c r="P2227" s="711"/>
      <c r="Q2227" s="712"/>
      <c r="U2227" s="711"/>
      <c r="V2227" s="711"/>
      <c r="W2227" s="711"/>
      <c r="X2227" s="711"/>
      <c r="Y2227" s="711"/>
      <c r="Z2227" s="711"/>
      <c r="AU2227" s="713"/>
      <c r="AW2227" s="712"/>
      <c r="BY2227" s="714"/>
      <c r="BZ2227" s="715"/>
      <c r="CA2227" s="716"/>
      <c r="CB2227" s="717"/>
      <c r="CC2227" s="717"/>
      <c r="CD2227" s="717"/>
      <c r="CE2227" s="717"/>
      <c r="CF2227" s="717"/>
      <c r="CG2227" s="717"/>
      <c r="CH2227" s="717"/>
      <c r="CI2227" s="717"/>
      <c r="CJ2227" s="717"/>
      <c r="CK2227" s="717"/>
      <c r="CL2227" s="717"/>
      <c r="CM2227" s="717"/>
      <c r="CN2227" s="717"/>
      <c r="CO2227" s="717"/>
      <c r="CP2227" s="717"/>
      <c r="CQ2227" s="717"/>
      <c r="CR2227" s="717"/>
      <c r="CS2227" s="717"/>
      <c r="CT2227" s="717"/>
      <c r="CU2227" s="717"/>
      <c r="CV2227" s="717"/>
      <c r="CW2227" s="717"/>
      <c r="CX2227" s="717"/>
      <c r="CY2227" s="717"/>
      <c r="CZ2227" s="717"/>
      <c r="DA2227" s="717"/>
      <c r="DB2227" s="717"/>
      <c r="DC2227" s="717"/>
      <c r="DD2227" s="717"/>
      <c r="DE2227" s="717"/>
      <c r="DF2227" s="717"/>
      <c r="DG2227" s="717"/>
      <c r="DH2227" s="717"/>
      <c r="DI2227" s="717"/>
      <c r="DJ2227" s="717"/>
      <c r="DM2227" s="711"/>
      <c r="DN2227" s="711"/>
      <c r="DO2227" s="711"/>
      <c r="DP2227" s="711"/>
      <c r="DQ2227" s="711"/>
    </row>
    <row r="2228" spans="13:121" s="709" customFormat="1" hidden="1">
      <c r="M2228" s="710"/>
      <c r="P2228" s="711"/>
      <c r="Q2228" s="712"/>
      <c r="U2228" s="711"/>
      <c r="V2228" s="711"/>
      <c r="W2228" s="711"/>
      <c r="X2228" s="711"/>
      <c r="Y2228" s="711"/>
      <c r="Z2228" s="711"/>
      <c r="AU2228" s="713"/>
      <c r="AW2228" s="712"/>
      <c r="BY2228" s="714"/>
      <c r="BZ2228" s="715"/>
      <c r="CA2228" s="716"/>
      <c r="CB2228" s="717"/>
      <c r="CC2228" s="717"/>
      <c r="CD2228" s="717"/>
      <c r="CE2228" s="717"/>
      <c r="CF2228" s="717"/>
      <c r="CG2228" s="717"/>
      <c r="CH2228" s="717"/>
      <c r="CI2228" s="717"/>
      <c r="CJ2228" s="717"/>
      <c r="CK2228" s="717"/>
      <c r="CL2228" s="717"/>
      <c r="CM2228" s="717"/>
      <c r="CN2228" s="717"/>
      <c r="CO2228" s="717"/>
      <c r="CP2228" s="717"/>
      <c r="CQ2228" s="717"/>
      <c r="CR2228" s="717"/>
      <c r="CS2228" s="717"/>
      <c r="CT2228" s="717"/>
      <c r="CU2228" s="717"/>
      <c r="CV2228" s="717"/>
      <c r="CW2228" s="717"/>
      <c r="CX2228" s="717"/>
      <c r="CY2228" s="717"/>
      <c r="CZ2228" s="717"/>
      <c r="DA2228" s="717"/>
      <c r="DB2228" s="717"/>
      <c r="DC2228" s="717"/>
      <c r="DD2228" s="717"/>
      <c r="DE2228" s="717"/>
      <c r="DF2228" s="717"/>
      <c r="DG2228" s="717"/>
      <c r="DH2228" s="717"/>
      <c r="DI2228" s="717"/>
      <c r="DJ2228" s="717"/>
      <c r="DM2228" s="711"/>
      <c r="DN2228" s="711"/>
      <c r="DO2228" s="711"/>
      <c r="DP2228" s="711"/>
      <c r="DQ2228" s="711"/>
    </row>
    <row r="2229" spans="13:121" s="709" customFormat="1" hidden="1">
      <c r="M2229" s="710"/>
      <c r="P2229" s="711"/>
      <c r="Q2229" s="712"/>
      <c r="U2229" s="711"/>
      <c r="V2229" s="711"/>
      <c r="W2229" s="711"/>
      <c r="X2229" s="711"/>
      <c r="Y2229" s="711"/>
      <c r="Z2229" s="711"/>
      <c r="AU2229" s="713"/>
      <c r="AW2229" s="712"/>
      <c r="BY2229" s="714"/>
      <c r="BZ2229" s="715"/>
      <c r="CA2229" s="716"/>
      <c r="CB2229" s="717"/>
      <c r="CC2229" s="717"/>
      <c r="CD2229" s="717"/>
      <c r="CE2229" s="717"/>
      <c r="CF2229" s="717"/>
      <c r="CG2229" s="717"/>
      <c r="CH2229" s="717"/>
      <c r="CI2229" s="717"/>
      <c r="CJ2229" s="717"/>
      <c r="CK2229" s="717"/>
      <c r="CL2229" s="717"/>
      <c r="CM2229" s="717"/>
      <c r="CN2229" s="717"/>
      <c r="CO2229" s="717"/>
      <c r="CP2229" s="717"/>
      <c r="CQ2229" s="717"/>
      <c r="CR2229" s="717"/>
      <c r="CS2229" s="717"/>
      <c r="CT2229" s="717"/>
      <c r="CU2229" s="717"/>
      <c r="CV2229" s="717"/>
      <c r="CW2229" s="717"/>
      <c r="CX2229" s="717"/>
      <c r="CY2229" s="717"/>
      <c r="CZ2229" s="717"/>
      <c r="DA2229" s="717"/>
      <c r="DB2229" s="717"/>
      <c r="DC2229" s="717"/>
      <c r="DD2229" s="717"/>
      <c r="DE2229" s="717"/>
      <c r="DF2229" s="717"/>
      <c r="DG2229" s="717"/>
      <c r="DH2229" s="717"/>
      <c r="DI2229" s="717"/>
      <c r="DJ2229" s="717"/>
      <c r="DM2229" s="711"/>
      <c r="DN2229" s="711"/>
      <c r="DO2229" s="711"/>
      <c r="DP2229" s="711"/>
      <c r="DQ2229" s="711"/>
    </row>
    <row r="2230" spans="13:121" s="709" customFormat="1" hidden="1">
      <c r="M2230" s="710"/>
      <c r="P2230" s="711"/>
      <c r="Q2230" s="712"/>
      <c r="U2230" s="711"/>
      <c r="V2230" s="711"/>
      <c r="W2230" s="711"/>
      <c r="X2230" s="711"/>
      <c r="Y2230" s="711"/>
      <c r="Z2230" s="711"/>
      <c r="AU2230" s="713"/>
      <c r="AW2230" s="712"/>
      <c r="BY2230" s="714"/>
      <c r="BZ2230" s="715"/>
      <c r="CA2230" s="716"/>
      <c r="CB2230" s="717"/>
      <c r="CC2230" s="717"/>
      <c r="CD2230" s="717"/>
      <c r="CE2230" s="717"/>
      <c r="CF2230" s="717"/>
      <c r="CG2230" s="717"/>
      <c r="CH2230" s="717"/>
      <c r="CI2230" s="717"/>
      <c r="CJ2230" s="717"/>
      <c r="CK2230" s="717"/>
      <c r="CL2230" s="717"/>
      <c r="CM2230" s="717"/>
      <c r="CN2230" s="717"/>
      <c r="CO2230" s="717"/>
      <c r="CP2230" s="717"/>
      <c r="CQ2230" s="717"/>
      <c r="CR2230" s="717"/>
      <c r="CS2230" s="717"/>
      <c r="CT2230" s="717"/>
      <c r="CU2230" s="717"/>
      <c r="CV2230" s="717"/>
      <c r="CW2230" s="717"/>
      <c r="CX2230" s="717"/>
      <c r="CY2230" s="717"/>
      <c r="CZ2230" s="717"/>
      <c r="DA2230" s="717"/>
      <c r="DB2230" s="717"/>
      <c r="DC2230" s="717"/>
      <c r="DD2230" s="717"/>
      <c r="DE2230" s="717"/>
      <c r="DF2230" s="717"/>
      <c r="DG2230" s="717"/>
      <c r="DH2230" s="717"/>
      <c r="DI2230" s="717"/>
      <c r="DJ2230" s="717"/>
      <c r="DM2230" s="711"/>
      <c r="DN2230" s="711"/>
      <c r="DO2230" s="711"/>
      <c r="DP2230" s="711"/>
      <c r="DQ2230" s="711"/>
    </row>
    <row r="2231" spans="13:121" s="709" customFormat="1" hidden="1">
      <c r="M2231" s="710"/>
      <c r="P2231" s="711"/>
      <c r="Q2231" s="712"/>
      <c r="U2231" s="711"/>
      <c r="V2231" s="711"/>
      <c r="W2231" s="711"/>
      <c r="X2231" s="711"/>
      <c r="Y2231" s="711"/>
      <c r="Z2231" s="711"/>
      <c r="AU2231" s="713"/>
      <c r="AW2231" s="712"/>
      <c r="BY2231" s="714"/>
      <c r="BZ2231" s="715"/>
      <c r="CA2231" s="716"/>
      <c r="CB2231" s="717"/>
      <c r="CC2231" s="717"/>
      <c r="CD2231" s="717"/>
      <c r="CE2231" s="717"/>
      <c r="CF2231" s="717"/>
      <c r="CG2231" s="717"/>
      <c r="CH2231" s="717"/>
      <c r="CI2231" s="717"/>
      <c r="CJ2231" s="717"/>
      <c r="CK2231" s="717"/>
      <c r="CL2231" s="717"/>
      <c r="CM2231" s="717"/>
      <c r="CN2231" s="717"/>
      <c r="CO2231" s="717"/>
      <c r="CP2231" s="717"/>
      <c r="CQ2231" s="717"/>
      <c r="CR2231" s="717"/>
      <c r="CS2231" s="717"/>
      <c r="CT2231" s="717"/>
      <c r="CU2231" s="717"/>
      <c r="CV2231" s="717"/>
      <c r="CW2231" s="717"/>
      <c r="CX2231" s="717"/>
      <c r="CY2231" s="717"/>
      <c r="CZ2231" s="717"/>
      <c r="DA2231" s="717"/>
      <c r="DB2231" s="717"/>
      <c r="DC2231" s="717"/>
      <c r="DD2231" s="717"/>
      <c r="DE2231" s="717"/>
      <c r="DF2231" s="717"/>
      <c r="DG2231" s="717"/>
      <c r="DH2231" s="717"/>
      <c r="DI2231" s="717"/>
      <c r="DJ2231" s="717"/>
      <c r="DM2231" s="711"/>
      <c r="DN2231" s="711"/>
      <c r="DO2231" s="711"/>
      <c r="DP2231" s="711"/>
      <c r="DQ2231" s="711"/>
    </row>
    <row r="2232" spans="13:121" s="709" customFormat="1" hidden="1">
      <c r="M2232" s="710"/>
      <c r="P2232" s="711"/>
      <c r="Q2232" s="712"/>
      <c r="U2232" s="711"/>
      <c r="V2232" s="711"/>
      <c r="W2232" s="711"/>
      <c r="X2232" s="711"/>
      <c r="Y2232" s="711"/>
      <c r="Z2232" s="711"/>
      <c r="AU2232" s="713"/>
      <c r="AW2232" s="712"/>
      <c r="BY2232" s="714"/>
      <c r="BZ2232" s="715"/>
      <c r="CA2232" s="716"/>
      <c r="CB2232" s="717"/>
      <c r="CC2232" s="717"/>
      <c r="CD2232" s="717"/>
      <c r="CE2232" s="717"/>
      <c r="CF2232" s="717"/>
      <c r="CG2232" s="717"/>
      <c r="CH2232" s="717"/>
      <c r="CI2232" s="717"/>
      <c r="CJ2232" s="717"/>
      <c r="CK2232" s="717"/>
      <c r="CL2232" s="717"/>
      <c r="CM2232" s="717"/>
      <c r="CN2232" s="717"/>
      <c r="CO2232" s="717"/>
      <c r="CP2232" s="717"/>
      <c r="CQ2232" s="717"/>
      <c r="CR2232" s="717"/>
      <c r="CS2232" s="717"/>
      <c r="CT2232" s="717"/>
      <c r="CU2232" s="717"/>
      <c r="CV2232" s="717"/>
      <c r="CW2232" s="717"/>
      <c r="CX2232" s="717"/>
      <c r="CY2232" s="717"/>
      <c r="CZ2232" s="717"/>
      <c r="DA2232" s="717"/>
      <c r="DB2232" s="717"/>
      <c r="DC2232" s="717"/>
      <c r="DD2232" s="717"/>
      <c r="DE2232" s="717"/>
      <c r="DF2232" s="717"/>
      <c r="DG2232" s="717"/>
      <c r="DH2232" s="717"/>
      <c r="DI2232" s="717"/>
      <c r="DJ2232" s="717"/>
      <c r="DM2232" s="711"/>
      <c r="DN2232" s="711"/>
      <c r="DO2232" s="711"/>
      <c r="DP2232" s="711"/>
      <c r="DQ2232" s="711"/>
    </row>
    <row r="2233" spans="13:121" s="709" customFormat="1" hidden="1">
      <c r="M2233" s="710"/>
      <c r="P2233" s="711"/>
      <c r="Q2233" s="712"/>
      <c r="U2233" s="711"/>
      <c r="V2233" s="711"/>
      <c r="W2233" s="711"/>
      <c r="X2233" s="711"/>
      <c r="Y2233" s="711"/>
      <c r="Z2233" s="711"/>
      <c r="AU2233" s="713"/>
      <c r="AW2233" s="712"/>
      <c r="BY2233" s="714"/>
      <c r="BZ2233" s="715"/>
      <c r="CA2233" s="716"/>
      <c r="CB2233" s="717"/>
      <c r="CC2233" s="717"/>
      <c r="CD2233" s="717"/>
      <c r="CE2233" s="717"/>
      <c r="CF2233" s="717"/>
      <c r="CG2233" s="717"/>
      <c r="CH2233" s="717"/>
      <c r="CI2233" s="717"/>
      <c r="CJ2233" s="717"/>
      <c r="CK2233" s="717"/>
      <c r="CL2233" s="717"/>
      <c r="CM2233" s="717"/>
      <c r="CN2233" s="717"/>
      <c r="CO2233" s="717"/>
      <c r="CP2233" s="717"/>
      <c r="CQ2233" s="717"/>
      <c r="CR2233" s="717"/>
      <c r="CS2233" s="717"/>
      <c r="CT2233" s="717"/>
      <c r="CU2233" s="717"/>
      <c r="CV2233" s="717"/>
      <c r="CW2233" s="717"/>
      <c r="CX2233" s="717"/>
      <c r="CY2233" s="717"/>
      <c r="CZ2233" s="717"/>
      <c r="DA2233" s="717"/>
      <c r="DB2233" s="717"/>
      <c r="DC2233" s="717"/>
      <c r="DD2233" s="717"/>
      <c r="DE2233" s="717"/>
      <c r="DF2233" s="717"/>
      <c r="DG2233" s="717"/>
      <c r="DH2233" s="717"/>
      <c r="DI2233" s="717"/>
      <c r="DJ2233" s="717"/>
      <c r="DM2233" s="711"/>
      <c r="DN2233" s="711"/>
      <c r="DO2233" s="711"/>
      <c r="DP2233" s="711"/>
      <c r="DQ2233" s="711"/>
    </row>
    <row r="2234" spans="13:121" s="709" customFormat="1" hidden="1">
      <c r="M2234" s="710"/>
      <c r="P2234" s="711"/>
      <c r="Q2234" s="712"/>
      <c r="U2234" s="711"/>
      <c r="V2234" s="711"/>
      <c r="W2234" s="711"/>
      <c r="X2234" s="711"/>
      <c r="Y2234" s="711"/>
      <c r="Z2234" s="711"/>
      <c r="AU2234" s="713"/>
      <c r="AW2234" s="712"/>
      <c r="BY2234" s="714"/>
      <c r="BZ2234" s="715"/>
      <c r="CA2234" s="716"/>
      <c r="CB2234" s="717"/>
      <c r="CC2234" s="717"/>
      <c r="CD2234" s="717"/>
      <c r="CE2234" s="717"/>
      <c r="CF2234" s="717"/>
      <c r="CG2234" s="717"/>
      <c r="CH2234" s="717"/>
      <c r="CI2234" s="717"/>
      <c r="CJ2234" s="717"/>
      <c r="CK2234" s="717"/>
      <c r="CL2234" s="717"/>
      <c r="CM2234" s="717"/>
      <c r="CN2234" s="717"/>
      <c r="CO2234" s="717"/>
      <c r="CP2234" s="717"/>
      <c r="CQ2234" s="717"/>
      <c r="CR2234" s="717"/>
      <c r="CS2234" s="717"/>
      <c r="CT2234" s="717"/>
      <c r="CU2234" s="717"/>
      <c r="CV2234" s="717"/>
      <c r="CW2234" s="717"/>
      <c r="CX2234" s="717"/>
      <c r="CY2234" s="717"/>
      <c r="CZ2234" s="717"/>
      <c r="DA2234" s="717"/>
      <c r="DB2234" s="717"/>
      <c r="DC2234" s="717"/>
      <c r="DD2234" s="717"/>
      <c r="DE2234" s="717"/>
      <c r="DF2234" s="717"/>
      <c r="DG2234" s="717"/>
      <c r="DH2234" s="717"/>
      <c r="DI2234" s="717"/>
      <c r="DJ2234" s="717"/>
      <c r="DM2234" s="711"/>
      <c r="DN2234" s="711"/>
      <c r="DO2234" s="711"/>
      <c r="DP2234" s="711"/>
      <c r="DQ2234" s="711"/>
    </row>
    <row r="2235" spans="13:121" s="709" customFormat="1" hidden="1">
      <c r="M2235" s="710"/>
      <c r="P2235" s="711"/>
      <c r="Q2235" s="712"/>
      <c r="U2235" s="711"/>
      <c r="V2235" s="711"/>
      <c r="W2235" s="711"/>
      <c r="X2235" s="711"/>
      <c r="Y2235" s="711"/>
      <c r="Z2235" s="711"/>
      <c r="AU2235" s="713"/>
      <c r="AW2235" s="712"/>
      <c r="BY2235" s="714"/>
      <c r="BZ2235" s="715"/>
      <c r="CA2235" s="716"/>
      <c r="CB2235" s="717"/>
      <c r="CC2235" s="717"/>
      <c r="CD2235" s="717"/>
      <c r="CE2235" s="717"/>
      <c r="CF2235" s="717"/>
      <c r="CG2235" s="717"/>
      <c r="CH2235" s="717"/>
      <c r="CI2235" s="717"/>
      <c r="CJ2235" s="717"/>
      <c r="CK2235" s="717"/>
      <c r="CL2235" s="717"/>
      <c r="CM2235" s="717"/>
      <c r="CN2235" s="717"/>
      <c r="CO2235" s="717"/>
      <c r="CP2235" s="717"/>
      <c r="CQ2235" s="717"/>
      <c r="CR2235" s="717"/>
      <c r="CS2235" s="717"/>
      <c r="CT2235" s="717"/>
      <c r="CU2235" s="717"/>
      <c r="CV2235" s="717"/>
      <c r="CW2235" s="717"/>
      <c r="CX2235" s="717"/>
      <c r="CY2235" s="717"/>
      <c r="CZ2235" s="717"/>
      <c r="DA2235" s="717"/>
      <c r="DB2235" s="717"/>
      <c r="DC2235" s="717"/>
      <c r="DD2235" s="717"/>
      <c r="DE2235" s="717"/>
      <c r="DF2235" s="717"/>
      <c r="DG2235" s="717"/>
      <c r="DH2235" s="717"/>
      <c r="DI2235" s="717"/>
      <c r="DJ2235" s="717"/>
      <c r="DM2235" s="711"/>
      <c r="DN2235" s="711"/>
      <c r="DO2235" s="711"/>
      <c r="DP2235" s="711"/>
      <c r="DQ2235" s="711"/>
    </row>
    <row r="2236" spans="13:121" s="709" customFormat="1" hidden="1">
      <c r="M2236" s="710"/>
      <c r="P2236" s="711"/>
      <c r="Q2236" s="712"/>
      <c r="U2236" s="711"/>
      <c r="V2236" s="711"/>
      <c r="W2236" s="711"/>
      <c r="X2236" s="711"/>
      <c r="Y2236" s="711"/>
      <c r="Z2236" s="711"/>
      <c r="AU2236" s="713"/>
      <c r="AW2236" s="712"/>
      <c r="BY2236" s="714"/>
      <c r="BZ2236" s="715"/>
      <c r="CA2236" s="716"/>
      <c r="CB2236" s="717"/>
      <c r="CC2236" s="717"/>
      <c r="CD2236" s="717"/>
      <c r="CE2236" s="717"/>
      <c r="CF2236" s="717"/>
      <c r="CG2236" s="717"/>
      <c r="CH2236" s="717"/>
      <c r="CI2236" s="717"/>
      <c r="CJ2236" s="717"/>
      <c r="CK2236" s="717"/>
      <c r="CL2236" s="717"/>
      <c r="CM2236" s="717"/>
      <c r="CN2236" s="717"/>
      <c r="CO2236" s="717"/>
      <c r="CP2236" s="717"/>
      <c r="CQ2236" s="717"/>
      <c r="CR2236" s="717"/>
      <c r="CS2236" s="717"/>
      <c r="CT2236" s="717"/>
      <c r="CU2236" s="717"/>
      <c r="CV2236" s="717"/>
      <c r="CW2236" s="717"/>
      <c r="CX2236" s="717"/>
      <c r="CY2236" s="717"/>
      <c r="CZ2236" s="717"/>
      <c r="DA2236" s="717"/>
      <c r="DB2236" s="717"/>
      <c r="DC2236" s="717"/>
      <c r="DD2236" s="717"/>
      <c r="DE2236" s="717"/>
      <c r="DF2236" s="717"/>
      <c r="DG2236" s="717"/>
      <c r="DH2236" s="717"/>
      <c r="DI2236" s="717"/>
      <c r="DJ2236" s="717"/>
      <c r="DM2236" s="711"/>
      <c r="DN2236" s="711"/>
      <c r="DO2236" s="711"/>
      <c r="DP2236" s="711"/>
      <c r="DQ2236" s="711"/>
    </row>
    <row r="2237" spans="13:121" s="709" customFormat="1" hidden="1">
      <c r="M2237" s="710"/>
      <c r="P2237" s="711"/>
      <c r="Q2237" s="712"/>
      <c r="U2237" s="711"/>
      <c r="V2237" s="711"/>
      <c r="W2237" s="711"/>
      <c r="X2237" s="711"/>
      <c r="Y2237" s="711"/>
      <c r="Z2237" s="711"/>
      <c r="AU2237" s="713"/>
      <c r="AW2237" s="712"/>
      <c r="BY2237" s="714"/>
      <c r="BZ2237" s="715"/>
      <c r="CA2237" s="716"/>
      <c r="CB2237" s="717"/>
      <c r="CC2237" s="717"/>
      <c r="CD2237" s="717"/>
      <c r="CE2237" s="717"/>
      <c r="CF2237" s="717"/>
      <c r="CG2237" s="717"/>
      <c r="CH2237" s="717"/>
      <c r="CI2237" s="717"/>
      <c r="CJ2237" s="717"/>
      <c r="CK2237" s="717"/>
      <c r="CL2237" s="717"/>
      <c r="CM2237" s="717"/>
      <c r="CN2237" s="717"/>
      <c r="CO2237" s="717"/>
      <c r="CP2237" s="717"/>
      <c r="CQ2237" s="717"/>
      <c r="CR2237" s="717"/>
      <c r="CS2237" s="717"/>
      <c r="CT2237" s="717"/>
      <c r="CU2237" s="717"/>
      <c r="CV2237" s="717"/>
      <c r="CW2237" s="717"/>
      <c r="CX2237" s="717"/>
      <c r="CY2237" s="717"/>
      <c r="CZ2237" s="717"/>
      <c r="DA2237" s="717"/>
      <c r="DB2237" s="717"/>
      <c r="DC2237" s="717"/>
      <c r="DD2237" s="717"/>
      <c r="DE2237" s="717"/>
      <c r="DF2237" s="717"/>
      <c r="DG2237" s="717"/>
      <c r="DH2237" s="717"/>
      <c r="DI2237" s="717"/>
      <c r="DJ2237" s="717"/>
      <c r="DM2237" s="711"/>
      <c r="DN2237" s="711"/>
      <c r="DO2237" s="711"/>
      <c r="DP2237" s="711"/>
      <c r="DQ2237" s="711"/>
    </row>
    <row r="2238" spans="13:121" s="709" customFormat="1" hidden="1">
      <c r="M2238" s="710"/>
      <c r="P2238" s="711"/>
      <c r="Q2238" s="712"/>
      <c r="U2238" s="711"/>
      <c r="V2238" s="711"/>
      <c r="W2238" s="711"/>
      <c r="X2238" s="711"/>
      <c r="Y2238" s="711"/>
      <c r="Z2238" s="711"/>
      <c r="AU2238" s="713"/>
      <c r="AW2238" s="712"/>
      <c r="BY2238" s="714"/>
      <c r="BZ2238" s="715"/>
      <c r="CA2238" s="716"/>
      <c r="CB2238" s="717"/>
      <c r="CC2238" s="717"/>
      <c r="CD2238" s="717"/>
      <c r="CE2238" s="717"/>
      <c r="CF2238" s="717"/>
      <c r="CG2238" s="717"/>
      <c r="CH2238" s="717"/>
      <c r="CI2238" s="717"/>
      <c r="CJ2238" s="717"/>
      <c r="CK2238" s="717"/>
      <c r="CL2238" s="717"/>
      <c r="CM2238" s="717"/>
      <c r="CN2238" s="717"/>
      <c r="CO2238" s="717"/>
      <c r="CP2238" s="717"/>
      <c r="CQ2238" s="717"/>
      <c r="CR2238" s="717"/>
      <c r="CS2238" s="717"/>
      <c r="CT2238" s="717"/>
      <c r="CU2238" s="717"/>
      <c r="CV2238" s="717"/>
      <c r="CW2238" s="717"/>
      <c r="CX2238" s="717"/>
      <c r="CY2238" s="717"/>
      <c r="CZ2238" s="717"/>
      <c r="DA2238" s="717"/>
      <c r="DB2238" s="717"/>
      <c r="DC2238" s="717"/>
      <c r="DD2238" s="717"/>
      <c r="DE2238" s="717"/>
      <c r="DF2238" s="717"/>
      <c r="DG2238" s="717"/>
      <c r="DH2238" s="717"/>
      <c r="DI2238" s="717"/>
      <c r="DJ2238" s="717"/>
      <c r="DM2238" s="711"/>
      <c r="DN2238" s="711"/>
      <c r="DO2238" s="711"/>
      <c r="DP2238" s="711"/>
      <c r="DQ2238" s="711"/>
    </row>
    <row r="2239" spans="13:121" s="709" customFormat="1" hidden="1">
      <c r="M2239" s="710"/>
      <c r="P2239" s="711"/>
      <c r="Q2239" s="712"/>
      <c r="U2239" s="711"/>
      <c r="V2239" s="711"/>
      <c r="W2239" s="711"/>
      <c r="X2239" s="711"/>
      <c r="Y2239" s="711"/>
      <c r="Z2239" s="711"/>
      <c r="AU2239" s="713"/>
      <c r="AW2239" s="712"/>
      <c r="BY2239" s="714"/>
      <c r="BZ2239" s="715"/>
      <c r="CA2239" s="716"/>
      <c r="CB2239" s="717"/>
      <c r="CC2239" s="717"/>
      <c r="CD2239" s="717"/>
      <c r="CE2239" s="717"/>
      <c r="CF2239" s="717"/>
      <c r="CG2239" s="717"/>
      <c r="CH2239" s="717"/>
      <c r="CI2239" s="717"/>
      <c r="CJ2239" s="717"/>
      <c r="CK2239" s="717"/>
      <c r="CL2239" s="717"/>
      <c r="CM2239" s="717"/>
      <c r="CN2239" s="717"/>
      <c r="CO2239" s="717"/>
      <c r="CP2239" s="717"/>
      <c r="CQ2239" s="717"/>
      <c r="CR2239" s="717"/>
      <c r="CS2239" s="717"/>
      <c r="CT2239" s="717"/>
      <c r="CU2239" s="717"/>
      <c r="CV2239" s="717"/>
      <c r="CW2239" s="717"/>
      <c r="CX2239" s="717"/>
      <c r="CY2239" s="717"/>
      <c r="CZ2239" s="717"/>
      <c r="DA2239" s="717"/>
      <c r="DB2239" s="717"/>
      <c r="DC2239" s="717"/>
      <c r="DD2239" s="717"/>
      <c r="DE2239" s="717"/>
      <c r="DF2239" s="717"/>
      <c r="DG2239" s="717"/>
      <c r="DH2239" s="717"/>
      <c r="DI2239" s="717"/>
      <c r="DJ2239" s="717"/>
      <c r="DM2239" s="711"/>
      <c r="DN2239" s="711"/>
      <c r="DO2239" s="711"/>
      <c r="DP2239" s="711"/>
      <c r="DQ2239" s="711"/>
    </row>
    <row r="2240" spans="13:121" s="709" customFormat="1" hidden="1">
      <c r="M2240" s="710"/>
      <c r="P2240" s="711"/>
      <c r="Q2240" s="712"/>
      <c r="U2240" s="711"/>
      <c r="V2240" s="711"/>
      <c r="W2240" s="711"/>
      <c r="X2240" s="711"/>
      <c r="Y2240" s="711"/>
      <c r="Z2240" s="711"/>
      <c r="AU2240" s="713"/>
      <c r="AW2240" s="712"/>
      <c r="BY2240" s="714"/>
      <c r="BZ2240" s="715"/>
      <c r="CA2240" s="716"/>
      <c r="CB2240" s="717"/>
      <c r="CC2240" s="717"/>
      <c r="CD2240" s="717"/>
      <c r="CE2240" s="717"/>
      <c r="CF2240" s="717"/>
      <c r="CG2240" s="717"/>
      <c r="CH2240" s="717"/>
      <c r="CI2240" s="717"/>
      <c r="CJ2240" s="717"/>
      <c r="CK2240" s="717"/>
      <c r="CL2240" s="717"/>
      <c r="CM2240" s="717"/>
      <c r="CN2240" s="717"/>
      <c r="CO2240" s="717"/>
      <c r="CP2240" s="717"/>
      <c r="CQ2240" s="717"/>
      <c r="CR2240" s="717"/>
      <c r="CS2240" s="717"/>
      <c r="CT2240" s="717"/>
      <c r="CU2240" s="717"/>
      <c r="CV2240" s="717"/>
      <c r="CW2240" s="717"/>
      <c r="CX2240" s="717"/>
      <c r="CY2240" s="717"/>
      <c r="CZ2240" s="717"/>
      <c r="DA2240" s="717"/>
      <c r="DB2240" s="717"/>
      <c r="DC2240" s="717"/>
      <c r="DD2240" s="717"/>
      <c r="DE2240" s="717"/>
      <c r="DF2240" s="717"/>
      <c r="DG2240" s="717"/>
      <c r="DH2240" s="717"/>
      <c r="DI2240" s="717"/>
      <c r="DJ2240" s="717"/>
      <c r="DM2240" s="711"/>
      <c r="DN2240" s="711"/>
      <c r="DO2240" s="711"/>
      <c r="DP2240" s="711"/>
      <c r="DQ2240" s="711"/>
    </row>
    <row r="2241" spans="13:121" s="709" customFormat="1" hidden="1">
      <c r="M2241" s="710"/>
      <c r="P2241" s="711"/>
      <c r="Q2241" s="712"/>
      <c r="U2241" s="711"/>
      <c r="V2241" s="711"/>
      <c r="W2241" s="711"/>
      <c r="X2241" s="711"/>
      <c r="Y2241" s="711"/>
      <c r="Z2241" s="711"/>
      <c r="AU2241" s="713"/>
      <c r="AW2241" s="712"/>
      <c r="BY2241" s="714"/>
      <c r="BZ2241" s="715"/>
      <c r="CA2241" s="716"/>
      <c r="CB2241" s="717"/>
      <c r="CC2241" s="717"/>
      <c r="CD2241" s="717"/>
      <c r="CE2241" s="717"/>
      <c r="CF2241" s="717"/>
      <c r="CG2241" s="717"/>
      <c r="CH2241" s="717"/>
      <c r="CI2241" s="717"/>
      <c r="CJ2241" s="717"/>
      <c r="CK2241" s="717"/>
      <c r="CL2241" s="717"/>
      <c r="CM2241" s="717"/>
      <c r="CN2241" s="717"/>
      <c r="CO2241" s="717"/>
      <c r="CP2241" s="717"/>
      <c r="CQ2241" s="717"/>
      <c r="CR2241" s="717"/>
      <c r="CS2241" s="717"/>
      <c r="CT2241" s="717"/>
      <c r="CU2241" s="717"/>
      <c r="CV2241" s="717"/>
      <c r="CW2241" s="717"/>
      <c r="CX2241" s="717"/>
      <c r="CY2241" s="717"/>
      <c r="CZ2241" s="717"/>
      <c r="DA2241" s="717"/>
      <c r="DB2241" s="717"/>
      <c r="DC2241" s="717"/>
      <c r="DD2241" s="717"/>
      <c r="DE2241" s="717"/>
      <c r="DF2241" s="717"/>
      <c r="DG2241" s="717"/>
      <c r="DH2241" s="717"/>
      <c r="DI2241" s="717"/>
      <c r="DJ2241" s="717"/>
      <c r="DM2241" s="711"/>
      <c r="DN2241" s="711"/>
      <c r="DO2241" s="711"/>
      <c r="DP2241" s="711"/>
      <c r="DQ2241" s="711"/>
    </row>
    <row r="2242" spans="13:121" s="709" customFormat="1" hidden="1">
      <c r="M2242" s="710"/>
      <c r="P2242" s="711"/>
      <c r="Q2242" s="712"/>
      <c r="U2242" s="711"/>
      <c r="V2242" s="711"/>
      <c r="W2242" s="711"/>
      <c r="X2242" s="711"/>
      <c r="Y2242" s="711"/>
      <c r="Z2242" s="711"/>
      <c r="AU2242" s="713"/>
      <c r="AW2242" s="712"/>
      <c r="BY2242" s="714"/>
      <c r="BZ2242" s="715"/>
      <c r="CA2242" s="716"/>
      <c r="CB2242" s="717"/>
      <c r="CC2242" s="717"/>
      <c r="CD2242" s="717"/>
      <c r="CE2242" s="717"/>
      <c r="CF2242" s="717"/>
      <c r="CG2242" s="717"/>
      <c r="CH2242" s="717"/>
      <c r="CI2242" s="717"/>
      <c r="CJ2242" s="717"/>
      <c r="CK2242" s="717"/>
      <c r="CL2242" s="717"/>
      <c r="CM2242" s="717"/>
      <c r="CN2242" s="717"/>
      <c r="CO2242" s="717"/>
      <c r="CP2242" s="717"/>
      <c r="CQ2242" s="717"/>
      <c r="CR2242" s="717"/>
      <c r="CS2242" s="717"/>
      <c r="CT2242" s="717"/>
      <c r="CU2242" s="717"/>
      <c r="CV2242" s="717"/>
      <c r="CW2242" s="717"/>
      <c r="CX2242" s="717"/>
      <c r="CY2242" s="717"/>
      <c r="CZ2242" s="717"/>
      <c r="DA2242" s="717"/>
      <c r="DB2242" s="717"/>
      <c r="DC2242" s="717"/>
      <c r="DD2242" s="717"/>
      <c r="DE2242" s="717"/>
      <c r="DF2242" s="717"/>
      <c r="DG2242" s="717"/>
      <c r="DH2242" s="717"/>
      <c r="DI2242" s="717"/>
      <c r="DJ2242" s="717"/>
      <c r="DM2242" s="711"/>
      <c r="DN2242" s="711"/>
      <c r="DO2242" s="711"/>
      <c r="DP2242" s="711"/>
      <c r="DQ2242" s="711"/>
    </row>
    <row r="2243" spans="13:121" s="709" customFormat="1" hidden="1">
      <c r="M2243" s="710"/>
      <c r="P2243" s="711"/>
      <c r="Q2243" s="712"/>
      <c r="U2243" s="711"/>
      <c r="V2243" s="711"/>
      <c r="W2243" s="711"/>
      <c r="X2243" s="711"/>
      <c r="Y2243" s="711"/>
      <c r="Z2243" s="711"/>
      <c r="AU2243" s="713"/>
      <c r="AW2243" s="712"/>
      <c r="BY2243" s="714"/>
      <c r="BZ2243" s="715"/>
      <c r="CA2243" s="716"/>
      <c r="CB2243" s="717"/>
      <c r="CC2243" s="717"/>
      <c r="CD2243" s="717"/>
      <c r="CE2243" s="717"/>
      <c r="CF2243" s="717"/>
      <c r="CG2243" s="717"/>
      <c r="CH2243" s="717"/>
      <c r="CI2243" s="717"/>
      <c r="CJ2243" s="717"/>
      <c r="CK2243" s="717"/>
      <c r="CL2243" s="717"/>
      <c r="CM2243" s="717"/>
      <c r="CN2243" s="717"/>
      <c r="CO2243" s="717"/>
      <c r="CP2243" s="717"/>
      <c r="CQ2243" s="717"/>
      <c r="CR2243" s="717"/>
      <c r="CS2243" s="717"/>
      <c r="CT2243" s="717"/>
      <c r="CU2243" s="717"/>
      <c r="CV2243" s="717"/>
      <c r="CW2243" s="717"/>
      <c r="CX2243" s="717"/>
      <c r="CY2243" s="717"/>
      <c r="CZ2243" s="717"/>
      <c r="DA2243" s="717"/>
      <c r="DB2243" s="717"/>
      <c r="DC2243" s="717"/>
      <c r="DD2243" s="717"/>
      <c r="DE2243" s="717"/>
      <c r="DF2243" s="717"/>
      <c r="DG2243" s="717"/>
      <c r="DH2243" s="717"/>
      <c r="DI2243" s="717"/>
      <c r="DJ2243" s="717"/>
      <c r="DM2243" s="711"/>
      <c r="DN2243" s="711"/>
      <c r="DO2243" s="711"/>
      <c r="DP2243" s="711"/>
      <c r="DQ2243" s="711"/>
    </row>
    <row r="2244" spans="13:121" s="709" customFormat="1" hidden="1">
      <c r="M2244" s="710"/>
      <c r="P2244" s="711"/>
      <c r="Q2244" s="712"/>
      <c r="U2244" s="711"/>
      <c r="V2244" s="711"/>
      <c r="W2244" s="711"/>
      <c r="X2244" s="711"/>
      <c r="Y2244" s="711"/>
      <c r="Z2244" s="711"/>
      <c r="AU2244" s="713"/>
      <c r="AW2244" s="712"/>
      <c r="BY2244" s="714"/>
      <c r="BZ2244" s="715"/>
      <c r="CA2244" s="716"/>
      <c r="CB2244" s="717"/>
      <c r="CC2244" s="717"/>
      <c r="CD2244" s="717"/>
      <c r="CE2244" s="717"/>
      <c r="CF2244" s="717"/>
      <c r="CG2244" s="717"/>
      <c r="CH2244" s="717"/>
      <c r="CI2244" s="717"/>
      <c r="CJ2244" s="717"/>
      <c r="CK2244" s="717"/>
      <c r="CL2244" s="717"/>
      <c r="CM2244" s="717"/>
      <c r="CN2244" s="717"/>
      <c r="CO2244" s="717"/>
      <c r="CP2244" s="717"/>
      <c r="CQ2244" s="717"/>
      <c r="CR2244" s="717"/>
      <c r="CS2244" s="717"/>
      <c r="CT2244" s="717"/>
      <c r="CU2244" s="717"/>
      <c r="CV2244" s="717"/>
      <c r="CW2244" s="717"/>
      <c r="CX2244" s="717"/>
      <c r="CY2244" s="717"/>
      <c r="CZ2244" s="717"/>
      <c r="DA2244" s="717"/>
      <c r="DB2244" s="717"/>
      <c r="DC2244" s="717"/>
      <c r="DD2244" s="717"/>
      <c r="DE2244" s="717"/>
      <c r="DF2244" s="717"/>
      <c r="DG2244" s="717"/>
      <c r="DH2244" s="717"/>
      <c r="DI2244" s="717"/>
      <c r="DJ2244" s="717"/>
      <c r="DM2244" s="711"/>
      <c r="DN2244" s="711"/>
      <c r="DO2244" s="711"/>
      <c r="DP2244" s="711"/>
      <c r="DQ2244" s="711"/>
    </row>
    <row r="2245" spans="13:121" s="709" customFormat="1" hidden="1">
      <c r="M2245" s="710"/>
      <c r="P2245" s="711"/>
      <c r="Q2245" s="712"/>
      <c r="U2245" s="711"/>
      <c r="V2245" s="711"/>
      <c r="W2245" s="711"/>
      <c r="X2245" s="711"/>
      <c r="Y2245" s="711"/>
      <c r="Z2245" s="711"/>
      <c r="AU2245" s="713"/>
      <c r="AW2245" s="712"/>
      <c r="BY2245" s="714"/>
      <c r="BZ2245" s="715"/>
      <c r="CA2245" s="716"/>
      <c r="CB2245" s="717"/>
      <c r="CC2245" s="717"/>
      <c r="CD2245" s="717"/>
      <c r="CE2245" s="717"/>
      <c r="CF2245" s="717"/>
      <c r="CG2245" s="717"/>
      <c r="CH2245" s="717"/>
      <c r="CI2245" s="717"/>
      <c r="CJ2245" s="717"/>
      <c r="CK2245" s="717"/>
      <c r="CL2245" s="717"/>
      <c r="CM2245" s="717"/>
      <c r="CN2245" s="717"/>
      <c r="CO2245" s="717"/>
      <c r="CP2245" s="717"/>
      <c r="CQ2245" s="717"/>
      <c r="CR2245" s="717"/>
      <c r="CS2245" s="717"/>
      <c r="CT2245" s="717"/>
      <c r="CU2245" s="717"/>
      <c r="CV2245" s="717"/>
      <c r="CW2245" s="717"/>
      <c r="CX2245" s="717"/>
      <c r="CY2245" s="717"/>
      <c r="CZ2245" s="717"/>
      <c r="DA2245" s="717"/>
      <c r="DB2245" s="717"/>
      <c r="DC2245" s="717"/>
      <c r="DD2245" s="717"/>
      <c r="DE2245" s="717"/>
      <c r="DF2245" s="717"/>
      <c r="DG2245" s="717"/>
      <c r="DH2245" s="717"/>
      <c r="DI2245" s="717"/>
      <c r="DJ2245" s="717"/>
      <c r="DM2245" s="711"/>
      <c r="DN2245" s="711"/>
      <c r="DO2245" s="711"/>
      <c r="DP2245" s="711"/>
      <c r="DQ2245" s="711"/>
    </row>
    <row r="2246" spans="13:121" s="709" customFormat="1" hidden="1">
      <c r="M2246" s="710"/>
      <c r="P2246" s="711"/>
      <c r="Q2246" s="712"/>
      <c r="U2246" s="711"/>
      <c r="V2246" s="711"/>
      <c r="W2246" s="711"/>
      <c r="X2246" s="711"/>
      <c r="Y2246" s="711"/>
      <c r="Z2246" s="711"/>
      <c r="AU2246" s="713"/>
      <c r="AW2246" s="712"/>
      <c r="BY2246" s="714"/>
      <c r="BZ2246" s="715"/>
      <c r="CA2246" s="716"/>
      <c r="CB2246" s="717"/>
      <c r="CC2246" s="717"/>
      <c r="CD2246" s="717"/>
      <c r="CE2246" s="717"/>
      <c r="CF2246" s="717"/>
      <c r="CG2246" s="717"/>
      <c r="CH2246" s="717"/>
      <c r="CI2246" s="717"/>
      <c r="CJ2246" s="717"/>
      <c r="CK2246" s="717"/>
      <c r="CL2246" s="717"/>
      <c r="CM2246" s="717"/>
      <c r="CN2246" s="717"/>
      <c r="CO2246" s="717"/>
      <c r="CP2246" s="717"/>
      <c r="CQ2246" s="717"/>
      <c r="CR2246" s="717"/>
      <c r="CS2246" s="717"/>
      <c r="CT2246" s="717"/>
      <c r="CU2246" s="717"/>
      <c r="CV2246" s="717"/>
      <c r="CW2246" s="717"/>
      <c r="CX2246" s="717"/>
      <c r="CY2246" s="717"/>
      <c r="CZ2246" s="717"/>
      <c r="DA2246" s="717"/>
      <c r="DB2246" s="717"/>
      <c r="DC2246" s="717"/>
      <c r="DD2246" s="717"/>
      <c r="DE2246" s="717"/>
      <c r="DF2246" s="717"/>
      <c r="DG2246" s="717"/>
      <c r="DH2246" s="717"/>
      <c r="DI2246" s="717"/>
      <c r="DJ2246" s="717"/>
      <c r="DM2246" s="711"/>
      <c r="DN2246" s="711"/>
      <c r="DO2246" s="711"/>
      <c r="DP2246" s="711"/>
      <c r="DQ2246" s="711"/>
    </row>
    <row r="2247" spans="13:121" s="709" customFormat="1" hidden="1">
      <c r="M2247" s="710"/>
      <c r="P2247" s="711"/>
      <c r="Q2247" s="712"/>
      <c r="U2247" s="711"/>
      <c r="V2247" s="711"/>
      <c r="W2247" s="711"/>
      <c r="X2247" s="711"/>
      <c r="Y2247" s="711"/>
      <c r="Z2247" s="711"/>
      <c r="AU2247" s="713"/>
      <c r="AW2247" s="712"/>
      <c r="BY2247" s="714"/>
      <c r="BZ2247" s="715"/>
      <c r="CA2247" s="716"/>
      <c r="CB2247" s="717"/>
      <c r="CC2247" s="717"/>
      <c r="CD2247" s="717"/>
      <c r="CE2247" s="717"/>
      <c r="CF2247" s="717"/>
      <c r="CG2247" s="717"/>
      <c r="CH2247" s="717"/>
      <c r="CI2247" s="717"/>
      <c r="CJ2247" s="717"/>
      <c r="CK2247" s="717"/>
      <c r="CL2247" s="717"/>
      <c r="CM2247" s="717"/>
      <c r="CN2247" s="717"/>
      <c r="CO2247" s="717"/>
      <c r="CP2247" s="717"/>
      <c r="CQ2247" s="717"/>
      <c r="CR2247" s="717"/>
      <c r="CS2247" s="717"/>
      <c r="CT2247" s="717"/>
      <c r="CU2247" s="717"/>
      <c r="CV2247" s="717"/>
      <c r="CW2247" s="717"/>
      <c r="CX2247" s="717"/>
      <c r="CY2247" s="717"/>
      <c r="CZ2247" s="717"/>
      <c r="DA2247" s="717"/>
      <c r="DB2247" s="717"/>
      <c r="DC2247" s="717"/>
      <c r="DD2247" s="717"/>
      <c r="DE2247" s="717"/>
      <c r="DF2247" s="717"/>
      <c r="DG2247" s="717"/>
      <c r="DH2247" s="717"/>
      <c r="DI2247" s="717"/>
      <c r="DJ2247" s="717"/>
      <c r="DM2247" s="711"/>
      <c r="DN2247" s="711"/>
      <c r="DO2247" s="711"/>
      <c r="DP2247" s="711"/>
      <c r="DQ2247" s="711"/>
    </row>
    <row r="2248" spans="13:121" s="709" customFormat="1" hidden="1">
      <c r="M2248" s="710"/>
      <c r="P2248" s="711"/>
      <c r="Q2248" s="712"/>
      <c r="U2248" s="711"/>
      <c r="V2248" s="711"/>
      <c r="W2248" s="711"/>
      <c r="X2248" s="711"/>
      <c r="Y2248" s="711"/>
      <c r="Z2248" s="711"/>
      <c r="AU2248" s="713"/>
      <c r="AW2248" s="712"/>
      <c r="BY2248" s="714"/>
      <c r="BZ2248" s="715"/>
      <c r="CA2248" s="716"/>
      <c r="CB2248" s="717"/>
      <c r="CC2248" s="717"/>
      <c r="CD2248" s="717"/>
      <c r="CE2248" s="717"/>
      <c r="CF2248" s="717"/>
      <c r="CG2248" s="717"/>
      <c r="CH2248" s="717"/>
      <c r="CI2248" s="717"/>
      <c r="CJ2248" s="717"/>
      <c r="CK2248" s="717"/>
      <c r="CL2248" s="717"/>
      <c r="CM2248" s="717"/>
      <c r="CN2248" s="717"/>
      <c r="CO2248" s="717"/>
      <c r="CP2248" s="717"/>
      <c r="CQ2248" s="717"/>
      <c r="CR2248" s="717"/>
      <c r="CS2248" s="717"/>
      <c r="CT2248" s="717"/>
      <c r="CU2248" s="717"/>
      <c r="CV2248" s="717"/>
      <c r="CW2248" s="717"/>
      <c r="CX2248" s="717"/>
      <c r="CY2248" s="717"/>
      <c r="CZ2248" s="717"/>
      <c r="DA2248" s="717"/>
      <c r="DB2248" s="717"/>
      <c r="DC2248" s="717"/>
      <c r="DD2248" s="717"/>
      <c r="DE2248" s="717"/>
      <c r="DF2248" s="717"/>
      <c r="DG2248" s="717"/>
      <c r="DH2248" s="717"/>
      <c r="DI2248" s="717"/>
      <c r="DJ2248" s="717"/>
      <c r="DM2248" s="711"/>
      <c r="DN2248" s="711"/>
      <c r="DO2248" s="711"/>
      <c r="DP2248" s="711"/>
      <c r="DQ2248" s="711"/>
    </row>
    <row r="2249" spans="13:121" s="709" customFormat="1" hidden="1">
      <c r="M2249" s="710"/>
      <c r="P2249" s="711"/>
      <c r="Q2249" s="712"/>
      <c r="U2249" s="711"/>
      <c r="V2249" s="711"/>
      <c r="W2249" s="711"/>
      <c r="X2249" s="711"/>
      <c r="Y2249" s="711"/>
      <c r="Z2249" s="711"/>
      <c r="AU2249" s="713"/>
      <c r="AW2249" s="712"/>
      <c r="BY2249" s="714"/>
      <c r="BZ2249" s="715"/>
      <c r="CA2249" s="716"/>
      <c r="CB2249" s="717"/>
      <c r="CC2249" s="717"/>
      <c r="CD2249" s="717"/>
      <c r="CE2249" s="717"/>
      <c r="CF2249" s="717"/>
      <c r="CG2249" s="717"/>
      <c r="CH2249" s="717"/>
      <c r="CI2249" s="717"/>
      <c r="CJ2249" s="717"/>
      <c r="CK2249" s="717"/>
      <c r="CL2249" s="717"/>
      <c r="CM2249" s="717"/>
      <c r="CN2249" s="717"/>
      <c r="CO2249" s="717"/>
      <c r="CP2249" s="717"/>
      <c r="CQ2249" s="717"/>
      <c r="CR2249" s="717"/>
      <c r="CS2249" s="717"/>
      <c r="CT2249" s="717"/>
      <c r="CU2249" s="717"/>
      <c r="CV2249" s="717"/>
      <c r="CW2249" s="717"/>
      <c r="CX2249" s="717"/>
      <c r="CY2249" s="717"/>
      <c r="CZ2249" s="717"/>
      <c r="DA2249" s="717"/>
      <c r="DB2249" s="717"/>
      <c r="DC2249" s="717"/>
      <c r="DD2249" s="717"/>
      <c r="DE2249" s="717"/>
      <c r="DF2249" s="717"/>
      <c r="DG2249" s="717"/>
      <c r="DH2249" s="717"/>
      <c r="DI2249" s="717"/>
      <c r="DJ2249" s="717"/>
      <c r="DM2249" s="711"/>
      <c r="DN2249" s="711"/>
      <c r="DO2249" s="711"/>
      <c r="DP2249" s="711"/>
      <c r="DQ2249" s="711"/>
    </row>
    <row r="2250" spans="13:121" s="709" customFormat="1" hidden="1">
      <c r="M2250" s="710"/>
      <c r="P2250" s="711"/>
      <c r="Q2250" s="712"/>
      <c r="U2250" s="711"/>
      <c r="V2250" s="711"/>
      <c r="W2250" s="711"/>
      <c r="X2250" s="711"/>
      <c r="Y2250" s="711"/>
      <c r="Z2250" s="711"/>
      <c r="AU2250" s="713"/>
      <c r="AW2250" s="712"/>
      <c r="BY2250" s="714"/>
      <c r="BZ2250" s="715"/>
      <c r="CA2250" s="716"/>
      <c r="CB2250" s="717"/>
      <c r="CC2250" s="717"/>
      <c r="CD2250" s="717"/>
      <c r="CE2250" s="717"/>
      <c r="CF2250" s="717"/>
      <c r="CG2250" s="717"/>
      <c r="CH2250" s="717"/>
      <c r="CI2250" s="717"/>
      <c r="CJ2250" s="717"/>
      <c r="CK2250" s="717"/>
      <c r="CL2250" s="717"/>
      <c r="CM2250" s="717"/>
      <c r="CN2250" s="717"/>
      <c r="CO2250" s="717"/>
      <c r="CP2250" s="717"/>
      <c r="CQ2250" s="717"/>
      <c r="CR2250" s="717"/>
      <c r="CS2250" s="717"/>
      <c r="CT2250" s="717"/>
      <c r="CU2250" s="717"/>
      <c r="CV2250" s="717"/>
      <c r="CW2250" s="717"/>
      <c r="CX2250" s="717"/>
      <c r="CY2250" s="717"/>
      <c r="CZ2250" s="717"/>
      <c r="DA2250" s="717"/>
      <c r="DB2250" s="717"/>
      <c r="DC2250" s="717"/>
      <c r="DD2250" s="717"/>
      <c r="DE2250" s="717"/>
      <c r="DF2250" s="717"/>
      <c r="DG2250" s="717"/>
      <c r="DH2250" s="717"/>
      <c r="DI2250" s="717"/>
      <c r="DJ2250" s="717"/>
      <c r="DM2250" s="711"/>
      <c r="DN2250" s="711"/>
      <c r="DO2250" s="711"/>
      <c r="DP2250" s="711"/>
      <c r="DQ2250" s="711"/>
    </row>
    <row r="2251" spans="13:121" s="709" customFormat="1" hidden="1">
      <c r="M2251" s="710"/>
      <c r="P2251" s="711"/>
      <c r="Q2251" s="712"/>
      <c r="U2251" s="711"/>
      <c r="V2251" s="711"/>
      <c r="W2251" s="711"/>
      <c r="X2251" s="711"/>
      <c r="Y2251" s="711"/>
      <c r="Z2251" s="711"/>
      <c r="AU2251" s="713"/>
      <c r="AW2251" s="712"/>
      <c r="BY2251" s="714"/>
      <c r="BZ2251" s="715"/>
      <c r="CA2251" s="716"/>
      <c r="CB2251" s="717"/>
      <c r="CC2251" s="717"/>
      <c r="CD2251" s="717"/>
      <c r="CE2251" s="717"/>
      <c r="CF2251" s="717"/>
      <c r="CG2251" s="717"/>
      <c r="CH2251" s="717"/>
      <c r="CI2251" s="717"/>
      <c r="CJ2251" s="717"/>
      <c r="CK2251" s="717"/>
      <c r="CL2251" s="717"/>
      <c r="CM2251" s="717"/>
      <c r="CN2251" s="717"/>
      <c r="CO2251" s="717"/>
      <c r="CP2251" s="717"/>
      <c r="CQ2251" s="717"/>
      <c r="CR2251" s="717"/>
      <c r="CS2251" s="717"/>
      <c r="CT2251" s="717"/>
      <c r="CU2251" s="717"/>
      <c r="CV2251" s="717"/>
      <c r="CW2251" s="717"/>
      <c r="CX2251" s="717"/>
      <c r="CY2251" s="717"/>
      <c r="CZ2251" s="717"/>
      <c r="DA2251" s="717"/>
      <c r="DB2251" s="717"/>
      <c r="DC2251" s="717"/>
      <c r="DD2251" s="717"/>
      <c r="DE2251" s="717"/>
      <c r="DF2251" s="717"/>
      <c r="DG2251" s="717"/>
      <c r="DH2251" s="717"/>
      <c r="DI2251" s="717"/>
      <c r="DJ2251" s="717"/>
      <c r="DM2251" s="711"/>
      <c r="DN2251" s="711"/>
      <c r="DO2251" s="711"/>
      <c r="DP2251" s="711"/>
      <c r="DQ2251" s="711"/>
    </row>
    <row r="2252" spans="13:121" s="709" customFormat="1" hidden="1">
      <c r="M2252" s="710"/>
      <c r="P2252" s="711"/>
      <c r="Q2252" s="712"/>
      <c r="U2252" s="711"/>
      <c r="V2252" s="711"/>
      <c r="W2252" s="711"/>
      <c r="X2252" s="711"/>
      <c r="Y2252" s="711"/>
      <c r="Z2252" s="711"/>
      <c r="AU2252" s="713"/>
      <c r="AW2252" s="712"/>
      <c r="BY2252" s="714"/>
      <c r="BZ2252" s="715"/>
      <c r="CA2252" s="716"/>
      <c r="CB2252" s="717"/>
      <c r="CC2252" s="717"/>
      <c r="CD2252" s="717"/>
      <c r="CE2252" s="717"/>
      <c r="CF2252" s="717"/>
      <c r="CG2252" s="717"/>
      <c r="CH2252" s="717"/>
      <c r="CI2252" s="717"/>
      <c r="CJ2252" s="717"/>
      <c r="CK2252" s="717"/>
      <c r="CL2252" s="717"/>
      <c r="CM2252" s="717"/>
      <c r="CN2252" s="717"/>
      <c r="CO2252" s="717"/>
      <c r="CP2252" s="717"/>
      <c r="CQ2252" s="717"/>
      <c r="CR2252" s="717"/>
      <c r="CS2252" s="717"/>
      <c r="CT2252" s="717"/>
      <c r="CU2252" s="717"/>
      <c r="CV2252" s="717"/>
      <c r="CW2252" s="717"/>
      <c r="CX2252" s="717"/>
      <c r="CY2252" s="717"/>
      <c r="CZ2252" s="717"/>
      <c r="DA2252" s="717"/>
      <c r="DB2252" s="717"/>
      <c r="DC2252" s="717"/>
      <c r="DD2252" s="717"/>
      <c r="DE2252" s="717"/>
      <c r="DF2252" s="717"/>
      <c r="DG2252" s="717"/>
      <c r="DH2252" s="717"/>
      <c r="DI2252" s="717"/>
      <c r="DJ2252" s="717"/>
      <c r="DM2252" s="711"/>
      <c r="DN2252" s="711"/>
      <c r="DO2252" s="711"/>
      <c r="DP2252" s="711"/>
      <c r="DQ2252" s="711"/>
    </row>
    <row r="2253" spans="13:121" s="709" customFormat="1" hidden="1">
      <c r="M2253" s="710"/>
      <c r="P2253" s="711"/>
      <c r="Q2253" s="712"/>
      <c r="U2253" s="711"/>
      <c r="V2253" s="711"/>
      <c r="W2253" s="711"/>
      <c r="X2253" s="711"/>
      <c r="Y2253" s="711"/>
      <c r="Z2253" s="711"/>
      <c r="AU2253" s="713"/>
      <c r="AW2253" s="712"/>
      <c r="BY2253" s="714"/>
      <c r="BZ2253" s="715"/>
      <c r="CA2253" s="716"/>
      <c r="CB2253" s="717"/>
      <c r="CC2253" s="717"/>
      <c r="CD2253" s="717"/>
      <c r="CE2253" s="717"/>
      <c r="CF2253" s="717"/>
      <c r="CG2253" s="717"/>
      <c r="CH2253" s="717"/>
      <c r="CI2253" s="717"/>
      <c r="CJ2253" s="717"/>
      <c r="CK2253" s="717"/>
      <c r="CL2253" s="717"/>
      <c r="CM2253" s="717"/>
      <c r="CN2253" s="717"/>
      <c r="CO2253" s="717"/>
      <c r="CP2253" s="717"/>
      <c r="CQ2253" s="717"/>
      <c r="CR2253" s="717"/>
      <c r="CS2253" s="717"/>
      <c r="CT2253" s="717"/>
      <c r="CU2253" s="717"/>
      <c r="CV2253" s="717"/>
      <c r="CW2253" s="717"/>
      <c r="CX2253" s="717"/>
      <c r="CY2253" s="717"/>
      <c r="CZ2253" s="717"/>
      <c r="DA2253" s="717"/>
      <c r="DB2253" s="717"/>
      <c r="DC2253" s="717"/>
      <c r="DD2253" s="717"/>
      <c r="DE2253" s="717"/>
      <c r="DF2253" s="717"/>
      <c r="DG2253" s="717"/>
      <c r="DH2253" s="717"/>
      <c r="DI2253" s="717"/>
      <c r="DJ2253" s="717"/>
      <c r="DM2253" s="711"/>
      <c r="DN2253" s="711"/>
      <c r="DO2253" s="711"/>
      <c r="DP2253" s="711"/>
      <c r="DQ2253" s="711"/>
    </row>
    <row r="2254" spans="13:121" s="709" customFormat="1" hidden="1">
      <c r="M2254" s="710"/>
      <c r="P2254" s="711"/>
      <c r="Q2254" s="712"/>
      <c r="U2254" s="711"/>
      <c r="V2254" s="711"/>
      <c r="W2254" s="711"/>
      <c r="X2254" s="711"/>
      <c r="Y2254" s="711"/>
      <c r="Z2254" s="711"/>
      <c r="AU2254" s="713"/>
      <c r="AW2254" s="712"/>
      <c r="BY2254" s="714"/>
      <c r="BZ2254" s="715"/>
      <c r="CA2254" s="716"/>
      <c r="CB2254" s="717"/>
      <c r="CC2254" s="717"/>
      <c r="CD2254" s="717"/>
      <c r="CE2254" s="717"/>
      <c r="CF2254" s="717"/>
      <c r="CG2254" s="717"/>
      <c r="CH2254" s="717"/>
      <c r="CI2254" s="717"/>
      <c r="CJ2254" s="717"/>
      <c r="CK2254" s="717"/>
      <c r="CL2254" s="717"/>
      <c r="CM2254" s="717"/>
      <c r="CN2254" s="717"/>
      <c r="CO2254" s="717"/>
      <c r="CP2254" s="717"/>
      <c r="CQ2254" s="717"/>
      <c r="CR2254" s="717"/>
      <c r="CS2254" s="717"/>
      <c r="CT2254" s="717"/>
      <c r="CU2254" s="717"/>
      <c r="CV2254" s="717"/>
      <c r="CW2254" s="717"/>
      <c r="CX2254" s="717"/>
      <c r="CY2254" s="717"/>
      <c r="CZ2254" s="717"/>
      <c r="DA2254" s="717"/>
      <c r="DB2254" s="717"/>
      <c r="DC2254" s="717"/>
      <c r="DD2254" s="717"/>
      <c r="DE2254" s="717"/>
      <c r="DF2254" s="717"/>
      <c r="DG2254" s="717"/>
      <c r="DH2254" s="717"/>
      <c r="DI2254" s="717"/>
      <c r="DJ2254" s="717"/>
      <c r="DM2254" s="711"/>
      <c r="DN2254" s="711"/>
      <c r="DO2254" s="711"/>
      <c r="DP2254" s="711"/>
      <c r="DQ2254" s="711"/>
    </row>
    <row r="2255" spans="13:121" s="709" customFormat="1" hidden="1">
      <c r="M2255" s="710"/>
      <c r="P2255" s="711"/>
      <c r="Q2255" s="712"/>
      <c r="U2255" s="711"/>
      <c r="V2255" s="711"/>
      <c r="W2255" s="711"/>
      <c r="X2255" s="711"/>
      <c r="Y2255" s="711"/>
      <c r="Z2255" s="711"/>
      <c r="AU2255" s="713"/>
      <c r="AW2255" s="712"/>
      <c r="BY2255" s="714"/>
      <c r="BZ2255" s="715"/>
      <c r="CA2255" s="716"/>
      <c r="CB2255" s="717"/>
      <c r="CC2255" s="717"/>
      <c r="CD2255" s="717"/>
      <c r="CE2255" s="717"/>
      <c r="CF2255" s="717"/>
      <c r="CG2255" s="717"/>
      <c r="CH2255" s="717"/>
      <c r="CI2255" s="717"/>
      <c r="CJ2255" s="717"/>
      <c r="CK2255" s="717"/>
      <c r="CL2255" s="717"/>
      <c r="CM2255" s="717"/>
      <c r="CN2255" s="717"/>
      <c r="CO2255" s="717"/>
      <c r="CP2255" s="717"/>
      <c r="CQ2255" s="717"/>
      <c r="CR2255" s="717"/>
      <c r="CS2255" s="717"/>
      <c r="CT2255" s="717"/>
      <c r="CU2255" s="717"/>
      <c r="CV2255" s="717"/>
      <c r="CW2255" s="717"/>
      <c r="CX2255" s="717"/>
      <c r="CY2255" s="717"/>
      <c r="CZ2255" s="717"/>
      <c r="DA2255" s="717"/>
      <c r="DB2255" s="717"/>
      <c r="DC2255" s="717"/>
      <c r="DD2255" s="717"/>
      <c r="DE2255" s="717"/>
      <c r="DF2255" s="717"/>
      <c r="DG2255" s="717"/>
      <c r="DH2255" s="717"/>
      <c r="DI2255" s="717"/>
      <c r="DJ2255" s="717"/>
      <c r="DM2255" s="711"/>
      <c r="DN2255" s="711"/>
      <c r="DO2255" s="711"/>
      <c r="DP2255" s="711"/>
      <c r="DQ2255" s="711"/>
    </row>
    <row r="2256" spans="13:121" s="709" customFormat="1" hidden="1">
      <c r="M2256" s="710"/>
      <c r="P2256" s="711"/>
      <c r="Q2256" s="712"/>
      <c r="U2256" s="711"/>
      <c r="V2256" s="711"/>
      <c r="W2256" s="711"/>
      <c r="X2256" s="711"/>
      <c r="Y2256" s="711"/>
      <c r="Z2256" s="711"/>
      <c r="AU2256" s="713"/>
      <c r="AW2256" s="712"/>
      <c r="BY2256" s="714"/>
      <c r="BZ2256" s="715"/>
      <c r="CA2256" s="716"/>
      <c r="CB2256" s="717"/>
      <c r="CC2256" s="717"/>
      <c r="CD2256" s="717"/>
      <c r="CE2256" s="717"/>
      <c r="CF2256" s="717"/>
      <c r="CG2256" s="717"/>
      <c r="CH2256" s="717"/>
      <c r="CI2256" s="717"/>
      <c r="CJ2256" s="717"/>
      <c r="CK2256" s="717"/>
      <c r="CL2256" s="717"/>
      <c r="CM2256" s="717"/>
      <c r="CN2256" s="717"/>
      <c r="CO2256" s="717"/>
      <c r="CP2256" s="717"/>
      <c r="CQ2256" s="717"/>
      <c r="CR2256" s="717"/>
      <c r="CS2256" s="717"/>
      <c r="CT2256" s="717"/>
      <c r="CU2256" s="717"/>
      <c r="CV2256" s="717"/>
      <c r="CW2256" s="717"/>
      <c r="CX2256" s="717"/>
      <c r="CY2256" s="717"/>
      <c r="CZ2256" s="717"/>
      <c r="DA2256" s="717"/>
      <c r="DB2256" s="717"/>
      <c r="DC2256" s="717"/>
      <c r="DD2256" s="717"/>
      <c r="DE2256" s="717"/>
      <c r="DF2256" s="717"/>
      <c r="DG2256" s="717"/>
      <c r="DH2256" s="717"/>
      <c r="DI2256" s="717"/>
      <c r="DJ2256" s="717"/>
      <c r="DM2256" s="711"/>
      <c r="DN2256" s="711"/>
      <c r="DO2256" s="711"/>
      <c r="DP2256" s="711"/>
      <c r="DQ2256" s="711"/>
    </row>
    <row r="2257" spans="13:121" s="709" customFormat="1" hidden="1">
      <c r="M2257" s="710"/>
      <c r="P2257" s="711"/>
      <c r="Q2257" s="712"/>
      <c r="U2257" s="711"/>
      <c r="V2257" s="711"/>
      <c r="W2257" s="711"/>
      <c r="X2257" s="711"/>
      <c r="Y2257" s="711"/>
      <c r="Z2257" s="711"/>
      <c r="AU2257" s="713"/>
      <c r="AW2257" s="712"/>
      <c r="BY2257" s="714"/>
      <c r="BZ2257" s="715"/>
      <c r="CA2257" s="716"/>
      <c r="CB2257" s="717"/>
      <c r="CC2257" s="717"/>
      <c r="CD2257" s="717"/>
      <c r="CE2257" s="717"/>
      <c r="CF2257" s="717"/>
      <c r="CG2257" s="717"/>
      <c r="CH2257" s="717"/>
      <c r="CI2257" s="717"/>
      <c r="CJ2257" s="717"/>
      <c r="CK2257" s="717"/>
      <c r="CL2257" s="717"/>
      <c r="CM2257" s="717"/>
      <c r="CN2257" s="717"/>
      <c r="CO2257" s="717"/>
      <c r="CP2257" s="717"/>
      <c r="CQ2257" s="717"/>
      <c r="CR2257" s="717"/>
      <c r="CS2257" s="717"/>
      <c r="CT2257" s="717"/>
      <c r="CU2257" s="717"/>
      <c r="CV2257" s="717"/>
      <c r="CW2257" s="717"/>
      <c r="CX2257" s="717"/>
      <c r="CY2257" s="717"/>
      <c r="CZ2257" s="717"/>
      <c r="DA2257" s="717"/>
      <c r="DB2257" s="717"/>
      <c r="DC2257" s="717"/>
      <c r="DD2257" s="717"/>
      <c r="DE2257" s="717"/>
      <c r="DF2257" s="717"/>
      <c r="DG2257" s="717"/>
      <c r="DH2257" s="717"/>
      <c r="DI2257" s="717"/>
      <c r="DJ2257" s="717"/>
      <c r="DM2257" s="711"/>
      <c r="DN2257" s="711"/>
      <c r="DO2257" s="711"/>
      <c r="DP2257" s="711"/>
      <c r="DQ2257" s="711"/>
    </row>
    <row r="2258" spans="13:121" s="709" customFormat="1" hidden="1">
      <c r="M2258" s="710"/>
      <c r="P2258" s="711"/>
      <c r="Q2258" s="712"/>
      <c r="U2258" s="711"/>
      <c r="V2258" s="711"/>
      <c r="W2258" s="711"/>
      <c r="X2258" s="711"/>
      <c r="Y2258" s="711"/>
      <c r="Z2258" s="711"/>
      <c r="AU2258" s="713"/>
      <c r="AW2258" s="712"/>
      <c r="BY2258" s="714"/>
      <c r="BZ2258" s="715"/>
      <c r="CA2258" s="716"/>
      <c r="CB2258" s="717"/>
      <c r="CC2258" s="717"/>
      <c r="CD2258" s="717"/>
      <c r="CE2258" s="717"/>
      <c r="CF2258" s="717"/>
      <c r="CG2258" s="717"/>
      <c r="CH2258" s="717"/>
      <c r="CI2258" s="717"/>
      <c r="CJ2258" s="717"/>
      <c r="CK2258" s="717"/>
      <c r="CL2258" s="717"/>
      <c r="CM2258" s="717"/>
      <c r="CN2258" s="717"/>
      <c r="CO2258" s="717"/>
      <c r="CP2258" s="717"/>
      <c r="CQ2258" s="717"/>
      <c r="CR2258" s="717"/>
      <c r="CS2258" s="717"/>
      <c r="CT2258" s="717"/>
      <c r="CU2258" s="717"/>
      <c r="CV2258" s="717"/>
      <c r="CW2258" s="717"/>
      <c r="CX2258" s="717"/>
      <c r="CY2258" s="717"/>
      <c r="CZ2258" s="717"/>
      <c r="DA2258" s="717"/>
      <c r="DB2258" s="717"/>
      <c r="DC2258" s="717"/>
      <c r="DD2258" s="717"/>
      <c r="DE2258" s="717"/>
      <c r="DF2258" s="717"/>
      <c r="DG2258" s="717"/>
      <c r="DH2258" s="717"/>
      <c r="DI2258" s="717"/>
      <c r="DJ2258" s="717"/>
      <c r="DM2258" s="711"/>
      <c r="DN2258" s="711"/>
      <c r="DO2258" s="711"/>
      <c r="DP2258" s="711"/>
      <c r="DQ2258" s="711"/>
    </row>
    <row r="2259" spans="13:121" s="709" customFormat="1" hidden="1">
      <c r="M2259" s="710"/>
      <c r="P2259" s="711"/>
      <c r="Q2259" s="712"/>
      <c r="U2259" s="711"/>
      <c r="V2259" s="711"/>
      <c r="W2259" s="711"/>
      <c r="X2259" s="711"/>
      <c r="Y2259" s="711"/>
      <c r="Z2259" s="711"/>
      <c r="AU2259" s="713"/>
      <c r="AW2259" s="712"/>
      <c r="BY2259" s="714"/>
      <c r="BZ2259" s="715"/>
      <c r="CA2259" s="716"/>
      <c r="CB2259" s="717"/>
      <c r="CC2259" s="717"/>
      <c r="CD2259" s="717"/>
      <c r="CE2259" s="717"/>
      <c r="CF2259" s="717"/>
      <c r="CG2259" s="717"/>
      <c r="CH2259" s="717"/>
      <c r="CI2259" s="717"/>
      <c r="CJ2259" s="717"/>
      <c r="CK2259" s="717"/>
      <c r="CL2259" s="717"/>
      <c r="CM2259" s="717"/>
      <c r="CN2259" s="717"/>
      <c r="CO2259" s="717"/>
      <c r="CP2259" s="717"/>
      <c r="CQ2259" s="717"/>
      <c r="CR2259" s="717"/>
      <c r="CS2259" s="717"/>
      <c r="CT2259" s="717"/>
      <c r="CU2259" s="717"/>
      <c r="CV2259" s="717"/>
      <c r="CW2259" s="717"/>
      <c r="CX2259" s="717"/>
      <c r="CY2259" s="717"/>
      <c r="CZ2259" s="717"/>
      <c r="DA2259" s="717"/>
      <c r="DB2259" s="717"/>
      <c r="DC2259" s="717"/>
      <c r="DD2259" s="717"/>
      <c r="DE2259" s="717"/>
      <c r="DF2259" s="717"/>
      <c r="DG2259" s="717"/>
      <c r="DH2259" s="717"/>
      <c r="DI2259" s="717"/>
      <c r="DJ2259" s="717"/>
      <c r="DM2259" s="711"/>
      <c r="DN2259" s="711"/>
      <c r="DO2259" s="711"/>
      <c r="DP2259" s="711"/>
      <c r="DQ2259" s="711"/>
    </row>
    <row r="2260" spans="13:121" s="709" customFormat="1" hidden="1">
      <c r="M2260" s="710"/>
      <c r="P2260" s="711"/>
      <c r="Q2260" s="712"/>
      <c r="U2260" s="711"/>
      <c r="V2260" s="711"/>
      <c r="W2260" s="711"/>
      <c r="X2260" s="711"/>
      <c r="Y2260" s="711"/>
      <c r="Z2260" s="711"/>
      <c r="AU2260" s="713"/>
      <c r="AW2260" s="712"/>
      <c r="BY2260" s="714"/>
      <c r="BZ2260" s="715"/>
      <c r="CA2260" s="716"/>
      <c r="CB2260" s="717"/>
      <c r="CC2260" s="717"/>
      <c r="CD2260" s="717"/>
      <c r="CE2260" s="717"/>
      <c r="CF2260" s="717"/>
      <c r="CG2260" s="717"/>
      <c r="CH2260" s="717"/>
      <c r="CI2260" s="717"/>
      <c r="CJ2260" s="717"/>
      <c r="CK2260" s="717"/>
      <c r="CL2260" s="717"/>
      <c r="CM2260" s="717"/>
      <c r="CN2260" s="717"/>
      <c r="CO2260" s="717"/>
      <c r="CP2260" s="717"/>
      <c r="CQ2260" s="717"/>
      <c r="CR2260" s="717"/>
      <c r="CS2260" s="717"/>
      <c r="CT2260" s="717"/>
      <c r="CU2260" s="717"/>
      <c r="CV2260" s="717"/>
      <c r="CW2260" s="717"/>
      <c r="CX2260" s="717"/>
      <c r="CY2260" s="717"/>
      <c r="CZ2260" s="717"/>
      <c r="DA2260" s="717"/>
      <c r="DB2260" s="717"/>
      <c r="DC2260" s="717"/>
      <c r="DD2260" s="717"/>
      <c r="DE2260" s="717"/>
      <c r="DF2260" s="717"/>
      <c r="DG2260" s="717"/>
      <c r="DH2260" s="717"/>
      <c r="DI2260" s="717"/>
      <c r="DJ2260" s="717"/>
      <c r="DM2260" s="711"/>
      <c r="DN2260" s="711"/>
      <c r="DO2260" s="711"/>
      <c r="DP2260" s="711"/>
      <c r="DQ2260" s="711"/>
    </row>
    <row r="2261" spans="13:121" s="709" customFormat="1" hidden="1">
      <c r="M2261" s="710"/>
      <c r="P2261" s="711"/>
      <c r="Q2261" s="712"/>
      <c r="U2261" s="711"/>
      <c r="V2261" s="711"/>
      <c r="W2261" s="711"/>
      <c r="X2261" s="711"/>
      <c r="Y2261" s="711"/>
      <c r="Z2261" s="711"/>
      <c r="AU2261" s="713"/>
      <c r="AW2261" s="712"/>
      <c r="BY2261" s="714"/>
      <c r="BZ2261" s="715"/>
      <c r="CA2261" s="716"/>
      <c r="CB2261" s="717"/>
      <c r="CC2261" s="717"/>
      <c r="CD2261" s="717"/>
      <c r="CE2261" s="717"/>
      <c r="CF2261" s="717"/>
      <c r="CG2261" s="717"/>
      <c r="CH2261" s="717"/>
      <c r="CI2261" s="717"/>
      <c r="CJ2261" s="717"/>
      <c r="CK2261" s="717"/>
      <c r="CL2261" s="717"/>
      <c r="CM2261" s="717"/>
      <c r="CN2261" s="717"/>
      <c r="CO2261" s="717"/>
      <c r="CP2261" s="717"/>
      <c r="CQ2261" s="717"/>
      <c r="CR2261" s="717"/>
      <c r="CS2261" s="717"/>
      <c r="CT2261" s="717"/>
      <c r="CU2261" s="717"/>
      <c r="CV2261" s="717"/>
      <c r="CW2261" s="717"/>
      <c r="CX2261" s="717"/>
      <c r="CY2261" s="717"/>
      <c r="CZ2261" s="717"/>
      <c r="DA2261" s="717"/>
      <c r="DB2261" s="717"/>
      <c r="DC2261" s="717"/>
      <c r="DD2261" s="717"/>
      <c r="DE2261" s="717"/>
      <c r="DF2261" s="717"/>
      <c r="DG2261" s="717"/>
      <c r="DH2261" s="717"/>
      <c r="DI2261" s="717"/>
      <c r="DJ2261" s="717"/>
      <c r="DM2261" s="711"/>
      <c r="DN2261" s="711"/>
      <c r="DO2261" s="711"/>
      <c r="DP2261" s="711"/>
      <c r="DQ2261" s="711"/>
    </row>
    <row r="2262" spans="13:121" s="709" customFormat="1" hidden="1">
      <c r="M2262" s="710"/>
      <c r="P2262" s="711"/>
      <c r="Q2262" s="712"/>
      <c r="U2262" s="711"/>
      <c r="V2262" s="711"/>
      <c r="W2262" s="711"/>
      <c r="X2262" s="711"/>
      <c r="Y2262" s="711"/>
      <c r="Z2262" s="711"/>
      <c r="AU2262" s="713"/>
      <c r="AW2262" s="712"/>
      <c r="BY2262" s="714"/>
      <c r="BZ2262" s="715"/>
      <c r="CA2262" s="716"/>
      <c r="CB2262" s="717"/>
      <c r="CC2262" s="717"/>
      <c r="CD2262" s="717"/>
      <c r="CE2262" s="717"/>
      <c r="CF2262" s="717"/>
      <c r="CG2262" s="717"/>
      <c r="CH2262" s="717"/>
      <c r="CI2262" s="717"/>
      <c r="CJ2262" s="717"/>
      <c r="CK2262" s="717"/>
      <c r="CL2262" s="717"/>
      <c r="CM2262" s="717"/>
      <c r="CN2262" s="717"/>
      <c r="CO2262" s="717"/>
      <c r="CP2262" s="717"/>
      <c r="CQ2262" s="717"/>
      <c r="CR2262" s="717"/>
      <c r="CS2262" s="717"/>
      <c r="CT2262" s="717"/>
      <c r="CU2262" s="717"/>
      <c r="CV2262" s="717"/>
      <c r="CW2262" s="717"/>
      <c r="CX2262" s="717"/>
      <c r="CY2262" s="717"/>
      <c r="CZ2262" s="717"/>
      <c r="DA2262" s="717"/>
      <c r="DB2262" s="717"/>
      <c r="DC2262" s="717"/>
      <c r="DD2262" s="717"/>
      <c r="DE2262" s="717"/>
      <c r="DF2262" s="717"/>
      <c r="DG2262" s="717"/>
      <c r="DH2262" s="717"/>
      <c r="DI2262" s="717"/>
      <c r="DJ2262" s="717"/>
      <c r="DM2262" s="711"/>
      <c r="DN2262" s="711"/>
      <c r="DO2262" s="711"/>
      <c r="DP2262" s="711"/>
      <c r="DQ2262" s="711"/>
    </row>
    <row r="2263" spans="13:121" s="709" customFormat="1" hidden="1">
      <c r="M2263" s="710"/>
      <c r="P2263" s="711"/>
      <c r="Q2263" s="712"/>
      <c r="U2263" s="711"/>
      <c r="V2263" s="711"/>
      <c r="W2263" s="711"/>
      <c r="X2263" s="711"/>
      <c r="Y2263" s="711"/>
      <c r="Z2263" s="711"/>
      <c r="AU2263" s="713"/>
      <c r="AW2263" s="712"/>
      <c r="BY2263" s="714"/>
      <c r="BZ2263" s="715"/>
      <c r="CA2263" s="716"/>
      <c r="CB2263" s="717"/>
      <c r="CC2263" s="717"/>
      <c r="CD2263" s="717"/>
      <c r="CE2263" s="717"/>
      <c r="CF2263" s="717"/>
      <c r="CG2263" s="717"/>
      <c r="CH2263" s="717"/>
      <c r="CI2263" s="717"/>
      <c r="CJ2263" s="717"/>
      <c r="CK2263" s="717"/>
      <c r="CL2263" s="717"/>
      <c r="CM2263" s="717"/>
      <c r="CN2263" s="717"/>
      <c r="CO2263" s="717"/>
      <c r="CP2263" s="717"/>
      <c r="CQ2263" s="717"/>
      <c r="CR2263" s="717"/>
      <c r="CS2263" s="717"/>
      <c r="CT2263" s="717"/>
      <c r="CU2263" s="717"/>
      <c r="CV2263" s="717"/>
      <c r="CW2263" s="717"/>
      <c r="CX2263" s="717"/>
      <c r="CY2263" s="717"/>
      <c r="CZ2263" s="717"/>
      <c r="DA2263" s="717"/>
      <c r="DB2263" s="717"/>
      <c r="DC2263" s="717"/>
      <c r="DD2263" s="717"/>
      <c r="DE2263" s="717"/>
      <c r="DF2263" s="717"/>
      <c r="DG2263" s="717"/>
      <c r="DH2263" s="717"/>
      <c r="DI2263" s="717"/>
      <c r="DJ2263" s="717"/>
      <c r="DM2263" s="711"/>
      <c r="DN2263" s="711"/>
      <c r="DO2263" s="711"/>
      <c r="DP2263" s="711"/>
      <c r="DQ2263" s="711"/>
    </row>
    <row r="2264" spans="13:121" s="709" customFormat="1" hidden="1">
      <c r="M2264" s="710"/>
      <c r="P2264" s="711"/>
      <c r="Q2264" s="712"/>
      <c r="U2264" s="711"/>
      <c r="V2264" s="711"/>
      <c r="W2264" s="711"/>
      <c r="X2264" s="711"/>
      <c r="Y2264" s="711"/>
      <c r="Z2264" s="711"/>
      <c r="AU2264" s="713"/>
      <c r="AW2264" s="712"/>
      <c r="BY2264" s="714"/>
      <c r="BZ2264" s="715"/>
      <c r="CA2264" s="716"/>
      <c r="CB2264" s="717"/>
      <c r="CC2264" s="717"/>
      <c r="CD2264" s="717"/>
      <c r="CE2264" s="717"/>
      <c r="CF2264" s="717"/>
      <c r="CG2264" s="717"/>
      <c r="CH2264" s="717"/>
      <c r="CI2264" s="717"/>
      <c r="CJ2264" s="717"/>
      <c r="CK2264" s="717"/>
      <c r="CL2264" s="717"/>
      <c r="CM2264" s="717"/>
      <c r="CN2264" s="717"/>
      <c r="CO2264" s="717"/>
      <c r="CP2264" s="717"/>
      <c r="CQ2264" s="717"/>
      <c r="CR2264" s="717"/>
      <c r="CS2264" s="717"/>
      <c r="CT2264" s="717"/>
      <c r="CU2264" s="717"/>
      <c r="CV2264" s="717"/>
      <c r="CW2264" s="717"/>
      <c r="CX2264" s="717"/>
      <c r="CY2264" s="717"/>
      <c r="CZ2264" s="717"/>
      <c r="DA2264" s="717"/>
      <c r="DB2264" s="717"/>
      <c r="DC2264" s="717"/>
      <c r="DD2264" s="717"/>
      <c r="DE2264" s="717"/>
      <c r="DF2264" s="717"/>
      <c r="DG2264" s="717"/>
      <c r="DH2264" s="717"/>
      <c r="DI2264" s="717"/>
      <c r="DJ2264" s="717"/>
      <c r="DM2264" s="711"/>
      <c r="DN2264" s="711"/>
      <c r="DO2264" s="711"/>
      <c r="DP2264" s="711"/>
      <c r="DQ2264" s="711"/>
    </row>
    <row r="2265" spans="13:121" s="709" customFormat="1" hidden="1">
      <c r="M2265" s="710"/>
      <c r="P2265" s="711"/>
      <c r="Q2265" s="712"/>
      <c r="U2265" s="711"/>
      <c r="V2265" s="711"/>
      <c r="W2265" s="711"/>
      <c r="X2265" s="711"/>
      <c r="Y2265" s="711"/>
      <c r="Z2265" s="711"/>
      <c r="AU2265" s="713"/>
      <c r="AW2265" s="712"/>
      <c r="BY2265" s="714"/>
      <c r="BZ2265" s="715"/>
      <c r="CA2265" s="716"/>
      <c r="CB2265" s="717"/>
      <c r="CC2265" s="717"/>
      <c r="CD2265" s="717"/>
      <c r="CE2265" s="717"/>
      <c r="CF2265" s="717"/>
      <c r="CG2265" s="717"/>
      <c r="CH2265" s="717"/>
      <c r="CI2265" s="717"/>
      <c r="CJ2265" s="717"/>
      <c r="CK2265" s="717"/>
      <c r="CL2265" s="717"/>
      <c r="CM2265" s="717"/>
      <c r="CN2265" s="717"/>
      <c r="CO2265" s="717"/>
      <c r="CP2265" s="717"/>
      <c r="CQ2265" s="717"/>
      <c r="CR2265" s="717"/>
      <c r="CS2265" s="717"/>
      <c r="CT2265" s="717"/>
      <c r="CU2265" s="717"/>
      <c r="CV2265" s="717"/>
      <c r="CW2265" s="717"/>
      <c r="CX2265" s="717"/>
      <c r="CY2265" s="717"/>
      <c r="CZ2265" s="717"/>
      <c r="DA2265" s="717"/>
      <c r="DB2265" s="717"/>
      <c r="DC2265" s="717"/>
      <c r="DD2265" s="717"/>
      <c r="DE2265" s="717"/>
      <c r="DF2265" s="717"/>
      <c r="DG2265" s="717"/>
      <c r="DH2265" s="717"/>
      <c r="DI2265" s="717"/>
      <c r="DJ2265" s="717"/>
      <c r="DM2265" s="711"/>
      <c r="DN2265" s="711"/>
      <c r="DO2265" s="711"/>
      <c r="DP2265" s="711"/>
      <c r="DQ2265" s="711"/>
    </row>
    <row r="2266" spans="13:121" s="709" customFormat="1" hidden="1">
      <c r="M2266" s="710"/>
      <c r="P2266" s="711"/>
      <c r="Q2266" s="712"/>
      <c r="U2266" s="711"/>
      <c r="V2266" s="711"/>
      <c r="W2266" s="711"/>
      <c r="X2266" s="711"/>
      <c r="Y2266" s="711"/>
      <c r="Z2266" s="711"/>
      <c r="AU2266" s="713"/>
      <c r="AW2266" s="712"/>
      <c r="BY2266" s="714"/>
      <c r="BZ2266" s="715"/>
      <c r="CA2266" s="716"/>
      <c r="CB2266" s="717"/>
      <c r="CC2266" s="717"/>
      <c r="CD2266" s="717"/>
      <c r="CE2266" s="717"/>
      <c r="CF2266" s="717"/>
      <c r="CG2266" s="717"/>
      <c r="CH2266" s="717"/>
      <c r="CI2266" s="717"/>
      <c r="CJ2266" s="717"/>
      <c r="CK2266" s="717"/>
      <c r="CL2266" s="717"/>
      <c r="CM2266" s="717"/>
      <c r="CN2266" s="717"/>
      <c r="CO2266" s="717"/>
      <c r="CP2266" s="717"/>
      <c r="CQ2266" s="717"/>
      <c r="CR2266" s="717"/>
      <c r="CS2266" s="717"/>
      <c r="CT2266" s="717"/>
      <c r="CU2266" s="717"/>
      <c r="CV2266" s="717"/>
      <c r="CW2266" s="717"/>
      <c r="CX2266" s="717"/>
      <c r="CY2266" s="717"/>
      <c r="CZ2266" s="717"/>
      <c r="DA2266" s="717"/>
      <c r="DB2266" s="717"/>
      <c r="DC2266" s="717"/>
      <c r="DD2266" s="717"/>
      <c r="DE2266" s="717"/>
      <c r="DF2266" s="717"/>
      <c r="DG2266" s="717"/>
      <c r="DH2266" s="717"/>
      <c r="DI2266" s="717"/>
      <c r="DJ2266" s="717"/>
      <c r="DM2266" s="711"/>
      <c r="DN2266" s="711"/>
      <c r="DO2266" s="711"/>
      <c r="DP2266" s="711"/>
      <c r="DQ2266" s="711"/>
    </row>
    <row r="2267" spans="13:121" s="709" customFormat="1" hidden="1">
      <c r="M2267" s="710"/>
      <c r="P2267" s="711"/>
      <c r="Q2267" s="712"/>
      <c r="U2267" s="711"/>
      <c r="V2267" s="711"/>
      <c r="W2267" s="711"/>
      <c r="X2267" s="711"/>
      <c r="Y2267" s="711"/>
      <c r="Z2267" s="711"/>
      <c r="AU2267" s="713"/>
      <c r="AW2267" s="712"/>
      <c r="BY2267" s="714"/>
      <c r="BZ2267" s="715"/>
      <c r="CA2267" s="716"/>
      <c r="CB2267" s="717"/>
      <c r="CC2267" s="717"/>
      <c r="CD2267" s="717"/>
      <c r="CE2267" s="717"/>
      <c r="CF2267" s="717"/>
      <c r="CG2267" s="717"/>
      <c r="CH2267" s="717"/>
      <c r="CI2267" s="717"/>
      <c r="CJ2267" s="717"/>
      <c r="CK2267" s="717"/>
      <c r="CL2267" s="717"/>
      <c r="CM2267" s="717"/>
      <c r="CN2267" s="717"/>
      <c r="CO2267" s="717"/>
      <c r="CP2267" s="717"/>
      <c r="CQ2267" s="717"/>
      <c r="CR2267" s="717"/>
      <c r="CS2267" s="717"/>
      <c r="CT2267" s="717"/>
      <c r="CU2267" s="717"/>
      <c r="CV2267" s="717"/>
      <c r="CW2267" s="717"/>
      <c r="CX2267" s="717"/>
      <c r="CY2267" s="717"/>
      <c r="CZ2267" s="717"/>
      <c r="DA2267" s="717"/>
      <c r="DB2267" s="717"/>
      <c r="DC2267" s="717"/>
      <c r="DD2267" s="717"/>
      <c r="DE2267" s="717"/>
      <c r="DF2267" s="717"/>
      <c r="DG2267" s="717"/>
      <c r="DH2267" s="717"/>
      <c r="DI2267" s="717"/>
      <c r="DJ2267" s="717"/>
      <c r="DM2267" s="711"/>
      <c r="DN2267" s="711"/>
      <c r="DO2267" s="711"/>
      <c r="DP2267" s="711"/>
      <c r="DQ2267" s="711"/>
    </row>
    <row r="2268" spans="13:121" s="709" customFormat="1" hidden="1">
      <c r="M2268" s="710"/>
      <c r="P2268" s="711"/>
      <c r="Q2268" s="712"/>
      <c r="U2268" s="711"/>
      <c r="V2268" s="711"/>
      <c r="W2268" s="711"/>
      <c r="X2268" s="711"/>
      <c r="Y2268" s="711"/>
      <c r="Z2268" s="711"/>
      <c r="AU2268" s="713"/>
      <c r="AW2268" s="712"/>
      <c r="BY2268" s="714"/>
      <c r="BZ2268" s="715"/>
      <c r="CA2268" s="716"/>
      <c r="CB2268" s="717"/>
      <c r="CC2268" s="717"/>
      <c r="CD2268" s="717"/>
      <c r="CE2268" s="717"/>
      <c r="CF2268" s="717"/>
      <c r="CG2268" s="717"/>
      <c r="CH2268" s="717"/>
      <c r="CI2268" s="717"/>
      <c r="CJ2268" s="717"/>
      <c r="CK2268" s="717"/>
      <c r="CL2268" s="717"/>
      <c r="CM2268" s="717"/>
      <c r="CN2268" s="717"/>
      <c r="CO2268" s="717"/>
      <c r="CP2268" s="717"/>
      <c r="CQ2268" s="717"/>
      <c r="CR2268" s="717"/>
      <c r="CS2268" s="717"/>
      <c r="CT2268" s="717"/>
      <c r="CU2268" s="717"/>
      <c r="CV2268" s="717"/>
      <c r="CW2268" s="717"/>
      <c r="CX2268" s="717"/>
      <c r="CY2268" s="717"/>
      <c r="CZ2268" s="717"/>
      <c r="DA2268" s="717"/>
      <c r="DB2268" s="717"/>
      <c r="DC2268" s="717"/>
      <c r="DD2268" s="717"/>
      <c r="DE2268" s="717"/>
      <c r="DF2268" s="717"/>
      <c r="DG2268" s="717"/>
      <c r="DH2268" s="717"/>
      <c r="DI2268" s="717"/>
      <c r="DJ2268" s="717"/>
      <c r="DM2268" s="711"/>
      <c r="DN2268" s="711"/>
      <c r="DO2268" s="711"/>
      <c r="DP2268" s="711"/>
      <c r="DQ2268" s="711"/>
    </row>
    <row r="2269" spans="13:121" s="709" customFormat="1" hidden="1">
      <c r="M2269" s="710"/>
      <c r="P2269" s="711"/>
      <c r="Q2269" s="712"/>
      <c r="U2269" s="711"/>
      <c r="V2269" s="711"/>
      <c r="W2269" s="711"/>
      <c r="X2269" s="711"/>
      <c r="Y2269" s="711"/>
      <c r="Z2269" s="711"/>
      <c r="AU2269" s="713"/>
      <c r="AW2269" s="712"/>
      <c r="BY2269" s="714"/>
      <c r="BZ2269" s="715"/>
      <c r="CA2269" s="716"/>
      <c r="CB2269" s="717"/>
      <c r="CC2269" s="717"/>
      <c r="CD2269" s="717"/>
      <c r="CE2269" s="717"/>
      <c r="CF2269" s="717"/>
      <c r="CG2269" s="717"/>
      <c r="CH2269" s="717"/>
      <c r="CI2269" s="717"/>
      <c r="CJ2269" s="717"/>
      <c r="CK2269" s="717"/>
      <c r="CL2269" s="717"/>
      <c r="CM2269" s="717"/>
      <c r="CN2269" s="717"/>
      <c r="CO2269" s="717"/>
      <c r="CP2269" s="717"/>
      <c r="CQ2269" s="717"/>
      <c r="CR2269" s="717"/>
      <c r="CS2269" s="717"/>
      <c r="CT2269" s="717"/>
      <c r="CU2269" s="717"/>
      <c r="CV2269" s="717"/>
      <c r="CW2269" s="717"/>
      <c r="CX2269" s="717"/>
      <c r="CY2269" s="717"/>
      <c r="CZ2269" s="717"/>
      <c r="DA2269" s="717"/>
      <c r="DB2269" s="717"/>
      <c r="DC2269" s="717"/>
      <c r="DD2269" s="717"/>
      <c r="DE2269" s="717"/>
      <c r="DF2269" s="717"/>
      <c r="DG2269" s="717"/>
      <c r="DH2269" s="717"/>
      <c r="DI2269" s="717"/>
      <c r="DJ2269" s="717"/>
      <c r="DM2269" s="711"/>
      <c r="DN2269" s="711"/>
      <c r="DO2269" s="711"/>
      <c r="DP2269" s="711"/>
      <c r="DQ2269" s="711"/>
    </row>
    <row r="2270" spans="13:121" s="709" customFormat="1" hidden="1">
      <c r="M2270" s="710"/>
      <c r="P2270" s="711"/>
      <c r="Q2270" s="712"/>
      <c r="U2270" s="711"/>
      <c r="V2270" s="711"/>
      <c r="W2270" s="711"/>
      <c r="X2270" s="711"/>
      <c r="Y2270" s="711"/>
      <c r="Z2270" s="711"/>
      <c r="AU2270" s="713"/>
      <c r="AW2270" s="712"/>
      <c r="BY2270" s="714"/>
      <c r="BZ2270" s="715"/>
      <c r="CA2270" s="716"/>
      <c r="CB2270" s="717"/>
      <c r="CC2270" s="717"/>
      <c r="CD2270" s="717"/>
      <c r="CE2270" s="717"/>
      <c r="CF2270" s="717"/>
      <c r="CG2270" s="717"/>
      <c r="CH2270" s="717"/>
      <c r="CI2270" s="717"/>
      <c r="CJ2270" s="717"/>
      <c r="CK2270" s="717"/>
      <c r="CL2270" s="717"/>
      <c r="CM2270" s="717"/>
      <c r="CN2270" s="717"/>
      <c r="CO2270" s="717"/>
      <c r="CP2270" s="717"/>
      <c r="CQ2270" s="717"/>
      <c r="CR2270" s="717"/>
      <c r="CS2270" s="717"/>
      <c r="CT2270" s="717"/>
      <c r="CU2270" s="717"/>
      <c r="CV2270" s="717"/>
      <c r="CW2270" s="717"/>
      <c r="CX2270" s="717"/>
      <c r="CY2270" s="717"/>
      <c r="CZ2270" s="717"/>
      <c r="DA2270" s="717"/>
      <c r="DB2270" s="717"/>
      <c r="DC2270" s="717"/>
      <c r="DD2270" s="717"/>
      <c r="DE2270" s="717"/>
      <c r="DF2270" s="717"/>
      <c r="DG2270" s="717"/>
      <c r="DH2270" s="717"/>
      <c r="DI2270" s="717"/>
      <c r="DJ2270" s="717"/>
      <c r="DM2270" s="711"/>
      <c r="DN2270" s="711"/>
      <c r="DO2270" s="711"/>
      <c r="DP2270" s="711"/>
      <c r="DQ2270" s="711"/>
    </row>
    <row r="2271" spans="13:121" s="709" customFormat="1" hidden="1">
      <c r="M2271" s="710"/>
      <c r="P2271" s="711"/>
      <c r="Q2271" s="712"/>
      <c r="U2271" s="711"/>
      <c r="V2271" s="711"/>
      <c r="W2271" s="711"/>
      <c r="X2271" s="711"/>
      <c r="Y2271" s="711"/>
      <c r="Z2271" s="711"/>
      <c r="AU2271" s="713"/>
      <c r="AW2271" s="712"/>
      <c r="BY2271" s="714"/>
      <c r="BZ2271" s="715"/>
      <c r="CA2271" s="716"/>
      <c r="CB2271" s="717"/>
      <c r="CC2271" s="717"/>
      <c r="CD2271" s="717"/>
      <c r="CE2271" s="717"/>
      <c r="CF2271" s="717"/>
      <c r="CG2271" s="717"/>
      <c r="CH2271" s="717"/>
      <c r="CI2271" s="717"/>
      <c r="CJ2271" s="717"/>
      <c r="CK2271" s="717"/>
      <c r="CL2271" s="717"/>
      <c r="CM2271" s="717"/>
      <c r="CN2271" s="717"/>
      <c r="CO2271" s="717"/>
      <c r="CP2271" s="717"/>
      <c r="CQ2271" s="717"/>
      <c r="CR2271" s="717"/>
      <c r="CS2271" s="717"/>
      <c r="CT2271" s="717"/>
      <c r="CU2271" s="717"/>
      <c r="CV2271" s="717"/>
      <c r="CW2271" s="717"/>
      <c r="CX2271" s="717"/>
      <c r="CY2271" s="717"/>
      <c r="CZ2271" s="717"/>
      <c r="DA2271" s="717"/>
      <c r="DB2271" s="717"/>
      <c r="DC2271" s="717"/>
      <c r="DD2271" s="717"/>
      <c r="DE2271" s="717"/>
      <c r="DF2271" s="717"/>
      <c r="DG2271" s="717"/>
      <c r="DH2271" s="717"/>
      <c r="DI2271" s="717"/>
      <c r="DJ2271" s="717"/>
      <c r="DM2271" s="711"/>
      <c r="DN2271" s="711"/>
      <c r="DO2271" s="711"/>
      <c r="DP2271" s="711"/>
      <c r="DQ2271" s="711"/>
    </row>
    <row r="2272" spans="13:121" s="709" customFormat="1" hidden="1">
      <c r="M2272" s="710"/>
      <c r="P2272" s="711"/>
      <c r="Q2272" s="712"/>
      <c r="U2272" s="711"/>
      <c r="V2272" s="711"/>
      <c r="W2272" s="711"/>
      <c r="X2272" s="711"/>
      <c r="Y2272" s="711"/>
      <c r="Z2272" s="711"/>
      <c r="AU2272" s="713"/>
      <c r="AW2272" s="712"/>
      <c r="BY2272" s="714"/>
      <c r="BZ2272" s="715"/>
      <c r="CA2272" s="716"/>
      <c r="CB2272" s="717"/>
      <c r="CC2272" s="717"/>
      <c r="CD2272" s="717"/>
      <c r="CE2272" s="717"/>
      <c r="CF2272" s="717"/>
      <c r="CG2272" s="717"/>
      <c r="CH2272" s="717"/>
      <c r="CI2272" s="717"/>
      <c r="CJ2272" s="717"/>
      <c r="CK2272" s="717"/>
      <c r="CL2272" s="717"/>
      <c r="CM2272" s="717"/>
      <c r="CN2272" s="717"/>
      <c r="CO2272" s="717"/>
      <c r="CP2272" s="717"/>
      <c r="CQ2272" s="717"/>
      <c r="CR2272" s="717"/>
      <c r="CS2272" s="717"/>
      <c r="CT2272" s="717"/>
      <c r="CU2272" s="717"/>
      <c r="CV2272" s="717"/>
      <c r="CW2272" s="717"/>
      <c r="CX2272" s="717"/>
      <c r="CY2272" s="717"/>
      <c r="CZ2272" s="717"/>
      <c r="DA2272" s="717"/>
      <c r="DB2272" s="717"/>
      <c r="DC2272" s="717"/>
      <c r="DD2272" s="717"/>
      <c r="DE2272" s="717"/>
      <c r="DF2272" s="717"/>
      <c r="DG2272" s="717"/>
      <c r="DH2272" s="717"/>
      <c r="DI2272" s="717"/>
      <c r="DJ2272" s="717"/>
      <c r="DM2272" s="711"/>
      <c r="DN2272" s="711"/>
      <c r="DO2272" s="711"/>
      <c r="DP2272" s="711"/>
      <c r="DQ2272" s="711"/>
    </row>
    <row r="2273" spans="13:121" s="709" customFormat="1" hidden="1">
      <c r="M2273" s="710"/>
      <c r="P2273" s="711"/>
      <c r="Q2273" s="712"/>
      <c r="U2273" s="711"/>
      <c r="V2273" s="711"/>
      <c r="W2273" s="711"/>
      <c r="X2273" s="711"/>
      <c r="Y2273" s="711"/>
      <c r="Z2273" s="711"/>
      <c r="AU2273" s="713"/>
      <c r="AW2273" s="712"/>
      <c r="BY2273" s="714"/>
      <c r="BZ2273" s="715"/>
      <c r="CA2273" s="716"/>
      <c r="CB2273" s="717"/>
      <c r="CC2273" s="717"/>
      <c r="CD2273" s="717"/>
      <c r="CE2273" s="717"/>
      <c r="CF2273" s="717"/>
      <c r="CG2273" s="717"/>
      <c r="CH2273" s="717"/>
      <c r="CI2273" s="717"/>
      <c r="CJ2273" s="717"/>
      <c r="CK2273" s="717"/>
      <c r="CL2273" s="717"/>
      <c r="CM2273" s="717"/>
      <c r="CN2273" s="717"/>
      <c r="CO2273" s="717"/>
      <c r="CP2273" s="717"/>
      <c r="CQ2273" s="717"/>
      <c r="CR2273" s="717"/>
      <c r="CS2273" s="717"/>
      <c r="CT2273" s="717"/>
      <c r="CU2273" s="717"/>
      <c r="CV2273" s="717"/>
      <c r="CW2273" s="717"/>
      <c r="CX2273" s="717"/>
      <c r="CY2273" s="717"/>
      <c r="CZ2273" s="717"/>
      <c r="DA2273" s="717"/>
      <c r="DB2273" s="717"/>
      <c r="DC2273" s="717"/>
      <c r="DD2273" s="717"/>
      <c r="DE2273" s="717"/>
      <c r="DF2273" s="717"/>
      <c r="DG2273" s="717"/>
      <c r="DH2273" s="717"/>
      <c r="DI2273" s="717"/>
      <c r="DJ2273" s="717"/>
      <c r="DM2273" s="711"/>
      <c r="DN2273" s="711"/>
      <c r="DO2273" s="711"/>
      <c r="DP2273" s="711"/>
      <c r="DQ2273" s="711"/>
    </row>
    <row r="2274" spans="13:121" s="709" customFormat="1" hidden="1">
      <c r="M2274" s="710"/>
      <c r="P2274" s="711"/>
      <c r="Q2274" s="712"/>
      <c r="U2274" s="711"/>
      <c r="V2274" s="711"/>
      <c r="W2274" s="711"/>
      <c r="X2274" s="711"/>
      <c r="Y2274" s="711"/>
      <c r="Z2274" s="711"/>
      <c r="AU2274" s="713"/>
      <c r="AW2274" s="712"/>
      <c r="BY2274" s="714"/>
      <c r="BZ2274" s="715"/>
      <c r="CA2274" s="716"/>
      <c r="CB2274" s="717"/>
      <c r="CC2274" s="717"/>
      <c r="CD2274" s="717"/>
      <c r="CE2274" s="717"/>
      <c r="CF2274" s="717"/>
      <c r="CG2274" s="717"/>
      <c r="CH2274" s="717"/>
      <c r="CI2274" s="717"/>
      <c r="CJ2274" s="717"/>
      <c r="CK2274" s="717"/>
      <c r="CL2274" s="717"/>
      <c r="CM2274" s="717"/>
      <c r="CN2274" s="717"/>
      <c r="CO2274" s="717"/>
      <c r="CP2274" s="717"/>
      <c r="CQ2274" s="717"/>
      <c r="CR2274" s="717"/>
      <c r="CS2274" s="717"/>
      <c r="CT2274" s="717"/>
      <c r="CU2274" s="717"/>
      <c r="CV2274" s="717"/>
      <c r="CW2274" s="717"/>
      <c r="CX2274" s="717"/>
      <c r="CY2274" s="717"/>
      <c r="CZ2274" s="717"/>
      <c r="DA2274" s="717"/>
      <c r="DB2274" s="717"/>
      <c r="DC2274" s="717"/>
      <c r="DD2274" s="717"/>
      <c r="DE2274" s="717"/>
      <c r="DF2274" s="717"/>
      <c r="DG2274" s="717"/>
      <c r="DH2274" s="717"/>
      <c r="DI2274" s="717"/>
      <c r="DJ2274" s="717"/>
      <c r="DM2274" s="711"/>
      <c r="DN2274" s="711"/>
      <c r="DO2274" s="711"/>
      <c r="DP2274" s="711"/>
      <c r="DQ2274" s="711"/>
    </row>
    <row r="2275" spans="13:121" s="709" customFormat="1" hidden="1">
      <c r="M2275" s="710"/>
      <c r="P2275" s="711"/>
      <c r="Q2275" s="712"/>
      <c r="U2275" s="711"/>
      <c r="V2275" s="711"/>
      <c r="W2275" s="711"/>
      <c r="X2275" s="711"/>
      <c r="Y2275" s="711"/>
      <c r="Z2275" s="711"/>
      <c r="AU2275" s="713"/>
      <c r="AW2275" s="712"/>
      <c r="BY2275" s="714"/>
      <c r="BZ2275" s="715"/>
      <c r="CA2275" s="716"/>
      <c r="CB2275" s="717"/>
      <c r="CC2275" s="717"/>
      <c r="CD2275" s="717"/>
      <c r="CE2275" s="717"/>
      <c r="CF2275" s="717"/>
      <c r="CG2275" s="717"/>
      <c r="CH2275" s="717"/>
      <c r="CI2275" s="717"/>
      <c r="CJ2275" s="717"/>
      <c r="CK2275" s="717"/>
      <c r="CL2275" s="717"/>
      <c r="CM2275" s="717"/>
      <c r="CN2275" s="717"/>
      <c r="CO2275" s="717"/>
      <c r="CP2275" s="717"/>
      <c r="CQ2275" s="717"/>
      <c r="CR2275" s="717"/>
      <c r="CS2275" s="717"/>
      <c r="CT2275" s="717"/>
      <c r="CU2275" s="717"/>
      <c r="CV2275" s="717"/>
      <c r="CW2275" s="717"/>
      <c r="CX2275" s="717"/>
      <c r="CY2275" s="717"/>
      <c r="CZ2275" s="717"/>
      <c r="DA2275" s="717"/>
      <c r="DB2275" s="717"/>
      <c r="DC2275" s="717"/>
      <c r="DD2275" s="717"/>
      <c r="DE2275" s="717"/>
      <c r="DF2275" s="717"/>
      <c r="DG2275" s="717"/>
      <c r="DH2275" s="717"/>
      <c r="DI2275" s="717"/>
      <c r="DJ2275" s="717"/>
      <c r="DM2275" s="711"/>
      <c r="DN2275" s="711"/>
      <c r="DO2275" s="711"/>
      <c r="DP2275" s="711"/>
      <c r="DQ2275" s="711"/>
    </row>
    <row r="2276" spans="13:121" s="709" customFormat="1" hidden="1">
      <c r="M2276" s="710"/>
      <c r="P2276" s="711"/>
      <c r="Q2276" s="712"/>
      <c r="U2276" s="711"/>
      <c r="V2276" s="711"/>
      <c r="W2276" s="711"/>
      <c r="X2276" s="711"/>
      <c r="Y2276" s="711"/>
      <c r="Z2276" s="711"/>
      <c r="AU2276" s="713"/>
      <c r="AW2276" s="712"/>
      <c r="BY2276" s="714"/>
      <c r="BZ2276" s="715"/>
      <c r="CA2276" s="716"/>
      <c r="CB2276" s="717"/>
      <c r="CC2276" s="717"/>
      <c r="CD2276" s="717"/>
      <c r="CE2276" s="717"/>
      <c r="CF2276" s="717"/>
      <c r="CG2276" s="717"/>
      <c r="CH2276" s="717"/>
      <c r="CI2276" s="717"/>
      <c r="CJ2276" s="717"/>
      <c r="CK2276" s="717"/>
      <c r="CL2276" s="717"/>
      <c r="CM2276" s="717"/>
      <c r="CN2276" s="717"/>
      <c r="CO2276" s="717"/>
      <c r="CP2276" s="717"/>
      <c r="CQ2276" s="717"/>
      <c r="CR2276" s="717"/>
      <c r="CS2276" s="717"/>
      <c r="CT2276" s="717"/>
      <c r="CU2276" s="717"/>
      <c r="CV2276" s="717"/>
      <c r="CW2276" s="717"/>
      <c r="CX2276" s="717"/>
      <c r="CY2276" s="717"/>
      <c r="CZ2276" s="717"/>
      <c r="DA2276" s="717"/>
      <c r="DB2276" s="717"/>
      <c r="DC2276" s="717"/>
      <c r="DD2276" s="717"/>
      <c r="DE2276" s="717"/>
      <c r="DF2276" s="717"/>
      <c r="DG2276" s="717"/>
      <c r="DH2276" s="717"/>
      <c r="DI2276" s="717"/>
      <c r="DJ2276" s="717"/>
      <c r="DM2276" s="711"/>
      <c r="DN2276" s="711"/>
      <c r="DO2276" s="711"/>
      <c r="DP2276" s="711"/>
      <c r="DQ2276" s="711"/>
    </row>
    <row r="2277" spans="13:121" s="709" customFormat="1" hidden="1">
      <c r="M2277" s="710"/>
      <c r="P2277" s="711"/>
      <c r="Q2277" s="712"/>
      <c r="U2277" s="711"/>
      <c r="V2277" s="711"/>
      <c r="W2277" s="711"/>
      <c r="X2277" s="711"/>
      <c r="Y2277" s="711"/>
      <c r="Z2277" s="711"/>
      <c r="AU2277" s="713"/>
      <c r="AW2277" s="712"/>
      <c r="BY2277" s="714"/>
      <c r="BZ2277" s="715"/>
      <c r="CA2277" s="716"/>
      <c r="CB2277" s="717"/>
      <c r="CC2277" s="717"/>
      <c r="CD2277" s="717"/>
      <c r="CE2277" s="717"/>
      <c r="CF2277" s="717"/>
      <c r="CG2277" s="717"/>
      <c r="CH2277" s="717"/>
      <c r="CI2277" s="717"/>
      <c r="CJ2277" s="717"/>
      <c r="CK2277" s="717"/>
      <c r="CL2277" s="717"/>
      <c r="CM2277" s="717"/>
      <c r="CN2277" s="717"/>
      <c r="CO2277" s="717"/>
      <c r="CP2277" s="717"/>
      <c r="CQ2277" s="717"/>
      <c r="CR2277" s="717"/>
      <c r="CS2277" s="717"/>
      <c r="CT2277" s="717"/>
      <c r="CU2277" s="717"/>
      <c r="CV2277" s="717"/>
      <c r="CW2277" s="717"/>
      <c r="CX2277" s="717"/>
      <c r="CY2277" s="717"/>
      <c r="CZ2277" s="717"/>
      <c r="DA2277" s="717"/>
      <c r="DB2277" s="717"/>
      <c r="DC2277" s="717"/>
      <c r="DD2277" s="717"/>
      <c r="DE2277" s="717"/>
      <c r="DF2277" s="717"/>
      <c r="DG2277" s="717"/>
      <c r="DH2277" s="717"/>
      <c r="DI2277" s="717"/>
      <c r="DJ2277" s="717"/>
      <c r="DM2277" s="711"/>
      <c r="DN2277" s="711"/>
      <c r="DO2277" s="711"/>
      <c r="DP2277" s="711"/>
      <c r="DQ2277" s="711"/>
    </row>
    <row r="2278" spans="13:121" s="709" customFormat="1" hidden="1">
      <c r="M2278" s="710"/>
      <c r="P2278" s="711"/>
      <c r="Q2278" s="712"/>
      <c r="U2278" s="711"/>
      <c r="V2278" s="711"/>
      <c r="W2278" s="711"/>
      <c r="X2278" s="711"/>
      <c r="Y2278" s="711"/>
      <c r="Z2278" s="711"/>
      <c r="AU2278" s="713"/>
      <c r="AW2278" s="712"/>
      <c r="BY2278" s="714"/>
      <c r="BZ2278" s="715"/>
      <c r="CA2278" s="716"/>
      <c r="CB2278" s="717"/>
      <c r="CC2278" s="717"/>
      <c r="CD2278" s="717"/>
      <c r="CE2278" s="717"/>
      <c r="CF2278" s="717"/>
      <c r="CG2278" s="717"/>
      <c r="CH2278" s="717"/>
      <c r="CI2278" s="717"/>
      <c r="CJ2278" s="717"/>
      <c r="CK2278" s="717"/>
      <c r="CL2278" s="717"/>
      <c r="CM2278" s="717"/>
      <c r="CN2278" s="717"/>
      <c r="CO2278" s="717"/>
      <c r="CP2278" s="717"/>
      <c r="CQ2278" s="717"/>
      <c r="CR2278" s="717"/>
      <c r="CS2278" s="717"/>
      <c r="CT2278" s="717"/>
      <c r="CU2278" s="717"/>
      <c r="CV2278" s="717"/>
      <c r="CW2278" s="717"/>
      <c r="CX2278" s="717"/>
      <c r="CY2278" s="717"/>
      <c r="CZ2278" s="717"/>
      <c r="DA2278" s="717"/>
      <c r="DB2278" s="717"/>
      <c r="DC2278" s="717"/>
      <c r="DD2278" s="717"/>
      <c r="DE2278" s="717"/>
      <c r="DF2278" s="717"/>
      <c r="DG2278" s="717"/>
      <c r="DH2278" s="717"/>
      <c r="DI2278" s="717"/>
      <c r="DJ2278" s="717"/>
      <c r="DM2278" s="711"/>
      <c r="DN2278" s="711"/>
      <c r="DO2278" s="711"/>
      <c r="DP2278" s="711"/>
      <c r="DQ2278" s="711"/>
    </row>
    <row r="2279" spans="13:121" s="709" customFormat="1" hidden="1">
      <c r="M2279" s="710"/>
      <c r="P2279" s="711"/>
      <c r="Q2279" s="712"/>
      <c r="U2279" s="711"/>
      <c r="V2279" s="711"/>
      <c r="W2279" s="711"/>
      <c r="X2279" s="711"/>
      <c r="Y2279" s="711"/>
      <c r="Z2279" s="711"/>
      <c r="AU2279" s="713"/>
      <c r="AW2279" s="712"/>
      <c r="BY2279" s="714"/>
      <c r="BZ2279" s="715"/>
      <c r="CA2279" s="716"/>
      <c r="CB2279" s="717"/>
      <c r="CC2279" s="717"/>
      <c r="CD2279" s="717"/>
      <c r="CE2279" s="717"/>
      <c r="CF2279" s="717"/>
      <c r="CG2279" s="717"/>
      <c r="CH2279" s="717"/>
      <c r="CI2279" s="717"/>
      <c r="CJ2279" s="717"/>
      <c r="CK2279" s="717"/>
      <c r="CL2279" s="717"/>
      <c r="CM2279" s="717"/>
      <c r="CN2279" s="717"/>
      <c r="CO2279" s="717"/>
      <c r="CP2279" s="717"/>
      <c r="CQ2279" s="717"/>
      <c r="CR2279" s="717"/>
      <c r="CS2279" s="717"/>
      <c r="CT2279" s="717"/>
      <c r="CU2279" s="717"/>
      <c r="CV2279" s="717"/>
      <c r="CW2279" s="717"/>
      <c r="CX2279" s="717"/>
      <c r="CY2279" s="717"/>
      <c r="CZ2279" s="717"/>
      <c r="DA2279" s="717"/>
      <c r="DB2279" s="717"/>
      <c r="DC2279" s="717"/>
      <c r="DD2279" s="717"/>
      <c r="DE2279" s="717"/>
      <c r="DF2279" s="717"/>
      <c r="DG2279" s="717"/>
      <c r="DH2279" s="717"/>
      <c r="DI2279" s="717"/>
      <c r="DJ2279" s="717"/>
      <c r="DM2279" s="711"/>
      <c r="DN2279" s="711"/>
      <c r="DO2279" s="711"/>
      <c r="DP2279" s="711"/>
      <c r="DQ2279" s="711"/>
    </row>
    <row r="2280" spans="13:121" s="709" customFormat="1" hidden="1">
      <c r="M2280" s="710"/>
      <c r="P2280" s="711"/>
      <c r="Q2280" s="712"/>
      <c r="U2280" s="711"/>
      <c r="V2280" s="711"/>
      <c r="W2280" s="711"/>
      <c r="X2280" s="711"/>
      <c r="Y2280" s="711"/>
      <c r="Z2280" s="711"/>
      <c r="AU2280" s="713"/>
      <c r="AW2280" s="712"/>
      <c r="BY2280" s="714"/>
      <c r="BZ2280" s="715"/>
      <c r="CA2280" s="716"/>
      <c r="CB2280" s="717"/>
      <c r="CC2280" s="717"/>
      <c r="CD2280" s="717"/>
      <c r="CE2280" s="717"/>
      <c r="CF2280" s="717"/>
      <c r="CG2280" s="717"/>
      <c r="CH2280" s="717"/>
      <c r="CI2280" s="717"/>
      <c r="CJ2280" s="717"/>
      <c r="CK2280" s="717"/>
      <c r="CL2280" s="717"/>
      <c r="CM2280" s="717"/>
      <c r="CN2280" s="717"/>
      <c r="CO2280" s="717"/>
      <c r="CP2280" s="717"/>
      <c r="CQ2280" s="717"/>
      <c r="CR2280" s="717"/>
      <c r="CS2280" s="717"/>
      <c r="CT2280" s="717"/>
      <c r="CU2280" s="717"/>
      <c r="CV2280" s="717"/>
      <c r="CW2280" s="717"/>
      <c r="CX2280" s="717"/>
      <c r="CY2280" s="717"/>
      <c r="CZ2280" s="717"/>
      <c r="DA2280" s="717"/>
      <c r="DB2280" s="717"/>
      <c r="DC2280" s="717"/>
      <c r="DD2280" s="717"/>
      <c r="DE2280" s="717"/>
      <c r="DF2280" s="717"/>
      <c r="DG2280" s="717"/>
      <c r="DH2280" s="717"/>
      <c r="DI2280" s="717"/>
      <c r="DJ2280" s="717"/>
      <c r="DM2280" s="711"/>
      <c r="DN2280" s="711"/>
      <c r="DO2280" s="711"/>
      <c r="DP2280" s="711"/>
      <c r="DQ2280" s="711"/>
    </row>
    <row r="2281" spans="13:121" s="709" customFormat="1" hidden="1">
      <c r="M2281" s="710"/>
      <c r="P2281" s="711"/>
      <c r="Q2281" s="712"/>
      <c r="U2281" s="711"/>
      <c r="V2281" s="711"/>
      <c r="W2281" s="711"/>
      <c r="X2281" s="711"/>
      <c r="Y2281" s="711"/>
      <c r="Z2281" s="711"/>
      <c r="AU2281" s="713"/>
      <c r="AW2281" s="712"/>
      <c r="BY2281" s="714"/>
      <c r="BZ2281" s="715"/>
      <c r="CA2281" s="716"/>
      <c r="CB2281" s="717"/>
      <c r="CC2281" s="717"/>
      <c r="CD2281" s="717"/>
      <c r="CE2281" s="717"/>
      <c r="CF2281" s="717"/>
      <c r="CG2281" s="717"/>
      <c r="CH2281" s="717"/>
      <c r="CI2281" s="717"/>
      <c r="CJ2281" s="717"/>
      <c r="CK2281" s="717"/>
      <c r="CL2281" s="717"/>
      <c r="CM2281" s="717"/>
      <c r="CN2281" s="717"/>
      <c r="CO2281" s="717"/>
      <c r="CP2281" s="717"/>
      <c r="CQ2281" s="717"/>
      <c r="CR2281" s="717"/>
      <c r="CS2281" s="717"/>
      <c r="CT2281" s="717"/>
      <c r="CU2281" s="717"/>
      <c r="CV2281" s="717"/>
      <c r="CW2281" s="717"/>
      <c r="CX2281" s="717"/>
      <c r="CY2281" s="717"/>
      <c r="CZ2281" s="717"/>
      <c r="DA2281" s="717"/>
      <c r="DB2281" s="717"/>
      <c r="DC2281" s="717"/>
      <c r="DD2281" s="717"/>
      <c r="DE2281" s="717"/>
      <c r="DF2281" s="717"/>
      <c r="DG2281" s="717"/>
      <c r="DH2281" s="717"/>
      <c r="DI2281" s="717"/>
      <c r="DJ2281" s="717"/>
      <c r="DM2281" s="711"/>
      <c r="DN2281" s="711"/>
      <c r="DO2281" s="711"/>
      <c r="DP2281" s="711"/>
      <c r="DQ2281" s="711"/>
    </row>
    <row r="2282" spans="13:121" s="709" customFormat="1" hidden="1">
      <c r="M2282" s="710"/>
      <c r="P2282" s="711"/>
      <c r="Q2282" s="712"/>
      <c r="U2282" s="711"/>
      <c r="V2282" s="711"/>
      <c r="W2282" s="711"/>
      <c r="X2282" s="711"/>
      <c r="Y2282" s="711"/>
      <c r="Z2282" s="711"/>
      <c r="AU2282" s="713"/>
      <c r="AW2282" s="712"/>
      <c r="BY2282" s="714"/>
      <c r="BZ2282" s="715"/>
      <c r="CA2282" s="716"/>
      <c r="CB2282" s="717"/>
      <c r="CC2282" s="717"/>
      <c r="CD2282" s="717"/>
      <c r="CE2282" s="717"/>
      <c r="CF2282" s="717"/>
      <c r="CG2282" s="717"/>
      <c r="CH2282" s="717"/>
      <c r="CI2282" s="717"/>
      <c r="CJ2282" s="717"/>
      <c r="CK2282" s="717"/>
      <c r="CL2282" s="717"/>
      <c r="CM2282" s="717"/>
      <c r="CN2282" s="717"/>
      <c r="CO2282" s="717"/>
      <c r="CP2282" s="717"/>
      <c r="CQ2282" s="717"/>
      <c r="CR2282" s="717"/>
      <c r="CS2282" s="717"/>
      <c r="CT2282" s="717"/>
      <c r="CU2282" s="717"/>
      <c r="CV2282" s="717"/>
      <c r="CW2282" s="717"/>
      <c r="CX2282" s="717"/>
      <c r="CY2282" s="717"/>
      <c r="CZ2282" s="717"/>
      <c r="DA2282" s="717"/>
      <c r="DB2282" s="717"/>
      <c r="DC2282" s="717"/>
      <c r="DD2282" s="717"/>
      <c r="DE2282" s="717"/>
      <c r="DF2282" s="717"/>
      <c r="DG2282" s="717"/>
      <c r="DH2282" s="717"/>
      <c r="DI2282" s="717"/>
      <c r="DJ2282" s="717"/>
      <c r="DM2282" s="711"/>
      <c r="DN2282" s="711"/>
      <c r="DO2282" s="711"/>
      <c r="DP2282" s="711"/>
      <c r="DQ2282" s="711"/>
    </row>
    <row r="2283" spans="13:121" s="709" customFormat="1" hidden="1">
      <c r="M2283" s="710"/>
      <c r="P2283" s="711"/>
      <c r="Q2283" s="712"/>
      <c r="U2283" s="711"/>
      <c r="V2283" s="711"/>
      <c r="W2283" s="711"/>
      <c r="X2283" s="711"/>
      <c r="Y2283" s="711"/>
      <c r="Z2283" s="711"/>
      <c r="AU2283" s="713"/>
      <c r="AW2283" s="712"/>
      <c r="BY2283" s="714"/>
      <c r="BZ2283" s="715"/>
      <c r="CA2283" s="716"/>
      <c r="CB2283" s="717"/>
      <c r="CC2283" s="717"/>
      <c r="CD2283" s="717"/>
      <c r="CE2283" s="717"/>
      <c r="CF2283" s="717"/>
      <c r="CG2283" s="717"/>
      <c r="CH2283" s="717"/>
      <c r="CI2283" s="717"/>
      <c r="CJ2283" s="717"/>
      <c r="CK2283" s="717"/>
      <c r="CL2283" s="717"/>
      <c r="CM2283" s="717"/>
      <c r="CN2283" s="717"/>
      <c r="CO2283" s="717"/>
      <c r="CP2283" s="717"/>
      <c r="CQ2283" s="717"/>
      <c r="CR2283" s="717"/>
      <c r="CS2283" s="717"/>
      <c r="CT2283" s="717"/>
      <c r="CU2283" s="717"/>
      <c r="CV2283" s="717"/>
      <c r="CW2283" s="717"/>
      <c r="CX2283" s="717"/>
      <c r="CY2283" s="717"/>
      <c r="CZ2283" s="717"/>
      <c r="DA2283" s="717"/>
      <c r="DB2283" s="717"/>
      <c r="DC2283" s="717"/>
      <c r="DD2283" s="717"/>
      <c r="DE2283" s="717"/>
      <c r="DF2283" s="717"/>
      <c r="DG2283" s="717"/>
      <c r="DH2283" s="717"/>
      <c r="DI2283" s="717"/>
      <c r="DJ2283" s="717"/>
      <c r="DM2283" s="711"/>
      <c r="DN2283" s="711"/>
      <c r="DO2283" s="711"/>
      <c r="DP2283" s="711"/>
      <c r="DQ2283" s="711"/>
    </row>
    <row r="2284" spans="13:121" s="709" customFormat="1" hidden="1">
      <c r="M2284" s="710"/>
      <c r="P2284" s="711"/>
      <c r="Q2284" s="712"/>
      <c r="U2284" s="711"/>
      <c r="V2284" s="711"/>
      <c r="W2284" s="711"/>
      <c r="X2284" s="711"/>
      <c r="Y2284" s="711"/>
      <c r="Z2284" s="711"/>
      <c r="AU2284" s="713"/>
      <c r="AW2284" s="712"/>
      <c r="BY2284" s="714"/>
      <c r="BZ2284" s="715"/>
      <c r="CA2284" s="716"/>
      <c r="CB2284" s="717"/>
      <c r="CC2284" s="717"/>
      <c r="CD2284" s="717"/>
      <c r="CE2284" s="717"/>
      <c r="CF2284" s="717"/>
      <c r="CG2284" s="717"/>
      <c r="CH2284" s="717"/>
      <c r="CI2284" s="717"/>
      <c r="CJ2284" s="717"/>
      <c r="CK2284" s="717"/>
      <c r="CL2284" s="717"/>
      <c r="CM2284" s="717"/>
      <c r="CN2284" s="717"/>
      <c r="CO2284" s="717"/>
      <c r="CP2284" s="717"/>
      <c r="CQ2284" s="717"/>
      <c r="CR2284" s="717"/>
      <c r="CS2284" s="717"/>
      <c r="CT2284" s="717"/>
      <c r="CU2284" s="717"/>
      <c r="CV2284" s="717"/>
      <c r="CW2284" s="717"/>
      <c r="CX2284" s="717"/>
      <c r="CY2284" s="717"/>
      <c r="CZ2284" s="717"/>
      <c r="DA2284" s="717"/>
      <c r="DB2284" s="717"/>
      <c r="DC2284" s="717"/>
      <c r="DD2284" s="717"/>
      <c r="DE2284" s="717"/>
      <c r="DF2284" s="717"/>
      <c r="DG2284" s="717"/>
      <c r="DH2284" s="717"/>
      <c r="DI2284" s="717"/>
      <c r="DJ2284" s="717"/>
      <c r="DM2284" s="711"/>
      <c r="DN2284" s="711"/>
      <c r="DO2284" s="711"/>
      <c r="DP2284" s="711"/>
      <c r="DQ2284" s="711"/>
    </row>
    <row r="2285" spans="13:121" s="709" customFormat="1" hidden="1">
      <c r="M2285" s="710"/>
      <c r="P2285" s="711"/>
      <c r="Q2285" s="712"/>
      <c r="U2285" s="711"/>
      <c r="V2285" s="711"/>
      <c r="W2285" s="711"/>
      <c r="X2285" s="711"/>
      <c r="Y2285" s="711"/>
      <c r="Z2285" s="711"/>
      <c r="AU2285" s="713"/>
      <c r="AW2285" s="712"/>
      <c r="BY2285" s="714"/>
      <c r="BZ2285" s="715"/>
      <c r="CA2285" s="716"/>
      <c r="CB2285" s="717"/>
      <c r="CC2285" s="717"/>
      <c r="CD2285" s="717"/>
      <c r="CE2285" s="717"/>
      <c r="CF2285" s="717"/>
      <c r="CG2285" s="717"/>
      <c r="CH2285" s="717"/>
      <c r="CI2285" s="717"/>
      <c r="CJ2285" s="717"/>
      <c r="CK2285" s="717"/>
      <c r="CL2285" s="717"/>
      <c r="CM2285" s="717"/>
      <c r="CN2285" s="717"/>
      <c r="CO2285" s="717"/>
      <c r="CP2285" s="717"/>
      <c r="CQ2285" s="717"/>
      <c r="CR2285" s="717"/>
      <c r="CS2285" s="717"/>
      <c r="CT2285" s="717"/>
      <c r="CU2285" s="717"/>
      <c r="CV2285" s="717"/>
      <c r="CW2285" s="717"/>
      <c r="CX2285" s="717"/>
      <c r="CY2285" s="717"/>
      <c r="CZ2285" s="717"/>
      <c r="DA2285" s="717"/>
      <c r="DB2285" s="717"/>
      <c r="DC2285" s="717"/>
      <c r="DD2285" s="717"/>
      <c r="DE2285" s="717"/>
      <c r="DF2285" s="717"/>
      <c r="DG2285" s="717"/>
      <c r="DH2285" s="717"/>
      <c r="DI2285" s="717"/>
      <c r="DJ2285" s="717"/>
      <c r="DM2285" s="711"/>
      <c r="DN2285" s="711"/>
      <c r="DO2285" s="711"/>
      <c r="DP2285" s="711"/>
      <c r="DQ2285" s="711"/>
    </row>
    <row r="2286" spans="13:121" s="709" customFormat="1" hidden="1">
      <c r="M2286" s="710"/>
      <c r="P2286" s="711"/>
      <c r="Q2286" s="712"/>
      <c r="U2286" s="711"/>
      <c r="V2286" s="711"/>
      <c r="W2286" s="711"/>
      <c r="X2286" s="711"/>
      <c r="Y2286" s="711"/>
      <c r="Z2286" s="711"/>
      <c r="AU2286" s="713"/>
      <c r="AW2286" s="712"/>
      <c r="BY2286" s="714"/>
      <c r="BZ2286" s="715"/>
      <c r="CA2286" s="716"/>
      <c r="CB2286" s="717"/>
      <c r="CC2286" s="717"/>
      <c r="CD2286" s="717"/>
      <c r="CE2286" s="717"/>
      <c r="CF2286" s="717"/>
      <c r="CG2286" s="717"/>
      <c r="CH2286" s="717"/>
      <c r="CI2286" s="717"/>
      <c r="CJ2286" s="717"/>
      <c r="CK2286" s="717"/>
      <c r="CL2286" s="717"/>
      <c r="CM2286" s="717"/>
      <c r="CN2286" s="717"/>
      <c r="CO2286" s="717"/>
      <c r="CP2286" s="717"/>
      <c r="CQ2286" s="717"/>
      <c r="CR2286" s="717"/>
      <c r="CS2286" s="717"/>
      <c r="CT2286" s="717"/>
      <c r="CU2286" s="717"/>
      <c r="CV2286" s="717"/>
      <c r="CW2286" s="717"/>
      <c r="CX2286" s="717"/>
      <c r="CY2286" s="717"/>
      <c r="CZ2286" s="717"/>
      <c r="DA2286" s="717"/>
      <c r="DB2286" s="717"/>
      <c r="DC2286" s="717"/>
      <c r="DD2286" s="717"/>
      <c r="DE2286" s="717"/>
      <c r="DF2286" s="717"/>
      <c r="DG2286" s="717"/>
      <c r="DH2286" s="717"/>
      <c r="DI2286" s="717"/>
      <c r="DJ2286" s="717"/>
      <c r="DM2286" s="711"/>
      <c r="DN2286" s="711"/>
      <c r="DO2286" s="711"/>
      <c r="DP2286" s="711"/>
      <c r="DQ2286" s="711"/>
    </row>
    <row r="2287" spans="13:121" s="709" customFormat="1" hidden="1">
      <c r="M2287" s="710"/>
      <c r="P2287" s="711"/>
      <c r="Q2287" s="712"/>
      <c r="U2287" s="711"/>
      <c r="V2287" s="711"/>
      <c r="W2287" s="711"/>
      <c r="X2287" s="711"/>
      <c r="Y2287" s="711"/>
      <c r="Z2287" s="711"/>
      <c r="AU2287" s="713"/>
      <c r="AW2287" s="712"/>
      <c r="BY2287" s="714"/>
      <c r="BZ2287" s="715"/>
      <c r="CA2287" s="716"/>
      <c r="CB2287" s="717"/>
      <c r="CC2287" s="717"/>
      <c r="CD2287" s="717"/>
      <c r="CE2287" s="717"/>
      <c r="CF2287" s="717"/>
      <c r="CG2287" s="717"/>
      <c r="CH2287" s="717"/>
      <c r="CI2287" s="717"/>
      <c r="CJ2287" s="717"/>
      <c r="CK2287" s="717"/>
      <c r="CL2287" s="717"/>
      <c r="CM2287" s="717"/>
      <c r="CN2287" s="717"/>
      <c r="CO2287" s="717"/>
      <c r="CP2287" s="717"/>
      <c r="CQ2287" s="717"/>
      <c r="CR2287" s="717"/>
      <c r="CS2287" s="717"/>
      <c r="CT2287" s="717"/>
      <c r="CU2287" s="717"/>
      <c r="CV2287" s="717"/>
      <c r="CW2287" s="717"/>
      <c r="CX2287" s="717"/>
      <c r="CY2287" s="717"/>
      <c r="CZ2287" s="717"/>
      <c r="DA2287" s="717"/>
      <c r="DB2287" s="717"/>
      <c r="DC2287" s="717"/>
      <c r="DD2287" s="717"/>
      <c r="DE2287" s="717"/>
      <c r="DF2287" s="717"/>
      <c r="DG2287" s="717"/>
      <c r="DH2287" s="717"/>
      <c r="DI2287" s="717"/>
      <c r="DJ2287" s="717"/>
      <c r="DM2287" s="711"/>
      <c r="DN2287" s="711"/>
      <c r="DO2287" s="711"/>
      <c r="DP2287" s="711"/>
      <c r="DQ2287" s="711"/>
    </row>
    <row r="2288" spans="13:121" s="709" customFormat="1" hidden="1">
      <c r="M2288" s="710"/>
      <c r="P2288" s="711"/>
      <c r="Q2288" s="712"/>
      <c r="U2288" s="711"/>
      <c r="V2288" s="711"/>
      <c r="W2288" s="711"/>
      <c r="X2288" s="711"/>
      <c r="Y2288" s="711"/>
      <c r="Z2288" s="711"/>
      <c r="AU2288" s="713"/>
      <c r="AW2288" s="712"/>
      <c r="BY2288" s="714"/>
      <c r="BZ2288" s="715"/>
      <c r="CA2288" s="716"/>
      <c r="CB2288" s="717"/>
      <c r="CC2288" s="717"/>
      <c r="CD2288" s="717"/>
      <c r="CE2288" s="717"/>
      <c r="CF2288" s="717"/>
      <c r="CG2288" s="717"/>
      <c r="CH2288" s="717"/>
      <c r="CI2288" s="717"/>
      <c r="CJ2288" s="717"/>
      <c r="CK2288" s="717"/>
      <c r="CL2288" s="717"/>
      <c r="CM2288" s="717"/>
      <c r="CN2288" s="717"/>
      <c r="CO2288" s="717"/>
      <c r="CP2288" s="717"/>
      <c r="CQ2288" s="717"/>
      <c r="CR2288" s="717"/>
      <c r="CS2288" s="717"/>
      <c r="CT2288" s="717"/>
      <c r="CU2288" s="717"/>
      <c r="CV2288" s="717"/>
      <c r="CW2288" s="717"/>
      <c r="CX2288" s="717"/>
      <c r="CY2288" s="717"/>
      <c r="CZ2288" s="717"/>
      <c r="DA2288" s="717"/>
      <c r="DB2288" s="717"/>
      <c r="DC2288" s="717"/>
      <c r="DD2288" s="717"/>
      <c r="DE2288" s="717"/>
      <c r="DF2288" s="717"/>
      <c r="DG2288" s="717"/>
      <c r="DH2288" s="717"/>
      <c r="DI2288" s="717"/>
      <c r="DJ2288" s="717"/>
      <c r="DM2288" s="711"/>
      <c r="DN2288" s="711"/>
      <c r="DO2288" s="711"/>
      <c r="DP2288" s="711"/>
      <c r="DQ2288" s="711"/>
    </row>
    <row r="2289" spans="13:121" s="709" customFormat="1" hidden="1">
      <c r="M2289" s="710"/>
      <c r="P2289" s="711"/>
      <c r="Q2289" s="712"/>
      <c r="U2289" s="711"/>
      <c r="V2289" s="711"/>
      <c r="W2289" s="711"/>
      <c r="X2289" s="711"/>
      <c r="Y2289" s="711"/>
      <c r="Z2289" s="711"/>
      <c r="AU2289" s="713"/>
      <c r="AW2289" s="712"/>
      <c r="BY2289" s="714"/>
      <c r="BZ2289" s="715"/>
      <c r="CA2289" s="716"/>
      <c r="CB2289" s="717"/>
      <c r="CC2289" s="717"/>
      <c r="CD2289" s="717"/>
      <c r="CE2289" s="717"/>
      <c r="CF2289" s="717"/>
      <c r="CG2289" s="717"/>
      <c r="CH2289" s="717"/>
      <c r="CI2289" s="717"/>
      <c r="CJ2289" s="717"/>
      <c r="CK2289" s="717"/>
      <c r="CL2289" s="717"/>
      <c r="CM2289" s="717"/>
      <c r="CN2289" s="717"/>
      <c r="CO2289" s="717"/>
      <c r="CP2289" s="717"/>
      <c r="CQ2289" s="717"/>
      <c r="CR2289" s="717"/>
      <c r="CS2289" s="717"/>
      <c r="CT2289" s="717"/>
      <c r="CU2289" s="717"/>
      <c r="CV2289" s="717"/>
      <c r="CW2289" s="717"/>
      <c r="CX2289" s="717"/>
      <c r="CY2289" s="717"/>
      <c r="CZ2289" s="717"/>
      <c r="DA2289" s="717"/>
      <c r="DB2289" s="717"/>
      <c r="DC2289" s="717"/>
      <c r="DD2289" s="717"/>
      <c r="DE2289" s="717"/>
      <c r="DF2289" s="717"/>
      <c r="DG2289" s="717"/>
      <c r="DH2289" s="717"/>
      <c r="DI2289" s="717"/>
      <c r="DJ2289" s="717"/>
      <c r="DM2289" s="711"/>
      <c r="DN2289" s="711"/>
      <c r="DO2289" s="711"/>
      <c r="DP2289" s="711"/>
      <c r="DQ2289" s="711"/>
    </row>
    <row r="2290" spans="13:121" s="709" customFormat="1" hidden="1">
      <c r="M2290" s="710"/>
      <c r="P2290" s="711"/>
      <c r="Q2290" s="712"/>
      <c r="U2290" s="711"/>
      <c r="V2290" s="711"/>
      <c r="W2290" s="711"/>
      <c r="X2290" s="711"/>
      <c r="Y2290" s="711"/>
      <c r="Z2290" s="711"/>
      <c r="AU2290" s="713"/>
      <c r="AW2290" s="712"/>
      <c r="BY2290" s="714"/>
      <c r="BZ2290" s="715"/>
      <c r="CA2290" s="716"/>
      <c r="CB2290" s="717"/>
      <c r="CC2290" s="717"/>
      <c r="CD2290" s="717"/>
      <c r="CE2290" s="717"/>
      <c r="CF2290" s="717"/>
      <c r="CG2290" s="717"/>
      <c r="CH2290" s="717"/>
      <c r="CI2290" s="717"/>
      <c r="CJ2290" s="717"/>
      <c r="CK2290" s="717"/>
      <c r="CL2290" s="717"/>
      <c r="CM2290" s="717"/>
      <c r="CN2290" s="717"/>
      <c r="CO2290" s="717"/>
      <c r="CP2290" s="717"/>
      <c r="CQ2290" s="717"/>
      <c r="CR2290" s="717"/>
      <c r="CS2290" s="717"/>
      <c r="CT2290" s="717"/>
      <c r="CU2290" s="717"/>
      <c r="CV2290" s="717"/>
      <c r="CW2290" s="717"/>
      <c r="CX2290" s="717"/>
      <c r="CY2290" s="717"/>
      <c r="CZ2290" s="717"/>
      <c r="DA2290" s="717"/>
      <c r="DB2290" s="717"/>
      <c r="DC2290" s="717"/>
      <c r="DD2290" s="717"/>
      <c r="DE2290" s="717"/>
      <c r="DF2290" s="717"/>
      <c r="DG2290" s="717"/>
      <c r="DH2290" s="717"/>
      <c r="DI2290" s="717"/>
      <c r="DJ2290" s="717"/>
      <c r="DM2290" s="711"/>
      <c r="DN2290" s="711"/>
      <c r="DO2290" s="711"/>
      <c r="DP2290" s="711"/>
      <c r="DQ2290" s="711"/>
    </row>
    <row r="2291" spans="13:121" s="709" customFormat="1" hidden="1">
      <c r="M2291" s="710"/>
      <c r="P2291" s="711"/>
      <c r="Q2291" s="712"/>
      <c r="U2291" s="711"/>
      <c r="V2291" s="711"/>
      <c r="W2291" s="711"/>
      <c r="X2291" s="711"/>
      <c r="Y2291" s="711"/>
      <c r="Z2291" s="711"/>
      <c r="AU2291" s="713"/>
      <c r="AW2291" s="712"/>
      <c r="BY2291" s="714"/>
      <c r="BZ2291" s="715"/>
      <c r="CA2291" s="716"/>
      <c r="CB2291" s="717"/>
      <c r="CC2291" s="717"/>
      <c r="CD2291" s="717"/>
      <c r="CE2291" s="717"/>
      <c r="CF2291" s="717"/>
      <c r="CG2291" s="717"/>
      <c r="CH2291" s="717"/>
      <c r="CI2291" s="717"/>
      <c r="CJ2291" s="717"/>
      <c r="CK2291" s="717"/>
      <c r="CL2291" s="717"/>
      <c r="CM2291" s="717"/>
      <c r="CN2291" s="717"/>
      <c r="CO2291" s="717"/>
      <c r="CP2291" s="717"/>
      <c r="CQ2291" s="717"/>
      <c r="CR2291" s="717"/>
      <c r="CS2291" s="717"/>
      <c r="CT2291" s="717"/>
      <c r="CU2291" s="717"/>
      <c r="CV2291" s="717"/>
      <c r="CW2291" s="717"/>
      <c r="CX2291" s="717"/>
      <c r="CY2291" s="717"/>
      <c r="CZ2291" s="717"/>
      <c r="DA2291" s="717"/>
      <c r="DB2291" s="717"/>
      <c r="DC2291" s="717"/>
      <c r="DD2291" s="717"/>
      <c r="DE2291" s="717"/>
      <c r="DF2291" s="717"/>
      <c r="DG2291" s="717"/>
      <c r="DH2291" s="717"/>
      <c r="DI2291" s="717"/>
      <c r="DJ2291" s="717"/>
      <c r="DM2291" s="711"/>
      <c r="DN2291" s="711"/>
      <c r="DO2291" s="711"/>
      <c r="DP2291" s="711"/>
      <c r="DQ2291" s="711"/>
    </row>
    <row r="2292" spans="13:121" s="709" customFormat="1" hidden="1">
      <c r="M2292" s="710"/>
      <c r="P2292" s="711"/>
      <c r="Q2292" s="712"/>
      <c r="U2292" s="711"/>
      <c r="V2292" s="711"/>
      <c r="W2292" s="711"/>
      <c r="X2292" s="711"/>
      <c r="Y2292" s="711"/>
      <c r="Z2292" s="711"/>
      <c r="AU2292" s="713"/>
      <c r="AW2292" s="712"/>
      <c r="BY2292" s="714"/>
      <c r="BZ2292" s="715"/>
      <c r="CA2292" s="716"/>
      <c r="CB2292" s="717"/>
      <c r="CC2292" s="717"/>
      <c r="CD2292" s="717"/>
      <c r="CE2292" s="717"/>
      <c r="CF2292" s="717"/>
      <c r="CG2292" s="717"/>
      <c r="CH2292" s="717"/>
      <c r="CI2292" s="717"/>
      <c r="CJ2292" s="717"/>
      <c r="CK2292" s="717"/>
      <c r="CL2292" s="717"/>
      <c r="CM2292" s="717"/>
      <c r="CN2292" s="717"/>
      <c r="CO2292" s="717"/>
      <c r="CP2292" s="717"/>
      <c r="CQ2292" s="717"/>
      <c r="CR2292" s="717"/>
      <c r="CS2292" s="717"/>
      <c r="CT2292" s="717"/>
      <c r="CU2292" s="717"/>
      <c r="CV2292" s="717"/>
      <c r="CW2292" s="717"/>
      <c r="CX2292" s="717"/>
      <c r="CY2292" s="717"/>
      <c r="CZ2292" s="717"/>
      <c r="DA2292" s="717"/>
      <c r="DB2292" s="717"/>
      <c r="DC2292" s="717"/>
      <c r="DD2292" s="717"/>
      <c r="DE2292" s="717"/>
      <c r="DF2292" s="717"/>
      <c r="DG2292" s="717"/>
      <c r="DH2292" s="717"/>
      <c r="DI2292" s="717"/>
      <c r="DJ2292" s="717"/>
      <c r="DM2292" s="711"/>
      <c r="DN2292" s="711"/>
      <c r="DO2292" s="711"/>
      <c r="DP2292" s="711"/>
      <c r="DQ2292" s="711"/>
    </row>
    <row r="2293" spans="13:121" s="709" customFormat="1" hidden="1">
      <c r="M2293" s="710"/>
      <c r="P2293" s="711"/>
      <c r="Q2293" s="712"/>
      <c r="U2293" s="711"/>
      <c r="V2293" s="711"/>
      <c r="W2293" s="711"/>
      <c r="X2293" s="711"/>
      <c r="Y2293" s="711"/>
      <c r="Z2293" s="711"/>
      <c r="AU2293" s="713"/>
      <c r="AW2293" s="712"/>
      <c r="BY2293" s="714"/>
      <c r="BZ2293" s="715"/>
      <c r="CA2293" s="716"/>
      <c r="CB2293" s="717"/>
      <c r="CC2293" s="717"/>
      <c r="CD2293" s="717"/>
      <c r="CE2293" s="717"/>
      <c r="CF2293" s="717"/>
      <c r="CG2293" s="717"/>
      <c r="CH2293" s="717"/>
      <c r="CI2293" s="717"/>
      <c r="CJ2293" s="717"/>
      <c r="CK2293" s="717"/>
      <c r="CL2293" s="717"/>
      <c r="CM2293" s="717"/>
      <c r="CN2293" s="717"/>
      <c r="CO2293" s="717"/>
      <c r="CP2293" s="717"/>
      <c r="CQ2293" s="717"/>
      <c r="CR2293" s="717"/>
      <c r="CS2293" s="717"/>
      <c r="CT2293" s="717"/>
      <c r="CU2293" s="717"/>
      <c r="CV2293" s="717"/>
      <c r="CW2293" s="717"/>
      <c r="CX2293" s="717"/>
      <c r="CY2293" s="717"/>
      <c r="CZ2293" s="717"/>
      <c r="DA2293" s="717"/>
      <c r="DB2293" s="717"/>
      <c r="DC2293" s="717"/>
      <c r="DD2293" s="717"/>
      <c r="DE2293" s="717"/>
      <c r="DF2293" s="717"/>
      <c r="DG2293" s="717"/>
      <c r="DH2293" s="717"/>
      <c r="DI2293" s="717"/>
      <c r="DJ2293" s="717"/>
      <c r="DM2293" s="711"/>
      <c r="DN2293" s="711"/>
      <c r="DO2293" s="711"/>
      <c r="DP2293" s="711"/>
      <c r="DQ2293" s="711"/>
    </row>
    <row r="2294" spans="13:121" s="709" customFormat="1" hidden="1">
      <c r="M2294" s="710"/>
      <c r="P2294" s="711"/>
      <c r="Q2294" s="712"/>
      <c r="U2294" s="711"/>
      <c r="V2294" s="711"/>
      <c r="W2294" s="711"/>
      <c r="X2294" s="711"/>
      <c r="Y2294" s="711"/>
      <c r="Z2294" s="711"/>
      <c r="AU2294" s="713"/>
      <c r="AW2294" s="712"/>
      <c r="BY2294" s="714"/>
      <c r="BZ2294" s="715"/>
      <c r="CA2294" s="716"/>
      <c r="CB2294" s="717"/>
      <c r="CC2294" s="717"/>
      <c r="CD2294" s="717"/>
      <c r="CE2294" s="717"/>
      <c r="CF2294" s="717"/>
      <c r="CG2294" s="717"/>
      <c r="CH2294" s="717"/>
      <c r="CI2294" s="717"/>
      <c r="CJ2294" s="717"/>
      <c r="CK2294" s="717"/>
      <c r="CL2294" s="717"/>
      <c r="CM2294" s="717"/>
      <c r="CN2294" s="717"/>
      <c r="CO2294" s="717"/>
      <c r="CP2294" s="717"/>
      <c r="CQ2294" s="717"/>
      <c r="CR2294" s="717"/>
      <c r="CS2294" s="717"/>
      <c r="CT2294" s="717"/>
      <c r="CU2294" s="717"/>
      <c r="CV2294" s="717"/>
      <c r="CW2294" s="717"/>
      <c r="CX2294" s="717"/>
      <c r="CY2294" s="717"/>
      <c r="CZ2294" s="717"/>
      <c r="DA2294" s="717"/>
      <c r="DB2294" s="717"/>
      <c r="DC2294" s="717"/>
      <c r="DD2294" s="717"/>
      <c r="DE2294" s="717"/>
      <c r="DF2294" s="717"/>
      <c r="DG2294" s="717"/>
      <c r="DH2294" s="717"/>
      <c r="DI2294" s="717"/>
      <c r="DJ2294" s="717"/>
      <c r="DM2294" s="711"/>
      <c r="DN2294" s="711"/>
      <c r="DO2294" s="711"/>
      <c r="DP2294" s="711"/>
      <c r="DQ2294" s="711"/>
    </row>
    <row r="2295" spans="13:121" s="709" customFormat="1" hidden="1">
      <c r="M2295" s="710"/>
      <c r="P2295" s="711"/>
      <c r="Q2295" s="712"/>
      <c r="U2295" s="711"/>
      <c r="V2295" s="711"/>
      <c r="W2295" s="711"/>
      <c r="X2295" s="711"/>
      <c r="Y2295" s="711"/>
      <c r="Z2295" s="711"/>
      <c r="AU2295" s="713"/>
      <c r="AW2295" s="712"/>
      <c r="BY2295" s="714"/>
      <c r="BZ2295" s="715"/>
      <c r="CA2295" s="716"/>
      <c r="CB2295" s="717"/>
      <c r="CC2295" s="717"/>
      <c r="CD2295" s="717"/>
      <c r="CE2295" s="717"/>
      <c r="CF2295" s="717"/>
      <c r="CG2295" s="717"/>
      <c r="CH2295" s="717"/>
      <c r="CI2295" s="717"/>
      <c r="CJ2295" s="717"/>
      <c r="CK2295" s="717"/>
      <c r="CL2295" s="717"/>
      <c r="CM2295" s="717"/>
      <c r="CN2295" s="717"/>
      <c r="CO2295" s="717"/>
      <c r="CP2295" s="717"/>
      <c r="CQ2295" s="717"/>
      <c r="CR2295" s="717"/>
      <c r="CS2295" s="717"/>
      <c r="CT2295" s="717"/>
      <c r="CU2295" s="717"/>
      <c r="CV2295" s="717"/>
      <c r="CW2295" s="717"/>
      <c r="CX2295" s="717"/>
      <c r="CY2295" s="717"/>
      <c r="CZ2295" s="717"/>
      <c r="DA2295" s="717"/>
      <c r="DB2295" s="717"/>
      <c r="DC2295" s="717"/>
      <c r="DD2295" s="717"/>
      <c r="DE2295" s="717"/>
      <c r="DF2295" s="717"/>
      <c r="DG2295" s="717"/>
      <c r="DH2295" s="717"/>
      <c r="DI2295" s="717"/>
      <c r="DJ2295" s="717"/>
      <c r="DM2295" s="711"/>
      <c r="DN2295" s="711"/>
      <c r="DO2295" s="711"/>
      <c r="DP2295" s="711"/>
      <c r="DQ2295" s="711"/>
    </row>
    <row r="2296" spans="13:121" s="709" customFormat="1" hidden="1">
      <c r="M2296" s="710"/>
      <c r="P2296" s="711"/>
      <c r="Q2296" s="712"/>
      <c r="U2296" s="711"/>
      <c r="V2296" s="711"/>
      <c r="W2296" s="711"/>
      <c r="X2296" s="711"/>
      <c r="Y2296" s="711"/>
      <c r="Z2296" s="711"/>
      <c r="AU2296" s="713"/>
      <c r="AW2296" s="712"/>
      <c r="BY2296" s="714"/>
      <c r="BZ2296" s="715"/>
      <c r="CA2296" s="716"/>
      <c r="CB2296" s="717"/>
      <c r="CC2296" s="717"/>
      <c r="CD2296" s="717"/>
      <c r="CE2296" s="717"/>
      <c r="CF2296" s="717"/>
      <c r="CG2296" s="717"/>
      <c r="CH2296" s="717"/>
      <c r="CI2296" s="717"/>
      <c r="CJ2296" s="717"/>
      <c r="CK2296" s="717"/>
      <c r="CL2296" s="717"/>
      <c r="CM2296" s="717"/>
      <c r="CN2296" s="717"/>
      <c r="CO2296" s="717"/>
      <c r="CP2296" s="717"/>
      <c r="CQ2296" s="717"/>
      <c r="CR2296" s="717"/>
      <c r="CS2296" s="717"/>
      <c r="CT2296" s="717"/>
      <c r="CU2296" s="717"/>
      <c r="CV2296" s="717"/>
      <c r="CW2296" s="717"/>
      <c r="CX2296" s="717"/>
      <c r="CY2296" s="717"/>
      <c r="CZ2296" s="717"/>
      <c r="DA2296" s="717"/>
      <c r="DB2296" s="717"/>
      <c r="DC2296" s="717"/>
      <c r="DD2296" s="717"/>
      <c r="DE2296" s="717"/>
      <c r="DF2296" s="717"/>
      <c r="DG2296" s="717"/>
      <c r="DH2296" s="717"/>
      <c r="DI2296" s="717"/>
      <c r="DJ2296" s="717"/>
      <c r="DM2296" s="711"/>
      <c r="DN2296" s="711"/>
      <c r="DO2296" s="711"/>
      <c r="DP2296" s="711"/>
      <c r="DQ2296" s="711"/>
    </row>
    <row r="2297" spans="13:121" s="709" customFormat="1" hidden="1">
      <c r="M2297" s="710"/>
      <c r="P2297" s="711"/>
      <c r="Q2297" s="712"/>
      <c r="U2297" s="711"/>
      <c r="V2297" s="711"/>
      <c r="W2297" s="711"/>
      <c r="X2297" s="711"/>
      <c r="Y2297" s="711"/>
      <c r="Z2297" s="711"/>
      <c r="AU2297" s="713"/>
      <c r="AW2297" s="712"/>
      <c r="BY2297" s="714"/>
      <c r="BZ2297" s="715"/>
      <c r="CA2297" s="716"/>
      <c r="CB2297" s="717"/>
      <c r="CC2297" s="717"/>
      <c r="CD2297" s="717"/>
      <c r="CE2297" s="717"/>
      <c r="CF2297" s="717"/>
      <c r="CG2297" s="717"/>
      <c r="CH2297" s="717"/>
      <c r="CI2297" s="717"/>
      <c r="CJ2297" s="717"/>
      <c r="CK2297" s="717"/>
      <c r="CL2297" s="717"/>
      <c r="CM2297" s="717"/>
      <c r="CN2297" s="717"/>
      <c r="CO2297" s="717"/>
      <c r="CP2297" s="717"/>
      <c r="CQ2297" s="717"/>
      <c r="CR2297" s="717"/>
      <c r="CS2297" s="717"/>
      <c r="CT2297" s="717"/>
      <c r="CU2297" s="717"/>
      <c r="CV2297" s="717"/>
      <c r="CW2297" s="717"/>
      <c r="CX2297" s="717"/>
      <c r="CY2297" s="717"/>
      <c r="CZ2297" s="717"/>
      <c r="DA2297" s="717"/>
      <c r="DB2297" s="717"/>
      <c r="DC2297" s="717"/>
      <c r="DD2297" s="717"/>
      <c r="DE2297" s="717"/>
      <c r="DF2297" s="717"/>
      <c r="DG2297" s="717"/>
      <c r="DH2297" s="717"/>
      <c r="DI2297" s="717"/>
      <c r="DJ2297" s="717"/>
      <c r="DM2297" s="711"/>
      <c r="DN2297" s="711"/>
      <c r="DO2297" s="711"/>
      <c r="DP2297" s="711"/>
      <c r="DQ2297" s="711"/>
    </row>
    <row r="2298" spans="13:121" s="709" customFormat="1" hidden="1">
      <c r="M2298" s="710"/>
      <c r="P2298" s="711"/>
      <c r="Q2298" s="712"/>
      <c r="U2298" s="711"/>
      <c r="V2298" s="711"/>
      <c r="W2298" s="711"/>
      <c r="X2298" s="711"/>
      <c r="Y2298" s="711"/>
      <c r="Z2298" s="711"/>
      <c r="AU2298" s="713"/>
      <c r="AW2298" s="712"/>
      <c r="BY2298" s="714"/>
      <c r="BZ2298" s="715"/>
      <c r="CA2298" s="716"/>
      <c r="CB2298" s="717"/>
      <c r="CC2298" s="717"/>
      <c r="CD2298" s="717"/>
      <c r="CE2298" s="717"/>
      <c r="CF2298" s="717"/>
      <c r="CG2298" s="717"/>
      <c r="CH2298" s="717"/>
      <c r="CI2298" s="717"/>
      <c r="CJ2298" s="717"/>
      <c r="CK2298" s="717"/>
      <c r="CL2298" s="717"/>
      <c r="CM2298" s="717"/>
      <c r="CN2298" s="717"/>
      <c r="CO2298" s="717"/>
      <c r="CP2298" s="717"/>
      <c r="CQ2298" s="717"/>
      <c r="CR2298" s="717"/>
      <c r="CS2298" s="717"/>
      <c r="CT2298" s="717"/>
      <c r="CU2298" s="717"/>
      <c r="CV2298" s="717"/>
      <c r="CW2298" s="717"/>
      <c r="CX2298" s="717"/>
      <c r="CY2298" s="717"/>
      <c r="CZ2298" s="717"/>
      <c r="DA2298" s="717"/>
      <c r="DB2298" s="717"/>
      <c r="DC2298" s="717"/>
      <c r="DD2298" s="717"/>
      <c r="DE2298" s="717"/>
      <c r="DF2298" s="717"/>
      <c r="DG2298" s="717"/>
      <c r="DH2298" s="717"/>
      <c r="DI2298" s="717"/>
      <c r="DJ2298" s="717"/>
      <c r="DM2298" s="711"/>
      <c r="DN2298" s="711"/>
      <c r="DO2298" s="711"/>
      <c r="DP2298" s="711"/>
      <c r="DQ2298" s="711"/>
    </row>
    <row r="2299" spans="13:121" s="709" customFormat="1" hidden="1">
      <c r="M2299" s="710"/>
      <c r="P2299" s="711"/>
      <c r="Q2299" s="712"/>
      <c r="U2299" s="711"/>
      <c r="V2299" s="711"/>
      <c r="W2299" s="711"/>
      <c r="X2299" s="711"/>
      <c r="Y2299" s="711"/>
      <c r="Z2299" s="711"/>
      <c r="AU2299" s="713"/>
      <c r="AW2299" s="712"/>
      <c r="BY2299" s="714"/>
      <c r="BZ2299" s="715"/>
      <c r="CA2299" s="716"/>
      <c r="CB2299" s="717"/>
      <c r="CC2299" s="717"/>
      <c r="CD2299" s="717"/>
      <c r="CE2299" s="717"/>
      <c r="CF2299" s="717"/>
      <c r="CG2299" s="717"/>
      <c r="CH2299" s="717"/>
      <c r="CI2299" s="717"/>
      <c r="CJ2299" s="717"/>
      <c r="CK2299" s="717"/>
      <c r="CL2299" s="717"/>
      <c r="CM2299" s="717"/>
      <c r="CN2299" s="717"/>
      <c r="CO2299" s="717"/>
      <c r="CP2299" s="717"/>
      <c r="CQ2299" s="717"/>
      <c r="CR2299" s="717"/>
      <c r="CS2299" s="717"/>
      <c r="CT2299" s="717"/>
      <c r="CU2299" s="717"/>
      <c r="CV2299" s="717"/>
      <c r="CW2299" s="717"/>
      <c r="CX2299" s="717"/>
      <c r="CY2299" s="717"/>
      <c r="CZ2299" s="717"/>
      <c r="DA2299" s="717"/>
      <c r="DB2299" s="717"/>
      <c r="DC2299" s="717"/>
      <c r="DD2299" s="717"/>
      <c r="DE2299" s="717"/>
      <c r="DF2299" s="717"/>
      <c r="DG2299" s="717"/>
      <c r="DH2299" s="717"/>
      <c r="DI2299" s="717"/>
      <c r="DJ2299" s="717"/>
      <c r="DM2299" s="711"/>
      <c r="DN2299" s="711"/>
      <c r="DO2299" s="711"/>
      <c r="DP2299" s="711"/>
      <c r="DQ2299" s="711"/>
    </row>
    <row r="2300" spans="13:121" s="709" customFormat="1" hidden="1">
      <c r="M2300" s="710"/>
      <c r="P2300" s="711"/>
      <c r="Q2300" s="712"/>
      <c r="U2300" s="711"/>
      <c r="V2300" s="711"/>
      <c r="W2300" s="711"/>
      <c r="X2300" s="711"/>
      <c r="Y2300" s="711"/>
      <c r="Z2300" s="711"/>
      <c r="AU2300" s="713"/>
      <c r="AW2300" s="712"/>
      <c r="BY2300" s="714"/>
      <c r="BZ2300" s="715"/>
      <c r="CA2300" s="716"/>
      <c r="CB2300" s="717"/>
      <c r="CC2300" s="717"/>
      <c r="CD2300" s="717"/>
      <c r="CE2300" s="717"/>
      <c r="CF2300" s="717"/>
      <c r="CG2300" s="717"/>
      <c r="CH2300" s="717"/>
      <c r="CI2300" s="717"/>
      <c r="CJ2300" s="717"/>
      <c r="CK2300" s="717"/>
      <c r="CL2300" s="717"/>
      <c r="CM2300" s="717"/>
      <c r="CN2300" s="717"/>
      <c r="CO2300" s="717"/>
      <c r="CP2300" s="717"/>
      <c r="CQ2300" s="717"/>
      <c r="CR2300" s="717"/>
      <c r="CS2300" s="717"/>
      <c r="CT2300" s="717"/>
      <c r="CU2300" s="717"/>
      <c r="CV2300" s="717"/>
      <c r="CW2300" s="717"/>
      <c r="CX2300" s="717"/>
      <c r="CY2300" s="717"/>
      <c r="CZ2300" s="717"/>
      <c r="DA2300" s="717"/>
      <c r="DB2300" s="717"/>
      <c r="DC2300" s="717"/>
      <c r="DD2300" s="717"/>
      <c r="DE2300" s="717"/>
      <c r="DF2300" s="717"/>
      <c r="DG2300" s="717"/>
      <c r="DH2300" s="717"/>
      <c r="DI2300" s="717"/>
      <c r="DJ2300" s="717"/>
      <c r="DM2300" s="711"/>
      <c r="DN2300" s="711"/>
      <c r="DO2300" s="711"/>
      <c r="DP2300" s="711"/>
      <c r="DQ2300" s="711"/>
    </row>
    <row r="2301" spans="13:121" s="709" customFormat="1" hidden="1">
      <c r="M2301" s="710"/>
      <c r="P2301" s="711"/>
      <c r="Q2301" s="712"/>
      <c r="U2301" s="711"/>
      <c r="V2301" s="711"/>
      <c r="W2301" s="711"/>
      <c r="X2301" s="711"/>
      <c r="Y2301" s="711"/>
      <c r="Z2301" s="711"/>
      <c r="AU2301" s="713"/>
      <c r="AW2301" s="712"/>
      <c r="BY2301" s="714"/>
      <c r="BZ2301" s="715"/>
      <c r="CA2301" s="716"/>
      <c r="CB2301" s="717"/>
      <c r="CC2301" s="717"/>
      <c r="CD2301" s="717"/>
      <c r="CE2301" s="717"/>
      <c r="CF2301" s="717"/>
      <c r="CG2301" s="717"/>
      <c r="CH2301" s="717"/>
      <c r="CI2301" s="717"/>
      <c r="CJ2301" s="717"/>
      <c r="CK2301" s="717"/>
      <c r="CL2301" s="717"/>
      <c r="CM2301" s="717"/>
      <c r="CN2301" s="717"/>
      <c r="CO2301" s="717"/>
      <c r="CP2301" s="717"/>
      <c r="CQ2301" s="717"/>
      <c r="CR2301" s="717"/>
      <c r="CS2301" s="717"/>
      <c r="CT2301" s="717"/>
      <c r="CU2301" s="717"/>
      <c r="CV2301" s="717"/>
      <c r="CW2301" s="717"/>
      <c r="CX2301" s="717"/>
      <c r="CY2301" s="717"/>
      <c r="CZ2301" s="717"/>
      <c r="DA2301" s="717"/>
      <c r="DB2301" s="717"/>
      <c r="DC2301" s="717"/>
      <c r="DD2301" s="717"/>
      <c r="DE2301" s="717"/>
      <c r="DF2301" s="717"/>
      <c r="DG2301" s="717"/>
      <c r="DH2301" s="717"/>
      <c r="DI2301" s="717"/>
      <c r="DJ2301" s="717"/>
      <c r="DM2301" s="711"/>
      <c r="DN2301" s="711"/>
      <c r="DO2301" s="711"/>
      <c r="DP2301" s="711"/>
      <c r="DQ2301" s="711"/>
    </row>
    <row r="2302" spans="13:121" s="709" customFormat="1" hidden="1">
      <c r="M2302" s="710"/>
      <c r="P2302" s="711"/>
      <c r="Q2302" s="712"/>
      <c r="U2302" s="711"/>
      <c r="V2302" s="711"/>
      <c r="W2302" s="711"/>
      <c r="X2302" s="711"/>
      <c r="Y2302" s="711"/>
      <c r="Z2302" s="711"/>
      <c r="AU2302" s="713"/>
      <c r="AW2302" s="712"/>
      <c r="BY2302" s="714"/>
      <c r="BZ2302" s="715"/>
      <c r="CA2302" s="716"/>
      <c r="CB2302" s="717"/>
      <c r="CC2302" s="717"/>
      <c r="CD2302" s="717"/>
      <c r="CE2302" s="717"/>
      <c r="CF2302" s="717"/>
      <c r="CG2302" s="717"/>
      <c r="CH2302" s="717"/>
      <c r="CI2302" s="717"/>
      <c r="CJ2302" s="717"/>
      <c r="CK2302" s="717"/>
      <c r="CL2302" s="717"/>
      <c r="CM2302" s="717"/>
      <c r="CN2302" s="717"/>
      <c r="CO2302" s="717"/>
      <c r="CP2302" s="717"/>
      <c r="CQ2302" s="717"/>
      <c r="CR2302" s="717"/>
      <c r="CS2302" s="717"/>
      <c r="CT2302" s="717"/>
      <c r="CU2302" s="717"/>
      <c r="CV2302" s="717"/>
      <c r="CW2302" s="717"/>
      <c r="CX2302" s="717"/>
      <c r="CY2302" s="717"/>
      <c r="CZ2302" s="717"/>
      <c r="DA2302" s="717"/>
      <c r="DB2302" s="717"/>
      <c r="DC2302" s="717"/>
      <c r="DD2302" s="717"/>
      <c r="DE2302" s="717"/>
      <c r="DF2302" s="717"/>
      <c r="DG2302" s="717"/>
      <c r="DH2302" s="717"/>
      <c r="DI2302" s="717"/>
      <c r="DJ2302" s="717"/>
      <c r="DM2302" s="711"/>
      <c r="DN2302" s="711"/>
      <c r="DO2302" s="711"/>
      <c r="DP2302" s="711"/>
      <c r="DQ2302" s="711"/>
    </row>
    <row r="2303" spans="13:121" s="709" customFormat="1" hidden="1">
      <c r="M2303" s="710"/>
      <c r="P2303" s="711"/>
      <c r="Q2303" s="712"/>
      <c r="U2303" s="711"/>
      <c r="V2303" s="711"/>
      <c r="W2303" s="711"/>
      <c r="X2303" s="711"/>
      <c r="Y2303" s="711"/>
      <c r="Z2303" s="711"/>
      <c r="AU2303" s="713"/>
      <c r="AW2303" s="712"/>
      <c r="BY2303" s="714"/>
      <c r="BZ2303" s="715"/>
      <c r="CA2303" s="716"/>
      <c r="CB2303" s="717"/>
      <c r="CC2303" s="717"/>
      <c r="CD2303" s="717"/>
      <c r="CE2303" s="717"/>
      <c r="CF2303" s="717"/>
      <c r="CG2303" s="717"/>
      <c r="CH2303" s="717"/>
      <c r="CI2303" s="717"/>
      <c r="CJ2303" s="717"/>
      <c r="CK2303" s="717"/>
      <c r="CL2303" s="717"/>
      <c r="CM2303" s="717"/>
      <c r="CN2303" s="717"/>
      <c r="CO2303" s="717"/>
      <c r="CP2303" s="717"/>
      <c r="CQ2303" s="717"/>
      <c r="CR2303" s="717"/>
      <c r="CS2303" s="717"/>
      <c r="CT2303" s="717"/>
      <c r="CU2303" s="717"/>
      <c r="CV2303" s="717"/>
      <c r="CW2303" s="717"/>
      <c r="CX2303" s="717"/>
      <c r="CY2303" s="717"/>
      <c r="CZ2303" s="717"/>
      <c r="DA2303" s="717"/>
      <c r="DB2303" s="717"/>
      <c r="DC2303" s="717"/>
      <c r="DD2303" s="717"/>
      <c r="DE2303" s="717"/>
      <c r="DF2303" s="717"/>
      <c r="DG2303" s="717"/>
      <c r="DH2303" s="717"/>
      <c r="DI2303" s="717"/>
      <c r="DJ2303" s="717"/>
      <c r="DM2303" s="711"/>
      <c r="DN2303" s="711"/>
      <c r="DO2303" s="711"/>
      <c r="DP2303" s="711"/>
      <c r="DQ2303" s="711"/>
    </row>
    <row r="2304" spans="13:121" s="709" customFormat="1" hidden="1">
      <c r="M2304" s="710"/>
      <c r="P2304" s="711"/>
      <c r="Q2304" s="712"/>
      <c r="U2304" s="711"/>
      <c r="V2304" s="711"/>
      <c r="W2304" s="711"/>
      <c r="X2304" s="711"/>
      <c r="Y2304" s="711"/>
      <c r="Z2304" s="711"/>
      <c r="AU2304" s="713"/>
      <c r="AW2304" s="712"/>
      <c r="BY2304" s="714"/>
      <c r="BZ2304" s="715"/>
      <c r="CA2304" s="716"/>
      <c r="CB2304" s="717"/>
      <c r="CC2304" s="717"/>
      <c r="CD2304" s="717"/>
      <c r="CE2304" s="717"/>
      <c r="CF2304" s="717"/>
      <c r="CG2304" s="717"/>
      <c r="CH2304" s="717"/>
      <c r="CI2304" s="717"/>
      <c r="CJ2304" s="717"/>
      <c r="CK2304" s="717"/>
      <c r="CL2304" s="717"/>
      <c r="CM2304" s="717"/>
      <c r="CN2304" s="717"/>
      <c r="CO2304" s="717"/>
      <c r="CP2304" s="717"/>
      <c r="CQ2304" s="717"/>
      <c r="CR2304" s="717"/>
      <c r="CS2304" s="717"/>
      <c r="CT2304" s="717"/>
      <c r="CU2304" s="717"/>
      <c r="CV2304" s="717"/>
      <c r="CW2304" s="717"/>
      <c r="CX2304" s="717"/>
      <c r="CY2304" s="717"/>
      <c r="CZ2304" s="717"/>
      <c r="DA2304" s="717"/>
      <c r="DB2304" s="717"/>
      <c r="DC2304" s="717"/>
      <c r="DD2304" s="717"/>
      <c r="DE2304" s="717"/>
      <c r="DF2304" s="717"/>
      <c r="DG2304" s="717"/>
      <c r="DH2304" s="717"/>
      <c r="DI2304" s="717"/>
      <c r="DJ2304" s="717"/>
      <c r="DM2304" s="711"/>
      <c r="DN2304" s="711"/>
      <c r="DO2304" s="711"/>
      <c r="DP2304" s="711"/>
      <c r="DQ2304" s="711"/>
    </row>
    <row r="2305" spans="13:121" s="709" customFormat="1" hidden="1">
      <c r="M2305" s="710"/>
      <c r="P2305" s="711"/>
      <c r="Q2305" s="712"/>
      <c r="U2305" s="711"/>
      <c r="V2305" s="711"/>
      <c r="W2305" s="711"/>
      <c r="X2305" s="711"/>
      <c r="Y2305" s="711"/>
      <c r="Z2305" s="711"/>
      <c r="AU2305" s="713"/>
      <c r="AW2305" s="712"/>
      <c r="BY2305" s="714"/>
      <c r="BZ2305" s="715"/>
      <c r="CA2305" s="716"/>
      <c r="CB2305" s="717"/>
      <c r="CC2305" s="717"/>
      <c r="CD2305" s="717"/>
      <c r="CE2305" s="717"/>
      <c r="CF2305" s="717"/>
      <c r="CG2305" s="717"/>
      <c r="CH2305" s="717"/>
      <c r="CI2305" s="717"/>
      <c r="CJ2305" s="717"/>
      <c r="CK2305" s="717"/>
      <c r="CL2305" s="717"/>
      <c r="CM2305" s="717"/>
      <c r="CN2305" s="717"/>
      <c r="CO2305" s="717"/>
      <c r="CP2305" s="717"/>
      <c r="CQ2305" s="717"/>
      <c r="CR2305" s="717"/>
      <c r="CS2305" s="717"/>
      <c r="CT2305" s="717"/>
      <c r="CU2305" s="717"/>
      <c r="CV2305" s="717"/>
      <c r="CW2305" s="717"/>
      <c r="CX2305" s="717"/>
      <c r="CY2305" s="717"/>
      <c r="CZ2305" s="717"/>
      <c r="DA2305" s="717"/>
      <c r="DB2305" s="717"/>
      <c r="DC2305" s="717"/>
      <c r="DD2305" s="717"/>
      <c r="DE2305" s="717"/>
      <c r="DF2305" s="717"/>
      <c r="DG2305" s="717"/>
      <c r="DH2305" s="717"/>
      <c r="DI2305" s="717"/>
      <c r="DJ2305" s="717"/>
      <c r="DM2305" s="711"/>
      <c r="DN2305" s="711"/>
      <c r="DO2305" s="711"/>
      <c r="DP2305" s="711"/>
      <c r="DQ2305" s="711"/>
    </row>
    <row r="2306" spans="13:121" s="709" customFormat="1" hidden="1">
      <c r="M2306" s="710"/>
      <c r="P2306" s="711"/>
      <c r="Q2306" s="712"/>
      <c r="U2306" s="711"/>
      <c r="V2306" s="711"/>
      <c r="W2306" s="711"/>
      <c r="X2306" s="711"/>
      <c r="Y2306" s="711"/>
      <c r="Z2306" s="711"/>
      <c r="AU2306" s="713"/>
      <c r="AW2306" s="712"/>
      <c r="BY2306" s="714"/>
      <c r="BZ2306" s="715"/>
      <c r="CA2306" s="716"/>
      <c r="CB2306" s="717"/>
      <c r="CC2306" s="717"/>
      <c r="CD2306" s="717"/>
      <c r="CE2306" s="717"/>
      <c r="CF2306" s="717"/>
      <c r="CG2306" s="717"/>
      <c r="CH2306" s="717"/>
      <c r="CI2306" s="717"/>
      <c r="CJ2306" s="717"/>
      <c r="CK2306" s="717"/>
      <c r="CL2306" s="717"/>
      <c r="CM2306" s="717"/>
      <c r="CN2306" s="717"/>
      <c r="CO2306" s="717"/>
      <c r="CP2306" s="717"/>
      <c r="CQ2306" s="717"/>
      <c r="CR2306" s="717"/>
      <c r="CS2306" s="717"/>
      <c r="CT2306" s="717"/>
      <c r="CU2306" s="717"/>
      <c r="CV2306" s="717"/>
      <c r="CW2306" s="717"/>
      <c r="CX2306" s="717"/>
      <c r="CY2306" s="717"/>
      <c r="CZ2306" s="717"/>
      <c r="DA2306" s="717"/>
      <c r="DB2306" s="717"/>
      <c r="DC2306" s="717"/>
      <c r="DD2306" s="717"/>
      <c r="DE2306" s="717"/>
      <c r="DF2306" s="717"/>
      <c r="DG2306" s="717"/>
      <c r="DH2306" s="717"/>
      <c r="DI2306" s="717"/>
      <c r="DJ2306" s="717"/>
      <c r="DM2306" s="711"/>
      <c r="DN2306" s="711"/>
      <c r="DO2306" s="711"/>
      <c r="DP2306" s="711"/>
      <c r="DQ2306" s="711"/>
    </row>
    <row r="2307" spans="13:121" s="709" customFormat="1" hidden="1">
      <c r="M2307" s="710"/>
      <c r="P2307" s="711"/>
      <c r="Q2307" s="712"/>
      <c r="U2307" s="711"/>
      <c r="V2307" s="711"/>
      <c r="W2307" s="711"/>
      <c r="X2307" s="711"/>
      <c r="Y2307" s="711"/>
      <c r="Z2307" s="711"/>
      <c r="AU2307" s="713"/>
      <c r="AW2307" s="712"/>
      <c r="BY2307" s="714"/>
      <c r="BZ2307" s="715"/>
      <c r="CA2307" s="716"/>
      <c r="CB2307" s="717"/>
      <c r="CC2307" s="717"/>
      <c r="CD2307" s="717"/>
      <c r="CE2307" s="717"/>
      <c r="CF2307" s="717"/>
      <c r="CG2307" s="717"/>
      <c r="CH2307" s="717"/>
      <c r="CI2307" s="717"/>
      <c r="CJ2307" s="717"/>
      <c r="CK2307" s="717"/>
      <c r="CL2307" s="717"/>
      <c r="CM2307" s="717"/>
      <c r="CN2307" s="717"/>
      <c r="CO2307" s="717"/>
      <c r="CP2307" s="717"/>
      <c r="CQ2307" s="717"/>
      <c r="CR2307" s="717"/>
      <c r="CS2307" s="717"/>
      <c r="CT2307" s="717"/>
      <c r="CU2307" s="717"/>
      <c r="CV2307" s="717"/>
      <c r="CW2307" s="717"/>
      <c r="CX2307" s="717"/>
      <c r="CY2307" s="717"/>
      <c r="CZ2307" s="717"/>
      <c r="DA2307" s="717"/>
      <c r="DB2307" s="717"/>
      <c r="DC2307" s="717"/>
      <c r="DD2307" s="717"/>
      <c r="DE2307" s="717"/>
      <c r="DF2307" s="717"/>
      <c r="DG2307" s="717"/>
      <c r="DH2307" s="717"/>
      <c r="DI2307" s="717"/>
      <c r="DJ2307" s="717"/>
      <c r="DM2307" s="711"/>
      <c r="DN2307" s="711"/>
      <c r="DO2307" s="711"/>
      <c r="DP2307" s="711"/>
      <c r="DQ2307" s="711"/>
    </row>
    <row r="2308" spans="13:121" s="709" customFormat="1" hidden="1">
      <c r="M2308" s="710"/>
      <c r="P2308" s="711"/>
      <c r="Q2308" s="712"/>
      <c r="U2308" s="711"/>
      <c r="V2308" s="711"/>
      <c r="W2308" s="711"/>
      <c r="X2308" s="711"/>
      <c r="Y2308" s="711"/>
      <c r="Z2308" s="711"/>
      <c r="AU2308" s="713"/>
      <c r="AW2308" s="712"/>
      <c r="BY2308" s="714"/>
      <c r="BZ2308" s="715"/>
      <c r="CA2308" s="716"/>
      <c r="CB2308" s="717"/>
      <c r="CC2308" s="717"/>
      <c r="CD2308" s="717"/>
      <c r="CE2308" s="717"/>
      <c r="CF2308" s="717"/>
      <c r="CG2308" s="717"/>
      <c r="CH2308" s="717"/>
      <c r="CI2308" s="717"/>
      <c r="CJ2308" s="717"/>
      <c r="CK2308" s="717"/>
      <c r="CL2308" s="717"/>
      <c r="CM2308" s="717"/>
      <c r="CN2308" s="717"/>
      <c r="CO2308" s="717"/>
      <c r="CP2308" s="717"/>
      <c r="CQ2308" s="717"/>
      <c r="CR2308" s="717"/>
      <c r="CS2308" s="717"/>
      <c r="CT2308" s="717"/>
      <c r="CU2308" s="717"/>
      <c r="CV2308" s="717"/>
      <c r="CW2308" s="717"/>
      <c r="CX2308" s="717"/>
      <c r="CY2308" s="717"/>
      <c r="CZ2308" s="717"/>
      <c r="DA2308" s="717"/>
      <c r="DB2308" s="717"/>
      <c r="DC2308" s="717"/>
      <c r="DD2308" s="717"/>
      <c r="DE2308" s="717"/>
      <c r="DF2308" s="717"/>
      <c r="DG2308" s="717"/>
      <c r="DH2308" s="717"/>
      <c r="DI2308" s="717"/>
      <c r="DJ2308" s="717"/>
      <c r="DM2308" s="711"/>
      <c r="DN2308" s="711"/>
      <c r="DO2308" s="711"/>
      <c r="DP2308" s="711"/>
      <c r="DQ2308" s="711"/>
    </row>
    <row r="2309" spans="13:121" s="709" customFormat="1" hidden="1">
      <c r="M2309" s="710"/>
      <c r="P2309" s="711"/>
      <c r="Q2309" s="712"/>
      <c r="U2309" s="711"/>
      <c r="V2309" s="711"/>
      <c r="W2309" s="711"/>
      <c r="X2309" s="711"/>
      <c r="Y2309" s="711"/>
      <c r="Z2309" s="711"/>
      <c r="AU2309" s="713"/>
      <c r="AW2309" s="712"/>
      <c r="BY2309" s="714"/>
      <c r="BZ2309" s="715"/>
      <c r="CA2309" s="716"/>
      <c r="CB2309" s="717"/>
      <c r="CC2309" s="717"/>
      <c r="CD2309" s="717"/>
      <c r="CE2309" s="717"/>
      <c r="CF2309" s="717"/>
      <c r="CG2309" s="717"/>
      <c r="CH2309" s="717"/>
      <c r="CI2309" s="717"/>
      <c r="CJ2309" s="717"/>
      <c r="CK2309" s="717"/>
      <c r="CL2309" s="717"/>
      <c r="CM2309" s="717"/>
      <c r="CN2309" s="717"/>
      <c r="CO2309" s="717"/>
      <c r="CP2309" s="717"/>
      <c r="CQ2309" s="717"/>
      <c r="CR2309" s="717"/>
      <c r="CS2309" s="717"/>
      <c r="CT2309" s="717"/>
      <c r="CU2309" s="717"/>
      <c r="CV2309" s="717"/>
      <c r="CW2309" s="717"/>
      <c r="CX2309" s="717"/>
      <c r="CY2309" s="717"/>
      <c r="CZ2309" s="717"/>
      <c r="DA2309" s="717"/>
      <c r="DB2309" s="717"/>
      <c r="DC2309" s="717"/>
      <c r="DD2309" s="717"/>
      <c r="DE2309" s="717"/>
      <c r="DF2309" s="717"/>
      <c r="DG2309" s="717"/>
      <c r="DH2309" s="717"/>
      <c r="DI2309" s="717"/>
      <c r="DJ2309" s="717"/>
      <c r="DM2309" s="711"/>
      <c r="DN2309" s="711"/>
      <c r="DO2309" s="711"/>
      <c r="DP2309" s="711"/>
      <c r="DQ2309" s="711"/>
    </row>
    <row r="2310" spans="13:121" s="709" customFormat="1" hidden="1">
      <c r="M2310" s="710"/>
      <c r="P2310" s="711"/>
      <c r="Q2310" s="712"/>
      <c r="U2310" s="711"/>
      <c r="V2310" s="711"/>
      <c r="W2310" s="711"/>
      <c r="X2310" s="711"/>
      <c r="Y2310" s="711"/>
      <c r="Z2310" s="711"/>
      <c r="AU2310" s="713"/>
      <c r="AW2310" s="712"/>
      <c r="BY2310" s="714"/>
      <c r="BZ2310" s="715"/>
      <c r="CA2310" s="716"/>
      <c r="CB2310" s="717"/>
      <c r="CC2310" s="717"/>
      <c r="CD2310" s="717"/>
      <c r="CE2310" s="717"/>
      <c r="CF2310" s="717"/>
      <c r="CG2310" s="717"/>
      <c r="CH2310" s="717"/>
      <c r="CI2310" s="717"/>
      <c r="CJ2310" s="717"/>
      <c r="CK2310" s="717"/>
      <c r="CL2310" s="717"/>
      <c r="CM2310" s="717"/>
      <c r="CN2310" s="717"/>
      <c r="CO2310" s="717"/>
      <c r="CP2310" s="717"/>
      <c r="CQ2310" s="717"/>
      <c r="CR2310" s="717"/>
      <c r="CS2310" s="717"/>
      <c r="CT2310" s="717"/>
      <c r="CU2310" s="717"/>
      <c r="CV2310" s="717"/>
      <c r="CW2310" s="717"/>
      <c r="CX2310" s="717"/>
      <c r="CY2310" s="717"/>
      <c r="CZ2310" s="717"/>
      <c r="DA2310" s="717"/>
      <c r="DB2310" s="717"/>
      <c r="DC2310" s="717"/>
      <c r="DD2310" s="717"/>
      <c r="DE2310" s="717"/>
      <c r="DF2310" s="717"/>
      <c r="DG2310" s="717"/>
      <c r="DH2310" s="717"/>
      <c r="DI2310" s="717"/>
      <c r="DJ2310" s="717"/>
      <c r="DM2310" s="711"/>
      <c r="DN2310" s="711"/>
      <c r="DO2310" s="711"/>
      <c r="DP2310" s="711"/>
      <c r="DQ2310" s="711"/>
    </row>
    <row r="2311" spans="13:121" s="709" customFormat="1" hidden="1">
      <c r="M2311" s="710"/>
      <c r="P2311" s="711"/>
      <c r="Q2311" s="712"/>
      <c r="U2311" s="711"/>
      <c r="V2311" s="711"/>
      <c r="W2311" s="711"/>
      <c r="X2311" s="711"/>
      <c r="Y2311" s="711"/>
      <c r="Z2311" s="711"/>
      <c r="AU2311" s="713"/>
      <c r="AW2311" s="712"/>
      <c r="BY2311" s="714"/>
      <c r="BZ2311" s="715"/>
      <c r="CA2311" s="716"/>
      <c r="CB2311" s="717"/>
      <c r="CC2311" s="717"/>
      <c r="CD2311" s="717"/>
      <c r="CE2311" s="717"/>
      <c r="CF2311" s="717"/>
      <c r="CG2311" s="717"/>
      <c r="CH2311" s="717"/>
      <c r="CI2311" s="717"/>
      <c r="CJ2311" s="717"/>
      <c r="CK2311" s="717"/>
      <c r="CL2311" s="717"/>
      <c r="CM2311" s="717"/>
      <c r="CN2311" s="717"/>
      <c r="CO2311" s="717"/>
      <c r="CP2311" s="717"/>
      <c r="CQ2311" s="717"/>
      <c r="CR2311" s="717"/>
      <c r="CS2311" s="717"/>
      <c r="CT2311" s="717"/>
      <c r="CU2311" s="717"/>
      <c r="CV2311" s="717"/>
      <c r="CW2311" s="717"/>
      <c r="CX2311" s="717"/>
      <c r="CY2311" s="717"/>
      <c r="CZ2311" s="717"/>
      <c r="DA2311" s="717"/>
      <c r="DB2311" s="717"/>
      <c r="DC2311" s="717"/>
      <c r="DD2311" s="717"/>
      <c r="DE2311" s="717"/>
      <c r="DF2311" s="717"/>
      <c r="DG2311" s="717"/>
      <c r="DH2311" s="717"/>
      <c r="DI2311" s="717"/>
      <c r="DJ2311" s="717"/>
      <c r="DM2311" s="711"/>
      <c r="DN2311" s="711"/>
      <c r="DO2311" s="711"/>
      <c r="DP2311" s="711"/>
      <c r="DQ2311" s="711"/>
    </row>
    <row r="2312" spans="13:121" s="709" customFormat="1" hidden="1">
      <c r="M2312" s="710"/>
      <c r="P2312" s="711"/>
      <c r="Q2312" s="712"/>
      <c r="U2312" s="711"/>
      <c r="V2312" s="711"/>
      <c r="W2312" s="711"/>
      <c r="X2312" s="711"/>
      <c r="Y2312" s="711"/>
      <c r="Z2312" s="711"/>
      <c r="AU2312" s="713"/>
      <c r="AW2312" s="712"/>
      <c r="BY2312" s="714"/>
      <c r="BZ2312" s="715"/>
      <c r="CA2312" s="716"/>
      <c r="CB2312" s="717"/>
      <c r="CC2312" s="717"/>
      <c r="CD2312" s="717"/>
      <c r="CE2312" s="717"/>
      <c r="CF2312" s="717"/>
      <c r="CG2312" s="717"/>
      <c r="CH2312" s="717"/>
      <c r="CI2312" s="717"/>
      <c r="CJ2312" s="717"/>
      <c r="CK2312" s="717"/>
      <c r="CL2312" s="717"/>
      <c r="CM2312" s="717"/>
      <c r="CN2312" s="717"/>
      <c r="CO2312" s="717"/>
      <c r="CP2312" s="717"/>
      <c r="CQ2312" s="717"/>
      <c r="CR2312" s="717"/>
      <c r="CS2312" s="717"/>
      <c r="CT2312" s="717"/>
      <c r="CU2312" s="717"/>
      <c r="CV2312" s="717"/>
      <c r="CW2312" s="717"/>
      <c r="CX2312" s="717"/>
      <c r="CY2312" s="717"/>
      <c r="CZ2312" s="717"/>
      <c r="DA2312" s="717"/>
      <c r="DB2312" s="717"/>
      <c r="DC2312" s="717"/>
      <c r="DD2312" s="717"/>
      <c r="DE2312" s="717"/>
      <c r="DF2312" s="717"/>
      <c r="DG2312" s="717"/>
      <c r="DH2312" s="717"/>
      <c r="DI2312" s="717"/>
      <c r="DJ2312" s="717"/>
      <c r="DM2312" s="711"/>
      <c r="DN2312" s="711"/>
      <c r="DO2312" s="711"/>
      <c r="DP2312" s="711"/>
      <c r="DQ2312" s="711"/>
    </row>
    <row r="2313" spans="13:121" s="709" customFormat="1" hidden="1">
      <c r="M2313" s="710"/>
      <c r="P2313" s="711"/>
      <c r="Q2313" s="712"/>
      <c r="U2313" s="711"/>
      <c r="V2313" s="711"/>
      <c r="W2313" s="711"/>
      <c r="X2313" s="711"/>
      <c r="Y2313" s="711"/>
      <c r="Z2313" s="711"/>
      <c r="AU2313" s="713"/>
      <c r="AW2313" s="712"/>
      <c r="BY2313" s="714"/>
      <c r="BZ2313" s="715"/>
      <c r="CA2313" s="716"/>
      <c r="CB2313" s="717"/>
      <c r="CC2313" s="717"/>
      <c r="CD2313" s="717"/>
      <c r="CE2313" s="717"/>
      <c r="CF2313" s="717"/>
      <c r="CG2313" s="717"/>
      <c r="CH2313" s="717"/>
      <c r="CI2313" s="717"/>
      <c r="CJ2313" s="717"/>
      <c r="CK2313" s="717"/>
      <c r="CL2313" s="717"/>
      <c r="CM2313" s="717"/>
      <c r="CN2313" s="717"/>
      <c r="CO2313" s="717"/>
      <c r="CP2313" s="717"/>
      <c r="CQ2313" s="717"/>
      <c r="CR2313" s="717"/>
      <c r="CS2313" s="717"/>
      <c r="CT2313" s="717"/>
      <c r="CU2313" s="717"/>
      <c r="CV2313" s="717"/>
      <c r="CW2313" s="717"/>
      <c r="CX2313" s="717"/>
      <c r="CY2313" s="717"/>
      <c r="CZ2313" s="717"/>
      <c r="DA2313" s="717"/>
      <c r="DB2313" s="717"/>
      <c r="DC2313" s="717"/>
      <c r="DD2313" s="717"/>
      <c r="DE2313" s="717"/>
      <c r="DF2313" s="717"/>
      <c r="DG2313" s="717"/>
      <c r="DH2313" s="717"/>
      <c r="DI2313" s="717"/>
      <c r="DJ2313" s="717"/>
      <c r="DM2313" s="711"/>
      <c r="DN2313" s="711"/>
      <c r="DO2313" s="711"/>
      <c r="DP2313" s="711"/>
      <c r="DQ2313" s="711"/>
    </row>
    <row r="2314" spans="13:121" s="709" customFormat="1" hidden="1">
      <c r="M2314" s="710"/>
      <c r="P2314" s="711"/>
      <c r="Q2314" s="712"/>
      <c r="U2314" s="711"/>
      <c r="V2314" s="711"/>
      <c r="W2314" s="711"/>
      <c r="X2314" s="711"/>
      <c r="Y2314" s="711"/>
      <c r="Z2314" s="711"/>
      <c r="AU2314" s="713"/>
      <c r="AW2314" s="712"/>
      <c r="BY2314" s="714"/>
      <c r="BZ2314" s="715"/>
      <c r="CA2314" s="716"/>
      <c r="CB2314" s="717"/>
      <c r="CC2314" s="717"/>
      <c r="CD2314" s="717"/>
      <c r="CE2314" s="717"/>
      <c r="CF2314" s="717"/>
      <c r="CG2314" s="717"/>
      <c r="CH2314" s="717"/>
      <c r="CI2314" s="717"/>
      <c r="CJ2314" s="717"/>
      <c r="CK2314" s="717"/>
      <c r="CL2314" s="717"/>
      <c r="CM2314" s="717"/>
      <c r="CN2314" s="717"/>
      <c r="CO2314" s="717"/>
      <c r="CP2314" s="717"/>
      <c r="CQ2314" s="717"/>
      <c r="CR2314" s="717"/>
      <c r="CS2314" s="717"/>
      <c r="CT2314" s="717"/>
      <c r="CU2314" s="717"/>
      <c r="CV2314" s="717"/>
      <c r="CW2314" s="717"/>
      <c r="CX2314" s="717"/>
      <c r="CY2314" s="717"/>
      <c r="CZ2314" s="717"/>
      <c r="DA2314" s="717"/>
      <c r="DB2314" s="717"/>
      <c r="DC2314" s="717"/>
      <c r="DD2314" s="717"/>
      <c r="DE2314" s="717"/>
      <c r="DF2314" s="717"/>
      <c r="DG2314" s="717"/>
      <c r="DH2314" s="717"/>
      <c r="DI2314" s="717"/>
      <c r="DJ2314" s="717"/>
      <c r="DM2314" s="711"/>
      <c r="DN2314" s="711"/>
      <c r="DO2314" s="711"/>
      <c r="DP2314" s="711"/>
      <c r="DQ2314" s="711"/>
    </row>
    <row r="2315" spans="13:121" s="709" customFormat="1" hidden="1">
      <c r="M2315" s="710"/>
      <c r="P2315" s="711"/>
      <c r="Q2315" s="712"/>
      <c r="U2315" s="711"/>
      <c r="V2315" s="711"/>
      <c r="W2315" s="711"/>
      <c r="X2315" s="711"/>
      <c r="Y2315" s="711"/>
      <c r="Z2315" s="711"/>
      <c r="AU2315" s="713"/>
      <c r="AW2315" s="712"/>
      <c r="BY2315" s="714"/>
      <c r="BZ2315" s="715"/>
      <c r="CA2315" s="716"/>
      <c r="CB2315" s="717"/>
      <c r="CC2315" s="717"/>
      <c r="CD2315" s="717"/>
      <c r="CE2315" s="717"/>
      <c r="CF2315" s="717"/>
      <c r="CG2315" s="717"/>
      <c r="CH2315" s="717"/>
      <c r="CI2315" s="717"/>
      <c r="CJ2315" s="717"/>
      <c r="CK2315" s="717"/>
      <c r="CL2315" s="717"/>
      <c r="CM2315" s="717"/>
      <c r="CN2315" s="717"/>
      <c r="CO2315" s="717"/>
      <c r="CP2315" s="717"/>
      <c r="CQ2315" s="717"/>
      <c r="CR2315" s="717"/>
      <c r="CS2315" s="717"/>
      <c r="CT2315" s="717"/>
      <c r="CU2315" s="717"/>
      <c r="CV2315" s="717"/>
      <c r="CW2315" s="717"/>
      <c r="CX2315" s="717"/>
      <c r="CY2315" s="717"/>
      <c r="CZ2315" s="717"/>
      <c r="DA2315" s="717"/>
      <c r="DB2315" s="717"/>
      <c r="DC2315" s="717"/>
      <c r="DD2315" s="717"/>
      <c r="DE2315" s="717"/>
      <c r="DF2315" s="717"/>
      <c r="DG2315" s="717"/>
      <c r="DH2315" s="717"/>
      <c r="DI2315" s="717"/>
      <c r="DJ2315" s="717"/>
      <c r="DM2315" s="711"/>
      <c r="DN2315" s="711"/>
      <c r="DO2315" s="711"/>
      <c r="DP2315" s="711"/>
      <c r="DQ2315" s="711"/>
    </row>
    <row r="2316" spans="13:121" s="709" customFormat="1" hidden="1">
      <c r="M2316" s="710"/>
      <c r="P2316" s="711"/>
      <c r="Q2316" s="712"/>
      <c r="U2316" s="711"/>
      <c r="V2316" s="711"/>
      <c r="W2316" s="711"/>
      <c r="X2316" s="711"/>
      <c r="Y2316" s="711"/>
      <c r="Z2316" s="711"/>
      <c r="AU2316" s="713"/>
      <c r="AW2316" s="712"/>
      <c r="BY2316" s="714"/>
      <c r="BZ2316" s="715"/>
      <c r="CA2316" s="716"/>
      <c r="CB2316" s="717"/>
      <c r="CC2316" s="717"/>
      <c r="CD2316" s="717"/>
      <c r="CE2316" s="717"/>
      <c r="CF2316" s="717"/>
      <c r="CG2316" s="717"/>
      <c r="CH2316" s="717"/>
      <c r="CI2316" s="717"/>
      <c r="CJ2316" s="717"/>
      <c r="CK2316" s="717"/>
      <c r="CL2316" s="717"/>
      <c r="CM2316" s="717"/>
      <c r="CN2316" s="717"/>
      <c r="CO2316" s="717"/>
      <c r="CP2316" s="717"/>
      <c r="CQ2316" s="717"/>
      <c r="CR2316" s="717"/>
      <c r="CS2316" s="717"/>
      <c r="CT2316" s="717"/>
      <c r="CU2316" s="717"/>
      <c r="CV2316" s="717"/>
      <c r="CW2316" s="717"/>
      <c r="CX2316" s="717"/>
      <c r="CY2316" s="717"/>
      <c r="CZ2316" s="717"/>
      <c r="DA2316" s="717"/>
      <c r="DB2316" s="717"/>
      <c r="DC2316" s="717"/>
      <c r="DD2316" s="717"/>
      <c r="DE2316" s="717"/>
      <c r="DF2316" s="717"/>
      <c r="DG2316" s="717"/>
      <c r="DH2316" s="717"/>
      <c r="DI2316" s="717"/>
      <c r="DJ2316" s="717"/>
      <c r="DM2316" s="711"/>
      <c r="DN2316" s="711"/>
      <c r="DO2316" s="711"/>
      <c r="DP2316" s="711"/>
      <c r="DQ2316" s="711"/>
    </row>
    <row r="2317" spans="13:121" s="709" customFormat="1" hidden="1">
      <c r="M2317" s="710"/>
      <c r="P2317" s="711"/>
      <c r="Q2317" s="712"/>
      <c r="U2317" s="711"/>
      <c r="V2317" s="711"/>
      <c r="W2317" s="711"/>
      <c r="X2317" s="711"/>
      <c r="Y2317" s="711"/>
      <c r="Z2317" s="711"/>
      <c r="AU2317" s="713"/>
      <c r="AW2317" s="712"/>
      <c r="BY2317" s="714"/>
      <c r="BZ2317" s="715"/>
      <c r="CA2317" s="716"/>
      <c r="CB2317" s="717"/>
      <c r="CC2317" s="717"/>
      <c r="CD2317" s="717"/>
      <c r="CE2317" s="717"/>
      <c r="CF2317" s="717"/>
      <c r="CG2317" s="717"/>
      <c r="CH2317" s="717"/>
      <c r="CI2317" s="717"/>
      <c r="CJ2317" s="717"/>
      <c r="CK2317" s="717"/>
      <c r="CL2317" s="717"/>
      <c r="CM2317" s="717"/>
      <c r="CN2317" s="717"/>
      <c r="CO2317" s="717"/>
      <c r="CP2317" s="717"/>
      <c r="CQ2317" s="717"/>
      <c r="CR2317" s="717"/>
      <c r="CS2317" s="717"/>
      <c r="CT2317" s="717"/>
      <c r="CU2317" s="717"/>
      <c r="CV2317" s="717"/>
      <c r="CW2317" s="717"/>
      <c r="CX2317" s="717"/>
      <c r="CY2317" s="717"/>
      <c r="CZ2317" s="717"/>
      <c r="DA2317" s="717"/>
      <c r="DB2317" s="717"/>
      <c r="DC2317" s="717"/>
      <c r="DD2317" s="717"/>
      <c r="DE2317" s="717"/>
      <c r="DF2317" s="717"/>
      <c r="DG2317" s="717"/>
      <c r="DH2317" s="717"/>
      <c r="DI2317" s="717"/>
      <c r="DJ2317" s="717"/>
      <c r="DM2317" s="711"/>
      <c r="DN2317" s="711"/>
      <c r="DO2317" s="711"/>
      <c r="DP2317" s="711"/>
      <c r="DQ2317" s="711"/>
    </row>
    <row r="2318" spans="13:121" s="709" customFormat="1" hidden="1">
      <c r="M2318" s="710"/>
      <c r="P2318" s="711"/>
      <c r="Q2318" s="712"/>
      <c r="U2318" s="711"/>
      <c r="V2318" s="711"/>
      <c r="W2318" s="711"/>
      <c r="X2318" s="711"/>
      <c r="Y2318" s="711"/>
      <c r="Z2318" s="711"/>
      <c r="AU2318" s="713"/>
      <c r="AW2318" s="712"/>
      <c r="BY2318" s="714"/>
      <c r="BZ2318" s="715"/>
      <c r="CA2318" s="716"/>
      <c r="CB2318" s="717"/>
      <c r="CC2318" s="717"/>
      <c r="CD2318" s="717"/>
      <c r="CE2318" s="717"/>
      <c r="CF2318" s="717"/>
      <c r="CG2318" s="717"/>
      <c r="CH2318" s="717"/>
      <c r="CI2318" s="717"/>
      <c r="CJ2318" s="717"/>
      <c r="CK2318" s="717"/>
      <c r="CL2318" s="717"/>
      <c r="CM2318" s="717"/>
      <c r="CN2318" s="717"/>
      <c r="CO2318" s="717"/>
      <c r="CP2318" s="717"/>
      <c r="CQ2318" s="717"/>
      <c r="CR2318" s="717"/>
      <c r="CS2318" s="717"/>
      <c r="CT2318" s="717"/>
      <c r="CU2318" s="717"/>
      <c r="CV2318" s="717"/>
      <c r="CW2318" s="717"/>
      <c r="CX2318" s="717"/>
      <c r="CY2318" s="717"/>
      <c r="CZ2318" s="717"/>
      <c r="DA2318" s="717"/>
      <c r="DB2318" s="717"/>
      <c r="DC2318" s="717"/>
      <c r="DD2318" s="717"/>
      <c r="DE2318" s="717"/>
      <c r="DF2318" s="717"/>
      <c r="DG2318" s="717"/>
      <c r="DH2318" s="717"/>
      <c r="DI2318" s="717"/>
      <c r="DJ2318" s="717"/>
      <c r="DM2318" s="711"/>
      <c r="DN2318" s="711"/>
      <c r="DO2318" s="711"/>
      <c r="DP2318" s="711"/>
      <c r="DQ2318" s="711"/>
    </row>
    <row r="2319" spans="13:121" s="709" customFormat="1" hidden="1">
      <c r="M2319" s="710"/>
      <c r="P2319" s="711"/>
      <c r="Q2319" s="712"/>
      <c r="U2319" s="711"/>
      <c r="V2319" s="711"/>
      <c r="W2319" s="711"/>
      <c r="X2319" s="711"/>
      <c r="Y2319" s="711"/>
      <c r="Z2319" s="711"/>
      <c r="AU2319" s="713"/>
      <c r="AW2319" s="712"/>
      <c r="BY2319" s="714"/>
      <c r="BZ2319" s="715"/>
      <c r="CA2319" s="716"/>
      <c r="CB2319" s="717"/>
      <c r="CC2319" s="717"/>
      <c r="CD2319" s="717"/>
      <c r="CE2319" s="717"/>
      <c r="CF2319" s="717"/>
      <c r="CG2319" s="717"/>
      <c r="CH2319" s="717"/>
      <c r="CI2319" s="717"/>
      <c r="CJ2319" s="717"/>
      <c r="CK2319" s="717"/>
      <c r="CL2319" s="717"/>
      <c r="CM2319" s="717"/>
      <c r="CN2319" s="717"/>
      <c r="CO2319" s="717"/>
      <c r="CP2319" s="717"/>
      <c r="CQ2319" s="717"/>
      <c r="CR2319" s="717"/>
      <c r="CS2319" s="717"/>
      <c r="CT2319" s="717"/>
      <c r="CU2319" s="717"/>
      <c r="CV2319" s="717"/>
      <c r="CW2319" s="717"/>
      <c r="CX2319" s="717"/>
      <c r="CY2319" s="717"/>
      <c r="CZ2319" s="717"/>
      <c r="DA2319" s="717"/>
      <c r="DB2319" s="717"/>
      <c r="DC2319" s="717"/>
      <c r="DD2319" s="717"/>
      <c r="DE2319" s="717"/>
      <c r="DF2319" s="717"/>
      <c r="DG2319" s="717"/>
      <c r="DH2319" s="717"/>
      <c r="DI2319" s="717"/>
      <c r="DJ2319" s="717"/>
      <c r="DM2319" s="711"/>
      <c r="DN2319" s="711"/>
      <c r="DO2319" s="711"/>
      <c r="DP2319" s="711"/>
      <c r="DQ2319" s="711"/>
    </row>
    <row r="2320" spans="13:121" s="709" customFormat="1" hidden="1">
      <c r="M2320" s="710"/>
      <c r="P2320" s="711"/>
      <c r="Q2320" s="712"/>
      <c r="U2320" s="711"/>
      <c r="V2320" s="711"/>
      <c r="W2320" s="711"/>
      <c r="X2320" s="711"/>
      <c r="Y2320" s="711"/>
      <c r="Z2320" s="711"/>
      <c r="AU2320" s="713"/>
      <c r="AW2320" s="712"/>
      <c r="BY2320" s="714"/>
      <c r="BZ2320" s="715"/>
      <c r="CA2320" s="716"/>
      <c r="CB2320" s="717"/>
      <c r="CC2320" s="717"/>
      <c r="CD2320" s="717"/>
      <c r="CE2320" s="717"/>
      <c r="CF2320" s="717"/>
      <c r="CG2320" s="717"/>
      <c r="CH2320" s="717"/>
      <c r="CI2320" s="717"/>
      <c r="CJ2320" s="717"/>
      <c r="CK2320" s="717"/>
      <c r="CL2320" s="717"/>
      <c r="CM2320" s="717"/>
      <c r="CN2320" s="717"/>
      <c r="CO2320" s="717"/>
      <c r="CP2320" s="717"/>
      <c r="CQ2320" s="717"/>
      <c r="CR2320" s="717"/>
      <c r="CS2320" s="717"/>
      <c r="CT2320" s="717"/>
      <c r="CU2320" s="717"/>
      <c r="CV2320" s="717"/>
      <c r="CW2320" s="717"/>
      <c r="CX2320" s="717"/>
      <c r="CY2320" s="717"/>
      <c r="CZ2320" s="717"/>
      <c r="DA2320" s="717"/>
      <c r="DB2320" s="717"/>
      <c r="DC2320" s="717"/>
      <c r="DD2320" s="717"/>
      <c r="DE2320" s="717"/>
      <c r="DF2320" s="717"/>
      <c r="DG2320" s="717"/>
      <c r="DH2320" s="717"/>
      <c r="DI2320" s="717"/>
      <c r="DJ2320" s="717"/>
      <c r="DM2320" s="711"/>
      <c r="DN2320" s="711"/>
      <c r="DO2320" s="711"/>
      <c r="DP2320" s="711"/>
      <c r="DQ2320" s="711"/>
    </row>
    <row r="2321" spans="13:121" s="709" customFormat="1" hidden="1">
      <c r="M2321" s="710"/>
      <c r="P2321" s="711"/>
      <c r="Q2321" s="712"/>
      <c r="U2321" s="711"/>
      <c r="V2321" s="711"/>
      <c r="W2321" s="711"/>
      <c r="X2321" s="711"/>
      <c r="Y2321" s="711"/>
      <c r="Z2321" s="711"/>
      <c r="AU2321" s="713"/>
      <c r="AW2321" s="712"/>
      <c r="BY2321" s="714"/>
      <c r="BZ2321" s="715"/>
      <c r="CA2321" s="716"/>
      <c r="CB2321" s="717"/>
      <c r="CC2321" s="717"/>
      <c r="CD2321" s="717"/>
      <c r="CE2321" s="717"/>
      <c r="CF2321" s="717"/>
      <c r="CG2321" s="717"/>
      <c r="CH2321" s="717"/>
      <c r="CI2321" s="717"/>
      <c r="CJ2321" s="717"/>
      <c r="CK2321" s="717"/>
      <c r="CL2321" s="717"/>
      <c r="CM2321" s="717"/>
      <c r="CN2321" s="717"/>
      <c r="CO2321" s="717"/>
      <c r="CP2321" s="717"/>
      <c r="CQ2321" s="717"/>
      <c r="CR2321" s="717"/>
      <c r="CS2321" s="717"/>
      <c r="CT2321" s="717"/>
      <c r="CU2321" s="717"/>
      <c r="CV2321" s="717"/>
      <c r="CW2321" s="717"/>
      <c r="CX2321" s="717"/>
      <c r="CY2321" s="717"/>
      <c r="CZ2321" s="717"/>
      <c r="DA2321" s="717"/>
      <c r="DB2321" s="717"/>
      <c r="DC2321" s="717"/>
      <c r="DD2321" s="717"/>
      <c r="DE2321" s="717"/>
      <c r="DF2321" s="717"/>
      <c r="DG2321" s="717"/>
      <c r="DH2321" s="717"/>
      <c r="DI2321" s="717"/>
      <c r="DJ2321" s="717"/>
      <c r="DM2321" s="711"/>
      <c r="DN2321" s="711"/>
      <c r="DO2321" s="711"/>
      <c r="DP2321" s="711"/>
      <c r="DQ2321" s="711"/>
    </row>
    <row r="2322" spans="13:121" s="709" customFormat="1" hidden="1">
      <c r="M2322" s="710"/>
      <c r="P2322" s="711"/>
      <c r="Q2322" s="712"/>
      <c r="U2322" s="711"/>
      <c r="V2322" s="711"/>
      <c r="W2322" s="711"/>
      <c r="X2322" s="711"/>
      <c r="Y2322" s="711"/>
      <c r="Z2322" s="711"/>
      <c r="AU2322" s="713"/>
      <c r="AW2322" s="712"/>
      <c r="BY2322" s="714"/>
      <c r="BZ2322" s="715"/>
      <c r="CA2322" s="716"/>
      <c r="CB2322" s="717"/>
      <c r="CC2322" s="717"/>
      <c r="CD2322" s="717"/>
      <c r="CE2322" s="717"/>
      <c r="CF2322" s="717"/>
      <c r="CG2322" s="717"/>
      <c r="CH2322" s="717"/>
      <c r="CI2322" s="717"/>
      <c r="CJ2322" s="717"/>
      <c r="CK2322" s="717"/>
      <c r="CL2322" s="717"/>
      <c r="CM2322" s="717"/>
      <c r="CN2322" s="717"/>
      <c r="CO2322" s="717"/>
      <c r="CP2322" s="717"/>
      <c r="CQ2322" s="717"/>
      <c r="CR2322" s="717"/>
      <c r="CS2322" s="717"/>
      <c r="CT2322" s="717"/>
      <c r="CU2322" s="717"/>
      <c r="CV2322" s="717"/>
      <c r="CW2322" s="717"/>
      <c r="CX2322" s="717"/>
      <c r="CY2322" s="717"/>
      <c r="CZ2322" s="717"/>
      <c r="DA2322" s="717"/>
      <c r="DB2322" s="717"/>
      <c r="DC2322" s="717"/>
      <c r="DD2322" s="717"/>
      <c r="DE2322" s="717"/>
      <c r="DF2322" s="717"/>
      <c r="DG2322" s="717"/>
      <c r="DH2322" s="717"/>
      <c r="DI2322" s="717"/>
      <c r="DJ2322" s="717"/>
      <c r="DM2322" s="711"/>
      <c r="DN2322" s="711"/>
      <c r="DO2322" s="711"/>
      <c r="DP2322" s="711"/>
      <c r="DQ2322" s="711"/>
    </row>
    <row r="2323" spans="13:121" s="709" customFormat="1" hidden="1">
      <c r="M2323" s="710"/>
      <c r="P2323" s="711"/>
      <c r="Q2323" s="712"/>
      <c r="U2323" s="711"/>
      <c r="V2323" s="711"/>
      <c r="W2323" s="711"/>
      <c r="X2323" s="711"/>
      <c r="Y2323" s="711"/>
      <c r="Z2323" s="711"/>
      <c r="AU2323" s="713"/>
      <c r="AW2323" s="712"/>
      <c r="BY2323" s="714"/>
      <c r="BZ2323" s="715"/>
      <c r="CA2323" s="716"/>
      <c r="CB2323" s="717"/>
      <c r="CC2323" s="717"/>
      <c r="CD2323" s="717"/>
      <c r="CE2323" s="717"/>
      <c r="CF2323" s="717"/>
      <c r="CG2323" s="717"/>
      <c r="CH2323" s="717"/>
      <c r="CI2323" s="717"/>
      <c r="CJ2323" s="717"/>
      <c r="CK2323" s="717"/>
      <c r="CL2323" s="717"/>
      <c r="CM2323" s="717"/>
      <c r="CN2323" s="717"/>
      <c r="CO2323" s="717"/>
      <c r="CP2323" s="717"/>
      <c r="CQ2323" s="717"/>
      <c r="CR2323" s="717"/>
      <c r="CS2323" s="717"/>
      <c r="CT2323" s="717"/>
      <c r="CU2323" s="717"/>
      <c r="CV2323" s="717"/>
      <c r="CW2323" s="717"/>
      <c r="CX2323" s="717"/>
      <c r="CY2323" s="717"/>
      <c r="CZ2323" s="717"/>
      <c r="DA2323" s="717"/>
      <c r="DB2323" s="717"/>
      <c r="DC2323" s="717"/>
      <c r="DD2323" s="717"/>
      <c r="DE2323" s="717"/>
      <c r="DF2323" s="717"/>
      <c r="DG2323" s="717"/>
      <c r="DH2323" s="717"/>
      <c r="DI2323" s="717"/>
      <c r="DJ2323" s="717"/>
      <c r="DM2323" s="711"/>
      <c r="DN2323" s="711"/>
      <c r="DO2323" s="711"/>
      <c r="DP2323" s="711"/>
      <c r="DQ2323" s="711"/>
    </row>
    <row r="2324" spans="13:121" s="709" customFormat="1" hidden="1">
      <c r="M2324" s="710"/>
      <c r="P2324" s="711"/>
      <c r="Q2324" s="712"/>
      <c r="U2324" s="711"/>
      <c r="V2324" s="711"/>
      <c r="W2324" s="711"/>
      <c r="X2324" s="711"/>
      <c r="Y2324" s="711"/>
      <c r="Z2324" s="711"/>
      <c r="AU2324" s="713"/>
      <c r="AW2324" s="712"/>
      <c r="BY2324" s="714"/>
      <c r="BZ2324" s="715"/>
      <c r="CA2324" s="716"/>
      <c r="CB2324" s="717"/>
      <c r="CC2324" s="717"/>
      <c r="CD2324" s="717"/>
      <c r="CE2324" s="717"/>
      <c r="CF2324" s="717"/>
      <c r="CG2324" s="717"/>
      <c r="CH2324" s="717"/>
      <c r="CI2324" s="717"/>
      <c r="CJ2324" s="717"/>
      <c r="CK2324" s="717"/>
      <c r="CL2324" s="717"/>
      <c r="CM2324" s="717"/>
      <c r="CN2324" s="717"/>
      <c r="CO2324" s="717"/>
      <c r="CP2324" s="717"/>
      <c r="CQ2324" s="717"/>
      <c r="CR2324" s="717"/>
      <c r="CS2324" s="717"/>
      <c r="CT2324" s="717"/>
      <c r="CU2324" s="717"/>
      <c r="CV2324" s="717"/>
      <c r="CW2324" s="717"/>
      <c r="CX2324" s="717"/>
      <c r="CY2324" s="717"/>
      <c r="CZ2324" s="717"/>
      <c r="DA2324" s="717"/>
      <c r="DB2324" s="717"/>
      <c r="DC2324" s="717"/>
      <c r="DD2324" s="717"/>
      <c r="DE2324" s="717"/>
      <c r="DF2324" s="717"/>
      <c r="DG2324" s="717"/>
      <c r="DH2324" s="717"/>
      <c r="DI2324" s="717"/>
      <c r="DJ2324" s="717"/>
      <c r="DM2324" s="711"/>
      <c r="DN2324" s="711"/>
      <c r="DO2324" s="711"/>
      <c r="DP2324" s="711"/>
      <c r="DQ2324" s="711"/>
    </row>
    <row r="2325" spans="13:121" s="709" customFormat="1" hidden="1">
      <c r="M2325" s="710"/>
      <c r="P2325" s="711"/>
      <c r="Q2325" s="712"/>
      <c r="U2325" s="711"/>
      <c r="V2325" s="711"/>
      <c r="W2325" s="711"/>
      <c r="X2325" s="711"/>
      <c r="Y2325" s="711"/>
      <c r="Z2325" s="711"/>
      <c r="AU2325" s="713"/>
      <c r="AW2325" s="712"/>
      <c r="BY2325" s="714"/>
      <c r="BZ2325" s="715"/>
      <c r="CA2325" s="716"/>
      <c r="CB2325" s="717"/>
      <c r="CC2325" s="717"/>
      <c r="CD2325" s="717"/>
      <c r="CE2325" s="717"/>
      <c r="CF2325" s="717"/>
      <c r="CG2325" s="717"/>
      <c r="CH2325" s="717"/>
      <c r="CI2325" s="717"/>
      <c r="CJ2325" s="717"/>
      <c r="CK2325" s="717"/>
      <c r="CL2325" s="717"/>
      <c r="CM2325" s="717"/>
      <c r="CN2325" s="717"/>
      <c r="CO2325" s="717"/>
      <c r="CP2325" s="717"/>
      <c r="CQ2325" s="717"/>
      <c r="CR2325" s="717"/>
      <c r="CS2325" s="717"/>
      <c r="CT2325" s="717"/>
      <c r="CU2325" s="717"/>
      <c r="CV2325" s="717"/>
      <c r="CW2325" s="717"/>
      <c r="CX2325" s="717"/>
      <c r="CY2325" s="717"/>
      <c r="CZ2325" s="717"/>
      <c r="DA2325" s="717"/>
      <c r="DB2325" s="717"/>
      <c r="DC2325" s="717"/>
      <c r="DD2325" s="717"/>
      <c r="DE2325" s="717"/>
      <c r="DF2325" s="717"/>
      <c r="DG2325" s="717"/>
      <c r="DH2325" s="717"/>
      <c r="DI2325" s="717"/>
      <c r="DJ2325" s="717"/>
      <c r="DM2325" s="711"/>
      <c r="DN2325" s="711"/>
      <c r="DO2325" s="711"/>
      <c r="DP2325" s="711"/>
      <c r="DQ2325" s="711"/>
    </row>
    <row r="2326" spans="13:121" s="709" customFormat="1" hidden="1">
      <c r="M2326" s="710"/>
      <c r="P2326" s="711"/>
      <c r="Q2326" s="712"/>
      <c r="U2326" s="711"/>
      <c r="V2326" s="711"/>
      <c r="W2326" s="711"/>
      <c r="X2326" s="711"/>
      <c r="Y2326" s="711"/>
      <c r="Z2326" s="711"/>
      <c r="AU2326" s="713"/>
      <c r="AW2326" s="712"/>
      <c r="BY2326" s="714"/>
      <c r="BZ2326" s="715"/>
      <c r="CA2326" s="716"/>
      <c r="CB2326" s="717"/>
      <c r="CC2326" s="717"/>
      <c r="CD2326" s="717"/>
      <c r="CE2326" s="717"/>
      <c r="CF2326" s="717"/>
      <c r="CG2326" s="717"/>
      <c r="CH2326" s="717"/>
      <c r="CI2326" s="717"/>
      <c r="CJ2326" s="717"/>
      <c r="CK2326" s="717"/>
      <c r="CL2326" s="717"/>
      <c r="CM2326" s="717"/>
      <c r="CN2326" s="717"/>
      <c r="CO2326" s="717"/>
      <c r="CP2326" s="717"/>
      <c r="CQ2326" s="717"/>
      <c r="CR2326" s="717"/>
      <c r="CS2326" s="717"/>
      <c r="CT2326" s="717"/>
      <c r="CU2326" s="717"/>
      <c r="CV2326" s="717"/>
      <c r="CW2326" s="717"/>
      <c r="CX2326" s="717"/>
      <c r="CY2326" s="717"/>
      <c r="CZ2326" s="717"/>
      <c r="DA2326" s="717"/>
      <c r="DB2326" s="717"/>
      <c r="DC2326" s="717"/>
      <c r="DD2326" s="717"/>
      <c r="DE2326" s="717"/>
      <c r="DF2326" s="717"/>
      <c r="DG2326" s="717"/>
      <c r="DH2326" s="717"/>
      <c r="DI2326" s="717"/>
      <c r="DJ2326" s="717"/>
      <c r="DM2326" s="711"/>
      <c r="DN2326" s="711"/>
      <c r="DO2326" s="711"/>
      <c r="DP2326" s="711"/>
      <c r="DQ2326" s="711"/>
    </row>
    <row r="2327" spans="13:121" s="709" customFormat="1" hidden="1">
      <c r="M2327" s="710"/>
      <c r="P2327" s="711"/>
      <c r="Q2327" s="712"/>
      <c r="U2327" s="711"/>
      <c r="V2327" s="711"/>
      <c r="W2327" s="711"/>
      <c r="X2327" s="711"/>
      <c r="Y2327" s="711"/>
      <c r="Z2327" s="711"/>
      <c r="AU2327" s="713"/>
      <c r="AW2327" s="712"/>
      <c r="BY2327" s="714"/>
      <c r="BZ2327" s="715"/>
      <c r="CA2327" s="716"/>
      <c r="CB2327" s="717"/>
      <c r="CC2327" s="717"/>
      <c r="CD2327" s="717"/>
      <c r="CE2327" s="717"/>
      <c r="CF2327" s="717"/>
      <c r="CG2327" s="717"/>
      <c r="CH2327" s="717"/>
      <c r="CI2327" s="717"/>
      <c r="CJ2327" s="717"/>
      <c r="CK2327" s="717"/>
      <c r="CL2327" s="717"/>
      <c r="CM2327" s="717"/>
      <c r="CN2327" s="717"/>
      <c r="CO2327" s="717"/>
      <c r="CP2327" s="717"/>
      <c r="CQ2327" s="717"/>
      <c r="CR2327" s="717"/>
      <c r="CS2327" s="717"/>
      <c r="CT2327" s="717"/>
      <c r="CU2327" s="717"/>
      <c r="CV2327" s="717"/>
      <c r="CW2327" s="717"/>
      <c r="CX2327" s="717"/>
      <c r="CY2327" s="717"/>
      <c r="CZ2327" s="717"/>
      <c r="DA2327" s="717"/>
      <c r="DB2327" s="717"/>
      <c r="DC2327" s="717"/>
      <c r="DD2327" s="717"/>
      <c r="DE2327" s="717"/>
      <c r="DF2327" s="717"/>
      <c r="DG2327" s="717"/>
      <c r="DH2327" s="717"/>
      <c r="DI2327" s="717"/>
      <c r="DJ2327" s="717"/>
      <c r="DM2327" s="711"/>
      <c r="DN2327" s="711"/>
      <c r="DO2327" s="711"/>
      <c r="DP2327" s="711"/>
      <c r="DQ2327" s="711"/>
    </row>
    <row r="2328" spans="13:121" s="709" customFormat="1" hidden="1">
      <c r="M2328" s="710"/>
      <c r="P2328" s="711"/>
      <c r="Q2328" s="712"/>
      <c r="U2328" s="711"/>
      <c r="V2328" s="711"/>
      <c r="W2328" s="711"/>
      <c r="X2328" s="711"/>
      <c r="Y2328" s="711"/>
      <c r="Z2328" s="711"/>
      <c r="AU2328" s="713"/>
      <c r="AW2328" s="712"/>
      <c r="BY2328" s="714"/>
      <c r="BZ2328" s="715"/>
      <c r="CA2328" s="716"/>
      <c r="CB2328" s="717"/>
      <c r="CC2328" s="717"/>
      <c r="CD2328" s="717"/>
      <c r="CE2328" s="717"/>
      <c r="CF2328" s="717"/>
      <c r="CG2328" s="717"/>
      <c r="CH2328" s="717"/>
      <c r="CI2328" s="717"/>
      <c r="CJ2328" s="717"/>
      <c r="CK2328" s="717"/>
      <c r="CL2328" s="717"/>
      <c r="CM2328" s="717"/>
      <c r="CN2328" s="717"/>
      <c r="CO2328" s="717"/>
      <c r="CP2328" s="717"/>
      <c r="CQ2328" s="717"/>
      <c r="CR2328" s="717"/>
      <c r="CS2328" s="717"/>
      <c r="CT2328" s="717"/>
      <c r="CU2328" s="717"/>
      <c r="CV2328" s="717"/>
      <c r="CW2328" s="717"/>
      <c r="CX2328" s="717"/>
      <c r="CY2328" s="717"/>
      <c r="CZ2328" s="717"/>
      <c r="DA2328" s="717"/>
      <c r="DB2328" s="717"/>
      <c r="DC2328" s="717"/>
      <c r="DD2328" s="717"/>
      <c r="DE2328" s="717"/>
      <c r="DF2328" s="717"/>
      <c r="DG2328" s="717"/>
      <c r="DH2328" s="717"/>
      <c r="DI2328" s="717"/>
      <c r="DJ2328" s="717"/>
      <c r="DM2328" s="711"/>
      <c r="DN2328" s="711"/>
      <c r="DO2328" s="711"/>
      <c r="DP2328" s="711"/>
      <c r="DQ2328" s="711"/>
    </row>
    <row r="2329" spans="13:121" s="709" customFormat="1" hidden="1">
      <c r="M2329" s="710"/>
      <c r="P2329" s="711"/>
      <c r="Q2329" s="712"/>
      <c r="U2329" s="711"/>
      <c r="V2329" s="711"/>
      <c r="W2329" s="711"/>
      <c r="X2329" s="711"/>
      <c r="Y2329" s="711"/>
      <c r="Z2329" s="711"/>
      <c r="AU2329" s="713"/>
      <c r="AW2329" s="712"/>
      <c r="BY2329" s="714"/>
      <c r="BZ2329" s="715"/>
      <c r="CA2329" s="716"/>
      <c r="CB2329" s="717"/>
      <c r="CC2329" s="717"/>
      <c r="CD2329" s="717"/>
      <c r="CE2329" s="717"/>
      <c r="CF2329" s="717"/>
      <c r="CG2329" s="717"/>
      <c r="CH2329" s="717"/>
      <c r="CI2329" s="717"/>
      <c r="CJ2329" s="717"/>
      <c r="CK2329" s="717"/>
      <c r="CL2329" s="717"/>
      <c r="CM2329" s="717"/>
      <c r="CN2329" s="717"/>
      <c r="CO2329" s="717"/>
      <c r="CP2329" s="717"/>
      <c r="CQ2329" s="717"/>
      <c r="CR2329" s="717"/>
      <c r="CS2329" s="717"/>
      <c r="CT2329" s="717"/>
      <c r="CU2329" s="717"/>
      <c r="CV2329" s="717"/>
      <c r="CW2329" s="717"/>
      <c r="CX2329" s="717"/>
      <c r="CY2329" s="717"/>
      <c r="CZ2329" s="717"/>
      <c r="DA2329" s="717"/>
      <c r="DB2329" s="717"/>
      <c r="DC2329" s="717"/>
      <c r="DD2329" s="717"/>
      <c r="DE2329" s="717"/>
      <c r="DF2329" s="717"/>
      <c r="DG2329" s="717"/>
      <c r="DH2329" s="717"/>
      <c r="DI2329" s="717"/>
      <c r="DJ2329" s="717"/>
      <c r="DM2329" s="711"/>
      <c r="DN2329" s="711"/>
      <c r="DO2329" s="711"/>
      <c r="DP2329" s="711"/>
      <c r="DQ2329" s="711"/>
    </row>
    <row r="2330" spans="13:121" s="709" customFormat="1" hidden="1">
      <c r="M2330" s="710"/>
      <c r="P2330" s="711"/>
      <c r="Q2330" s="712"/>
      <c r="U2330" s="711"/>
      <c r="V2330" s="711"/>
      <c r="W2330" s="711"/>
      <c r="X2330" s="711"/>
      <c r="Y2330" s="711"/>
      <c r="Z2330" s="711"/>
      <c r="AU2330" s="713"/>
      <c r="AW2330" s="712"/>
      <c r="BY2330" s="714"/>
      <c r="BZ2330" s="715"/>
      <c r="CA2330" s="716"/>
      <c r="CB2330" s="717"/>
      <c r="CC2330" s="717"/>
      <c r="CD2330" s="717"/>
      <c r="CE2330" s="717"/>
      <c r="CF2330" s="717"/>
      <c r="CG2330" s="717"/>
      <c r="CH2330" s="717"/>
      <c r="CI2330" s="717"/>
      <c r="CJ2330" s="717"/>
      <c r="CK2330" s="717"/>
      <c r="CL2330" s="717"/>
      <c r="CM2330" s="717"/>
      <c r="CN2330" s="717"/>
      <c r="CO2330" s="717"/>
      <c r="CP2330" s="717"/>
      <c r="CQ2330" s="717"/>
      <c r="CR2330" s="717"/>
      <c r="CS2330" s="717"/>
      <c r="CT2330" s="717"/>
      <c r="CU2330" s="717"/>
      <c r="CV2330" s="717"/>
      <c r="CW2330" s="717"/>
      <c r="CX2330" s="717"/>
      <c r="CY2330" s="717"/>
      <c r="CZ2330" s="717"/>
      <c r="DA2330" s="717"/>
      <c r="DB2330" s="717"/>
      <c r="DC2330" s="717"/>
      <c r="DD2330" s="717"/>
      <c r="DE2330" s="717"/>
      <c r="DF2330" s="717"/>
      <c r="DG2330" s="717"/>
      <c r="DH2330" s="717"/>
      <c r="DI2330" s="717"/>
      <c r="DJ2330" s="717"/>
      <c r="DM2330" s="711"/>
      <c r="DN2330" s="711"/>
      <c r="DO2330" s="711"/>
      <c r="DP2330" s="711"/>
      <c r="DQ2330" s="711"/>
    </row>
    <row r="2331" spans="13:121" s="709" customFormat="1" hidden="1">
      <c r="M2331" s="710"/>
      <c r="P2331" s="711"/>
      <c r="Q2331" s="712"/>
      <c r="U2331" s="711"/>
      <c r="V2331" s="711"/>
      <c r="W2331" s="711"/>
      <c r="X2331" s="711"/>
      <c r="Y2331" s="711"/>
      <c r="Z2331" s="711"/>
      <c r="AU2331" s="713"/>
      <c r="AW2331" s="712"/>
      <c r="BY2331" s="714"/>
      <c r="BZ2331" s="715"/>
      <c r="CA2331" s="716"/>
      <c r="CB2331" s="717"/>
      <c r="CC2331" s="717"/>
      <c r="CD2331" s="717"/>
      <c r="CE2331" s="717"/>
      <c r="CF2331" s="717"/>
      <c r="CG2331" s="717"/>
      <c r="CH2331" s="717"/>
      <c r="CI2331" s="717"/>
      <c r="CJ2331" s="717"/>
      <c r="CK2331" s="717"/>
      <c r="CL2331" s="717"/>
      <c r="CM2331" s="717"/>
      <c r="CN2331" s="717"/>
      <c r="CO2331" s="717"/>
      <c r="CP2331" s="717"/>
      <c r="CQ2331" s="717"/>
      <c r="CR2331" s="717"/>
      <c r="CS2331" s="717"/>
      <c r="CT2331" s="717"/>
      <c r="CU2331" s="717"/>
      <c r="CV2331" s="717"/>
      <c r="CW2331" s="717"/>
      <c r="CX2331" s="717"/>
      <c r="CY2331" s="717"/>
      <c r="CZ2331" s="717"/>
      <c r="DA2331" s="717"/>
      <c r="DB2331" s="717"/>
      <c r="DC2331" s="717"/>
      <c r="DD2331" s="717"/>
      <c r="DE2331" s="717"/>
      <c r="DF2331" s="717"/>
      <c r="DG2331" s="717"/>
      <c r="DH2331" s="717"/>
      <c r="DI2331" s="717"/>
      <c r="DJ2331" s="717"/>
      <c r="DM2331" s="711"/>
      <c r="DN2331" s="711"/>
      <c r="DO2331" s="711"/>
      <c r="DP2331" s="711"/>
      <c r="DQ2331" s="711"/>
    </row>
    <row r="2332" spans="13:121" s="709" customFormat="1" hidden="1">
      <c r="M2332" s="710"/>
      <c r="P2332" s="711"/>
      <c r="Q2332" s="712"/>
      <c r="U2332" s="711"/>
      <c r="V2332" s="711"/>
      <c r="W2332" s="711"/>
      <c r="X2332" s="711"/>
      <c r="Y2332" s="711"/>
      <c r="Z2332" s="711"/>
      <c r="AU2332" s="713"/>
      <c r="AW2332" s="712"/>
      <c r="BY2332" s="714"/>
      <c r="BZ2332" s="715"/>
      <c r="CA2332" s="716"/>
      <c r="CB2332" s="717"/>
      <c r="CC2332" s="717"/>
      <c r="CD2332" s="717"/>
      <c r="CE2332" s="717"/>
      <c r="CF2332" s="717"/>
      <c r="CG2332" s="717"/>
      <c r="CH2332" s="717"/>
      <c r="CI2332" s="717"/>
      <c r="CJ2332" s="717"/>
      <c r="CK2332" s="717"/>
      <c r="CL2332" s="717"/>
      <c r="CM2332" s="717"/>
      <c r="CN2332" s="717"/>
      <c r="CO2332" s="717"/>
      <c r="CP2332" s="717"/>
      <c r="CQ2332" s="717"/>
      <c r="CR2332" s="717"/>
      <c r="CS2332" s="717"/>
      <c r="CT2332" s="717"/>
      <c r="CU2332" s="717"/>
      <c r="CV2332" s="717"/>
      <c r="CW2332" s="717"/>
      <c r="CX2332" s="717"/>
      <c r="CY2332" s="717"/>
      <c r="CZ2332" s="717"/>
      <c r="DA2332" s="717"/>
      <c r="DB2332" s="717"/>
      <c r="DC2332" s="717"/>
      <c r="DD2332" s="717"/>
      <c r="DE2332" s="717"/>
      <c r="DF2332" s="717"/>
      <c r="DG2332" s="717"/>
      <c r="DH2332" s="717"/>
      <c r="DI2332" s="717"/>
      <c r="DJ2332" s="717"/>
      <c r="DM2332" s="711"/>
      <c r="DN2332" s="711"/>
      <c r="DO2332" s="711"/>
      <c r="DP2332" s="711"/>
      <c r="DQ2332" s="711"/>
    </row>
    <row r="2333" spans="13:121" s="709" customFormat="1" hidden="1">
      <c r="M2333" s="710"/>
      <c r="P2333" s="711"/>
      <c r="Q2333" s="712"/>
      <c r="U2333" s="711"/>
      <c r="V2333" s="711"/>
      <c r="W2333" s="711"/>
      <c r="X2333" s="711"/>
      <c r="Y2333" s="711"/>
      <c r="Z2333" s="711"/>
      <c r="AU2333" s="713"/>
      <c r="AW2333" s="712"/>
      <c r="BY2333" s="714"/>
      <c r="BZ2333" s="715"/>
      <c r="CA2333" s="716"/>
      <c r="CB2333" s="717"/>
      <c r="CC2333" s="717"/>
      <c r="CD2333" s="717"/>
      <c r="CE2333" s="717"/>
      <c r="CF2333" s="717"/>
      <c r="CG2333" s="717"/>
      <c r="CH2333" s="717"/>
      <c r="CI2333" s="717"/>
      <c r="CJ2333" s="717"/>
      <c r="CK2333" s="717"/>
      <c r="CL2333" s="717"/>
      <c r="CM2333" s="717"/>
      <c r="CN2333" s="717"/>
      <c r="CO2333" s="717"/>
      <c r="CP2333" s="717"/>
      <c r="CQ2333" s="717"/>
      <c r="CR2333" s="717"/>
      <c r="CS2333" s="717"/>
      <c r="CT2333" s="717"/>
      <c r="CU2333" s="717"/>
      <c r="CV2333" s="717"/>
      <c r="CW2333" s="717"/>
      <c r="CX2333" s="717"/>
      <c r="CY2333" s="717"/>
      <c r="CZ2333" s="717"/>
      <c r="DA2333" s="717"/>
      <c r="DB2333" s="717"/>
      <c r="DC2333" s="717"/>
      <c r="DD2333" s="717"/>
      <c r="DE2333" s="717"/>
      <c r="DF2333" s="717"/>
      <c r="DG2333" s="717"/>
      <c r="DH2333" s="717"/>
      <c r="DI2333" s="717"/>
      <c r="DJ2333" s="717"/>
      <c r="DM2333" s="711"/>
      <c r="DN2333" s="711"/>
      <c r="DO2333" s="711"/>
      <c r="DP2333" s="711"/>
      <c r="DQ2333" s="711"/>
    </row>
    <row r="2334" spans="13:121" s="709" customFormat="1" hidden="1">
      <c r="M2334" s="710"/>
      <c r="P2334" s="711"/>
      <c r="Q2334" s="712"/>
      <c r="U2334" s="711"/>
      <c r="V2334" s="711"/>
      <c r="W2334" s="711"/>
      <c r="X2334" s="711"/>
      <c r="Y2334" s="711"/>
      <c r="Z2334" s="711"/>
      <c r="AU2334" s="713"/>
      <c r="AW2334" s="712"/>
      <c r="BY2334" s="714"/>
      <c r="BZ2334" s="715"/>
      <c r="CA2334" s="716"/>
      <c r="CB2334" s="717"/>
      <c r="CC2334" s="717"/>
      <c r="CD2334" s="717"/>
      <c r="CE2334" s="717"/>
      <c r="CF2334" s="717"/>
      <c r="CG2334" s="717"/>
      <c r="CH2334" s="717"/>
      <c r="CI2334" s="717"/>
      <c r="CJ2334" s="717"/>
      <c r="CK2334" s="717"/>
      <c r="CL2334" s="717"/>
      <c r="CM2334" s="717"/>
      <c r="CN2334" s="717"/>
      <c r="CO2334" s="717"/>
      <c r="CP2334" s="717"/>
      <c r="CQ2334" s="717"/>
      <c r="CR2334" s="717"/>
      <c r="CS2334" s="717"/>
      <c r="CT2334" s="717"/>
      <c r="CU2334" s="717"/>
      <c r="CV2334" s="717"/>
      <c r="CW2334" s="717"/>
      <c r="CX2334" s="717"/>
      <c r="CY2334" s="717"/>
      <c r="CZ2334" s="717"/>
      <c r="DA2334" s="717"/>
      <c r="DB2334" s="717"/>
      <c r="DC2334" s="717"/>
      <c r="DD2334" s="717"/>
      <c r="DE2334" s="717"/>
      <c r="DF2334" s="717"/>
      <c r="DG2334" s="717"/>
      <c r="DH2334" s="717"/>
      <c r="DI2334" s="717"/>
      <c r="DJ2334" s="717"/>
      <c r="DM2334" s="711"/>
      <c r="DN2334" s="711"/>
      <c r="DO2334" s="711"/>
      <c r="DP2334" s="711"/>
      <c r="DQ2334" s="711"/>
    </row>
    <row r="2335" spans="13:121" s="709" customFormat="1" hidden="1">
      <c r="M2335" s="710"/>
      <c r="P2335" s="711"/>
      <c r="Q2335" s="712"/>
      <c r="U2335" s="711"/>
      <c r="V2335" s="711"/>
      <c r="W2335" s="711"/>
      <c r="X2335" s="711"/>
      <c r="Y2335" s="711"/>
      <c r="Z2335" s="711"/>
      <c r="AU2335" s="713"/>
      <c r="AW2335" s="712"/>
      <c r="BY2335" s="714"/>
      <c r="BZ2335" s="715"/>
      <c r="CA2335" s="716"/>
      <c r="CB2335" s="717"/>
      <c r="CC2335" s="717"/>
      <c r="CD2335" s="717"/>
      <c r="CE2335" s="717"/>
      <c r="CF2335" s="717"/>
      <c r="CG2335" s="717"/>
      <c r="CH2335" s="717"/>
      <c r="CI2335" s="717"/>
      <c r="CJ2335" s="717"/>
      <c r="CK2335" s="717"/>
      <c r="CL2335" s="717"/>
      <c r="CM2335" s="717"/>
      <c r="CN2335" s="717"/>
      <c r="CO2335" s="717"/>
      <c r="CP2335" s="717"/>
      <c r="CQ2335" s="717"/>
      <c r="CR2335" s="717"/>
      <c r="CS2335" s="717"/>
      <c r="CT2335" s="717"/>
      <c r="CU2335" s="717"/>
      <c r="CV2335" s="717"/>
      <c r="CW2335" s="717"/>
      <c r="CX2335" s="717"/>
      <c r="CY2335" s="717"/>
      <c r="CZ2335" s="717"/>
      <c r="DA2335" s="717"/>
      <c r="DB2335" s="717"/>
      <c r="DC2335" s="717"/>
      <c r="DD2335" s="717"/>
      <c r="DE2335" s="717"/>
      <c r="DF2335" s="717"/>
      <c r="DG2335" s="717"/>
      <c r="DH2335" s="717"/>
      <c r="DI2335" s="717"/>
      <c r="DJ2335" s="717"/>
      <c r="DM2335" s="711"/>
      <c r="DN2335" s="711"/>
      <c r="DO2335" s="711"/>
      <c r="DP2335" s="711"/>
      <c r="DQ2335" s="711"/>
    </row>
    <row r="2336" spans="13:121" s="709" customFormat="1" hidden="1">
      <c r="M2336" s="710"/>
      <c r="P2336" s="711"/>
      <c r="Q2336" s="712"/>
      <c r="U2336" s="711"/>
      <c r="V2336" s="711"/>
      <c r="W2336" s="711"/>
      <c r="X2336" s="711"/>
      <c r="Y2336" s="711"/>
      <c r="Z2336" s="711"/>
      <c r="AU2336" s="713"/>
      <c r="AW2336" s="712"/>
      <c r="BY2336" s="714"/>
      <c r="BZ2336" s="715"/>
      <c r="CA2336" s="716"/>
      <c r="CB2336" s="717"/>
      <c r="CC2336" s="717"/>
      <c r="CD2336" s="717"/>
      <c r="CE2336" s="717"/>
      <c r="CF2336" s="717"/>
      <c r="CG2336" s="717"/>
      <c r="CH2336" s="717"/>
      <c r="CI2336" s="717"/>
      <c r="CJ2336" s="717"/>
      <c r="CK2336" s="717"/>
      <c r="CL2336" s="717"/>
      <c r="CM2336" s="717"/>
      <c r="CN2336" s="717"/>
      <c r="CO2336" s="717"/>
      <c r="CP2336" s="717"/>
      <c r="CQ2336" s="717"/>
      <c r="CR2336" s="717"/>
      <c r="CS2336" s="717"/>
      <c r="CT2336" s="717"/>
      <c r="CU2336" s="717"/>
      <c r="CV2336" s="717"/>
      <c r="CW2336" s="717"/>
      <c r="CX2336" s="717"/>
      <c r="CY2336" s="717"/>
      <c r="CZ2336" s="717"/>
      <c r="DA2336" s="717"/>
      <c r="DB2336" s="717"/>
      <c r="DC2336" s="717"/>
      <c r="DD2336" s="717"/>
      <c r="DE2336" s="717"/>
      <c r="DF2336" s="717"/>
      <c r="DG2336" s="717"/>
      <c r="DH2336" s="717"/>
      <c r="DI2336" s="717"/>
      <c r="DJ2336" s="717"/>
      <c r="DM2336" s="711"/>
      <c r="DN2336" s="711"/>
      <c r="DO2336" s="711"/>
      <c r="DP2336" s="711"/>
      <c r="DQ2336" s="711"/>
    </row>
    <row r="2337" spans="13:121" s="709" customFormat="1" hidden="1">
      <c r="M2337" s="710"/>
      <c r="P2337" s="711"/>
      <c r="Q2337" s="712"/>
      <c r="U2337" s="711"/>
      <c r="V2337" s="711"/>
      <c r="W2337" s="711"/>
      <c r="X2337" s="711"/>
      <c r="Y2337" s="711"/>
      <c r="Z2337" s="711"/>
      <c r="AU2337" s="713"/>
      <c r="AW2337" s="712"/>
      <c r="BY2337" s="714"/>
      <c r="BZ2337" s="715"/>
      <c r="CA2337" s="716"/>
      <c r="CB2337" s="717"/>
      <c r="CC2337" s="717"/>
      <c r="CD2337" s="717"/>
      <c r="CE2337" s="717"/>
      <c r="CF2337" s="717"/>
      <c r="CG2337" s="717"/>
      <c r="CH2337" s="717"/>
      <c r="CI2337" s="717"/>
      <c r="CJ2337" s="717"/>
      <c r="CK2337" s="717"/>
      <c r="CL2337" s="717"/>
      <c r="CM2337" s="717"/>
      <c r="CN2337" s="717"/>
      <c r="CO2337" s="717"/>
      <c r="CP2337" s="717"/>
      <c r="CQ2337" s="717"/>
      <c r="CR2337" s="717"/>
      <c r="CS2337" s="717"/>
      <c r="CT2337" s="717"/>
      <c r="CU2337" s="717"/>
      <c r="CV2337" s="717"/>
      <c r="CW2337" s="717"/>
      <c r="CX2337" s="717"/>
      <c r="CY2337" s="717"/>
      <c r="CZ2337" s="717"/>
      <c r="DA2337" s="717"/>
      <c r="DB2337" s="717"/>
      <c r="DC2337" s="717"/>
      <c r="DD2337" s="717"/>
      <c r="DE2337" s="717"/>
      <c r="DF2337" s="717"/>
      <c r="DG2337" s="717"/>
      <c r="DH2337" s="717"/>
      <c r="DI2337" s="717"/>
      <c r="DJ2337" s="717"/>
      <c r="DM2337" s="711"/>
      <c r="DN2337" s="711"/>
      <c r="DO2337" s="711"/>
      <c r="DP2337" s="711"/>
      <c r="DQ2337" s="711"/>
    </row>
    <row r="2338" spans="13:121" s="709" customFormat="1" hidden="1">
      <c r="M2338" s="710"/>
      <c r="P2338" s="711"/>
      <c r="Q2338" s="712"/>
      <c r="U2338" s="711"/>
      <c r="V2338" s="711"/>
      <c r="W2338" s="711"/>
      <c r="X2338" s="711"/>
      <c r="Y2338" s="711"/>
      <c r="Z2338" s="711"/>
      <c r="AU2338" s="713"/>
      <c r="AW2338" s="712"/>
      <c r="BY2338" s="714"/>
      <c r="BZ2338" s="715"/>
      <c r="CA2338" s="716"/>
      <c r="CB2338" s="717"/>
      <c r="CC2338" s="717"/>
      <c r="CD2338" s="717"/>
      <c r="CE2338" s="717"/>
      <c r="CF2338" s="717"/>
      <c r="CG2338" s="717"/>
      <c r="CH2338" s="717"/>
      <c r="CI2338" s="717"/>
      <c r="CJ2338" s="717"/>
      <c r="CK2338" s="717"/>
      <c r="CL2338" s="717"/>
      <c r="CM2338" s="717"/>
      <c r="CN2338" s="717"/>
      <c r="CO2338" s="717"/>
      <c r="CP2338" s="717"/>
      <c r="CQ2338" s="717"/>
      <c r="CR2338" s="717"/>
      <c r="CS2338" s="717"/>
      <c r="CT2338" s="717"/>
      <c r="CU2338" s="717"/>
      <c r="CV2338" s="717"/>
      <c r="CW2338" s="717"/>
      <c r="CX2338" s="717"/>
      <c r="CY2338" s="717"/>
      <c r="CZ2338" s="717"/>
      <c r="DA2338" s="717"/>
      <c r="DB2338" s="717"/>
      <c r="DC2338" s="717"/>
      <c r="DD2338" s="717"/>
      <c r="DE2338" s="717"/>
      <c r="DF2338" s="717"/>
      <c r="DG2338" s="717"/>
      <c r="DH2338" s="717"/>
      <c r="DI2338" s="717"/>
      <c r="DJ2338" s="717"/>
      <c r="DM2338" s="711"/>
      <c r="DN2338" s="711"/>
      <c r="DO2338" s="711"/>
      <c r="DP2338" s="711"/>
      <c r="DQ2338" s="711"/>
    </row>
    <row r="2339" spans="13:121" s="709" customFormat="1" hidden="1">
      <c r="M2339" s="710"/>
      <c r="P2339" s="711"/>
      <c r="Q2339" s="712"/>
      <c r="U2339" s="711"/>
      <c r="V2339" s="711"/>
      <c r="W2339" s="711"/>
      <c r="X2339" s="711"/>
      <c r="Y2339" s="711"/>
      <c r="Z2339" s="711"/>
      <c r="AU2339" s="713"/>
      <c r="AW2339" s="712"/>
      <c r="BY2339" s="714"/>
      <c r="BZ2339" s="715"/>
      <c r="CA2339" s="716"/>
      <c r="CB2339" s="717"/>
      <c r="CC2339" s="717"/>
      <c r="CD2339" s="717"/>
      <c r="CE2339" s="717"/>
      <c r="CF2339" s="717"/>
      <c r="CG2339" s="717"/>
      <c r="CH2339" s="717"/>
      <c r="CI2339" s="717"/>
      <c r="CJ2339" s="717"/>
      <c r="CK2339" s="717"/>
      <c r="CL2339" s="717"/>
      <c r="CM2339" s="717"/>
      <c r="CN2339" s="717"/>
      <c r="CO2339" s="717"/>
      <c r="CP2339" s="717"/>
      <c r="CQ2339" s="717"/>
      <c r="CR2339" s="717"/>
      <c r="CS2339" s="717"/>
      <c r="CT2339" s="717"/>
      <c r="CU2339" s="717"/>
      <c r="CV2339" s="717"/>
      <c r="CW2339" s="717"/>
      <c r="CX2339" s="717"/>
      <c r="CY2339" s="717"/>
      <c r="CZ2339" s="717"/>
      <c r="DA2339" s="717"/>
      <c r="DB2339" s="717"/>
      <c r="DC2339" s="717"/>
      <c r="DD2339" s="717"/>
      <c r="DE2339" s="717"/>
      <c r="DF2339" s="717"/>
      <c r="DG2339" s="717"/>
      <c r="DH2339" s="717"/>
      <c r="DI2339" s="717"/>
      <c r="DJ2339" s="717"/>
      <c r="DM2339" s="711"/>
      <c r="DN2339" s="711"/>
      <c r="DO2339" s="711"/>
      <c r="DP2339" s="711"/>
      <c r="DQ2339" s="711"/>
    </row>
    <row r="2340" spans="13:121" s="709" customFormat="1" hidden="1">
      <c r="M2340" s="710"/>
      <c r="P2340" s="711"/>
      <c r="Q2340" s="712"/>
      <c r="U2340" s="711"/>
      <c r="V2340" s="711"/>
      <c r="W2340" s="711"/>
      <c r="X2340" s="711"/>
      <c r="Y2340" s="711"/>
      <c r="Z2340" s="711"/>
      <c r="AU2340" s="713"/>
      <c r="AW2340" s="712"/>
      <c r="BY2340" s="714"/>
      <c r="BZ2340" s="715"/>
      <c r="CA2340" s="716"/>
      <c r="CB2340" s="717"/>
      <c r="CC2340" s="717"/>
      <c r="CD2340" s="717"/>
      <c r="CE2340" s="717"/>
      <c r="CF2340" s="717"/>
      <c r="CG2340" s="717"/>
      <c r="CH2340" s="717"/>
      <c r="CI2340" s="717"/>
      <c r="CJ2340" s="717"/>
      <c r="CK2340" s="717"/>
      <c r="CL2340" s="717"/>
      <c r="CM2340" s="717"/>
      <c r="CN2340" s="717"/>
      <c r="CO2340" s="717"/>
      <c r="CP2340" s="717"/>
      <c r="CQ2340" s="717"/>
      <c r="CR2340" s="717"/>
      <c r="CS2340" s="717"/>
      <c r="CT2340" s="717"/>
      <c r="CU2340" s="717"/>
      <c r="CV2340" s="717"/>
      <c r="CW2340" s="717"/>
      <c r="CX2340" s="717"/>
      <c r="CY2340" s="717"/>
      <c r="CZ2340" s="717"/>
      <c r="DA2340" s="717"/>
      <c r="DB2340" s="717"/>
      <c r="DC2340" s="717"/>
      <c r="DD2340" s="717"/>
      <c r="DE2340" s="717"/>
      <c r="DF2340" s="717"/>
      <c r="DG2340" s="717"/>
      <c r="DH2340" s="717"/>
      <c r="DI2340" s="717"/>
      <c r="DJ2340" s="717"/>
      <c r="DM2340" s="711"/>
      <c r="DN2340" s="711"/>
      <c r="DO2340" s="711"/>
      <c r="DP2340" s="711"/>
      <c r="DQ2340" s="711"/>
    </row>
    <row r="2341" spans="13:121" s="709" customFormat="1" hidden="1">
      <c r="M2341" s="710"/>
      <c r="P2341" s="711"/>
      <c r="Q2341" s="712"/>
      <c r="U2341" s="711"/>
      <c r="V2341" s="711"/>
      <c r="W2341" s="711"/>
      <c r="X2341" s="711"/>
      <c r="Y2341" s="711"/>
      <c r="Z2341" s="711"/>
      <c r="AU2341" s="713"/>
      <c r="AW2341" s="712"/>
      <c r="BY2341" s="714"/>
      <c r="BZ2341" s="715"/>
      <c r="CA2341" s="716"/>
      <c r="CB2341" s="717"/>
      <c r="CC2341" s="717"/>
      <c r="CD2341" s="717"/>
      <c r="CE2341" s="717"/>
      <c r="CF2341" s="717"/>
      <c r="CG2341" s="717"/>
      <c r="CH2341" s="717"/>
      <c r="CI2341" s="717"/>
      <c r="CJ2341" s="717"/>
      <c r="CK2341" s="717"/>
      <c r="CL2341" s="717"/>
      <c r="CM2341" s="717"/>
      <c r="CN2341" s="717"/>
      <c r="CO2341" s="717"/>
      <c r="CP2341" s="717"/>
      <c r="CQ2341" s="717"/>
      <c r="CR2341" s="717"/>
      <c r="CS2341" s="717"/>
      <c r="CT2341" s="717"/>
      <c r="CU2341" s="717"/>
      <c r="CV2341" s="717"/>
      <c r="CW2341" s="717"/>
      <c r="CX2341" s="717"/>
      <c r="CY2341" s="717"/>
      <c r="CZ2341" s="717"/>
      <c r="DA2341" s="717"/>
      <c r="DB2341" s="717"/>
      <c r="DC2341" s="717"/>
      <c r="DD2341" s="717"/>
      <c r="DE2341" s="717"/>
      <c r="DF2341" s="717"/>
      <c r="DG2341" s="717"/>
      <c r="DH2341" s="717"/>
      <c r="DI2341" s="717"/>
      <c r="DJ2341" s="717"/>
      <c r="DM2341" s="711"/>
      <c r="DN2341" s="711"/>
      <c r="DO2341" s="711"/>
      <c r="DP2341" s="711"/>
      <c r="DQ2341" s="711"/>
    </row>
    <row r="2342" spans="13:121" s="709" customFormat="1" hidden="1">
      <c r="M2342" s="710"/>
      <c r="P2342" s="711"/>
      <c r="Q2342" s="712"/>
      <c r="U2342" s="711"/>
      <c r="V2342" s="711"/>
      <c r="W2342" s="711"/>
      <c r="X2342" s="711"/>
      <c r="Y2342" s="711"/>
      <c r="Z2342" s="711"/>
      <c r="AU2342" s="713"/>
      <c r="AW2342" s="712"/>
      <c r="BY2342" s="714"/>
      <c r="BZ2342" s="715"/>
      <c r="CA2342" s="716"/>
      <c r="CB2342" s="717"/>
      <c r="CC2342" s="717"/>
      <c r="CD2342" s="717"/>
      <c r="CE2342" s="717"/>
      <c r="CF2342" s="717"/>
      <c r="CG2342" s="717"/>
      <c r="CH2342" s="717"/>
      <c r="CI2342" s="717"/>
      <c r="CJ2342" s="717"/>
      <c r="CK2342" s="717"/>
      <c r="CL2342" s="717"/>
      <c r="CM2342" s="717"/>
      <c r="CN2342" s="717"/>
      <c r="CO2342" s="717"/>
      <c r="CP2342" s="717"/>
      <c r="CQ2342" s="717"/>
      <c r="CR2342" s="717"/>
      <c r="CS2342" s="717"/>
      <c r="CT2342" s="717"/>
      <c r="CU2342" s="717"/>
      <c r="CV2342" s="717"/>
      <c r="CW2342" s="717"/>
      <c r="CX2342" s="717"/>
      <c r="CY2342" s="717"/>
      <c r="CZ2342" s="717"/>
      <c r="DA2342" s="717"/>
      <c r="DB2342" s="717"/>
      <c r="DC2342" s="717"/>
      <c r="DD2342" s="717"/>
      <c r="DE2342" s="717"/>
      <c r="DF2342" s="717"/>
      <c r="DG2342" s="717"/>
      <c r="DH2342" s="717"/>
      <c r="DI2342" s="717"/>
      <c r="DJ2342" s="717"/>
      <c r="DM2342" s="711"/>
      <c r="DN2342" s="711"/>
      <c r="DO2342" s="711"/>
      <c r="DP2342" s="711"/>
      <c r="DQ2342" s="711"/>
    </row>
    <row r="2343" spans="13:121" s="709" customFormat="1" hidden="1">
      <c r="M2343" s="710"/>
      <c r="P2343" s="711"/>
      <c r="Q2343" s="712"/>
      <c r="U2343" s="711"/>
      <c r="V2343" s="711"/>
      <c r="W2343" s="711"/>
      <c r="X2343" s="711"/>
      <c r="Y2343" s="711"/>
      <c r="Z2343" s="711"/>
      <c r="AU2343" s="713"/>
      <c r="AW2343" s="712"/>
      <c r="BY2343" s="714"/>
      <c r="BZ2343" s="715"/>
      <c r="CA2343" s="716"/>
      <c r="CB2343" s="717"/>
      <c r="CC2343" s="717"/>
      <c r="CD2343" s="717"/>
      <c r="CE2343" s="717"/>
      <c r="CF2343" s="717"/>
      <c r="CG2343" s="717"/>
      <c r="CH2343" s="717"/>
      <c r="CI2343" s="717"/>
      <c r="CJ2343" s="717"/>
      <c r="CK2343" s="717"/>
      <c r="CL2343" s="717"/>
      <c r="CM2343" s="717"/>
      <c r="CN2343" s="717"/>
      <c r="CO2343" s="717"/>
      <c r="CP2343" s="717"/>
      <c r="CQ2343" s="717"/>
      <c r="CR2343" s="717"/>
      <c r="CS2343" s="717"/>
      <c r="CT2343" s="717"/>
      <c r="CU2343" s="717"/>
      <c r="CV2343" s="717"/>
      <c r="CW2343" s="717"/>
      <c r="CX2343" s="717"/>
      <c r="CY2343" s="717"/>
      <c r="CZ2343" s="717"/>
      <c r="DA2343" s="717"/>
      <c r="DB2343" s="717"/>
      <c r="DC2343" s="717"/>
      <c r="DD2343" s="717"/>
      <c r="DE2343" s="717"/>
      <c r="DF2343" s="717"/>
      <c r="DG2343" s="717"/>
      <c r="DH2343" s="717"/>
      <c r="DI2343" s="717"/>
      <c r="DJ2343" s="717"/>
      <c r="DM2343" s="711"/>
      <c r="DN2343" s="711"/>
      <c r="DO2343" s="711"/>
      <c r="DP2343" s="711"/>
      <c r="DQ2343" s="711"/>
    </row>
    <row r="2344" spans="13:121" s="709" customFormat="1" hidden="1">
      <c r="M2344" s="710"/>
      <c r="P2344" s="711"/>
      <c r="Q2344" s="712"/>
      <c r="U2344" s="711"/>
      <c r="V2344" s="711"/>
      <c r="W2344" s="711"/>
      <c r="X2344" s="711"/>
      <c r="Y2344" s="711"/>
      <c r="Z2344" s="711"/>
      <c r="AU2344" s="713"/>
      <c r="AW2344" s="712"/>
      <c r="BY2344" s="714"/>
      <c r="BZ2344" s="715"/>
      <c r="CA2344" s="716"/>
      <c r="CB2344" s="717"/>
      <c r="CC2344" s="717"/>
      <c r="CD2344" s="717"/>
      <c r="CE2344" s="717"/>
      <c r="CF2344" s="717"/>
      <c r="CG2344" s="717"/>
      <c r="CH2344" s="717"/>
      <c r="CI2344" s="717"/>
      <c r="CJ2344" s="717"/>
      <c r="CK2344" s="717"/>
      <c r="CL2344" s="717"/>
      <c r="CM2344" s="717"/>
      <c r="CN2344" s="717"/>
      <c r="CO2344" s="717"/>
      <c r="CP2344" s="717"/>
      <c r="CQ2344" s="717"/>
      <c r="CR2344" s="717"/>
      <c r="CS2344" s="717"/>
      <c r="CT2344" s="717"/>
      <c r="CU2344" s="717"/>
      <c r="CV2344" s="717"/>
      <c r="CW2344" s="717"/>
      <c r="CX2344" s="717"/>
      <c r="CY2344" s="717"/>
      <c r="CZ2344" s="717"/>
      <c r="DA2344" s="717"/>
      <c r="DB2344" s="717"/>
      <c r="DC2344" s="717"/>
      <c r="DD2344" s="717"/>
      <c r="DE2344" s="717"/>
      <c r="DF2344" s="717"/>
      <c r="DG2344" s="717"/>
      <c r="DH2344" s="717"/>
      <c r="DI2344" s="717"/>
      <c r="DJ2344" s="717"/>
      <c r="DM2344" s="711"/>
      <c r="DN2344" s="711"/>
      <c r="DO2344" s="711"/>
      <c r="DP2344" s="711"/>
      <c r="DQ2344" s="711"/>
    </row>
    <row r="2345" spans="13:121" s="709" customFormat="1" hidden="1">
      <c r="M2345" s="710"/>
      <c r="P2345" s="711"/>
      <c r="Q2345" s="712"/>
      <c r="U2345" s="711"/>
      <c r="V2345" s="711"/>
      <c r="W2345" s="711"/>
      <c r="X2345" s="711"/>
      <c r="Y2345" s="711"/>
      <c r="Z2345" s="711"/>
      <c r="AU2345" s="713"/>
      <c r="AW2345" s="712"/>
      <c r="BY2345" s="714"/>
      <c r="BZ2345" s="715"/>
      <c r="CA2345" s="716"/>
      <c r="CB2345" s="717"/>
      <c r="CC2345" s="717"/>
      <c r="CD2345" s="717"/>
      <c r="CE2345" s="717"/>
      <c r="CF2345" s="717"/>
      <c r="CG2345" s="717"/>
      <c r="CH2345" s="717"/>
      <c r="CI2345" s="717"/>
      <c r="CJ2345" s="717"/>
      <c r="CK2345" s="717"/>
      <c r="CL2345" s="717"/>
      <c r="CM2345" s="717"/>
      <c r="CN2345" s="717"/>
      <c r="CO2345" s="717"/>
      <c r="CP2345" s="717"/>
      <c r="CQ2345" s="717"/>
      <c r="CR2345" s="717"/>
      <c r="CS2345" s="717"/>
      <c r="CT2345" s="717"/>
      <c r="CU2345" s="717"/>
      <c r="CV2345" s="717"/>
      <c r="CW2345" s="717"/>
      <c r="CX2345" s="717"/>
      <c r="CY2345" s="717"/>
      <c r="CZ2345" s="717"/>
      <c r="DA2345" s="717"/>
      <c r="DB2345" s="717"/>
      <c r="DC2345" s="717"/>
      <c r="DD2345" s="717"/>
      <c r="DE2345" s="717"/>
      <c r="DF2345" s="717"/>
      <c r="DG2345" s="717"/>
      <c r="DH2345" s="717"/>
      <c r="DI2345" s="717"/>
      <c r="DJ2345" s="717"/>
      <c r="DM2345" s="711"/>
      <c r="DN2345" s="711"/>
      <c r="DO2345" s="711"/>
      <c r="DP2345" s="711"/>
      <c r="DQ2345" s="711"/>
    </row>
    <row r="2346" spans="13:121" s="709" customFormat="1" hidden="1">
      <c r="M2346" s="710"/>
      <c r="P2346" s="711"/>
      <c r="Q2346" s="712"/>
      <c r="U2346" s="711"/>
      <c r="V2346" s="711"/>
      <c r="W2346" s="711"/>
      <c r="X2346" s="711"/>
      <c r="Y2346" s="711"/>
      <c r="Z2346" s="711"/>
      <c r="AU2346" s="713"/>
      <c r="AW2346" s="712"/>
      <c r="BY2346" s="714"/>
      <c r="BZ2346" s="715"/>
      <c r="CA2346" s="716"/>
      <c r="CB2346" s="717"/>
      <c r="CC2346" s="717"/>
      <c r="CD2346" s="717"/>
      <c r="CE2346" s="717"/>
      <c r="CF2346" s="717"/>
      <c r="CG2346" s="717"/>
      <c r="CH2346" s="717"/>
      <c r="CI2346" s="717"/>
      <c r="CJ2346" s="717"/>
      <c r="CK2346" s="717"/>
      <c r="CL2346" s="717"/>
      <c r="CM2346" s="717"/>
      <c r="CN2346" s="717"/>
      <c r="CO2346" s="717"/>
      <c r="CP2346" s="717"/>
      <c r="CQ2346" s="717"/>
      <c r="CR2346" s="717"/>
      <c r="CS2346" s="717"/>
      <c r="CT2346" s="717"/>
      <c r="CU2346" s="717"/>
      <c r="CV2346" s="717"/>
      <c r="CW2346" s="717"/>
      <c r="CX2346" s="717"/>
      <c r="CY2346" s="717"/>
      <c r="CZ2346" s="717"/>
      <c r="DA2346" s="717"/>
      <c r="DB2346" s="717"/>
      <c r="DC2346" s="717"/>
      <c r="DD2346" s="717"/>
      <c r="DE2346" s="717"/>
      <c r="DF2346" s="717"/>
      <c r="DG2346" s="717"/>
      <c r="DH2346" s="717"/>
      <c r="DI2346" s="717"/>
      <c r="DJ2346" s="717"/>
      <c r="DM2346" s="711"/>
      <c r="DN2346" s="711"/>
      <c r="DO2346" s="711"/>
      <c r="DP2346" s="711"/>
      <c r="DQ2346" s="711"/>
    </row>
    <row r="2347" spans="13:121" s="709" customFormat="1" hidden="1">
      <c r="M2347" s="710"/>
      <c r="P2347" s="711"/>
      <c r="Q2347" s="712"/>
      <c r="U2347" s="711"/>
      <c r="V2347" s="711"/>
      <c r="W2347" s="711"/>
      <c r="X2347" s="711"/>
      <c r="Y2347" s="711"/>
      <c r="Z2347" s="711"/>
      <c r="AU2347" s="713"/>
      <c r="AW2347" s="712"/>
      <c r="BY2347" s="714"/>
      <c r="BZ2347" s="715"/>
      <c r="CA2347" s="716"/>
      <c r="CB2347" s="717"/>
      <c r="CC2347" s="717"/>
      <c r="CD2347" s="717"/>
      <c r="CE2347" s="717"/>
      <c r="CF2347" s="717"/>
      <c r="CG2347" s="717"/>
      <c r="CH2347" s="717"/>
      <c r="CI2347" s="717"/>
      <c r="CJ2347" s="717"/>
      <c r="CK2347" s="717"/>
      <c r="CL2347" s="717"/>
      <c r="CM2347" s="717"/>
      <c r="CN2347" s="717"/>
      <c r="CO2347" s="717"/>
      <c r="CP2347" s="717"/>
      <c r="CQ2347" s="717"/>
      <c r="CR2347" s="717"/>
      <c r="CS2347" s="717"/>
      <c r="CT2347" s="717"/>
      <c r="CU2347" s="717"/>
      <c r="CV2347" s="717"/>
      <c r="CW2347" s="717"/>
      <c r="CX2347" s="717"/>
      <c r="CY2347" s="717"/>
      <c r="CZ2347" s="717"/>
      <c r="DA2347" s="717"/>
      <c r="DB2347" s="717"/>
      <c r="DC2347" s="717"/>
      <c r="DD2347" s="717"/>
      <c r="DE2347" s="717"/>
      <c r="DF2347" s="717"/>
      <c r="DG2347" s="717"/>
      <c r="DH2347" s="717"/>
      <c r="DI2347" s="717"/>
      <c r="DJ2347" s="717"/>
      <c r="DM2347" s="711"/>
      <c r="DN2347" s="711"/>
      <c r="DO2347" s="711"/>
      <c r="DP2347" s="711"/>
      <c r="DQ2347" s="711"/>
    </row>
    <row r="2348" spans="13:121" s="709" customFormat="1" hidden="1">
      <c r="M2348" s="710"/>
      <c r="P2348" s="711"/>
      <c r="Q2348" s="712"/>
      <c r="U2348" s="711"/>
      <c r="V2348" s="711"/>
      <c r="W2348" s="711"/>
      <c r="X2348" s="711"/>
      <c r="Y2348" s="711"/>
      <c r="Z2348" s="711"/>
      <c r="AU2348" s="713"/>
      <c r="AW2348" s="712"/>
      <c r="BY2348" s="714"/>
      <c r="BZ2348" s="715"/>
      <c r="CA2348" s="716"/>
      <c r="CB2348" s="717"/>
      <c r="CC2348" s="717"/>
      <c r="CD2348" s="717"/>
      <c r="CE2348" s="717"/>
      <c r="CF2348" s="717"/>
      <c r="CG2348" s="717"/>
      <c r="CH2348" s="717"/>
      <c r="CI2348" s="717"/>
      <c r="CJ2348" s="717"/>
      <c r="CK2348" s="717"/>
      <c r="CL2348" s="717"/>
      <c r="CM2348" s="717"/>
      <c r="CN2348" s="717"/>
      <c r="CO2348" s="717"/>
      <c r="CP2348" s="717"/>
      <c r="CQ2348" s="717"/>
      <c r="CR2348" s="717"/>
      <c r="CS2348" s="717"/>
      <c r="CT2348" s="717"/>
      <c r="CU2348" s="717"/>
      <c r="CV2348" s="717"/>
      <c r="CW2348" s="717"/>
      <c r="CX2348" s="717"/>
      <c r="CY2348" s="717"/>
      <c r="CZ2348" s="717"/>
      <c r="DA2348" s="717"/>
      <c r="DB2348" s="717"/>
      <c r="DC2348" s="717"/>
      <c r="DD2348" s="717"/>
      <c r="DE2348" s="717"/>
      <c r="DF2348" s="717"/>
      <c r="DG2348" s="717"/>
      <c r="DH2348" s="717"/>
      <c r="DI2348" s="717"/>
      <c r="DJ2348" s="717"/>
      <c r="DM2348" s="711"/>
      <c r="DN2348" s="711"/>
      <c r="DO2348" s="711"/>
      <c r="DP2348" s="711"/>
      <c r="DQ2348" s="711"/>
    </row>
    <row r="2349" spans="13:121" s="709" customFormat="1" hidden="1">
      <c r="M2349" s="710"/>
      <c r="P2349" s="711"/>
      <c r="Q2349" s="712"/>
      <c r="U2349" s="711"/>
      <c r="V2349" s="711"/>
      <c r="W2349" s="711"/>
      <c r="X2349" s="711"/>
      <c r="Y2349" s="711"/>
      <c r="Z2349" s="711"/>
      <c r="AU2349" s="713"/>
      <c r="AW2349" s="712"/>
      <c r="BY2349" s="714"/>
      <c r="BZ2349" s="715"/>
      <c r="CA2349" s="716"/>
      <c r="CB2349" s="717"/>
      <c r="CC2349" s="717"/>
      <c r="CD2349" s="717"/>
      <c r="CE2349" s="717"/>
      <c r="CF2349" s="717"/>
      <c r="CG2349" s="717"/>
      <c r="CH2349" s="717"/>
      <c r="CI2349" s="717"/>
      <c r="CJ2349" s="717"/>
      <c r="CK2349" s="717"/>
      <c r="CL2349" s="717"/>
      <c r="CM2349" s="717"/>
      <c r="CN2349" s="717"/>
      <c r="CO2349" s="717"/>
      <c r="CP2349" s="717"/>
      <c r="CQ2349" s="717"/>
      <c r="CR2349" s="717"/>
      <c r="CS2349" s="717"/>
      <c r="CT2349" s="717"/>
      <c r="CU2349" s="717"/>
      <c r="CV2349" s="717"/>
      <c r="CW2349" s="717"/>
      <c r="CX2349" s="717"/>
      <c r="CY2349" s="717"/>
      <c r="CZ2349" s="717"/>
      <c r="DA2349" s="717"/>
      <c r="DB2349" s="717"/>
      <c r="DC2349" s="717"/>
      <c r="DD2349" s="717"/>
      <c r="DE2349" s="717"/>
      <c r="DF2349" s="717"/>
      <c r="DG2349" s="717"/>
      <c r="DH2349" s="717"/>
      <c r="DI2349" s="717"/>
      <c r="DJ2349" s="717"/>
      <c r="DM2349" s="711"/>
      <c r="DN2349" s="711"/>
      <c r="DO2349" s="711"/>
      <c r="DP2349" s="711"/>
      <c r="DQ2349" s="711"/>
    </row>
    <row r="2350" spans="13:121" s="709" customFormat="1" hidden="1">
      <c r="M2350" s="710"/>
      <c r="P2350" s="711"/>
      <c r="Q2350" s="712"/>
      <c r="U2350" s="711"/>
      <c r="V2350" s="711"/>
      <c r="W2350" s="711"/>
      <c r="X2350" s="711"/>
      <c r="Y2350" s="711"/>
      <c r="Z2350" s="711"/>
      <c r="AU2350" s="713"/>
      <c r="AW2350" s="712"/>
      <c r="BY2350" s="714"/>
      <c r="BZ2350" s="715"/>
      <c r="CA2350" s="716"/>
      <c r="CB2350" s="717"/>
      <c r="CC2350" s="717"/>
      <c r="CD2350" s="717"/>
      <c r="CE2350" s="717"/>
      <c r="CF2350" s="717"/>
      <c r="CG2350" s="717"/>
      <c r="CH2350" s="717"/>
      <c r="CI2350" s="717"/>
      <c r="CJ2350" s="717"/>
      <c r="CK2350" s="717"/>
      <c r="CL2350" s="717"/>
      <c r="CM2350" s="717"/>
      <c r="CN2350" s="717"/>
      <c r="CO2350" s="717"/>
      <c r="CP2350" s="717"/>
      <c r="CQ2350" s="717"/>
      <c r="CR2350" s="717"/>
      <c r="CS2350" s="717"/>
      <c r="CT2350" s="717"/>
      <c r="CU2350" s="717"/>
      <c r="CV2350" s="717"/>
      <c r="CW2350" s="717"/>
      <c r="CX2350" s="717"/>
      <c r="CY2350" s="717"/>
      <c r="CZ2350" s="717"/>
      <c r="DA2350" s="717"/>
      <c r="DB2350" s="717"/>
      <c r="DC2350" s="717"/>
      <c r="DD2350" s="717"/>
      <c r="DE2350" s="717"/>
      <c r="DF2350" s="717"/>
      <c r="DG2350" s="717"/>
      <c r="DH2350" s="717"/>
      <c r="DI2350" s="717"/>
      <c r="DJ2350" s="717"/>
      <c r="DM2350" s="711"/>
      <c r="DN2350" s="711"/>
      <c r="DO2350" s="711"/>
      <c r="DP2350" s="711"/>
      <c r="DQ2350" s="711"/>
    </row>
    <row r="2351" spans="13:121" s="709" customFormat="1" hidden="1">
      <c r="M2351" s="710"/>
      <c r="P2351" s="711"/>
      <c r="Q2351" s="712"/>
      <c r="U2351" s="711"/>
      <c r="V2351" s="711"/>
      <c r="W2351" s="711"/>
      <c r="X2351" s="711"/>
      <c r="Y2351" s="711"/>
      <c r="Z2351" s="711"/>
      <c r="AU2351" s="713"/>
      <c r="AW2351" s="712"/>
      <c r="BY2351" s="714"/>
      <c r="BZ2351" s="715"/>
      <c r="CA2351" s="716"/>
      <c r="CB2351" s="717"/>
      <c r="CC2351" s="717"/>
      <c r="CD2351" s="717"/>
      <c r="CE2351" s="717"/>
      <c r="CF2351" s="717"/>
      <c r="CG2351" s="717"/>
      <c r="CH2351" s="717"/>
      <c r="CI2351" s="717"/>
      <c r="CJ2351" s="717"/>
      <c r="CK2351" s="717"/>
      <c r="CL2351" s="717"/>
      <c r="CM2351" s="717"/>
      <c r="CN2351" s="717"/>
      <c r="CO2351" s="717"/>
      <c r="CP2351" s="717"/>
      <c r="CQ2351" s="717"/>
      <c r="CR2351" s="717"/>
      <c r="CS2351" s="717"/>
      <c r="CT2351" s="717"/>
      <c r="CU2351" s="717"/>
      <c r="CV2351" s="717"/>
      <c r="CW2351" s="717"/>
      <c r="CX2351" s="717"/>
      <c r="CY2351" s="717"/>
      <c r="CZ2351" s="717"/>
      <c r="DA2351" s="717"/>
      <c r="DB2351" s="717"/>
      <c r="DC2351" s="717"/>
      <c r="DD2351" s="717"/>
      <c r="DE2351" s="717"/>
      <c r="DF2351" s="717"/>
      <c r="DG2351" s="717"/>
      <c r="DH2351" s="717"/>
      <c r="DI2351" s="717"/>
      <c r="DJ2351" s="717"/>
      <c r="DM2351" s="711"/>
      <c r="DN2351" s="711"/>
      <c r="DO2351" s="711"/>
      <c r="DP2351" s="711"/>
      <c r="DQ2351" s="711"/>
    </row>
    <row r="2352" spans="13:121" s="709" customFormat="1" hidden="1">
      <c r="M2352" s="710"/>
      <c r="P2352" s="711"/>
      <c r="Q2352" s="712"/>
      <c r="U2352" s="711"/>
      <c r="V2352" s="711"/>
      <c r="W2352" s="711"/>
      <c r="X2352" s="711"/>
      <c r="Y2352" s="711"/>
      <c r="Z2352" s="711"/>
      <c r="AU2352" s="713"/>
      <c r="AW2352" s="712"/>
      <c r="BY2352" s="714"/>
      <c r="BZ2352" s="715"/>
      <c r="CA2352" s="716"/>
      <c r="CB2352" s="717"/>
      <c r="CC2352" s="717"/>
      <c r="CD2352" s="717"/>
      <c r="CE2352" s="717"/>
      <c r="CF2352" s="717"/>
      <c r="CG2352" s="717"/>
      <c r="CH2352" s="717"/>
      <c r="CI2352" s="717"/>
      <c r="CJ2352" s="717"/>
      <c r="CK2352" s="717"/>
      <c r="CL2352" s="717"/>
      <c r="CM2352" s="717"/>
      <c r="CN2352" s="717"/>
      <c r="CO2352" s="717"/>
      <c r="CP2352" s="717"/>
      <c r="CQ2352" s="717"/>
      <c r="CR2352" s="717"/>
      <c r="CS2352" s="717"/>
      <c r="CT2352" s="717"/>
      <c r="CU2352" s="717"/>
      <c r="CV2352" s="717"/>
      <c r="CW2352" s="717"/>
      <c r="CX2352" s="717"/>
      <c r="CY2352" s="717"/>
      <c r="CZ2352" s="717"/>
      <c r="DA2352" s="717"/>
      <c r="DB2352" s="717"/>
      <c r="DC2352" s="717"/>
      <c r="DD2352" s="717"/>
      <c r="DE2352" s="717"/>
      <c r="DF2352" s="717"/>
      <c r="DG2352" s="717"/>
      <c r="DH2352" s="717"/>
      <c r="DI2352" s="717"/>
      <c r="DJ2352" s="717"/>
      <c r="DM2352" s="711"/>
      <c r="DN2352" s="711"/>
      <c r="DO2352" s="711"/>
      <c r="DP2352" s="711"/>
      <c r="DQ2352" s="711"/>
    </row>
    <row r="2353" spans="13:121" s="709" customFormat="1" hidden="1">
      <c r="M2353" s="710"/>
      <c r="P2353" s="711"/>
      <c r="Q2353" s="712"/>
      <c r="U2353" s="711"/>
      <c r="V2353" s="711"/>
      <c r="W2353" s="711"/>
      <c r="X2353" s="711"/>
      <c r="Y2353" s="711"/>
      <c r="Z2353" s="711"/>
      <c r="AU2353" s="713"/>
      <c r="AW2353" s="712"/>
      <c r="BY2353" s="714"/>
      <c r="BZ2353" s="715"/>
      <c r="CA2353" s="716"/>
      <c r="CB2353" s="717"/>
      <c r="CC2353" s="717"/>
      <c r="CD2353" s="717"/>
      <c r="CE2353" s="717"/>
      <c r="CF2353" s="717"/>
      <c r="CG2353" s="717"/>
      <c r="CH2353" s="717"/>
      <c r="CI2353" s="717"/>
      <c r="CJ2353" s="717"/>
      <c r="CK2353" s="717"/>
      <c r="CL2353" s="717"/>
      <c r="CM2353" s="717"/>
      <c r="CN2353" s="717"/>
      <c r="CO2353" s="717"/>
      <c r="CP2353" s="717"/>
      <c r="CQ2353" s="717"/>
      <c r="CR2353" s="717"/>
      <c r="CS2353" s="717"/>
      <c r="CT2353" s="717"/>
      <c r="CU2353" s="717"/>
      <c r="CV2353" s="717"/>
      <c r="CW2353" s="717"/>
      <c r="CX2353" s="717"/>
      <c r="CY2353" s="717"/>
      <c r="CZ2353" s="717"/>
      <c r="DA2353" s="717"/>
      <c r="DB2353" s="717"/>
      <c r="DC2353" s="717"/>
      <c r="DD2353" s="717"/>
      <c r="DE2353" s="717"/>
      <c r="DF2353" s="717"/>
      <c r="DG2353" s="717"/>
      <c r="DH2353" s="717"/>
      <c r="DI2353" s="717"/>
      <c r="DJ2353" s="717"/>
      <c r="DM2353" s="711"/>
      <c r="DN2353" s="711"/>
      <c r="DO2353" s="711"/>
      <c r="DP2353" s="711"/>
      <c r="DQ2353" s="711"/>
    </row>
    <row r="2354" spans="13:121" s="709" customFormat="1" hidden="1">
      <c r="M2354" s="710"/>
      <c r="P2354" s="711"/>
      <c r="Q2354" s="712"/>
      <c r="U2354" s="711"/>
      <c r="V2354" s="711"/>
      <c r="W2354" s="711"/>
      <c r="X2354" s="711"/>
      <c r="Y2354" s="711"/>
      <c r="Z2354" s="711"/>
      <c r="AU2354" s="713"/>
      <c r="AW2354" s="712"/>
      <c r="BY2354" s="714"/>
      <c r="BZ2354" s="715"/>
      <c r="CA2354" s="716"/>
      <c r="CB2354" s="717"/>
      <c r="CC2354" s="717"/>
      <c r="CD2354" s="717"/>
      <c r="CE2354" s="717"/>
      <c r="CF2354" s="717"/>
      <c r="CG2354" s="717"/>
      <c r="CH2354" s="717"/>
      <c r="CI2354" s="717"/>
      <c r="CJ2354" s="717"/>
      <c r="CK2354" s="717"/>
      <c r="CL2354" s="717"/>
      <c r="CM2354" s="717"/>
      <c r="CN2354" s="717"/>
      <c r="CO2354" s="717"/>
      <c r="CP2354" s="717"/>
      <c r="CQ2354" s="717"/>
      <c r="CR2354" s="717"/>
      <c r="CS2354" s="717"/>
      <c r="CT2354" s="717"/>
      <c r="CU2354" s="717"/>
      <c r="CV2354" s="717"/>
      <c r="CW2354" s="717"/>
      <c r="CX2354" s="717"/>
      <c r="CY2354" s="717"/>
      <c r="CZ2354" s="717"/>
      <c r="DA2354" s="717"/>
      <c r="DB2354" s="717"/>
      <c r="DC2354" s="717"/>
      <c r="DD2354" s="717"/>
      <c r="DE2354" s="717"/>
      <c r="DF2354" s="717"/>
      <c r="DG2354" s="717"/>
      <c r="DH2354" s="717"/>
      <c r="DI2354" s="717"/>
      <c r="DJ2354" s="717"/>
      <c r="DM2354" s="711"/>
      <c r="DN2354" s="711"/>
      <c r="DO2354" s="711"/>
      <c r="DP2354" s="711"/>
      <c r="DQ2354" s="711"/>
    </row>
    <row r="2355" spans="13:121" s="709" customFormat="1" hidden="1">
      <c r="M2355" s="710"/>
      <c r="P2355" s="711"/>
      <c r="Q2355" s="712"/>
      <c r="U2355" s="711"/>
      <c r="V2355" s="711"/>
      <c r="W2355" s="711"/>
      <c r="X2355" s="711"/>
      <c r="Y2355" s="711"/>
      <c r="Z2355" s="711"/>
      <c r="AU2355" s="713"/>
      <c r="AW2355" s="712"/>
      <c r="BY2355" s="714"/>
      <c r="BZ2355" s="715"/>
      <c r="CA2355" s="716"/>
      <c r="CB2355" s="717"/>
      <c r="CC2355" s="717"/>
      <c r="CD2355" s="717"/>
      <c r="CE2355" s="717"/>
      <c r="CF2355" s="717"/>
      <c r="CG2355" s="717"/>
      <c r="CH2355" s="717"/>
      <c r="CI2355" s="717"/>
      <c r="CJ2355" s="717"/>
      <c r="CK2355" s="717"/>
      <c r="CL2355" s="717"/>
      <c r="CM2355" s="717"/>
      <c r="CN2355" s="717"/>
      <c r="CO2355" s="717"/>
      <c r="CP2355" s="717"/>
      <c r="CQ2355" s="717"/>
      <c r="CR2355" s="717"/>
      <c r="CS2355" s="717"/>
      <c r="CT2355" s="717"/>
      <c r="CU2355" s="717"/>
      <c r="CV2355" s="717"/>
      <c r="CW2355" s="717"/>
      <c r="CX2355" s="717"/>
      <c r="CY2355" s="717"/>
      <c r="CZ2355" s="717"/>
      <c r="DA2355" s="717"/>
      <c r="DB2355" s="717"/>
      <c r="DC2355" s="717"/>
      <c r="DD2355" s="717"/>
      <c r="DE2355" s="717"/>
      <c r="DF2355" s="717"/>
      <c r="DG2355" s="717"/>
      <c r="DH2355" s="717"/>
      <c r="DI2355" s="717"/>
      <c r="DJ2355" s="717"/>
      <c r="DM2355" s="711"/>
      <c r="DN2355" s="711"/>
      <c r="DO2355" s="711"/>
      <c r="DP2355" s="711"/>
      <c r="DQ2355" s="711"/>
    </row>
    <row r="2356" spans="13:121" s="709" customFormat="1" hidden="1">
      <c r="M2356" s="710"/>
      <c r="P2356" s="711"/>
      <c r="Q2356" s="712"/>
      <c r="U2356" s="711"/>
      <c r="V2356" s="711"/>
      <c r="W2356" s="711"/>
      <c r="X2356" s="711"/>
      <c r="Y2356" s="711"/>
      <c r="Z2356" s="711"/>
      <c r="AU2356" s="713"/>
      <c r="AW2356" s="712"/>
      <c r="BY2356" s="714"/>
      <c r="BZ2356" s="715"/>
      <c r="CA2356" s="716"/>
      <c r="CB2356" s="717"/>
      <c r="CC2356" s="717"/>
      <c r="CD2356" s="717"/>
      <c r="CE2356" s="717"/>
      <c r="CF2356" s="717"/>
      <c r="CG2356" s="717"/>
      <c r="CH2356" s="717"/>
      <c r="CI2356" s="717"/>
      <c r="CJ2356" s="717"/>
      <c r="CK2356" s="717"/>
      <c r="CL2356" s="717"/>
      <c r="CM2356" s="717"/>
      <c r="CN2356" s="717"/>
      <c r="CO2356" s="717"/>
      <c r="CP2356" s="717"/>
      <c r="CQ2356" s="717"/>
      <c r="CR2356" s="717"/>
      <c r="CS2356" s="717"/>
      <c r="CT2356" s="717"/>
      <c r="CU2356" s="717"/>
      <c r="CV2356" s="717"/>
      <c r="CW2356" s="717"/>
      <c r="CX2356" s="717"/>
      <c r="CY2356" s="717"/>
      <c r="CZ2356" s="717"/>
      <c r="DA2356" s="717"/>
      <c r="DB2356" s="717"/>
      <c r="DC2356" s="717"/>
      <c r="DD2356" s="717"/>
      <c r="DE2356" s="717"/>
      <c r="DF2356" s="717"/>
      <c r="DG2356" s="717"/>
      <c r="DH2356" s="717"/>
      <c r="DI2356" s="717"/>
      <c r="DJ2356" s="717"/>
      <c r="DM2356" s="711"/>
      <c r="DN2356" s="711"/>
      <c r="DO2356" s="711"/>
      <c r="DP2356" s="711"/>
      <c r="DQ2356" s="711"/>
    </row>
    <row r="2357" spans="13:121" s="709" customFormat="1" hidden="1">
      <c r="M2357" s="710"/>
      <c r="P2357" s="711"/>
      <c r="Q2357" s="712"/>
      <c r="U2357" s="711"/>
      <c r="V2357" s="711"/>
      <c r="W2357" s="711"/>
      <c r="X2357" s="711"/>
      <c r="Y2357" s="711"/>
      <c r="Z2357" s="711"/>
      <c r="AU2357" s="713"/>
      <c r="AW2357" s="712"/>
      <c r="BY2357" s="714"/>
      <c r="BZ2357" s="715"/>
      <c r="CA2357" s="716"/>
      <c r="CB2357" s="717"/>
      <c r="CC2357" s="717"/>
      <c r="CD2357" s="717"/>
      <c r="CE2357" s="717"/>
      <c r="CF2357" s="717"/>
      <c r="CG2357" s="717"/>
      <c r="CH2357" s="717"/>
      <c r="CI2357" s="717"/>
      <c r="CJ2357" s="717"/>
      <c r="CK2357" s="717"/>
      <c r="CL2357" s="717"/>
      <c r="CM2357" s="717"/>
      <c r="CN2357" s="717"/>
      <c r="CO2357" s="717"/>
      <c r="CP2357" s="717"/>
      <c r="CQ2357" s="717"/>
      <c r="CR2357" s="717"/>
      <c r="CS2357" s="717"/>
      <c r="CT2357" s="717"/>
      <c r="CU2357" s="717"/>
      <c r="CV2357" s="717"/>
      <c r="CW2357" s="717"/>
      <c r="CX2357" s="717"/>
      <c r="CY2357" s="717"/>
      <c r="CZ2357" s="717"/>
      <c r="DA2357" s="717"/>
      <c r="DB2357" s="717"/>
      <c r="DC2357" s="717"/>
      <c r="DD2357" s="717"/>
      <c r="DE2357" s="717"/>
      <c r="DF2357" s="717"/>
      <c r="DG2357" s="717"/>
      <c r="DH2357" s="717"/>
      <c r="DI2357" s="717"/>
      <c r="DJ2357" s="717"/>
      <c r="DM2357" s="711"/>
      <c r="DN2357" s="711"/>
      <c r="DO2357" s="711"/>
      <c r="DP2357" s="711"/>
      <c r="DQ2357" s="711"/>
    </row>
    <row r="2358" spans="13:121" s="709" customFormat="1" hidden="1">
      <c r="M2358" s="710"/>
      <c r="P2358" s="711"/>
      <c r="Q2358" s="712"/>
      <c r="U2358" s="711"/>
      <c r="V2358" s="711"/>
      <c r="W2358" s="711"/>
      <c r="X2358" s="711"/>
      <c r="Y2358" s="711"/>
      <c r="Z2358" s="711"/>
      <c r="AU2358" s="713"/>
      <c r="AW2358" s="712"/>
      <c r="BY2358" s="714"/>
      <c r="BZ2358" s="715"/>
      <c r="CA2358" s="716"/>
      <c r="CB2358" s="717"/>
      <c r="CC2358" s="717"/>
      <c r="CD2358" s="717"/>
      <c r="CE2358" s="717"/>
      <c r="CF2358" s="717"/>
      <c r="CG2358" s="717"/>
      <c r="CH2358" s="717"/>
      <c r="CI2358" s="717"/>
      <c r="CJ2358" s="717"/>
      <c r="CK2358" s="717"/>
      <c r="CL2358" s="717"/>
      <c r="CM2358" s="717"/>
      <c r="CN2358" s="717"/>
      <c r="CO2358" s="717"/>
      <c r="CP2358" s="717"/>
      <c r="CQ2358" s="717"/>
      <c r="CR2358" s="717"/>
      <c r="CS2358" s="717"/>
      <c r="CT2358" s="717"/>
      <c r="CU2358" s="717"/>
      <c r="CV2358" s="717"/>
      <c r="CW2358" s="717"/>
      <c r="CX2358" s="717"/>
      <c r="CY2358" s="717"/>
      <c r="CZ2358" s="717"/>
      <c r="DA2358" s="717"/>
      <c r="DB2358" s="717"/>
      <c r="DC2358" s="717"/>
      <c r="DD2358" s="717"/>
      <c r="DE2358" s="717"/>
      <c r="DF2358" s="717"/>
      <c r="DG2358" s="717"/>
      <c r="DH2358" s="717"/>
      <c r="DI2358" s="717"/>
      <c r="DJ2358" s="717"/>
      <c r="DM2358" s="711"/>
      <c r="DN2358" s="711"/>
      <c r="DO2358" s="711"/>
      <c r="DP2358" s="711"/>
      <c r="DQ2358" s="711"/>
    </row>
    <row r="2359" spans="13:121" s="709" customFormat="1" hidden="1">
      <c r="M2359" s="710"/>
      <c r="P2359" s="711"/>
      <c r="Q2359" s="712"/>
      <c r="U2359" s="711"/>
      <c r="V2359" s="711"/>
      <c r="W2359" s="711"/>
      <c r="X2359" s="711"/>
      <c r="Y2359" s="711"/>
      <c r="Z2359" s="711"/>
      <c r="AU2359" s="713"/>
      <c r="AW2359" s="712"/>
      <c r="BY2359" s="714"/>
      <c r="BZ2359" s="715"/>
      <c r="CA2359" s="716"/>
      <c r="CB2359" s="717"/>
      <c r="CC2359" s="717"/>
      <c r="CD2359" s="717"/>
      <c r="CE2359" s="717"/>
      <c r="CF2359" s="717"/>
      <c r="CG2359" s="717"/>
      <c r="CH2359" s="717"/>
      <c r="CI2359" s="717"/>
      <c r="CJ2359" s="717"/>
      <c r="CK2359" s="717"/>
      <c r="CL2359" s="717"/>
      <c r="CM2359" s="717"/>
      <c r="CN2359" s="717"/>
      <c r="CO2359" s="717"/>
      <c r="CP2359" s="717"/>
      <c r="CQ2359" s="717"/>
      <c r="CR2359" s="717"/>
      <c r="CS2359" s="717"/>
      <c r="CT2359" s="717"/>
      <c r="CU2359" s="717"/>
      <c r="CV2359" s="717"/>
      <c r="CW2359" s="717"/>
      <c r="CX2359" s="717"/>
      <c r="CY2359" s="717"/>
      <c r="CZ2359" s="717"/>
      <c r="DA2359" s="717"/>
      <c r="DB2359" s="717"/>
      <c r="DC2359" s="717"/>
      <c r="DD2359" s="717"/>
      <c r="DE2359" s="717"/>
      <c r="DF2359" s="717"/>
      <c r="DG2359" s="717"/>
      <c r="DH2359" s="717"/>
      <c r="DI2359" s="717"/>
      <c r="DJ2359" s="717"/>
      <c r="DM2359" s="711"/>
      <c r="DN2359" s="711"/>
      <c r="DO2359" s="711"/>
      <c r="DP2359" s="711"/>
      <c r="DQ2359" s="711"/>
    </row>
    <row r="2360" spans="13:121" s="709" customFormat="1" hidden="1">
      <c r="M2360" s="710"/>
      <c r="P2360" s="711"/>
      <c r="Q2360" s="712"/>
      <c r="U2360" s="711"/>
      <c r="V2360" s="711"/>
      <c r="W2360" s="711"/>
      <c r="X2360" s="711"/>
      <c r="Y2360" s="711"/>
      <c r="Z2360" s="711"/>
      <c r="AU2360" s="713"/>
      <c r="AW2360" s="712"/>
      <c r="BY2360" s="714"/>
      <c r="BZ2360" s="715"/>
      <c r="CA2360" s="716"/>
      <c r="CB2360" s="717"/>
      <c r="CC2360" s="717"/>
      <c r="CD2360" s="717"/>
      <c r="CE2360" s="717"/>
      <c r="CF2360" s="717"/>
      <c r="CG2360" s="717"/>
      <c r="CH2360" s="717"/>
      <c r="CI2360" s="717"/>
      <c r="CJ2360" s="717"/>
      <c r="CK2360" s="717"/>
      <c r="CL2360" s="717"/>
      <c r="CM2360" s="717"/>
      <c r="CN2360" s="717"/>
      <c r="CO2360" s="717"/>
      <c r="CP2360" s="717"/>
      <c r="CQ2360" s="717"/>
      <c r="CR2360" s="717"/>
      <c r="CS2360" s="717"/>
      <c r="CT2360" s="717"/>
      <c r="CU2360" s="717"/>
      <c r="CV2360" s="717"/>
      <c r="CW2360" s="717"/>
      <c r="CX2360" s="717"/>
      <c r="CY2360" s="717"/>
      <c r="CZ2360" s="717"/>
      <c r="DA2360" s="717"/>
      <c r="DB2360" s="717"/>
      <c r="DC2360" s="717"/>
      <c r="DD2360" s="717"/>
      <c r="DE2360" s="717"/>
      <c r="DF2360" s="717"/>
      <c r="DG2360" s="717"/>
      <c r="DH2360" s="717"/>
      <c r="DI2360" s="717"/>
      <c r="DJ2360" s="717"/>
      <c r="DM2360" s="711"/>
      <c r="DN2360" s="711"/>
      <c r="DO2360" s="711"/>
      <c r="DP2360" s="711"/>
      <c r="DQ2360" s="711"/>
    </row>
    <row r="2361" spans="13:121" s="709" customFormat="1" hidden="1">
      <c r="M2361" s="710"/>
      <c r="P2361" s="711"/>
      <c r="Q2361" s="712"/>
      <c r="U2361" s="711"/>
      <c r="V2361" s="711"/>
      <c r="W2361" s="711"/>
      <c r="X2361" s="711"/>
      <c r="Y2361" s="711"/>
      <c r="Z2361" s="711"/>
      <c r="AU2361" s="713"/>
      <c r="AW2361" s="712"/>
      <c r="BY2361" s="714"/>
      <c r="BZ2361" s="715"/>
      <c r="CA2361" s="716"/>
      <c r="CB2361" s="717"/>
      <c r="CC2361" s="717"/>
      <c r="CD2361" s="717"/>
      <c r="CE2361" s="717"/>
      <c r="CF2361" s="717"/>
      <c r="CG2361" s="717"/>
      <c r="CH2361" s="717"/>
      <c r="CI2361" s="717"/>
      <c r="CJ2361" s="717"/>
      <c r="CK2361" s="717"/>
      <c r="CL2361" s="717"/>
      <c r="CM2361" s="717"/>
      <c r="CN2361" s="717"/>
      <c r="CO2361" s="717"/>
      <c r="CP2361" s="717"/>
      <c r="CQ2361" s="717"/>
      <c r="CR2361" s="717"/>
      <c r="CS2361" s="717"/>
      <c r="CT2361" s="717"/>
      <c r="CU2361" s="717"/>
      <c r="CV2361" s="717"/>
      <c r="CW2361" s="717"/>
      <c r="CX2361" s="717"/>
      <c r="CY2361" s="717"/>
      <c r="CZ2361" s="717"/>
      <c r="DA2361" s="717"/>
      <c r="DB2361" s="717"/>
      <c r="DC2361" s="717"/>
      <c r="DD2361" s="717"/>
      <c r="DE2361" s="717"/>
      <c r="DF2361" s="717"/>
      <c r="DG2361" s="717"/>
      <c r="DH2361" s="717"/>
      <c r="DI2361" s="717"/>
      <c r="DJ2361" s="717"/>
      <c r="DM2361" s="711"/>
      <c r="DN2361" s="711"/>
      <c r="DO2361" s="711"/>
      <c r="DP2361" s="711"/>
      <c r="DQ2361" s="711"/>
    </row>
    <row r="2362" spans="13:121" s="709" customFormat="1" hidden="1">
      <c r="M2362" s="710"/>
      <c r="P2362" s="711"/>
      <c r="Q2362" s="712"/>
      <c r="U2362" s="711"/>
      <c r="V2362" s="711"/>
      <c r="W2362" s="711"/>
      <c r="X2362" s="711"/>
      <c r="Y2362" s="711"/>
      <c r="Z2362" s="711"/>
      <c r="AU2362" s="713"/>
      <c r="AW2362" s="712"/>
      <c r="BY2362" s="714"/>
      <c r="BZ2362" s="715"/>
      <c r="CA2362" s="716"/>
      <c r="CB2362" s="717"/>
      <c r="CC2362" s="717"/>
      <c r="CD2362" s="717"/>
      <c r="CE2362" s="717"/>
      <c r="CF2362" s="717"/>
      <c r="CG2362" s="717"/>
      <c r="CH2362" s="717"/>
      <c r="CI2362" s="717"/>
      <c r="CJ2362" s="717"/>
      <c r="CK2362" s="717"/>
      <c r="CL2362" s="717"/>
      <c r="CM2362" s="717"/>
      <c r="CN2362" s="717"/>
      <c r="CO2362" s="717"/>
      <c r="CP2362" s="717"/>
      <c r="CQ2362" s="717"/>
      <c r="CR2362" s="717"/>
      <c r="CS2362" s="717"/>
      <c r="CT2362" s="717"/>
      <c r="CU2362" s="717"/>
      <c r="CV2362" s="717"/>
      <c r="CW2362" s="717"/>
      <c r="CX2362" s="717"/>
      <c r="CY2362" s="717"/>
      <c r="CZ2362" s="717"/>
      <c r="DA2362" s="717"/>
      <c r="DB2362" s="717"/>
      <c r="DC2362" s="717"/>
      <c r="DD2362" s="717"/>
      <c r="DE2362" s="717"/>
      <c r="DF2362" s="717"/>
      <c r="DG2362" s="717"/>
      <c r="DH2362" s="717"/>
      <c r="DI2362" s="717"/>
      <c r="DJ2362" s="717"/>
      <c r="DM2362" s="711"/>
      <c r="DN2362" s="711"/>
      <c r="DO2362" s="711"/>
      <c r="DP2362" s="711"/>
      <c r="DQ2362" s="711"/>
    </row>
    <row r="2363" spans="13:121" s="709" customFormat="1" hidden="1">
      <c r="M2363" s="710"/>
      <c r="P2363" s="711"/>
      <c r="Q2363" s="712"/>
      <c r="U2363" s="711"/>
      <c r="V2363" s="711"/>
      <c r="W2363" s="711"/>
      <c r="X2363" s="711"/>
      <c r="Y2363" s="711"/>
      <c r="Z2363" s="711"/>
      <c r="AU2363" s="713"/>
      <c r="AW2363" s="712"/>
      <c r="BY2363" s="714"/>
      <c r="BZ2363" s="715"/>
      <c r="CA2363" s="716"/>
      <c r="CB2363" s="717"/>
      <c r="CC2363" s="717"/>
      <c r="CD2363" s="717"/>
      <c r="CE2363" s="717"/>
      <c r="CF2363" s="717"/>
      <c r="CG2363" s="717"/>
      <c r="CH2363" s="717"/>
      <c r="CI2363" s="717"/>
      <c r="CJ2363" s="717"/>
      <c r="CK2363" s="717"/>
      <c r="CL2363" s="717"/>
      <c r="CM2363" s="717"/>
      <c r="CN2363" s="717"/>
      <c r="CO2363" s="717"/>
      <c r="CP2363" s="717"/>
      <c r="CQ2363" s="717"/>
      <c r="CR2363" s="717"/>
      <c r="CS2363" s="717"/>
      <c r="CT2363" s="717"/>
      <c r="CU2363" s="717"/>
      <c r="CV2363" s="717"/>
      <c r="CW2363" s="717"/>
      <c r="CX2363" s="717"/>
      <c r="CY2363" s="717"/>
      <c r="CZ2363" s="717"/>
      <c r="DA2363" s="717"/>
      <c r="DB2363" s="717"/>
      <c r="DC2363" s="717"/>
      <c r="DD2363" s="717"/>
      <c r="DE2363" s="717"/>
      <c r="DF2363" s="717"/>
      <c r="DG2363" s="717"/>
      <c r="DH2363" s="717"/>
      <c r="DI2363" s="717"/>
      <c r="DJ2363" s="717"/>
      <c r="DM2363" s="711"/>
      <c r="DN2363" s="711"/>
      <c r="DO2363" s="711"/>
      <c r="DP2363" s="711"/>
      <c r="DQ2363" s="711"/>
    </row>
    <row r="2364" spans="13:121" s="709" customFormat="1" hidden="1">
      <c r="M2364" s="710"/>
      <c r="P2364" s="711"/>
      <c r="Q2364" s="712"/>
      <c r="U2364" s="711"/>
      <c r="V2364" s="711"/>
      <c r="W2364" s="711"/>
      <c r="X2364" s="711"/>
      <c r="Y2364" s="711"/>
      <c r="Z2364" s="711"/>
      <c r="AU2364" s="713"/>
      <c r="AW2364" s="712"/>
      <c r="BY2364" s="714"/>
      <c r="BZ2364" s="715"/>
      <c r="CA2364" s="716"/>
      <c r="CB2364" s="717"/>
      <c r="CC2364" s="717"/>
      <c r="CD2364" s="717"/>
      <c r="CE2364" s="717"/>
      <c r="CF2364" s="717"/>
      <c r="CG2364" s="717"/>
      <c r="CH2364" s="717"/>
      <c r="CI2364" s="717"/>
      <c r="CJ2364" s="717"/>
      <c r="CK2364" s="717"/>
      <c r="CL2364" s="717"/>
      <c r="CM2364" s="717"/>
      <c r="CN2364" s="717"/>
      <c r="CO2364" s="717"/>
      <c r="CP2364" s="717"/>
      <c r="CQ2364" s="717"/>
      <c r="CR2364" s="717"/>
      <c r="CS2364" s="717"/>
      <c r="CT2364" s="717"/>
      <c r="CU2364" s="717"/>
      <c r="CV2364" s="717"/>
      <c r="CW2364" s="717"/>
      <c r="CX2364" s="717"/>
      <c r="CY2364" s="717"/>
      <c r="CZ2364" s="717"/>
      <c r="DA2364" s="717"/>
      <c r="DB2364" s="717"/>
      <c r="DC2364" s="717"/>
      <c r="DD2364" s="717"/>
      <c r="DE2364" s="717"/>
      <c r="DF2364" s="717"/>
      <c r="DG2364" s="717"/>
      <c r="DH2364" s="717"/>
      <c r="DI2364" s="717"/>
      <c r="DJ2364" s="717"/>
      <c r="DM2364" s="711"/>
      <c r="DN2364" s="711"/>
      <c r="DO2364" s="711"/>
      <c r="DP2364" s="711"/>
      <c r="DQ2364" s="711"/>
    </row>
    <row r="2365" spans="13:121" s="709" customFormat="1" hidden="1">
      <c r="M2365" s="710"/>
      <c r="P2365" s="711"/>
      <c r="Q2365" s="712"/>
      <c r="U2365" s="711"/>
      <c r="V2365" s="711"/>
      <c r="W2365" s="711"/>
      <c r="X2365" s="711"/>
      <c r="Y2365" s="711"/>
      <c r="Z2365" s="711"/>
      <c r="AU2365" s="713"/>
      <c r="AW2365" s="712"/>
      <c r="BY2365" s="714"/>
      <c r="BZ2365" s="715"/>
      <c r="CA2365" s="716"/>
      <c r="CB2365" s="717"/>
      <c r="CC2365" s="717"/>
      <c r="CD2365" s="717"/>
      <c r="CE2365" s="717"/>
      <c r="CF2365" s="717"/>
      <c r="CG2365" s="717"/>
      <c r="CH2365" s="717"/>
      <c r="CI2365" s="717"/>
      <c r="CJ2365" s="717"/>
      <c r="CK2365" s="717"/>
      <c r="CL2365" s="717"/>
      <c r="CM2365" s="717"/>
      <c r="CN2365" s="717"/>
      <c r="CO2365" s="717"/>
      <c r="CP2365" s="717"/>
      <c r="CQ2365" s="717"/>
      <c r="CR2365" s="717"/>
      <c r="CS2365" s="717"/>
      <c r="CT2365" s="717"/>
      <c r="CU2365" s="717"/>
      <c r="CV2365" s="717"/>
      <c r="CW2365" s="717"/>
      <c r="CX2365" s="717"/>
      <c r="CY2365" s="717"/>
      <c r="CZ2365" s="717"/>
      <c r="DA2365" s="717"/>
      <c r="DB2365" s="717"/>
      <c r="DC2365" s="717"/>
      <c r="DD2365" s="717"/>
      <c r="DE2365" s="717"/>
      <c r="DF2365" s="717"/>
      <c r="DG2365" s="717"/>
      <c r="DH2365" s="717"/>
      <c r="DI2365" s="717"/>
      <c r="DJ2365" s="717"/>
      <c r="DM2365" s="711"/>
      <c r="DN2365" s="711"/>
      <c r="DO2365" s="711"/>
      <c r="DP2365" s="711"/>
      <c r="DQ2365" s="711"/>
    </row>
    <row r="2366" spans="13:121" s="709" customFormat="1" hidden="1">
      <c r="M2366" s="710"/>
      <c r="P2366" s="711"/>
      <c r="Q2366" s="712"/>
      <c r="U2366" s="711"/>
      <c r="V2366" s="711"/>
      <c r="W2366" s="711"/>
      <c r="X2366" s="711"/>
      <c r="Y2366" s="711"/>
      <c r="Z2366" s="711"/>
      <c r="AU2366" s="713"/>
      <c r="AW2366" s="712"/>
      <c r="BY2366" s="714"/>
      <c r="BZ2366" s="715"/>
      <c r="CA2366" s="716"/>
      <c r="CB2366" s="717"/>
      <c r="CC2366" s="717"/>
      <c r="CD2366" s="717"/>
      <c r="CE2366" s="717"/>
      <c r="CF2366" s="717"/>
      <c r="CG2366" s="717"/>
      <c r="CH2366" s="717"/>
      <c r="CI2366" s="717"/>
      <c r="CJ2366" s="717"/>
      <c r="CK2366" s="717"/>
      <c r="CL2366" s="717"/>
      <c r="CM2366" s="717"/>
      <c r="CN2366" s="717"/>
      <c r="CO2366" s="717"/>
      <c r="CP2366" s="717"/>
      <c r="CQ2366" s="717"/>
      <c r="CR2366" s="717"/>
      <c r="CS2366" s="717"/>
      <c r="CT2366" s="717"/>
      <c r="CU2366" s="717"/>
      <c r="CV2366" s="717"/>
      <c r="CW2366" s="717"/>
      <c r="CX2366" s="717"/>
      <c r="CY2366" s="717"/>
      <c r="CZ2366" s="717"/>
      <c r="DA2366" s="717"/>
      <c r="DB2366" s="717"/>
      <c r="DC2366" s="717"/>
      <c r="DD2366" s="717"/>
      <c r="DE2366" s="717"/>
      <c r="DF2366" s="717"/>
      <c r="DG2366" s="717"/>
      <c r="DH2366" s="717"/>
      <c r="DI2366" s="717"/>
      <c r="DJ2366" s="717"/>
      <c r="DM2366" s="711"/>
      <c r="DN2366" s="711"/>
      <c r="DO2366" s="711"/>
      <c r="DP2366" s="711"/>
      <c r="DQ2366" s="711"/>
    </row>
    <row r="2367" spans="13:121" s="709" customFormat="1" hidden="1">
      <c r="M2367" s="710"/>
      <c r="P2367" s="711"/>
      <c r="Q2367" s="712"/>
      <c r="U2367" s="711"/>
      <c r="V2367" s="711"/>
      <c r="W2367" s="711"/>
      <c r="X2367" s="711"/>
      <c r="Y2367" s="711"/>
      <c r="Z2367" s="711"/>
      <c r="AU2367" s="713"/>
      <c r="AW2367" s="712"/>
      <c r="BY2367" s="714"/>
      <c r="BZ2367" s="715"/>
      <c r="CA2367" s="716"/>
      <c r="CB2367" s="717"/>
      <c r="CC2367" s="717"/>
      <c r="CD2367" s="717"/>
      <c r="CE2367" s="717"/>
      <c r="CF2367" s="717"/>
      <c r="CG2367" s="717"/>
      <c r="CH2367" s="717"/>
      <c r="CI2367" s="717"/>
      <c r="CJ2367" s="717"/>
      <c r="CK2367" s="717"/>
      <c r="CL2367" s="717"/>
      <c r="CM2367" s="717"/>
      <c r="CN2367" s="717"/>
      <c r="CO2367" s="717"/>
      <c r="CP2367" s="717"/>
      <c r="CQ2367" s="717"/>
      <c r="CR2367" s="717"/>
      <c r="CS2367" s="717"/>
      <c r="CT2367" s="717"/>
      <c r="CU2367" s="717"/>
      <c r="CV2367" s="717"/>
      <c r="CW2367" s="717"/>
      <c r="CX2367" s="717"/>
      <c r="CY2367" s="717"/>
      <c r="CZ2367" s="717"/>
      <c r="DA2367" s="717"/>
      <c r="DB2367" s="717"/>
      <c r="DC2367" s="717"/>
      <c r="DD2367" s="717"/>
      <c r="DE2367" s="717"/>
      <c r="DF2367" s="717"/>
      <c r="DG2367" s="717"/>
      <c r="DH2367" s="717"/>
      <c r="DI2367" s="717"/>
      <c r="DJ2367" s="717"/>
      <c r="DM2367" s="711"/>
      <c r="DN2367" s="711"/>
      <c r="DO2367" s="711"/>
      <c r="DP2367" s="711"/>
      <c r="DQ2367" s="711"/>
    </row>
    <row r="2368" spans="13:121" s="709" customFormat="1" hidden="1">
      <c r="M2368" s="710"/>
      <c r="P2368" s="711"/>
      <c r="Q2368" s="712"/>
      <c r="U2368" s="711"/>
      <c r="V2368" s="711"/>
      <c r="W2368" s="711"/>
      <c r="X2368" s="711"/>
      <c r="Y2368" s="711"/>
      <c r="Z2368" s="711"/>
      <c r="AU2368" s="713"/>
      <c r="AW2368" s="712"/>
      <c r="BY2368" s="714"/>
      <c r="BZ2368" s="715"/>
      <c r="CA2368" s="716"/>
      <c r="CB2368" s="717"/>
      <c r="CC2368" s="717"/>
      <c r="CD2368" s="717"/>
      <c r="CE2368" s="717"/>
      <c r="CF2368" s="717"/>
      <c r="CG2368" s="717"/>
      <c r="CH2368" s="717"/>
      <c r="CI2368" s="717"/>
      <c r="CJ2368" s="717"/>
      <c r="CK2368" s="717"/>
      <c r="CL2368" s="717"/>
      <c r="CM2368" s="717"/>
      <c r="CN2368" s="717"/>
      <c r="CO2368" s="717"/>
      <c r="CP2368" s="717"/>
      <c r="CQ2368" s="717"/>
      <c r="CR2368" s="717"/>
      <c r="CS2368" s="717"/>
      <c r="CT2368" s="717"/>
      <c r="CU2368" s="717"/>
      <c r="CV2368" s="717"/>
      <c r="CW2368" s="717"/>
      <c r="CX2368" s="717"/>
      <c r="CY2368" s="717"/>
      <c r="CZ2368" s="717"/>
      <c r="DA2368" s="717"/>
      <c r="DB2368" s="717"/>
      <c r="DC2368" s="717"/>
      <c r="DD2368" s="717"/>
      <c r="DE2368" s="717"/>
      <c r="DF2368" s="717"/>
      <c r="DG2368" s="717"/>
      <c r="DH2368" s="717"/>
      <c r="DI2368" s="717"/>
      <c r="DJ2368" s="717"/>
      <c r="DM2368" s="711"/>
      <c r="DN2368" s="711"/>
      <c r="DO2368" s="711"/>
      <c r="DP2368" s="711"/>
      <c r="DQ2368" s="711"/>
    </row>
    <row r="2369" spans="13:121" s="709" customFormat="1" hidden="1">
      <c r="M2369" s="710"/>
      <c r="P2369" s="711"/>
      <c r="Q2369" s="712"/>
      <c r="U2369" s="711"/>
      <c r="V2369" s="711"/>
      <c r="W2369" s="711"/>
      <c r="X2369" s="711"/>
      <c r="Y2369" s="711"/>
      <c r="Z2369" s="711"/>
      <c r="AU2369" s="713"/>
      <c r="AW2369" s="712"/>
      <c r="BY2369" s="714"/>
      <c r="BZ2369" s="715"/>
      <c r="CA2369" s="716"/>
      <c r="CB2369" s="717"/>
      <c r="CC2369" s="717"/>
      <c r="CD2369" s="717"/>
      <c r="CE2369" s="717"/>
      <c r="CF2369" s="717"/>
      <c r="CG2369" s="717"/>
      <c r="CH2369" s="717"/>
      <c r="CI2369" s="717"/>
      <c r="CJ2369" s="717"/>
      <c r="CK2369" s="717"/>
      <c r="CL2369" s="717"/>
      <c r="CM2369" s="717"/>
      <c r="CN2369" s="717"/>
      <c r="CO2369" s="717"/>
      <c r="CP2369" s="717"/>
      <c r="CQ2369" s="717"/>
      <c r="CR2369" s="717"/>
      <c r="CS2369" s="717"/>
      <c r="CT2369" s="717"/>
      <c r="CU2369" s="717"/>
      <c r="CV2369" s="717"/>
      <c r="CW2369" s="717"/>
      <c r="CX2369" s="717"/>
      <c r="CY2369" s="717"/>
      <c r="CZ2369" s="717"/>
      <c r="DA2369" s="717"/>
      <c r="DB2369" s="717"/>
      <c r="DC2369" s="717"/>
      <c r="DD2369" s="717"/>
      <c r="DE2369" s="717"/>
      <c r="DF2369" s="717"/>
      <c r="DG2369" s="717"/>
      <c r="DH2369" s="717"/>
      <c r="DI2369" s="717"/>
      <c r="DJ2369" s="717"/>
      <c r="DM2369" s="711"/>
      <c r="DN2369" s="711"/>
      <c r="DO2369" s="711"/>
      <c r="DP2369" s="711"/>
      <c r="DQ2369" s="711"/>
    </row>
    <row r="2370" spans="13:121" s="709" customFormat="1" hidden="1">
      <c r="M2370" s="710"/>
      <c r="P2370" s="711"/>
      <c r="Q2370" s="712"/>
      <c r="U2370" s="711"/>
      <c r="V2370" s="711"/>
      <c r="W2370" s="711"/>
      <c r="X2370" s="711"/>
      <c r="Y2370" s="711"/>
      <c r="Z2370" s="711"/>
      <c r="AU2370" s="713"/>
      <c r="AW2370" s="712"/>
      <c r="BY2370" s="714"/>
      <c r="BZ2370" s="715"/>
      <c r="CA2370" s="716"/>
      <c r="CB2370" s="717"/>
      <c r="CC2370" s="717"/>
      <c r="CD2370" s="717"/>
      <c r="CE2370" s="717"/>
      <c r="CF2370" s="717"/>
      <c r="CG2370" s="717"/>
      <c r="CH2370" s="717"/>
      <c r="CI2370" s="717"/>
      <c r="CJ2370" s="717"/>
      <c r="CK2370" s="717"/>
      <c r="CL2370" s="717"/>
      <c r="CM2370" s="717"/>
      <c r="CN2370" s="717"/>
      <c r="CO2370" s="717"/>
      <c r="CP2370" s="717"/>
      <c r="CQ2370" s="717"/>
      <c r="CR2370" s="717"/>
      <c r="CS2370" s="717"/>
      <c r="CT2370" s="717"/>
      <c r="CU2370" s="717"/>
      <c r="CV2370" s="717"/>
      <c r="CW2370" s="717"/>
      <c r="CX2370" s="717"/>
      <c r="CY2370" s="717"/>
      <c r="CZ2370" s="717"/>
      <c r="DA2370" s="717"/>
      <c r="DB2370" s="717"/>
      <c r="DC2370" s="717"/>
      <c r="DD2370" s="717"/>
      <c r="DE2370" s="717"/>
      <c r="DF2370" s="717"/>
      <c r="DG2370" s="717"/>
      <c r="DH2370" s="717"/>
      <c r="DI2370" s="717"/>
      <c r="DJ2370" s="717"/>
      <c r="DM2370" s="711"/>
      <c r="DN2370" s="711"/>
      <c r="DO2370" s="711"/>
      <c r="DP2370" s="711"/>
      <c r="DQ2370" s="711"/>
    </row>
    <row r="2371" spans="13:121" s="709" customFormat="1" hidden="1">
      <c r="M2371" s="710"/>
      <c r="P2371" s="711"/>
      <c r="Q2371" s="712"/>
      <c r="U2371" s="711"/>
      <c r="V2371" s="711"/>
      <c r="W2371" s="711"/>
      <c r="X2371" s="711"/>
      <c r="Y2371" s="711"/>
      <c r="Z2371" s="711"/>
      <c r="AU2371" s="713"/>
      <c r="AW2371" s="712"/>
      <c r="BY2371" s="714"/>
      <c r="BZ2371" s="715"/>
      <c r="CA2371" s="716"/>
      <c r="CB2371" s="717"/>
      <c r="CC2371" s="717"/>
      <c r="CD2371" s="717"/>
      <c r="CE2371" s="717"/>
      <c r="CF2371" s="717"/>
      <c r="CG2371" s="717"/>
      <c r="CH2371" s="717"/>
      <c r="CI2371" s="717"/>
      <c r="CJ2371" s="717"/>
      <c r="CK2371" s="717"/>
      <c r="CL2371" s="717"/>
      <c r="CM2371" s="717"/>
      <c r="CN2371" s="717"/>
      <c r="CO2371" s="717"/>
      <c r="CP2371" s="717"/>
      <c r="CQ2371" s="717"/>
      <c r="CR2371" s="717"/>
      <c r="CS2371" s="717"/>
      <c r="CT2371" s="717"/>
      <c r="CU2371" s="717"/>
      <c r="CV2371" s="717"/>
      <c r="CW2371" s="717"/>
      <c r="CX2371" s="717"/>
      <c r="CY2371" s="717"/>
      <c r="CZ2371" s="717"/>
      <c r="DA2371" s="717"/>
      <c r="DB2371" s="717"/>
      <c r="DC2371" s="717"/>
      <c r="DD2371" s="717"/>
      <c r="DE2371" s="717"/>
      <c r="DF2371" s="717"/>
      <c r="DG2371" s="717"/>
      <c r="DH2371" s="717"/>
      <c r="DI2371" s="717"/>
      <c r="DJ2371" s="717"/>
      <c r="DM2371" s="711"/>
      <c r="DN2371" s="711"/>
      <c r="DO2371" s="711"/>
      <c r="DP2371" s="711"/>
      <c r="DQ2371" s="711"/>
    </row>
    <row r="2372" spans="13:121" s="709" customFormat="1" hidden="1">
      <c r="M2372" s="710"/>
      <c r="P2372" s="711"/>
      <c r="Q2372" s="712"/>
      <c r="U2372" s="711"/>
      <c r="V2372" s="711"/>
      <c r="W2372" s="711"/>
      <c r="X2372" s="711"/>
      <c r="Y2372" s="711"/>
      <c r="Z2372" s="711"/>
      <c r="AU2372" s="713"/>
      <c r="AW2372" s="712"/>
      <c r="BY2372" s="714"/>
      <c r="BZ2372" s="715"/>
      <c r="CA2372" s="716"/>
      <c r="CB2372" s="717"/>
      <c r="CC2372" s="717"/>
      <c r="CD2372" s="717"/>
      <c r="CE2372" s="717"/>
      <c r="CF2372" s="717"/>
      <c r="CG2372" s="717"/>
      <c r="CH2372" s="717"/>
      <c r="CI2372" s="717"/>
      <c r="CJ2372" s="717"/>
      <c r="CK2372" s="717"/>
      <c r="CL2372" s="717"/>
      <c r="CM2372" s="717"/>
      <c r="CN2372" s="717"/>
      <c r="CO2372" s="717"/>
      <c r="CP2372" s="717"/>
      <c r="CQ2372" s="717"/>
      <c r="CR2372" s="717"/>
      <c r="CS2372" s="717"/>
      <c r="CT2372" s="717"/>
      <c r="CU2372" s="717"/>
      <c r="CV2372" s="717"/>
      <c r="CW2372" s="717"/>
      <c r="CX2372" s="717"/>
      <c r="CY2372" s="717"/>
      <c r="CZ2372" s="717"/>
      <c r="DA2372" s="717"/>
      <c r="DB2372" s="717"/>
      <c r="DC2372" s="717"/>
      <c r="DD2372" s="717"/>
      <c r="DE2372" s="717"/>
      <c r="DF2372" s="717"/>
      <c r="DG2372" s="717"/>
      <c r="DH2372" s="717"/>
      <c r="DI2372" s="717"/>
      <c r="DJ2372" s="717"/>
      <c r="DM2372" s="711"/>
      <c r="DN2372" s="711"/>
      <c r="DO2372" s="711"/>
      <c r="DP2372" s="711"/>
      <c r="DQ2372" s="711"/>
    </row>
    <row r="2373" spans="13:121" s="709" customFormat="1" hidden="1">
      <c r="M2373" s="710"/>
      <c r="P2373" s="711"/>
      <c r="Q2373" s="712"/>
      <c r="U2373" s="711"/>
      <c r="V2373" s="711"/>
      <c r="W2373" s="711"/>
      <c r="X2373" s="711"/>
      <c r="Y2373" s="711"/>
      <c r="Z2373" s="711"/>
      <c r="AU2373" s="713"/>
      <c r="AW2373" s="712"/>
      <c r="BY2373" s="714"/>
      <c r="BZ2373" s="715"/>
      <c r="CA2373" s="716"/>
      <c r="CB2373" s="717"/>
      <c r="CC2373" s="717"/>
      <c r="CD2373" s="717"/>
      <c r="CE2373" s="717"/>
      <c r="CF2373" s="717"/>
      <c r="CG2373" s="717"/>
      <c r="CH2373" s="717"/>
      <c r="CI2373" s="717"/>
      <c r="CJ2373" s="717"/>
      <c r="CK2373" s="717"/>
      <c r="CL2373" s="717"/>
      <c r="CM2373" s="717"/>
      <c r="CN2373" s="717"/>
      <c r="CO2373" s="717"/>
      <c r="CP2373" s="717"/>
      <c r="CQ2373" s="717"/>
      <c r="CR2373" s="717"/>
      <c r="CS2373" s="717"/>
      <c r="CT2373" s="717"/>
      <c r="CU2373" s="717"/>
      <c r="CV2373" s="717"/>
      <c r="CW2373" s="717"/>
      <c r="CX2373" s="717"/>
      <c r="CY2373" s="717"/>
      <c r="CZ2373" s="717"/>
      <c r="DA2373" s="717"/>
      <c r="DB2373" s="717"/>
      <c r="DC2373" s="717"/>
      <c r="DD2373" s="717"/>
      <c r="DE2373" s="717"/>
      <c r="DF2373" s="717"/>
      <c r="DG2373" s="717"/>
      <c r="DH2373" s="717"/>
      <c r="DI2373" s="717"/>
      <c r="DJ2373" s="717"/>
      <c r="DM2373" s="711"/>
      <c r="DN2373" s="711"/>
      <c r="DO2373" s="711"/>
      <c r="DP2373" s="711"/>
      <c r="DQ2373" s="711"/>
    </row>
    <row r="2374" spans="13:121" s="709" customFormat="1" hidden="1">
      <c r="M2374" s="710"/>
      <c r="P2374" s="711"/>
      <c r="Q2374" s="712"/>
      <c r="U2374" s="711"/>
      <c r="V2374" s="711"/>
      <c r="W2374" s="711"/>
      <c r="X2374" s="711"/>
      <c r="Y2374" s="711"/>
      <c r="Z2374" s="711"/>
      <c r="AU2374" s="713"/>
      <c r="AW2374" s="712"/>
      <c r="BY2374" s="714"/>
      <c r="BZ2374" s="715"/>
      <c r="CA2374" s="716"/>
      <c r="CB2374" s="717"/>
      <c r="CC2374" s="717"/>
      <c r="CD2374" s="717"/>
      <c r="CE2374" s="717"/>
      <c r="CF2374" s="717"/>
      <c r="CG2374" s="717"/>
      <c r="CH2374" s="717"/>
      <c r="CI2374" s="717"/>
      <c r="CJ2374" s="717"/>
      <c r="CK2374" s="717"/>
      <c r="CL2374" s="717"/>
      <c r="CM2374" s="717"/>
      <c r="CN2374" s="717"/>
      <c r="CO2374" s="717"/>
      <c r="CP2374" s="717"/>
      <c r="CQ2374" s="717"/>
      <c r="CR2374" s="717"/>
      <c r="CS2374" s="717"/>
      <c r="CT2374" s="717"/>
      <c r="CU2374" s="717"/>
      <c r="CV2374" s="717"/>
      <c r="CW2374" s="717"/>
      <c r="CX2374" s="717"/>
      <c r="CY2374" s="717"/>
      <c r="CZ2374" s="717"/>
      <c r="DA2374" s="717"/>
      <c r="DB2374" s="717"/>
      <c r="DC2374" s="717"/>
      <c r="DD2374" s="717"/>
      <c r="DE2374" s="717"/>
      <c r="DF2374" s="717"/>
      <c r="DG2374" s="717"/>
      <c r="DH2374" s="717"/>
      <c r="DI2374" s="717"/>
      <c r="DJ2374" s="717"/>
      <c r="DM2374" s="711"/>
      <c r="DN2374" s="711"/>
      <c r="DO2374" s="711"/>
      <c r="DP2374" s="711"/>
      <c r="DQ2374" s="711"/>
    </row>
    <row r="2375" spans="13:121" s="709" customFormat="1" hidden="1">
      <c r="M2375" s="710"/>
      <c r="P2375" s="711"/>
      <c r="Q2375" s="712"/>
      <c r="U2375" s="711"/>
      <c r="V2375" s="711"/>
      <c r="W2375" s="711"/>
      <c r="X2375" s="711"/>
      <c r="Y2375" s="711"/>
      <c r="Z2375" s="711"/>
      <c r="AU2375" s="713"/>
      <c r="AW2375" s="712"/>
      <c r="BY2375" s="714"/>
      <c r="BZ2375" s="715"/>
      <c r="CA2375" s="716"/>
      <c r="CB2375" s="717"/>
      <c r="CC2375" s="717"/>
      <c r="CD2375" s="717"/>
      <c r="CE2375" s="717"/>
      <c r="CF2375" s="717"/>
      <c r="CG2375" s="717"/>
      <c r="CH2375" s="717"/>
      <c r="CI2375" s="717"/>
      <c r="CJ2375" s="717"/>
      <c r="CK2375" s="717"/>
      <c r="CL2375" s="717"/>
      <c r="CM2375" s="717"/>
      <c r="CN2375" s="717"/>
      <c r="CO2375" s="717"/>
      <c r="CP2375" s="717"/>
      <c r="CQ2375" s="717"/>
      <c r="CR2375" s="717"/>
      <c r="CS2375" s="717"/>
      <c r="CT2375" s="717"/>
      <c r="CU2375" s="717"/>
      <c r="CV2375" s="717"/>
      <c r="CW2375" s="717"/>
      <c r="CX2375" s="717"/>
      <c r="CY2375" s="717"/>
      <c r="CZ2375" s="717"/>
      <c r="DA2375" s="717"/>
      <c r="DB2375" s="717"/>
      <c r="DC2375" s="717"/>
      <c r="DD2375" s="717"/>
      <c r="DE2375" s="717"/>
      <c r="DF2375" s="717"/>
      <c r="DG2375" s="717"/>
      <c r="DH2375" s="717"/>
      <c r="DI2375" s="717"/>
      <c r="DJ2375" s="717"/>
      <c r="DM2375" s="711"/>
      <c r="DN2375" s="711"/>
      <c r="DO2375" s="711"/>
      <c r="DP2375" s="711"/>
      <c r="DQ2375" s="711"/>
    </row>
    <row r="2376" spans="13:121" s="709" customFormat="1" hidden="1">
      <c r="M2376" s="710"/>
      <c r="P2376" s="711"/>
      <c r="Q2376" s="712"/>
      <c r="U2376" s="711"/>
      <c r="V2376" s="711"/>
      <c r="W2376" s="711"/>
      <c r="X2376" s="711"/>
      <c r="Y2376" s="711"/>
      <c r="Z2376" s="711"/>
      <c r="AU2376" s="713"/>
      <c r="AW2376" s="712"/>
      <c r="BY2376" s="714"/>
      <c r="BZ2376" s="715"/>
      <c r="CA2376" s="716"/>
      <c r="CB2376" s="717"/>
      <c r="CC2376" s="717"/>
      <c r="CD2376" s="717"/>
      <c r="CE2376" s="717"/>
      <c r="CF2376" s="717"/>
      <c r="CG2376" s="717"/>
      <c r="CH2376" s="717"/>
      <c r="CI2376" s="717"/>
      <c r="CJ2376" s="717"/>
      <c r="CK2376" s="717"/>
      <c r="CL2376" s="717"/>
      <c r="CM2376" s="717"/>
      <c r="CN2376" s="717"/>
      <c r="CO2376" s="717"/>
      <c r="CP2376" s="717"/>
      <c r="CQ2376" s="717"/>
      <c r="CR2376" s="717"/>
      <c r="CS2376" s="717"/>
      <c r="CT2376" s="717"/>
      <c r="CU2376" s="717"/>
      <c r="CV2376" s="717"/>
      <c r="CW2376" s="717"/>
      <c r="CX2376" s="717"/>
      <c r="CY2376" s="717"/>
      <c r="CZ2376" s="717"/>
      <c r="DA2376" s="717"/>
      <c r="DB2376" s="717"/>
      <c r="DC2376" s="717"/>
      <c r="DD2376" s="717"/>
      <c r="DE2376" s="717"/>
      <c r="DF2376" s="717"/>
      <c r="DG2376" s="717"/>
      <c r="DH2376" s="717"/>
      <c r="DI2376" s="717"/>
      <c r="DJ2376" s="717"/>
      <c r="DM2376" s="711"/>
      <c r="DN2376" s="711"/>
      <c r="DO2376" s="711"/>
      <c r="DP2376" s="711"/>
      <c r="DQ2376" s="711"/>
    </row>
    <row r="2377" spans="13:121" s="709" customFormat="1" hidden="1">
      <c r="M2377" s="710"/>
      <c r="P2377" s="711"/>
      <c r="Q2377" s="712"/>
      <c r="U2377" s="711"/>
      <c r="V2377" s="711"/>
      <c r="W2377" s="711"/>
      <c r="X2377" s="711"/>
      <c r="Y2377" s="711"/>
      <c r="Z2377" s="711"/>
      <c r="AU2377" s="713"/>
      <c r="AW2377" s="712"/>
      <c r="BY2377" s="714"/>
      <c r="BZ2377" s="715"/>
      <c r="CA2377" s="716"/>
      <c r="CB2377" s="717"/>
      <c r="CC2377" s="717"/>
      <c r="CD2377" s="717"/>
      <c r="CE2377" s="717"/>
      <c r="CF2377" s="717"/>
      <c r="CG2377" s="717"/>
      <c r="CH2377" s="717"/>
      <c r="CI2377" s="717"/>
      <c r="CJ2377" s="717"/>
      <c r="CK2377" s="717"/>
      <c r="CL2377" s="717"/>
      <c r="CM2377" s="717"/>
      <c r="CN2377" s="717"/>
      <c r="CO2377" s="717"/>
      <c r="CP2377" s="717"/>
      <c r="CQ2377" s="717"/>
      <c r="CR2377" s="717"/>
      <c r="CS2377" s="717"/>
      <c r="CT2377" s="717"/>
      <c r="CU2377" s="717"/>
      <c r="CV2377" s="717"/>
      <c r="CW2377" s="717"/>
      <c r="CX2377" s="717"/>
      <c r="CY2377" s="717"/>
      <c r="CZ2377" s="717"/>
      <c r="DA2377" s="717"/>
      <c r="DB2377" s="717"/>
      <c r="DC2377" s="717"/>
      <c r="DD2377" s="717"/>
      <c r="DE2377" s="717"/>
      <c r="DF2377" s="717"/>
      <c r="DG2377" s="717"/>
      <c r="DH2377" s="717"/>
      <c r="DI2377" s="717"/>
      <c r="DJ2377" s="717"/>
      <c r="DM2377" s="711"/>
      <c r="DN2377" s="711"/>
      <c r="DO2377" s="711"/>
      <c r="DP2377" s="711"/>
      <c r="DQ2377" s="711"/>
    </row>
    <row r="2378" spans="13:121" s="709" customFormat="1" hidden="1">
      <c r="M2378" s="710"/>
      <c r="P2378" s="711"/>
      <c r="Q2378" s="712"/>
      <c r="U2378" s="711"/>
      <c r="V2378" s="711"/>
      <c r="W2378" s="711"/>
      <c r="X2378" s="711"/>
      <c r="Y2378" s="711"/>
      <c r="Z2378" s="711"/>
      <c r="AU2378" s="713"/>
      <c r="AW2378" s="712"/>
      <c r="BY2378" s="714"/>
      <c r="BZ2378" s="715"/>
      <c r="CA2378" s="716"/>
      <c r="CB2378" s="717"/>
      <c r="CC2378" s="717"/>
      <c r="CD2378" s="717"/>
      <c r="CE2378" s="717"/>
      <c r="CF2378" s="717"/>
      <c r="CG2378" s="717"/>
      <c r="CH2378" s="717"/>
      <c r="CI2378" s="717"/>
      <c r="CJ2378" s="717"/>
      <c r="CK2378" s="717"/>
      <c r="CL2378" s="717"/>
      <c r="CM2378" s="717"/>
      <c r="CN2378" s="717"/>
      <c r="CO2378" s="717"/>
      <c r="CP2378" s="717"/>
      <c r="CQ2378" s="717"/>
      <c r="CR2378" s="717"/>
      <c r="CS2378" s="717"/>
      <c r="CT2378" s="717"/>
      <c r="CU2378" s="717"/>
      <c r="CV2378" s="717"/>
      <c r="CW2378" s="717"/>
      <c r="CX2378" s="717"/>
      <c r="CY2378" s="717"/>
      <c r="CZ2378" s="717"/>
      <c r="DA2378" s="717"/>
      <c r="DB2378" s="717"/>
      <c r="DC2378" s="717"/>
      <c r="DD2378" s="717"/>
      <c r="DE2378" s="717"/>
      <c r="DF2378" s="717"/>
      <c r="DG2378" s="717"/>
      <c r="DH2378" s="717"/>
      <c r="DI2378" s="717"/>
      <c r="DJ2378" s="717"/>
      <c r="DM2378" s="711"/>
      <c r="DN2378" s="711"/>
      <c r="DO2378" s="711"/>
      <c r="DP2378" s="711"/>
      <c r="DQ2378" s="711"/>
    </row>
    <row r="2379" spans="13:121" s="709" customFormat="1" hidden="1">
      <c r="M2379" s="710"/>
      <c r="P2379" s="711"/>
      <c r="Q2379" s="712"/>
      <c r="U2379" s="711"/>
      <c r="V2379" s="711"/>
      <c r="W2379" s="711"/>
      <c r="X2379" s="711"/>
      <c r="Y2379" s="711"/>
      <c r="Z2379" s="711"/>
      <c r="AU2379" s="713"/>
      <c r="AW2379" s="712"/>
      <c r="BY2379" s="714"/>
      <c r="BZ2379" s="715"/>
      <c r="CA2379" s="716"/>
      <c r="CB2379" s="717"/>
      <c r="CC2379" s="717"/>
      <c r="CD2379" s="717"/>
      <c r="CE2379" s="717"/>
      <c r="CF2379" s="717"/>
      <c r="CG2379" s="717"/>
      <c r="CH2379" s="717"/>
      <c r="CI2379" s="717"/>
      <c r="CJ2379" s="717"/>
      <c r="CK2379" s="717"/>
      <c r="CL2379" s="717"/>
      <c r="CM2379" s="717"/>
      <c r="CN2379" s="717"/>
      <c r="CO2379" s="717"/>
      <c r="CP2379" s="717"/>
      <c r="CQ2379" s="717"/>
      <c r="CR2379" s="717"/>
      <c r="CS2379" s="717"/>
      <c r="CT2379" s="717"/>
      <c r="CU2379" s="717"/>
      <c r="CV2379" s="717"/>
      <c r="CW2379" s="717"/>
      <c r="CX2379" s="717"/>
      <c r="CY2379" s="717"/>
      <c r="CZ2379" s="717"/>
      <c r="DA2379" s="717"/>
      <c r="DB2379" s="717"/>
      <c r="DC2379" s="717"/>
      <c r="DD2379" s="717"/>
      <c r="DE2379" s="717"/>
      <c r="DF2379" s="717"/>
      <c r="DG2379" s="717"/>
      <c r="DH2379" s="717"/>
      <c r="DI2379" s="717"/>
      <c r="DJ2379" s="717"/>
      <c r="DM2379" s="711"/>
      <c r="DN2379" s="711"/>
      <c r="DO2379" s="711"/>
      <c r="DP2379" s="711"/>
      <c r="DQ2379" s="711"/>
    </row>
    <row r="2380" spans="13:121" s="709" customFormat="1" hidden="1">
      <c r="M2380" s="710"/>
      <c r="P2380" s="711"/>
      <c r="Q2380" s="712"/>
      <c r="U2380" s="711"/>
      <c r="V2380" s="711"/>
      <c r="W2380" s="711"/>
      <c r="X2380" s="711"/>
      <c r="Y2380" s="711"/>
      <c r="Z2380" s="711"/>
      <c r="AU2380" s="713"/>
      <c r="AW2380" s="712"/>
      <c r="BY2380" s="714"/>
      <c r="BZ2380" s="715"/>
      <c r="CA2380" s="716"/>
      <c r="CB2380" s="717"/>
      <c r="CC2380" s="717"/>
      <c r="CD2380" s="717"/>
      <c r="CE2380" s="717"/>
      <c r="CF2380" s="717"/>
      <c r="CG2380" s="717"/>
      <c r="CH2380" s="717"/>
      <c r="CI2380" s="717"/>
      <c r="CJ2380" s="717"/>
      <c r="CK2380" s="717"/>
      <c r="CL2380" s="717"/>
      <c r="CM2380" s="717"/>
      <c r="CN2380" s="717"/>
      <c r="CO2380" s="717"/>
      <c r="CP2380" s="717"/>
      <c r="CQ2380" s="717"/>
      <c r="CR2380" s="717"/>
      <c r="CS2380" s="717"/>
      <c r="CT2380" s="717"/>
      <c r="CU2380" s="717"/>
      <c r="CV2380" s="717"/>
      <c r="CW2380" s="717"/>
      <c r="CX2380" s="717"/>
      <c r="CY2380" s="717"/>
      <c r="CZ2380" s="717"/>
      <c r="DA2380" s="717"/>
      <c r="DB2380" s="717"/>
      <c r="DC2380" s="717"/>
      <c r="DD2380" s="717"/>
      <c r="DE2380" s="717"/>
      <c r="DF2380" s="717"/>
      <c r="DG2380" s="717"/>
      <c r="DH2380" s="717"/>
      <c r="DI2380" s="717"/>
      <c r="DJ2380" s="717"/>
      <c r="DM2380" s="711"/>
      <c r="DN2380" s="711"/>
      <c r="DO2380" s="711"/>
      <c r="DP2380" s="711"/>
      <c r="DQ2380" s="711"/>
    </row>
    <row r="2381" spans="13:121" s="709" customFormat="1" hidden="1">
      <c r="M2381" s="710"/>
      <c r="P2381" s="711"/>
      <c r="Q2381" s="712"/>
      <c r="U2381" s="711"/>
      <c r="V2381" s="711"/>
      <c r="W2381" s="711"/>
      <c r="X2381" s="711"/>
      <c r="Y2381" s="711"/>
      <c r="Z2381" s="711"/>
      <c r="AU2381" s="713"/>
      <c r="AW2381" s="712"/>
      <c r="BY2381" s="714"/>
      <c r="BZ2381" s="715"/>
      <c r="CA2381" s="716"/>
      <c r="CB2381" s="717"/>
      <c r="CC2381" s="717"/>
      <c r="CD2381" s="717"/>
      <c r="CE2381" s="717"/>
      <c r="CF2381" s="717"/>
      <c r="CG2381" s="717"/>
      <c r="CH2381" s="717"/>
      <c r="CI2381" s="717"/>
      <c r="CJ2381" s="717"/>
      <c r="CK2381" s="717"/>
      <c r="CL2381" s="717"/>
      <c r="CM2381" s="717"/>
      <c r="CN2381" s="717"/>
      <c r="CO2381" s="717"/>
      <c r="CP2381" s="717"/>
      <c r="CQ2381" s="717"/>
      <c r="CR2381" s="717"/>
      <c r="CS2381" s="717"/>
      <c r="CT2381" s="717"/>
      <c r="CU2381" s="717"/>
      <c r="CV2381" s="717"/>
      <c r="CW2381" s="717"/>
      <c r="CX2381" s="717"/>
      <c r="CY2381" s="717"/>
      <c r="CZ2381" s="717"/>
      <c r="DA2381" s="717"/>
      <c r="DB2381" s="717"/>
      <c r="DC2381" s="717"/>
      <c r="DD2381" s="717"/>
      <c r="DE2381" s="717"/>
      <c r="DF2381" s="717"/>
      <c r="DG2381" s="717"/>
      <c r="DH2381" s="717"/>
      <c r="DI2381" s="717"/>
      <c r="DJ2381" s="717"/>
      <c r="DM2381" s="711"/>
      <c r="DN2381" s="711"/>
      <c r="DO2381" s="711"/>
      <c r="DP2381" s="711"/>
      <c r="DQ2381" s="711"/>
    </row>
    <row r="2382" spans="13:121" s="709" customFormat="1" hidden="1">
      <c r="M2382" s="710"/>
      <c r="P2382" s="711"/>
      <c r="Q2382" s="712"/>
      <c r="U2382" s="711"/>
      <c r="V2382" s="711"/>
      <c r="W2382" s="711"/>
      <c r="X2382" s="711"/>
      <c r="Y2382" s="711"/>
      <c r="Z2382" s="711"/>
      <c r="AU2382" s="713"/>
      <c r="AW2382" s="712"/>
      <c r="BY2382" s="714"/>
      <c r="BZ2382" s="715"/>
      <c r="CA2382" s="716"/>
      <c r="CB2382" s="717"/>
      <c r="CC2382" s="717"/>
      <c r="CD2382" s="717"/>
      <c r="CE2382" s="717"/>
      <c r="CF2382" s="717"/>
      <c r="CG2382" s="717"/>
      <c r="CH2382" s="717"/>
      <c r="CI2382" s="717"/>
      <c r="CJ2382" s="717"/>
      <c r="CK2382" s="717"/>
      <c r="CL2382" s="717"/>
      <c r="CM2382" s="717"/>
      <c r="CN2382" s="717"/>
      <c r="CO2382" s="717"/>
      <c r="CP2382" s="717"/>
      <c r="CQ2382" s="717"/>
      <c r="CR2382" s="717"/>
      <c r="CS2382" s="717"/>
      <c r="CT2382" s="717"/>
      <c r="CU2382" s="717"/>
      <c r="CV2382" s="717"/>
      <c r="CW2382" s="717"/>
      <c r="CX2382" s="717"/>
      <c r="CY2382" s="717"/>
      <c r="CZ2382" s="717"/>
      <c r="DA2382" s="717"/>
      <c r="DB2382" s="717"/>
      <c r="DC2382" s="717"/>
      <c r="DD2382" s="717"/>
      <c r="DE2382" s="717"/>
      <c r="DF2382" s="717"/>
      <c r="DG2382" s="717"/>
      <c r="DH2382" s="717"/>
      <c r="DI2382" s="717"/>
      <c r="DJ2382" s="717"/>
      <c r="DM2382" s="711"/>
      <c r="DN2382" s="711"/>
      <c r="DO2382" s="711"/>
      <c r="DP2382" s="711"/>
      <c r="DQ2382" s="711"/>
    </row>
    <row r="2383" spans="13:121" s="709" customFormat="1" hidden="1">
      <c r="M2383" s="710"/>
      <c r="P2383" s="711"/>
      <c r="Q2383" s="712"/>
      <c r="U2383" s="711"/>
      <c r="V2383" s="711"/>
      <c r="W2383" s="711"/>
      <c r="X2383" s="711"/>
      <c r="Y2383" s="711"/>
      <c r="Z2383" s="711"/>
      <c r="AU2383" s="713"/>
      <c r="AW2383" s="712"/>
      <c r="BY2383" s="714"/>
      <c r="BZ2383" s="715"/>
      <c r="CA2383" s="716"/>
      <c r="CB2383" s="717"/>
      <c r="CC2383" s="717"/>
      <c r="CD2383" s="717"/>
      <c r="CE2383" s="717"/>
      <c r="CF2383" s="717"/>
      <c r="CG2383" s="717"/>
      <c r="CH2383" s="717"/>
      <c r="CI2383" s="717"/>
      <c r="CJ2383" s="717"/>
      <c r="CK2383" s="717"/>
      <c r="CL2383" s="717"/>
      <c r="CM2383" s="717"/>
      <c r="CN2383" s="717"/>
      <c r="CO2383" s="717"/>
      <c r="CP2383" s="717"/>
      <c r="CQ2383" s="717"/>
      <c r="CR2383" s="717"/>
      <c r="CS2383" s="717"/>
      <c r="CT2383" s="717"/>
      <c r="CU2383" s="717"/>
      <c r="CV2383" s="717"/>
      <c r="CW2383" s="717"/>
      <c r="CX2383" s="717"/>
      <c r="CY2383" s="717"/>
      <c r="CZ2383" s="717"/>
      <c r="DA2383" s="717"/>
      <c r="DB2383" s="717"/>
      <c r="DC2383" s="717"/>
      <c r="DD2383" s="717"/>
      <c r="DE2383" s="717"/>
      <c r="DF2383" s="717"/>
      <c r="DG2383" s="717"/>
      <c r="DH2383" s="717"/>
      <c r="DI2383" s="717"/>
      <c r="DJ2383" s="717"/>
      <c r="DM2383" s="711"/>
      <c r="DN2383" s="711"/>
      <c r="DO2383" s="711"/>
      <c r="DP2383" s="711"/>
      <c r="DQ2383" s="711"/>
    </row>
    <row r="2384" spans="13:121" s="709" customFormat="1" hidden="1">
      <c r="M2384" s="710"/>
      <c r="P2384" s="711"/>
      <c r="Q2384" s="712"/>
      <c r="U2384" s="711"/>
      <c r="V2384" s="711"/>
      <c r="W2384" s="711"/>
      <c r="X2384" s="711"/>
      <c r="Y2384" s="711"/>
      <c r="Z2384" s="711"/>
      <c r="AU2384" s="713"/>
      <c r="AW2384" s="712"/>
      <c r="BY2384" s="714"/>
      <c r="BZ2384" s="715"/>
      <c r="CA2384" s="716"/>
      <c r="CB2384" s="717"/>
      <c r="CC2384" s="717"/>
      <c r="CD2384" s="717"/>
      <c r="CE2384" s="717"/>
      <c r="CF2384" s="717"/>
      <c r="CG2384" s="717"/>
      <c r="CH2384" s="717"/>
      <c r="CI2384" s="717"/>
      <c r="CJ2384" s="717"/>
      <c r="CK2384" s="717"/>
      <c r="CL2384" s="717"/>
      <c r="CM2384" s="717"/>
      <c r="CN2384" s="717"/>
      <c r="CO2384" s="717"/>
      <c r="CP2384" s="717"/>
      <c r="CQ2384" s="717"/>
      <c r="CR2384" s="717"/>
      <c r="CS2384" s="717"/>
      <c r="CT2384" s="717"/>
      <c r="CU2384" s="717"/>
      <c r="CV2384" s="717"/>
      <c r="CW2384" s="717"/>
      <c r="CX2384" s="717"/>
      <c r="CY2384" s="717"/>
      <c r="CZ2384" s="717"/>
      <c r="DA2384" s="717"/>
      <c r="DB2384" s="717"/>
      <c r="DC2384" s="717"/>
      <c r="DD2384" s="717"/>
      <c r="DE2384" s="717"/>
      <c r="DF2384" s="717"/>
      <c r="DG2384" s="717"/>
      <c r="DH2384" s="717"/>
      <c r="DI2384" s="717"/>
      <c r="DJ2384" s="717"/>
      <c r="DM2384" s="711"/>
      <c r="DN2384" s="711"/>
      <c r="DO2384" s="711"/>
      <c r="DP2384" s="711"/>
      <c r="DQ2384" s="711"/>
    </row>
    <row r="2385" spans="13:121" s="709" customFormat="1" hidden="1">
      <c r="M2385" s="710"/>
      <c r="P2385" s="711"/>
      <c r="Q2385" s="712"/>
      <c r="U2385" s="711"/>
      <c r="V2385" s="711"/>
      <c r="W2385" s="711"/>
      <c r="X2385" s="711"/>
      <c r="Y2385" s="711"/>
      <c r="Z2385" s="711"/>
      <c r="AU2385" s="713"/>
      <c r="AW2385" s="712"/>
      <c r="BY2385" s="714"/>
      <c r="BZ2385" s="715"/>
      <c r="CA2385" s="716"/>
      <c r="CB2385" s="717"/>
      <c r="CC2385" s="717"/>
      <c r="CD2385" s="717"/>
      <c r="CE2385" s="717"/>
      <c r="CF2385" s="717"/>
      <c r="CG2385" s="717"/>
      <c r="CH2385" s="717"/>
      <c r="CI2385" s="717"/>
      <c r="CJ2385" s="717"/>
      <c r="CK2385" s="717"/>
      <c r="CL2385" s="717"/>
      <c r="CM2385" s="717"/>
      <c r="CN2385" s="717"/>
      <c r="CO2385" s="717"/>
      <c r="CP2385" s="717"/>
      <c r="CQ2385" s="717"/>
      <c r="CR2385" s="717"/>
      <c r="CS2385" s="717"/>
      <c r="CT2385" s="717"/>
      <c r="CU2385" s="717"/>
      <c r="CV2385" s="717"/>
      <c r="CW2385" s="717"/>
      <c r="CX2385" s="717"/>
      <c r="CY2385" s="717"/>
      <c r="CZ2385" s="717"/>
      <c r="DA2385" s="717"/>
      <c r="DB2385" s="717"/>
      <c r="DC2385" s="717"/>
      <c r="DD2385" s="717"/>
      <c r="DE2385" s="717"/>
      <c r="DF2385" s="717"/>
      <c r="DG2385" s="717"/>
      <c r="DH2385" s="717"/>
      <c r="DI2385" s="717"/>
      <c r="DJ2385" s="717"/>
      <c r="DM2385" s="711"/>
      <c r="DN2385" s="711"/>
      <c r="DO2385" s="711"/>
      <c r="DP2385" s="711"/>
      <c r="DQ2385" s="711"/>
    </row>
    <row r="2386" spans="13:121" s="709" customFormat="1" hidden="1">
      <c r="M2386" s="710"/>
      <c r="P2386" s="711"/>
      <c r="Q2386" s="712"/>
      <c r="U2386" s="711"/>
      <c r="V2386" s="711"/>
      <c r="W2386" s="711"/>
      <c r="X2386" s="711"/>
      <c r="Y2386" s="711"/>
      <c r="Z2386" s="711"/>
      <c r="AU2386" s="713"/>
      <c r="AW2386" s="712"/>
      <c r="BY2386" s="714"/>
      <c r="BZ2386" s="715"/>
      <c r="CA2386" s="716"/>
      <c r="CB2386" s="717"/>
      <c r="CC2386" s="717"/>
      <c r="CD2386" s="717"/>
      <c r="CE2386" s="717"/>
      <c r="CF2386" s="717"/>
      <c r="CG2386" s="717"/>
      <c r="CH2386" s="717"/>
      <c r="CI2386" s="717"/>
      <c r="CJ2386" s="717"/>
      <c r="CK2386" s="717"/>
      <c r="CL2386" s="717"/>
      <c r="CM2386" s="717"/>
      <c r="CN2386" s="717"/>
      <c r="CO2386" s="717"/>
      <c r="CP2386" s="717"/>
      <c r="CQ2386" s="717"/>
      <c r="CR2386" s="717"/>
      <c r="CS2386" s="717"/>
      <c r="CT2386" s="717"/>
      <c r="CU2386" s="717"/>
      <c r="CV2386" s="717"/>
      <c r="CW2386" s="717"/>
      <c r="CX2386" s="717"/>
      <c r="CY2386" s="717"/>
      <c r="CZ2386" s="717"/>
      <c r="DA2386" s="717"/>
      <c r="DB2386" s="717"/>
      <c r="DC2386" s="717"/>
      <c r="DD2386" s="717"/>
      <c r="DE2386" s="717"/>
      <c r="DF2386" s="717"/>
      <c r="DG2386" s="717"/>
      <c r="DH2386" s="717"/>
      <c r="DI2386" s="717"/>
      <c r="DJ2386" s="717"/>
      <c r="DM2386" s="711"/>
      <c r="DN2386" s="711"/>
      <c r="DO2386" s="711"/>
      <c r="DP2386" s="711"/>
      <c r="DQ2386" s="711"/>
    </row>
    <row r="2387" spans="13:121" s="709" customFormat="1" hidden="1">
      <c r="M2387" s="710"/>
      <c r="P2387" s="711"/>
      <c r="Q2387" s="712"/>
      <c r="U2387" s="711"/>
      <c r="V2387" s="711"/>
      <c r="W2387" s="711"/>
      <c r="X2387" s="711"/>
      <c r="Y2387" s="711"/>
      <c r="Z2387" s="711"/>
      <c r="AU2387" s="713"/>
      <c r="AW2387" s="712"/>
      <c r="BY2387" s="714"/>
      <c r="BZ2387" s="715"/>
      <c r="CA2387" s="716"/>
      <c r="CB2387" s="717"/>
      <c r="CC2387" s="717"/>
      <c r="CD2387" s="717"/>
      <c r="CE2387" s="717"/>
      <c r="CF2387" s="717"/>
      <c r="CG2387" s="717"/>
      <c r="CH2387" s="717"/>
      <c r="CI2387" s="717"/>
      <c r="CJ2387" s="717"/>
      <c r="CK2387" s="717"/>
      <c r="CL2387" s="717"/>
      <c r="CM2387" s="717"/>
      <c r="CN2387" s="717"/>
      <c r="CO2387" s="717"/>
      <c r="CP2387" s="717"/>
      <c r="CQ2387" s="717"/>
      <c r="CR2387" s="717"/>
      <c r="CS2387" s="717"/>
      <c r="CT2387" s="717"/>
      <c r="CU2387" s="717"/>
      <c r="CV2387" s="717"/>
      <c r="CW2387" s="717"/>
      <c r="CX2387" s="717"/>
      <c r="CY2387" s="717"/>
      <c r="CZ2387" s="717"/>
      <c r="DA2387" s="717"/>
      <c r="DB2387" s="717"/>
      <c r="DC2387" s="717"/>
      <c r="DD2387" s="717"/>
      <c r="DE2387" s="717"/>
      <c r="DF2387" s="717"/>
      <c r="DG2387" s="717"/>
      <c r="DH2387" s="717"/>
      <c r="DI2387" s="717"/>
      <c r="DJ2387" s="717"/>
      <c r="DM2387" s="711"/>
      <c r="DN2387" s="711"/>
      <c r="DO2387" s="711"/>
      <c r="DP2387" s="711"/>
      <c r="DQ2387" s="711"/>
    </row>
    <row r="2388" spans="13:121" s="709" customFormat="1" hidden="1">
      <c r="M2388" s="710"/>
      <c r="P2388" s="711"/>
      <c r="Q2388" s="712"/>
      <c r="U2388" s="711"/>
      <c r="V2388" s="711"/>
      <c r="W2388" s="711"/>
      <c r="X2388" s="711"/>
      <c r="Y2388" s="711"/>
      <c r="Z2388" s="711"/>
      <c r="AU2388" s="713"/>
      <c r="AW2388" s="712"/>
      <c r="BY2388" s="714"/>
      <c r="BZ2388" s="715"/>
      <c r="CA2388" s="716"/>
      <c r="CB2388" s="717"/>
      <c r="CC2388" s="717"/>
      <c r="CD2388" s="717"/>
      <c r="CE2388" s="717"/>
      <c r="CF2388" s="717"/>
      <c r="CG2388" s="717"/>
      <c r="CH2388" s="717"/>
      <c r="CI2388" s="717"/>
      <c r="CJ2388" s="717"/>
      <c r="CK2388" s="717"/>
      <c r="CL2388" s="717"/>
      <c r="CM2388" s="717"/>
      <c r="CN2388" s="717"/>
      <c r="CO2388" s="717"/>
      <c r="CP2388" s="717"/>
      <c r="CQ2388" s="717"/>
      <c r="CR2388" s="717"/>
      <c r="CS2388" s="717"/>
      <c r="CT2388" s="717"/>
      <c r="CU2388" s="717"/>
      <c r="CV2388" s="717"/>
      <c r="CW2388" s="717"/>
      <c r="CX2388" s="717"/>
      <c r="CY2388" s="717"/>
      <c r="CZ2388" s="717"/>
      <c r="DA2388" s="717"/>
      <c r="DB2388" s="717"/>
      <c r="DC2388" s="717"/>
      <c r="DD2388" s="717"/>
      <c r="DE2388" s="717"/>
      <c r="DF2388" s="717"/>
      <c r="DG2388" s="717"/>
      <c r="DH2388" s="717"/>
      <c r="DI2388" s="717"/>
      <c r="DJ2388" s="717"/>
      <c r="DM2388" s="711"/>
      <c r="DN2388" s="711"/>
      <c r="DO2388" s="711"/>
      <c r="DP2388" s="711"/>
      <c r="DQ2388" s="711"/>
    </row>
    <row r="2389" spans="13:121" s="709" customFormat="1" hidden="1">
      <c r="M2389" s="710"/>
      <c r="P2389" s="711"/>
      <c r="Q2389" s="712"/>
      <c r="U2389" s="711"/>
      <c r="V2389" s="711"/>
      <c r="W2389" s="711"/>
      <c r="X2389" s="711"/>
      <c r="Y2389" s="711"/>
      <c r="Z2389" s="711"/>
      <c r="AU2389" s="713"/>
      <c r="AW2389" s="712"/>
      <c r="BY2389" s="714"/>
      <c r="BZ2389" s="715"/>
      <c r="CA2389" s="716"/>
      <c r="CB2389" s="717"/>
      <c r="CC2389" s="717"/>
      <c r="CD2389" s="717"/>
      <c r="CE2389" s="717"/>
      <c r="CF2389" s="717"/>
      <c r="CG2389" s="717"/>
      <c r="CH2389" s="717"/>
      <c r="CI2389" s="717"/>
      <c r="CJ2389" s="717"/>
      <c r="CK2389" s="717"/>
      <c r="CL2389" s="717"/>
      <c r="CM2389" s="717"/>
      <c r="CN2389" s="717"/>
      <c r="CO2389" s="717"/>
      <c r="CP2389" s="717"/>
      <c r="CQ2389" s="717"/>
      <c r="CR2389" s="717"/>
      <c r="CS2389" s="717"/>
      <c r="CT2389" s="717"/>
      <c r="CU2389" s="717"/>
      <c r="CV2389" s="717"/>
      <c r="CW2389" s="717"/>
      <c r="CX2389" s="717"/>
      <c r="CY2389" s="717"/>
      <c r="CZ2389" s="717"/>
      <c r="DA2389" s="717"/>
      <c r="DB2389" s="717"/>
      <c r="DC2389" s="717"/>
      <c r="DD2389" s="717"/>
      <c r="DE2389" s="717"/>
      <c r="DF2389" s="717"/>
      <c r="DG2389" s="717"/>
      <c r="DH2389" s="717"/>
      <c r="DI2389" s="717"/>
      <c r="DJ2389" s="717"/>
      <c r="DM2389" s="711"/>
      <c r="DN2389" s="711"/>
      <c r="DO2389" s="711"/>
      <c r="DP2389" s="711"/>
      <c r="DQ2389" s="711"/>
    </row>
    <row r="2390" spans="13:121" s="709" customFormat="1" hidden="1">
      <c r="M2390" s="710"/>
      <c r="P2390" s="711"/>
      <c r="Q2390" s="712"/>
      <c r="U2390" s="711"/>
      <c r="V2390" s="711"/>
      <c r="W2390" s="711"/>
      <c r="X2390" s="711"/>
      <c r="Y2390" s="711"/>
      <c r="Z2390" s="711"/>
      <c r="AU2390" s="713"/>
      <c r="AW2390" s="712"/>
      <c r="BY2390" s="714"/>
      <c r="BZ2390" s="715"/>
      <c r="CA2390" s="716"/>
      <c r="CB2390" s="717"/>
      <c r="CC2390" s="717"/>
      <c r="CD2390" s="717"/>
      <c r="CE2390" s="717"/>
      <c r="CF2390" s="717"/>
      <c r="CG2390" s="717"/>
      <c r="CH2390" s="717"/>
      <c r="CI2390" s="717"/>
      <c r="CJ2390" s="717"/>
      <c r="CK2390" s="717"/>
      <c r="CL2390" s="717"/>
      <c r="CM2390" s="717"/>
      <c r="CN2390" s="717"/>
      <c r="CO2390" s="717"/>
      <c r="CP2390" s="717"/>
      <c r="CQ2390" s="717"/>
      <c r="CR2390" s="717"/>
      <c r="CS2390" s="717"/>
      <c r="CT2390" s="717"/>
      <c r="CU2390" s="717"/>
      <c r="CV2390" s="717"/>
      <c r="CW2390" s="717"/>
      <c r="CX2390" s="717"/>
      <c r="CY2390" s="717"/>
      <c r="CZ2390" s="717"/>
      <c r="DA2390" s="717"/>
      <c r="DB2390" s="717"/>
      <c r="DC2390" s="717"/>
      <c r="DD2390" s="717"/>
      <c r="DE2390" s="717"/>
      <c r="DF2390" s="717"/>
      <c r="DG2390" s="717"/>
      <c r="DH2390" s="717"/>
      <c r="DI2390" s="717"/>
      <c r="DJ2390" s="717"/>
      <c r="DM2390" s="711"/>
      <c r="DN2390" s="711"/>
      <c r="DO2390" s="711"/>
      <c r="DP2390" s="711"/>
      <c r="DQ2390" s="711"/>
    </row>
    <row r="2391" spans="13:121" s="709" customFormat="1" hidden="1">
      <c r="M2391" s="710"/>
      <c r="P2391" s="711"/>
      <c r="Q2391" s="712"/>
      <c r="U2391" s="711"/>
      <c r="V2391" s="711"/>
      <c r="W2391" s="711"/>
      <c r="X2391" s="711"/>
      <c r="Y2391" s="711"/>
      <c r="Z2391" s="711"/>
      <c r="AU2391" s="713"/>
      <c r="AW2391" s="712"/>
      <c r="BY2391" s="714"/>
      <c r="BZ2391" s="715"/>
      <c r="CA2391" s="716"/>
      <c r="CB2391" s="717"/>
      <c r="CC2391" s="717"/>
      <c r="CD2391" s="717"/>
      <c r="CE2391" s="717"/>
      <c r="CF2391" s="717"/>
      <c r="CG2391" s="717"/>
      <c r="CH2391" s="717"/>
      <c r="CI2391" s="717"/>
      <c r="CJ2391" s="717"/>
      <c r="CK2391" s="717"/>
      <c r="CL2391" s="717"/>
      <c r="CM2391" s="717"/>
      <c r="CN2391" s="717"/>
      <c r="CO2391" s="717"/>
      <c r="CP2391" s="717"/>
      <c r="CQ2391" s="717"/>
      <c r="CR2391" s="717"/>
      <c r="CS2391" s="717"/>
      <c r="CT2391" s="717"/>
      <c r="CU2391" s="717"/>
      <c r="CV2391" s="717"/>
      <c r="CW2391" s="717"/>
      <c r="CX2391" s="717"/>
      <c r="CY2391" s="717"/>
      <c r="CZ2391" s="717"/>
      <c r="DA2391" s="717"/>
      <c r="DB2391" s="717"/>
      <c r="DC2391" s="717"/>
      <c r="DD2391" s="717"/>
      <c r="DE2391" s="717"/>
      <c r="DF2391" s="717"/>
      <c r="DG2391" s="717"/>
      <c r="DH2391" s="717"/>
      <c r="DI2391" s="717"/>
      <c r="DJ2391" s="717"/>
      <c r="DM2391" s="711"/>
      <c r="DN2391" s="711"/>
      <c r="DO2391" s="711"/>
      <c r="DP2391" s="711"/>
      <c r="DQ2391" s="711"/>
    </row>
    <row r="2392" spans="13:121" s="709" customFormat="1" hidden="1">
      <c r="M2392" s="710"/>
      <c r="P2392" s="711"/>
      <c r="Q2392" s="712"/>
      <c r="U2392" s="711"/>
      <c r="V2392" s="711"/>
      <c r="W2392" s="711"/>
      <c r="X2392" s="711"/>
      <c r="Y2392" s="711"/>
      <c r="Z2392" s="711"/>
      <c r="AU2392" s="713"/>
      <c r="AW2392" s="712"/>
      <c r="BY2392" s="714"/>
      <c r="BZ2392" s="715"/>
      <c r="CA2392" s="716"/>
      <c r="CB2392" s="717"/>
      <c r="CC2392" s="717"/>
      <c r="CD2392" s="717"/>
      <c r="CE2392" s="717"/>
      <c r="CF2392" s="717"/>
      <c r="CG2392" s="717"/>
      <c r="CH2392" s="717"/>
      <c r="CI2392" s="717"/>
      <c r="CJ2392" s="717"/>
      <c r="CK2392" s="717"/>
      <c r="CL2392" s="717"/>
      <c r="CM2392" s="717"/>
      <c r="CN2392" s="717"/>
      <c r="CO2392" s="717"/>
      <c r="CP2392" s="717"/>
      <c r="CQ2392" s="717"/>
      <c r="CR2392" s="717"/>
      <c r="CS2392" s="717"/>
      <c r="CT2392" s="717"/>
      <c r="CU2392" s="717"/>
      <c r="CV2392" s="717"/>
      <c r="CW2392" s="717"/>
      <c r="CX2392" s="717"/>
      <c r="CY2392" s="717"/>
      <c r="CZ2392" s="717"/>
      <c r="DA2392" s="717"/>
      <c r="DB2392" s="717"/>
      <c r="DC2392" s="717"/>
      <c r="DD2392" s="717"/>
      <c r="DE2392" s="717"/>
      <c r="DF2392" s="717"/>
      <c r="DG2392" s="717"/>
      <c r="DH2392" s="717"/>
      <c r="DI2392" s="717"/>
      <c r="DJ2392" s="717"/>
      <c r="DM2392" s="711"/>
      <c r="DN2392" s="711"/>
      <c r="DO2392" s="711"/>
      <c r="DP2392" s="711"/>
      <c r="DQ2392" s="711"/>
    </row>
    <row r="2393" spans="13:121" s="709" customFormat="1" hidden="1">
      <c r="M2393" s="710"/>
      <c r="P2393" s="711"/>
      <c r="Q2393" s="712"/>
      <c r="U2393" s="711"/>
      <c r="V2393" s="711"/>
      <c r="W2393" s="711"/>
      <c r="X2393" s="711"/>
      <c r="Y2393" s="711"/>
      <c r="Z2393" s="711"/>
      <c r="AU2393" s="713"/>
      <c r="AW2393" s="712"/>
      <c r="BY2393" s="714"/>
      <c r="BZ2393" s="715"/>
      <c r="CA2393" s="716"/>
      <c r="CB2393" s="717"/>
      <c r="CC2393" s="717"/>
      <c r="CD2393" s="717"/>
      <c r="CE2393" s="717"/>
      <c r="CF2393" s="717"/>
      <c r="CG2393" s="717"/>
      <c r="CH2393" s="717"/>
      <c r="CI2393" s="717"/>
      <c r="CJ2393" s="717"/>
      <c r="CK2393" s="717"/>
      <c r="CL2393" s="717"/>
      <c r="CM2393" s="717"/>
      <c r="CN2393" s="717"/>
      <c r="CO2393" s="717"/>
      <c r="CP2393" s="717"/>
      <c r="CQ2393" s="717"/>
      <c r="CR2393" s="717"/>
      <c r="CS2393" s="717"/>
      <c r="CT2393" s="717"/>
      <c r="CU2393" s="717"/>
      <c r="CV2393" s="717"/>
      <c r="CW2393" s="717"/>
      <c r="CX2393" s="717"/>
      <c r="CY2393" s="717"/>
      <c r="CZ2393" s="717"/>
      <c r="DA2393" s="717"/>
      <c r="DB2393" s="717"/>
      <c r="DC2393" s="717"/>
      <c r="DD2393" s="717"/>
      <c r="DE2393" s="717"/>
      <c r="DF2393" s="717"/>
      <c r="DG2393" s="717"/>
      <c r="DH2393" s="717"/>
      <c r="DI2393" s="717"/>
      <c r="DJ2393" s="717"/>
      <c r="DM2393" s="711"/>
      <c r="DN2393" s="711"/>
      <c r="DO2393" s="711"/>
      <c r="DP2393" s="711"/>
      <c r="DQ2393" s="711"/>
    </row>
    <row r="2394" spans="13:121" s="709" customFormat="1" hidden="1">
      <c r="M2394" s="710"/>
      <c r="P2394" s="711"/>
      <c r="Q2394" s="712"/>
      <c r="U2394" s="711"/>
      <c r="V2394" s="711"/>
      <c r="W2394" s="711"/>
      <c r="X2394" s="711"/>
      <c r="Y2394" s="711"/>
      <c r="Z2394" s="711"/>
      <c r="AU2394" s="713"/>
      <c r="AW2394" s="712"/>
      <c r="BY2394" s="714"/>
      <c r="BZ2394" s="715"/>
      <c r="CA2394" s="716"/>
      <c r="CB2394" s="717"/>
      <c r="CC2394" s="717"/>
      <c r="CD2394" s="717"/>
      <c r="CE2394" s="717"/>
      <c r="CF2394" s="717"/>
      <c r="CG2394" s="717"/>
      <c r="CH2394" s="717"/>
      <c r="CI2394" s="717"/>
      <c r="CJ2394" s="717"/>
      <c r="CK2394" s="717"/>
      <c r="CL2394" s="717"/>
      <c r="CM2394" s="717"/>
      <c r="CN2394" s="717"/>
      <c r="CO2394" s="717"/>
      <c r="CP2394" s="717"/>
      <c r="CQ2394" s="717"/>
      <c r="CR2394" s="717"/>
      <c r="CS2394" s="717"/>
      <c r="CT2394" s="717"/>
      <c r="CU2394" s="717"/>
      <c r="CV2394" s="717"/>
      <c r="CW2394" s="717"/>
      <c r="CX2394" s="717"/>
      <c r="CY2394" s="717"/>
      <c r="CZ2394" s="717"/>
      <c r="DA2394" s="717"/>
      <c r="DB2394" s="717"/>
      <c r="DC2394" s="717"/>
      <c r="DD2394" s="717"/>
      <c r="DE2394" s="717"/>
      <c r="DF2394" s="717"/>
      <c r="DG2394" s="717"/>
      <c r="DH2394" s="717"/>
      <c r="DI2394" s="717"/>
      <c r="DJ2394" s="717"/>
      <c r="DM2394" s="711"/>
      <c r="DN2394" s="711"/>
      <c r="DO2394" s="711"/>
      <c r="DP2394" s="711"/>
      <c r="DQ2394" s="711"/>
    </row>
    <row r="2395" spans="13:121" s="709" customFormat="1" hidden="1">
      <c r="M2395" s="710"/>
      <c r="P2395" s="711"/>
      <c r="Q2395" s="712"/>
      <c r="U2395" s="711"/>
      <c r="V2395" s="711"/>
      <c r="W2395" s="711"/>
      <c r="X2395" s="711"/>
      <c r="Y2395" s="711"/>
      <c r="Z2395" s="711"/>
      <c r="AU2395" s="713"/>
      <c r="AW2395" s="712"/>
      <c r="BY2395" s="714"/>
      <c r="BZ2395" s="715"/>
      <c r="CA2395" s="716"/>
      <c r="CB2395" s="717"/>
      <c r="CC2395" s="717"/>
      <c r="CD2395" s="717"/>
      <c r="CE2395" s="717"/>
      <c r="CF2395" s="717"/>
      <c r="CG2395" s="717"/>
      <c r="CH2395" s="717"/>
      <c r="CI2395" s="717"/>
      <c r="CJ2395" s="717"/>
      <c r="CK2395" s="717"/>
      <c r="CL2395" s="717"/>
      <c r="CM2395" s="717"/>
      <c r="CN2395" s="717"/>
      <c r="CO2395" s="717"/>
      <c r="CP2395" s="717"/>
      <c r="CQ2395" s="717"/>
      <c r="CR2395" s="717"/>
      <c r="CS2395" s="717"/>
      <c r="CT2395" s="717"/>
      <c r="CU2395" s="717"/>
      <c r="CV2395" s="717"/>
      <c r="CW2395" s="717"/>
      <c r="CX2395" s="717"/>
      <c r="CY2395" s="717"/>
      <c r="CZ2395" s="717"/>
      <c r="DA2395" s="717"/>
      <c r="DB2395" s="717"/>
      <c r="DC2395" s="717"/>
      <c r="DD2395" s="717"/>
      <c r="DE2395" s="717"/>
      <c r="DF2395" s="717"/>
      <c r="DG2395" s="717"/>
      <c r="DH2395" s="717"/>
      <c r="DI2395" s="717"/>
      <c r="DJ2395" s="717"/>
      <c r="DM2395" s="711"/>
      <c r="DN2395" s="711"/>
      <c r="DO2395" s="711"/>
      <c r="DP2395" s="711"/>
      <c r="DQ2395" s="711"/>
    </row>
    <row r="2396" spans="13:121" s="709" customFormat="1" hidden="1">
      <c r="M2396" s="710"/>
      <c r="P2396" s="711"/>
      <c r="Q2396" s="712"/>
      <c r="U2396" s="711"/>
      <c r="V2396" s="711"/>
      <c r="W2396" s="711"/>
      <c r="X2396" s="711"/>
      <c r="Y2396" s="711"/>
      <c r="Z2396" s="711"/>
      <c r="AU2396" s="713"/>
      <c r="AW2396" s="712"/>
      <c r="BY2396" s="714"/>
      <c r="BZ2396" s="715"/>
      <c r="CA2396" s="716"/>
      <c r="CB2396" s="717"/>
      <c r="CC2396" s="717"/>
      <c r="CD2396" s="717"/>
      <c r="CE2396" s="717"/>
      <c r="CF2396" s="717"/>
      <c r="CG2396" s="717"/>
      <c r="CH2396" s="717"/>
      <c r="CI2396" s="717"/>
      <c r="CJ2396" s="717"/>
      <c r="CK2396" s="717"/>
      <c r="CL2396" s="717"/>
      <c r="CM2396" s="717"/>
      <c r="CN2396" s="717"/>
      <c r="CO2396" s="717"/>
      <c r="CP2396" s="717"/>
      <c r="CQ2396" s="717"/>
      <c r="CR2396" s="717"/>
      <c r="CS2396" s="717"/>
      <c r="CT2396" s="717"/>
      <c r="CU2396" s="717"/>
      <c r="CV2396" s="717"/>
      <c r="CW2396" s="717"/>
      <c r="CX2396" s="717"/>
      <c r="CY2396" s="717"/>
      <c r="CZ2396" s="717"/>
      <c r="DA2396" s="717"/>
      <c r="DB2396" s="717"/>
      <c r="DC2396" s="717"/>
      <c r="DD2396" s="717"/>
      <c r="DE2396" s="717"/>
      <c r="DF2396" s="717"/>
      <c r="DG2396" s="717"/>
      <c r="DH2396" s="717"/>
      <c r="DI2396" s="717"/>
      <c r="DJ2396" s="717"/>
      <c r="DM2396" s="711"/>
      <c r="DN2396" s="711"/>
      <c r="DO2396" s="711"/>
      <c r="DP2396" s="711"/>
      <c r="DQ2396" s="711"/>
    </row>
    <row r="2397" spans="13:121" s="709" customFormat="1" hidden="1">
      <c r="M2397" s="710"/>
      <c r="P2397" s="711"/>
      <c r="Q2397" s="712"/>
      <c r="U2397" s="711"/>
      <c r="V2397" s="711"/>
      <c r="W2397" s="711"/>
      <c r="X2397" s="711"/>
      <c r="Y2397" s="711"/>
      <c r="Z2397" s="711"/>
      <c r="AU2397" s="713"/>
      <c r="AW2397" s="712"/>
      <c r="BY2397" s="714"/>
      <c r="BZ2397" s="715"/>
      <c r="CA2397" s="716"/>
      <c r="CB2397" s="717"/>
      <c r="CC2397" s="717"/>
      <c r="CD2397" s="717"/>
      <c r="CE2397" s="717"/>
      <c r="CF2397" s="717"/>
      <c r="CG2397" s="717"/>
      <c r="CH2397" s="717"/>
      <c r="CI2397" s="717"/>
      <c r="CJ2397" s="717"/>
      <c r="CK2397" s="717"/>
      <c r="CL2397" s="717"/>
      <c r="CM2397" s="717"/>
      <c r="CN2397" s="717"/>
      <c r="CO2397" s="717"/>
      <c r="CP2397" s="717"/>
      <c r="CQ2397" s="717"/>
      <c r="CR2397" s="717"/>
      <c r="CS2397" s="717"/>
      <c r="CT2397" s="717"/>
      <c r="CU2397" s="717"/>
      <c r="CV2397" s="717"/>
      <c r="CW2397" s="717"/>
      <c r="CX2397" s="717"/>
      <c r="CY2397" s="717"/>
      <c r="CZ2397" s="717"/>
      <c r="DA2397" s="717"/>
      <c r="DB2397" s="717"/>
      <c r="DC2397" s="717"/>
      <c r="DD2397" s="717"/>
      <c r="DE2397" s="717"/>
      <c r="DF2397" s="717"/>
      <c r="DG2397" s="717"/>
      <c r="DH2397" s="717"/>
      <c r="DI2397" s="717"/>
      <c r="DJ2397" s="717"/>
      <c r="DM2397" s="711"/>
      <c r="DN2397" s="711"/>
      <c r="DO2397" s="711"/>
      <c r="DP2397" s="711"/>
      <c r="DQ2397" s="711"/>
    </row>
    <row r="2398" spans="13:121" s="709" customFormat="1" hidden="1">
      <c r="M2398" s="710"/>
      <c r="P2398" s="711"/>
      <c r="Q2398" s="712"/>
      <c r="U2398" s="711"/>
      <c r="V2398" s="711"/>
      <c r="W2398" s="711"/>
      <c r="X2398" s="711"/>
      <c r="Y2398" s="711"/>
      <c r="Z2398" s="711"/>
      <c r="AU2398" s="713"/>
      <c r="AW2398" s="712"/>
      <c r="BY2398" s="714"/>
      <c r="BZ2398" s="715"/>
      <c r="CA2398" s="716"/>
      <c r="CB2398" s="717"/>
      <c r="CC2398" s="717"/>
      <c r="CD2398" s="717"/>
      <c r="CE2398" s="717"/>
      <c r="CF2398" s="717"/>
      <c r="CG2398" s="717"/>
      <c r="CH2398" s="717"/>
      <c r="CI2398" s="717"/>
      <c r="CJ2398" s="717"/>
      <c r="CK2398" s="717"/>
      <c r="CL2398" s="717"/>
      <c r="CM2398" s="717"/>
      <c r="CN2398" s="717"/>
      <c r="CO2398" s="717"/>
      <c r="CP2398" s="717"/>
      <c r="CQ2398" s="717"/>
      <c r="CR2398" s="717"/>
      <c r="CS2398" s="717"/>
      <c r="CT2398" s="717"/>
      <c r="CU2398" s="717"/>
      <c r="CV2398" s="717"/>
      <c r="CW2398" s="717"/>
      <c r="CX2398" s="717"/>
      <c r="CY2398" s="717"/>
      <c r="CZ2398" s="717"/>
      <c r="DA2398" s="717"/>
      <c r="DB2398" s="717"/>
      <c r="DC2398" s="717"/>
      <c r="DD2398" s="717"/>
      <c r="DE2398" s="717"/>
      <c r="DF2398" s="717"/>
      <c r="DG2398" s="717"/>
      <c r="DH2398" s="717"/>
      <c r="DI2398" s="717"/>
      <c r="DJ2398" s="717"/>
      <c r="DM2398" s="711"/>
      <c r="DN2398" s="711"/>
      <c r="DO2398" s="711"/>
      <c r="DP2398" s="711"/>
      <c r="DQ2398" s="711"/>
    </row>
    <row r="2399" spans="13:121" s="709" customFormat="1" hidden="1">
      <c r="M2399" s="710"/>
      <c r="P2399" s="711"/>
      <c r="Q2399" s="712"/>
      <c r="U2399" s="711"/>
      <c r="V2399" s="711"/>
      <c r="W2399" s="711"/>
      <c r="X2399" s="711"/>
      <c r="Y2399" s="711"/>
      <c r="Z2399" s="711"/>
      <c r="AU2399" s="713"/>
      <c r="AW2399" s="712"/>
      <c r="BY2399" s="714"/>
      <c r="BZ2399" s="715"/>
      <c r="CA2399" s="716"/>
      <c r="CB2399" s="717"/>
      <c r="CC2399" s="717"/>
      <c r="CD2399" s="717"/>
      <c r="CE2399" s="717"/>
      <c r="CF2399" s="717"/>
      <c r="CG2399" s="717"/>
      <c r="CH2399" s="717"/>
      <c r="CI2399" s="717"/>
      <c r="CJ2399" s="717"/>
      <c r="CK2399" s="717"/>
      <c r="CL2399" s="717"/>
      <c r="CM2399" s="717"/>
      <c r="CN2399" s="717"/>
      <c r="CO2399" s="717"/>
      <c r="CP2399" s="717"/>
      <c r="CQ2399" s="717"/>
      <c r="CR2399" s="717"/>
      <c r="CS2399" s="717"/>
      <c r="CT2399" s="717"/>
      <c r="CU2399" s="717"/>
      <c r="CV2399" s="717"/>
      <c r="CW2399" s="717"/>
      <c r="CX2399" s="717"/>
      <c r="CY2399" s="717"/>
      <c r="CZ2399" s="717"/>
      <c r="DA2399" s="717"/>
      <c r="DB2399" s="717"/>
      <c r="DC2399" s="717"/>
      <c r="DD2399" s="717"/>
      <c r="DE2399" s="717"/>
      <c r="DF2399" s="717"/>
      <c r="DG2399" s="717"/>
      <c r="DH2399" s="717"/>
      <c r="DI2399" s="717"/>
      <c r="DJ2399" s="717"/>
      <c r="DM2399" s="711"/>
      <c r="DN2399" s="711"/>
      <c r="DO2399" s="711"/>
      <c r="DP2399" s="711"/>
      <c r="DQ2399" s="711"/>
    </row>
    <row r="2400" spans="13:121" s="709" customFormat="1" hidden="1">
      <c r="M2400" s="710"/>
      <c r="P2400" s="711"/>
      <c r="Q2400" s="712"/>
      <c r="U2400" s="711"/>
      <c r="V2400" s="711"/>
      <c r="W2400" s="711"/>
      <c r="X2400" s="711"/>
      <c r="Y2400" s="711"/>
      <c r="Z2400" s="711"/>
      <c r="AU2400" s="713"/>
      <c r="AW2400" s="712"/>
      <c r="BY2400" s="714"/>
      <c r="BZ2400" s="715"/>
      <c r="CA2400" s="716"/>
      <c r="CB2400" s="717"/>
      <c r="CC2400" s="717"/>
      <c r="CD2400" s="717"/>
      <c r="CE2400" s="717"/>
      <c r="CF2400" s="717"/>
      <c r="CG2400" s="717"/>
      <c r="CH2400" s="717"/>
      <c r="CI2400" s="717"/>
      <c r="CJ2400" s="717"/>
      <c r="CK2400" s="717"/>
      <c r="CL2400" s="717"/>
      <c r="CM2400" s="717"/>
      <c r="CN2400" s="717"/>
      <c r="CO2400" s="717"/>
      <c r="CP2400" s="717"/>
      <c r="CQ2400" s="717"/>
      <c r="CR2400" s="717"/>
      <c r="CS2400" s="717"/>
      <c r="CT2400" s="717"/>
      <c r="CU2400" s="717"/>
      <c r="CV2400" s="717"/>
      <c r="CW2400" s="717"/>
      <c r="CX2400" s="717"/>
      <c r="CY2400" s="717"/>
      <c r="CZ2400" s="717"/>
      <c r="DA2400" s="717"/>
      <c r="DB2400" s="717"/>
      <c r="DC2400" s="717"/>
      <c r="DD2400" s="717"/>
      <c r="DE2400" s="717"/>
      <c r="DF2400" s="717"/>
      <c r="DG2400" s="717"/>
      <c r="DH2400" s="717"/>
      <c r="DI2400" s="717"/>
      <c r="DJ2400" s="717"/>
      <c r="DM2400" s="711"/>
      <c r="DN2400" s="711"/>
      <c r="DO2400" s="711"/>
      <c r="DP2400" s="711"/>
      <c r="DQ2400" s="711"/>
    </row>
    <row r="2401" spans="13:121" s="709" customFormat="1" hidden="1">
      <c r="M2401" s="710"/>
      <c r="P2401" s="711"/>
      <c r="Q2401" s="712"/>
      <c r="U2401" s="711"/>
      <c r="V2401" s="711"/>
      <c r="W2401" s="711"/>
      <c r="X2401" s="711"/>
      <c r="Y2401" s="711"/>
      <c r="Z2401" s="711"/>
      <c r="AU2401" s="713"/>
      <c r="AW2401" s="712"/>
      <c r="BY2401" s="714"/>
      <c r="BZ2401" s="715"/>
      <c r="CA2401" s="716"/>
      <c r="CB2401" s="717"/>
      <c r="CC2401" s="717"/>
      <c r="CD2401" s="717"/>
      <c r="CE2401" s="717"/>
      <c r="CF2401" s="717"/>
      <c r="CG2401" s="717"/>
      <c r="CH2401" s="717"/>
      <c r="CI2401" s="717"/>
      <c r="CJ2401" s="717"/>
      <c r="CK2401" s="717"/>
      <c r="CL2401" s="717"/>
      <c r="CM2401" s="717"/>
      <c r="CN2401" s="717"/>
      <c r="CO2401" s="717"/>
      <c r="CP2401" s="717"/>
      <c r="CQ2401" s="717"/>
      <c r="CR2401" s="717"/>
      <c r="CS2401" s="717"/>
      <c r="CT2401" s="717"/>
      <c r="CU2401" s="717"/>
      <c r="CV2401" s="717"/>
      <c r="CW2401" s="717"/>
      <c r="CX2401" s="717"/>
      <c r="CY2401" s="717"/>
      <c r="CZ2401" s="717"/>
      <c r="DA2401" s="717"/>
      <c r="DB2401" s="717"/>
      <c r="DC2401" s="717"/>
      <c r="DD2401" s="717"/>
      <c r="DE2401" s="717"/>
      <c r="DF2401" s="717"/>
      <c r="DG2401" s="717"/>
      <c r="DH2401" s="717"/>
      <c r="DI2401" s="717"/>
      <c r="DJ2401" s="717"/>
      <c r="DM2401" s="711"/>
      <c r="DN2401" s="711"/>
      <c r="DO2401" s="711"/>
      <c r="DP2401" s="711"/>
      <c r="DQ2401" s="711"/>
    </row>
    <row r="2402" spans="13:121" s="709" customFormat="1" hidden="1">
      <c r="M2402" s="710"/>
      <c r="P2402" s="711"/>
      <c r="Q2402" s="712"/>
      <c r="U2402" s="711"/>
      <c r="V2402" s="711"/>
      <c r="W2402" s="711"/>
      <c r="X2402" s="711"/>
      <c r="Y2402" s="711"/>
      <c r="Z2402" s="711"/>
      <c r="AU2402" s="713"/>
      <c r="AW2402" s="712"/>
      <c r="BY2402" s="714"/>
      <c r="BZ2402" s="715"/>
      <c r="CA2402" s="716"/>
      <c r="CB2402" s="717"/>
      <c r="CC2402" s="717"/>
      <c r="CD2402" s="717"/>
      <c r="CE2402" s="717"/>
      <c r="CF2402" s="717"/>
      <c r="CG2402" s="717"/>
      <c r="CH2402" s="717"/>
      <c r="CI2402" s="717"/>
      <c r="CJ2402" s="717"/>
      <c r="CK2402" s="717"/>
      <c r="CL2402" s="717"/>
      <c r="CM2402" s="717"/>
      <c r="CN2402" s="717"/>
      <c r="CO2402" s="717"/>
      <c r="CP2402" s="717"/>
      <c r="CQ2402" s="717"/>
      <c r="CR2402" s="717"/>
      <c r="CS2402" s="717"/>
      <c r="CT2402" s="717"/>
      <c r="CU2402" s="717"/>
      <c r="CV2402" s="717"/>
      <c r="CW2402" s="717"/>
      <c r="CX2402" s="717"/>
      <c r="CY2402" s="717"/>
      <c r="CZ2402" s="717"/>
      <c r="DA2402" s="717"/>
      <c r="DB2402" s="717"/>
      <c r="DC2402" s="717"/>
      <c r="DD2402" s="717"/>
      <c r="DE2402" s="717"/>
      <c r="DF2402" s="717"/>
      <c r="DG2402" s="717"/>
      <c r="DH2402" s="717"/>
      <c r="DI2402" s="717"/>
      <c r="DJ2402" s="717"/>
      <c r="DM2402" s="711"/>
      <c r="DN2402" s="711"/>
      <c r="DO2402" s="711"/>
      <c r="DP2402" s="711"/>
      <c r="DQ2402" s="711"/>
    </row>
    <row r="2403" spans="13:121" s="709" customFormat="1" hidden="1">
      <c r="M2403" s="710"/>
      <c r="P2403" s="711"/>
      <c r="Q2403" s="712"/>
      <c r="U2403" s="711"/>
      <c r="V2403" s="711"/>
      <c r="W2403" s="711"/>
      <c r="X2403" s="711"/>
      <c r="Y2403" s="711"/>
      <c r="Z2403" s="711"/>
      <c r="AU2403" s="713"/>
      <c r="AW2403" s="712"/>
      <c r="BY2403" s="714"/>
      <c r="BZ2403" s="715"/>
      <c r="CA2403" s="716"/>
      <c r="CB2403" s="717"/>
      <c r="CC2403" s="717"/>
      <c r="CD2403" s="717"/>
      <c r="CE2403" s="717"/>
      <c r="CF2403" s="717"/>
      <c r="CG2403" s="717"/>
      <c r="CH2403" s="717"/>
      <c r="CI2403" s="717"/>
      <c r="CJ2403" s="717"/>
      <c r="CK2403" s="717"/>
      <c r="CL2403" s="717"/>
      <c r="CM2403" s="717"/>
      <c r="CN2403" s="717"/>
      <c r="CO2403" s="717"/>
      <c r="CP2403" s="717"/>
      <c r="CQ2403" s="717"/>
      <c r="CR2403" s="717"/>
      <c r="CS2403" s="717"/>
      <c r="CT2403" s="717"/>
      <c r="CU2403" s="717"/>
      <c r="CV2403" s="717"/>
      <c r="CW2403" s="717"/>
      <c r="CX2403" s="717"/>
      <c r="CY2403" s="717"/>
      <c r="CZ2403" s="717"/>
      <c r="DA2403" s="717"/>
      <c r="DB2403" s="717"/>
      <c r="DC2403" s="717"/>
      <c r="DD2403" s="717"/>
      <c r="DE2403" s="717"/>
      <c r="DF2403" s="717"/>
      <c r="DG2403" s="717"/>
      <c r="DH2403" s="717"/>
      <c r="DI2403" s="717"/>
      <c r="DJ2403" s="717"/>
      <c r="DM2403" s="711"/>
      <c r="DN2403" s="711"/>
      <c r="DO2403" s="711"/>
      <c r="DP2403" s="711"/>
      <c r="DQ2403" s="711"/>
    </row>
    <row r="2404" spans="13:121" s="709" customFormat="1" hidden="1">
      <c r="M2404" s="710"/>
      <c r="P2404" s="711"/>
      <c r="Q2404" s="712"/>
      <c r="U2404" s="711"/>
      <c r="V2404" s="711"/>
      <c r="W2404" s="711"/>
      <c r="X2404" s="711"/>
      <c r="Y2404" s="711"/>
      <c r="Z2404" s="711"/>
      <c r="AU2404" s="713"/>
      <c r="AW2404" s="712"/>
      <c r="BY2404" s="714"/>
      <c r="BZ2404" s="715"/>
      <c r="CA2404" s="716"/>
      <c r="CB2404" s="717"/>
      <c r="CC2404" s="717"/>
      <c r="CD2404" s="717"/>
      <c r="CE2404" s="717"/>
      <c r="CF2404" s="717"/>
      <c r="CG2404" s="717"/>
      <c r="CH2404" s="717"/>
      <c r="CI2404" s="717"/>
      <c r="CJ2404" s="717"/>
      <c r="CK2404" s="717"/>
      <c r="CL2404" s="717"/>
      <c r="CM2404" s="717"/>
      <c r="CN2404" s="717"/>
      <c r="CO2404" s="717"/>
      <c r="CP2404" s="717"/>
      <c r="CQ2404" s="717"/>
      <c r="CR2404" s="717"/>
      <c r="CS2404" s="717"/>
      <c r="CT2404" s="717"/>
      <c r="CU2404" s="717"/>
      <c r="CV2404" s="717"/>
      <c r="CW2404" s="717"/>
      <c r="CX2404" s="717"/>
      <c r="CY2404" s="717"/>
      <c r="CZ2404" s="717"/>
      <c r="DA2404" s="717"/>
      <c r="DB2404" s="717"/>
      <c r="DC2404" s="717"/>
      <c r="DD2404" s="717"/>
      <c r="DE2404" s="717"/>
      <c r="DF2404" s="717"/>
      <c r="DG2404" s="717"/>
      <c r="DH2404" s="717"/>
      <c r="DI2404" s="717"/>
      <c r="DJ2404" s="717"/>
      <c r="DM2404" s="711"/>
      <c r="DN2404" s="711"/>
      <c r="DO2404" s="711"/>
      <c r="DP2404" s="711"/>
      <c r="DQ2404" s="711"/>
    </row>
    <row r="2405" spans="13:121" s="709" customFormat="1" hidden="1">
      <c r="M2405" s="710"/>
      <c r="P2405" s="711"/>
      <c r="Q2405" s="712"/>
      <c r="U2405" s="711"/>
      <c r="V2405" s="711"/>
      <c r="W2405" s="711"/>
      <c r="X2405" s="711"/>
      <c r="Y2405" s="711"/>
      <c r="Z2405" s="711"/>
      <c r="AU2405" s="713"/>
      <c r="AW2405" s="712"/>
      <c r="BY2405" s="714"/>
      <c r="BZ2405" s="715"/>
      <c r="CA2405" s="716"/>
      <c r="CB2405" s="717"/>
      <c r="CC2405" s="717"/>
      <c r="CD2405" s="717"/>
      <c r="CE2405" s="717"/>
      <c r="CF2405" s="717"/>
      <c r="CG2405" s="717"/>
      <c r="CH2405" s="717"/>
      <c r="CI2405" s="717"/>
      <c r="CJ2405" s="717"/>
      <c r="CK2405" s="717"/>
      <c r="CL2405" s="717"/>
      <c r="CM2405" s="717"/>
      <c r="CN2405" s="717"/>
      <c r="CO2405" s="717"/>
      <c r="CP2405" s="717"/>
      <c r="CQ2405" s="717"/>
      <c r="CR2405" s="717"/>
      <c r="CS2405" s="717"/>
      <c r="CT2405" s="717"/>
      <c r="CU2405" s="717"/>
      <c r="CV2405" s="717"/>
      <c r="CW2405" s="717"/>
      <c r="CX2405" s="717"/>
      <c r="CY2405" s="717"/>
      <c r="CZ2405" s="717"/>
      <c r="DA2405" s="717"/>
      <c r="DB2405" s="717"/>
      <c r="DC2405" s="717"/>
      <c r="DD2405" s="717"/>
      <c r="DE2405" s="717"/>
      <c r="DF2405" s="717"/>
      <c r="DG2405" s="717"/>
      <c r="DH2405" s="717"/>
      <c r="DI2405" s="717"/>
      <c r="DJ2405" s="717"/>
      <c r="DM2405" s="711"/>
      <c r="DN2405" s="711"/>
      <c r="DO2405" s="711"/>
      <c r="DP2405" s="711"/>
      <c r="DQ2405" s="711"/>
    </row>
    <row r="2406" spans="13:121" s="709" customFormat="1" hidden="1">
      <c r="M2406" s="710"/>
      <c r="P2406" s="711"/>
      <c r="Q2406" s="712"/>
      <c r="U2406" s="711"/>
      <c r="V2406" s="711"/>
      <c r="W2406" s="711"/>
      <c r="X2406" s="711"/>
      <c r="Y2406" s="711"/>
      <c r="Z2406" s="711"/>
      <c r="AU2406" s="713"/>
      <c r="AW2406" s="712"/>
      <c r="BY2406" s="714"/>
      <c r="BZ2406" s="715"/>
      <c r="CA2406" s="716"/>
      <c r="CB2406" s="717"/>
      <c r="CC2406" s="717"/>
      <c r="CD2406" s="717"/>
      <c r="CE2406" s="717"/>
      <c r="CF2406" s="717"/>
      <c r="CG2406" s="717"/>
      <c r="CH2406" s="717"/>
      <c r="CI2406" s="717"/>
      <c r="CJ2406" s="717"/>
      <c r="CK2406" s="717"/>
      <c r="CL2406" s="717"/>
      <c r="CM2406" s="717"/>
      <c r="CN2406" s="717"/>
      <c r="CO2406" s="717"/>
      <c r="CP2406" s="717"/>
      <c r="CQ2406" s="717"/>
      <c r="CR2406" s="717"/>
      <c r="CS2406" s="717"/>
      <c r="CT2406" s="717"/>
      <c r="CU2406" s="717"/>
      <c r="CV2406" s="717"/>
      <c r="CW2406" s="717"/>
      <c r="CX2406" s="717"/>
      <c r="CY2406" s="717"/>
      <c r="CZ2406" s="717"/>
      <c r="DA2406" s="717"/>
      <c r="DB2406" s="717"/>
      <c r="DC2406" s="717"/>
      <c r="DD2406" s="717"/>
      <c r="DE2406" s="717"/>
      <c r="DF2406" s="717"/>
      <c r="DG2406" s="717"/>
      <c r="DH2406" s="717"/>
      <c r="DI2406" s="717"/>
      <c r="DJ2406" s="717"/>
      <c r="DM2406" s="711"/>
      <c r="DN2406" s="711"/>
      <c r="DO2406" s="711"/>
      <c r="DP2406" s="711"/>
      <c r="DQ2406" s="711"/>
    </row>
    <row r="2407" spans="13:121" s="709" customFormat="1" hidden="1">
      <c r="M2407" s="710"/>
      <c r="P2407" s="711"/>
      <c r="Q2407" s="712"/>
      <c r="U2407" s="711"/>
      <c r="V2407" s="711"/>
      <c r="W2407" s="711"/>
      <c r="X2407" s="711"/>
      <c r="Y2407" s="711"/>
      <c r="Z2407" s="711"/>
      <c r="AU2407" s="713"/>
      <c r="AW2407" s="712"/>
      <c r="BY2407" s="714"/>
      <c r="BZ2407" s="715"/>
      <c r="CA2407" s="716"/>
      <c r="CB2407" s="717"/>
      <c r="CC2407" s="717"/>
      <c r="CD2407" s="717"/>
      <c r="CE2407" s="717"/>
      <c r="CF2407" s="717"/>
      <c r="CG2407" s="717"/>
      <c r="CH2407" s="717"/>
      <c r="CI2407" s="717"/>
      <c r="CJ2407" s="717"/>
      <c r="CK2407" s="717"/>
      <c r="CL2407" s="717"/>
      <c r="CM2407" s="717"/>
      <c r="CN2407" s="717"/>
      <c r="CO2407" s="717"/>
      <c r="CP2407" s="717"/>
      <c r="CQ2407" s="717"/>
      <c r="CR2407" s="717"/>
      <c r="CS2407" s="717"/>
      <c r="CT2407" s="717"/>
      <c r="CU2407" s="717"/>
      <c r="CV2407" s="717"/>
      <c r="CW2407" s="717"/>
      <c r="CX2407" s="717"/>
      <c r="CY2407" s="717"/>
      <c r="CZ2407" s="717"/>
      <c r="DA2407" s="717"/>
      <c r="DB2407" s="717"/>
      <c r="DC2407" s="717"/>
      <c r="DD2407" s="717"/>
      <c r="DE2407" s="717"/>
      <c r="DF2407" s="717"/>
      <c r="DG2407" s="717"/>
      <c r="DH2407" s="717"/>
      <c r="DI2407" s="717"/>
      <c r="DJ2407" s="717"/>
      <c r="DM2407" s="711"/>
      <c r="DN2407" s="711"/>
      <c r="DO2407" s="711"/>
      <c r="DP2407" s="711"/>
      <c r="DQ2407" s="711"/>
    </row>
    <row r="2408" spans="13:121" s="709" customFormat="1" hidden="1">
      <c r="M2408" s="710"/>
      <c r="P2408" s="711"/>
      <c r="Q2408" s="712"/>
      <c r="U2408" s="711"/>
      <c r="V2408" s="711"/>
      <c r="W2408" s="711"/>
      <c r="X2408" s="711"/>
      <c r="Y2408" s="711"/>
      <c r="Z2408" s="711"/>
      <c r="AU2408" s="713"/>
      <c r="AW2408" s="712"/>
      <c r="BY2408" s="714"/>
      <c r="BZ2408" s="715"/>
      <c r="CA2408" s="716"/>
      <c r="CB2408" s="717"/>
      <c r="CC2408" s="717"/>
      <c r="CD2408" s="717"/>
      <c r="CE2408" s="717"/>
      <c r="CF2408" s="717"/>
      <c r="CG2408" s="717"/>
      <c r="CH2408" s="717"/>
      <c r="CI2408" s="717"/>
      <c r="CJ2408" s="717"/>
      <c r="CK2408" s="717"/>
      <c r="CL2408" s="717"/>
      <c r="CM2408" s="717"/>
      <c r="CN2408" s="717"/>
      <c r="CO2408" s="717"/>
      <c r="CP2408" s="717"/>
      <c r="CQ2408" s="717"/>
      <c r="CR2408" s="717"/>
      <c r="CS2408" s="717"/>
      <c r="CT2408" s="717"/>
      <c r="CU2408" s="717"/>
      <c r="CV2408" s="717"/>
      <c r="CW2408" s="717"/>
      <c r="CX2408" s="717"/>
      <c r="CY2408" s="717"/>
      <c r="CZ2408" s="717"/>
      <c r="DA2408" s="717"/>
      <c r="DB2408" s="717"/>
      <c r="DC2408" s="717"/>
      <c r="DD2408" s="717"/>
      <c r="DE2408" s="717"/>
      <c r="DF2408" s="717"/>
      <c r="DG2408" s="717"/>
      <c r="DH2408" s="717"/>
      <c r="DI2408" s="717"/>
      <c r="DJ2408" s="717"/>
      <c r="DM2408" s="711"/>
      <c r="DN2408" s="711"/>
      <c r="DO2408" s="711"/>
      <c r="DP2408" s="711"/>
      <c r="DQ2408" s="711"/>
    </row>
    <row r="2409" spans="13:121" s="709" customFormat="1" hidden="1">
      <c r="M2409" s="710"/>
      <c r="P2409" s="711"/>
      <c r="Q2409" s="712"/>
      <c r="U2409" s="711"/>
      <c r="V2409" s="711"/>
      <c r="W2409" s="711"/>
      <c r="X2409" s="711"/>
      <c r="Y2409" s="711"/>
      <c r="Z2409" s="711"/>
      <c r="AU2409" s="713"/>
      <c r="AW2409" s="712"/>
      <c r="BY2409" s="714"/>
      <c r="BZ2409" s="715"/>
      <c r="CA2409" s="716"/>
      <c r="CB2409" s="717"/>
      <c r="CC2409" s="717"/>
      <c r="CD2409" s="717"/>
      <c r="CE2409" s="717"/>
      <c r="CF2409" s="717"/>
      <c r="CG2409" s="717"/>
      <c r="CH2409" s="717"/>
      <c r="CI2409" s="717"/>
      <c r="CJ2409" s="717"/>
      <c r="CK2409" s="717"/>
      <c r="CL2409" s="717"/>
      <c r="CM2409" s="717"/>
      <c r="CN2409" s="717"/>
      <c r="CO2409" s="717"/>
      <c r="CP2409" s="717"/>
      <c r="CQ2409" s="717"/>
      <c r="CR2409" s="717"/>
      <c r="CS2409" s="717"/>
      <c r="CT2409" s="717"/>
      <c r="CU2409" s="717"/>
      <c r="CV2409" s="717"/>
      <c r="CW2409" s="717"/>
      <c r="CX2409" s="717"/>
      <c r="CY2409" s="717"/>
      <c r="CZ2409" s="717"/>
      <c r="DA2409" s="717"/>
      <c r="DB2409" s="717"/>
      <c r="DC2409" s="717"/>
      <c r="DD2409" s="717"/>
      <c r="DE2409" s="717"/>
      <c r="DF2409" s="717"/>
      <c r="DG2409" s="717"/>
      <c r="DH2409" s="717"/>
      <c r="DI2409" s="717"/>
      <c r="DJ2409" s="717"/>
      <c r="DM2409" s="711"/>
      <c r="DN2409" s="711"/>
      <c r="DO2409" s="711"/>
      <c r="DP2409" s="711"/>
      <c r="DQ2409" s="711"/>
    </row>
    <row r="2410" spans="13:121" s="709" customFormat="1" hidden="1">
      <c r="M2410" s="710"/>
      <c r="P2410" s="711"/>
      <c r="Q2410" s="712"/>
      <c r="U2410" s="711"/>
      <c r="V2410" s="711"/>
      <c r="W2410" s="711"/>
      <c r="X2410" s="711"/>
      <c r="Y2410" s="711"/>
      <c r="Z2410" s="711"/>
      <c r="AU2410" s="713"/>
      <c r="AW2410" s="712"/>
      <c r="BY2410" s="714"/>
      <c r="BZ2410" s="715"/>
      <c r="CA2410" s="716"/>
      <c r="CB2410" s="717"/>
      <c r="CC2410" s="717"/>
      <c r="CD2410" s="717"/>
      <c r="CE2410" s="717"/>
      <c r="CF2410" s="717"/>
      <c r="CG2410" s="717"/>
      <c r="CH2410" s="717"/>
      <c r="CI2410" s="717"/>
      <c r="CJ2410" s="717"/>
      <c r="CK2410" s="717"/>
      <c r="CL2410" s="717"/>
      <c r="CM2410" s="717"/>
      <c r="CN2410" s="717"/>
      <c r="CO2410" s="717"/>
      <c r="CP2410" s="717"/>
      <c r="CQ2410" s="717"/>
      <c r="CR2410" s="717"/>
      <c r="CS2410" s="717"/>
      <c r="CT2410" s="717"/>
      <c r="CU2410" s="717"/>
      <c r="CV2410" s="717"/>
      <c r="CW2410" s="717"/>
      <c r="CX2410" s="717"/>
      <c r="CY2410" s="717"/>
      <c r="CZ2410" s="717"/>
      <c r="DA2410" s="717"/>
      <c r="DB2410" s="717"/>
      <c r="DC2410" s="717"/>
      <c r="DD2410" s="717"/>
      <c r="DE2410" s="717"/>
      <c r="DF2410" s="717"/>
      <c r="DG2410" s="717"/>
      <c r="DH2410" s="717"/>
      <c r="DI2410" s="717"/>
      <c r="DJ2410" s="717"/>
      <c r="DM2410" s="711"/>
      <c r="DN2410" s="711"/>
      <c r="DO2410" s="711"/>
      <c r="DP2410" s="711"/>
      <c r="DQ2410" s="711"/>
    </row>
    <row r="2411" spans="13:121" s="709" customFormat="1" hidden="1">
      <c r="M2411" s="710"/>
      <c r="P2411" s="711"/>
      <c r="Q2411" s="712"/>
      <c r="U2411" s="711"/>
      <c r="V2411" s="711"/>
      <c r="W2411" s="711"/>
      <c r="X2411" s="711"/>
      <c r="Y2411" s="711"/>
      <c r="Z2411" s="711"/>
      <c r="AU2411" s="713"/>
      <c r="AW2411" s="712"/>
      <c r="BY2411" s="714"/>
      <c r="BZ2411" s="715"/>
      <c r="CA2411" s="716"/>
      <c r="CB2411" s="717"/>
      <c r="CC2411" s="717"/>
      <c r="CD2411" s="717"/>
      <c r="CE2411" s="717"/>
      <c r="CF2411" s="717"/>
      <c r="CG2411" s="717"/>
      <c r="CH2411" s="717"/>
      <c r="CI2411" s="717"/>
      <c r="CJ2411" s="717"/>
      <c r="CK2411" s="717"/>
      <c r="CL2411" s="717"/>
      <c r="CM2411" s="717"/>
      <c r="CN2411" s="717"/>
      <c r="CO2411" s="717"/>
      <c r="CP2411" s="717"/>
      <c r="CQ2411" s="717"/>
      <c r="CR2411" s="717"/>
      <c r="CS2411" s="717"/>
      <c r="CT2411" s="717"/>
      <c r="CU2411" s="717"/>
      <c r="CV2411" s="717"/>
      <c r="CW2411" s="717"/>
      <c r="CX2411" s="717"/>
      <c r="CY2411" s="717"/>
      <c r="CZ2411" s="717"/>
      <c r="DA2411" s="717"/>
      <c r="DB2411" s="717"/>
      <c r="DC2411" s="717"/>
      <c r="DD2411" s="717"/>
      <c r="DE2411" s="717"/>
      <c r="DF2411" s="717"/>
      <c r="DG2411" s="717"/>
      <c r="DH2411" s="717"/>
      <c r="DI2411" s="717"/>
      <c r="DJ2411" s="717"/>
      <c r="DM2411" s="711"/>
      <c r="DN2411" s="711"/>
      <c r="DO2411" s="711"/>
      <c r="DP2411" s="711"/>
      <c r="DQ2411" s="711"/>
    </row>
    <row r="2412" spans="13:121" s="709" customFormat="1" hidden="1">
      <c r="M2412" s="710"/>
      <c r="P2412" s="711"/>
      <c r="Q2412" s="712"/>
      <c r="U2412" s="711"/>
      <c r="V2412" s="711"/>
      <c r="W2412" s="711"/>
      <c r="X2412" s="711"/>
      <c r="Y2412" s="711"/>
      <c r="Z2412" s="711"/>
      <c r="AU2412" s="713"/>
      <c r="AW2412" s="712"/>
      <c r="BY2412" s="714"/>
      <c r="BZ2412" s="715"/>
      <c r="CA2412" s="716"/>
      <c r="CB2412" s="717"/>
      <c r="CC2412" s="717"/>
      <c r="CD2412" s="717"/>
      <c r="CE2412" s="717"/>
      <c r="CF2412" s="717"/>
      <c r="CG2412" s="717"/>
      <c r="CH2412" s="717"/>
      <c r="CI2412" s="717"/>
      <c r="CJ2412" s="717"/>
      <c r="CK2412" s="717"/>
      <c r="CL2412" s="717"/>
      <c r="CM2412" s="717"/>
      <c r="CN2412" s="717"/>
      <c r="CO2412" s="717"/>
      <c r="CP2412" s="717"/>
      <c r="CQ2412" s="717"/>
      <c r="CR2412" s="717"/>
      <c r="CS2412" s="717"/>
      <c r="CT2412" s="717"/>
      <c r="CU2412" s="717"/>
      <c r="CV2412" s="717"/>
      <c r="CW2412" s="717"/>
      <c r="CX2412" s="717"/>
      <c r="CY2412" s="717"/>
      <c r="CZ2412" s="717"/>
      <c r="DA2412" s="717"/>
      <c r="DB2412" s="717"/>
      <c r="DC2412" s="717"/>
      <c r="DD2412" s="717"/>
      <c r="DE2412" s="717"/>
      <c r="DF2412" s="717"/>
      <c r="DG2412" s="717"/>
      <c r="DH2412" s="717"/>
      <c r="DI2412" s="717"/>
      <c r="DJ2412" s="717"/>
      <c r="DM2412" s="711"/>
      <c r="DN2412" s="711"/>
      <c r="DO2412" s="711"/>
      <c r="DP2412" s="711"/>
      <c r="DQ2412" s="711"/>
    </row>
    <row r="2413" spans="13:121" s="709" customFormat="1" hidden="1">
      <c r="M2413" s="710"/>
      <c r="P2413" s="711"/>
      <c r="Q2413" s="712"/>
      <c r="U2413" s="711"/>
      <c r="V2413" s="711"/>
      <c r="W2413" s="711"/>
      <c r="X2413" s="711"/>
      <c r="Y2413" s="711"/>
      <c r="Z2413" s="711"/>
      <c r="AU2413" s="713"/>
      <c r="AW2413" s="712"/>
      <c r="BY2413" s="714"/>
      <c r="BZ2413" s="715"/>
      <c r="CA2413" s="716"/>
      <c r="CB2413" s="717"/>
      <c r="CC2413" s="717"/>
      <c r="CD2413" s="717"/>
      <c r="CE2413" s="717"/>
      <c r="CF2413" s="717"/>
      <c r="CG2413" s="717"/>
      <c r="CH2413" s="717"/>
      <c r="CI2413" s="717"/>
      <c r="CJ2413" s="717"/>
      <c r="CK2413" s="717"/>
      <c r="CL2413" s="717"/>
      <c r="CM2413" s="717"/>
      <c r="CN2413" s="717"/>
      <c r="CO2413" s="717"/>
      <c r="CP2413" s="717"/>
      <c r="CQ2413" s="717"/>
      <c r="CR2413" s="717"/>
      <c r="CS2413" s="717"/>
      <c r="CT2413" s="717"/>
      <c r="CU2413" s="717"/>
      <c r="CV2413" s="717"/>
      <c r="CW2413" s="717"/>
      <c r="CX2413" s="717"/>
      <c r="CY2413" s="717"/>
      <c r="CZ2413" s="717"/>
      <c r="DA2413" s="717"/>
      <c r="DB2413" s="717"/>
      <c r="DC2413" s="717"/>
      <c r="DD2413" s="717"/>
      <c r="DE2413" s="717"/>
      <c r="DF2413" s="717"/>
      <c r="DG2413" s="717"/>
      <c r="DH2413" s="717"/>
      <c r="DI2413" s="717"/>
      <c r="DJ2413" s="717"/>
      <c r="DM2413" s="711"/>
      <c r="DN2413" s="711"/>
      <c r="DO2413" s="711"/>
      <c r="DP2413" s="711"/>
      <c r="DQ2413" s="711"/>
    </row>
    <row r="2414" spans="13:121" s="709" customFormat="1" hidden="1">
      <c r="M2414" s="710"/>
      <c r="P2414" s="711"/>
      <c r="Q2414" s="712"/>
      <c r="U2414" s="711"/>
      <c r="V2414" s="711"/>
      <c r="W2414" s="711"/>
      <c r="X2414" s="711"/>
      <c r="Y2414" s="711"/>
      <c r="Z2414" s="711"/>
      <c r="AU2414" s="713"/>
      <c r="AW2414" s="712"/>
      <c r="BY2414" s="714"/>
      <c r="BZ2414" s="715"/>
      <c r="CA2414" s="716"/>
      <c r="CB2414" s="717"/>
      <c r="CC2414" s="717"/>
      <c r="CD2414" s="717"/>
      <c r="CE2414" s="717"/>
      <c r="CF2414" s="717"/>
      <c r="CG2414" s="717"/>
      <c r="CH2414" s="717"/>
      <c r="CI2414" s="717"/>
      <c r="CJ2414" s="717"/>
      <c r="CK2414" s="717"/>
      <c r="CL2414" s="717"/>
      <c r="CM2414" s="717"/>
      <c r="CN2414" s="717"/>
      <c r="CO2414" s="717"/>
      <c r="CP2414" s="717"/>
      <c r="CQ2414" s="717"/>
      <c r="CR2414" s="717"/>
      <c r="CS2414" s="717"/>
      <c r="CT2414" s="717"/>
      <c r="CU2414" s="717"/>
      <c r="CV2414" s="717"/>
      <c r="CW2414" s="717"/>
      <c r="CX2414" s="717"/>
      <c r="CY2414" s="717"/>
      <c r="CZ2414" s="717"/>
      <c r="DA2414" s="717"/>
      <c r="DB2414" s="717"/>
      <c r="DC2414" s="717"/>
      <c r="DD2414" s="717"/>
      <c r="DE2414" s="717"/>
      <c r="DF2414" s="717"/>
      <c r="DG2414" s="717"/>
      <c r="DH2414" s="717"/>
      <c r="DI2414" s="717"/>
      <c r="DJ2414" s="717"/>
      <c r="DM2414" s="711"/>
      <c r="DN2414" s="711"/>
      <c r="DO2414" s="711"/>
      <c r="DP2414" s="711"/>
      <c r="DQ2414" s="711"/>
    </row>
    <row r="2415" spans="13:121" s="709" customFormat="1" hidden="1">
      <c r="M2415" s="710"/>
      <c r="P2415" s="711"/>
      <c r="Q2415" s="712"/>
      <c r="U2415" s="711"/>
      <c r="V2415" s="711"/>
      <c r="W2415" s="711"/>
      <c r="X2415" s="711"/>
      <c r="Y2415" s="711"/>
      <c r="Z2415" s="711"/>
      <c r="AU2415" s="713"/>
      <c r="AW2415" s="712"/>
      <c r="BY2415" s="714"/>
      <c r="BZ2415" s="715"/>
      <c r="CA2415" s="716"/>
      <c r="CB2415" s="717"/>
      <c r="CC2415" s="717"/>
      <c r="CD2415" s="717"/>
      <c r="CE2415" s="717"/>
      <c r="CF2415" s="717"/>
      <c r="CG2415" s="717"/>
      <c r="CH2415" s="717"/>
      <c r="CI2415" s="717"/>
      <c r="CJ2415" s="717"/>
      <c r="CK2415" s="717"/>
      <c r="CL2415" s="717"/>
      <c r="CM2415" s="717"/>
      <c r="CN2415" s="717"/>
      <c r="CO2415" s="717"/>
      <c r="CP2415" s="717"/>
      <c r="CQ2415" s="717"/>
      <c r="CR2415" s="717"/>
      <c r="CS2415" s="717"/>
      <c r="CT2415" s="717"/>
      <c r="CU2415" s="717"/>
      <c r="CV2415" s="717"/>
      <c r="CW2415" s="717"/>
      <c r="CX2415" s="717"/>
      <c r="CY2415" s="717"/>
      <c r="CZ2415" s="717"/>
      <c r="DA2415" s="717"/>
      <c r="DB2415" s="717"/>
      <c r="DC2415" s="717"/>
      <c r="DD2415" s="717"/>
      <c r="DE2415" s="717"/>
      <c r="DF2415" s="717"/>
      <c r="DG2415" s="717"/>
      <c r="DH2415" s="717"/>
      <c r="DI2415" s="717"/>
      <c r="DJ2415" s="717"/>
      <c r="DM2415" s="711"/>
      <c r="DN2415" s="711"/>
      <c r="DO2415" s="711"/>
      <c r="DP2415" s="711"/>
      <c r="DQ2415" s="711"/>
    </row>
    <row r="2416" spans="13:121" s="709" customFormat="1" hidden="1">
      <c r="M2416" s="710"/>
      <c r="P2416" s="711"/>
      <c r="Q2416" s="712"/>
      <c r="U2416" s="711"/>
      <c r="V2416" s="711"/>
      <c r="W2416" s="711"/>
      <c r="X2416" s="711"/>
      <c r="Y2416" s="711"/>
      <c r="Z2416" s="711"/>
      <c r="AU2416" s="713"/>
      <c r="AW2416" s="712"/>
      <c r="BY2416" s="714"/>
      <c r="BZ2416" s="715"/>
      <c r="CA2416" s="716"/>
      <c r="CB2416" s="717"/>
      <c r="CC2416" s="717"/>
      <c r="CD2416" s="717"/>
      <c r="CE2416" s="717"/>
      <c r="CF2416" s="717"/>
      <c r="CG2416" s="717"/>
      <c r="CH2416" s="717"/>
      <c r="CI2416" s="717"/>
      <c r="CJ2416" s="717"/>
      <c r="CK2416" s="717"/>
      <c r="CL2416" s="717"/>
      <c r="CM2416" s="717"/>
      <c r="CN2416" s="717"/>
      <c r="CO2416" s="717"/>
      <c r="CP2416" s="717"/>
      <c r="CQ2416" s="717"/>
      <c r="CR2416" s="717"/>
      <c r="CS2416" s="717"/>
      <c r="CT2416" s="717"/>
      <c r="CU2416" s="717"/>
      <c r="CV2416" s="717"/>
      <c r="CW2416" s="717"/>
      <c r="CX2416" s="717"/>
      <c r="CY2416" s="717"/>
      <c r="CZ2416" s="717"/>
      <c r="DA2416" s="717"/>
      <c r="DB2416" s="717"/>
      <c r="DC2416" s="717"/>
      <c r="DD2416" s="717"/>
      <c r="DE2416" s="717"/>
      <c r="DF2416" s="717"/>
      <c r="DG2416" s="717"/>
      <c r="DH2416" s="717"/>
      <c r="DI2416" s="717"/>
      <c r="DJ2416" s="717"/>
      <c r="DM2416" s="711"/>
      <c r="DN2416" s="711"/>
      <c r="DO2416" s="711"/>
      <c r="DP2416" s="711"/>
      <c r="DQ2416" s="711"/>
    </row>
    <row r="2417" spans="13:121" s="709" customFormat="1" hidden="1">
      <c r="M2417" s="710"/>
      <c r="P2417" s="711"/>
      <c r="Q2417" s="712"/>
      <c r="U2417" s="711"/>
      <c r="V2417" s="711"/>
      <c r="W2417" s="711"/>
      <c r="X2417" s="711"/>
      <c r="Y2417" s="711"/>
      <c r="Z2417" s="711"/>
      <c r="AU2417" s="713"/>
      <c r="AW2417" s="712"/>
      <c r="BY2417" s="714"/>
      <c r="BZ2417" s="715"/>
      <c r="CA2417" s="716"/>
      <c r="CB2417" s="717"/>
      <c r="CC2417" s="717"/>
      <c r="CD2417" s="717"/>
      <c r="CE2417" s="717"/>
      <c r="CF2417" s="717"/>
      <c r="CG2417" s="717"/>
      <c r="CH2417" s="717"/>
      <c r="CI2417" s="717"/>
      <c r="CJ2417" s="717"/>
      <c r="CK2417" s="717"/>
      <c r="CL2417" s="717"/>
      <c r="CM2417" s="717"/>
      <c r="CN2417" s="717"/>
      <c r="CO2417" s="717"/>
      <c r="CP2417" s="717"/>
      <c r="CQ2417" s="717"/>
      <c r="CR2417" s="717"/>
      <c r="CS2417" s="717"/>
      <c r="CT2417" s="717"/>
      <c r="CU2417" s="717"/>
      <c r="CV2417" s="717"/>
      <c r="CW2417" s="717"/>
      <c r="CX2417" s="717"/>
      <c r="CY2417" s="717"/>
      <c r="CZ2417" s="717"/>
      <c r="DA2417" s="717"/>
      <c r="DB2417" s="717"/>
      <c r="DC2417" s="717"/>
      <c r="DD2417" s="717"/>
      <c r="DE2417" s="717"/>
      <c r="DF2417" s="717"/>
      <c r="DG2417" s="717"/>
      <c r="DH2417" s="717"/>
      <c r="DI2417" s="717"/>
      <c r="DJ2417" s="717"/>
      <c r="DM2417" s="711"/>
      <c r="DN2417" s="711"/>
      <c r="DO2417" s="711"/>
      <c r="DP2417" s="711"/>
      <c r="DQ2417" s="711"/>
    </row>
    <row r="2418" spans="13:121" s="709" customFormat="1" hidden="1">
      <c r="M2418" s="710"/>
      <c r="P2418" s="711"/>
      <c r="Q2418" s="712"/>
      <c r="U2418" s="711"/>
      <c r="V2418" s="711"/>
      <c r="W2418" s="711"/>
      <c r="X2418" s="711"/>
      <c r="Y2418" s="711"/>
      <c r="Z2418" s="711"/>
      <c r="AU2418" s="713"/>
      <c r="AW2418" s="712"/>
      <c r="BY2418" s="714"/>
      <c r="BZ2418" s="715"/>
      <c r="CA2418" s="716"/>
      <c r="CB2418" s="717"/>
      <c r="CC2418" s="717"/>
      <c r="CD2418" s="717"/>
      <c r="CE2418" s="717"/>
      <c r="CF2418" s="717"/>
      <c r="CG2418" s="717"/>
      <c r="CH2418" s="717"/>
      <c r="CI2418" s="717"/>
      <c r="CJ2418" s="717"/>
      <c r="CK2418" s="717"/>
      <c r="CL2418" s="717"/>
      <c r="CM2418" s="717"/>
      <c r="CN2418" s="717"/>
      <c r="CO2418" s="717"/>
      <c r="CP2418" s="717"/>
      <c r="CQ2418" s="717"/>
      <c r="CR2418" s="717"/>
      <c r="CS2418" s="717"/>
      <c r="CT2418" s="717"/>
      <c r="CU2418" s="717"/>
      <c r="CV2418" s="717"/>
      <c r="CW2418" s="717"/>
      <c r="CX2418" s="717"/>
      <c r="CY2418" s="717"/>
      <c r="CZ2418" s="717"/>
      <c r="DA2418" s="717"/>
      <c r="DB2418" s="717"/>
      <c r="DC2418" s="717"/>
      <c r="DD2418" s="717"/>
      <c r="DE2418" s="717"/>
      <c r="DF2418" s="717"/>
      <c r="DG2418" s="717"/>
      <c r="DH2418" s="717"/>
      <c r="DI2418" s="717"/>
      <c r="DJ2418" s="717"/>
      <c r="DM2418" s="711"/>
      <c r="DN2418" s="711"/>
      <c r="DO2418" s="711"/>
      <c r="DP2418" s="711"/>
      <c r="DQ2418" s="711"/>
    </row>
    <row r="2419" spans="13:121" s="709" customFormat="1" hidden="1">
      <c r="M2419" s="710"/>
      <c r="P2419" s="711"/>
      <c r="Q2419" s="712"/>
      <c r="U2419" s="711"/>
      <c r="V2419" s="711"/>
      <c r="W2419" s="711"/>
      <c r="X2419" s="711"/>
      <c r="Y2419" s="711"/>
      <c r="Z2419" s="711"/>
      <c r="AU2419" s="713"/>
      <c r="AW2419" s="712"/>
      <c r="BY2419" s="714"/>
      <c r="BZ2419" s="715"/>
      <c r="CA2419" s="716"/>
      <c r="CB2419" s="717"/>
      <c r="CC2419" s="717"/>
      <c r="CD2419" s="717"/>
      <c r="CE2419" s="717"/>
      <c r="CF2419" s="717"/>
      <c r="CG2419" s="717"/>
      <c r="CH2419" s="717"/>
      <c r="CI2419" s="717"/>
      <c r="CJ2419" s="717"/>
      <c r="CK2419" s="717"/>
      <c r="CL2419" s="717"/>
      <c r="CM2419" s="717"/>
      <c r="CN2419" s="717"/>
      <c r="CO2419" s="717"/>
      <c r="CP2419" s="717"/>
      <c r="CQ2419" s="717"/>
      <c r="CR2419" s="717"/>
      <c r="CS2419" s="717"/>
      <c r="CT2419" s="717"/>
      <c r="CU2419" s="717"/>
      <c r="CV2419" s="717"/>
      <c r="CW2419" s="717"/>
      <c r="CX2419" s="717"/>
      <c r="CY2419" s="717"/>
      <c r="CZ2419" s="717"/>
      <c r="DA2419" s="717"/>
      <c r="DB2419" s="717"/>
      <c r="DC2419" s="717"/>
      <c r="DD2419" s="717"/>
      <c r="DE2419" s="717"/>
      <c r="DF2419" s="717"/>
      <c r="DG2419" s="717"/>
      <c r="DH2419" s="717"/>
      <c r="DI2419" s="717"/>
      <c r="DJ2419" s="717"/>
      <c r="DM2419" s="711"/>
      <c r="DN2419" s="711"/>
      <c r="DO2419" s="711"/>
      <c r="DP2419" s="711"/>
      <c r="DQ2419" s="711"/>
    </row>
    <row r="2420" spans="13:121" s="709" customFormat="1" hidden="1">
      <c r="M2420" s="710"/>
      <c r="P2420" s="711"/>
      <c r="Q2420" s="712"/>
      <c r="U2420" s="711"/>
      <c r="V2420" s="711"/>
      <c r="W2420" s="711"/>
      <c r="X2420" s="711"/>
      <c r="Y2420" s="711"/>
      <c r="Z2420" s="711"/>
      <c r="AU2420" s="713"/>
      <c r="AW2420" s="712"/>
      <c r="BY2420" s="714"/>
      <c r="BZ2420" s="715"/>
      <c r="CA2420" s="716"/>
      <c r="CB2420" s="717"/>
      <c r="CC2420" s="717"/>
      <c r="CD2420" s="717"/>
      <c r="CE2420" s="717"/>
      <c r="CF2420" s="717"/>
      <c r="CG2420" s="717"/>
      <c r="CH2420" s="717"/>
      <c r="CI2420" s="717"/>
      <c r="CJ2420" s="717"/>
      <c r="CK2420" s="717"/>
      <c r="CL2420" s="717"/>
      <c r="CM2420" s="717"/>
      <c r="CN2420" s="717"/>
      <c r="CO2420" s="717"/>
      <c r="CP2420" s="717"/>
      <c r="CQ2420" s="717"/>
      <c r="CR2420" s="717"/>
      <c r="CS2420" s="717"/>
      <c r="CT2420" s="717"/>
      <c r="CU2420" s="717"/>
      <c r="CV2420" s="717"/>
      <c r="CW2420" s="717"/>
      <c r="CX2420" s="717"/>
      <c r="CY2420" s="717"/>
      <c r="CZ2420" s="717"/>
      <c r="DA2420" s="717"/>
      <c r="DB2420" s="717"/>
      <c r="DC2420" s="717"/>
      <c r="DD2420" s="717"/>
      <c r="DE2420" s="717"/>
      <c r="DF2420" s="717"/>
      <c r="DG2420" s="717"/>
      <c r="DH2420" s="717"/>
      <c r="DI2420" s="717"/>
      <c r="DJ2420" s="717"/>
      <c r="DM2420" s="711"/>
      <c r="DN2420" s="711"/>
      <c r="DO2420" s="711"/>
      <c r="DP2420" s="711"/>
      <c r="DQ2420" s="711"/>
    </row>
    <row r="2421" spans="13:121" s="709" customFormat="1" hidden="1">
      <c r="M2421" s="710"/>
      <c r="P2421" s="711"/>
      <c r="Q2421" s="712"/>
      <c r="U2421" s="711"/>
      <c r="V2421" s="711"/>
      <c r="W2421" s="711"/>
      <c r="X2421" s="711"/>
      <c r="Y2421" s="711"/>
      <c r="Z2421" s="711"/>
      <c r="AU2421" s="713"/>
      <c r="AW2421" s="712"/>
      <c r="BY2421" s="714"/>
      <c r="BZ2421" s="715"/>
      <c r="CA2421" s="716"/>
      <c r="CB2421" s="717"/>
      <c r="CC2421" s="717"/>
      <c r="CD2421" s="717"/>
      <c r="CE2421" s="717"/>
      <c r="CF2421" s="717"/>
      <c r="CG2421" s="717"/>
      <c r="CH2421" s="717"/>
      <c r="CI2421" s="717"/>
      <c r="CJ2421" s="717"/>
      <c r="CK2421" s="717"/>
      <c r="CL2421" s="717"/>
      <c r="CM2421" s="717"/>
      <c r="CN2421" s="717"/>
      <c r="CO2421" s="717"/>
      <c r="CP2421" s="717"/>
      <c r="CQ2421" s="717"/>
      <c r="CR2421" s="717"/>
      <c r="CS2421" s="717"/>
      <c r="CT2421" s="717"/>
      <c r="CU2421" s="717"/>
      <c r="CV2421" s="717"/>
      <c r="CW2421" s="717"/>
      <c r="CX2421" s="717"/>
      <c r="CY2421" s="717"/>
      <c r="CZ2421" s="717"/>
      <c r="DA2421" s="717"/>
      <c r="DB2421" s="717"/>
      <c r="DC2421" s="717"/>
      <c r="DD2421" s="717"/>
      <c r="DE2421" s="717"/>
      <c r="DF2421" s="717"/>
      <c r="DG2421" s="717"/>
      <c r="DH2421" s="717"/>
      <c r="DI2421" s="717"/>
      <c r="DJ2421" s="717"/>
      <c r="DM2421" s="711"/>
      <c r="DN2421" s="711"/>
      <c r="DO2421" s="711"/>
      <c r="DP2421" s="711"/>
      <c r="DQ2421" s="711"/>
    </row>
    <row r="2422" spans="13:121" s="709" customFormat="1" hidden="1">
      <c r="M2422" s="710"/>
      <c r="P2422" s="711"/>
      <c r="Q2422" s="712"/>
      <c r="U2422" s="711"/>
      <c r="V2422" s="711"/>
      <c r="W2422" s="711"/>
      <c r="X2422" s="711"/>
      <c r="Y2422" s="711"/>
      <c r="Z2422" s="711"/>
      <c r="AU2422" s="713"/>
      <c r="AW2422" s="712"/>
      <c r="BY2422" s="714"/>
      <c r="BZ2422" s="715"/>
      <c r="CA2422" s="716"/>
      <c r="CB2422" s="717"/>
      <c r="CC2422" s="717"/>
      <c r="CD2422" s="717"/>
      <c r="CE2422" s="717"/>
      <c r="CF2422" s="717"/>
      <c r="CG2422" s="717"/>
      <c r="CH2422" s="717"/>
      <c r="CI2422" s="717"/>
      <c r="CJ2422" s="717"/>
      <c r="CK2422" s="717"/>
      <c r="CL2422" s="717"/>
      <c r="CM2422" s="717"/>
      <c r="CN2422" s="717"/>
      <c r="CO2422" s="717"/>
      <c r="CP2422" s="717"/>
      <c r="CQ2422" s="717"/>
      <c r="CR2422" s="717"/>
      <c r="CS2422" s="717"/>
      <c r="CT2422" s="717"/>
      <c r="CU2422" s="717"/>
      <c r="CV2422" s="717"/>
      <c r="CW2422" s="717"/>
      <c r="CX2422" s="717"/>
      <c r="CY2422" s="717"/>
      <c r="CZ2422" s="717"/>
      <c r="DA2422" s="717"/>
      <c r="DB2422" s="717"/>
      <c r="DC2422" s="717"/>
      <c r="DD2422" s="717"/>
      <c r="DE2422" s="717"/>
      <c r="DF2422" s="717"/>
      <c r="DG2422" s="717"/>
      <c r="DH2422" s="717"/>
      <c r="DI2422" s="717"/>
      <c r="DJ2422" s="717"/>
      <c r="DM2422" s="711"/>
      <c r="DN2422" s="711"/>
      <c r="DO2422" s="711"/>
      <c r="DP2422" s="711"/>
      <c r="DQ2422" s="711"/>
    </row>
    <row r="2423" spans="13:121" s="709" customFormat="1" hidden="1">
      <c r="M2423" s="710"/>
      <c r="P2423" s="711"/>
      <c r="Q2423" s="712"/>
      <c r="U2423" s="711"/>
      <c r="V2423" s="711"/>
      <c r="W2423" s="711"/>
      <c r="X2423" s="711"/>
      <c r="Y2423" s="711"/>
      <c r="Z2423" s="711"/>
      <c r="AU2423" s="713"/>
      <c r="AW2423" s="712"/>
      <c r="BY2423" s="714"/>
      <c r="BZ2423" s="715"/>
      <c r="CA2423" s="716"/>
      <c r="CB2423" s="717"/>
      <c r="CC2423" s="717"/>
      <c r="CD2423" s="717"/>
      <c r="CE2423" s="717"/>
      <c r="CF2423" s="717"/>
      <c r="CG2423" s="717"/>
      <c r="CH2423" s="717"/>
      <c r="CI2423" s="717"/>
      <c r="CJ2423" s="717"/>
      <c r="CK2423" s="717"/>
      <c r="CL2423" s="717"/>
      <c r="CM2423" s="717"/>
      <c r="CN2423" s="717"/>
      <c r="CO2423" s="717"/>
      <c r="CP2423" s="717"/>
      <c r="CQ2423" s="717"/>
      <c r="CR2423" s="717"/>
      <c r="CS2423" s="717"/>
      <c r="CT2423" s="717"/>
      <c r="CU2423" s="717"/>
      <c r="CV2423" s="717"/>
      <c r="CW2423" s="717"/>
      <c r="CX2423" s="717"/>
      <c r="CY2423" s="717"/>
      <c r="CZ2423" s="717"/>
      <c r="DA2423" s="717"/>
      <c r="DB2423" s="717"/>
      <c r="DC2423" s="717"/>
      <c r="DD2423" s="717"/>
      <c r="DE2423" s="717"/>
      <c r="DF2423" s="717"/>
      <c r="DG2423" s="717"/>
      <c r="DH2423" s="717"/>
      <c r="DI2423" s="717"/>
      <c r="DJ2423" s="717"/>
      <c r="DM2423" s="711"/>
      <c r="DN2423" s="711"/>
      <c r="DO2423" s="711"/>
      <c r="DP2423" s="711"/>
      <c r="DQ2423" s="711"/>
    </row>
    <row r="2424" spans="13:121" s="709" customFormat="1" hidden="1">
      <c r="M2424" s="710"/>
      <c r="P2424" s="711"/>
      <c r="Q2424" s="712"/>
      <c r="U2424" s="711"/>
      <c r="V2424" s="711"/>
      <c r="W2424" s="711"/>
      <c r="X2424" s="711"/>
      <c r="Y2424" s="711"/>
      <c r="Z2424" s="711"/>
      <c r="AU2424" s="713"/>
      <c r="AW2424" s="712"/>
      <c r="BY2424" s="714"/>
      <c r="BZ2424" s="715"/>
      <c r="CA2424" s="716"/>
      <c r="CB2424" s="717"/>
      <c r="CC2424" s="717"/>
      <c r="CD2424" s="717"/>
      <c r="CE2424" s="717"/>
      <c r="CF2424" s="717"/>
      <c r="CG2424" s="717"/>
      <c r="CH2424" s="717"/>
      <c r="CI2424" s="717"/>
      <c r="CJ2424" s="717"/>
      <c r="CK2424" s="717"/>
      <c r="CL2424" s="717"/>
      <c r="CM2424" s="717"/>
      <c r="CN2424" s="717"/>
      <c r="CO2424" s="717"/>
      <c r="CP2424" s="717"/>
      <c r="CQ2424" s="717"/>
      <c r="CR2424" s="717"/>
      <c r="CS2424" s="717"/>
      <c r="CT2424" s="717"/>
      <c r="CU2424" s="717"/>
      <c r="CV2424" s="717"/>
      <c r="CW2424" s="717"/>
      <c r="CX2424" s="717"/>
      <c r="CY2424" s="717"/>
      <c r="CZ2424" s="717"/>
      <c r="DA2424" s="717"/>
      <c r="DB2424" s="717"/>
      <c r="DC2424" s="717"/>
      <c r="DD2424" s="717"/>
      <c r="DE2424" s="717"/>
      <c r="DF2424" s="717"/>
      <c r="DG2424" s="717"/>
      <c r="DH2424" s="717"/>
      <c r="DI2424" s="717"/>
      <c r="DJ2424" s="717"/>
      <c r="DM2424" s="711"/>
      <c r="DN2424" s="711"/>
      <c r="DO2424" s="711"/>
      <c r="DP2424" s="711"/>
      <c r="DQ2424" s="711"/>
    </row>
    <row r="2425" spans="13:121" s="709" customFormat="1" hidden="1">
      <c r="M2425" s="710"/>
      <c r="P2425" s="711"/>
      <c r="Q2425" s="712"/>
      <c r="U2425" s="711"/>
      <c r="V2425" s="711"/>
      <c r="W2425" s="711"/>
      <c r="X2425" s="711"/>
      <c r="Y2425" s="711"/>
      <c r="Z2425" s="711"/>
      <c r="AU2425" s="713"/>
      <c r="AW2425" s="712"/>
      <c r="BY2425" s="714"/>
      <c r="BZ2425" s="715"/>
      <c r="CA2425" s="716"/>
      <c r="CB2425" s="717"/>
      <c r="CC2425" s="717"/>
      <c r="CD2425" s="717"/>
      <c r="CE2425" s="717"/>
      <c r="CF2425" s="717"/>
      <c r="CG2425" s="717"/>
      <c r="CH2425" s="717"/>
      <c r="CI2425" s="717"/>
      <c r="CJ2425" s="717"/>
      <c r="CK2425" s="717"/>
      <c r="CL2425" s="717"/>
      <c r="CM2425" s="717"/>
      <c r="CN2425" s="717"/>
      <c r="CO2425" s="717"/>
      <c r="CP2425" s="717"/>
      <c r="CQ2425" s="717"/>
      <c r="CR2425" s="717"/>
      <c r="CS2425" s="717"/>
      <c r="CT2425" s="717"/>
      <c r="CU2425" s="717"/>
      <c r="CV2425" s="717"/>
      <c r="CW2425" s="717"/>
      <c r="CX2425" s="717"/>
      <c r="CY2425" s="717"/>
      <c r="CZ2425" s="717"/>
      <c r="DA2425" s="717"/>
      <c r="DB2425" s="717"/>
      <c r="DC2425" s="717"/>
      <c r="DD2425" s="717"/>
      <c r="DE2425" s="717"/>
      <c r="DF2425" s="717"/>
      <c r="DG2425" s="717"/>
      <c r="DH2425" s="717"/>
      <c r="DI2425" s="717"/>
      <c r="DJ2425" s="717"/>
      <c r="DM2425" s="711"/>
      <c r="DN2425" s="711"/>
      <c r="DO2425" s="711"/>
      <c r="DP2425" s="711"/>
      <c r="DQ2425" s="711"/>
    </row>
    <row r="2426" spans="13:121" s="709" customFormat="1" hidden="1">
      <c r="M2426" s="710"/>
      <c r="P2426" s="711"/>
      <c r="Q2426" s="712"/>
      <c r="U2426" s="711"/>
      <c r="V2426" s="711"/>
      <c r="W2426" s="711"/>
      <c r="X2426" s="711"/>
      <c r="Y2426" s="711"/>
      <c r="Z2426" s="711"/>
      <c r="AU2426" s="713"/>
      <c r="AW2426" s="712"/>
      <c r="BY2426" s="714"/>
      <c r="BZ2426" s="715"/>
      <c r="CA2426" s="716"/>
      <c r="CB2426" s="717"/>
      <c r="CC2426" s="717"/>
      <c r="CD2426" s="717"/>
      <c r="CE2426" s="717"/>
      <c r="CF2426" s="717"/>
      <c r="CG2426" s="717"/>
      <c r="CH2426" s="717"/>
      <c r="CI2426" s="717"/>
      <c r="CJ2426" s="717"/>
      <c r="CK2426" s="717"/>
      <c r="CL2426" s="717"/>
      <c r="CM2426" s="717"/>
      <c r="CN2426" s="717"/>
      <c r="CO2426" s="717"/>
      <c r="CP2426" s="717"/>
      <c r="CQ2426" s="717"/>
      <c r="CR2426" s="717"/>
      <c r="CS2426" s="717"/>
      <c r="CT2426" s="717"/>
      <c r="CU2426" s="717"/>
      <c r="CV2426" s="717"/>
      <c r="CW2426" s="717"/>
      <c r="CX2426" s="717"/>
      <c r="CY2426" s="717"/>
      <c r="CZ2426" s="717"/>
      <c r="DA2426" s="717"/>
      <c r="DB2426" s="717"/>
      <c r="DC2426" s="717"/>
      <c r="DD2426" s="717"/>
      <c r="DE2426" s="717"/>
      <c r="DF2426" s="717"/>
      <c r="DG2426" s="717"/>
      <c r="DH2426" s="717"/>
      <c r="DI2426" s="717"/>
      <c r="DJ2426" s="717"/>
      <c r="DM2426" s="711"/>
      <c r="DN2426" s="711"/>
      <c r="DO2426" s="711"/>
      <c r="DP2426" s="711"/>
      <c r="DQ2426" s="711"/>
    </row>
    <row r="2427" spans="13:121" s="709" customFormat="1" hidden="1">
      <c r="M2427" s="710"/>
      <c r="P2427" s="711"/>
      <c r="Q2427" s="712"/>
      <c r="U2427" s="711"/>
      <c r="V2427" s="711"/>
      <c r="W2427" s="711"/>
      <c r="X2427" s="711"/>
      <c r="Y2427" s="711"/>
      <c r="Z2427" s="711"/>
      <c r="AU2427" s="713"/>
      <c r="AW2427" s="712"/>
      <c r="BY2427" s="714"/>
      <c r="BZ2427" s="715"/>
      <c r="CA2427" s="716"/>
      <c r="CB2427" s="717"/>
      <c r="CC2427" s="717"/>
      <c r="CD2427" s="717"/>
      <c r="CE2427" s="717"/>
      <c r="CF2427" s="717"/>
      <c r="CG2427" s="717"/>
      <c r="CH2427" s="717"/>
      <c r="CI2427" s="717"/>
      <c r="CJ2427" s="717"/>
      <c r="CK2427" s="717"/>
      <c r="CL2427" s="717"/>
      <c r="CM2427" s="717"/>
      <c r="CN2427" s="717"/>
      <c r="CO2427" s="717"/>
      <c r="CP2427" s="717"/>
      <c r="CQ2427" s="717"/>
      <c r="CR2427" s="717"/>
      <c r="CS2427" s="717"/>
      <c r="CT2427" s="717"/>
      <c r="CU2427" s="717"/>
      <c r="CV2427" s="717"/>
      <c r="CW2427" s="717"/>
      <c r="CX2427" s="717"/>
      <c r="CY2427" s="717"/>
      <c r="CZ2427" s="717"/>
      <c r="DA2427" s="717"/>
      <c r="DB2427" s="717"/>
      <c r="DC2427" s="717"/>
      <c r="DD2427" s="717"/>
      <c r="DE2427" s="717"/>
      <c r="DF2427" s="717"/>
      <c r="DG2427" s="717"/>
      <c r="DH2427" s="717"/>
      <c r="DI2427" s="717"/>
      <c r="DJ2427" s="717"/>
      <c r="DM2427" s="711"/>
      <c r="DN2427" s="711"/>
      <c r="DO2427" s="711"/>
      <c r="DP2427" s="711"/>
      <c r="DQ2427" s="711"/>
    </row>
    <row r="2428" spans="13:121" s="709" customFormat="1" hidden="1">
      <c r="M2428" s="710"/>
      <c r="P2428" s="711"/>
      <c r="Q2428" s="712"/>
      <c r="U2428" s="711"/>
      <c r="V2428" s="711"/>
      <c r="W2428" s="711"/>
      <c r="X2428" s="711"/>
      <c r="Y2428" s="711"/>
      <c r="Z2428" s="711"/>
      <c r="AU2428" s="713"/>
      <c r="AW2428" s="712"/>
      <c r="BY2428" s="714"/>
      <c r="BZ2428" s="715"/>
      <c r="CA2428" s="716"/>
      <c r="CB2428" s="717"/>
      <c r="CC2428" s="717"/>
      <c r="CD2428" s="717"/>
      <c r="CE2428" s="717"/>
      <c r="CF2428" s="717"/>
      <c r="CG2428" s="717"/>
      <c r="CH2428" s="717"/>
      <c r="CI2428" s="717"/>
      <c r="CJ2428" s="717"/>
      <c r="CK2428" s="717"/>
      <c r="CL2428" s="717"/>
      <c r="CM2428" s="717"/>
      <c r="CN2428" s="717"/>
      <c r="CO2428" s="717"/>
      <c r="CP2428" s="717"/>
      <c r="CQ2428" s="717"/>
      <c r="CR2428" s="717"/>
      <c r="CS2428" s="717"/>
      <c r="CT2428" s="717"/>
      <c r="CU2428" s="717"/>
      <c r="CV2428" s="717"/>
      <c r="CW2428" s="717"/>
      <c r="CX2428" s="717"/>
      <c r="CY2428" s="717"/>
      <c r="CZ2428" s="717"/>
      <c r="DA2428" s="717"/>
      <c r="DB2428" s="717"/>
      <c r="DC2428" s="717"/>
      <c r="DD2428" s="717"/>
      <c r="DE2428" s="717"/>
      <c r="DF2428" s="717"/>
      <c r="DG2428" s="717"/>
      <c r="DH2428" s="717"/>
      <c r="DI2428" s="717"/>
      <c r="DJ2428" s="717"/>
      <c r="DM2428" s="711"/>
      <c r="DN2428" s="711"/>
      <c r="DO2428" s="711"/>
      <c r="DP2428" s="711"/>
      <c r="DQ2428" s="711"/>
    </row>
    <row r="2429" spans="13:121" s="709" customFormat="1" hidden="1">
      <c r="M2429" s="710"/>
      <c r="P2429" s="711"/>
      <c r="Q2429" s="712"/>
      <c r="U2429" s="711"/>
      <c r="V2429" s="711"/>
      <c r="W2429" s="711"/>
      <c r="X2429" s="711"/>
      <c r="Y2429" s="711"/>
      <c r="Z2429" s="711"/>
      <c r="AU2429" s="713"/>
      <c r="AW2429" s="712"/>
      <c r="BY2429" s="714"/>
      <c r="BZ2429" s="715"/>
      <c r="CA2429" s="716"/>
      <c r="CB2429" s="717"/>
      <c r="CC2429" s="717"/>
      <c r="CD2429" s="717"/>
      <c r="CE2429" s="717"/>
      <c r="CF2429" s="717"/>
      <c r="CG2429" s="717"/>
      <c r="CH2429" s="717"/>
      <c r="CI2429" s="717"/>
      <c r="CJ2429" s="717"/>
      <c r="CK2429" s="717"/>
      <c r="CL2429" s="717"/>
      <c r="CM2429" s="717"/>
      <c r="CN2429" s="717"/>
      <c r="CO2429" s="717"/>
      <c r="CP2429" s="717"/>
      <c r="CQ2429" s="717"/>
      <c r="CR2429" s="717"/>
      <c r="CS2429" s="717"/>
      <c r="CT2429" s="717"/>
      <c r="CU2429" s="717"/>
      <c r="CV2429" s="717"/>
      <c r="CW2429" s="717"/>
      <c r="CX2429" s="717"/>
      <c r="CY2429" s="717"/>
      <c r="CZ2429" s="717"/>
      <c r="DA2429" s="717"/>
      <c r="DB2429" s="717"/>
      <c r="DC2429" s="717"/>
      <c r="DD2429" s="717"/>
      <c r="DE2429" s="717"/>
      <c r="DF2429" s="717"/>
      <c r="DG2429" s="717"/>
      <c r="DH2429" s="717"/>
      <c r="DI2429" s="717"/>
      <c r="DJ2429" s="717"/>
      <c r="DM2429" s="711"/>
      <c r="DN2429" s="711"/>
      <c r="DO2429" s="711"/>
      <c r="DP2429" s="711"/>
      <c r="DQ2429" s="711"/>
    </row>
    <row r="2430" spans="13:121" s="709" customFormat="1" hidden="1">
      <c r="M2430" s="710"/>
      <c r="P2430" s="711"/>
      <c r="Q2430" s="712"/>
      <c r="U2430" s="711"/>
      <c r="V2430" s="711"/>
      <c r="W2430" s="711"/>
      <c r="X2430" s="711"/>
      <c r="Y2430" s="711"/>
      <c r="Z2430" s="711"/>
      <c r="AU2430" s="713"/>
      <c r="AW2430" s="712"/>
      <c r="BY2430" s="714"/>
      <c r="BZ2430" s="715"/>
      <c r="CA2430" s="716"/>
      <c r="CB2430" s="717"/>
      <c r="CC2430" s="717"/>
      <c r="CD2430" s="717"/>
      <c r="CE2430" s="717"/>
      <c r="CF2430" s="717"/>
      <c r="CG2430" s="717"/>
      <c r="CH2430" s="717"/>
      <c r="CI2430" s="717"/>
      <c r="CJ2430" s="717"/>
      <c r="CK2430" s="717"/>
      <c r="CL2430" s="717"/>
      <c r="CM2430" s="717"/>
      <c r="CN2430" s="717"/>
      <c r="CO2430" s="717"/>
      <c r="CP2430" s="717"/>
      <c r="CQ2430" s="717"/>
      <c r="CR2430" s="717"/>
      <c r="CS2430" s="717"/>
      <c r="CT2430" s="717"/>
      <c r="CU2430" s="717"/>
      <c r="CV2430" s="717"/>
      <c r="CW2430" s="717"/>
      <c r="CX2430" s="717"/>
      <c r="CY2430" s="717"/>
      <c r="CZ2430" s="717"/>
      <c r="DA2430" s="717"/>
      <c r="DB2430" s="717"/>
      <c r="DC2430" s="717"/>
      <c r="DD2430" s="717"/>
      <c r="DE2430" s="717"/>
      <c r="DF2430" s="717"/>
      <c r="DG2430" s="717"/>
      <c r="DH2430" s="717"/>
      <c r="DI2430" s="717"/>
      <c r="DJ2430" s="717"/>
      <c r="DM2430" s="711"/>
      <c r="DN2430" s="711"/>
      <c r="DO2430" s="711"/>
      <c r="DP2430" s="711"/>
      <c r="DQ2430" s="711"/>
    </row>
    <row r="2431" spans="13:121" s="709" customFormat="1" hidden="1">
      <c r="M2431" s="710"/>
      <c r="P2431" s="711"/>
      <c r="Q2431" s="712"/>
      <c r="U2431" s="711"/>
      <c r="V2431" s="711"/>
      <c r="W2431" s="711"/>
      <c r="X2431" s="711"/>
      <c r="Y2431" s="711"/>
      <c r="Z2431" s="711"/>
      <c r="AU2431" s="713"/>
      <c r="AW2431" s="712"/>
      <c r="BY2431" s="714"/>
      <c r="BZ2431" s="715"/>
      <c r="CA2431" s="716"/>
      <c r="CB2431" s="717"/>
      <c r="CC2431" s="717"/>
      <c r="CD2431" s="717"/>
      <c r="CE2431" s="717"/>
      <c r="CF2431" s="717"/>
      <c r="CG2431" s="717"/>
      <c r="CH2431" s="717"/>
      <c r="CI2431" s="717"/>
      <c r="CJ2431" s="717"/>
      <c r="CK2431" s="717"/>
      <c r="CL2431" s="717"/>
      <c r="CM2431" s="717"/>
      <c r="CN2431" s="717"/>
      <c r="CO2431" s="717"/>
      <c r="CP2431" s="717"/>
      <c r="CQ2431" s="717"/>
      <c r="CR2431" s="717"/>
      <c r="CS2431" s="717"/>
      <c r="CT2431" s="717"/>
      <c r="CU2431" s="717"/>
      <c r="CV2431" s="717"/>
      <c r="CW2431" s="717"/>
      <c r="CX2431" s="717"/>
      <c r="CY2431" s="717"/>
      <c r="CZ2431" s="717"/>
      <c r="DA2431" s="717"/>
      <c r="DB2431" s="717"/>
      <c r="DC2431" s="717"/>
      <c r="DD2431" s="717"/>
      <c r="DE2431" s="717"/>
      <c r="DF2431" s="717"/>
      <c r="DG2431" s="717"/>
      <c r="DH2431" s="717"/>
      <c r="DI2431" s="717"/>
      <c r="DJ2431" s="717"/>
      <c r="DM2431" s="711"/>
      <c r="DN2431" s="711"/>
      <c r="DO2431" s="711"/>
      <c r="DP2431" s="711"/>
      <c r="DQ2431" s="711"/>
    </row>
    <row r="2432" spans="13:121" s="709" customFormat="1" hidden="1">
      <c r="M2432" s="710"/>
      <c r="P2432" s="711"/>
      <c r="Q2432" s="712"/>
      <c r="U2432" s="711"/>
      <c r="V2432" s="711"/>
      <c r="W2432" s="711"/>
      <c r="X2432" s="711"/>
      <c r="Y2432" s="711"/>
      <c r="Z2432" s="711"/>
      <c r="AU2432" s="713"/>
      <c r="AW2432" s="712"/>
      <c r="BY2432" s="714"/>
      <c r="BZ2432" s="715"/>
      <c r="CA2432" s="716"/>
      <c r="CB2432" s="717"/>
      <c r="CC2432" s="717"/>
      <c r="CD2432" s="717"/>
      <c r="CE2432" s="717"/>
      <c r="CF2432" s="717"/>
      <c r="CG2432" s="717"/>
      <c r="CH2432" s="717"/>
      <c r="CI2432" s="717"/>
      <c r="CJ2432" s="717"/>
      <c r="CK2432" s="717"/>
      <c r="CL2432" s="717"/>
      <c r="CM2432" s="717"/>
      <c r="CN2432" s="717"/>
      <c r="CO2432" s="717"/>
      <c r="CP2432" s="717"/>
      <c r="CQ2432" s="717"/>
      <c r="CR2432" s="717"/>
      <c r="CS2432" s="717"/>
      <c r="CT2432" s="717"/>
      <c r="CU2432" s="717"/>
      <c r="CV2432" s="717"/>
      <c r="CW2432" s="717"/>
      <c r="CX2432" s="717"/>
      <c r="CY2432" s="717"/>
      <c r="CZ2432" s="717"/>
      <c r="DA2432" s="717"/>
      <c r="DB2432" s="717"/>
      <c r="DC2432" s="717"/>
      <c r="DD2432" s="717"/>
      <c r="DE2432" s="717"/>
      <c r="DF2432" s="717"/>
      <c r="DG2432" s="717"/>
      <c r="DH2432" s="717"/>
      <c r="DI2432" s="717"/>
      <c r="DJ2432" s="717"/>
      <c r="DM2432" s="711"/>
      <c r="DN2432" s="711"/>
      <c r="DO2432" s="711"/>
      <c r="DP2432" s="711"/>
      <c r="DQ2432" s="711"/>
    </row>
    <row r="2433" spans="13:121" s="709" customFormat="1" hidden="1">
      <c r="M2433" s="710"/>
      <c r="P2433" s="711"/>
      <c r="Q2433" s="712"/>
      <c r="U2433" s="711"/>
      <c r="V2433" s="711"/>
      <c r="W2433" s="711"/>
      <c r="X2433" s="711"/>
      <c r="Y2433" s="711"/>
      <c r="Z2433" s="711"/>
      <c r="AU2433" s="713"/>
      <c r="AW2433" s="712"/>
      <c r="BY2433" s="714"/>
      <c r="BZ2433" s="715"/>
      <c r="CA2433" s="716"/>
      <c r="CB2433" s="717"/>
      <c r="CC2433" s="717"/>
      <c r="CD2433" s="717"/>
      <c r="CE2433" s="717"/>
      <c r="CF2433" s="717"/>
      <c r="CG2433" s="717"/>
      <c r="CH2433" s="717"/>
      <c r="CI2433" s="717"/>
      <c r="CJ2433" s="717"/>
      <c r="CK2433" s="717"/>
      <c r="CL2433" s="717"/>
      <c r="CM2433" s="717"/>
      <c r="CN2433" s="717"/>
      <c r="CO2433" s="717"/>
      <c r="CP2433" s="717"/>
      <c r="CQ2433" s="717"/>
      <c r="CR2433" s="717"/>
      <c r="CS2433" s="717"/>
      <c r="CT2433" s="717"/>
      <c r="CU2433" s="717"/>
      <c r="CV2433" s="717"/>
      <c r="CW2433" s="717"/>
      <c r="CX2433" s="717"/>
      <c r="CY2433" s="717"/>
      <c r="CZ2433" s="717"/>
      <c r="DA2433" s="717"/>
      <c r="DB2433" s="717"/>
      <c r="DC2433" s="717"/>
      <c r="DD2433" s="717"/>
      <c r="DE2433" s="717"/>
      <c r="DF2433" s="717"/>
      <c r="DG2433" s="717"/>
      <c r="DH2433" s="717"/>
      <c r="DI2433" s="717"/>
      <c r="DJ2433" s="717"/>
      <c r="DM2433" s="711"/>
      <c r="DN2433" s="711"/>
      <c r="DO2433" s="711"/>
      <c r="DP2433" s="711"/>
      <c r="DQ2433" s="711"/>
    </row>
    <row r="2434" spans="13:121" s="709" customFormat="1" hidden="1">
      <c r="M2434" s="710"/>
      <c r="P2434" s="711"/>
      <c r="Q2434" s="712"/>
      <c r="U2434" s="711"/>
      <c r="V2434" s="711"/>
      <c r="W2434" s="711"/>
      <c r="X2434" s="711"/>
      <c r="Y2434" s="711"/>
      <c r="Z2434" s="711"/>
      <c r="AU2434" s="713"/>
      <c r="AW2434" s="712"/>
      <c r="BY2434" s="714"/>
      <c r="BZ2434" s="715"/>
      <c r="CA2434" s="716"/>
      <c r="CB2434" s="717"/>
      <c r="CC2434" s="717"/>
      <c r="CD2434" s="717"/>
      <c r="CE2434" s="717"/>
      <c r="CF2434" s="717"/>
      <c r="CG2434" s="717"/>
      <c r="CH2434" s="717"/>
      <c r="CI2434" s="717"/>
      <c r="CJ2434" s="717"/>
      <c r="CK2434" s="717"/>
      <c r="CL2434" s="717"/>
      <c r="CM2434" s="717"/>
      <c r="CN2434" s="717"/>
      <c r="CO2434" s="717"/>
      <c r="CP2434" s="717"/>
      <c r="CQ2434" s="717"/>
      <c r="CR2434" s="717"/>
      <c r="CS2434" s="717"/>
      <c r="CT2434" s="717"/>
      <c r="CU2434" s="717"/>
      <c r="CV2434" s="717"/>
      <c r="CW2434" s="717"/>
      <c r="CX2434" s="717"/>
      <c r="CY2434" s="717"/>
      <c r="CZ2434" s="717"/>
      <c r="DA2434" s="717"/>
      <c r="DB2434" s="717"/>
      <c r="DC2434" s="717"/>
      <c r="DD2434" s="717"/>
      <c r="DE2434" s="717"/>
      <c r="DF2434" s="717"/>
      <c r="DG2434" s="717"/>
      <c r="DH2434" s="717"/>
      <c r="DI2434" s="717"/>
      <c r="DJ2434" s="717"/>
      <c r="DM2434" s="711"/>
      <c r="DN2434" s="711"/>
      <c r="DO2434" s="711"/>
      <c r="DP2434" s="711"/>
      <c r="DQ2434" s="711"/>
    </row>
    <row r="2435" spans="13:121" s="709" customFormat="1" hidden="1">
      <c r="M2435" s="710"/>
      <c r="P2435" s="711"/>
      <c r="Q2435" s="712"/>
      <c r="U2435" s="711"/>
      <c r="V2435" s="711"/>
      <c r="W2435" s="711"/>
      <c r="X2435" s="711"/>
      <c r="Y2435" s="711"/>
      <c r="Z2435" s="711"/>
      <c r="AU2435" s="713"/>
      <c r="AW2435" s="712"/>
      <c r="BY2435" s="714"/>
      <c r="BZ2435" s="715"/>
      <c r="CA2435" s="716"/>
      <c r="CB2435" s="717"/>
      <c r="CC2435" s="717"/>
      <c r="CD2435" s="717"/>
      <c r="CE2435" s="717"/>
      <c r="CF2435" s="717"/>
      <c r="CG2435" s="717"/>
      <c r="CH2435" s="717"/>
      <c r="CI2435" s="717"/>
      <c r="CJ2435" s="717"/>
      <c r="CK2435" s="717"/>
      <c r="CL2435" s="717"/>
      <c r="CM2435" s="717"/>
      <c r="CN2435" s="717"/>
      <c r="CO2435" s="717"/>
      <c r="CP2435" s="717"/>
      <c r="CQ2435" s="717"/>
      <c r="CR2435" s="717"/>
      <c r="CS2435" s="717"/>
      <c r="CT2435" s="717"/>
      <c r="CU2435" s="717"/>
      <c r="CV2435" s="717"/>
      <c r="CW2435" s="717"/>
      <c r="CX2435" s="717"/>
      <c r="CY2435" s="717"/>
      <c r="CZ2435" s="717"/>
      <c r="DA2435" s="717"/>
      <c r="DB2435" s="717"/>
      <c r="DC2435" s="717"/>
      <c r="DD2435" s="717"/>
      <c r="DE2435" s="717"/>
      <c r="DF2435" s="717"/>
      <c r="DG2435" s="717"/>
      <c r="DH2435" s="717"/>
      <c r="DI2435" s="717"/>
      <c r="DJ2435" s="717"/>
      <c r="DM2435" s="711"/>
      <c r="DN2435" s="711"/>
      <c r="DO2435" s="711"/>
      <c r="DP2435" s="711"/>
      <c r="DQ2435" s="711"/>
    </row>
    <row r="2436" spans="13:121" s="709" customFormat="1" hidden="1">
      <c r="M2436" s="710"/>
      <c r="P2436" s="711"/>
      <c r="Q2436" s="712"/>
      <c r="U2436" s="711"/>
      <c r="V2436" s="711"/>
      <c r="W2436" s="711"/>
      <c r="X2436" s="711"/>
      <c r="Y2436" s="711"/>
      <c r="Z2436" s="711"/>
      <c r="AU2436" s="713"/>
      <c r="AW2436" s="712"/>
      <c r="BY2436" s="714"/>
      <c r="BZ2436" s="715"/>
      <c r="CA2436" s="716"/>
      <c r="CB2436" s="717"/>
      <c r="CC2436" s="717"/>
      <c r="CD2436" s="717"/>
      <c r="CE2436" s="717"/>
      <c r="CF2436" s="717"/>
      <c r="CG2436" s="717"/>
      <c r="CH2436" s="717"/>
      <c r="CI2436" s="717"/>
      <c r="CJ2436" s="717"/>
      <c r="CK2436" s="717"/>
      <c r="CL2436" s="717"/>
      <c r="CM2436" s="717"/>
      <c r="CN2436" s="717"/>
      <c r="CO2436" s="717"/>
      <c r="CP2436" s="717"/>
      <c r="CQ2436" s="717"/>
      <c r="CR2436" s="717"/>
      <c r="CS2436" s="717"/>
      <c r="CT2436" s="717"/>
      <c r="CU2436" s="717"/>
      <c r="CV2436" s="717"/>
      <c r="CW2436" s="717"/>
      <c r="CX2436" s="717"/>
      <c r="CY2436" s="717"/>
      <c r="CZ2436" s="717"/>
      <c r="DA2436" s="717"/>
      <c r="DB2436" s="717"/>
      <c r="DC2436" s="717"/>
      <c r="DD2436" s="717"/>
      <c r="DE2436" s="717"/>
      <c r="DF2436" s="717"/>
      <c r="DG2436" s="717"/>
      <c r="DH2436" s="717"/>
      <c r="DI2436" s="717"/>
      <c r="DJ2436" s="717"/>
      <c r="DM2436" s="711"/>
      <c r="DN2436" s="711"/>
      <c r="DO2436" s="711"/>
      <c r="DP2436" s="711"/>
      <c r="DQ2436" s="711"/>
    </row>
    <row r="2437" spans="13:121" s="709" customFormat="1" hidden="1">
      <c r="M2437" s="710"/>
      <c r="P2437" s="711"/>
      <c r="Q2437" s="712"/>
      <c r="U2437" s="711"/>
      <c r="V2437" s="711"/>
      <c r="W2437" s="711"/>
      <c r="X2437" s="711"/>
      <c r="Y2437" s="711"/>
      <c r="Z2437" s="711"/>
      <c r="AU2437" s="713"/>
      <c r="AW2437" s="712"/>
      <c r="BY2437" s="714"/>
      <c r="BZ2437" s="715"/>
      <c r="CA2437" s="716"/>
      <c r="CB2437" s="717"/>
      <c r="CC2437" s="717"/>
      <c r="CD2437" s="717"/>
      <c r="CE2437" s="717"/>
      <c r="CF2437" s="717"/>
      <c r="CG2437" s="717"/>
      <c r="CH2437" s="717"/>
      <c r="CI2437" s="717"/>
      <c r="CJ2437" s="717"/>
      <c r="CK2437" s="717"/>
      <c r="CL2437" s="717"/>
      <c r="CM2437" s="717"/>
      <c r="CN2437" s="717"/>
      <c r="CO2437" s="717"/>
      <c r="CP2437" s="717"/>
      <c r="CQ2437" s="717"/>
      <c r="CR2437" s="717"/>
      <c r="CS2437" s="717"/>
      <c r="CT2437" s="717"/>
      <c r="CU2437" s="717"/>
      <c r="CV2437" s="717"/>
      <c r="CW2437" s="717"/>
      <c r="CX2437" s="717"/>
      <c r="CY2437" s="717"/>
      <c r="CZ2437" s="717"/>
      <c r="DA2437" s="717"/>
      <c r="DB2437" s="717"/>
      <c r="DC2437" s="717"/>
      <c r="DD2437" s="717"/>
      <c r="DE2437" s="717"/>
      <c r="DF2437" s="717"/>
      <c r="DG2437" s="717"/>
      <c r="DH2437" s="717"/>
      <c r="DI2437" s="717"/>
      <c r="DJ2437" s="717"/>
      <c r="DM2437" s="711"/>
      <c r="DN2437" s="711"/>
      <c r="DO2437" s="711"/>
      <c r="DP2437" s="711"/>
      <c r="DQ2437" s="711"/>
    </row>
    <row r="2438" spans="13:121" s="709" customFormat="1" hidden="1">
      <c r="M2438" s="710"/>
      <c r="P2438" s="711"/>
      <c r="Q2438" s="712"/>
      <c r="U2438" s="711"/>
      <c r="V2438" s="711"/>
      <c r="W2438" s="711"/>
      <c r="X2438" s="711"/>
      <c r="Y2438" s="711"/>
      <c r="Z2438" s="711"/>
      <c r="AU2438" s="713"/>
      <c r="AW2438" s="712"/>
      <c r="BY2438" s="714"/>
      <c r="BZ2438" s="715"/>
      <c r="CA2438" s="716"/>
      <c r="CB2438" s="717"/>
      <c r="CC2438" s="717"/>
      <c r="CD2438" s="717"/>
      <c r="CE2438" s="717"/>
      <c r="CF2438" s="717"/>
      <c r="CG2438" s="717"/>
      <c r="CH2438" s="717"/>
      <c r="CI2438" s="717"/>
      <c r="CJ2438" s="717"/>
      <c r="CK2438" s="717"/>
      <c r="CL2438" s="717"/>
      <c r="CM2438" s="717"/>
      <c r="CN2438" s="717"/>
      <c r="CO2438" s="717"/>
      <c r="CP2438" s="717"/>
      <c r="CQ2438" s="717"/>
      <c r="CR2438" s="717"/>
      <c r="CS2438" s="717"/>
      <c r="CT2438" s="717"/>
      <c r="CU2438" s="717"/>
      <c r="CV2438" s="717"/>
      <c r="CW2438" s="717"/>
      <c r="CX2438" s="717"/>
      <c r="CY2438" s="717"/>
      <c r="CZ2438" s="717"/>
      <c r="DA2438" s="717"/>
      <c r="DB2438" s="717"/>
      <c r="DC2438" s="717"/>
      <c r="DD2438" s="717"/>
      <c r="DE2438" s="717"/>
      <c r="DF2438" s="717"/>
      <c r="DG2438" s="717"/>
      <c r="DH2438" s="717"/>
      <c r="DI2438" s="717"/>
      <c r="DJ2438" s="717"/>
      <c r="DM2438" s="711"/>
      <c r="DN2438" s="711"/>
      <c r="DO2438" s="711"/>
      <c r="DP2438" s="711"/>
      <c r="DQ2438" s="711"/>
    </row>
    <row r="2439" spans="13:121" s="709" customFormat="1" hidden="1">
      <c r="M2439" s="710"/>
      <c r="P2439" s="711"/>
      <c r="Q2439" s="712"/>
      <c r="U2439" s="711"/>
      <c r="V2439" s="711"/>
      <c r="W2439" s="711"/>
      <c r="X2439" s="711"/>
      <c r="Y2439" s="711"/>
      <c r="Z2439" s="711"/>
      <c r="AU2439" s="713"/>
      <c r="AW2439" s="712"/>
      <c r="BY2439" s="714"/>
      <c r="BZ2439" s="715"/>
      <c r="CA2439" s="716"/>
      <c r="CB2439" s="717"/>
      <c r="CC2439" s="717"/>
      <c r="CD2439" s="717"/>
      <c r="CE2439" s="717"/>
      <c r="CF2439" s="717"/>
      <c r="CG2439" s="717"/>
      <c r="CH2439" s="717"/>
      <c r="CI2439" s="717"/>
      <c r="CJ2439" s="717"/>
      <c r="CK2439" s="717"/>
      <c r="CL2439" s="717"/>
      <c r="CM2439" s="717"/>
      <c r="CN2439" s="717"/>
      <c r="CO2439" s="717"/>
      <c r="CP2439" s="717"/>
      <c r="CQ2439" s="717"/>
      <c r="CR2439" s="717"/>
      <c r="CS2439" s="717"/>
      <c r="CT2439" s="717"/>
      <c r="CU2439" s="717"/>
      <c r="CV2439" s="717"/>
      <c r="CW2439" s="717"/>
      <c r="CX2439" s="717"/>
      <c r="CY2439" s="717"/>
      <c r="CZ2439" s="717"/>
      <c r="DA2439" s="717"/>
      <c r="DB2439" s="717"/>
      <c r="DC2439" s="717"/>
      <c r="DD2439" s="717"/>
      <c r="DE2439" s="717"/>
      <c r="DF2439" s="717"/>
      <c r="DG2439" s="717"/>
      <c r="DH2439" s="717"/>
      <c r="DI2439" s="717"/>
      <c r="DJ2439" s="717"/>
      <c r="DM2439" s="711"/>
      <c r="DN2439" s="711"/>
      <c r="DO2439" s="711"/>
      <c r="DP2439" s="711"/>
      <c r="DQ2439" s="711"/>
    </row>
    <row r="2440" spans="13:121" s="709" customFormat="1" hidden="1">
      <c r="M2440" s="710"/>
      <c r="P2440" s="711"/>
      <c r="Q2440" s="712"/>
      <c r="U2440" s="711"/>
      <c r="V2440" s="711"/>
      <c r="W2440" s="711"/>
      <c r="X2440" s="711"/>
      <c r="Y2440" s="711"/>
      <c r="Z2440" s="711"/>
      <c r="AU2440" s="713"/>
      <c r="AW2440" s="712"/>
      <c r="BY2440" s="714"/>
      <c r="BZ2440" s="715"/>
      <c r="CA2440" s="716"/>
      <c r="CB2440" s="717"/>
      <c r="CC2440" s="717"/>
      <c r="CD2440" s="717"/>
      <c r="CE2440" s="717"/>
      <c r="CF2440" s="717"/>
      <c r="CG2440" s="717"/>
      <c r="CH2440" s="717"/>
      <c r="CI2440" s="717"/>
      <c r="CJ2440" s="717"/>
      <c r="CK2440" s="717"/>
      <c r="CL2440" s="717"/>
      <c r="CM2440" s="717"/>
      <c r="CN2440" s="717"/>
      <c r="CO2440" s="717"/>
      <c r="CP2440" s="717"/>
      <c r="CQ2440" s="717"/>
      <c r="CR2440" s="717"/>
      <c r="CS2440" s="717"/>
      <c r="CT2440" s="717"/>
      <c r="CU2440" s="717"/>
      <c r="CV2440" s="717"/>
      <c r="CW2440" s="717"/>
      <c r="CX2440" s="717"/>
      <c r="CY2440" s="717"/>
      <c r="CZ2440" s="717"/>
      <c r="DA2440" s="717"/>
      <c r="DB2440" s="717"/>
      <c r="DC2440" s="717"/>
      <c r="DD2440" s="717"/>
      <c r="DE2440" s="717"/>
      <c r="DF2440" s="717"/>
      <c r="DG2440" s="717"/>
      <c r="DH2440" s="717"/>
      <c r="DI2440" s="717"/>
      <c r="DJ2440" s="717"/>
      <c r="DM2440" s="711"/>
      <c r="DN2440" s="711"/>
      <c r="DO2440" s="711"/>
      <c r="DP2440" s="711"/>
      <c r="DQ2440" s="711"/>
    </row>
    <row r="2441" spans="13:121" s="709" customFormat="1" hidden="1">
      <c r="M2441" s="710"/>
      <c r="P2441" s="711"/>
      <c r="Q2441" s="712"/>
      <c r="U2441" s="711"/>
      <c r="V2441" s="711"/>
      <c r="W2441" s="711"/>
      <c r="X2441" s="711"/>
      <c r="Y2441" s="711"/>
      <c r="Z2441" s="711"/>
      <c r="AU2441" s="713"/>
      <c r="AW2441" s="712"/>
      <c r="BY2441" s="714"/>
      <c r="BZ2441" s="715"/>
      <c r="CA2441" s="716"/>
      <c r="CB2441" s="717"/>
      <c r="CC2441" s="717"/>
      <c r="CD2441" s="717"/>
      <c r="CE2441" s="717"/>
      <c r="CF2441" s="717"/>
      <c r="CG2441" s="717"/>
      <c r="CH2441" s="717"/>
      <c r="CI2441" s="717"/>
      <c r="CJ2441" s="717"/>
      <c r="CK2441" s="717"/>
      <c r="CL2441" s="717"/>
      <c r="CM2441" s="717"/>
      <c r="CN2441" s="717"/>
      <c r="CO2441" s="717"/>
      <c r="CP2441" s="717"/>
      <c r="CQ2441" s="717"/>
      <c r="CR2441" s="717"/>
      <c r="CS2441" s="717"/>
      <c r="CT2441" s="717"/>
      <c r="CU2441" s="717"/>
      <c r="CV2441" s="717"/>
      <c r="CW2441" s="717"/>
      <c r="CX2441" s="717"/>
      <c r="CY2441" s="717"/>
      <c r="CZ2441" s="717"/>
      <c r="DA2441" s="717"/>
      <c r="DB2441" s="717"/>
      <c r="DC2441" s="717"/>
      <c r="DD2441" s="717"/>
      <c r="DE2441" s="717"/>
      <c r="DF2441" s="717"/>
      <c r="DG2441" s="717"/>
      <c r="DH2441" s="717"/>
      <c r="DI2441" s="717"/>
      <c r="DJ2441" s="717"/>
      <c r="DM2441" s="711"/>
      <c r="DN2441" s="711"/>
      <c r="DO2441" s="711"/>
      <c r="DP2441" s="711"/>
      <c r="DQ2441" s="711"/>
    </row>
    <row r="2442" spans="13:121" s="709" customFormat="1" hidden="1">
      <c r="M2442" s="710"/>
      <c r="P2442" s="711"/>
      <c r="Q2442" s="712"/>
      <c r="U2442" s="711"/>
      <c r="V2442" s="711"/>
      <c r="W2442" s="711"/>
      <c r="X2442" s="711"/>
      <c r="Y2442" s="711"/>
      <c r="Z2442" s="711"/>
      <c r="AU2442" s="713"/>
      <c r="AW2442" s="712"/>
      <c r="BY2442" s="714"/>
      <c r="BZ2442" s="715"/>
      <c r="CA2442" s="716"/>
      <c r="CB2442" s="717"/>
      <c r="CC2442" s="717"/>
      <c r="CD2442" s="717"/>
      <c r="CE2442" s="717"/>
      <c r="CF2442" s="717"/>
      <c r="CG2442" s="717"/>
      <c r="CH2442" s="717"/>
      <c r="CI2442" s="717"/>
      <c r="CJ2442" s="717"/>
      <c r="CK2442" s="717"/>
      <c r="CL2442" s="717"/>
      <c r="CM2442" s="717"/>
      <c r="CN2442" s="717"/>
      <c r="CO2442" s="717"/>
      <c r="CP2442" s="717"/>
      <c r="CQ2442" s="717"/>
      <c r="CR2442" s="717"/>
      <c r="CS2442" s="717"/>
      <c r="CT2442" s="717"/>
      <c r="CU2442" s="717"/>
      <c r="CV2442" s="717"/>
      <c r="CW2442" s="717"/>
      <c r="CX2442" s="717"/>
      <c r="CY2442" s="717"/>
      <c r="CZ2442" s="717"/>
      <c r="DA2442" s="717"/>
      <c r="DB2442" s="717"/>
      <c r="DC2442" s="717"/>
      <c r="DD2442" s="717"/>
      <c r="DE2442" s="717"/>
      <c r="DF2442" s="717"/>
      <c r="DG2442" s="717"/>
      <c r="DH2442" s="717"/>
      <c r="DI2442" s="717"/>
      <c r="DJ2442" s="717"/>
      <c r="DM2442" s="711"/>
      <c r="DN2442" s="711"/>
      <c r="DO2442" s="711"/>
      <c r="DP2442" s="711"/>
      <c r="DQ2442" s="711"/>
    </row>
    <row r="2443" spans="13:121" s="709" customFormat="1" hidden="1">
      <c r="M2443" s="710"/>
      <c r="P2443" s="711"/>
      <c r="Q2443" s="712"/>
      <c r="U2443" s="711"/>
      <c r="V2443" s="711"/>
      <c r="W2443" s="711"/>
      <c r="X2443" s="711"/>
      <c r="Y2443" s="711"/>
      <c r="Z2443" s="711"/>
      <c r="AU2443" s="713"/>
      <c r="AW2443" s="712"/>
      <c r="BY2443" s="714"/>
      <c r="BZ2443" s="715"/>
      <c r="CA2443" s="716"/>
      <c r="CB2443" s="717"/>
      <c r="CC2443" s="717"/>
      <c r="CD2443" s="717"/>
      <c r="CE2443" s="717"/>
      <c r="CF2443" s="717"/>
      <c r="CG2443" s="717"/>
      <c r="CH2443" s="717"/>
      <c r="CI2443" s="717"/>
      <c r="CJ2443" s="717"/>
      <c r="CK2443" s="717"/>
      <c r="CL2443" s="717"/>
      <c r="CM2443" s="717"/>
      <c r="CN2443" s="717"/>
      <c r="CO2443" s="717"/>
      <c r="CP2443" s="717"/>
      <c r="CQ2443" s="717"/>
      <c r="CR2443" s="717"/>
      <c r="CS2443" s="717"/>
      <c r="CT2443" s="717"/>
      <c r="CU2443" s="717"/>
      <c r="CV2443" s="717"/>
      <c r="CW2443" s="717"/>
      <c r="CX2443" s="717"/>
      <c r="CY2443" s="717"/>
      <c r="CZ2443" s="717"/>
      <c r="DA2443" s="717"/>
      <c r="DB2443" s="717"/>
      <c r="DC2443" s="717"/>
      <c r="DD2443" s="717"/>
      <c r="DE2443" s="717"/>
      <c r="DF2443" s="717"/>
      <c r="DG2443" s="717"/>
      <c r="DH2443" s="717"/>
      <c r="DI2443" s="717"/>
      <c r="DJ2443" s="717"/>
      <c r="DM2443" s="711"/>
      <c r="DN2443" s="711"/>
      <c r="DO2443" s="711"/>
      <c r="DP2443" s="711"/>
      <c r="DQ2443" s="711"/>
    </row>
    <row r="2444" spans="13:121" s="709" customFormat="1" hidden="1">
      <c r="M2444" s="710"/>
      <c r="P2444" s="711"/>
      <c r="Q2444" s="712"/>
      <c r="U2444" s="711"/>
      <c r="V2444" s="711"/>
      <c r="W2444" s="711"/>
      <c r="X2444" s="711"/>
      <c r="Y2444" s="711"/>
      <c r="Z2444" s="711"/>
      <c r="AU2444" s="713"/>
      <c r="AW2444" s="712"/>
      <c r="BY2444" s="714"/>
      <c r="BZ2444" s="715"/>
      <c r="CA2444" s="716"/>
      <c r="CB2444" s="717"/>
      <c r="CC2444" s="717"/>
      <c r="CD2444" s="717"/>
      <c r="CE2444" s="717"/>
      <c r="CF2444" s="717"/>
      <c r="CG2444" s="717"/>
      <c r="CH2444" s="717"/>
      <c r="CI2444" s="717"/>
      <c r="CJ2444" s="717"/>
      <c r="CK2444" s="717"/>
      <c r="CL2444" s="717"/>
      <c r="CM2444" s="717"/>
      <c r="CN2444" s="717"/>
      <c r="CO2444" s="717"/>
      <c r="CP2444" s="717"/>
      <c r="CQ2444" s="717"/>
      <c r="CR2444" s="717"/>
      <c r="CS2444" s="717"/>
      <c r="CT2444" s="717"/>
      <c r="CU2444" s="717"/>
      <c r="CV2444" s="717"/>
      <c r="CW2444" s="717"/>
      <c r="CX2444" s="717"/>
      <c r="CY2444" s="717"/>
      <c r="CZ2444" s="717"/>
      <c r="DA2444" s="717"/>
      <c r="DB2444" s="717"/>
      <c r="DC2444" s="717"/>
      <c r="DD2444" s="717"/>
      <c r="DE2444" s="717"/>
      <c r="DF2444" s="717"/>
      <c r="DG2444" s="717"/>
      <c r="DH2444" s="717"/>
      <c r="DI2444" s="717"/>
      <c r="DJ2444" s="717"/>
      <c r="DM2444" s="711"/>
      <c r="DN2444" s="711"/>
      <c r="DO2444" s="711"/>
      <c r="DP2444" s="711"/>
      <c r="DQ2444" s="711"/>
    </row>
    <row r="2445" spans="13:121" s="709" customFormat="1" hidden="1">
      <c r="M2445" s="710"/>
      <c r="P2445" s="711"/>
      <c r="Q2445" s="712"/>
      <c r="U2445" s="711"/>
      <c r="V2445" s="711"/>
      <c r="W2445" s="711"/>
      <c r="X2445" s="711"/>
      <c r="Y2445" s="711"/>
      <c r="Z2445" s="711"/>
      <c r="AU2445" s="713"/>
      <c r="AW2445" s="712"/>
      <c r="BY2445" s="714"/>
      <c r="BZ2445" s="715"/>
      <c r="CA2445" s="716"/>
      <c r="CB2445" s="717"/>
      <c r="CC2445" s="717"/>
      <c r="CD2445" s="717"/>
      <c r="CE2445" s="717"/>
      <c r="CF2445" s="717"/>
      <c r="CG2445" s="717"/>
      <c r="CH2445" s="717"/>
      <c r="CI2445" s="717"/>
      <c r="CJ2445" s="717"/>
      <c r="CK2445" s="717"/>
      <c r="CL2445" s="717"/>
      <c r="CM2445" s="717"/>
      <c r="CN2445" s="717"/>
      <c r="CO2445" s="717"/>
      <c r="CP2445" s="717"/>
      <c r="CQ2445" s="717"/>
      <c r="CR2445" s="717"/>
      <c r="CS2445" s="717"/>
      <c r="CT2445" s="717"/>
      <c r="CU2445" s="717"/>
      <c r="CV2445" s="717"/>
      <c r="CW2445" s="717"/>
      <c r="CX2445" s="717"/>
      <c r="CY2445" s="717"/>
      <c r="CZ2445" s="717"/>
      <c r="DA2445" s="717"/>
      <c r="DB2445" s="717"/>
      <c r="DC2445" s="717"/>
      <c r="DD2445" s="717"/>
      <c r="DE2445" s="717"/>
      <c r="DF2445" s="717"/>
      <c r="DG2445" s="717"/>
      <c r="DH2445" s="717"/>
      <c r="DI2445" s="717"/>
      <c r="DJ2445" s="717"/>
      <c r="DM2445" s="711"/>
      <c r="DN2445" s="711"/>
      <c r="DO2445" s="711"/>
      <c r="DP2445" s="711"/>
      <c r="DQ2445" s="711"/>
    </row>
    <row r="2446" spans="13:121" s="709" customFormat="1" hidden="1">
      <c r="M2446" s="710"/>
      <c r="P2446" s="711"/>
      <c r="Q2446" s="712"/>
      <c r="U2446" s="711"/>
      <c r="V2446" s="711"/>
      <c r="W2446" s="711"/>
      <c r="X2446" s="711"/>
      <c r="Y2446" s="711"/>
      <c r="Z2446" s="711"/>
      <c r="AU2446" s="713"/>
      <c r="AW2446" s="712"/>
      <c r="BY2446" s="714"/>
      <c r="BZ2446" s="715"/>
      <c r="CA2446" s="716"/>
      <c r="CB2446" s="717"/>
      <c r="CC2446" s="717"/>
      <c r="CD2446" s="717"/>
      <c r="CE2446" s="717"/>
      <c r="CF2446" s="717"/>
      <c r="CG2446" s="717"/>
      <c r="CH2446" s="717"/>
      <c r="CI2446" s="717"/>
      <c r="CJ2446" s="717"/>
      <c r="CK2446" s="717"/>
      <c r="CL2446" s="717"/>
      <c r="CM2446" s="717"/>
      <c r="CN2446" s="717"/>
      <c r="CO2446" s="717"/>
      <c r="CP2446" s="717"/>
      <c r="CQ2446" s="717"/>
      <c r="CR2446" s="717"/>
      <c r="CS2446" s="717"/>
      <c r="CT2446" s="717"/>
      <c r="CU2446" s="717"/>
      <c r="CV2446" s="717"/>
      <c r="CW2446" s="717"/>
      <c r="CX2446" s="717"/>
      <c r="CY2446" s="717"/>
      <c r="CZ2446" s="717"/>
      <c r="DA2446" s="717"/>
      <c r="DB2446" s="717"/>
      <c r="DC2446" s="717"/>
      <c r="DD2446" s="717"/>
      <c r="DE2446" s="717"/>
      <c r="DF2446" s="717"/>
      <c r="DG2446" s="717"/>
      <c r="DH2446" s="717"/>
      <c r="DI2446" s="717"/>
      <c r="DJ2446" s="717"/>
      <c r="DM2446" s="711"/>
      <c r="DN2446" s="711"/>
      <c r="DO2446" s="711"/>
      <c r="DP2446" s="711"/>
      <c r="DQ2446" s="711"/>
    </row>
    <row r="2447" spans="13:121" s="709" customFormat="1" hidden="1">
      <c r="M2447" s="710"/>
      <c r="P2447" s="711"/>
      <c r="Q2447" s="712"/>
      <c r="U2447" s="711"/>
      <c r="V2447" s="711"/>
      <c r="W2447" s="711"/>
      <c r="X2447" s="711"/>
      <c r="Y2447" s="711"/>
      <c r="Z2447" s="711"/>
      <c r="AU2447" s="713"/>
      <c r="AW2447" s="712"/>
      <c r="BY2447" s="714"/>
      <c r="BZ2447" s="715"/>
      <c r="CA2447" s="716"/>
      <c r="CB2447" s="717"/>
      <c r="CC2447" s="717"/>
      <c r="CD2447" s="717"/>
      <c r="CE2447" s="717"/>
      <c r="CF2447" s="717"/>
      <c r="CG2447" s="717"/>
      <c r="CH2447" s="717"/>
      <c r="CI2447" s="717"/>
      <c r="CJ2447" s="717"/>
      <c r="CK2447" s="717"/>
      <c r="CL2447" s="717"/>
      <c r="CM2447" s="717"/>
      <c r="CN2447" s="717"/>
      <c r="CO2447" s="717"/>
      <c r="CP2447" s="717"/>
      <c r="CQ2447" s="717"/>
      <c r="CR2447" s="717"/>
      <c r="CS2447" s="717"/>
      <c r="CT2447" s="717"/>
      <c r="CU2447" s="717"/>
      <c r="CV2447" s="717"/>
      <c r="CW2447" s="717"/>
      <c r="CX2447" s="717"/>
      <c r="CY2447" s="717"/>
      <c r="CZ2447" s="717"/>
      <c r="DA2447" s="717"/>
      <c r="DB2447" s="717"/>
      <c r="DC2447" s="717"/>
      <c r="DD2447" s="717"/>
      <c r="DE2447" s="717"/>
      <c r="DF2447" s="717"/>
      <c r="DG2447" s="717"/>
      <c r="DH2447" s="717"/>
      <c r="DI2447" s="717"/>
      <c r="DJ2447" s="717"/>
      <c r="DM2447" s="711"/>
      <c r="DN2447" s="711"/>
      <c r="DO2447" s="711"/>
      <c r="DP2447" s="711"/>
      <c r="DQ2447" s="711"/>
    </row>
    <row r="2448" spans="13:121" s="709" customFormat="1" hidden="1">
      <c r="M2448" s="710"/>
      <c r="P2448" s="711"/>
      <c r="Q2448" s="712"/>
      <c r="U2448" s="711"/>
      <c r="V2448" s="711"/>
      <c r="W2448" s="711"/>
      <c r="X2448" s="711"/>
      <c r="Y2448" s="711"/>
      <c r="Z2448" s="711"/>
      <c r="AU2448" s="713"/>
      <c r="AW2448" s="712"/>
      <c r="BY2448" s="714"/>
      <c r="BZ2448" s="715"/>
      <c r="CA2448" s="716"/>
      <c r="CB2448" s="717"/>
      <c r="CC2448" s="717"/>
      <c r="CD2448" s="717"/>
      <c r="CE2448" s="717"/>
      <c r="CF2448" s="717"/>
      <c r="CG2448" s="717"/>
      <c r="CH2448" s="717"/>
      <c r="CI2448" s="717"/>
      <c r="CJ2448" s="717"/>
      <c r="CK2448" s="717"/>
      <c r="CL2448" s="717"/>
      <c r="CM2448" s="717"/>
      <c r="CN2448" s="717"/>
      <c r="CO2448" s="717"/>
      <c r="CP2448" s="717"/>
      <c r="CQ2448" s="717"/>
      <c r="CR2448" s="717"/>
      <c r="CS2448" s="717"/>
      <c r="CT2448" s="717"/>
      <c r="CU2448" s="717"/>
      <c r="CV2448" s="717"/>
      <c r="CW2448" s="717"/>
      <c r="CX2448" s="717"/>
      <c r="CY2448" s="717"/>
      <c r="CZ2448" s="717"/>
      <c r="DA2448" s="717"/>
      <c r="DB2448" s="717"/>
      <c r="DC2448" s="717"/>
      <c r="DD2448" s="717"/>
      <c r="DE2448" s="717"/>
      <c r="DF2448" s="717"/>
      <c r="DG2448" s="717"/>
      <c r="DH2448" s="717"/>
      <c r="DI2448" s="717"/>
      <c r="DJ2448" s="717"/>
      <c r="DM2448" s="711"/>
      <c r="DN2448" s="711"/>
      <c r="DO2448" s="711"/>
      <c r="DP2448" s="711"/>
      <c r="DQ2448" s="711"/>
    </row>
    <row r="2449" spans="13:121" s="709" customFormat="1" hidden="1">
      <c r="M2449" s="710"/>
      <c r="P2449" s="711"/>
      <c r="Q2449" s="712"/>
      <c r="U2449" s="711"/>
      <c r="V2449" s="711"/>
      <c r="W2449" s="711"/>
      <c r="X2449" s="711"/>
      <c r="Y2449" s="711"/>
      <c r="Z2449" s="711"/>
      <c r="AU2449" s="713"/>
      <c r="AW2449" s="712"/>
      <c r="BY2449" s="714"/>
      <c r="BZ2449" s="715"/>
      <c r="CA2449" s="716"/>
      <c r="CB2449" s="717"/>
      <c r="CC2449" s="717"/>
      <c r="CD2449" s="717"/>
      <c r="CE2449" s="717"/>
      <c r="CF2449" s="717"/>
      <c r="CG2449" s="717"/>
      <c r="CH2449" s="717"/>
      <c r="CI2449" s="717"/>
      <c r="CJ2449" s="717"/>
      <c r="CK2449" s="717"/>
      <c r="CL2449" s="717"/>
      <c r="CM2449" s="717"/>
      <c r="CN2449" s="717"/>
      <c r="CO2449" s="717"/>
      <c r="CP2449" s="717"/>
      <c r="CQ2449" s="717"/>
      <c r="CR2449" s="717"/>
      <c r="CS2449" s="717"/>
      <c r="CT2449" s="717"/>
      <c r="CU2449" s="717"/>
      <c r="CV2449" s="717"/>
      <c r="CW2449" s="717"/>
      <c r="CX2449" s="717"/>
      <c r="CY2449" s="717"/>
      <c r="CZ2449" s="717"/>
      <c r="DA2449" s="717"/>
      <c r="DB2449" s="717"/>
      <c r="DC2449" s="717"/>
      <c r="DD2449" s="717"/>
      <c r="DE2449" s="717"/>
      <c r="DF2449" s="717"/>
      <c r="DG2449" s="717"/>
      <c r="DH2449" s="717"/>
      <c r="DI2449" s="717"/>
      <c r="DJ2449" s="717"/>
      <c r="DM2449" s="711"/>
      <c r="DN2449" s="711"/>
      <c r="DO2449" s="711"/>
      <c r="DP2449" s="711"/>
      <c r="DQ2449" s="711"/>
    </row>
    <row r="2450" spans="13:121" s="709" customFormat="1" hidden="1">
      <c r="M2450" s="710"/>
      <c r="P2450" s="711"/>
      <c r="Q2450" s="712"/>
      <c r="U2450" s="711"/>
      <c r="V2450" s="711"/>
      <c r="W2450" s="711"/>
      <c r="X2450" s="711"/>
      <c r="Y2450" s="711"/>
      <c r="Z2450" s="711"/>
      <c r="AU2450" s="713"/>
      <c r="AW2450" s="712"/>
      <c r="BY2450" s="714"/>
      <c r="BZ2450" s="715"/>
      <c r="CA2450" s="716"/>
      <c r="CB2450" s="717"/>
      <c r="CC2450" s="717"/>
      <c r="CD2450" s="717"/>
      <c r="CE2450" s="717"/>
      <c r="CF2450" s="717"/>
      <c r="CG2450" s="717"/>
      <c r="CH2450" s="717"/>
      <c r="CI2450" s="717"/>
      <c r="CJ2450" s="717"/>
      <c r="CK2450" s="717"/>
      <c r="CL2450" s="717"/>
      <c r="CM2450" s="717"/>
      <c r="CN2450" s="717"/>
      <c r="CO2450" s="717"/>
      <c r="CP2450" s="717"/>
      <c r="CQ2450" s="717"/>
      <c r="CR2450" s="717"/>
      <c r="CS2450" s="717"/>
      <c r="CT2450" s="717"/>
      <c r="CU2450" s="717"/>
      <c r="CV2450" s="717"/>
      <c r="CW2450" s="717"/>
      <c r="CX2450" s="717"/>
      <c r="CY2450" s="717"/>
      <c r="CZ2450" s="717"/>
      <c r="DA2450" s="717"/>
      <c r="DB2450" s="717"/>
      <c r="DC2450" s="717"/>
      <c r="DD2450" s="717"/>
      <c r="DE2450" s="717"/>
      <c r="DF2450" s="717"/>
      <c r="DG2450" s="717"/>
      <c r="DH2450" s="717"/>
      <c r="DI2450" s="717"/>
      <c r="DJ2450" s="717"/>
      <c r="DM2450" s="711"/>
      <c r="DN2450" s="711"/>
      <c r="DO2450" s="711"/>
      <c r="DP2450" s="711"/>
      <c r="DQ2450" s="711"/>
    </row>
    <row r="2451" spans="13:121" s="709" customFormat="1" hidden="1">
      <c r="M2451" s="710"/>
      <c r="P2451" s="711"/>
      <c r="Q2451" s="712"/>
      <c r="U2451" s="711"/>
      <c r="V2451" s="711"/>
      <c r="W2451" s="711"/>
      <c r="X2451" s="711"/>
      <c r="Y2451" s="711"/>
      <c r="Z2451" s="711"/>
      <c r="AU2451" s="713"/>
      <c r="AW2451" s="712"/>
      <c r="BY2451" s="714"/>
      <c r="BZ2451" s="715"/>
      <c r="CA2451" s="716"/>
      <c r="CB2451" s="717"/>
      <c r="CC2451" s="717"/>
      <c r="CD2451" s="717"/>
      <c r="CE2451" s="717"/>
      <c r="CF2451" s="717"/>
      <c r="CG2451" s="717"/>
      <c r="CH2451" s="717"/>
      <c r="CI2451" s="717"/>
      <c r="CJ2451" s="717"/>
      <c r="CK2451" s="717"/>
      <c r="CL2451" s="717"/>
      <c r="CM2451" s="717"/>
      <c r="CN2451" s="717"/>
      <c r="CO2451" s="717"/>
      <c r="CP2451" s="717"/>
      <c r="CQ2451" s="717"/>
      <c r="CR2451" s="717"/>
      <c r="CS2451" s="717"/>
      <c r="CT2451" s="717"/>
      <c r="CU2451" s="717"/>
      <c r="CV2451" s="717"/>
      <c r="CW2451" s="717"/>
      <c r="CX2451" s="717"/>
      <c r="CY2451" s="717"/>
      <c r="CZ2451" s="717"/>
      <c r="DA2451" s="717"/>
      <c r="DB2451" s="717"/>
      <c r="DC2451" s="717"/>
      <c r="DD2451" s="717"/>
      <c r="DE2451" s="717"/>
      <c r="DF2451" s="717"/>
      <c r="DG2451" s="717"/>
      <c r="DH2451" s="717"/>
      <c r="DI2451" s="717"/>
      <c r="DJ2451" s="717"/>
      <c r="DM2451" s="711"/>
      <c r="DN2451" s="711"/>
      <c r="DO2451" s="711"/>
      <c r="DP2451" s="711"/>
      <c r="DQ2451" s="711"/>
    </row>
    <row r="2452" spans="13:121" s="709" customFormat="1" hidden="1">
      <c r="M2452" s="710"/>
      <c r="P2452" s="711"/>
      <c r="Q2452" s="712"/>
      <c r="U2452" s="711"/>
      <c r="V2452" s="711"/>
      <c r="W2452" s="711"/>
      <c r="X2452" s="711"/>
      <c r="Y2452" s="711"/>
      <c r="Z2452" s="711"/>
      <c r="AU2452" s="713"/>
      <c r="AW2452" s="712"/>
      <c r="BY2452" s="714"/>
      <c r="BZ2452" s="715"/>
      <c r="CA2452" s="716"/>
      <c r="CB2452" s="717"/>
      <c r="CC2452" s="717"/>
      <c r="CD2452" s="717"/>
      <c r="CE2452" s="717"/>
      <c r="CF2452" s="717"/>
      <c r="CG2452" s="717"/>
      <c r="CH2452" s="717"/>
      <c r="CI2452" s="717"/>
      <c r="CJ2452" s="717"/>
      <c r="CK2452" s="717"/>
      <c r="CL2452" s="717"/>
      <c r="CM2452" s="717"/>
      <c r="CN2452" s="717"/>
      <c r="CO2452" s="717"/>
      <c r="CP2452" s="717"/>
      <c r="CQ2452" s="717"/>
      <c r="CR2452" s="717"/>
      <c r="CS2452" s="717"/>
      <c r="CT2452" s="717"/>
      <c r="CU2452" s="717"/>
      <c r="CV2452" s="717"/>
      <c r="CW2452" s="717"/>
      <c r="CX2452" s="717"/>
      <c r="CY2452" s="717"/>
      <c r="CZ2452" s="717"/>
      <c r="DA2452" s="717"/>
      <c r="DB2452" s="717"/>
      <c r="DC2452" s="717"/>
      <c r="DD2452" s="717"/>
      <c r="DE2452" s="717"/>
      <c r="DF2452" s="717"/>
      <c r="DG2452" s="717"/>
      <c r="DH2452" s="717"/>
      <c r="DI2452" s="717"/>
      <c r="DJ2452" s="717"/>
      <c r="DM2452" s="711"/>
      <c r="DN2452" s="711"/>
      <c r="DO2452" s="711"/>
      <c r="DP2452" s="711"/>
      <c r="DQ2452" s="711"/>
    </row>
    <row r="2453" spans="13:121" s="709" customFormat="1" hidden="1">
      <c r="M2453" s="710"/>
      <c r="P2453" s="711"/>
      <c r="Q2453" s="712"/>
      <c r="U2453" s="711"/>
      <c r="V2453" s="711"/>
      <c r="W2453" s="711"/>
      <c r="X2453" s="711"/>
      <c r="Y2453" s="711"/>
      <c r="Z2453" s="711"/>
      <c r="AU2453" s="713"/>
      <c r="AW2453" s="712"/>
      <c r="BY2453" s="714"/>
      <c r="BZ2453" s="715"/>
      <c r="CA2453" s="716"/>
      <c r="CB2453" s="717"/>
      <c r="CC2453" s="717"/>
      <c r="CD2453" s="717"/>
      <c r="CE2453" s="717"/>
      <c r="CF2453" s="717"/>
      <c r="CG2453" s="717"/>
      <c r="CH2453" s="717"/>
      <c r="CI2453" s="717"/>
      <c r="CJ2453" s="717"/>
      <c r="CK2453" s="717"/>
      <c r="CL2453" s="717"/>
      <c r="CM2453" s="717"/>
      <c r="CN2453" s="717"/>
      <c r="CO2453" s="717"/>
      <c r="CP2453" s="717"/>
      <c r="CQ2453" s="717"/>
      <c r="CR2453" s="717"/>
      <c r="CS2453" s="717"/>
      <c r="CT2453" s="717"/>
      <c r="CU2453" s="717"/>
      <c r="CV2453" s="717"/>
      <c r="CW2453" s="717"/>
      <c r="CX2453" s="717"/>
      <c r="CY2453" s="717"/>
      <c r="CZ2453" s="717"/>
      <c r="DA2453" s="717"/>
      <c r="DB2453" s="717"/>
      <c r="DC2453" s="717"/>
      <c r="DD2453" s="717"/>
      <c r="DE2453" s="717"/>
      <c r="DF2453" s="717"/>
      <c r="DG2453" s="717"/>
      <c r="DH2453" s="717"/>
      <c r="DI2453" s="717"/>
      <c r="DJ2453" s="717"/>
      <c r="DM2453" s="711"/>
      <c r="DN2453" s="711"/>
      <c r="DO2453" s="711"/>
      <c r="DP2453" s="711"/>
      <c r="DQ2453" s="711"/>
    </row>
    <row r="2454" spans="13:121" s="709" customFormat="1" hidden="1">
      <c r="M2454" s="710"/>
      <c r="P2454" s="711"/>
      <c r="Q2454" s="712"/>
      <c r="U2454" s="711"/>
      <c r="V2454" s="711"/>
      <c r="W2454" s="711"/>
      <c r="X2454" s="711"/>
      <c r="Y2454" s="711"/>
      <c r="Z2454" s="711"/>
      <c r="AU2454" s="713"/>
      <c r="AW2454" s="712"/>
      <c r="BY2454" s="714"/>
      <c r="BZ2454" s="715"/>
      <c r="CA2454" s="716"/>
      <c r="CB2454" s="717"/>
      <c r="CC2454" s="717"/>
      <c r="CD2454" s="717"/>
      <c r="CE2454" s="717"/>
      <c r="CF2454" s="717"/>
      <c r="CG2454" s="717"/>
      <c r="CH2454" s="717"/>
      <c r="CI2454" s="717"/>
      <c r="CJ2454" s="717"/>
      <c r="CK2454" s="717"/>
      <c r="CL2454" s="717"/>
      <c r="CM2454" s="717"/>
      <c r="CN2454" s="717"/>
      <c r="CO2454" s="717"/>
      <c r="CP2454" s="717"/>
      <c r="CQ2454" s="717"/>
      <c r="CR2454" s="717"/>
      <c r="CS2454" s="717"/>
      <c r="CT2454" s="717"/>
      <c r="CU2454" s="717"/>
      <c r="CV2454" s="717"/>
      <c r="CW2454" s="717"/>
      <c r="CX2454" s="717"/>
      <c r="CY2454" s="717"/>
      <c r="CZ2454" s="717"/>
      <c r="DA2454" s="717"/>
      <c r="DB2454" s="717"/>
      <c r="DC2454" s="717"/>
      <c r="DD2454" s="717"/>
      <c r="DE2454" s="717"/>
      <c r="DF2454" s="717"/>
      <c r="DG2454" s="717"/>
      <c r="DH2454" s="717"/>
      <c r="DI2454" s="717"/>
      <c r="DJ2454" s="717"/>
      <c r="DM2454" s="711"/>
      <c r="DN2454" s="711"/>
      <c r="DO2454" s="711"/>
      <c r="DP2454" s="711"/>
      <c r="DQ2454" s="711"/>
    </row>
    <row r="2455" spans="13:121" s="709" customFormat="1" hidden="1">
      <c r="M2455" s="710"/>
      <c r="P2455" s="711"/>
      <c r="Q2455" s="712"/>
      <c r="U2455" s="711"/>
      <c r="V2455" s="711"/>
      <c r="W2455" s="711"/>
      <c r="X2455" s="711"/>
      <c r="Y2455" s="711"/>
      <c r="Z2455" s="711"/>
      <c r="AU2455" s="713"/>
      <c r="AW2455" s="712"/>
      <c r="BY2455" s="714"/>
      <c r="BZ2455" s="715"/>
      <c r="CA2455" s="716"/>
      <c r="CB2455" s="717"/>
      <c r="CC2455" s="717"/>
      <c r="CD2455" s="717"/>
      <c r="CE2455" s="717"/>
      <c r="CF2455" s="717"/>
      <c r="CG2455" s="717"/>
      <c r="CH2455" s="717"/>
      <c r="CI2455" s="717"/>
      <c r="CJ2455" s="717"/>
      <c r="CK2455" s="717"/>
      <c r="CL2455" s="717"/>
      <c r="CM2455" s="717"/>
      <c r="CN2455" s="717"/>
      <c r="CO2455" s="717"/>
      <c r="CP2455" s="717"/>
      <c r="CQ2455" s="717"/>
      <c r="CR2455" s="717"/>
      <c r="CS2455" s="717"/>
      <c r="CT2455" s="717"/>
      <c r="CU2455" s="717"/>
      <c r="CV2455" s="717"/>
      <c r="CW2455" s="717"/>
      <c r="CX2455" s="717"/>
      <c r="CY2455" s="717"/>
      <c r="CZ2455" s="717"/>
      <c r="DA2455" s="717"/>
      <c r="DB2455" s="717"/>
      <c r="DC2455" s="717"/>
      <c r="DD2455" s="717"/>
      <c r="DE2455" s="717"/>
      <c r="DF2455" s="717"/>
      <c r="DG2455" s="717"/>
      <c r="DH2455" s="717"/>
      <c r="DI2455" s="717"/>
      <c r="DJ2455" s="717"/>
      <c r="DM2455" s="711"/>
      <c r="DN2455" s="711"/>
      <c r="DO2455" s="711"/>
      <c r="DP2455" s="711"/>
      <c r="DQ2455" s="711"/>
    </row>
    <row r="2456" spans="13:121" s="709" customFormat="1" hidden="1">
      <c r="M2456" s="710"/>
      <c r="P2456" s="711"/>
      <c r="Q2456" s="712"/>
      <c r="U2456" s="711"/>
      <c r="V2456" s="711"/>
      <c r="W2456" s="711"/>
      <c r="X2456" s="711"/>
      <c r="Y2456" s="711"/>
      <c r="Z2456" s="711"/>
      <c r="AU2456" s="713"/>
      <c r="AW2456" s="712"/>
      <c r="BY2456" s="714"/>
      <c r="BZ2456" s="715"/>
      <c r="CA2456" s="716"/>
      <c r="CB2456" s="717"/>
      <c r="CC2456" s="717"/>
      <c r="CD2456" s="717"/>
      <c r="CE2456" s="717"/>
      <c r="CF2456" s="717"/>
      <c r="CG2456" s="717"/>
      <c r="CH2456" s="717"/>
      <c r="CI2456" s="717"/>
      <c r="CJ2456" s="717"/>
      <c r="CK2456" s="717"/>
      <c r="CL2456" s="717"/>
      <c r="CM2456" s="717"/>
      <c r="CN2456" s="717"/>
      <c r="CO2456" s="717"/>
      <c r="CP2456" s="717"/>
      <c r="CQ2456" s="717"/>
      <c r="CR2456" s="717"/>
      <c r="CS2456" s="717"/>
      <c r="CT2456" s="717"/>
      <c r="CU2456" s="717"/>
      <c r="CV2456" s="717"/>
      <c r="CW2456" s="717"/>
      <c r="CX2456" s="717"/>
      <c r="CY2456" s="717"/>
      <c r="CZ2456" s="717"/>
      <c r="DA2456" s="717"/>
      <c r="DB2456" s="717"/>
      <c r="DC2456" s="717"/>
      <c r="DD2456" s="717"/>
      <c r="DE2456" s="717"/>
      <c r="DF2456" s="717"/>
      <c r="DG2456" s="717"/>
      <c r="DH2456" s="717"/>
      <c r="DI2456" s="717"/>
      <c r="DJ2456" s="717"/>
      <c r="DM2456" s="711"/>
      <c r="DN2456" s="711"/>
      <c r="DO2456" s="711"/>
      <c r="DP2456" s="711"/>
      <c r="DQ2456" s="711"/>
    </row>
    <row r="2457" spans="13:121" s="709" customFormat="1" hidden="1">
      <c r="M2457" s="710"/>
      <c r="P2457" s="711"/>
      <c r="Q2457" s="712"/>
      <c r="U2457" s="711"/>
      <c r="V2457" s="711"/>
      <c r="W2457" s="711"/>
      <c r="X2457" s="711"/>
      <c r="Y2457" s="711"/>
      <c r="Z2457" s="711"/>
      <c r="AU2457" s="713"/>
      <c r="AW2457" s="712"/>
      <c r="BY2457" s="714"/>
      <c r="BZ2457" s="715"/>
      <c r="CA2457" s="716"/>
      <c r="CB2457" s="717"/>
      <c r="CC2457" s="717"/>
      <c r="CD2457" s="717"/>
      <c r="CE2457" s="717"/>
      <c r="CF2457" s="717"/>
      <c r="CG2457" s="717"/>
      <c r="CH2457" s="717"/>
      <c r="CI2457" s="717"/>
      <c r="CJ2457" s="717"/>
      <c r="CK2457" s="717"/>
      <c r="CL2457" s="717"/>
      <c r="CM2457" s="717"/>
      <c r="CN2457" s="717"/>
      <c r="CO2457" s="717"/>
      <c r="CP2457" s="717"/>
      <c r="CQ2457" s="717"/>
      <c r="CR2457" s="717"/>
      <c r="CS2457" s="717"/>
      <c r="CT2457" s="717"/>
      <c r="CU2457" s="717"/>
      <c r="CV2457" s="717"/>
      <c r="CW2457" s="717"/>
      <c r="CX2457" s="717"/>
      <c r="CY2457" s="717"/>
      <c r="CZ2457" s="717"/>
      <c r="DA2457" s="717"/>
      <c r="DB2457" s="717"/>
      <c r="DC2457" s="717"/>
      <c r="DD2457" s="717"/>
      <c r="DE2457" s="717"/>
      <c r="DF2457" s="717"/>
      <c r="DG2457" s="717"/>
      <c r="DH2457" s="717"/>
      <c r="DI2457" s="717"/>
      <c r="DJ2457" s="717"/>
      <c r="DM2457" s="711"/>
      <c r="DN2457" s="711"/>
      <c r="DO2457" s="711"/>
      <c r="DP2457" s="711"/>
      <c r="DQ2457" s="711"/>
    </row>
    <row r="2458" spans="13:121" s="709" customFormat="1" hidden="1">
      <c r="M2458" s="710"/>
      <c r="P2458" s="711"/>
      <c r="Q2458" s="712"/>
      <c r="U2458" s="711"/>
      <c r="V2458" s="711"/>
      <c r="W2458" s="711"/>
      <c r="X2458" s="711"/>
      <c r="Y2458" s="711"/>
      <c r="Z2458" s="711"/>
      <c r="AU2458" s="713"/>
      <c r="AW2458" s="712"/>
      <c r="BY2458" s="714"/>
      <c r="BZ2458" s="715"/>
      <c r="CA2458" s="716"/>
      <c r="CB2458" s="717"/>
      <c r="CC2458" s="717"/>
      <c r="CD2458" s="717"/>
      <c r="CE2458" s="717"/>
      <c r="CF2458" s="717"/>
      <c r="CG2458" s="717"/>
      <c r="CH2458" s="717"/>
      <c r="CI2458" s="717"/>
      <c r="CJ2458" s="717"/>
      <c r="CK2458" s="717"/>
      <c r="CL2458" s="717"/>
      <c r="CM2458" s="717"/>
      <c r="CN2458" s="717"/>
      <c r="CO2458" s="717"/>
      <c r="CP2458" s="717"/>
      <c r="CQ2458" s="717"/>
      <c r="CR2458" s="717"/>
      <c r="CS2458" s="717"/>
      <c r="CT2458" s="717"/>
      <c r="CU2458" s="717"/>
      <c r="CV2458" s="717"/>
      <c r="CW2458" s="717"/>
      <c r="CX2458" s="717"/>
      <c r="CY2458" s="717"/>
      <c r="CZ2458" s="717"/>
      <c r="DA2458" s="717"/>
      <c r="DB2458" s="717"/>
      <c r="DC2458" s="717"/>
      <c r="DD2458" s="717"/>
      <c r="DE2458" s="717"/>
      <c r="DF2458" s="717"/>
      <c r="DG2458" s="717"/>
      <c r="DH2458" s="717"/>
      <c r="DI2458" s="717"/>
      <c r="DJ2458" s="717"/>
      <c r="DM2458" s="711"/>
      <c r="DN2458" s="711"/>
      <c r="DO2458" s="711"/>
      <c r="DP2458" s="711"/>
      <c r="DQ2458" s="711"/>
    </row>
    <row r="2459" spans="13:121" s="709" customFormat="1" hidden="1">
      <c r="M2459" s="710"/>
      <c r="P2459" s="711"/>
      <c r="Q2459" s="712"/>
      <c r="U2459" s="711"/>
      <c r="V2459" s="711"/>
      <c r="W2459" s="711"/>
      <c r="X2459" s="711"/>
      <c r="Y2459" s="711"/>
      <c r="Z2459" s="711"/>
      <c r="AU2459" s="713"/>
      <c r="AW2459" s="712"/>
      <c r="BY2459" s="714"/>
      <c r="BZ2459" s="715"/>
      <c r="CA2459" s="716"/>
      <c r="CB2459" s="717"/>
      <c r="CC2459" s="717"/>
      <c r="CD2459" s="717"/>
      <c r="CE2459" s="717"/>
      <c r="CF2459" s="717"/>
      <c r="CG2459" s="717"/>
      <c r="CH2459" s="717"/>
      <c r="CI2459" s="717"/>
      <c r="CJ2459" s="717"/>
      <c r="CK2459" s="717"/>
      <c r="CL2459" s="717"/>
      <c r="CM2459" s="717"/>
      <c r="CN2459" s="717"/>
      <c r="CO2459" s="717"/>
      <c r="CP2459" s="717"/>
      <c r="CQ2459" s="717"/>
      <c r="CR2459" s="717"/>
      <c r="CS2459" s="717"/>
      <c r="CT2459" s="717"/>
      <c r="CU2459" s="717"/>
      <c r="CV2459" s="717"/>
      <c r="CW2459" s="717"/>
      <c r="CX2459" s="717"/>
      <c r="CY2459" s="717"/>
      <c r="CZ2459" s="717"/>
      <c r="DA2459" s="717"/>
      <c r="DB2459" s="717"/>
      <c r="DC2459" s="717"/>
      <c r="DD2459" s="717"/>
      <c r="DE2459" s="717"/>
      <c r="DF2459" s="717"/>
      <c r="DG2459" s="717"/>
      <c r="DH2459" s="717"/>
      <c r="DI2459" s="717"/>
      <c r="DJ2459" s="717"/>
      <c r="DM2459" s="711"/>
      <c r="DN2459" s="711"/>
      <c r="DO2459" s="711"/>
      <c r="DP2459" s="711"/>
      <c r="DQ2459" s="711"/>
    </row>
    <row r="2460" spans="13:121" s="709" customFormat="1" hidden="1">
      <c r="M2460" s="710"/>
      <c r="P2460" s="711"/>
      <c r="Q2460" s="712"/>
      <c r="U2460" s="711"/>
      <c r="V2460" s="711"/>
      <c r="W2460" s="711"/>
      <c r="X2460" s="711"/>
      <c r="Y2460" s="711"/>
      <c r="Z2460" s="711"/>
      <c r="AU2460" s="713"/>
      <c r="AW2460" s="712"/>
      <c r="BY2460" s="714"/>
      <c r="BZ2460" s="715"/>
      <c r="CA2460" s="716"/>
      <c r="CB2460" s="717"/>
      <c r="CC2460" s="717"/>
      <c r="CD2460" s="717"/>
      <c r="CE2460" s="717"/>
      <c r="CF2460" s="717"/>
      <c r="CG2460" s="717"/>
      <c r="CH2460" s="717"/>
      <c r="CI2460" s="717"/>
      <c r="CJ2460" s="717"/>
      <c r="CK2460" s="717"/>
      <c r="CL2460" s="717"/>
      <c r="CM2460" s="717"/>
      <c r="CN2460" s="717"/>
      <c r="CO2460" s="717"/>
      <c r="CP2460" s="717"/>
      <c r="CQ2460" s="717"/>
      <c r="CR2460" s="717"/>
      <c r="CS2460" s="717"/>
      <c r="CT2460" s="717"/>
      <c r="CU2460" s="717"/>
      <c r="CV2460" s="717"/>
      <c r="CW2460" s="717"/>
      <c r="CX2460" s="717"/>
      <c r="CY2460" s="717"/>
      <c r="CZ2460" s="717"/>
      <c r="DA2460" s="717"/>
      <c r="DB2460" s="717"/>
      <c r="DC2460" s="717"/>
      <c r="DD2460" s="717"/>
      <c r="DE2460" s="717"/>
      <c r="DF2460" s="717"/>
      <c r="DG2460" s="717"/>
      <c r="DH2460" s="717"/>
      <c r="DI2460" s="717"/>
      <c r="DJ2460" s="717"/>
      <c r="DM2460" s="711"/>
      <c r="DN2460" s="711"/>
      <c r="DO2460" s="711"/>
      <c r="DP2460" s="711"/>
      <c r="DQ2460" s="711"/>
    </row>
    <row r="2461" spans="13:121" s="709" customFormat="1" hidden="1">
      <c r="M2461" s="710"/>
      <c r="P2461" s="711"/>
      <c r="Q2461" s="712"/>
      <c r="U2461" s="711"/>
      <c r="V2461" s="711"/>
      <c r="W2461" s="711"/>
      <c r="X2461" s="711"/>
      <c r="Y2461" s="711"/>
      <c r="Z2461" s="711"/>
      <c r="AU2461" s="713"/>
      <c r="AW2461" s="712"/>
      <c r="BY2461" s="714"/>
      <c r="BZ2461" s="715"/>
      <c r="CA2461" s="716"/>
      <c r="CB2461" s="717"/>
      <c r="CC2461" s="717"/>
      <c r="CD2461" s="717"/>
      <c r="CE2461" s="717"/>
      <c r="CF2461" s="717"/>
      <c r="CG2461" s="717"/>
      <c r="CH2461" s="717"/>
      <c r="CI2461" s="717"/>
      <c r="CJ2461" s="717"/>
      <c r="CK2461" s="717"/>
      <c r="CL2461" s="717"/>
      <c r="CM2461" s="717"/>
      <c r="CN2461" s="717"/>
      <c r="CO2461" s="717"/>
      <c r="CP2461" s="717"/>
      <c r="CQ2461" s="717"/>
      <c r="CR2461" s="717"/>
      <c r="CS2461" s="717"/>
      <c r="CT2461" s="717"/>
      <c r="CU2461" s="717"/>
      <c r="CV2461" s="717"/>
      <c r="CW2461" s="717"/>
      <c r="CX2461" s="717"/>
      <c r="CY2461" s="717"/>
      <c r="CZ2461" s="717"/>
      <c r="DA2461" s="717"/>
      <c r="DB2461" s="717"/>
      <c r="DC2461" s="717"/>
      <c r="DD2461" s="717"/>
      <c r="DE2461" s="717"/>
      <c r="DF2461" s="717"/>
      <c r="DG2461" s="717"/>
      <c r="DH2461" s="717"/>
      <c r="DI2461" s="717"/>
      <c r="DJ2461" s="717"/>
      <c r="DM2461" s="711"/>
      <c r="DN2461" s="711"/>
      <c r="DO2461" s="711"/>
      <c r="DP2461" s="711"/>
      <c r="DQ2461" s="711"/>
    </row>
    <row r="2462" spans="13:121" s="709" customFormat="1" hidden="1">
      <c r="M2462" s="710"/>
      <c r="P2462" s="711"/>
      <c r="Q2462" s="712"/>
      <c r="U2462" s="711"/>
      <c r="V2462" s="711"/>
      <c r="W2462" s="711"/>
      <c r="X2462" s="711"/>
      <c r="Y2462" s="711"/>
      <c r="Z2462" s="711"/>
      <c r="AU2462" s="713"/>
      <c r="AW2462" s="712"/>
      <c r="BY2462" s="714"/>
      <c r="BZ2462" s="715"/>
      <c r="CA2462" s="716"/>
      <c r="CB2462" s="717"/>
      <c r="CC2462" s="717"/>
      <c r="CD2462" s="717"/>
      <c r="CE2462" s="717"/>
      <c r="CF2462" s="717"/>
      <c r="CG2462" s="717"/>
      <c r="CH2462" s="717"/>
      <c r="CI2462" s="717"/>
      <c r="CJ2462" s="717"/>
      <c r="CK2462" s="717"/>
      <c r="CL2462" s="717"/>
      <c r="CM2462" s="717"/>
      <c r="CN2462" s="717"/>
      <c r="CO2462" s="717"/>
      <c r="CP2462" s="717"/>
      <c r="CQ2462" s="717"/>
      <c r="CR2462" s="717"/>
      <c r="CS2462" s="717"/>
      <c r="CT2462" s="717"/>
      <c r="CU2462" s="717"/>
      <c r="CV2462" s="717"/>
      <c r="CW2462" s="717"/>
      <c r="CX2462" s="717"/>
      <c r="CY2462" s="717"/>
      <c r="CZ2462" s="717"/>
      <c r="DA2462" s="717"/>
      <c r="DB2462" s="717"/>
      <c r="DC2462" s="717"/>
      <c r="DD2462" s="717"/>
      <c r="DE2462" s="717"/>
      <c r="DF2462" s="717"/>
      <c r="DG2462" s="717"/>
      <c r="DH2462" s="717"/>
      <c r="DI2462" s="717"/>
      <c r="DJ2462" s="717"/>
      <c r="DM2462" s="711"/>
      <c r="DN2462" s="711"/>
      <c r="DO2462" s="711"/>
      <c r="DP2462" s="711"/>
      <c r="DQ2462" s="711"/>
    </row>
    <row r="2463" spans="13:121" s="709" customFormat="1" hidden="1">
      <c r="M2463" s="710"/>
      <c r="P2463" s="711"/>
      <c r="Q2463" s="712"/>
      <c r="U2463" s="711"/>
      <c r="V2463" s="711"/>
      <c r="W2463" s="711"/>
      <c r="X2463" s="711"/>
      <c r="Y2463" s="711"/>
      <c r="Z2463" s="711"/>
      <c r="AU2463" s="713"/>
      <c r="AW2463" s="712"/>
      <c r="BY2463" s="714"/>
      <c r="BZ2463" s="715"/>
      <c r="CA2463" s="716"/>
      <c r="CB2463" s="717"/>
      <c r="CC2463" s="717"/>
      <c r="CD2463" s="717"/>
      <c r="CE2463" s="717"/>
      <c r="CF2463" s="717"/>
      <c r="CG2463" s="717"/>
      <c r="CH2463" s="717"/>
      <c r="CI2463" s="717"/>
      <c r="CJ2463" s="717"/>
      <c r="CK2463" s="717"/>
      <c r="CL2463" s="717"/>
      <c r="CM2463" s="717"/>
      <c r="CN2463" s="717"/>
      <c r="CO2463" s="717"/>
      <c r="CP2463" s="717"/>
      <c r="CQ2463" s="717"/>
      <c r="CR2463" s="717"/>
      <c r="CS2463" s="717"/>
      <c r="CT2463" s="717"/>
      <c r="CU2463" s="717"/>
      <c r="CV2463" s="717"/>
      <c r="CW2463" s="717"/>
      <c r="CX2463" s="717"/>
      <c r="CY2463" s="717"/>
      <c r="CZ2463" s="717"/>
      <c r="DA2463" s="717"/>
      <c r="DB2463" s="717"/>
      <c r="DC2463" s="717"/>
      <c r="DD2463" s="717"/>
      <c r="DE2463" s="717"/>
      <c r="DF2463" s="717"/>
      <c r="DG2463" s="717"/>
      <c r="DH2463" s="717"/>
      <c r="DI2463" s="717"/>
      <c r="DJ2463" s="717"/>
      <c r="DM2463" s="711"/>
      <c r="DN2463" s="711"/>
      <c r="DO2463" s="711"/>
      <c r="DP2463" s="711"/>
      <c r="DQ2463" s="711"/>
    </row>
    <row r="2464" spans="13:121" s="709" customFormat="1" hidden="1">
      <c r="M2464" s="710"/>
      <c r="P2464" s="711"/>
      <c r="Q2464" s="712"/>
      <c r="U2464" s="711"/>
      <c r="V2464" s="711"/>
      <c r="W2464" s="711"/>
      <c r="X2464" s="711"/>
      <c r="Y2464" s="711"/>
      <c r="Z2464" s="711"/>
      <c r="AU2464" s="713"/>
      <c r="AW2464" s="712"/>
      <c r="BY2464" s="714"/>
      <c r="BZ2464" s="715"/>
      <c r="CA2464" s="716"/>
      <c r="CB2464" s="717"/>
      <c r="CC2464" s="717"/>
      <c r="CD2464" s="717"/>
      <c r="CE2464" s="717"/>
      <c r="CF2464" s="717"/>
      <c r="CG2464" s="717"/>
      <c r="CH2464" s="717"/>
      <c r="CI2464" s="717"/>
      <c r="CJ2464" s="717"/>
      <c r="CK2464" s="717"/>
      <c r="CL2464" s="717"/>
      <c r="CM2464" s="717"/>
      <c r="CN2464" s="717"/>
      <c r="CO2464" s="717"/>
      <c r="CP2464" s="717"/>
      <c r="CQ2464" s="717"/>
      <c r="CR2464" s="717"/>
      <c r="CS2464" s="717"/>
      <c r="CT2464" s="717"/>
      <c r="CU2464" s="717"/>
      <c r="CV2464" s="717"/>
      <c r="CW2464" s="717"/>
      <c r="CX2464" s="717"/>
      <c r="CY2464" s="717"/>
      <c r="CZ2464" s="717"/>
      <c r="DA2464" s="717"/>
      <c r="DB2464" s="717"/>
      <c r="DC2464" s="717"/>
      <c r="DD2464" s="717"/>
      <c r="DE2464" s="717"/>
      <c r="DF2464" s="717"/>
      <c r="DG2464" s="717"/>
      <c r="DH2464" s="717"/>
      <c r="DI2464" s="717"/>
      <c r="DJ2464" s="717"/>
      <c r="DM2464" s="711"/>
      <c r="DN2464" s="711"/>
      <c r="DO2464" s="711"/>
      <c r="DP2464" s="711"/>
      <c r="DQ2464" s="711"/>
    </row>
    <row r="2465" spans="13:121" s="709" customFormat="1" hidden="1">
      <c r="M2465" s="710"/>
      <c r="P2465" s="711"/>
      <c r="Q2465" s="712"/>
      <c r="U2465" s="711"/>
      <c r="V2465" s="711"/>
      <c r="W2465" s="711"/>
      <c r="X2465" s="711"/>
      <c r="Y2465" s="711"/>
      <c r="Z2465" s="711"/>
      <c r="AU2465" s="713"/>
      <c r="AW2465" s="712"/>
      <c r="BY2465" s="714"/>
      <c r="BZ2465" s="715"/>
      <c r="CA2465" s="716"/>
      <c r="CB2465" s="717"/>
      <c r="CC2465" s="717"/>
      <c r="CD2465" s="717"/>
      <c r="CE2465" s="717"/>
      <c r="CF2465" s="717"/>
      <c r="CG2465" s="717"/>
      <c r="CH2465" s="717"/>
      <c r="CI2465" s="717"/>
      <c r="CJ2465" s="717"/>
      <c r="CK2465" s="717"/>
      <c r="CL2465" s="717"/>
      <c r="CM2465" s="717"/>
      <c r="CN2465" s="717"/>
      <c r="CO2465" s="717"/>
      <c r="CP2465" s="717"/>
      <c r="CQ2465" s="717"/>
      <c r="CR2465" s="717"/>
      <c r="CS2465" s="717"/>
      <c r="CT2465" s="717"/>
      <c r="CU2465" s="717"/>
      <c r="CV2465" s="717"/>
      <c r="CW2465" s="717"/>
      <c r="CX2465" s="717"/>
      <c r="CY2465" s="717"/>
      <c r="CZ2465" s="717"/>
      <c r="DA2465" s="717"/>
      <c r="DB2465" s="717"/>
      <c r="DC2465" s="717"/>
      <c r="DD2465" s="717"/>
      <c r="DE2465" s="717"/>
      <c r="DF2465" s="717"/>
      <c r="DG2465" s="717"/>
      <c r="DH2465" s="717"/>
      <c r="DI2465" s="717"/>
      <c r="DJ2465" s="717"/>
      <c r="DM2465" s="711"/>
      <c r="DN2465" s="711"/>
      <c r="DO2465" s="711"/>
      <c r="DP2465" s="711"/>
      <c r="DQ2465" s="711"/>
    </row>
    <row r="2466" spans="13:121" s="709" customFormat="1" hidden="1">
      <c r="M2466" s="710"/>
      <c r="P2466" s="711"/>
      <c r="Q2466" s="712"/>
      <c r="U2466" s="711"/>
      <c r="V2466" s="711"/>
      <c r="W2466" s="711"/>
      <c r="X2466" s="711"/>
      <c r="Y2466" s="711"/>
      <c r="Z2466" s="711"/>
      <c r="AU2466" s="713"/>
      <c r="AW2466" s="712"/>
      <c r="BY2466" s="714"/>
      <c r="BZ2466" s="715"/>
      <c r="CA2466" s="716"/>
      <c r="CB2466" s="717"/>
      <c r="CC2466" s="717"/>
      <c r="CD2466" s="717"/>
      <c r="CE2466" s="717"/>
      <c r="CF2466" s="717"/>
      <c r="CG2466" s="717"/>
      <c r="CH2466" s="717"/>
      <c r="CI2466" s="717"/>
      <c r="CJ2466" s="717"/>
      <c r="CK2466" s="717"/>
      <c r="CL2466" s="717"/>
      <c r="CM2466" s="717"/>
      <c r="CN2466" s="717"/>
      <c r="CO2466" s="717"/>
      <c r="CP2466" s="717"/>
      <c r="CQ2466" s="717"/>
      <c r="CR2466" s="717"/>
      <c r="CS2466" s="717"/>
      <c r="CT2466" s="717"/>
      <c r="CU2466" s="717"/>
      <c r="CV2466" s="717"/>
      <c r="CW2466" s="717"/>
      <c r="CX2466" s="717"/>
      <c r="CY2466" s="717"/>
      <c r="CZ2466" s="717"/>
      <c r="DA2466" s="717"/>
      <c r="DB2466" s="717"/>
      <c r="DC2466" s="717"/>
      <c r="DD2466" s="717"/>
      <c r="DE2466" s="717"/>
      <c r="DF2466" s="717"/>
      <c r="DG2466" s="717"/>
      <c r="DH2466" s="717"/>
      <c r="DI2466" s="717"/>
      <c r="DJ2466" s="717"/>
      <c r="DM2466" s="711"/>
      <c r="DN2466" s="711"/>
      <c r="DO2466" s="711"/>
      <c r="DP2466" s="711"/>
      <c r="DQ2466" s="711"/>
    </row>
    <row r="2467" spans="13:121" s="709" customFormat="1" hidden="1">
      <c r="M2467" s="710"/>
      <c r="P2467" s="711"/>
      <c r="Q2467" s="712"/>
      <c r="U2467" s="711"/>
      <c r="V2467" s="711"/>
      <c r="W2467" s="711"/>
      <c r="X2467" s="711"/>
      <c r="Y2467" s="711"/>
      <c r="Z2467" s="711"/>
      <c r="AU2467" s="713"/>
      <c r="AW2467" s="712"/>
      <c r="BY2467" s="714"/>
      <c r="BZ2467" s="715"/>
      <c r="CA2467" s="716"/>
      <c r="CB2467" s="717"/>
      <c r="CC2467" s="717"/>
      <c r="CD2467" s="717"/>
      <c r="CE2467" s="717"/>
      <c r="CF2467" s="717"/>
      <c r="CG2467" s="717"/>
      <c r="CH2467" s="717"/>
      <c r="CI2467" s="717"/>
      <c r="CJ2467" s="717"/>
      <c r="CK2467" s="717"/>
      <c r="CL2467" s="717"/>
      <c r="CM2467" s="717"/>
      <c r="CN2467" s="717"/>
      <c r="CO2467" s="717"/>
      <c r="CP2467" s="717"/>
      <c r="CQ2467" s="717"/>
      <c r="CR2467" s="717"/>
      <c r="CS2467" s="717"/>
      <c r="CT2467" s="717"/>
      <c r="CU2467" s="717"/>
      <c r="CV2467" s="717"/>
      <c r="CW2467" s="717"/>
      <c r="CX2467" s="717"/>
      <c r="CY2467" s="717"/>
      <c r="CZ2467" s="717"/>
      <c r="DA2467" s="717"/>
      <c r="DB2467" s="717"/>
      <c r="DC2467" s="717"/>
      <c r="DD2467" s="717"/>
      <c r="DE2467" s="717"/>
      <c r="DF2467" s="717"/>
      <c r="DG2467" s="717"/>
      <c r="DH2467" s="717"/>
      <c r="DI2467" s="717"/>
      <c r="DJ2467" s="717"/>
      <c r="DM2467" s="711"/>
      <c r="DN2467" s="711"/>
      <c r="DO2467" s="711"/>
      <c r="DP2467" s="711"/>
      <c r="DQ2467" s="711"/>
    </row>
    <row r="2468" spans="13:121" s="709" customFormat="1" hidden="1">
      <c r="M2468" s="710"/>
      <c r="P2468" s="711"/>
      <c r="Q2468" s="712"/>
      <c r="U2468" s="711"/>
      <c r="V2468" s="711"/>
      <c r="W2468" s="711"/>
      <c r="X2468" s="711"/>
      <c r="Y2468" s="711"/>
      <c r="Z2468" s="711"/>
      <c r="AU2468" s="713"/>
      <c r="AW2468" s="712"/>
      <c r="BY2468" s="714"/>
      <c r="BZ2468" s="715"/>
      <c r="CA2468" s="716"/>
      <c r="CB2468" s="717"/>
      <c r="CC2468" s="717"/>
      <c r="CD2468" s="717"/>
      <c r="CE2468" s="717"/>
      <c r="CF2468" s="717"/>
      <c r="CG2468" s="717"/>
      <c r="CH2468" s="717"/>
      <c r="CI2468" s="717"/>
      <c r="CJ2468" s="717"/>
      <c r="CK2468" s="717"/>
      <c r="CL2468" s="717"/>
      <c r="CM2468" s="717"/>
      <c r="CN2468" s="717"/>
      <c r="CO2468" s="717"/>
      <c r="CP2468" s="717"/>
      <c r="CQ2468" s="717"/>
      <c r="CR2468" s="717"/>
      <c r="CS2468" s="717"/>
      <c r="CT2468" s="717"/>
      <c r="CU2468" s="717"/>
      <c r="CV2468" s="717"/>
      <c r="CW2468" s="717"/>
      <c r="CX2468" s="717"/>
      <c r="CY2468" s="717"/>
      <c r="CZ2468" s="717"/>
      <c r="DA2468" s="717"/>
      <c r="DB2468" s="717"/>
      <c r="DC2468" s="717"/>
      <c r="DD2468" s="717"/>
      <c r="DE2468" s="717"/>
      <c r="DF2468" s="717"/>
      <c r="DG2468" s="717"/>
      <c r="DH2468" s="717"/>
      <c r="DI2468" s="717"/>
      <c r="DJ2468" s="717"/>
      <c r="DM2468" s="711"/>
      <c r="DN2468" s="711"/>
      <c r="DO2468" s="711"/>
      <c r="DP2468" s="711"/>
      <c r="DQ2468" s="711"/>
    </row>
    <row r="2469" spans="13:121" s="709" customFormat="1" hidden="1">
      <c r="M2469" s="710"/>
      <c r="P2469" s="711"/>
      <c r="Q2469" s="712"/>
      <c r="U2469" s="711"/>
      <c r="V2469" s="711"/>
      <c r="W2469" s="711"/>
      <c r="X2469" s="711"/>
      <c r="Y2469" s="711"/>
      <c r="Z2469" s="711"/>
      <c r="AU2469" s="713"/>
      <c r="AW2469" s="712"/>
      <c r="BY2469" s="714"/>
      <c r="BZ2469" s="715"/>
      <c r="CA2469" s="716"/>
      <c r="CB2469" s="717"/>
      <c r="CC2469" s="717"/>
      <c r="CD2469" s="717"/>
      <c r="CE2469" s="717"/>
      <c r="CF2469" s="717"/>
      <c r="CG2469" s="717"/>
      <c r="CH2469" s="717"/>
      <c r="CI2469" s="717"/>
      <c r="CJ2469" s="717"/>
      <c r="CK2469" s="717"/>
      <c r="CL2469" s="717"/>
      <c r="CM2469" s="717"/>
      <c r="CN2469" s="717"/>
      <c r="CO2469" s="717"/>
      <c r="CP2469" s="717"/>
      <c r="CQ2469" s="717"/>
      <c r="CR2469" s="717"/>
      <c r="CS2469" s="717"/>
      <c r="CT2469" s="717"/>
      <c r="CU2469" s="717"/>
      <c r="CV2469" s="717"/>
      <c r="CW2469" s="717"/>
      <c r="CX2469" s="717"/>
      <c r="CY2469" s="717"/>
      <c r="CZ2469" s="717"/>
      <c r="DA2469" s="717"/>
      <c r="DB2469" s="717"/>
      <c r="DC2469" s="717"/>
      <c r="DD2469" s="717"/>
      <c r="DE2469" s="717"/>
      <c r="DF2469" s="717"/>
      <c r="DG2469" s="717"/>
      <c r="DH2469" s="717"/>
      <c r="DI2469" s="717"/>
      <c r="DJ2469" s="717"/>
      <c r="DM2469" s="711"/>
      <c r="DN2469" s="711"/>
      <c r="DO2469" s="711"/>
      <c r="DP2469" s="711"/>
      <c r="DQ2469" s="711"/>
    </row>
    <row r="2470" spans="13:121" s="709" customFormat="1" hidden="1">
      <c r="M2470" s="710"/>
      <c r="P2470" s="711"/>
      <c r="Q2470" s="712"/>
      <c r="U2470" s="711"/>
      <c r="V2470" s="711"/>
      <c r="W2470" s="711"/>
      <c r="X2470" s="711"/>
      <c r="Y2470" s="711"/>
      <c r="Z2470" s="711"/>
      <c r="AU2470" s="713"/>
      <c r="AW2470" s="712"/>
      <c r="BY2470" s="714"/>
      <c r="BZ2470" s="715"/>
      <c r="CA2470" s="716"/>
      <c r="CB2470" s="717"/>
      <c r="CC2470" s="717"/>
      <c r="CD2470" s="717"/>
      <c r="CE2470" s="717"/>
      <c r="CF2470" s="717"/>
      <c r="CG2470" s="717"/>
      <c r="CH2470" s="717"/>
      <c r="CI2470" s="717"/>
      <c r="CJ2470" s="717"/>
      <c r="CK2470" s="717"/>
      <c r="CL2470" s="717"/>
      <c r="CM2470" s="717"/>
      <c r="CN2470" s="717"/>
      <c r="CO2470" s="717"/>
      <c r="CP2470" s="717"/>
      <c r="CQ2470" s="717"/>
      <c r="CR2470" s="717"/>
      <c r="CS2470" s="717"/>
      <c r="CT2470" s="717"/>
      <c r="CU2470" s="717"/>
      <c r="CV2470" s="717"/>
      <c r="CW2470" s="717"/>
      <c r="CX2470" s="717"/>
      <c r="CY2470" s="717"/>
      <c r="CZ2470" s="717"/>
      <c r="DA2470" s="717"/>
      <c r="DB2470" s="717"/>
      <c r="DC2470" s="717"/>
      <c r="DD2470" s="717"/>
      <c r="DE2470" s="717"/>
      <c r="DF2470" s="717"/>
      <c r="DG2470" s="717"/>
      <c r="DH2470" s="717"/>
      <c r="DI2470" s="717"/>
      <c r="DJ2470" s="717"/>
      <c r="DM2470" s="711"/>
      <c r="DN2470" s="711"/>
      <c r="DO2470" s="711"/>
      <c r="DP2470" s="711"/>
      <c r="DQ2470" s="711"/>
    </row>
    <row r="2471" spans="13:121" s="709" customFormat="1" hidden="1">
      <c r="M2471" s="710"/>
      <c r="P2471" s="711"/>
      <c r="Q2471" s="712"/>
      <c r="U2471" s="711"/>
      <c r="V2471" s="711"/>
      <c r="W2471" s="711"/>
      <c r="X2471" s="711"/>
      <c r="Y2471" s="711"/>
      <c r="Z2471" s="711"/>
      <c r="AU2471" s="713"/>
      <c r="AW2471" s="712"/>
      <c r="BY2471" s="714"/>
      <c r="BZ2471" s="715"/>
      <c r="CA2471" s="716"/>
      <c r="CB2471" s="717"/>
      <c r="CC2471" s="717"/>
      <c r="CD2471" s="717"/>
      <c r="CE2471" s="717"/>
      <c r="CF2471" s="717"/>
      <c r="CG2471" s="717"/>
      <c r="CH2471" s="717"/>
      <c r="CI2471" s="717"/>
      <c r="CJ2471" s="717"/>
      <c r="CK2471" s="717"/>
      <c r="CL2471" s="717"/>
      <c r="CM2471" s="717"/>
      <c r="CN2471" s="717"/>
      <c r="CO2471" s="717"/>
      <c r="CP2471" s="717"/>
      <c r="CQ2471" s="717"/>
      <c r="CR2471" s="717"/>
      <c r="CS2471" s="717"/>
      <c r="CT2471" s="717"/>
      <c r="CU2471" s="717"/>
      <c r="CV2471" s="717"/>
      <c r="CW2471" s="717"/>
      <c r="CX2471" s="717"/>
      <c r="CY2471" s="717"/>
      <c r="CZ2471" s="717"/>
      <c r="DA2471" s="717"/>
      <c r="DB2471" s="717"/>
      <c r="DC2471" s="717"/>
      <c r="DD2471" s="717"/>
      <c r="DE2471" s="717"/>
      <c r="DF2471" s="717"/>
      <c r="DG2471" s="717"/>
      <c r="DH2471" s="717"/>
      <c r="DI2471" s="717"/>
      <c r="DJ2471" s="717"/>
      <c r="DM2471" s="711"/>
      <c r="DN2471" s="711"/>
      <c r="DO2471" s="711"/>
      <c r="DP2471" s="711"/>
      <c r="DQ2471" s="711"/>
    </row>
    <row r="2472" spans="13:121" s="709" customFormat="1" hidden="1">
      <c r="M2472" s="710"/>
      <c r="P2472" s="711"/>
      <c r="Q2472" s="712"/>
      <c r="U2472" s="711"/>
      <c r="V2472" s="711"/>
      <c r="W2472" s="711"/>
      <c r="X2472" s="711"/>
      <c r="Y2472" s="711"/>
      <c r="Z2472" s="711"/>
      <c r="AU2472" s="713"/>
      <c r="AW2472" s="712"/>
      <c r="BY2472" s="714"/>
      <c r="BZ2472" s="715"/>
      <c r="CA2472" s="716"/>
      <c r="CB2472" s="717"/>
      <c r="CC2472" s="717"/>
      <c r="CD2472" s="717"/>
      <c r="CE2472" s="717"/>
      <c r="CF2472" s="717"/>
      <c r="CG2472" s="717"/>
      <c r="CH2472" s="717"/>
      <c r="CI2472" s="717"/>
      <c r="CJ2472" s="717"/>
      <c r="CK2472" s="717"/>
      <c r="CL2472" s="717"/>
      <c r="CM2472" s="717"/>
      <c r="CN2472" s="717"/>
      <c r="CO2472" s="717"/>
      <c r="CP2472" s="717"/>
      <c r="CQ2472" s="717"/>
      <c r="CR2472" s="717"/>
      <c r="CS2472" s="717"/>
      <c r="CT2472" s="717"/>
      <c r="CU2472" s="717"/>
      <c r="CV2472" s="717"/>
      <c r="CW2472" s="717"/>
      <c r="CX2472" s="717"/>
      <c r="CY2472" s="717"/>
      <c r="CZ2472" s="717"/>
      <c r="DA2472" s="717"/>
      <c r="DB2472" s="717"/>
      <c r="DC2472" s="717"/>
      <c r="DD2472" s="717"/>
      <c r="DE2472" s="717"/>
      <c r="DF2472" s="717"/>
      <c r="DG2472" s="717"/>
      <c r="DH2472" s="717"/>
      <c r="DI2472" s="717"/>
      <c r="DJ2472" s="717"/>
      <c r="DM2472" s="711"/>
      <c r="DN2472" s="711"/>
      <c r="DO2472" s="711"/>
      <c r="DP2472" s="711"/>
      <c r="DQ2472" s="711"/>
    </row>
    <row r="2473" spans="13:121" s="709" customFormat="1" hidden="1">
      <c r="M2473" s="710"/>
      <c r="P2473" s="711"/>
      <c r="Q2473" s="712"/>
      <c r="U2473" s="711"/>
      <c r="V2473" s="711"/>
      <c r="W2473" s="711"/>
      <c r="X2473" s="711"/>
      <c r="Y2473" s="711"/>
      <c r="Z2473" s="711"/>
      <c r="AU2473" s="713"/>
      <c r="AW2473" s="712"/>
      <c r="BY2473" s="714"/>
      <c r="BZ2473" s="715"/>
      <c r="CA2473" s="716"/>
      <c r="CB2473" s="717"/>
      <c r="CC2473" s="717"/>
      <c r="CD2473" s="717"/>
      <c r="CE2473" s="717"/>
      <c r="CF2473" s="717"/>
      <c r="CG2473" s="717"/>
      <c r="CH2473" s="717"/>
      <c r="CI2473" s="717"/>
      <c r="CJ2473" s="717"/>
      <c r="CK2473" s="717"/>
      <c r="CL2473" s="717"/>
      <c r="CM2473" s="717"/>
      <c r="CN2473" s="717"/>
      <c r="CO2473" s="717"/>
      <c r="CP2473" s="717"/>
      <c r="CQ2473" s="717"/>
      <c r="CR2473" s="717"/>
      <c r="CS2473" s="717"/>
      <c r="CT2473" s="717"/>
      <c r="CU2473" s="717"/>
      <c r="CV2473" s="717"/>
      <c r="CW2473" s="717"/>
      <c r="CX2473" s="717"/>
      <c r="CY2473" s="717"/>
      <c r="CZ2473" s="717"/>
      <c r="DA2473" s="717"/>
      <c r="DB2473" s="717"/>
      <c r="DC2473" s="717"/>
      <c r="DD2473" s="717"/>
      <c r="DE2473" s="717"/>
      <c r="DF2473" s="717"/>
      <c r="DG2473" s="717"/>
      <c r="DH2473" s="717"/>
      <c r="DI2473" s="717"/>
      <c r="DJ2473" s="717"/>
      <c r="DM2473" s="711"/>
      <c r="DN2473" s="711"/>
      <c r="DO2473" s="711"/>
      <c r="DP2473" s="711"/>
      <c r="DQ2473" s="711"/>
    </row>
    <row r="2474" spans="13:121" s="709" customFormat="1" hidden="1">
      <c r="M2474" s="710"/>
      <c r="P2474" s="711"/>
      <c r="Q2474" s="712"/>
      <c r="U2474" s="711"/>
      <c r="V2474" s="711"/>
      <c r="W2474" s="711"/>
      <c r="X2474" s="711"/>
      <c r="Y2474" s="711"/>
      <c r="Z2474" s="711"/>
      <c r="AU2474" s="713"/>
      <c r="AW2474" s="712"/>
      <c r="BY2474" s="714"/>
      <c r="BZ2474" s="715"/>
      <c r="CA2474" s="716"/>
      <c r="CB2474" s="717"/>
      <c r="CC2474" s="717"/>
      <c r="CD2474" s="717"/>
      <c r="CE2474" s="717"/>
      <c r="CF2474" s="717"/>
      <c r="CG2474" s="717"/>
      <c r="CH2474" s="717"/>
      <c r="CI2474" s="717"/>
      <c r="CJ2474" s="717"/>
      <c r="CK2474" s="717"/>
      <c r="CL2474" s="717"/>
      <c r="CM2474" s="717"/>
      <c r="CN2474" s="717"/>
      <c r="CO2474" s="717"/>
      <c r="CP2474" s="717"/>
      <c r="CQ2474" s="717"/>
      <c r="CR2474" s="717"/>
      <c r="CS2474" s="717"/>
      <c r="CT2474" s="717"/>
      <c r="CU2474" s="717"/>
      <c r="CV2474" s="717"/>
      <c r="CW2474" s="717"/>
      <c r="CX2474" s="717"/>
      <c r="CY2474" s="717"/>
      <c r="CZ2474" s="717"/>
      <c r="DA2474" s="717"/>
      <c r="DB2474" s="717"/>
      <c r="DC2474" s="717"/>
      <c r="DD2474" s="717"/>
      <c r="DE2474" s="717"/>
      <c r="DF2474" s="717"/>
      <c r="DG2474" s="717"/>
      <c r="DH2474" s="717"/>
      <c r="DI2474" s="717"/>
      <c r="DJ2474" s="717"/>
      <c r="DM2474" s="711"/>
      <c r="DN2474" s="711"/>
      <c r="DO2474" s="711"/>
      <c r="DP2474" s="711"/>
      <c r="DQ2474" s="711"/>
    </row>
    <row r="2475" spans="13:121" s="709" customFormat="1" hidden="1">
      <c r="M2475" s="710"/>
      <c r="P2475" s="711"/>
      <c r="Q2475" s="712"/>
      <c r="U2475" s="711"/>
      <c r="V2475" s="711"/>
      <c r="W2475" s="711"/>
      <c r="X2475" s="711"/>
      <c r="Y2475" s="711"/>
      <c r="Z2475" s="711"/>
      <c r="AU2475" s="713"/>
      <c r="AW2475" s="712"/>
      <c r="BY2475" s="714"/>
      <c r="BZ2475" s="715"/>
      <c r="CA2475" s="716"/>
      <c r="CB2475" s="717"/>
      <c r="CC2475" s="717"/>
      <c r="CD2475" s="717"/>
      <c r="CE2475" s="717"/>
      <c r="CF2475" s="717"/>
      <c r="CG2475" s="717"/>
      <c r="CH2475" s="717"/>
      <c r="CI2475" s="717"/>
      <c r="CJ2475" s="717"/>
      <c r="CK2475" s="717"/>
      <c r="CL2475" s="717"/>
      <c r="CM2475" s="717"/>
      <c r="CN2475" s="717"/>
      <c r="CO2475" s="717"/>
      <c r="CP2475" s="717"/>
      <c r="CQ2475" s="717"/>
      <c r="CR2475" s="717"/>
      <c r="CS2475" s="717"/>
      <c r="CT2475" s="717"/>
      <c r="CU2475" s="717"/>
      <c r="CV2475" s="717"/>
      <c r="CW2475" s="717"/>
      <c r="CX2475" s="717"/>
      <c r="CY2475" s="717"/>
      <c r="CZ2475" s="717"/>
      <c r="DA2475" s="717"/>
      <c r="DB2475" s="717"/>
      <c r="DC2475" s="717"/>
      <c r="DD2475" s="717"/>
      <c r="DE2475" s="717"/>
      <c r="DF2475" s="717"/>
      <c r="DG2475" s="717"/>
      <c r="DH2475" s="717"/>
      <c r="DI2475" s="717"/>
      <c r="DJ2475" s="717"/>
      <c r="DM2475" s="711"/>
      <c r="DN2475" s="711"/>
      <c r="DO2475" s="711"/>
      <c r="DP2475" s="711"/>
      <c r="DQ2475" s="711"/>
    </row>
    <row r="2476" spans="13:121" s="709" customFormat="1" hidden="1">
      <c r="M2476" s="710"/>
      <c r="P2476" s="711"/>
      <c r="Q2476" s="712"/>
      <c r="U2476" s="711"/>
      <c r="V2476" s="711"/>
      <c r="W2476" s="711"/>
      <c r="X2476" s="711"/>
      <c r="Y2476" s="711"/>
      <c r="Z2476" s="711"/>
      <c r="AU2476" s="713"/>
      <c r="AW2476" s="712"/>
      <c r="BY2476" s="714"/>
      <c r="BZ2476" s="715"/>
      <c r="CA2476" s="716"/>
      <c r="CB2476" s="717"/>
      <c r="CC2476" s="717"/>
      <c r="CD2476" s="717"/>
      <c r="CE2476" s="717"/>
      <c r="CF2476" s="717"/>
      <c r="CG2476" s="717"/>
      <c r="CH2476" s="717"/>
      <c r="CI2476" s="717"/>
      <c r="CJ2476" s="717"/>
      <c r="CK2476" s="717"/>
      <c r="CL2476" s="717"/>
      <c r="CM2476" s="717"/>
      <c r="CN2476" s="717"/>
      <c r="CO2476" s="717"/>
      <c r="CP2476" s="717"/>
      <c r="CQ2476" s="717"/>
      <c r="CR2476" s="717"/>
      <c r="CS2476" s="717"/>
      <c r="CT2476" s="717"/>
      <c r="CU2476" s="717"/>
      <c r="CV2476" s="717"/>
      <c r="CW2476" s="717"/>
      <c r="CX2476" s="717"/>
      <c r="CY2476" s="717"/>
      <c r="CZ2476" s="717"/>
      <c r="DA2476" s="717"/>
      <c r="DB2476" s="717"/>
      <c r="DC2476" s="717"/>
      <c r="DD2476" s="717"/>
      <c r="DE2476" s="717"/>
      <c r="DF2476" s="717"/>
      <c r="DG2476" s="717"/>
      <c r="DH2476" s="717"/>
      <c r="DI2476" s="717"/>
      <c r="DJ2476" s="717"/>
      <c r="DM2476" s="711"/>
      <c r="DN2476" s="711"/>
      <c r="DO2476" s="711"/>
      <c r="DP2476" s="711"/>
      <c r="DQ2476" s="711"/>
    </row>
    <row r="2477" spans="13:121" s="709" customFormat="1" hidden="1">
      <c r="M2477" s="710"/>
      <c r="P2477" s="711"/>
      <c r="Q2477" s="712"/>
      <c r="U2477" s="711"/>
      <c r="V2477" s="711"/>
      <c r="W2477" s="711"/>
      <c r="X2477" s="711"/>
      <c r="Y2477" s="711"/>
      <c r="Z2477" s="711"/>
      <c r="AU2477" s="713"/>
      <c r="AW2477" s="712"/>
      <c r="BY2477" s="714"/>
      <c r="BZ2477" s="715"/>
      <c r="CA2477" s="716"/>
      <c r="CB2477" s="717"/>
      <c r="CC2477" s="717"/>
      <c r="CD2477" s="717"/>
      <c r="CE2477" s="717"/>
      <c r="CF2477" s="717"/>
      <c r="CG2477" s="717"/>
      <c r="CH2477" s="717"/>
      <c r="CI2477" s="717"/>
      <c r="CJ2477" s="717"/>
      <c r="CK2477" s="717"/>
      <c r="CL2477" s="717"/>
      <c r="CM2477" s="717"/>
      <c r="CN2477" s="717"/>
      <c r="CO2477" s="717"/>
      <c r="CP2477" s="717"/>
      <c r="CQ2477" s="717"/>
      <c r="CR2477" s="717"/>
      <c r="CS2477" s="717"/>
      <c r="CT2477" s="717"/>
      <c r="CU2477" s="717"/>
      <c r="CV2477" s="717"/>
      <c r="CW2477" s="717"/>
      <c r="CX2477" s="717"/>
      <c r="CY2477" s="717"/>
      <c r="CZ2477" s="717"/>
      <c r="DA2477" s="717"/>
      <c r="DB2477" s="717"/>
      <c r="DC2477" s="717"/>
      <c r="DD2477" s="717"/>
      <c r="DE2477" s="717"/>
      <c r="DF2477" s="717"/>
      <c r="DG2477" s="717"/>
      <c r="DH2477" s="717"/>
      <c r="DI2477" s="717"/>
      <c r="DJ2477" s="717"/>
      <c r="DM2477" s="711"/>
      <c r="DN2477" s="711"/>
      <c r="DO2477" s="711"/>
      <c r="DP2477" s="711"/>
      <c r="DQ2477" s="711"/>
    </row>
    <row r="2478" spans="13:121" s="709" customFormat="1" hidden="1">
      <c r="M2478" s="710"/>
      <c r="P2478" s="711"/>
      <c r="Q2478" s="712"/>
      <c r="U2478" s="711"/>
      <c r="V2478" s="711"/>
      <c r="W2478" s="711"/>
      <c r="X2478" s="711"/>
      <c r="Y2478" s="711"/>
      <c r="Z2478" s="711"/>
      <c r="AU2478" s="713"/>
      <c r="AW2478" s="712"/>
      <c r="BY2478" s="714"/>
      <c r="BZ2478" s="715"/>
      <c r="CA2478" s="716"/>
      <c r="CB2478" s="717"/>
      <c r="CC2478" s="717"/>
      <c r="CD2478" s="717"/>
      <c r="CE2478" s="717"/>
      <c r="CF2478" s="717"/>
      <c r="CG2478" s="717"/>
      <c r="CH2478" s="717"/>
      <c r="CI2478" s="717"/>
      <c r="CJ2478" s="717"/>
      <c r="CK2478" s="717"/>
      <c r="CL2478" s="717"/>
      <c r="CM2478" s="717"/>
      <c r="CN2478" s="717"/>
      <c r="CO2478" s="717"/>
      <c r="CP2478" s="717"/>
      <c r="CQ2478" s="717"/>
      <c r="CR2478" s="717"/>
      <c r="CS2478" s="717"/>
      <c r="CT2478" s="717"/>
      <c r="CU2478" s="717"/>
      <c r="CV2478" s="717"/>
      <c r="CW2478" s="717"/>
      <c r="CX2478" s="717"/>
      <c r="CY2478" s="717"/>
      <c r="CZ2478" s="717"/>
      <c r="DA2478" s="717"/>
      <c r="DB2478" s="717"/>
      <c r="DC2478" s="717"/>
      <c r="DD2478" s="717"/>
      <c r="DE2478" s="717"/>
      <c r="DF2478" s="717"/>
      <c r="DG2478" s="717"/>
      <c r="DH2478" s="717"/>
      <c r="DI2478" s="717"/>
      <c r="DJ2478" s="717"/>
      <c r="DM2478" s="711"/>
      <c r="DN2478" s="711"/>
      <c r="DO2478" s="711"/>
      <c r="DP2478" s="711"/>
      <c r="DQ2478" s="711"/>
    </row>
    <row r="2479" spans="13:121" s="709" customFormat="1" hidden="1">
      <c r="M2479" s="710"/>
      <c r="P2479" s="711"/>
      <c r="Q2479" s="712"/>
      <c r="U2479" s="711"/>
      <c r="V2479" s="711"/>
      <c r="W2479" s="711"/>
      <c r="X2479" s="711"/>
      <c r="Y2479" s="711"/>
      <c r="Z2479" s="711"/>
      <c r="AU2479" s="713"/>
      <c r="AW2479" s="712"/>
      <c r="BY2479" s="714"/>
      <c r="BZ2479" s="715"/>
      <c r="CA2479" s="716"/>
      <c r="CB2479" s="717"/>
      <c r="CC2479" s="717"/>
      <c r="CD2479" s="717"/>
      <c r="CE2479" s="717"/>
      <c r="CF2479" s="717"/>
      <c r="CG2479" s="717"/>
      <c r="CH2479" s="717"/>
      <c r="CI2479" s="717"/>
      <c r="CJ2479" s="717"/>
      <c r="CK2479" s="717"/>
      <c r="CL2479" s="717"/>
      <c r="CM2479" s="717"/>
      <c r="CN2479" s="717"/>
      <c r="CO2479" s="717"/>
      <c r="CP2479" s="717"/>
      <c r="CQ2479" s="717"/>
      <c r="CR2479" s="717"/>
      <c r="CS2479" s="717"/>
      <c r="CT2479" s="717"/>
      <c r="CU2479" s="717"/>
      <c r="CV2479" s="717"/>
      <c r="CW2479" s="717"/>
      <c r="CX2479" s="717"/>
      <c r="CY2479" s="717"/>
      <c r="CZ2479" s="717"/>
      <c r="DA2479" s="717"/>
      <c r="DB2479" s="717"/>
      <c r="DC2479" s="717"/>
      <c r="DD2479" s="717"/>
      <c r="DE2479" s="717"/>
      <c r="DF2479" s="717"/>
      <c r="DG2479" s="717"/>
      <c r="DH2479" s="717"/>
      <c r="DI2479" s="717"/>
      <c r="DJ2479" s="717"/>
      <c r="DM2479" s="711"/>
      <c r="DN2479" s="711"/>
      <c r="DO2479" s="711"/>
      <c r="DP2479" s="711"/>
      <c r="DQ2479" s="711"/>
    </row>
    <row r="2480" spans="13:121" s="709" customFormat="1" hidden="1">
      <c r="M2480" s="710"/>
      <c r="P2480" s="711"/>
      <c r="Q2480" s="712"/>
      <c r="U2480" s="711"/>
      <c r="V2480" s="711"/>
      <c r="W2480" s="711"/>
      <c r="X2480" s="711"/>
      <c r="Y2480" s="711"/>
      <c r="Z2480" s="711"/>
      <c r="AU2480" s="713"/>
      <c r="AW2480" s="712"/>
      <c r="BY2480" s="714"/>
      <c r="BZ2480" s="715"/>
      <c r="CA2480" s="716"/>
      <c r="CB2480" s="717"/>
      <c r="CC2480" s="717"/>
      <c r="CD2480" s="717"/>
      <c r="CE2480" s="717"/>
      <c r="CF2480" s="717"/>
      <c r="CG2480" s="717"/>
      <c r="CH2480" s="717"/>
      <c r="CI2480" s="717"/>
      <c r="CJ2480" s="717"/>
      <c r="CK2480" s="717"/>
      <c r="CL2480" s="717"/>
      <c r="CM2480" s="717"/>
      <c r="CN2480" s="717"/>
      <c r="CO2480" s="717"/>
      <c r="CP2480" s="717"/>
      <c r="CQ2480" s="717"/>
      <c r="CR2480" s="717"/>
      <c r="CS2480" s="717"/>
      <c r="CT2480" s="717"/>
      <c r="CU2480" s="717"/>
      <c r="CV2480" s="717"/>
      <c r="CW2480" s="717"/>
      <c r="CX2480" s="717"/>
      <c r="CY2480" s="717"/>
      <c r="CZ2480" s="717"/>
      <c r="DA2480" s="717"/>
      <c r="DB2480" s="717"/>
      <c r="DC2480" s="717"/>
      <c r="DD2480" s="717"/>
      <c r="DE2480" s="717"/>
      <c r="DF2480" s="717"/>
      <c r="DG2480" s="717"/>
      <c r="DH2480" s="717"/>
      <c r="DI2480" s="717"/>
      <c r="DJ2480" s="717"/>
      <c r="DM2480" s="711"/>
      <c r="DN2480" s="711"/>
      <c r="DO2480" s="711"/>
      <c r="DP2480" s="711"/>
      <c r="DQ2480" s="711"/>
    </row>
    <row r="2481" spans="13:121" s="709" customFormat="1" hidden="1">
      <c r="M2481" s="710"/>
      <c r="P2481" s="711"/>
      <c r="Q2481" s="712"/>
      <c r="U2481" s="711"/>
      <c r="V2481" s="711"/>
      <c r="W2481" s="711"/>
      <c r="X2481" s="711"/>
      <c r="Y2481" s="711"/>
      <c r="Z2481" s="711"/>
      <c r="AU2481" s="713"/>
      <c r="AW2481" s="712"/>
      <c r="BY2481" s="714"/>
      <c r="BZ2481" s="715"/>
      <c r="CA2481" s="716"/>
      <c r="CB2481" s="717"/>
      <c r="CC2481" s="717"/>
      <c r="CD2481" s="717"/>
      <c r="CE2481" s="717"/>
      <c r="CF2481" s="717"/>
      <c r="CG2481" s="717"/>
      <c r="CH2481" s="717"/>
      <c r="CI2481" s="717"/>
      <c r="CJ2481" s="717"/>
      <c r="CK2481" s="717"/>
      <c r="CL2481" s="717"/>
      <c r="CM2481" s="717"/>
      <c r="CN2481" s="717"/>
      <c r="CO2481" s="717"/>
      <c r="CP2481" s="717"/>
      <c r="CQ2481" s="717"/>
      <c r="CR2481" s="717"/>
      <c r="CS2481" s="717"/>
      <c r="CT2481" s="717"/>
      <c r="CU2481" s="717"/>
      <c r="CV2481" s="717"/>
      <c r="CW2481" s="717"/>
      <c r="CX2481" s="717"/>
      <c r="CY2481" s="717"/>
      <c r="CZ2481" s="717"/>
      <c r="DA2481" s="717"/>
      <c r="DB2481" s="717"/>
      <c r="DC2481" s="717"/>
      <c r="DD2481" s="717"/>
      <c r="DE2481" s="717"/>
      <c r="DF2481" s="717"/>
      <c r="DG2481" s="717"/>
      <c r="DH2481" s="717"/>
      <c r="DI2481" s="717"/>
      <c r="DJ2481" s="717"/>
      <c r="DM2481" s="711"/>
      <c r="DN2481" s="711"/>
      <c r="DO2481" s="711"/>
      <c r="DP2481" s="711"/>
      <c r="DQ2481" s="711"/>
    </row>
    <row r="2482" spans="13:121" s="709" customFormat="1" hidden="1">
      <c r="M2482" s="710"/>
      <c r="P2482" s="711"/>
      <c r="Q2482" s="712"/>
      <c r="U2482" s="711"/>
      <c r="V2482" s="711"/>
      <c r="W2482" s="711"/>
      <c r="X2482" s="711"/>
      <c r="Y2482" s="711"/>
      <c r="Z2482" s="711"/>
      <c r="AU2482" s="713"/>
      <c r="AW2482" s="712"/>
      <c r="BY2482" s="714"/>
      <c r="BZ2482" s="715"/>
      <c r="CA2482" s="716"/>
      <c r="CB2482" s="717"/>
      <c r="CC2482" s="717"/>
      <c r="CD2482" s="717"/>
      <c r="CE2482" s="717"/>
      <c r="CF2482" s="717"/>
      <c r="CG2482" s="717"/>
      <c r="CH2482" s="717"/>
      <c r="CI2482" s="717"/>
      <c r="CJ2482" s="717"/>
      <c r="CK2482" s="717"/>
      <c r="CL2482" s="717"/>
      <c r="CM2482" s="717"/>
      <c r="CN2482" s="717"/>
      <c r="CO2482" s="717"/>
      <c r="CP2482" s="717"/>
      <c r="CQ2482" s="717"/>
      <c r="CR2482" s="717"/>
      <c r="CS2482" s="717"/>
      <c r="CT2482" s="717"/>
      <c r="CU2482" s="717"/>
      <c r="CV2482" s="717"/>
      <c r="CW2482" s="717"/>
      <c r="CX2482" s="717"/>
      <c r="CY2482" s="717"/>
      <c r="CZ2482" s="717"/>
      <c r="DA2482" s="717"/>
      <c r="DB2482" s="717"/>
      <c r="DC2482" s="717"/>
      <c r="DD2482" s="717"/>
      <c r="DE2482" s="717"/>
      <c r="DF2482" s="717"/>
      <c r="DG2482" s="717"/>
      <c r="DH2482" s="717"/>
      <c r="DI2482" s="717"/>
      <c r="DJ2482" s="717"/>
      <c r="DM2482" s="711"/>
      <c r="DN2482" s="711"/>
      <c r="DO2482" s="711"/>
      <c r="DP2482" s="711"/>
      <c r="DQ2482" s="711"/>
    </row>
    <row r="2483" spans="13:121" s="709" customFormat="1" hidden="1">
      <c r="M2483" s="710"/>
      <c r="P2483" s="711"/>
      <c r="Q2483" s="712"/>
      <c r="U2483" s="711"/>
      <c r="V2483" s="711"/>
      <c r="W2483" s="711"/>
      <c r="X2483" s="711"/>
      <c r="Y2483" s="711"/>
      <c r="Z2483" s="711"/>
      <c r="AU2483" s="713"/>
      <c r="AW2483" s="712"/>
      <c r="BY2483" s="714"/>
      <c r="BZ2483" s="715"/>
      <c r="CA2483" s="716"/>
      <c r="CB2483" s="717"/>
      <c r="CC2483" s="717"/>
      <c r="CD2483" s="717"/>
      <c r="CE2483" s="717"/>
      <c r="CF2483" s="717"/>
      <c r="CG2483" s="717"/>
      <c r="CH2483" s="717"/>
      <c r="CI2483" s="717"/>
      <c r="CJ2483" s="717"/>
      <c r="CK2483" s="717"/>
      <c r="CL2483" s="717"/>
      <c r="CM2483" s="717"/>
      <c r="CN2483" s="717"/>
      <c r="CO2483" s="717"/>
      <c r="CP2483" s="717"/>
      <c r="CQ2483" s="717"/>
      <c r="CR2483" s="717"/>
      <c r="CS2483" s="717"/>
      <c r="CT2483" s="717"/>
      <c r="CU2483" s="717"/>
      <c r="CV2483" s="717"/>
      <c r="CW2483" s="717"/>
      <c r="CX2483" s="717"/>
      <c r="CY2483" s="717"/>
      <c r="CZ2483" s="717"/>
      <c r="DA2483" s="717"/>
      <c r="DB2483" s="717"/>
      <c r="DC2483" s="717"/>
      <c r="DD2483" s="717"/>
      <c r="DE2483" s="717"/>
      <c r="DF2483" s="717"/>
      <c r="DG2483" s="717"/>
      <c r="DH2483" s="717"/>
      <c r="DI2483" s="717"/>
      <c r="DJ2483" s="717"/>
      <c r="DM2483" s="711"/>
      <c r="DN2483" s="711"/>
      <c r="DO2483" s="711"/>
      <c r="DP2483" s="711"/>
      <c r="DQ2483" s="711"/>
    </row>
    <row r="2484" spans="13:121" s="709" customFormat="1" hidden="1">
      <c r="M2484" s="710"/>
      <c r="P2484" s="711"/>
      <c r="Q2484" s="712"/>
      <c r="U2484" s="711"/>
      <c r="V2484" s="711"/>
      <c r="W2484" s="711"/>
      <c r="X2484" s="711"/>
      <c r="Y2484" s="711"/>
      <c r="Z2484" s="711"/>
      <c r="AU2484" s="713"/>
      <c r="AW2484" s="712"/>
      <c r="BY2484" s="714"/>
      <c r="BZ2484" s="715"/>
      <c r="CA2484" s="716"/>
      <c r="CB2484" s="717"/>
      <c r="CC2484" s="717"/>
      <c r="CD2484" s="717"/>
      <c r="CE2484" s="717"/>
      <c r="CF2484" s="717"/>
      <c r="CG2484" s="717"/>
      <c r="CH2484" s="717"/>
      <c r="CI2484" s="717"/>
      <c r="CJ2484" s="717"/>
      <c r="CK2484" s="717"/>
      <c r="CL2484" s="717"/>
      <c r="CM2484" s="717"/>
      <c r="CN2484" s="717"/>
      <c r="CO2484" s="717"/>
      <c r="CP2484" s="717"/>
      <c r="CQ2484" s="717"/>
      <c r="CR2484" s="717"/>
      <c r="CS2484" s="717"/>
      <c r="CT2484" s="717"/>
      <c r="CU2484" s="717"/>
      <c r="CV2484" s="717"/>
      <c r="CW2484" s="717"/>
      <c r="CX2484" s="717"/>
      <c r="CY2484" s="717"/>
      <c r="CZ2484" s="717"/>
      <c r="DA2484" s="717"/>
      <c r="DB2484" s="717"/>
      <c r="DC2484" s="717"/>
      <c r="DD2484" s="717"/>
      <c r="DE2484" s="717"/>
      <c r="DF2484" s="717"/>
      <c r="DG2484" s="717"/>
      <c r="DH2484" s="717"/>
      <c r="DI2484" s="717"/>
      <c r="DJ2484" s="717"/>
      <c r="DM2484" s="711"/>
      <c r="DN2484" s="711"/>
      <c r="DO2484" s="711"/>
      <c r="DP2484" s="711"/>
      <c r="DQ2484" s="711"/>
    </row>
    <row r="2485" spans="13:121" s="709" customFormat="1" hidden="1">
      <c r="M2485" s="710"/>
      <c r="P2485" s="711"/>
      <c r="Q2485" s="712"/>
      <c r="U2485" s="711"/>
      <c r="V2485" s="711"/>
      <c r="W2485" s="711"/>
      <c r="X2485" s="711"/>
      <c r="Y2485" s="711"/>
      <c r="Z2485" s="711"/>
      <c r="AU2485" s="713"/>
      <c r="AW2485" s="712"/>
      <c r="BY2485" s="714"/>
      <c r="BZ2485" s="715"/>
      <c r="CA2485" s="716"/>
      <c r="CB2485" s="717"/>
      <c r="CC2485" s="717"/>
      <c r="CD2485" s="717"/>
      <c r="CE2485" s="717"/>
      <c r="CF2485" s="717"/>
      <c r="CG2485" s="717"/>
      <c r="CH2485" s="717"/>
      <c r="CI2485" s="717"/>
      <c r="CJ2485" s="717"/>
      <c r="CK2485" s="717"/>
      <c r="CL2485" s="717"/>
      <c r="CM2485" s="717"/>
      <c r="CN2485" s="717"/>
      <c r="CO2485" s="717"/>
      <c r="CP2485" s="717"/>
      <c r="CQ2485" s="717"/>
      <c r="CR2485" s="717"/>
      <c r="CS2485" s="717"/>
      <c r="CT2485" s="717"/>
      <c r="CU2485" s="717"/>
      <c r="CV2485" s="717"/>
      <c r="CW2485" s="717"/>
      <c r="CX2485" s="717"/>
      <c r="CY2485" s="717"/>
      <c r="CZ2485" s="717"/>
      <c r="DA2485" s="717"/>
      <c r="DB2485" s="717"/>
      <c r="DC2485" s="717"/>
      <c r="DD2485" s="717"/>
      <c r="DE2485" s="717"/>
      <c r="DF2485" s="717"/>
      <c r="DG2485" s="717"/>
      <c r="DH2485" s="717"/>
      <c r="DI2485" s="717"/>
      <c r="DJ2485" s="717"/>
      <c r="DM2485" s="711"/>
      <c r="DN2485" s="711"/>
      <c r="DO2485" s="711"/>
      <c r="DP2485" s="711"/>
      <c r="DQ2485" s="711"/>
    </row>
    <row r="2486" spans="13:121" s="709" customFormat="1" hidden="1">
      <c r="M2486" s="710"/>
      <c r="P2486" s="711"/>
      <c r="Q2486" s="712"/>
      <c r="U2486" s="711"/>
      <c r="V2486" s="711"/>
      <c r="W2486" s="711"/>
      <c r="X2486" s="711"/>
      <c r="Y2486" s="711"/>
      <c r="Z2486" s="711"/>
      <c r="AU2486" s="713"/>
      <c r="AW2486" s="712"/>
      <c r="BY2486" s="714"/>
      <c r="BZ2486" s="715"/>
      <c r="CA2486" s="716"/>
      <c r="CB2486" s="717"/>
      <c r="CC2486" s="717"/>
      <c r="CD2486" s="717"/>
      <c r="CE2486" s="717"/>
      <c r="CF2486" s="717"/>
      <c r="CG2486" s="717"/>
      <c r="CH2486" s="717"/>
      <c r="CI2486" s="717"/>
      <c r="CJ2486" s="717"/>
      <c r="CK2486" s="717"/>
      <c r="CL2486" s="717"/>
      <c r="CM2486" s="717"/>
      <c r="CN2486" s="717"/>
      <c r="CO2486" s="717"/>
      <c r="CP2486" s="717"/>
      <c r="CQ2486" s="717"/>
      <c r="CR2486" s="717"/>
      <c r="CS2486" s="717"/>
      <c r="CT2486" s="717"/>
      <c r="CU2486" s="717"/>
      <c r="CV2486" s="717"/>
      <c r="CW2486" s="717"/>
      <c r="CX2486" s="717"/>
      <c r="CY2486" s="717"/>
      <c r="CZ2486" s="717"/>
      <c r="DA2486" s="717"/>
      <c r="DB2486" s="717"/>
      <c r="DC2486" s="717"/>
      <c r="DD2486" s="717"/>
      <c r="DE2486" s="717"/>
      <c r="DF2486" s="717"/>
      <c r="DG2486" s="717"/>
      <c r="DH2486" s="717"/>
      <c r="DI2486" s="717"/>
      <c r="DJ2486" s="717"/>
      <c r="DM2486" s="711"/>
      <c r="DN2486" s="711"/>
      <c r="DO2486" s="711"/>
      <c r="DP2486" s="711"/>
      <c r="DQ2486" s="711"/>
    </row>
    <row r="2487" spans="13:121" s="709" customFormat="1" hidden="1">
      <c r="M2487" s="710"/>
      <c r="P2487" s="711"/>
      <c r="Q2487" s="712"/>
      <c r="U2487" s="711"/>
      <c r="V2487" s="711"/>
      <c r="W2487" s="711"/>
      <c r="X2487" s="711"/>
      <c r="Y2487" s="711"/>
      <c r="Z2487" s="711"/>
      <c r="AU2487" s="713"/>
      <c r="AW2487" s="712"/>
      <c r="BY2487" s="714"/>
      <c r="BZ2487" s="715"/>
      <c r="CA2487" s="716"/>
      <c r="CB2487" s="717"/>
      <c r="CC2487" s="717"/>
      <c r="CD2487" s="717"/>
      <c r="CE2487" s="717"/>
      <c r="CF2487" s="717"/>
      <c r="CG2487" s="717"/>
      <c r="CH2487" s="717"/>
      <c r="CI2487" s="717"/>
      <c r="CJ2487" s="717"/>
      <c r="CK2487" s="717"/>
      <c r="CL2487" s="717"/>
      <c r="CM2487" s="717"/>
      <c r="CN2487" s="717"/>
      <c r="CO2487" s="717"/>
      <c r="CP2487" s="717"/>
      <c r="CQ2487" s="717"/>
      <c r="CR2487" s="717"/>
      <c r="CS2487" s="717"/>
      <c r="CT2487" s="717"/>
      <c r="CU2487" s="717"/>
      <c r="CV2487" s="717"/>
      <c r="CW2487" s="717"/>
      <c r="CX2487" s="717"/>
      <c r="CY2487" s="717"/>
      <c r="CZ2487" s="717"/>
      <c r="DA2487" s="717"/>
      <c r="DB2487" s="717"/>
      <c r="DC2487" s="717"/>
      <c r="DD2487" s="717"/>
      <c r="DE2487" s="717"/>
      <c r="DF2487" s="717"/>
      <c r="DG2487" s="717"/>
      <c r="DH2487" s="717"/>
      <c r="DI2487" s="717"/>
      <c r="DJ2487" s="717"/>
      <c r="DM2487" s="711"/>
      <c r="DN2487" s="711"/>
      <c r="DO2487" s="711"/>
      <c r="DP2487" s="711"/>
      <c r="DQ2487" s="711"/>
    </row>
    <row r="2488" spans="13:121" s="709" customFormat="1" hidden="1">
      <c r="M2488" s="710"/>
      <c r="P2488" s="711"/>
      <c r="Q2488" s="712"/>
      <c r="U2488" s="711"/>
      <c r="V2488" s="711"/>
      <c r="W2488" s="711"/>
      <c r="X2488" s="711"/>
      <c r="Y2488" s="711"/>
      <c r="Z2488" s="711"/>
      <c r="AU2488" s="713"/>
      <c r="AW2488" s="712"/>
      <c r="BY2488" s="714"/>
      <c r="BZ2488" s="715"/>
      <c r="CA2488" s="716"/>
      <c r="CB2488" s="717"/>
      <c r="CC2488" s="717"/>
      <c r="CD2488" s="717"/>
      <c r="CE2488" s="717"/>
      <c r="CF2488" s="717"/>
      <c r="CG2488" s="717"/>
      <c r="CH2488" s="717"/>
      <c r="CI2488" s="717"/>
      <c r="CJ2488" s="717"/>
      <c r="CK2488" s="717"/>
      <c r="CL2488" s="717"/>
      <c r="CM2488" s="717"/>
      <c r="CN2488" s="717"/>
      <c r="CO2488" s="717"/>
      <c r="CP2488" s="717"/>
      <c r="CQ2488" s="717"/>
      <c r="CR2488" s="717"/>
      <c r="CS2488" s="717"/>
      <c r="CT2488" s="717"/>
      <c r="CU2488" s="717"/>
      <c r="CV2488" s="717"/>
      <c r="CW2488" s="717"/>
      <c r="CX2488" s="717"/>
      <c r="CY2488" s="717"/>
      <c r="CZ2488" s="717"/>
      <c r="DA2488" s="717"/>
      <c r="DB2488" s="717"/>
      <c r="DC2488" s="717"/>
      <c r="DD2488" s="717"/>
      <c r="DE2488" s="717"/>
      <c r="DF2488" s="717"/>
      <c r="DG2488" s="717"/>
      <c r="DH2488" s="717"/>
      <c r="DI2488" s="717"/>
      <c r="DJ2488" s="717"/>
      <c r="DM2488" s="711"/>
      <c r="DN2488" s="711"/>
      <c r="DO2488" s="711"/>
      <c r="DP2488" s="711"/>
      <c r="DQ2488" s="711"/>
    </row>
    <row r="2489" spans="13:121" s="709" customFormat="1" hidden="1">
      <c r="M2489" s="710"/>
      <c r="P2489" s="711"/>
      <c r="Q2489" s="712"/>
      <c r="U2489" s="711"/>
      <c r="V2489" s="711"/>
      <c r="W2489" s="711"/>
      <c r="X2489" s="711"/>
      <c r="Y2489" s="711"/>
      <c r="Z2489" s="711"/>
      <c r="AU2489" s="713"/>
      <c r="AW2489" s="712"/>
      <c r="BY2489" s="714"/>
      <c r="BZ2489" s="715"/>
      <c r="CA2489" s="716"/>
      <c r="CB2489" s="717"/>
      <c r="CC2489" s="717"/>
      <c r="CD2489" s="717"/>
      <c r="CE2489" s="717"/>
      <c r="CF2489" s="717"/>
      <c r="CG2489" s="717"/>
      <c r="CH2489" s="717"/>
      <c r="CI2489" s="717"/>
      <c r="CJ2489" s="717"/>
      <c r="CK2489" s="717"/>
      <c r="CL2489" s="717"/>
      <c r="CM2489" s="717"/>
      <c r="CN2489" s="717"/>
      <c r="CO2489" s="717"/>
      <c r="CP2489" s="717"/>
      <c r="CQ2489" s="717"/>
      <c r="CR2489" s="717"/>
      <c r="CS2489" s="717"/>
      <c r="CT2489" s="717"/>
      <c r="CU2489" s="717"/>
      <c r="CV2489" s="717"/>
      <c r="CW2489" s="717"/>
      <c r="CX2489" s="717"/>
      <c r="CY2489" s="717"/>
      <c r="CZ2489" s="717"/>
      <c r="DA2489" s="717"/>
      <c r="DB2489" s="717"/>
      <c r="DC2489" s="717"/>
      <c r="DD2489" s="717"/>
      <c r="DE2489" s="717"/>
      <c r="DF2489" s="717"/>
      <c r="DG2489" s="717"/>
      <c r="DH2489" s="717"/>
      <c r="DI2489" s="717"/>
      <c r="DJ2489" s="717"/>
      <c r="DM2489" s="711"/>
      <c r="DN2489" s="711"/>
      <c r="DO2489" s="711"/>
      <c r="DP2489" s="711"/>
      <c r="DQ2489" s="711"/>
    </row>
    <row r="2490" spans="13:121" s="709" customFormat="1" hidden="1">
      <c r="M2490" s="710"/>
      <c r="P2490" s="711"/>
      <c r="Q2490" s="712"/>
      <c r="U2490" s="711"/>
      <c r="V2490" s="711"/>
      <c r="W2490" s="711"/>
      <c r="X2490" s="711"/>
      <c r="Y2490" s="711"/>
      <c r="Z2490" s="711"/>
      <c r="AU2490" s="713"/>
      <c r="AW2490" s="712"/>
      <c r="BY2490" s="714"/>
      <c r="BZ2490" s="715"/>
      <c r="CA2490" s="716"/>
      <c r="CB2490" s="717"/>
      <c r="CC2490" s="717"/>
      <c r="CD2490" s="717"/>
      <c r="CE2490" s="717"/>
      <c r="CF2490" s="717"/>
      <c r="CG2490" s="717"/>
      <c r="CH2490" s="717"/>
      <c r="CI2490" s="717"/>
      <c r="CJ2490" s="717"/>
      <c r="CK2490" s="717"/>
      <c r="CL2490" s="717"/>
      <c r="CM2490" s="717"/>
      <c r="CN2490" s="717"/>
      <c r="CO2490" s="717"/>
      <c r="CP2490" s="717"/>
      <c r="CQ2490" s="717"/>
      <c r="CR2490" s="717"/>
      <c r="CS2490" s="717"/>
      <c r="CT2490" s="717"/>
      <c r="CU2490" s="717"/>
      <c r="CV2490" s="717"/>
      <c r="CW2490" s="717"/>
      <c r="CX2490" s="717"/>
      <c r="CY2490" s="717"/>
      <c r="CZ2490" s="717"/>
      <c r="DA2490" s="717"/>
      <c r="DB2490" s="717"/>
      <c r="DC2490" s="717"/>
      <c r="DD2490" s="717"/>
      <c r="DE2490" s="717"/>
      <c r="DF2490" s="717"/>
      <c r="DG2490" s="717"/>
      <c r="DH2490" s="717"/>
      <c r="DI2490" s="717"/>
      <c r="DJ2490" s="717"/>
      <c r="DM2490" s="711"/>
      <c r="DN2490" s="711"/>
      <c r="DO2490" s="711"/>
      <c r="DP2490" s="711"/>
      <c r="DQ2490" s="711"/>
    </row>
    <row r="2491" spans="13:121" s="709" customFormat="1" hidden="1">
      <c r="M2491" s="710"/>
      <c r="P2491" s="711"/>
      <c r="Q2491" s="712"/>
      <c r="U2491" s="711"/>
      <c r="V2491" s="711"/>
      <c r="W2491" s="711"/>
      <c r="X2491" s="711"/>
      <c r="Y2491" s="711"/>
      <c r="Z2491" s="711"/>
      <c r="AU2491" s="713"/>
      <c r="AW2491" s="712"/>
      <c r="BY2491" s="714"/>
      <c r="BZ2491" s="715"/>
      <c r="CA2491" s="716"/>
      <c r="CB2491" s="717"/>
      <c r="CC2491" s="717"/>
      <c r="CD2491" s="717"/>
      <c r="CE2491" s="717"/>
      <c r="CF2491" s="717"/>
      <c r="CG2491" s="717"/>
      <c r="CH2491" s="717"/>
      <c r="CI2491" s="717"/>
      <c r="CJ2491" s="717"/>
      <c r="CK2491" s="717"/>
      <c r="CL2491" s="717"/>
      <c r="CM2491" s="717"/>
      <c r="CN2491" s="717"/>
      <c r="CO2491" s="717"/>
      <c r="CP2491" s="717"/>
      <c r="CQ2491" s="717"/>
      <c r="CR2491" s="717"/>
      <c r="CS2491" s="717"/>
      <c r="CT2491" s="717"/>
      <c r="CU2491" s="717"/>
      <c r="CV2491" s="717"/>
      <c r="CW2491" s="717"/>
      <c r="CX2491" s="717"/>
      <c r="CY2491" s="717"/>
      <c r="CZ2491" s="717"/>
      <c r="DA2491" s="717"/>
      <c r="DB2491" s="717"/>
      <c r="DC2491" s="717"/>
      <c r="DD2491" s="717"/>
      <c r="DE2491" s="717"/>
      <c r="DF2491" s="717"/>
      <c r="DG2491" s="717"/>
      <c r="DH2491" s="717"/>
      <c r="DI2491" s="717"/>
      <c r="DJ2491" s="717"/>
      <c r="DM2491" s="711"/>
      <c r="DN2491" s="711"/>
      <c r="DO2491" s="711"/>
      <c r="DP2491" s="711"/>
      <c r="DQ2491" s="711"/>
    </row>
    <row r="2492" spans="13:121" s="709" customFormat="1" hidden="1">
      <c r="M2492" s="710"/>
      <c r="P2492" s="711"/>
      <c r="Q2492" s="712"/>
      <c r="U2492" s="711"/>
      <c r="V2492" s="711"/>
      <c r="W2492" s="711"/>
      <c r="X2492" s="711"/>
      <c r="Y2492" s="711"/>
      <c r="Z2492" s="711"/>
      <c r="AU2492" s="713"/>
      <c r="AW2492" s="712"/>
      <c r="BY2492" s="714"/>
      <c r="BZ2492" s="715"/>
      <c r="CA2492" s="716"/>
      <c r="CB2492" s="717"/>
      <c r="CC2492" s="717"/>
      <c r="CD2492" s="717"/>
      <c r="CE2492" s="717"/>
      <c r="CF2492" s="717"/>
      <c r="CG2492" s="717"/>
      <c r="CH2492" s="717"/>
      <c r="CI2492" s="717"/>
      <c r="CJ2492" s="717"/>
      <c r="CK2492" s="717"/>
      <c r="CL2492" s="717"/>
      <c r="CM2492" s="717"/>
      <c r="CN2492" s="717"/>
      <c r="CO2492" s="717"/>
      <c r="CP2492" s="717"/>
      <c r="CQ2492" s="717"/>
      <c r="CR2492" s="717"/>
      <c r="CS2492" s="717"/>
      <c r="CT2492" s="717"/>
      <c r="CU2492" s="717"/>
      <c r="CV2492" s="717"/>
      <c r="CW2492" s="717"/>
      <c r="CX2492" s="717"/>
      <c r="CY2492" s="717"/>
      <c r="CZ2492" s="717"/>
      <c r="DA2492" s="717"/>
      <c r="DB2492" s="717"/>
      <c r="DC2492" s="717"/>
      <c r="DD2492" s="717"/>
      <c r="DE2492" s="717"/>
      <c r="DF2492" s="717"/>
      <c r="DG2492" s="717"/>
      <c r="DH2492" s="717"/>
      <c r="DI2492" s="717"/>
      <c r="DJ2492" s="717"/>
      <c r="DM2492" s="711"/>
      <c r="DN2492" s="711"/>
      <c r="DO2492" s="711"/>
      <c r="DP2492" s="711"/>
      <c r="DQ2492" s="711"/>
    </row>
    <row r="2493" spans="13:121" s="709" customFormat="1" hidden="1">
      <c r="M2493" s="710"/>
      <c r="P2493" s="711"/>
      <c r="Q2493" s="712"/>
      <c r="U2493" s="711"/>
      <c r="V2493" s="711"/>
      <c r="W2493" s="711"/>
      <c r="X2493" s="711"/>
      <c r="Y2493" s="711"/>
      <c r="Z2493" s="711"/>
      <c r="AU2493" s="713"/>
      <c r="AW2493" s="712"/>
      <c r="BY2493" s="714"/>
      <c r="BZ2493" s="715"/>
      <c r="CA2493" s="716"/>
      <c r="CB2493" s="717"/>
      <c r="CC2493" s="717"/>
      <c r="CD2493" s="717"/>
      <c r="CE2493" s="717"/>
      <c r="CF2493" s="717"/>
      <c r="CG2493" s="717"/>
      <c r="CH2493" s="717"/>
      <c r="CI2493" s="717"/>
      <c r="CJ2493" s="717"/>
      <c r="CK2493" s="717"/>
      <c r="CL2493" s="717"/>
      <c r="CM2493" s="717"/>
      <c r="CN2493" s="717"/>
      <c r="CO2493" s="717"/>
      <c r="CP2493" s="717"/>
      <c r="CQ2493" s="717"/>
      <c r="CR2493" s="717"/>
      <c r="CS2493" s="717"/>
      <c r="CT2493" s="717"/>
      <c r="CU2493" s="717"/>
      <c r="CV2493" s="717"/>
      <c r="CW2493" s="717"/>
      <c r="CX2493" s="717"/>
      <c r="CY2493" s="717"/>
      <c r="CZ2493" s="717"/>
      <c r="DA2493" s="717"/>
      <c r="DB2493" s="717"/>
      <c r="DC2493" s="717"/>
      <c r="DD2493" s="717"/>
      <c r="DE2493" s="717"/>
      <c r="DF2493" s="717"/>
      <c r="DG2493" s="717"/>
      <c r="DH2493" s="717"/>
      <c r="DI2493" s="717"/>
      <c r="DJ2493" s="717"/>
      <c r="DM2493" s="711"/>
      <c r="DN2493" s="711"/>
      <c r="DO2493" s="711"/>
      <c r="DP2493" s="711"/>
      <c r="DQ2493" s="711"/>
    </row>
    <row r="2494" spans="13:121" s="709" customFormat="1" hidden="1">
      <c r="M2494" s="710"/>
      <c r="P2494" s="711"/>
      <c r="Q2494" s="712"/>
      <c r="U2494" s="711"/>
      <c r="V2494" s="711"/>
      <c r="W2494" s="711"/>
      <c r="X2494" s="711"/>
      <c r="Y2494" s="711"/>
      <c r="Z2494" s="711"/>
      <c r="AU2494" s="713"/>
      <c r="AW2494" s="712"/>
      <c r="BY2494" s="714"/>
      <c r="BZ2494" s="715"/>
      <c r="CA2494" s="716"/>
      <c r="CB2494" s="717"/>
      <c r="CC2494" s="717"/>
      <c r="CD2494" s="717"/>
      <c r="CE2494" s="717"/>
      <c r="CF2494" s="717"/>
      <c r="CG2494" s="717"/>
      <c r="CH2494" s="717"/>
      <c r="CI2494" s="717"/>
      <c r="CJ2494" s="717"/>
      <c r="CK2494" s="717"/>
      <c r="CL2494" s="717"/>
      <c r="CM2494" s="717"/>
      <c r="CN2494" s="717"/>
      <c r="CO2494" s="717"/>
      <c r="CP2494" s="717"/>
      <c r="CQ2494" s="717"/>
      <c r="CR2494" s="717"/>
      <c r="CS2494" s="717"/>
      <c r="CT2494" s="717"/>
      <c r="CU2494" s="717"/>
      <c r="CV2494" s="717"/>
      <c r="CW2494" s="717"/>
      <c r="CX2494" s="717"/>
      <c r="CY2494" s="717"/>
      <c r="CZ2494" s="717"/>
      <c r="DA2494" s="717"/>
      <c r="DB2494" s="717"/>
      <c r="DC2494" s="717"/>
      <c r="DD2494" s="717"/>
      <c r="DE2494" s="717"/>
      <c r="DF2494" s="717"/>
      <c r="DG2494" s="717"/>
      <c r="DH2494" s="717"/>
      <c r="DI2494" s="717"/>
      <c r="DJ2494" s="717"/>
      <c r="DM2494" s="711"/>
      <c r="DN2494" s="711"/>
      <c r="DO2494" s="711"/>
      <c r="DP2494" s="711"/>
      <c r="DQ2494" s="711"/>
    </row>
    <row r="2495" spans="13:121" s="709" customFormat="1" hidden="1">
      <c r="M2495" s="710"/>
      <c r="P2495" s="711"/>
      <c r="Q2495" s="712"/>
      <c r="U2495" s="711"/>
      <c r="V2495" s="711"/>
      <c r="W2495" s="711"/>
      <c r="X2495" s="711"/>
      <c r="Y2495" s="711"/>
      <c r="Z2495" s="711"/>
      <c r="AU2495" s="713"/>
      <c r="AW2495" s="712"/>
      <c r="BY2495" s="714"/>
      <c r="BZ2495" s="715"/>
      <c r="CA2495" s="716"/>
      <c r="CB2495" s="717"/>
      <c r="CC2495" s="717"/>
      <c r="CD2495" s="717"/>
      <c r="CE2495" s="717"/>
      <c r="CF2495" s="717"/>
      <c r="CG2495" s="717"/>
      <c r="CH2495" s="717"/>
      <c r="CI2495" s="717"/>
      <c r="CJ2495" s="717"/>
      <c r="CK2495" s="717"/>
      <c r="CL2495" s="717"/>
      <c r="CM2495" s="717"/>
      <c r="CN2495" s="717"/>
      <c r="CO2495" s="717"/>
      <c r="CP2495" s="717"/>
      <c r="CQ2495" s="717"/>
      <c r="CR2495" s="717"/>
      <c r="CS2495" s="717"/>
      <c r="CT2495" s="717"/>
      <c r="CU2495" s="717"/>
      <c r="CV2495" s="717"/>
      <c r="CW2495" s="717"/>
      <c r="CX2495" s="717"/>
      <c r="CY2495" s="717"/>
      <c r="CZ2495" s="717"/>
      <c r="DA2495" s="717"/>
      <c r="DB2495" s="717"/>
      <c r="DC2495" s="717"/>
      <c r="DD2495" s="717"/>
      <c r="DE2495" s="717"/>
      <c r="DF2495" s="717"/>
      <c r="DG2495" s="717"/>
      <c r="DH2495" s="717"/>
      <c r="DI2495" s="717"/>
      <c r="DJ2495" s="717"/>
      <c r="DM2495" s="711"/>
      <c r="DN2495" s="711"/>
      <c r="DO2495" s="711"/>
      <c r="DP2495" s="711"/>
      <c r="DQ2495" s="711"/>
    </row>
    <row r="2496" spans="13:121" s="709" customFormat="1" hidden="1">
      <c r="M2496" s="710"/>
      <c r="P2496" s="711"/>
      <c r="Q2496" s="712"/>
      <c r="U2496" s="711"/>
      <c r="V2496" s="711"/>
      <c r="W2496" s="711"/>
      <c r="X2496" s="711"/>
      <c r="Y2496" s="711"/>
      <c r="Z2496" s="711"/>
      <c r="AU2496" s="713"/>
      <c r="AW2496" s="712"/>
      <c r="BY2496" s="714"/>
      <c r="BZ2496" s="715"/>
      <c r="CA2496" s="716"/>
      <c r="CB2496" s="717"/>
      <c r="CC2496" s="717"/>
      <c r="CD2496" s="717"/>
      <c r="CE2496" s="717"/>
      <c r="CF2496" s="717"/>
      <c r="CG2496" s="717"/>
      <c r="CH2496" s="717"/>
      <c r="CI2496" s="717"/>
      <c r="CJ2496" s="717"/>
      <c r="CK2496" s="717"/>
      <c r="CL2496" s="717"/>
      <c r="CM2496" s="717"/>
      <c r="CN2496" s="717"/>
      <c r="CO2496" s="717"/>
      <c r="CP2496" s="717"/>
      <c r="CQ2496" s="717"/>
      <c r="CR2496" s="717"/>
      <c r="CS2496" s="717"/>
      <c r="CT2496" s="717"/>
      <c r="CU2496" s="717"/>
      <c r="CV2496" s="717"/>
      <c r="CW2496" s="717"/>
      <c r="CX2496" s="717"/>
      <c r="CY2496" s="717"/>
      <c r="CZ2496" s="717"/>
      <c r="DA2496" s="717"/>
      <c r="DB2496" s="717"/>
      <c r="DC2496" s="717"/>
      <c r="DD2496" s="717"/>
      <c r="DE2496" s="717"/>
      <c r="DF2496" s="717"/>
      <c r="DG2496" s="717"/>
      <c r="DH2496" s="717"/>
      <c r="DI2496" s="717"/>
      <c r="DJ2496" s="717"/>
      <c r="DM2496" s="711"/>
      <c r="DN2496" s="711"/>
      <c r="DO2496" s="711"/>
      <c r="DP2496" s="711"/>
      <c r="DQ2496" s="711"/>
    </row>
    <row r="2497" spans="13:121" s="709" customFormat="1" hidden="1">
      <c r="M2497" s="710"/>
      <c r="P2497" s="711"/>
      <c r="Q2497" s="712"/>
      <c r="U2497" s="711"/>
      <c r="V2497" s="711"/>
      <c r="W2497" s="711"/>
      <c r="X2497" s="711"/>
      <c r="Y2497" s="711"/>
      <c r="Z2497" s="711"/>
      <c r="AU2497" s="713"/>
      <c r="AW2497" s="712"/>
      <c r="BY2497" s="714"/>
      <c r="BZ2497" s="715"/>
      <c r="CA2497" s="716"/>
      <c r="CB2497" s="717"/>
      <c r="CC2497" s="717"/>
      <c r="CD2497" s="717"/>
      <c r="CE2497" s="717"/>
      <c r="CF2497" s="717"/>
      <c r="CG2497" s="717"/>
      <c r="CH2497" s="717"/>
      <c r="CI2497" s="717"/>
      <c r="CJ2497" s="717"/>
      <c r="CK2497" s="717"/>
      <c r="CL2497" s="717"/>
      <c r="CM2497" s="717"/>
      <c r="CN2497" s="717"/>
      <c r="CO2497" s="717"/>
      <c r="CP2497" s="717"/>
      <c r="CQ2497" s="717"/>
      <c r="CR2497" s="717"/>
      <c r="CS2497" s="717"/>
      <c r="CT2497" s="717"/>
      <c r="CU2497" s="717"/>
      <c r="CV2497" s="717"/>
      <c r="CW2497" s="717"/>
      <c r="CX2497" s="717"/>
      <c r="CY2497" s="717"/>
      <c r="CZ2497" s="717"/>
      <c r="DA2497" s="717"/>
      <c r="DB2497" s="717"/>
      <c r="DC2497" s="717"/>
      <c r="DD2497" s="717"/>
      <c r="DE2497" s="717"/>
      <c r="DF2497" s="717"/>
      <c r="DG2497" s="717"/>
      <c r="DH2497" s="717"/>
      <c r="DI2497" s="717"/>
      <c r="DJ2497" s="717"/>
      <c r="DM2497" s="711"/>
      <c r="DN2497" s="711"/>
      <c r="DO2497" s="711"/>
      <c r="DP2497" s="711"/>
      <c r="DQ2497" s="711"/>
    </row>
    <row r="2498" spans="13:121" s="709" customFormat="1" hidden="1">
      <c r="M2498" s="710"/>
      <c r="P2498" s="711"/>
      <c r="Q2498" s="712"/>
      <c r="U2498" s="711"/>
      <c r="V2498" s="711"/>
      <c r="W2498" s="711"/>
      <c r="X2498" s="711"/>
      <c r="Y2498" s="711"/>
      <c r="Z2498" s="711"/>
      <c r="AU2498" s="713"/>
      <c r="AW2498" s="712"/>
      <c r="BY2498" s="714"/>
      <c r="BZ2498" s="715"/>
      <c r="CA2498" s="716"/>
      <c r="CB2498" s="717"/>
      <c r="CC2498" s="717"/>
      <c r="CD2498" s="717"/>
      <c r="CE2498" s="717"/>
      <c r="CF2498" s="717"/>
      <c r="CG2498" s="717"/>
      <c r="CH2498" s="717"/>
      <c r="CI2498" s="717"/>
      <c r="CJ2498" s="717"/>
      <c r="CK2498" s="717"/>
      <c r="CL2498" s="717"/>
      <c r="CM2498" s="717"/>
      <c r="CN2498" s="717"/>
      <c r="CO2498" s="717"/>
      <c r="CP2498" s="717"/>
      <c r="CQ2498" s="717"/>
      <c r="CR2498" s="717"/>
      <c r="CS2498" s="717"/>
      <c r="CT2498" s="717"/>
      <c r="CU2498" s="717"/>
      <c r="CV2498" s="717"/>
      <c r="CW2498" s="717"/>
      <c r="CX2498" s="717"/>
      <c r="CY2498" s="717"/>
      <c r="CZ2498" s="717"/>
      <c r="DA2498" s="717"/>
      <c r="DB2498" s="717"/>
      <c r="DC2498" s="717"/>
      <c r="DD2498" s="717"/>
      <c r="DE2498" s="717"/>
      <c r="DF2498" s="717"/>
      <c r="DG2498" s="717"/>
      <c r="DH2498" s="717"/>
      <c r="DI2498" s="717"/>
      <c r="DJ2498" s="717"/>
      <c r="DM2498" s="711"/>
      <c r="DN2498" s="711"/>
      <c r="DO2498" s="711"/>
      <c r="DP2498" s="711"/>
      <c r="DQ2498" s="711"/>
    </row>
    <row r="2499" spans="13:121" s="709" customFormat="1" hidden="1">
      <c r="M2499" s="710"/>
      <c r="P2499" s="711"/>
      <c r="Q2499" s="712"/>
      <c r="U2499" s="711"/>
      <c r="V2499" s="711"/>
      <c r="W2499" s="711"/>
      <c r="X2499" s="711"/>
      <c r="Y2499" s="711"/>
      <c r="Z2499" s="711"/>
      <c r="AU2499" s="713"/>
      <c r="AW2499" s="712"/>
      <c r="BY2499" s="714"/>
      <c r="BZ2499" s="715"/>
      <c r="CA2499" s="716"/>
      <c r="CB2499" s="717"/>
      <c r="CC2499" s="717"/>
      <c r="CD2499" s="717"/>
      <c r="CE2499" s="717"/>
      <c r="CF2499" s="717"/>
      <c r="CG2499" s="717"/>
      <c r="CH2499" s="717"/>
      <c r="CI2499" s="717"/>
      <c r="CJ2499" s="717"/>
      <c r="CK2499" s="717"/>
      <c r="CL2499" s="717"/>
      <c r="CM2499" s="717"/>
      <c r="CN2499" s="717"/>
      <c r="CO2499" s="717"/>
      <c r="CP2499" s="717"/>
      <c r="CQ2499" s="717"/>
      <c r="CR2499" s="717"/>
      <c r="CS2499" s="717"/>
      <c r="CT2499" s="717"/>
      <c r="CU2499" s="717"/>
      <c r="CV2499" s="717"/>
      <c r="CW2499" s="717"/>
      <c r="CX2499" s="717"/>
      <c r="CY2499" s="717"/>
      <c r="CZ2499" s="717"/>
      <c r="DA2499" s="717"/>
      <c r="DB2499" s="717"/>
      <c r="DC2499" s="717"/>
      <c r="DD2499" s="717"/>
      <c r="DE2499" s="717"/>
      <c r="DF2499" s="717"/>
      <c r="DG2499" s="717"/>
      <c r="DH2499" s="717"/>
      <c r="DI2499" s="717"/>
      <c r="DJ2499" s="717"/>
      <c r="DM2499" s="711"/>
      <c r="DN2499" s="711"/>
      <c r="DO2499" s="711"/>
      <c r="DP2499" s="711"/>
      <c r="DQ2499" s="711"/>
    </row>
    <row r="2500" spans="13:121" s="709" customFormat="1" hidden="1">
      <c r="M2500" s="710"/>
      <c r="P2500" s="711"/>
      <c r="Q2500" s="712"/>
      <c r="U2500" s="711"/>
      <c r="V2500" s="711"/>
      <c r="W2500" s="711"/>
      <c r="X2500" s="711"/>
      <c r="Y2500" s="711"/>
      <c r="Z2500" s="711"/>
      <c r="AU2500" s="713"/>
      <c r="AW2500" s="712"/>
      <c r="BY2500" s="714"/>
      <c r="BZ2500" s="715"/>
      <c r="CA2500" s="716"/>
      <c r="CB2500" s="717"/>
      <c r="CC2500" s="717"/>
      <c r="CD2500" s="717"/>
      <c r="CE2500" s="717"/>
      <c r="CF2500" s="717"/>
      <c r="CG2500" s="717"/>
      <c r="CH2500" s="717"/>
      <c r="CI2500" s="717"/>
      <c r="CJ2500" s="717"/>
      <c r="CK2500" s="717"/>
      <c r="CL2500" s="717"/>
      <c r="CM2500" s="717"/>
      <c r="CN2500" s="717"/>
      <c r="CO2500" s="717"/>
      <c r="CP2500" s="717"/>
      <c r="CQ2500" s="717"/>
      <c r="CR2500" s="717"/>
      <c r="CS2500" s="717"/>
      <c r="CT2500" s="717"/>
      <c r="CU2500" s="717"/>
      <c r="CV2500" s="717"/>
      <c r="CW2500" s="717"/>
      <c r="CX2500" s="717"/>
      <c r="CY2500" s="717"/>
      <c r="CZ2500" s="717"/>
      <c r="DA2500" s="717"/>
      <c r="DB2500" s="717"/>
      <c r="DC2500" s="717"/>
      <c r="DD2500" s="717"/>
      <c r="DE2500" s="717"/>
      <c r="DF2500" s="717"/>
      <c r="DG2500" s="717"/>
      <c r="DH2500" s="717"/>
      <c r="DI2500" s="717"/>
      <c r="DJ2500" s="717"/>
      <c r="DM2500" s="711"/>
      <c r="DN2500" s="711"/>
      <c r="DO2500" s="711"/>
      <c r="DP2500" s="711"/>
      <c r="DQ2500" s="711"/>
    </row>
    <row r="2501" spans="13:121" s="709" customFormat="1" hidden="1">
      <c r="M2501" s="710"/>
      <c r="P2501" s="711"/>
      <c r="Q2501" s="712"/>
      <c r="U2501" s="711"/>
      <c r="V2501" s="711"/>
      <c r="W2501" s="711"/>
      <c r="X2501" s="711"/>
      <c r="Y2501" s="711"/>
      <c r="Z2501" s="711"/>
      <c r="AU2501" s="713"/>
      <c r="AW2501" s="712"/>
      <c r="BY2501" s="714"/>
      <c r="BZ2501" s="715"/>
      <c r="CA2501" s="716"/>
      <c r="CB2501" s="717"/>
      <c r="CC2501" s="717"/>
      <c r="CD2501" s="717"/>
      <c r="CE2501" s="717"/>
      <c r="CF2501" s="717"/>
      <c r="CG2501" s="717"/>
      <c r="CH2501" s="717"/>
      <c r="CI2501" s="717"/>
      <c r="CJ2501" s="717"/>
      <c r="CK2501" s="717"/>
      <c r="CL2501" s="717"/>
      <c r="CM2501" s="717"/>
      <c r="CN2501" s="717"/>
      <c r="CO2501" s="717"/>
      <c r="CP2501" s="717"/>
      <c r="CQ2501" s="717"/>
      <c r="CR2501" s="717"/>
      <c r="CS2501" s="717"/>
      <c r="CT2501" s="717"/>
      <c r="CU2501" s="717"/>
      <c r="CV2501" s="717"/>
      <c r="CW2501" s="717"/>
      <c r="CX2501" s="717"/>
      <c r="CY2501" s="717"/>
      <c r="CZ2501" s="717"/>
      <c r="DA2501" s="717"/>
      <c r="DB2501" s="717"/>
      <c r="DC2501" s="717"/>
      <c r="DD2501" s="717"/>
      <c r="DE2501" s="717"/>
      <c r="DF2501" s="717"/>
      <c r="DG2501" s="717"/>
      <c r="DH2501" s="717"/>
      <c r="DI2501" s="717"/>
      <c r="DJ2501" s="717"/>
      <c r="DM2501" s="711"/>
      <c r="DN2501" s="711"/>
      <c r="DO2501" s="711"/>
      <c r="DP2501" s="711"/>
      <c r="DQ2501" s="711"/>
    </row>
    <row r="2502" spans="13:121" s="709" customFormat="1" hidden="1">
      <c r="M2502" s="710"/>
      <c r="P2502" s="711"/>
      <c r="Q2502" s="712"/>
      <c r="U2502" s="711"/>
      <c r="V2502" s="711"/>
      <c r="W2502" s="711"/>
      <c r="X2502" s="711"/>
      <c r="Y2502" s="711"/>
      <c r="Z2502" s="711"/>
      <c r="AU2502" s="713"/>
      <c r="AW2502" s="712"/>
      <c r="BY2502" s="714"/>
      <c r="BZ2502" s="715"/>
      <c r="CA2502" s="716"/>
      <c r="CB2502" s="717"/>
      <c r="CC2502" s="717"/>
      <c r="CD2502" s="717"/>
      <c r="CE2502" s="717"/>
      <c r="CF2502" s="717"/>
      <c r="CG2502" s="717"/>
      <c r="CH2502" s="717"/>
      <c r="CI2502" s="717"/>
      <c r="CJ2502" s="717"/>
      <c r="CK2502" s="717"/>
      <c r="CL2502" s="717"/>
      <c r="CM2502" s="717"/>
      <c r="CN2502" s="717"/>
      <c r="CO2502" s="717"/>
      <c r="CP2502" s="717"/>
      <c r="CQ2502" s="717"/>
      <c r="CR2502" s="717"/>
      <c r="CS2502" s="717"/>
      <c r="CT2502" s="717"/>
      <c r="CU2502" s="717"/>
      <c r="CV2502" s="717"/>
      <c r="CW2502" s="717"/>
      <c r="CX2502" s="717"/>
      <c r="CY2502" s="717"/>
      <c r="CZ2502" s="717"/>
      <c r="DA2502" s="717"/>
      <c r="DB2502" s="717"/>
      <c r="DC2502" s="717"/>
      <c r="DD2502" s="717"/>
      <c r="DE2502" s="717"/>
      <c r="DF2502" s="717"/>
      <c r="DG2502" s="717"/>
      <c r="DH2502" s="717"/>
      <c r="DI2502" s="717"/>
      <c r="DJ2502" s="717"/>
      <c r="DM2502" s="711"/>
      <c r="DN2502" s="711"/>
      <c r="DO2502" s="711"/>
      <c r="DP2502" s="711"/>
      <c r="DQ2502" s="711"/>
    </row>
    <row r="2503" spans="13:121" s="709" customFormat="1" hidden="1">
      <c r="M2503" s="710"/>
      <c r="P2503" s="711"/>
      <c r="Q2503" s="712"/>
      <c r="U2503" s="711"/>
      <c r="V2503" s="711"/>
      <c r="W2503" s="711"/>
      <c r="X2503" s="711"/>
      <c r="Y2503" s="711"/>
      <c r="Z2503" s="711"/>
      <c r="AU2503" s="713"/>
      <c r="AW2503" s="712"/>
      <c r="BY2503" s="714"/>
      <c r="BZ2503" s="715"/>
      <c r="CA2503" s="716"/>
      <c r="CB2503" s="717"/>
      <c r="CC2503" s="717"/>
      <c r="CD2503" s="717"/>
      <c r="CE2503" s="717"/>
      <c r="CF2503" s="717"/>
      <c r="CG2503" s="717"/>
      <c r="CH2503" s="717"/>
      <c r="CI2503" s="717"/>
      <c r="CJ2503" s="717"/>
      <c r="CK2503" s="717"/>
      <c r="CL2503" s="717"/>
      <c r="CM2503" s="717"/>
      <c r="CN2503" s="717"/>
      <c r="CO2503" s="717"/>
      <c r="CP2503" s="717"/>
      <c r="CQ2503" s="717"/>
      <c r="CR2503" s="717"/>
      <c r="CS2503" s="717"/>
      <c r="CT2503" s="717"/>
      <c r="CU2503" s="717"/>
      <c r="CV2503" s="717"/>
      <c r="CW2503" s="717"/>
      <c r="CX2503" s="717"/>
      <c r="CY2503" s="717"/>
      <c r="CZ2503" s="717"/>
      <c r="DA2503" s="717"/>
      <c r="DB2503" s="717"/>
      <c r="DC2503" s="717"/>
      <c r="DD2503" s="717"/>
      <c r="DE2503" s="717"/>
      <c r="DF2503" s="717"/>
      <c r="DG2503" s="717"/>
      <c r="DH2503" s="717"/>
      <c r="DI2503" s="717"/>
      <c r="DJ2503" s="717"/>
      <c r="DM2503" s="711"/>
      <c r="DN2503" s="711"/>
      <c r="DO2503" s="711"/>
      <c r="DP2503" s="711"/>
      <c r="DQ2503" s="711"/>
    </row>
    <row r="2504" spans="13:121" s="709" customFormat="1" hidden="1">
      <c r="M2504" s="710"/>
      <c r="P2504" s="711"/>
      <c r="Q2504" s="712"/>
      <c r="U2504" s="711"/>
      <c r="V2504" s="711"/>
      <c r="W2504" s="711"/>
      <c r="X2504" s="711"/>
      <c r="Y2504" s="711"/>
      <c r="Z2504" s="711"/>
      <c r="AU2504" s="713"/>
      <c r="AW2504" s="712"/>
      <c r="BY2504" s="714"/>
      <c r="BZ2504" s="715"/>
      <c r="CA2504" s="716"/>
      <c r="CB2504" s="717"/>
      <c r="CC2504" s="717"/>
      <c r="CD2504" s="717"/>
      <c r="CE2504" s="717"/>
      <c r="CF2504" s="717"/>
      <c r="CG2504" s="717"/>
      <c r="CH2504" s="717"/>
      <c r="CI2504" s="717"/>
      <c r="CJ2504" s="717"/>
      <c r="CK2504" s="717"/>
      <c r="CL2504" s="717"/>
      <c r="CM2504" s="717"/>
      <c r="CN2504" s="717"/>
      <c r="CO2504" s="717"/>
      <c r="CP2504" s="717"/>
      <c r="CQ2504" s="717"/>
      <c r="CR2504" s="717"/>
      <c r="CS2504" s="717"/>
      <c r="CT2504" s="717"/>
      <c r="CU2504" s="717"/>
      <c r="CV2504" s="717"/>
      <c r="CW2504" s="717"/>
      <c r="CX2504" s="717"/>
      <c r="CY2504" s="717"/>
      <c r="CZ2504" s="717"/>
      <c r="DA2504" s="717"/>
      <c r="DB2504" s="717"/>
      <c r="DC2504" s="717"/>
      <c r="DD2504" s="717"/>
      <c r="DE2504" s="717"/>
      <c r="DF2504" s="717"/>
      <c r="DG2504" s="717"/>
      <c r="DH2504" s="717"/>
      <c r="DI2504" s="717"/>
      <c r="DJ2504" s="717"/>
      <c r="DM2504" s="711"/>
      <c r="DN2504" s="711"/>
      <c r="DO2504" s="711"/>
      <c r="DP2504" s="711"/>
      <c r="DQ2504" s="711"/>
    </row>
    <row r="2505" spans="13:121" s="709" customFormat="1" hidden="1">
      <c r="M2505" s="710"/>
      <c r="P2505" s="711"/>
      <c r="Q2505" s="712"/>
      <c r="U2505" s="711"/>
      <c r="V2505" s="711"/>
      <c r="W2505" s="711"/>
      <c r="X2505" s="711"/>
      <c r="Y2505" s="711"/>
      <c r="Z2505" s="711"/>
      <c r="AU2505" s="713"/>
      <c r="AW2505" s="712"/>
      <c r="BY2505" s="714"/>
      <c r="BZ2505" s="715"/>
      <c r="CA2505" s="716"/>
      <c r="CB2505" s="717"/>
      <c r="CC2505" s="717"/>
      <c r="CD2505" s="717"/>
      <c r="CE2505" s="717"/>
      <c r="CF2505" s="717"/>
      <c r="CG2505" s="717"/>
      <c r="CH2505" s="717"/>
      <c r="CI2505" s="717"/>
      <c r="CJ2505" s="717"/>
      <c r="CK2505" s="717"/>
      <c r="CL2505" s="717"/>
      <c r="CM2505" s="717"/>
      <c r="CN2505" s="717"/>
      <c r="CO2505" s="717"/>
      <c r="CP2505" s="717"/>
      <c r="CQ2505" s="717"/>
      <c r="CR2505" s="717"/>
      <c r="CS2505" s="717"/>
      <c r="CT2505" s="717"/>
      <c r="CU2505" s="717"/>
      <c r="CV2505" s="717"/>
      <c r="CW2505" s="717"/>
      <c r="CX2505" s="717"/>
      <c r="CY2505" s="717"/>
      <c r="CZ2505" s="717"/>
      <c r="DA2505" s="717"/>
      <c r="DB2505" s="717"/>
      <c r="DC2505" s="717"/>
      <c r="DD2505" s="717"/>
      <c r="DE2505" s="717"/>
      <c r="DF2505" s="717"/>
      <c r="DG2505" s="717"/>
      <c r="DH2505" s="717"/>
      <c r="DI2505" s="717"/>
      <c r="DJ2505" s="717"/>
      <c r="DM2505" s="711"/>
      <c r="DN2505" s="711"/>
      <c r="DO2505" s="711"/>
      <c r="DP2505" s="711"/>
      <c r="DQ2505" s="711"/>
    </row>
    <row r="2506" spans="13:121" s="709" customFormat="1" hidden="1">
      <c r="M2506" s="710"/>
      <c r="P2506" s="711"/>
      <c r="Q2506" s="712"/>
      <c r="U2506" s="711"/>
      <c r="V2506" s="711"/>
      <c r="W2506" s="711"/>
      <c r="X2506" s="711"/>
      <c r="Y2506" s="711"/>
      <c r="Z2506" s="711"/>
      <c r="AU2506" s="713"/>
      <c r="AW2506" s="712"/>
      <c r="BY2506" s="714"/>
      <c r="BZ2506" s="715"/>
      <c r="CA2506" s="716"/>
      <c r="CB2506" s="717"/>
      <c r="CC2506" s="717"/>
      <c r="CD2506" s="717"/>
      <c r="CE2506" s="717"/>
      <c r="CF2506" s="717"/>
      <c r="CG2506" s="717"/>
      <c r="CH2506" s="717"/>
      <c r="CI2506" s="717"/>
      <c r="CJ2506" s="717"/>
      <c r="CK2506" s="717"/>
      <c r="CL2506" s="717"/>
      <c r="CM2506" s="717"/>
      <c r="CN2506" s="717"/>
      <c r="CO2506" s="717"/>
      <c r="CP2506" s="717"/>
      <c r="CQ2506" s="717"/>
      <c r="CR2506" s="717"/>
      <c r="CS2506" s="717"/>
      <c r="CT2506" s="717"/>
      <c r="CU2506" s="717"/>
      <c r="CV2506" s="717"/>
      <c r="CW2506" s="717"/>
      <c r="CX2506" s="717"/>
      <c r="CY2506" s="717"/>
      <c r="CZ2506" s="717"/>
      <c r="DA2506" s="717"/>
      <c r="DB2506" s="717"/>
      <c r="DC2506" s="717"/>
      <c r="DD2506" s="717"/>
      <c r="DE2506" s="717"/>
      <c r="DF2506" s="717"/>
      <c r="DG2506" s="717"/>
      <c r="DH2506" s="717"/>
      <c r="DI2506" s="717"/>
      <c r="DJ2506" s="717"/>
      <c r="DM2506" s="711"/>
      <c r="DN2506" s="711"/>
      <c r="DO2506" s="711"/>
      <c r="DP2506" s="711"/>
      <c r="DQ2506" s="711"/>
    </row>
    <row r="2507" spans="13:121" s="709" customFormat="1" hidden="1">
      <c r="M2507" s="710"/>
      <c r="P2507" s="711"/>
      <c r="Q2507" s="712"/>
      <c r="U2507" s="711"/>
      <c r="V2507" s="711"/>
      <c r="W2507" s="711"/>
      <c r="X2507" s="711"/>
      <c r="Y2507" s="711"/>
      <c r="Z2507" s="711"/>
      <c r="AU2507" s="713"/>
      <c r="AW2507" s="712"/>
      <c r="BY2507" s="714"/>
      <c r="BZ2507" s="715"/>
      <c r="CA2507" s="716"/>
      <c r="CB2507" s="717"/>
      <c r="CC2507" s="717"/>
      <c r="CD2507" s="717"/>
      <c r="CE2507" s="717"/>
      <c r="CF2507" s="717"/>
      <c r="CG2507" s="717"/>
      <c r="CH2507" s="717"/>
      <c r="CI2507" s="717"/>
      <c r="CJ2507" s="717"/>
      <c r="CK2507" s="717"/>
      <c r="CL2507" s="717"/>
      <c r="CM2507" s="717"/>
      <c r="CN2507" s="717"/>
      <c r="CO2507" s="717"/>
      <c r="CP2507" s="717"/>
      <c r="CQ2507" s="717"/>
      <c r="CR2507" s="717"/>
      <c r="CS2507" s="717"/>
      <c r="CT2507" s="717"/>
      <c r="CU2507" s="717"/>
      <c r="CV2507" s="717"/>
      <c r="CW2507" s="717"/>
      <c r="CX2507" s="717"/>
      <c r="CY2507" s="717"/>
      <c r="CZ2507" s="717"/>
      <c r="DA2507" s="717"/>
      <c r="DB2507" s="717"/>
      <c r="DC2507" s="717"/>
      <c r="DD2507" s="717"/>
      <c r="DE2507" s="717"/>
      <c r="DF2507" s="717"/>
      <c r="DG2507" s="717"/>
      <c r="DH2507" s="717"/>
      <c r="DI2507" s="717"/>
      <c r="DJ2507" s="717"/>
      <c r="DM2507" s="711"/>
      <c r="DN2507" s="711"/>
      <c r="DO2507" s="711"/>
      <c r="DP2507" s="711"/>
      <c r="DQ2507" s="711"/>
    </row>
    <row r="2508" spans="13:121" s="709" customFormat="1" hidden="1">
      <c r="M2508" s="710"/>
      <c r="P2508" s="711"/>
      <c r="Q2508" s="712"/>
      <c r="U2508" s="711"/>
      <c r="V2508" s="711"/>
      <c r="W2508" s="711"/>
      <c r="X2508" s="711"/>
      <c r="Y2508" s="711"/>
      <c r="Z2508" s="711"/>
      <c r="AU2508" s="713"/>
      <c r="AW2508" s="712"/>
      <c r="BY2508" s="714"/>
      <c r="BZ2508" s="715"/>
      <c r="CA2508" s="716"/>
      <c r="CB2508" s="717"/>
      <c r="CC2508" s="717"/>
      <c r="CD2508" s="717"/>
      <c r="CE2508" s="717"/>
      <c r="CF2508" s="717"/>
      <c r="CG2508" s="717"/>
      <c r="CH2508" s="717"/>
      <c r="CI2508" s="717"/>
      <c r="CJ2508" s="717"/>
      <c r="CK2508" s="717"/>
      <c r="CL2508" s="717"/>
      <c r="CM2508" s="717"/>
      <c r="CN2508" s="717"/>
      <c r="CO2508" s="717"/>
      <c r="CP2508" s="717"/>
      <c r="CQ2508" s="717"/>
      <c r="CR2508" s="717"/>
      <c r="CS2508" s="717"/>
      <c r="CT2508" s="717"/>
      <c r="CU2508" s="717"/>
      <c r="CV2508" s="717"/>
      <c r="CW2508" s="717"/>
      <c r="CX2508" s="717"/>
      <c r="CY2508" s="717"/>
      <c r="CZ2508" s="717"/>
      <c r="DA2508" s="717"/>
      <c r="DB2508" s="717"/>
      <c r="DC2508" s="717"/>
      <c r="DD2508" s="717"/>
      <c r="DE2508" s="717"/>
      <c r="DF2508" s="717"/>
      <c r="DG2508" s="717"/>
      <c r="DH2508" s="717"/>
      <c r="DI2508" s="717"/>
      <c r="DJ2508" s="717"/>
      <c r="DM2508" s="711"/>
      <c r="DN2508" s="711"/>
      <c r="DO2508" s="711"/>
      <c r="DP2508" s="711"/>
      <c r="DQ2508" s="711"/>
    </row>
    <row r="2509" spans="13:121" s="709" customFormat="1" hidden="1">
      <c r="M2509" s="710"/>
      <c r="P2509" s="711"/>
      <c r="Q2509" s="712"/>
      <c r="U2509" s="711"/>
      <c r="V2509" s="711"/>
      <c r="W2509" s="711"/>
      <c r="X2509" s="711"/>
      <c r="Y2509" s="711"/>
      <c r="Z2509" s="711"/>
      <c r="AU2509" s="713"/>
      <c r="AW2509" s="712"/>
      <c r="BY2509" s="714"/>
      <c r="BZ2509" s="715"/>
      <c r="CA2509" s="716"/>
      <c r="CB2509" s="717"/>
      <c r="CC2509" s="717"/>
      <c r="CD2509" s="717"/>
      <c r="CE2509" s="717"/>
      <c r="CF2509" s="717"/>
      <c r="CG2509" s="717"/>
      <c r="CH2509" s="717"/>
      <c r="CI2509" s="717"/>
      <c r="CJ2509" s="717"/>
      <c r="CK2509" s="717"/>
      <c r="CL2509" s="717"/>
      <c r="CM2509" s="717"/>
      <c r="CN2509" s="717"/>
      <c r="CO2509" s="717"/>
      <c r="CP2509" s="717"/>
      <c r="CQ2509" s="717"/>
      <c r="CR2509" s="717"/>
      <c r="CS2509" s="717"/>
      <c r="CT2509" s="717"/>
      <c r="CU2509" s="717"/>
      <c r="CV2509" s="717"/>
      <c r="CW2509" s="717"/>
      <c r="CX2509" s="717"/>
      <c r="CY2509" s="717"/>
      <c r="CZ2509" s="717"/>
      <c r="DA2509" s="717"/>
      <c r="DB2509" s="717"/>
      <c r="DC2509" s="717"/>
      <c r="DD2509" s="717"/>
      <c r="DE2509" s="717"/>
      <c r="DF2509" s="717"/>
      <c r="DG2509" s="717"/>
      <c r="DH2509" s="717"/>
      <c r="DI2509" s="717"/>
      <c r="DJ2509" s="717"/>
      <c r="DM2509" s="711"/>
      <c r="DN2509" s="711"/>
      <c r="DO2509" s="711"/>
      <c r="DP2509" s="711"/>
      <c r="DQ2509" s="711"/>
    </row>
    <row r="2510" spans="13:121" s="709" customFormat="1" hidden="1">
      <c r="M2510" s="710"/>
      <c r="P2510" s="711"/>
      <c r="Q2510" s="712"/>
      <c r="U2510" s="711"/>
      <c r="V2510" s="711"/>
      <c r="W2510" s="711"/>
      <c r="X2510" s="711"/>
      <c r="Y2510" s="711"/>
      <c r="Z2510" s="711"/>
      <c r="AU2510" s="713"/>
      <c r="AW2510" s="712"/>
      <c r="BY2510" s="714"/>
      <c r="BZ2510" s="715"/>
      <c r="CA2510" s="716"/>
      <c r="CB2510" s="717"/>
      <c r="CC2510" s="717"/>
      <c r="CD2510" s="717"/>
      <c r="CE2510" s="717"/>
      <c r="CF2510" s="717"/>
      <c r="CG2510" s="717"/>
      <c r="CH2510" s="717"/>
      <c r="CI2510" s="717"/>
      <c r="CJ2510" s="717"/>
      <c r="CK2510" s="717"/>
      <c r="CL2510" s="717"/>
      <c r="CM2510" s="717"/>
      <c r="CN2510" s="717"/>
      <c r="CO2510" s="717"/>
      <c r="CP2510" s="717"/>
      <c r="CQ2510" s="717"/>
      <c r="CR2510" s="717"/>
      <c r="CS2510" s="717"/>
      <c r="CT2510" s="717"/>
      <c r="CU2510" s="717"/>
      <c r="CV2510" s="717"/>
      <c r="CW2510" s="717"/>
      <c r="CX2510" s="717"/>
      <c r="CY2510" s="717"/>
      <c r="CZ2510" s="717"/>
      <c r="DA2510" s="717"/>
      <c r="DB2510" s="717"/>
      <c r="DC2510" s="717"/>
      <c r="DD2510" s="717"/>
      <c r="DE2510" s="717"/>
      <c r="DF2510" s="717"/>
      <c r="DG2510" s="717"/>
      <c r="DH2510" s="717"/>
      <c r="DI2510" s="717"/>
      <c r="DJ2510" s="717"/>
      <c r="DM2510" s="711"/>
      <c r="DN2510" s="711"/>
      <c r="DO2510" s="711"/>
      <c r="DP2510" s="711"/>
      <c r="DQ2510" s="711"/>
    </row>
    <row r="2511" spans="13:121" s="709" customFormat="1" hidden="1">
      <c r="M2511" s="710"/>
      <c r="P2511" s="711"/>
      <c r="Q2511" s="712"/>
      <c r="U2511" s="711"/>
      <c r="V2511" s="711"/>
      <c r="W2511" s="711"/>
      <c r="X2511" s="711"/>
      <c r="Y2511" s="711"/>
      <c r="Z2511" s="711"/>
      <c r="AU2511" s="713"/>
      <c r="AW2511" s="712"/>
      <c r="BY2511" s="714"/>
      <c r="BZ2511" s="715"/>
      <c r="CA2511" s="716"/>
      <c r="CB2511" s="717"/>
      <c r="CC2511" s="717"/>
      <c r="CD2511" s="717"/>
      <c r="CE2511" s="717"/>
      <c r="CF2511" s="717"/>
      <c r="CG2511" s="717"/>
      <c r="CH2511" s="717"/>
      <c r="CI2511" s="717"/>
      <c r="CJ2511" s="717"/>
      <c r="CK2511" s="717"/>
      <c r="CL2511" s="717"/>
      <c r="CM2511" s="717"/>
      <c r="CN2511" s="717"/>
      <c r="CO2511" s="717"/>
      <c r="CP2511" s="717"/>
      <c r="CQ2511" s="717"/>
      <c r="CR2511" s="717"/>
      <c r="CS2511" s="717"/>
      <c r="CT2511" s="717"/>
      <c r="CU2511" s="717"/>
      <c r="CV2511" s="717"/>
      <c r="CW2511" s="717"/>
      <c r="CX2511" s="717"/>
      <c r="CY2511" s="717"/>
      <c r="CZ2511" s="717"/>
      <c r="DA2511" s="717"/>
      <c r="DB2511" s="717"/>
      <c r="DC2511" s="717"/>
      <c r="DD2511" s="717"/>
      <c r="DE2511" s="717"/>
      <c r="DF2511" s="717"/>
      <c r="DG2511" s="717"/>
      <c r="DH2511" s="717"/>
      <c r="DI2511" s="717"/>
      <c r="DJ2511" s="717"/>
      <c r="DM2511" s="711"/>
      <c r="DN2511" s="711"/>
      <c r="DO2511" s="711"/>
      <c r="DP2511" s="711"/>
      <c r="DQ2511" s="711"/>
    </row>
    <row r="2512" spans="13:121" s="709" customFormat="1" hidden="1">
      <c r="M2512" s="710"/>
      <c r="P2512" s="711"/>
      <c r="Q2512" s="712"/>
      <c r="U2512" s="711"/>
      <c r="V2512" s="711"/>
      <c r="W2512" s="711"/>
      <c r="X2512" s="711"/>
      <c r="Y2512" s="711"/>
      <c r="Z2512" s="711"/>
      <c r="AU2512" s="713"/>
      <c r="AW2512" s="712"/>
      <c r="BY2512" s="714"/>
      <c r="BZ2512" s="715"/>
      <c r="CA2512" s="716"/>
      <c r="CB2512" s="717"/>
      <c r="CC2512" s="717"/>
      <c r="CD2512" s="717"/>
      <c r="CE2512" s="717"/>
      <c r="CF2512" s="717"/>
      <c r="CG2512" s="717"/>
      <c r="CH2512" s="717"/>
      <c r="CI2512" s="717"/>
      <c r="CJ2512" s="717"/>
      <c r="CK2512" s="717"/>
      <c r="CL2512" s="717"/>
      <c r="CM2512" s="717"/>
      <c r="CN2512" s="717"/>
      <c r="CO2512" s="717"/>
      <c r="CP2512" s="717"/>
      <c r="CQ2512" s="717"/>
      <c r="CR2512" s="717"/>
      <c r="CS2512" s="717"/>
      <c r="CT2512" s="717"/>
      <c r="CU2512" s="717"/>
      <c r="CV2512" s="717"/>
      <c r="CW2512" s="717"/>
      <c r="CX2512" s="717"/>
      <c r="CY2512" s="717"/>
      <c r="CZ2512" s="717"/>
      <c r="DA2512" s="717"/>
      <c r="DB2512" s="717"/>
      <c r="DC2512" s="717"/>
      <c r="DD2512" s="717"/>
      <c r="DE2512" s="717"/>
      <c r="DF2512" s="717"/>
      <c r="DG2512" s="717"/>
      <c r="DH2512" s="717"/>
      <c r="DI2512" s="717"/>
      <c r="DJ2512" s="717"/>
      <c r="DM2512" s="711"/>
      <c r="DN2512" s="711"/>
      <c r="DO2512" s="711"/>
      <c r="DP2512" s="711"/>
      <c r="DQ2512" s="711"/>
    </row>
    <row r="2513" spans="13:121" s="709" customFormat="1" hidden="1">
      <c r="M2513" s="710"/>
      <c r="P2513" s="711"/>
      <c r="Q2513" s="712"/>
      <c r="U2513" s="711"/>
      <c r="V2513" s="711"/>
      <c r="W2513" s="711"/>
      <c r="X2513" s="711"/>
      <c r="Y2513" s="711"/>
      <c r="Z2513" s="711"/>
      <c r="AU2513" s="713"/>
      <c r="AW2513" s="712"/>
      <c r="BY2513" s="714"/>
      <c r="BZ2513" s="715"/>
      <c r="CA2513" s="716"/>
      <c r="CB2513" s="717"/>
      <c r="CC2513" s="717"/>
      <c r="CD2513" s="717"/>
      <c r="CE2513" s="717"/>
      <c r="CF2513" s="717"/>
      <c r="CG2513" s="717"/>
      <c r="CH2513" s="717"/>
      <c r="CI2513" s="717"/>
      <c r="CJ2513" s="717"/>
      <c r="CK2513" s="717"/>
      <c r="CL2513" s="717"/>
      <c r="CM2513" s="717"/>
      <c r="CN2513" s="717"/>
      <c r="CO2513" s="717"/>
      <c r="CP2513" s="717"/>
      <c r="CQ2513" s="717"/>
      <c r="CR2513" s="717"/>
      <c r="CS2513" s="717"/>
      <c r="CT2513" s="717"/>
      <c r="CU2513" s="717"/>
      <c r="CV2513" s="717"/>
      <c r="CW2513" s="717"/>
      <c r="CX2513" s="717"/>
      <c r="CY2513" s="717"/>
      <c r="CZ2513" s="717"/>
      <c r="DA2513" s="717"/>
      <c r="DB2513" s="717"/>
      <c r="DC2513" s="717"/>
      <c r="DD2513" s="717"/>
      <c r="DE2513" s="717"/>
      <c r="DF2513" s="717"/>
      <c r="DG2513" s="717"/>
      <c r="DH2513" s="717"/>
      <c r="DI2513" s="717"/>
      <c r="DJ2513" s="717"/>
      <c r="DM2513" s="711"/>
      <c r="DN2513" s="711"/>
      <c r="DO2513" s="711"/>
      <c r="DP2513" s="711"/>
      <c r="DQ2513" s="711"/>
    </row>
    <row r="2514" spans="13:121" s="709" customFormat="1" hidden="1">
      <c r="M2514" s="710"/>
      <c r="P2514" s="711"/>
      <c r="Q2514" s="712"/>
      <c r="U2514" s="711"/>
      <c r="V2514" s="711"/>
      <c r="W2514" s="711"/>
      <c r="X2514" s="711"/>
      <c r="Y2514" s="711"/>
      <c r="Z2514" s="711"/>
      <c r="AU2514" s="713"/>
      <c r="AW2514" s="712"/>
      <c r="BY2514" s="714"/>
      <c r="BZ2514" s="715"/>
      <c r="CA2514" s="716"/>
      <c r="CB2514" s="717"/>
      <c r="CC2514" s="717"/>
      <c r="CD2514" s="717"/>
      <c r="CE2514" s="717"/>
      <c r="CF2514" s="717"/>
      <c r="CG2514" s="717"/>
      <c r="CH2514" s="717"/>
      <c r="CI2514" s="717"/>
      <c r="CJ2514" s="717"/>
      <c r="CK2514" s="717"/>
      <c r="CL2514" s="717"/>
      <c r="CM2514" s="717"/>
      <c r="CN2514" s="717"/>
      <c r="CO2514" s="717"/>
      <c r="CP2514" s="717"/>
      <c r="CQ2514" s="717"/>
      <c r="CR2514" s="717"/>
      <c r="CS2514" s="717"/>
      <c r="CT2514" s="717"/>
      <c r="CU2514" s="717"/>
      <c r="CV2514" s="717"/>
      <c r="CW2514" s="717"/>
      <c r="CX2514" s="717"/>
      <c r="CY2514" s="717"/>
      <c r="CZ2514" s="717"/>
      <c r="DA2514" s="717"/>
      <c r="DB2514" s="717"/>
      <c r="DC2514" s="717"/>
      <c r="DD2514" s="717"/>
      <c r="DE2514" s="717"/>
      <c r="DF2514" s="717"/>
      <c r="DG2514" s="717"/>
      <c r="DH2514" s="717"/>
      <c r="DI2514" s="717"/>
      <c r="DJ2514" s="717"/>
      <c r="DM2514" s="711"/>
      <c r="DN2514" s="711"/>
      <c r="DO2514" s="711"/>
      <c r="DP2514" s="711"/>
      <c r="DQ2514" s="711"/>
    </row>
    <row r="2515" spans="13:121" s="709" customFormat="1" hidden="1">
      <c r="M2515" s="710"/>
      <c r="P2515" s="711"/>
      <c r="Q2515" s="712"/>
      <c r="U2515" s="711"/>
      <c r="V2515" s="711"/>
      <c r="W2515" s="711"/>
      <c r="X2515" s="711"/>
      <c r="Y2515" s="711"/>
      <c r="Z2515" s="711"/>
      <c r="AU2515" s="713"/>
      <c r="AW2515" s="712"/>
      <c r="BY2515" s="714"/>
      <c r="BZ2515" s="715"/>
      <c r="CA2515" s="716"/>
      <c r="CB2515" s="717"/>
      <c r="CC2515" s="717"/>
      <c r="CD2515" s="717"/>
      <c r="CE2515" s="717"/>
      <c r="CF2515" s="717"/>
      <c r="CG2515" s="717"/>
      <c r="CH2515" s="717"/>
      <c r="CI2515" s="717"/>
      <c r="CJ2515" s="717"/>
      <c r="CK2515" s="717"/>
      <c r="CL2515" s="717"/>
      <c r="CM2515" s="717"/>
      <c r="CN2515" s="717"/>
      <c r="CO2515" s="717"/>
      <c r="CP2515" s="717"/>
      <c r="CQ2515" s="717"/>
      <c r="CR2515" s="717"/>
      <c r="CS2515" s="717"/>
      <c r="CT2515" s="717"/>
      <c r="CU2515" s="717"/>
      <c r="CV2515" s="717"/>
      <c r="CW2515" s="717"/>
      <c r="CX2515" s="717"/>
      <c r="CY2515" s="717"/>
      <c r="CZ2515" s="717"/>
      <c r="DA2515" s="717"/>
      <c r="DB2515" s="717"/>
      <c r="DC2515" s="717"/>
      <c r="DD2515" s="717"/>
      <c r="DE2515" s="717"/>
      <c r="DF2515" s="717"/>
      <c r="DG2515" s="717"/>
      <c r="DH2515" s="717"/>
      <c r="DI2515" s="717"/>
      <c r="DJ2515" s="717"/>
      <c r="DM2515" s="711"/>
      <c r="DN2515" s="711"/>
      <c r="DO2515" s="711"/>
      <c r="DP2515" s="711"/>
      <c r="DQ2515" s="711"/>
    </row>
    <row r="2516" spans="13:121" s="709" customFormat="1" hidden="1">
      <c r="M2516" s="710"/>
      <c r="P2516" s="711"/>
      <c r="Q2516" s="712"/>
      <c r="U2516" s="711"/>
      <c r="V2516" s="711"/>
      <c r="W2516" s="711"/>
      <c r="X2516" s="711"/>
      <c r="Y2516" s="711"/>
      <c r="Z2516" s="711"/>
      <c r="AU2516" s="713"/>
      <c r="AW2516" s="712"/>
      <c r="BY2516" s="714"/>
      <c r="BZ2516" s="715"/>
      <c r="CA2516" s="716"/>
      <c r="CB2516" s="717"/>
      <c r="CC2516" s="717"/>
      <c r="CD2516" s="717"/>
      <c r="CE2516" s="717"/>
      <c r="CF2516" s="717"/>
      <c r="CG2516" s="717"/>
      <c r="CH2516" s="717"/>
      <c r="CI2516" s="717"/>
      <c r="CJ2516" s="717"/>
      <c r="CK2516" s="717"/>
      <c r="CL2516" s="717"/>
      <c r="CM2516" s="717"/>
      <c r="CN2516" s="717"/>
      <c r="CO2516" s="717"/>
      <c r="CP2516" s="717"/>
      <c r="CQ2516" s="717"/>
      <c r="CR2516" s="717"/>
      <c r="CS2516" s="717"/>
      <c r="CT2516" s="717"/>
      <c r="CU2516" s="717"/>
      <c r="CV2516" s="717"/>
      <c r="CW2516" s="717"/>
      <c r="CX2516" s="717"/>
      <c r="CY2516" s="717"/>
      <c r="CZ2516" s="717"/>
      <c r="DA2516" s="717"/>
      <c r="DB2516" s="717"/>
      <c r="DC2516" s="717"/>
      <c r="DD2516" s="717"/>
      <c r="DE2516" s="717"/>
      <c r="DF2516" s="717"/>
      <c r="DG2516" s="717"/>
      <c r="DH2516" s="717"/>
      <c r="DI2516" s="717"/>
      <c r="DJ2516" s="717"/>
      <c r="DM2516" s="711"/>
      <c r="DN2516" s="711"/>
      <c r="DO2516" s="711"/>
      <c r="DP2516" s="711"/>
      <c r="DQ2516" s="711"/>
    </row>
    <row r="2517" spans="13:121" s="709" customFormat="1" hidden="1">
      <c r="M2517" s="710"/>
      <c r="P2517" s="711"/>
      <c r="Q2517" s="712"/>
      <c r="U2517" s="711"/>
      <c r="V2517" s="711"/>
      <c r="W2517" s="711"/>
      <c r="X2517" s="711"/>
      <c r="Y2517" s="711"/>
      <c r="Z2517" s="711"/>
      <c r="AU2517" s="713"/>
      <c r="AW2517" s="712"/>
      <c r="BY2517" s="714"/>
      <c r="BZ2517" s="715"/>
      <c r="CA2517" s="716"/>
      <c r="CB2517" s="717"/>
      <c r="CC2517" s="717"/>
      <c r="CD2517" s="717"/>
      <c r="CE2517" s="717"/>
      <c r="CF2517" s="717"/>
      <c r="CG2517" s="717"/>
      <c r="CH2517" s="717"/>
      <c r="CI2517" s="717"/>
      <c r="CJ2517" s="717"/>
      <c r="CK2517" s="717"/>
      <c r="CL2517" s="717"/>
      <c r="CM2517" s="717"/>
      <c r="CN2517" s="717"/>
      <c r="CO2517" s="717"/>
      <c r="CP2517" s="717"/>
      <c r="CQ2517" s="717"/>
      <c r="CR2517" s="717"/>
      <c r="CS2517" s="717"/>
      <c r="CT2517" s="717"/>
      <c r="CU2517" s="717"/>
      <c r="CV2517" s="717"/>
      <c r="CW2517" s="717"/>
      <c r="CX2517" s="717"/>
      <c r="CY2517" s="717"/>
      <c r="CZ2517" s="717"/>
      <c r="DA2517" s="717"/>
      <c r="DB2517" s="717"/>
      <c r="DC2517" s="717"/>
      <c r="DD2517" s="717"/>
      <c r="DE2517" s="717"/>
      <c r="DF2517" s="717"/>
      <c r="DG2517" s="717"/>
      <c r="DH2517" s="717"/>
      <c r="DI2517" s="717"/>
      <c r="DJ2517" s="717"/>
      <c r="DM2517" s="711"/>
      <c r="DN2517" s="711"/>
      <c r="DO2517" s="711"/>
      <c r="DP2517" s="711"/>
      <c r="DQ2517" s="711"/>
    </row>
    <row r="2518" spans="13:121" s="709" customFormat="1" hidden="1">
      <c r="M2518" s="710"/>
      <c r="P2518" s="711"/>
      <c r="Q2518" s="712"/>
      <c r="U2518" s="711"/>
      <c r="V2518" s="711"/>
      <c r="W2518" s="711"/>
      <c r="X2518" s="711"/>
      <c r="Y2518" s="711"/>
      <c r="Z2518" s="711"/>
      <c r="AU2518" s="713"/>
      <c r="AW2518" s="712"/>
      <c r="BY2518" s="714"/>
      <c r="BZ2518" s="715"/>
      <c r="CA2518" s="716"/>
      <c r="CB2518" s="717"/>
      <c r="CC2518" s="717"/>
      <c r="CD2518" s="717"/>
      <c r="CE2518" s="717"/>
      <c r="CF2518" s="717"/>
      <c r="CG2518" s="717"/>
      <c r="CH2518" s="717"/>
      <c r="CI2518" s="717"/>
      <c r="CJ2518" s="717"/>
      <c r="CK2518" s="717"/>
      <c r="CL2518" s="717"/>
      <c r="CM2518" s="717"/>
      <c r="CN2518" s="717"/>
      <c r="CO2518" s="717"/>
      <c r="CP2518" s="717"/>
      <c r="CQ2518" s="717"/>
      <c r="CR2518" s="717"/>
      <c r="CS2518" s="717"/>
      <c r="CT2518" s="717"/>
      <c r="CU2518" s="717"/>
      <c r="CV2518" s="717"/>
      <c r="CW2518" s="717"/>
      <c r="CX2518" s="717"/>
      <c r="CY2518" s="717"/>
      <c r="CZ2518" s="717"/>
      <c r="DA2518" s="717"/>
      <c r="DB2518" s="717"/>
      <c r="DC2518" s="717"/>
      <c r="DD2518" s="717"/>
      <c r="DE2518" s="717"/>
      <c r="DF2518" s="717"/>
      <c r="DG2518" s="717"/>
      <c r="DH2518" s="717"/>
      <c r="DI2518" s="717"/>
      <c r="DJ2518" s="717"/>
      <c r="DM2518" s="711"/>
      <c r="DN2518" s="711"/>
      <c r="DO2518" s="711"/>
      <c r="DP2518" s="711"/>
      <c r="DQ2518" s="711"/>
    </row>
    <row r="2519" spans="13:121" s="709" customFormat="1" hidden="1">
      <c r="M2519" s="710"/>
      <c r="P2519" s="711"/>
      <c r="Q2519" s="712"/>
      <c r="U2519" s="711"/>
      <c r="V2519" s="711"/>
      <c r="W2519" s="711"/>
      <c r="X2519" s="711"/>
      <c r="Y2519" s="711"/>
      <c r="Z2519" s="711"/>
      <c r="AU2519" s="713"/>
      <c r="AW2519" s="712"/>
      <c r="BY2519" s="714"/>
      <c r="BZ2519" s="715"/>
      <c r="CA2519" s="716"/>
      <c r="CB2519" s="717"/>
      <c r="CC2519" s="717"/>
      <c r="CD2519" s="717"/>
      <c r="CE2519" s="717"/>
      <c r="CF2519" s="717"/>
      <c r="CG2519" s="717"/>
      <c r="CH2519" s="717"/>
      <c r="CI2519" s="717"/>
      <c r="CJ2519" s="717"/>
      <c r="CK2519" s="717"/>
      <c r="CL2519" s="717"/>
      <c r="CM2519" s="717"/>
      <c r="CN2519" s="717"/>
      <c r="CO2519" s="717"/>
      <c r="CP2519" s="717"/>
      <c r="CQ2519" s="717"/>
      <c r="CR2519" s="717"/>
      <c r="CS2519" s="717"/>
      <c r="CT2519" s="717"/>
      <c r="CU2519" s="717"/>
      <c r="CV2519" s="717"/>
      <c r="CW2519" s="717"/>
      <c r="CX2519" s="717"/>
      <c r="CY2519" s="717"/>
      <c r="CZ2519" s="717"/>
      <c r="DA2519" s="717"/>
      <c r="DB2519" s="717"/>
      <c r="DC2519" s="717"/>
      <c r="DD2519" s="717"/>
      <c r="DE2519" s="717"/>
      <c r="DF2519" s="717"/>
      <c r="DG2519" s="717"/>
      <c r="DH2519" s="717"/>
      <c r="DI2519" s="717"/>
      <c r="DJ2519" s="717"/>
      <c r="DM2519" s="711"/>
      <c r="DN2519" s="711"/>
      <c r="DO2519" s="711"/>
      <c r="DP2519" s="711"/>
      <c r="DQ2519" s="711"/>
    </row>
    <row r="2520" spans="13:121" s="709" customFormat="1" hidden="1">
      <c r="M2520" s="710"/>
      <c r="P2520" s="711"/>
      <c r="Q2520" s="712"/>
      <c r="U2520" s="711"/>
      <c r="V2520" s="711"/>
      <c r="W2520" s="711"/>
      <c r="X2520" s="711"/>
      <c r="Y2520" s="711"/>
      <c r="Z2520" s="711"/>
      <c r="AU2520" s="713"/>
      <c r="AW2520" s="712"/>
      <c r="BY2520" s="714"/>
      <c r="BZ2520" s="715"/>
      <c r="CA2520" s="716"/>
      <c r="CB2520" s="717"/>
      <c r="CC2520" s="717"/>
      <c r="CD2520" s="717"/>
      <c r="CE2520" s="717"/>
      <c r="CF2520" s="717"/>
      <c r="CG2520" s="717"/>
      <c r="CH2520" s="717"/>
      <c r="CI2520" s="717"/>
      <c r="CJ2520" s="717"/>
      <c r="CK2520" s="717"/>
      <c r="CL2520" s="717"/>
      <c r="CM2520" s="717"/>
      <c r="CN2520" s="717"/>
      <c r="CO2520" s="717"/>
      <c r="CP2520" s="717"/>
      <c r="CQ2520" s="717"/>
      <c r="CR2520" s="717"/>
      <c r="CS2520" s="717"/>
      <c r="CT2520" s="717"/>
      <c r="CU2520" s="717"/>
      <c r="CV2520" s="717"/>
      <c r="CW2520" s="717"/>
      <c r="CX2520" s="717"/>
      <c r="CY2520" s="717"/>
      <c r="CZ2520" s="717"/>
      <c r="DA2520" s="717"/>
      <c r="DB2520" s="717"/>
      <c r="DC2520" s="717"/>
      <c r="DD2520" s="717"/>
      <c r="DE2520" s="717"/>
      <c r="DF2520" s="717"/>
      <c r="DG2520" s="717"/>
      <c r="DH2520" s="717"/>
      <c r="DI2520" s="717"/>
      <c r="DJ2520" s="717"/>
      <c r="DM2520" s="711"/>
      <c r="DN2520" s="711"/>
      <c r="DO2520" s="711"/>
      <c r="DP2520" s="711"/>
      <c r="DQ2520" s="711"/>
    </row>
    <row r="2521" spans="13:121" s="709" customFormat="1" hidden="1">
      <c r="M2521" s="710"/>
      <c r="P2521" s="711"/>
      <c r="Q2521" s="712"/>
      <c r="U2521" s="711"/>
      <c r="V2521" s="711"/>
      <c r="W2521" s="711"/>
      <c r="X2521" s="711"/>
      <c r="Y2521" s="711"/>
      <c r="Z2521" s="711"/>
      <c r="AU2521" s="713"/>
      <c r="AW2521" s="712"/>
      <c r="BY2521" s="714"/>
      <c r="BZ2521" s="715"/>
      <c r="CA2521" s="716"/>
      <c r="CB2521" s="717"/>
      <c r="CC2521" s="717"/>
      <c r="CD2521" s="717"/>
      <c r="CE2521" s="717"/>
      <c r="CF2521" s="717"/>
      <c r="CG2521" s="717"/>
      <c r="CH2521" s="717"/>
      <c r="CI2521" s="717"/>
      <c r="CJ2521" s="717"/>
      <c r="CK2521" s="717"/>
      <c r="CL2521" s="717"/>
      <c r="CM2521" s="717"/>
      <c r="CN2521" s="717"/>
      <c r="CO2521" s="717"/>
      <c r="CP2521" s="717"/>
      <c r="CQ2521" s="717"/>
      <c r="CR2521" s="717"/>
      <c r="CS2521" s="717"/>
      <c r="CT2521" s="717"/>
      <c r="CU2521" s="717"/>
      <c r="CV2521" s="717"/>
      <c r="CW2521" s="717"/>
      <c r="CX2521" s="717"/>
      <c r="CY2521" s="717"/>
      <c r="CZ2521" s="717"/>
      <c r="DA2521" s="717"/>
      <c r="DB2521" s="717"/>
      <c r="DC2521" s="717"/>
      <c r="DD2521" s="717"/>
      <c r="DE2521" s="717"/>
      <c r="DF2521" s="717"/>
      <c r="DG2521" s="717"/>
      <c r="DH2521" s="717"/>
      <c r="DI2521" s="717"/>
      <c r="DJ2521" s="717"/>
      <c r="DM2521" s="711"/>
      <c r="DN2521" s="711"/>
      <c r="DO2521" s="711"/>
      <c r="DP2521" s="711"/>
      <c r="DQ2521" s="711"/>
    </row>
    <row r="2522" spans="13:121" s="709" customFormat="1" hidden="1">
      <c r="M2522" s="710"/>
      <c r="P2522" s="711"/>
      <c r="Q2522" s="712"/>
      <c r="U2522" s="711"/>
      <c r="V2522" s="711"/>
      <c r="W2522" s="711"/>
      <c r="X2522" s="711"/>
      <c r="Y2522" s="711"/>
      <c r="Z2522" s="711"/>
      <c r="AU2522" s="713"/>
      <c r="AW2522" s="712"/>
      <c r="BY2522" s="714"/>
      <c r="BZ2522" s="715"/>
      <c r="CA2522" s="716"/>
      <c r="CB2522" s="717"/>
      <c r="CC2522" s="717"/>
      <c r="CD2522" s="717"/>
      <c r="CE2522" s="717"/>
      <c r="CF2522" s="717"/>
      <c r="CG2522" s="717"/>
      <c r="CH2522" s="717"/>
      <c r="CI2522" s="717"/>
      <c r="CJ2522" s="717"/>
      <c r="CK2522" s="717"/>
      <c r="CL2522" s="717"/>
      <c r="CM2522" s="717"/>
      <c r="CN2522" s="717"/>
      <c r="CO2522" s="717"/>
      <c r="CP2522" s="717"/>
      <c r="CQ2522" s="717"/>
      <c r="CR2522" s="717"/>
      <c r="CS2522" s="717"/>
      <c r="CT2522" s="717"/>
      <c r="CU2522" s="717"/>
      <c r="CV2522" s="717"/>
      <c r="CW2522" s="717"/>
      <c r="CX2522" s="717"/>
      <c r="CY2522" s="717"/>
      <c r="CZ2522" s="717"/>
      <c r="DA2522" s="717"/>
      <c r="DB2522" s="717"/>
      <c r="DC2522" s="717"/>
      <c r="DD2522" s="717"/>
      <c r="DE2522" s="717"/>
      <c r="DF2522" s="717"/>
      <c r="DG2522" s="717"/>
      <c r="DH2522" s="717"/>
      <c r="DI2522" s="717"/>
      <c r="DJ2522" s="717"/>
      <c r="DM2522" s="711"/>
      <c r="DN2522" s="711"/>
      <c r="DO2522" s="711"/>
      <c r="DP2522" s="711"/>
      <c r="DQ2522" s="711"/>
    </row>
    <row r="2523" spans="13:121" s="709" customFormat="1" hidden="1">
      <c r="M2523" s="710"/>
      <c r="P2523" s="711"/>
      <c r="Q2523" s="712"/>
      <c r="U2523" s="711"/>
      <c r="V2523" s="711"/>
      <c r="W2523" s="711"/>
      <c r="X2523" s="711"/>
      <c r="Y2523" s="711"/>
      <c r="Z2523" s="711"/>
      <c r="AU2523" s="713"/>
      <c r="AW2523" s="712"/>
      <c r="BY2523" s="714"/>
      <c r="BZ2523" s="715"/>
      <c r="CA2523" s="716"/>
      <c r="CB2523" s="717"/>
      <c r="CC2523" s="717"/>
      <c r="CD2523" s="717"/>
      <c r="CE2523" s="717"/>
      <c r="CF2523" s="717"/>
      <c r="CG2523" s="717"/>
      <c r="CH2523" s="717"/>
      <c r="CI2523" s="717"/>
      <c r="CJ2523" s="717"/>
      <c r="CK2523" s="717"/>
      <c r="CL2523" s="717"/>
      <c r="CM2523" s="717"/>
      <c r="CN2523" s="717"/>
      <c r="CO2523" s="717"/>
      <c r="CP2523" s="717"/>
      <c r="CQ2523" s="717"/>
      <c r="CR2523" s="717"/>
      <c r="CS2523" s="717"/>
      <c r="CT2523" s="717"/>
      <c r="CU2523" s="717"/>
      <c r="CV2523" s="717"/>
      <c r="CW2523" s="717"/>
      <c r="CX2523" s="717"/>
      <c r="CY2523" s="717"/>
      <c r="CZ2523" s="717"/>
      <c r="DA2523" s="717"/>
      <c r="DB2523" s="717"/>
      <c r="DC2523" s="717"/>
      <c r="DD2523" s="717"/>
      <c r="DE2523" s="717"/>
      <c r="DF2523" s="717"/>
      <c r="DG2523" s="717"/>
      <c r="DH2523" s="717"/>
      <c r="DI2523" s="717"/>
      <c r="DJ2523" s="717"/>
      <c r="DM2523" s="711"/>
      <c r="DN2523" s="711"/>
      <c r="DO2523" s="711"/>
      <c r="DP2523" s="711"/>
      <c r="DQ2523" s="711"/>
    </row>
    <row r="2524" spans="13:121" s="709" customFormat="1" hidden="1">
      <c r="M2524" s="710"/>
      <c r="P2524" s="711"/>
      <c r="Q2524" s="712"/>
      <c r="U2524" s="711"/>
      <c r="V2524" s="711"/>
      <c r="W2524" s="711"/>
      <c r="X2524" s="711"/>
      <c r="Y2524" s="711"/>
      <c r="Z2524" s="711"/>
      <c r="AU2524" s="713"/>
      <c r="AW2524" s="712"/>
      <c r="BY2524" s="714"/>
      <c r="BZ2524" s="715"/>
      <c r="CA2524" s="716"/>
      <c r="CB2524" s="717"/>
      <c r="CC2524" s="717"/>
      <c r="CD2524" s="717"/>
      <c r="CE2524" s="717"/>
      <c r="CF2524" s="717"/>
      <c r="CG2524" s="717"/>
      <c r="CH2524" s="717"/>
      <c r="CI2524" s="717"/>
      <c r="CJ2524" s="717"/>
      <c r="CK2524" s="717"/>
      <c r="CL2524" s="717"/>
      <c r="CM2524" s="717"/>
      <c r="CN2524" s="717"/>
      <c r="CO2524" s="717"/>
      <c r="CP2524" s="717"/>
      <c r="CQ2524" s="717"/>
      <c r="CR2524" s="717"/>
      <c r="CS2524" s="717"/>
      <c r="CT2524" s="717"/>
      <c r="CU2524" s="717"/>
      <c r="CV2524" s="717"/>
      <c r="CW2524" s="717"/>
      <c r="CX2524" s="717"/>
      <c r="CY2524" s="717"/>
      <c r="CZ2524" s="717"/>
      <c r="DA2524" s="717"/>
      <c r="DB2524" s="717"/>
      <c r="DC2524" s="717"/>
      <c r="DD2524" s="717"/>
      <c r="DE2524" s="717"/>
      <c r="DF2524" s="717"/>
      <c r="DG2524" s="717"/>
      <c r="DH2524" s="717"/>
      <c r="DI2524" s="717"/>
      <c r="DJ2524" s="717"/>
      <c r="DM2524" s="711"/>
      <c r="DN2524" s="711"/>
      <c r="DO2524" s="711"/>
      <c r="DP2524" s="711"/>
      <c r="DQ2524" s="711"/>
    </row>
    <row r="2525" spans="13:121" s="709" customFormat="1" hidden="1">
      <c r="M2525" s="710"/>
      <c r="P2525" s="711"/>
      <c r="Q2525" s="712"/>
      <c r="U2525" s="711"/>
      <c r="V2525" s="711"/>
      <c r="W2525" s="711"/>
      <c r="X2525" s="711"/>
      <c r="Y2525" s="711"/>
      <c r="Z2525" s="711"/>
      <c r="AU2525" s="713"/>
      <c r="AW2525" s="712"/>
      <c r="BY2525" s="714"/>
      <c r="BZ2525" s="715"/>
      <c r="CA2525" s="716"/>
      <c r="CB2525" s="717"/>
      <c r="CC2525" s="717"/>
      <c r="CD2525" s="717"/>
      <c r="CE2525" s="717"/>
      <c r="CF2525" s="717"/>
      <c r="CG2525" s="717"/>
      <c r="CH2525" s="717"/>
      <c r="CI2525" s="717"/>
      <c r="CJ2525" s="717"/>
      <c r="CK2525" s="717"/>
      <c r="CL2525" s="717"/>
      <c r="CM2525" s="717"/>
      <c r="CN2525" s="717"/>
      <c r="CO2525" s="717"/>
      <c r="CP2525" s="717"/>
      <c r="CQ2525" s="717"/>
      <c r="CR2525" s="717"/>
      <c r="CS2525" s="717"/>
      <c r="CT2525" s="717"/>
      <c r="CU2525" s="717"/>
      <c r="CV2525" s="717"/>
      <c r="CW2525" s="717"/>
      <c r="CX2525" s="717"/>
      <c r="CY2525" s="717"/>
      <c r="CZ2525" s="717"/>
      <c r="DA2525" s="717"/>
      <c r="DB2525" s="717"/>
      <c r="DC2525" s="717"/>
      <c r="DD2525" s="717"/>
      <c r="DE2525" s="717"/>
      <c r="DF2525" s="717"/>
      <c r="DG2525" s="717"/>
      <c r="DH2525" s="717"/>
      <c r="DI2525" s="717"/>
      <c r="DJ2525" s="717"/>
      <c r="DM2525" s="711"/>
      <c r="DN2525" s="711"/>
      <c r="DO2525" s="711"/>
      <c r="DP2525" s="711"/>
      <c r="DQ2525" s="711"/>
    </row>
    <row r="2526" spans="13:121" s="709" customFormat="1" hidden="1">
      <c r="M2526" s="710"/>
      <c r="P2526" s="711"/>
      <c r="Q2526" s="712"/>
      <c r="U2526" s="711"/>
      <c r="V2526" s="711"/>
      <c r="W2526" s="711"/>
      <c r="X2526" s="711"/>
      <c r="Y2526" s="711"/>
      <c r="Z2526" s="711"/>
      <c r="AU2526" s="713"/>
      <c r="AW2526" s="712"/>
      <c r="BY2526" s="714"/>
      <c r="BZ2526" s="715"/>
      <c r="CA2526" s="716"/>
      <c r="CB2526" s="717"/>
      <c r="CC2526" s="717"/>
      <c r="CD2526" s="717"/>
      <c r="CE2526" s="717"/>
      <c r="CF2526" s="717"/>
      <c r="CG2526" s="717"/>
      <c r="CH2526" s="717"/>
      <c r="CI2526" s="717"/>
      <c r="CJ2526" s="717"/>
      <c r="CK2526" s="717"/>
      <c r="CL2526" s="717"/>
      <c r="CM2526" s="717"/>
      <c r="CN2526" s="717"/>
      <c r="CO2526" s="717"/>
      <c r="CP2526" s="717"/>
      <c r="CQ2526" s="717"/>
      <c r="CR2526" s="717"/>
      <c r="CS2526" s="717"/>
      <c r="CT2526" s="717"/>
      <c r="CU2526" s="717"/>
      <c r="CV2526" s="717"/>
      <c r="CW2526" s="717"/>
      <c r="CX2526" s="717"/>
      <c r="CY2526" s="717"/>
      <c r="CZ2526" s="717"/>
      <c r="DA2526" s="717"/>
      <c r="DB2526" s="717"/>
      <c r="DC2526" s="717"/>
      <c r="DD2526" s="717"/>
      <c r="DE2526" s="717"/>
      <c r="DF2526" s="717"/>
      <c r="DG2526" s="717"/>
      <c r="DH2526" s="717"/>
      <c r="DI2526" s="717"/>
      <c r="DJ2526" s="717"/>
      <c r="DM2526" s="711"/>
      <c r="DN2526" s="711"/>
      <c r="DO2526" s="711"/>
      <c r="DP2526" s="711"/>
      <c r="DQ2526" s="711"/>
    </row>
    <row r="2527" spans="13:121" s="709" customFormat="1" hidden="1">
      <c r="M2527" s="710"/>
      <c r="P2527" s="711"/>
      <c r="Q2527" s="712"/>
      <c r="U2527" s="711"/>
      <c r="V2527" s="711"/>
      <c r="W2527" s="711"/>
      <c r="X2527" s="711"/>
      <c r="Y2527" s="711"/>
      <c r="Z2527" s="711"/>
      <c r="AU2527" s="713"/>
      <c r="AW2527" s="712"/>
      <c r="BY2527" s="714"/>
      <c r="BZ2527" s="715"/>
      <c r="CA2527" s="716"/>
      <c r="CB2527" s="717"/>
      <c r="CC2527" s="717"/>
      <c r="CD2527" s="717"/>
      <c r="CE2527" s="717"/>
      <c r="CF2527" s="717"/>
      <c r="CG2527" s="717"/>
      <c r="CH2527" s="717"/>
      <c r="CI2527" s="717"/>
      <c r="CJ2527" s="717"/>
      <c r="CK2527" s="717"/>
      <c r="CL2527" s="717"/>
      <c r="CM2527" s="717"/>
      <c r="CN2527" s="717"/>
      <c r="CO2527" s="717"/>
      <c r="CP2527" s="717"/>
      <c r="CQ2527" s="717"/>
      <c r="CR2527" s="717"/>
      <c r="CS2527" s="717"/>
      <c r="CT2527" s="717"/>
      <c r="CU2527" s="717"/>
      <c r="CV2527" s="717"/>
      <c r="CW2527" s="717"/>
      <c r="CX2527" s="717"/>
      <c r="CY2527" s="717"/>
      <c r="CZ2527" s="717"/>
      <c r="DA2527" s="717"/>
      <c r="DB2527" s="717"/>
      <c r="DC2527" s="717"/>
      <c r="DD2527" s="717"/>
      <c r="DE2527" s="717"/>
      <c r="DF2527" s="717"/>
      <c r="DG2527" s="717"/>
      <c r="DH2527" s="717"/>
      <c r="DI2527" s="717"/>
      <c r="DJ2527" s="717"/>
      <c r="DM2527" s="711"/>
      <c r="DN2527" s="711"/>
      <c r="DO2527" s="711"/>
      <c r="DP2527" s="711"/>
      <c r="DQ2527" s="711"/>
    </row>
    <row r="2528" spans="13:121" s="709" customFormat="1" hidden="1">
      <c r="M2528" s="710"/>
      <c r="P2528" s="711"/>
      <c r="Q2528" s="712"/>
      <c r="U2528" s="711"/>
      <c r="V2528" s="711"/>
      <c r="W2528" s="711"/>
      <c r="X2528" s="711"/>
      <c r="Y2528" s="711"/>
      <c r="Z2528" s="711"/>
      <c r="AU2528" s="713"/>
      <c r="AW2528" s="712"/>
      <c r="BY2528" s="714"/>
      <c r="BZ2528" s="715"/>
      <c r="CA2528" s="716"/>
      <c r="CB2528" s="717"/>
      <c r="CC2528" s="717"/>
      <c r="CD2528" s="717"/>
      <c r="CE2528" s="717"/>
      <c r="CF2528" s="717"/>
      <c r="CG2528" s="717"/>
      <c r="CH2528" s="717"/>
      <c r="CI2528" s="717"/>
      <c r="CJ2528" s="717"/>
      <c r="CK2528" s="717"/>
      <c r="CL2528" s="717"/>
      <c r="CM2528" s="717"/>
      <c r="CN2528" s="717"/>
      <c r="CO2528" s="717"/>
      <c r="CP2528" s="717"/>
      <c r="CQ2528" s="717"/>
      <c r="CR2528" s="717"/>
      <c r="CS2528" s="717"/>
      <c r="CT2528" s="717"/>
      <c r="CU2528" s="717"/>
      <c r="CV2528" s="717"/>
      <c r="CW2528" s="717"/>
      <c r="CX2528" s="717"/>
      <c r="CY2528" s="717"/>
      <c r="CZ2528" s="717"/>
      <c r="DA2528" s="717"/>
      <c r="DB2528" s="717"/>
      <c r="DC2528" s="717"/>
      <c r="DD2528" s="717"/>
      <c r="DE2528" s="717"/>
      <c r="DF2528" s="717"/>
      <c r="DG2528" s="717"/>
      <c r="DH2528" s="717"/>
      <c r="DI2528" s="717"/>
      <c r="DJ2528" s="717"/>
      <c r="DM2528" s="711"/>
      <c r="DN2528" s="711"/>
      <c r="DO2528" s="711"/>
      <c r="DP2528" s="711"/>
      <c r="DQ2528" s="711"/>
    </row>
    <row r="2529" spans="13:121" s="709" customFormat="1" hidden="1">
      <c r="M2529" s="710"/>
      <c r="P2529" s="711"/>
      <c r="Q2529" s="712"/>
      <c r="U2529" s="711"/>
      <c r="V2529" s="711"/>
      <c r="W2529" s="711"/>
      <c r="X2529" s="711"/>
      <c r="Y2529" s="711"/>
      <c r="Z2529" s="711"/>
      <c r="AU2529" s="713"/>
      <c r="AW2529" s="712"/>
      <c r="BY2529" s="714"/>
      <c r="BZ2529" s="715"/>
      <c r="CA2529" s="716"/>
      <c r="CB2529" s="717"/>
      <c r="CC2529" s="717"/>
      <c r="CD2529" s="717"/>
      <c r="CE2529" s="717"/>
      <c r="CF2529" s="717"/>
      <c r="CG2529" s="717"/>
      <c r="CH2529" s="717"/>
      <c r="CI2529" s="717"/>
      <c r="CJ2529" s="717"/>
      <c r="CK2529" s="717"/>
      <c r="CL2529" s="717"/>
      <c r="CM2529" s="717"/>
      <c r="CN2529" s="717"/>
      <c r="CO2529" s="717"/>
      <c r="CP2529" s="717"/>
      <c r="CQ2529" s="717"/>
      <c r="CR2529" s="717"/>
      <c r="CS2529" s="717"/>
      <c r="CT2529" s="717"/>
      <c r="CU2529" s="717"/>
      <c r="CV2529" s="717"/>
      <c r="CW2529" s="717"/>
      <c r="CX2529" s="717"/>
      <c r="CY2529" s="717"/>
      <c r="CZ2529" s="717"/>
      <c r="DA2529" s="717"/>
      <c r="DB2529" s="717"/>
      <c r="DC2529" s="717"/>
      <c r="DD2529" s="717"/>
      <c r="DE2529" s="717"/>
      <c r="DF2529" s="717"/>
      <c r="DG2529" s="717"/>
      <c r="DH2529" s="717"/>
      <c r="DI2529" s="717"/>
      <c r="DJ2529" s="717"/>
      <c r="DM2529" s="711"/>
      <c r="DN2529" s="711"/>
      <c r="DO2529" s="711"/>
      <c r="DP2529" s="711"/>
      <c r="DQ2529" s="711"/>
    </row>
    <row r="2530" spans="13:121" s="709" customFormat="1" hidden="1">
      <c r="M2530" s="710"/>
      <c r="P2530" s="711"/>
      <c r="Q2530" s="712"/>
      <c r="U2530" s="711"/>
      <c r="V2530" s="711"/>
      <c r="W2530" s="711"/>
      <c r="X2530" s="711"/>
      <c r="Y2530" s="711"/>
      <c r="Z2530" s="711"/>
      <c r="AU2530" s="713"/>
      <c r="AW2530" s="712"/>
      <c r="BY2530" s="714"/>
      <c r="BZ2530" s="715"/>
      <c r="CA2530" s="716"/>
      <c r="CB2530" s="717"/>
      <c r="CC2530" s="717"/>
      <c r="CD2530" s="717"/>
      <c r="CE2530" s="717"/>
      <c r="CF2530" s="717"/>
      <c r="CG2530" s="717"/>
      <c r="CH2530" s="717"/>
      <c r="CI2530" s="717"/>
      <c r="CJ2530" s="717"/>
      <c r="CK2530" s="717"/>
      <c r="CL2530" s="717"/>
      <c r="CM2530" s="717"/>
      <c r="CN2530" s="717"/>
      <c r="CO2530" s="717"/>
      <c r="CP2530" s="717"/>
      <c r="CQ2530" s="717"/>
      <c r="CR2530" s="717"/>
      <c r="CS2530" s="717"/>
      <c r="CT2530" s="717"/>
      <c r="CU2530" s="717"/>
      <c r="CV2530" s="717"/>
      <c r="CW2530" s="717"/>
      <c r="CX2530" s="717"/>
      <c r="CY2530" s="717"/>
      <c r="CZ2530" s="717"/>
      <c r="DA2530" s="717"/>
      <c r="DB2530" s="717"/>
      <c r="DC2530" s="717"/>
      <c r="DD2530" s="717"/>
      <c r="DE2530" s="717"/>
      <c r="DF2530" s="717"/>
      <c r="DG2530" s="717"/>
      <c r="DH2530" s="717"/>
      <c r="DI2530" s="717"/>
      <c r="DJ2530" s="717"/>
      <c r="DM2530" s="711"/>
      <c r="DN2530" s="711"/>
      <c r="DO2530" s="711"/>
      <c r="DP2530" s="711"/>
      <c r="DQ2530" s="711"/>
    </row>
    <row r="2531" spans="13:121" s="709" customFormat="1" hidden="1">
      <c r="M2531" s="710"/>
      <c r="P2531" s="711"/>
      <c r="Q2531" s="712"/>
      <c r="U2531" s="711"/>
      <c r="V2531" s="711"/>
      <c r="W2531" s="711"/>
      <c r="X2531" s="711"/>
      <c r="Y2531" s="711"/>
      <c r="Z2531" s="711"/>
      <c r="AU2531" s="713"/>
      <c r="AW2531" s="712"/>
      <c r="BY2531" s="714"/>
      <c r="BZ2531" s="715"/>
      <c r="CA2531" s="716"/>
      <c r="CB2531" s="717"/>
      <c r="CC2531" s="717"/>
      <c r="CD2531" s="717"/>
      <c r="CE2531" s="717"/>
      <c r="CF2531" s="717"/>
      <c r="CG2531" s="717"/>
      <c r="CH2531" s="717"/>
      <c r="CI2531" s="717"/>
      <c r="CJ2531" s="717"/>
      <c r="CK2531" s="717"/>
      <c r="CL2531" s="717"/>
      <c r="CM2531" s="717"/>
      <c r="CN2531" s="717"/>
      <c r="CO2531" s="717"/>
      <c r="CP2531" s="717"/>
      <c r="CQ2531" s="717"/>
      <c r="CR2531" s="717"/>
      <c r="CS2531" s="717"/>
      <c r="CT2531" s="717"/>
      <c r="CU2531" s="717"/>
      <c r="CV2531" s="717"/>
      <c r="CW2531" s="717"/>
      <c r="CX2531" s="717"/>
      <c r="CY2531" s="717"/>
      <c r="CZ2531" s="717"/>
      <c r="DA2531" s="717"/>
      <c r="DB2531" s="717"/>
      <c r="DC2531" s="717"/>
      <c r="DD2531" s="717"/>
      <c r="DE2531" s="717"/>
      <c r="DF2531" s="717"/>
      <c r="DG2531" s="717"/>
      <c r="DH2531" s="717"/>
      <c r="DI2531" s="717"/>
      <c r="DJ2531" s="717"/>
      <c r="DM2531" s="711"/>
      <c r="DN2531" s="711"/>
      <c r="DO2531" s="711"/>
      <c r="DP2531" s="711"/>
      <c r="DQ2531" s="711"/>
    </row>
    <row r="2532" spans="13:121" s="709" customFormat="1" hidden="1">
      <c r="M2532" s="710"/>
      <c r="P2532" s="711"/>
      <c r="Q2532" s="712"/>
      <c r="U2532" s="711"/>
      <c r="V2532" s="711"/>
      <c r="W2532" s="711"/>
      <c r="X2532" s="711"/>
      <c r="Y2532" s="711"/>
      <c r="Z2532" s="711"/>
      <c r="AU2532" s="713"/>
      <c r="AW2532" s="712"/>
      <c r="BY2532" s="714"/>
      <c r="BZ2532" s="715"/>
      <c r="CA2532" s="716"/>
      <c r="CB2532" s="717"/>
      <c r="CC2532" s="717"/>
      <c r="CD2532" s="717"/>
      <c r="CE2532" s="717"/>
      <c r="CF2532" s="717"/>
      <c r="CG2532" s="717"/>
      <c r="CH2532" s="717"/>
      <c r="CI2532" s="717"/>
      <c r="CJ2532" s="717"/>
      <c r="CK2532" s="717"/>
      <c r="CL2532" s="717"/>
      <c r="CM2532" s="717"/>
      <c r="CN2532" s="717"/>
      <c r="CO2532" s="717"/>
      <c r="CP2532" s="717"/>
      <c r="CQ2532" s="717"/>
      <c r="CR2532" s="717"/>
      <c r="CS2532" s="717"/>
      <c r="CT2532" s="717"/>
      <c r="CU2532" s="717"/>
      <c r="CV2532" s="717"/>
      <c r="CW2532" s="717"/>
      <c r="CX2532" s="717"/>
      <c r="CY2532" s="717"/>
      <c r="CZ2532" s="717"/>
      <c r="DA2532" s="717"/>
      <c r="DB2532" s="717"/>
      <c r="DC2532" s="717"/>
      <c r="DD2532" s="717"/>
      <c r="DE2532" s="717"/>
      <c r="DF2532" s="717"/>
      <c r="DG2532" s="717"/>
      <c r="DH2532" s="717"/>
      <c r="DI2532" s="717"/>
      <c r="DJ2532" s="717"/>
      <c r="DM2532" s="711"/>
      <c r="DN2532" s="711"/>
      <c r="DO2532" s="711"/>
      <c r="DP2532" s="711"/>
      <c r="DQ2532" s="711"/>
    </row>
    <row r="2533" spans="13:121" s="709" customFormat="1" hidden="1">
      <c r="M2533" s="710"/>
      <c r="P2533" s="711"/>
      <c r="Q2533" s="712"/>
      <c r="U2533" s="711"/>
      <c r="V2533" s="711"/>
      <c r="W2533" s="711"/>
      <c r="X2533" s="711"/>
      <c r="Y2533" s="711"/>
      <c r="Z2533" s="711"/>
      <c r="AU2533" s="713"/>
      <c r="AW2533" s="712"/>
      <c r="BY2533" s="714"/>
      <c r="BZ2533" s="715"/>
      <c r="CA2533" s="716"/>
      <c r="CB2533" s="717"/>
      <c r="CC2533" s="717"/>
      <c r="CD2533" s="717"/>
      <c r="CE2533" s="717"/>
      <c r="CF2533" s="717"/>
      <c r="CG2533" s="717"/>
      <c r="CH2533" s="717"/>
      <c r="CI2533" s="717"/>
      <c r="CJ2533" s="717"/>
      <c r="CK2533" s="717"/>
      <c r="CL2533" s="717"/>
      <c r="CM2533" s="717"/>
      <c r="CN2533" s="717"/>
      <c r="CO2533" s="717"/>
      <c r="CP2533" s="717"/>
      <c r="CQ2533" s="717"/>
      <c r="CR2533" s="717"/>
      <c r="CS2533" s="717"/>
      <c r="CT2533" s="717"/>
      <c r="CU2533" s="717"/>
      <c r="CV2533" s="717"/>
      <c r="CW2533" s="717"/>
      <c r="CX2533" s="717"/>
      <c r="CY2533" s="717"/>
      <c r="CZ2533" s="717"/>
      <c r="DA2533" s="717"/>
      <c r="DB2533" s="717"/>
      <c r="DC2533" s="717"/>
      <c r="DD2533" s="717"/>
      <c r="DE2533" s="717"/>
      <c r="DF2533" s="717"/>
      <c r="DG2533" s="717"/>
      <c r="DH2533" s="717"/>
      <c r="DI2533" s="717"/>
      <c r="DJ2533" s="717"/>
      <c r="DM2533" s="711"/>
      <c r="DN2533" s="711"/>
      <c r="DO2533" s="711"/>
      <c r="DP2533" s="711"/>
      <c r="DQ2533" s="711"/>
    </row>
    <row r="2534" spans="13:121" s="709" customFormat="1" hidden="1">
      <c r="M2534" s="710"/>
      <c r="P2534" s="711"/>
      <c r="Q2534" s="712"/>
      <c r="U2534" s="711"/>
      <c r="V2534" s="711"/>
      <c r="W2534" s="711"/>
      <c r="X2534" s="711"/>
      <c r="Y2534" s="711"/>
      <c r="Z2534" s="711"/>
      <c r="AU2534" s="713"/>
      <c r="AW2534" s="712"/>
      <c r="BY2534" s="714"/>
      <c r="BZ2534" s="715"/>
      <c r="CA2534" s="716"/>
      <c r="CB2534" s="717"/>
      <c r="CC2534" s="717"/>
      <c r="CD2534" s="717"/>
      <c r="CE2534" s="717"/>
      <c r="CF2534" s="717"/>
      <c r="CG2534" s="717"/>
      <c r="CH2534" s="717"/>
      <c r="CI2534" s="717"/>
      <c r="CJ2534" s="717"/>
      <c r="CK2534" s="717"/>
      <c r="CL2534" s="717"/>
      <c r="CM2534" s="717"/>
      <c r="CN2534" s="717"/>
      <c r="CO2534" s="717"/>
      <c r="CP2534" s="717"/>
      <c r="CQ2534" s="717"/>
      <c r="CR2534" s="717"/>
      <c r="CS2534" s="717"/>
      <c r="CT2534" s="717"/>
      <c r="CU2534" s="717"/>
      <c r="CV2534" s="717"/>
      <c r="CW2534" s="717"/>
      <c r="CX2534" s="717"/>
      <c r="CY2534" s="717"/>
      <c r="CZ2534" s="717"/>
      <c r="DA2534" s="717"/>
      <c r="DB2534" s="717"/>
      <c r="DC2534" s="717"/>
      <c r="DD2534" s="717"/>
      <c r="DE2534" s="717"/>
      <c r="DF2534" s="717"/>
      <c r="DG2534" s="717"/>
      <c r="DH2534" s="717"/>
      <c r="DI2534" s="717"/>
      <c r="DJ2534" s="717"/>
      <c r="DM2534" s="711"/>
      <c r="DN2534" s="711"/>
      <c r="DO2534" s="711"/>
      <c r="DP2534" s="711"/>
      <c r="DQ2534" s="711"/>
    </row>
    <row r="2535" spans="13:121" s="709" customFormat="1" hidden="1">
      <c r="M2535" s="710"/>
      <c r="P2535" s="711"/>
      <c r="Q2535" s="712"/>
      <c r="U2535" s="711"/>
      <c r="V2535" s="711"/>
      <c r="W2535" s="711"/>
      <c r="X2535" s="711"/>
      <c r="Y2535" s="711"/>
      <c r="Z2535" s="711"/>
      <c r="AU2535" s="713"/>
      <c r="AW2535" s="712"/>
      <c r="BY2535" s="714"/>
      <c r="BZ2535" s="715"/>
      <c r="CA2535" s="716"/>
      <c r="CB2535" s="717"/>
      <c r="CC2535" s="717"/>
      <c r="CD2535" s="717"/>
      <c r="CE2535" s="717"/>
      <c r="CF2535" s="717"/>
      <c r="CG2535" s="717"/>
      <c r="CH2535" s="717"/>
      <c r="CI2535" s="717"/>
      <c r="CJ2535" s="717"/>
      <c r="CK2535" s="717"/>
      <c r="CL2535" s="717"/>
      <c r="CM2535" s="717"/>
      <c r="CN2535" s="717"/>
      <c r="CO2535" s="717"/>
      <c r="CP2535" s="717"/>
      <c r="CQ2535" s="717"/>
      <c r="CR2535" s="717"/>
      <c r="CS2535" s="717"/>
      <c r="CT2535" s="717"/>
      <c r="CU2535" s="717"/>
      <c r="CV2535" s="717"/>
      <c r="CW2535" s="717"/>
      <c r="CX2535" s="717"/>
      <c r="CY2535" s="717"/>
      <c r="CZ2535" s="717"/>
      <c r="DA2535" s="717"/>
      <c r="DB2535" s="717"/>
      <c r="DC2535" s="717"/>
      <c r="DD2535" s="717"/>
      <c r="DE2535" s="717"/>
      <c r="DF2535" s="717"/>
      <c r="DG2535" s="717"/>
      <c r="DH2535" s="717"/>
      <c r="DI2535" s="717"/>
      <c r="DJ2535" s="717"/>
      <c r="DM2535" s="711"/>
      <c r="DN2535" s="711"/>
      <c r="DO2535" s="711"/>
      <c r="DP2535" s="711"/>
      <c r="DQ2535" s="711"/>
    </row>
    <row r="2536" spans="13:121" s="709" customFormat="1" hidden="1">
      <c r="M2536" s="710"/>
      <c r="P2536" s="711"/>
      <c r="Q2536" s="712"/>
      <c r="U2536" s="711"/>
      <c r="V2536" s="711"/>
      <c r="W2536" s="711"/>
      <c r="X2536" s="711"/>
      <c r="Y2536" s="711"/>
      <c r="Z2536" s="711"/>
      <c r="AU2536" s="713"/>
      <c r="AW2536" s="712"/>
      <c r="BY2536" s="714"/>
      <c r="BZ2536" s="715"/>
      <c r="CA2536" s="716"/>
      <c r="CB2536" s="717"/>
      <c r="CC2536" s="717"/>
      <c r="CD2536" s="717"/>
      <c r="CE2536" s="717"/>
      <c r="CF2536" s="717"/>
      <c r="CG2536" s="717"/>
      <c r="CH2536" s="717"/>
      <c r="CI2536" s="717"/>
      <c r="CJ2536" s="717"/>
      <c r="CK2536" s="717"/>
      <c r="CL2536" s="717"/>
      <c r="CM2536" s="717"/>
      <c r="CN2536" s="717"/>
      <c r="CO2536" s="717"/>
      <c r="CP2536" s="717"/>
      <c r="CQ2536" s="717"/>
      <c r="CR2536" s="717"/>
      <c r="CS2536" s="717"/>
      <c r="CT2536" s="717"/>
      <c r="CU2536" s="717"/>
      <c r="CV2536" s="717"/>
      <c r="CW2536" s="717"/>
      <c r="CX2536" s="717"/>
      <c r="CY2536" s="717"/>
      <c r="CZ2536" s="717"/>
      <c r="DA2536" s="717"/>
      <c r="DB2536" s="717"/>
      <c r="DC2536" s="717"/>
      <c r="DD2536" s="717"/>
      <c r="DE2536" s="717"/>
      <c r="DF2536" s="717"/>
      <c r="DG2536" s="717"/>
      <c r="DH2536" s="717"/>
      <c r="DI2536" s="717"/>
      <c r="DJ2536" s="717"/>
      <c r="DM2536" s="711"/>
      <c r="DN2536" s="711"/>
      <c r="DO2536" s="711"/>
      <c r="DP2536" s="711"/>
      <c r="DQ2536" s="711"/>
    </row>
    <row r="2537" spans="13:121" s="709" customFormat="1" hidden="1">
      <c r="M2537" s="710"/>
      <c r="P2537" s="711"/>
      <c r="Q2537" s="712"/>
      <c r="U2537" s="711"/>
      <c r="V2537" s="711"/>
      <c r="W2537" s="711"/>
      <c r="X2537" s="711"/>
      <c r="Y2537" s="711"/>
      <c r="Z2537" s="711"/>
      <c r="AU2537" s="713"/>
      <c r="AW2537" s="712"/>
      <c r="BY2537" s="714"/>
      <c r="BZ2537" s="715"/>
      <c r="CA2537" s="716"/>
      <c r="CB2537" s="717"/>
      <c r="CC2537" s="717"/>
      <c r="CD2537" s="717"/>
      <c r="CE2537" s="717"/>
      <c r="CF2537" s="717"/>
      <c r="CG2537" s="717"/>
      <c r="CH2537" s="717"/>
      <c r="CI2537" s="717"/>
      <c r="CJ2537" s="717"/>
      <c r="CK2537" s="717"/>
      <c r="CL2537" s="717"/>
      <c r="CM2537" s="717"/>
      <c r="CN2537" s="717"/>
      <c r="CO2537" s="717"/>
      <c r="CP2537" s="717"/>
      <c r="CQ2537" s="717"/>
      <c r="CR2537" s="717"/>
      <c r="CS2537" s="717"/>
      <c r="CT2537" s="717"/>
      <c r="CU2537" s="717"/>
      <c r="CV2537" s="717"/>
      <c r="CW2537" s="717"/>
      <c r="CX2537" s="717"/>
      <c r="CY2537" s="717"/>
      <c r="CZ2537" s="717"/>
      <c r="DA2537" s="717"/>
      <c r="DB2537" s="717"/>
      <c r="DC2537" s="717"/>
      <c r="DD2537" s="717"/>
      <c r="DE2537" s="717"/>
      <c r="DF2537" s="717"/>
      <c r="DG2537" s="717"/>
      <c r="DH2537" s="717"/>
      <c r="DI2537" s="717"/>
      <c r="DJ2537" s="717"/>
      <c r="DM2537" s="711"/>
      <c r="DN2537" s="711"/>
      <c r="DO2537" s="711"/>
      <c r="DP2537" s="711"/>
      <c r="DQ2537" s="711"/>
    </row>
    <row r="2538" spans="13:121" s="709" customFormat="1" hidden="1">
      <c r="M2538" s="710"/>
      <c r="P2538" s="711"/>
      <c r="Q2538" s="712"/>
      <c r="U2538" s="711"/>
      <c r="V2538" s="711"/>
      <c r="W2538" s="711"/>
      <c r="X2538" s="711"/>
      <c r="Y2538" s="711"/>
      <c r="Z2538" s="711"/>
      <c r="AU2538" s="713"/>
      <c r="AW2538" s="712"/>
      <c r="BY2538" s="714"/>
      <c r="BZ2538" s="715"/>
      <c r="CA2538" s="716"/>
      <c r="CB2538" s="717"/>
      <c r="CC2538" s="717"/>
      <c r="CD2538" s="717"/>
      <c r="CE2538" s="717"/>
      <c r="CF2538" s="717"/>
      <c r="CG2538" s="717"/>
      <c r="CH2538" s="717"/>
      <c r="CI2538" s="717"/>
      <c r="CJ2538" s="717"/>
      <c r="CK2538" s="717"/>
      <c r="CL2538" s="717"/>
      <c r="CM2538" s="717"/>
      <c r="CN2538" s="717"/>
      <c r="CO2538" s="717"/>
      <c r="CP2538" s="717"/>
      <c r="CQ2538" s="717"/>
      <c r="CR2538" s="717"/>
      <c r="CS2538" s="717"/>
      <c r="CT2538" s="717"/>
      <c r="CU2538" s="717"/>
      <c r="CV2538" s="717"/>
      <c r="CW2538" s="717"/>
      <c r="CX2538" s="717"/>
      <c r="CY2538" s="717"/>
      <c r="CZ2538" s="717"/>
      <c r="DA2538" s="717"/>
      <c r="DB2538" s="717"/>
      <c r="DC2538" s="717"/>
      <c r="DD2538" s="717"/>
      <c r="DE2538" s="717"/>
      <c r="DF2538" s="717"/>
      <c r="DG2538" s="717"/>
      <c r="DH2538" s="717"/>
      <c r="DI2538" s="717"/>
      <c r="DJ2538" s="717"/>
      <c r="DM2538" s="711"/>
      <c r="DN2538" s="711"/>
      <c r="DO2538" s="711"/>
      <c r="DP2538" s="711"/>
      <c r="DQ2538" s="711"/>
    </row>
    <row r="2539" spans="13:121" s="709" customFormat="1" hidden="1">
      <c r="M2539" s="710"/>
      <c r="P2539" s="711"/>
      <c r="Q2539" s="712"/>
      <c r="U2539" s="711"/>
      <c r="V2539" s="711"/>
      <c r="W2539" s="711"/>
      <c r="X2539" s="711"/>
      <c r="Y2539" s="711"/>
      <c r="Z2539" s="711"/>
      <c r="AU2539" s="713"/>
      <c r="AW2539" s="712"/>
      <c r="BY2539" s="714"/>
      <c r="BZ2539" s="715"/>
      <c r="CA2539" s="716"/>
      <c r="CB2539" s="717"/>
      <c r="CC2539" s="717"/>
      <c r="CD2539" s="717"/>
      <c r="CE2539" s="717"/>
      <c r="CF2539" s="717"/>
      <c r="CG2539" s="717"/>
      <c r="CH2539" s="717"/>
      <c r="CI2539" s="717"/>
      <c r="CJ2539" s="717"/>
      <c r="CK2539" s="717"/>
      <c r="CL2539" s="717"/>
      <c r="CM2539" s="717"/>
      <c r="CN2539" s="717"/>
      <c r="CO2539" s="717"/>
      <c r="CP2539" s="717"/>
      <c r="CQ2539" s="717"/>
      <c r="CR2539" s="717"/>
      <c r="CS2539" s="717"/>
      <c r="CT2539" s="717"/>
      <c r="CU2539" s="717"/>
      <c r="CV2539" s="717"/>
      <c r="CW2539" s="717"/>
      <c r="CX2539" s="717"/>
      <c r="CY2539" s="717"/>
      <c r="CZ2539" s="717"/>
      <c r="DA2539" s="717"/>
      <c r="DB2539" s="717"/>
      <c r="DC2539" s="717"/>
      <c r="DD2539" s="717"/>
      <c r="DE2539" s="717"/>
      <c r="DF2539" s="717"/>
      <c r="DG2539" s="717"/>
      <c r="DH2539" s="717"/>
      <c r="DI2539" s="717"/>
      <c r="DJ2539" s="717"/>
      <c r="DM2539" s="711"/>
      <c r="DN2539" s="711"/>
      <c r="DO2539" s="711"/>
      <c r="DP2539" s="711"/>
      <c r="DQ2539" s="711"/>
    </row>
    <row r="2540" spans="13:121" s="709" customFormat="1" hidden="1">
      <c r="M2540" s="710"/>
      <c r="P2540" s="711"/>
      <c r="Q2540" s="712"/>
      <c r="U2540" s="711"/>
      <c r="V2540" s="711"/>
      <c r="W2540" s="711"/>
      <c r="X2540" s="711"/>
      <c r="Y2540" s="711"/>
      <c r="Z2540" s="711"/>
      <c r="AU2540" s="713"/>
      <c r="AW2540" s="712"/>
      <c r="BY2540" s="714"/>
      <c r="BZ2540" s="715"/>
      <c r="CA2540" s="716"/>
      <c r="CB2540" s="717"/>
      <c r="CC2540" s="717"/>
      <c r="CD2540" s="717"/>
      <c r="CE2540" s="717"/>
      <c r="CF2540" s="717"/>
      <c r="CG2540" s="717"/>
      <c r="CH2540" s="717"/>
      <c r="CI2540" s="717"/>
      <c r="CJ2540" s="717"/>
      <c r="CK2540" s="717"/>
      <c r="CL2540" s="717"/>
      <c r="CM2540" s="717"/>
      <c r="CN2540" s="717"/>
      <c r="CO2540" s="717"/>
      <c r="CP2540" s="717"/>
      <c r="CQ2540" s="717"/>
      <c r="CR2540" s="717"/>
      <c r="CS2540" s="717"/>
      <c r="CT2540" s="717"/>
      <c r="CU2540" s="717"/>
      <c r="CV2540" s="717"/>
      <c r="CW2540" s="717"/>
      <c r="CX2540" s="717"/>
      <c r="CY2540" s="717"/>
      <c r="CZ2540" s="717"/>
      <c r="DA2540" s="717"/>
      <c r="DB2540" s="717"/>
      <c r="DC2540" s="717"/>
      <c r="DD2540" s="717"/>
      <c r="DE2540" s="717"/>
      <c r="DF2540" s="717"/>
      <c r="DG2540" s="717"/>
      <c r="DH2540" s="717"/>
      <c r="DI2540" s="717"/>
      <c r="DJ2540" s="717"/>
      <c r="DM2540" s="711"/>
      <c r="DN2540" s="711"/>
      <c r="DO2540" s="711"/>
      <c r="DP2540" s="711"/>
      <c r="DQ2540" s="711"/>
    </row>
    <row r="2541" spans="13:121" s="709" customFormat="1" hidden="1">
      <c r="M2541" s="710"/>
      <c r="P2541" s="711"/>
      <c r="Q2541" s="712"/>
      <c r="U2541" s="711"/>
      <c r="V2541" s="711"/>
      <c r="W2541" s="711"/>
      <c r="X2541" s="711"/>
      <c r="Y2541" s="711"/>
      <c r="Z2541" s="711"/>
      <c r="AU2541" s="713"/>
      <c r="AW2541" s="712"/>
      <c r="BY2541" s="714"/>
      <c r="BZ2541" s="715"/>
      <c r="CA2541" s="716"/>
      <c r="CB2541" s="717"/>
      <c r="CC2541" s="717"/>
      <c r="CD2541" s="717"/>
      <c r="CE2541" s="717"/>
      <c r="CF2541" s="717"/>
      <c r="CG2541" s="717"/>
      <c r="CH2541" s="717"/>
      <c r="CI2541" s="717"/>
      <c r="CJ2541" s="717"/>
      <c r="CK2541" s="717"/>
      <c r="CL2541" s="717"/>
      <c r="CM2541" s="717"/>
      <c r="CN2541" s="717"/>
      <c r="CO2541" s="717"/>
      <c r="CP2541" s="717"/>
      <c r="CQ2541" s="717"/>
      <c r="CR2541" s="717"/>
      <c r="CS2541" s="717"/>
      <c r="CT2541" s="717"/>
      <c r="CU2541" s="717"/>
      <c r="CV2541" s="717"/>
      <c r="CW2541" s="717"/>
      <c r="CX2541" s="717"/>
      <c r="CY2541" s="717"/>
      <c r="CZ2541" s="717"/>
      <c r="DA2541" s="717"/>
      <c r="DB2541" s="717"/>
      <c r="DC2541" s="717"/>
      <c r="DD2541" s="717"/>
      <c r="DE2541" s="717"/>
      <c r="DF2541" s="717"/>
      <c r="DG2541" s="717"/>
      <c r="DH2541" s="717"/>
      <c r="DI2541" s="717"/>
      <c r="DJ2541" s="717"/>
      <c r="DM2541" s="711"/>
      <c r="DN2541" s="711"/>
      <c r="DO2541" s="711"/>
      <c r="DP2541" s="711"/>
      <c r="DQ2541" s="711"/>
    </row>
    <row r="2542" spans="13:121" s="709" customFormat="1" hidden="1">
      <c r="M2542" s="710"/>
      <c r="P2542" s="711"/>
      <c r="Q2542" s="712"/>
      <c r="U2542" s="711"/>
      <c r="V2542" s="711"/>
      <c r="W2542" s="711"/>
      <c r="X2542" s="711"/>
      <c r="Y2542" s="711"/>
      <c r="Z2542" s="711"/>
      <c r="AU2542" s="713"/>
      <c r="AW2542" s="712"/>
      <c r="BY2542" s="714"/>
      <c r="BZ2542" s="715"/>
      <c r="CA2542" s="716"/>
      <c r="CB2542" s="717"/>
      <c r="CC2542" s="717"/>
      <c r="CD2542" s="717"/>
      <c r="CE2542" s="717"/>
      <c r="CF2542" s="717"/>
      <c r="CG2542" s="717"/>
      <c r="CH2542" s="717"/>
      <c r="CI2542" s="717"/>
      <c r="CJ2542" s="717"/>
      <c r="CK2542" s="717"/>
      <c r="CL2542" s="717"/>
      <c r="CM2542" s="717"/>
      <c r="CN2542" s="717"/>
      <c r="CO2542" s="717"/>
      <c r="CP2542" s="717"/>
      <c r="CQ2542" s="717"/>
      <c r="CR2542" s="717"/>
      <c r="CS2542" s="717"/>
      <c r="CT2542" s="717"/>
      <c r="CU2542" s="717"/>
      <c r="CV2542" s="717"/>
      <c r="CW2542" s="717"/>
      <c r="CX2542" s="717"/>
      <c r="CY2542" s="717"/>
      <c r="CZ2542" s="717"/>
      <c r="DA2542" s="717"/>
      <c r="DB2542" s="717"/>
      <c r="DC2542" s="717"/>
      <c r="DD2542" s="717"/>
      <c r="DE2542" s="717"/>
      <c r="DF2542" s="717"/>
      <c r="DG2542" s="717"/>
      <c r="DH2542" s="717"/>
      <c r="DI2542" s="717"/>
      <c r="DJ2542" s="717"/>
      <c r="DM2542" s="711"/>
      <c r="DN2542" s="711"/>
      <c r="DO2542" s="711"/>
      <c r="DP2542" s="711"/>
      <c r="DQ2542" s="711"/>
    </row>
    <row r="2543" spans="13:121" s="709" customFormat="1" hidden="1">
      <c r="M2543" s="710"/>
      <c r="P2543" s="711"/>
      <c r="Q2543" s="712"/>
      <c r="U2543" s="711"/>
      <c r="V2543" s="711"/>
      <c r="W2543" s="711"/>
      <c r="X2543" s="711"/>
      <c r="Y2543" s="711"/>
      <c r="Z2543" s="711"/>
      <c r="AU2543" s="713"/>
      <c r="AW2543" s="712"/>
      <c r="BY2543" s="714"/>
      <c r="BZ2543" s="715"/>
      <c r="CA2543" s="716"/>
      <c r="CB2543" s="717"/>
      <c r="CC2543" s="717"/>
      <c r="CD2543" s="717"/>
      <c r="CE2543" s="717"/>
      <c r="CF2543" s="717"/>
      <c r="CG2543" s="717"/>
      <c r="CH2543" s="717"/>
      <c r="CI2543" s="717"/>
      <c r="CJ2543" s="717"/>
      <c r="CK2543" s="717"/>
      <c r="CL2543" s="717"/>
      <c r="CM2543" s="717"/>
      <c r="CN2543" s="717"/>
      <c r="CO2543" s="717"/>
      <c r="CP2543" s="717"/>
      <c r="CQ2543" s="717"/>
      <c r="CR2543" s="717"/>
      <c r="CS2543" s="717"/>
      <c r="CT2543" s="717"/>
      <c r="CU2543" s="717"/>
      <c r="CV2543" s="717"/>
      <c r="CW2543" s="717"/>
      <c r="CX2543" s="717"/>
      <c r="CY2543" s="717"/>
      <c r="CZ2543" s="717"/>
      <c r="DA2543" s="717"/>
      <c r="DB2543" s="717"/>
      <c r="DC2543" s="717"/>
      <c r="DD2543" s="717"/>
      <c r="DE2543" s="717"/>
      <c r="DF2543" s="717"/>
      <c r="DG2543" s="717"/>
      <c r="DH2543" s="717"/>
      <c r="DI2543" s="717"/>
      <c r="DJ2543" s="717"/>
      <c r="DM2543" s="711"/>
      <c r="DN2543" s="711"/>
      <c r="DO2543" s="711"/>
      <c r="DP2543" s="711"/>
      <c r="DQ2543" s="711"/>
    </row>
    <row r="2544" spans="13:121" s="709" customFormat="1" hidden="1">
      <c r="M2544" s="710"/>
      <c r="P2544" s="711"/>
      <c r="Q2544" s="712"/>
      <c r="U2544" s="711"/>
      <c r="V2544" s="711"/>
      <c r="W2544" s="711"/>
      <c r="X2544" s="711"/>
      <c r="Y2544" s="711"/>
      <c r="Z2544" s="711"/>
      <c r="AU2544" s="713"/>
      <c r="AW2544" s="712"/>
      <c r="BY2544" s="714"/>
      <c r="BZ2544" s="715"/>
      <c r="CA2544" s="716"/>
      <c r="CB2544" s="717"/>
      <c r="CC2544" s="717"/>
      <c r="CD2544" s="717"/>
      <c r="CE2544" s="717"/>
      <c r="CF2544" s="717"/>
      <c r="CG2544" s="717"/>
      <c r="CH2544" s="717"/>
      <c r="CI2544" s="717"/>
      <c r="CJ2544" s="717"/>
      <c r="CK2544" s="717"/>
      <c r="CL2544" s="717"/>
      <c r="CM2544" s="717"/>
      <c r="CN2544" s="717"/>
      <c r="CO2544" s="717"/>
      <c r="CP2544" s="717"/>
      <c r="CQ2544" s="717"/>
      <c r="CR2544" s="717"/>
      <c r="CS2544" s="717"/>
      <c r="CT2544" s="717"/>
      <c r="CU2544" s="717"/>
      <c r="CV2544" s="717"/>
      <c r="CW2544" s="717"/>
      <c r="CX2544" s="717"/>
      <c r="CY2544" s="717"/>
      <c r="CZ2544" s="717"/>
      <c r="DA2544" s="717"/>
      <c r="DB2544" s="717"/>
      <c r="DC2544" s="717"/>
      <c r="DD2544" s="717"/>
      <c r="DE2544" s="717"/>
      <c r="DF2544" s="717"/>
      <c r="DG2544" s="717"/>
      <c r="DH2544" s="717"/>
      <c r="DI2544" s="717"/>
      <c r="DJ2544" s="717"/>
      <c r="DM2544" s="711"/>
      <c r="DN2544" s="711"/>
      <c r="DO2544" s="711"/>
      <c r="DP2544" s="711"/>
      <c r="DQ2544" s="711"/>
    </row>
    <row r="2545" spans="13:121" s="709" customFormat="1" hidden="1">
      <c r="M2545" s="710"/>
      <c r="P2545" s="711"/>
      <c r="Q2545" s="712"/>
      <c r="U2545" s="711"/>
      <c r="V2545" s="711"/>
      <c r="W2545" s="711"/>
      <c r="X2545" s="711"/>
      <c r="Y2545" s="711"/>
      <c r="Z2545" s="711"/>
      <c r="AU2545" s="713"/>
      <c r="AW2545" s="712"/>
      <c r="BY2545" s="714"/>
      <c r="BZ2545" s="715"/>
      <c r="CA2545" s="716"/>
      <c r="CB2545" s="717"/>
      <c r="CC2545" s="717"/>
      <c r="CD2545" s="717"/>
      <c r="CE2545" s="717"/>
      <c r="CF2545" s="717"/>
      <c r="CG2545" s="717"/>
      <c r="CH2545" s="717"/>
      <c r="CI2545" s="717"/>
      <c r="CJ2545" s="717"/>
      <c r="CK2545" s="717"/>
      <c r="CL2545" s="717"/>
      <c r="CM2545" s="717"/>
      <c r="CN2545" s="717"/>
      <c r="CO2545" s="717"/>
      <c r="CP2545" s="717"/>
      <c r="CQ2545" s="717"/>
      <c r="CR2545" s="717"/>
      <c r="CS2545" s="717"/>
      <c r="CT2545" s="717"/>
      <c r="CU2545" s="717"/>
      <c r="CV2545" s="717"/>
      <c r="CW2545" s="717"/>
      <c r="CX2545" s="717"/>
      <c r="CY2545" s="717"/>
      <c r="CZ2545" s="717"/>
      <c r="DA2545" s="717"/>
      <c r="DB2545" s="717"/>
      <c r="DC2545" s="717"/>
      <c r="DD2545" s="717"/>
      <c r="DE2545" s="717"/>
      <c r="DF2545" s="717"/>
      <c r="DG2545" s="717"/>
      <c r="DH2545" s="717"/>
      <c r="DI2545" s="717"/>
      <c r="DJ2545" s="717"/>
      <c r="DM2545" s="711"/>
      <c r="DN2545" s="711"/>
      <c r="DO2545" s="711"/>
      <c r="DP2545" s="711"/>
      <c r="DQ2545" s="711"/>
    </row>
    <row r="2546" spans="13:121" s="709" customFormat="1" hidden="1">
      <c r="M2546" s="710"/>
      <c r="P2546" s="711"/>
      <c r="Q2546" s="712"/>
      <c r="U2546" s="711"/>
      <c r="V2546" s="711"/>
      <c r="W2546" s="711"/>
      <c r="X2546" s="711"/>
      <c r="Y2546" s="711"/>
      <c r="Z2546" s="711"/>
      <c r="AU2546" s="713"/>
      <c r="AW2546" s="712"/>
      <c r="BY2546" s="714"/>
      <c r="BZ2546" s="715"/>
      <c r="CA2546" s="716"/>
      <c r="CB2546" s="717"/>
      <c r="CC2546" s="717"/>
      <c r="CD2546" s="717"/>
      <c r="CE2546" s="717"/>
      <c r="CF2546" s="717"/>
      <c r="CG2546" s="717"/>
      <c r="CH2546" s="717"/>
      <c r="CI2546" s="717"/>
      <c r="CJ2546" s="717"/>
      <c r="CK2546" s="717"/>
      <c r="CL2546" s="717"/>
      <c r="CM2546" s="717"/>
      <c r="CN2546" s="717"/>
      <c r="CO2546" s="717"/>
      <c r="CP2546" s="717"/>
      <c r="CQ2546" s="717"/>
      <c r="CR2546" s="717"/>
      <c r="CS2546" s="717"/>
      <c r="CT2546" s="717"/>
      <c r="CU2546" s="717"/>
      <c r="CV2546" s="717"/>
      <c r="CW2546" s="717"/>
      <c r="CX2546" s="717"/>
      <c r="CY2546" s="717"/>
      <c r="CZ2546" s="717"/>
      <c r="DA2546" s="717"/>
      <c r="DB2546" s="717"/>
      <c r="DC2546" s="717"/>
      <c r="DD2546" s="717"/>
      <c r="DE2546" s="717"/>
      <c r="DF2546" s="717"/>
      <c r="DG2546" s="717"/>
      <c r="DH2546" s="717"/>
      <c r="DI2546" s="717"/>
      <c r="DJ2546" s="717"/>
      <c r="DM2546" s="711"/>
      <c r="DN2546" s="711"/>
      <c r="DO2546" s="711"/>
      <c r="DP2546" s="711"/>
      <c r="DQ2546" s="711"/>
    </row>
    <row r="2547" spans="13:121" s="709" customFormat="1" hidden="1">
      <c r="M2547" s="710"/>
      <c r="P2547" s="711"/>
      <c r="Q2547" s="712"/>
      <c r="U2547" s="711"/>
      <c r="V2547" s="711"/>
      <c r="W2547" s="711"/>
      <c r="X2547" s="711"/>
      <c r="Y2547" s="711"/>
      <c r="Z2547" s="711"/>
      <c r="AU2547" s="713"/>
      <c r="AW2547" s="712"/>
      <c r="BY2547" s="714"/>
      <c r="BZ2547" s="715"/>
      <c r="CA2547" s="716"/>
      <c r="CB2547" s="717"/>
      <c r="CC2547" s="717"/>
      <c r="CD2547" s="717"/>
      <c r="CE2547" s="717"/>
      <c r="CF2547" s="717"/>
      <c r="CG2547" s="717"/>
      <c r="CH2547" s="717"/>
      <c r="CI2547" s="717"/>
      <c r="CJ2547" s="717"/>
      <c r="CK2547" s="717"/>
      <c r="CL2547" s="717"/>
      <c r="CM2547" s="717"/>
      <c r="CN2547" s="717"/>
      <c r="CO2547" s="717"/>
      <c r="CP2547" s="717"/>
      <c r="CQ2547" s="717"/>
      <c r="CR2547" s="717"/>
      <c r="CS2547" s="717"/>
      <c r="CT2547" s="717"/>
      <c r="CU2547" s="717"/>
      <c r="CV2547" s="717"/>
      <c r="CW2547" s="717"/>
      <c r="CX2547" s="717"/>
      <c r="CY2547" s="717"/>
      <c r="CZ2547" s="717"/>
      <c r="DA2547" s="717"/>
      <c r="DB2547" s="717"/>
      <c r="DC2547" s="717"/>
      <c r="DD2547" s="717"/>
      <c r="DE2547" s="717"/>
      <c r="DF2547" s="717"/>
      <c r="DG2547" s="717"/>
      <c r="DH2547" s="717"/>
      <c r="DI2547" s="717"/>
      <c r="DJ2547" s="717"/>
      <c r="DM2547" s="711"/>
      <c r="DN2547" s="711"/>
      <c r="DO2547" s="711"/>
      <c r="DP2547" s="711"/>
      <c r="DQ2547" s="711"/>
    </row>
    <row r="2548" spans="13:121" s="709" customFormat="1" hidden="1">
      <c r="M2548" s="710"/>
      <c r="P2548" s="711"/>
      <c r="Q2548" s="712"/>
      <c r="U2548" s="711"/>
      <c r="V2548" s="711"/>
      <c r="W2548" s="711"/>
      <c r="X2548" s="711"/>
      <c r="Y2548" s="711"/>
      <c r="Z2548" s="711"/>
      <c r="AU2548" s="713"/>
      <c r="AW2548" s="712"/>
      <c r="BY2548" s="714"/>
      <c r="BZ2548" s="715"/>
      <c r="CA2548" s="716"/>
      <c r="CB2548" s="717"/>
      <c r="CC2548" s="717"/>
      <c r="CD2548" s="717"/>
      <c r="CE2548" s="717"/>
      <c r="CF2548" s="717"/>
      <c r="CG2548" s="717"/>
      <c r="CH2548" s="717"/>
      <c r="CI2548" s="717"/>
      <c r="CJ2548" s="717"/>
      <c r="CK2548" s="717"/>
      <c r="CL2548" s="717"/>
      <c r="CM2548" s="717"/>
      <c r="CN2548" s="717"/>
      <c r="CO2548" s="717"/>
      <c r="CP2548" s="717"/>
      <c r="CQ2548" s="717"/>
      <c r="CR2548" s="717"/>
      <c r="CS2548" s="717"/>
      <c r="CT2548" s="717"/>
      <c r="CU2548" s="717"/>
      <c r="CV2548" s="717"/>
      <c r="CW2548" s="717"/>
      <c r="CX2548" s="717"/>
      <c r="CY2548" s="717"/>
      <c r="CZ2548" s="717"/>
      <c r="DA2548" s="717"/>
      <c r="DB2548" s="717"/>
      <c r="DC2548" s="717"/>
      <c r="DD2548" s="717"/>
      <c r="DE2548" s="717"/>
      <c r="DF2548" s="717"/>
      <c r="DG2548" s="717"/>
      <c r="DH2548" s="717"/>
      <c r="DI2548" s="717"/>
      <c r="DJ2548" s="717"/>
      <c r="DM2548" s="711"/>
      <c r="DN2548" s="711"/>
      <c r="DO2548" s="711"/>
      <c r="DP2548" s="711"/>
      <c r="DQ2548" s="711"/>
    </row>
    <row r="2549" spans="13:121" s="709" customFormat="1" hidden="1">
      <c r="M2549" s="710"/>
      <c r="P2549" s="711"/>
      <c r="Q2549" s="712"/>
      <c r="U2549" s="711"/>
      <c r="V2549" s="711"/>
      <c r="W2549" s="711"/>
      <c r="X2549" s="711"/>
      <c r="Y2549" s="711"/>
      <c r="Z2549" s="711"/>
      <c r="AU2549" s="713"/>
      <c r="AW2549" s="712"/>
      <c r="BY2549" s="714"/>
      <c r="BZ2549" s="715"/>
      <c r="CA2549" s="716"/>
      <c r="CB2549" s="717"/>
      <c r="CC2549" s="717"/>
      <c r="CD2549" s="717"/>
      <c r="CE2549" s="717"/>
      <c r="CF2549" s="717"/>
      <c r="CG2549" s="717"/>
      <c r="CH2549" s="717"/>
      <c r="CI2549" s="717"/>
      <c r="CJ2549" s="717"/>
      <c r="CK2549" s="717"/>
      <c r="CL2549" s="717"/>
      <c r="CM2549" s="717"/>
      <c r="CN2549" s="717"/>
      <c r="CO2549" s="717"/>
      <c r="CP2549" s="717"/>
      <c r="CQ2549" s="717"/>
      <c r="CR2549" s="717"/>
      <c r="CS2549" s="717"/>
      <c r="CT2549" s="717"/>
      <c r="CU2549" s="717"/>
      <c r="CV2549" s="717"/>
      <c r="CW2549" s="717"/>
      <c r="CX2549" s="717"/>
      <c r="CY2549" s="717"/>
      <c r="CZ2549" s="717"/>
      <c r="DA2549" s="717"/>
      <c r="DB2549" s="717"/>
      <c r="DC2549" s="717"/>
      <c r="DD2549" s="717"/>
      <c r="DE2549" s="717"/>
      <c r="DF2549" s="717"/>
      <c r="DG2549" s="717"/>
      <c r="DH2549" s="717"/>
      <c r="DI2549" s="717"/>
      <c r="DJ2549" s="717"/>
      <c r="DM2549" s="711"/>
      <c r="DN2549" s="711"/>
      <c r="DO2549" s="711"/>
      <c r="DP2549" s="711"/>
      <c r="DQ2549" s="711"/>
    </row>
    <row r="2550" spans="13:121" s="709" customFormat="1" hidden="1">
      <c r="M2550" s="710"/>
      <c r="P2550" s="711"/>
      <c r="Q2550" s="712"/>
      <c r="U2550" s="711"/>
      <c r="V2550" s="711"/>
      <c r="W2550" s="711"/>
      <c r="X2550" s="711"/>
      <c r="Y2550" s="711"/>
      <c r="Z2550" s="711"/>
      <c r="AU2550" s="713"/>
      <c r="AW2550" s="712"/>
      <c r="BY2550" s="714"/>
      <c r="BZ2550" s="715"/>
      <c r="CA2550" s="716"/>
      <c r="CB2550" s="717"/>
      <c r="CC2550" s="717"/>
      <c r="CD2550" s="717"/>
      <c r="CE2550" s="717"/>
      <c r="CF2550" s="717"/>
      <c r="CG2550" s="717"/>
      <c r="CH2550" s="717"/>
      <c r="CI2550" s="717"/>
      <c r="CJ2550" s="717"/>
      <c r="CK2550" s="717"/>
      <c r="CL2550" s="717"/>
      <c r="CM2550" s="717"/>
      <c r="CN2550" s="717"/>
      <c r="CO2550" s="717"/>
      <c r="CP2550" s="717"/>
      <c r="CQ2550" s="717"/>
      <c r="CR2550" s="717"/>
      <c r="CS2550" s="717"/>
      <c r="CT2550" s="717"/>
      <c r="CU2550" s="717"/>
      <c r="CV2550" s="717"/>
      <c r="CW2550" s="717"/>
      <c r="CX2550" s="717"/>
      <c r="CY2550" s="717"/>
      <c r="CZ2550" s="717"/>
      <c r="DA2550" s="717"/>
      <c r="DB2550" s="717"/>
      <c r="DC2550" s="717"/>
      <c r="DD2550" s="717"/>
      <c r="DE2550" s="717"/>
      <c r="DF2550" s="717"/>
      <c r="DG2550" s="717"/>
      <c r="DH2550" s="717"/>
      <c r="DI2550" s="717"/>
      <c r="DJ2550" s="717"/>
      <c r="DM2550" s="711"/>
      <c r="DN2550" s="711"/>
      <c r="DO2550" s="711"/>
      <c r="DP2550" s="711"/>
      <c r="DQ2550" s="711"/>
    </row>
    <row r="2551" spans="13:121" s="709" customFormat="1" hidden="1">
      <c r="M2551" s="710"/>
      <c r="P2551" s="711"/>
      <c r="Q2551" s="712"/>
      <c r="U2551" s="711"/>
      <c r="V2551" s="711"/>
      <c r="W2551" s="711"/>
      <c r="X2551" s="711"/>
      <c r="Y2551" s="711"/>
      <c r="Z2551" s="711"/>
      <c r="AU2551" s="713"/>
      <c r="AW2551" s="712"/>
      <c r="BY2551" s="714"/>
      <c r="BZ2551" s="715"/>
      <c r="CA2551" s="716"/>
      <c r="CB2551" s="717"/>
      <c r="CC2551" s="717"/>
      <c r="CD2551" s="717"/>
      <c r="CE2551" s="717"/>
      <c r="CF2551" s="717"/>
      <c r="CG2551" s="717"/>
      <c r="CH2551" s="717"/>
      <c r="CI2551" s="717"/>
      <c r="CJ2551" s="717"/>
      <c r="CK2551" s="717"/>
      <c r="CL2551" s="717"/>
      <c r="CM2551" s="717"/>
      <c r="CN2551" s="717"/>
      <c r="CO2551" s="717"/>
      <c r="CP2551" s="717"/>
      <c r="CQ2551" s="717"/>
      <c r="CR2551" s="717"/>
      <c r="CS2551" s="717"/>
      <c r="CT2551" s="717"/>
      <c r="CU2551" s="717"/>
      <c r="CV2551" s="717"/>
      <c r="CW2551" s="717"/>
      <c r="CX2551" s="717"/>
      <c r="CY2551" s="717"/>
      <c r="CZ2551" s="717"/>
      <c r="DA2551" s="717"/>
      <c r="DB2551" s="717"/>
      <c r="DC2551" s="717"/>
      <c r="DD2551" s="717"/>
      <c r="DE2551" s="717"/>
      <c r="DF2551" s="717"/>
      <c r="DG2551" s="717"/>
      <c r="DH2551" s="717"/>
      <c r="DI2551" s="717"/>
      <c r="DJ2551" s="717"/>
      <c r="DM2551" s="711"/>
      <c r="DN2551" s="711"/>
      <c r="DO2551" s="711"/>
      <c r="DP2551" s="711"/>
      <c r="DQ2551" s="711"/>
    </row>
    <row r="2552" spans="13:121" s="709" customFormat="1" hidden="1">
      <c r="M2552" s="710"/>
      <c r="P2552" s="711"/>
      <c r="Q2552" s="712"/>
      <c r="U2552" s="711"/>
      <c r="V2552" s="711"/>
      <c r="W2552" s="711"/>
      <c r="X2552" s="711"/>
      <c r="Y2552" s="711"/>
      <c r="Z2552" s="711"/>
      <c r="AU2552" s="713"/>
      <c r="AW2552" s="712"/>
      <c r="BY2552" s="714"/>
      <c r="BZ2552" s="715"/>
      <c r="CA2552" s="716"/>
      <c r="CB2552" s="717"/>
      <c r="CC2552" s="717"/>
      <c r="CD2552" s="717"/>
      <c r="CE2552" s="717"/>
      <c r="CF2552" s="717"/>
      <c r="CG2552" s="717"/>
      <c r="CH2552" s="717"/>
      <c r="CI2552" s="717"/>
      <c r="CJ2552" s="717"/>
      <c r="CK2552" s="717"/>
      <c r="CL2552" s="717"/>
      <c r="CM2552" s="717"/>
      <c r="CN2552" s="717"/>
      <c r="CO2552" s="717"/>
      <c r="CP2552" s="717"/>
      <c r="CQ2552" s="717"/>
      <c r="CR2552" s="717"/>
      <c r="CS2552" s="717"/>
      <c r="CT2552" s="717"/>
      <c r="CU2552" s="717"/>
      <c r="CV2552" s="717"/>
      <c r="CW2552" s="717"/>
      <c r="CX2552" s="717"/>
      <c r="CY2552" s="717"/>
      <c r="CZ2552" s="717"/>
      <c r="DA2552" s="717"/>
      <c r="DB2552" s="717"/>
      <c r="DC2552" s="717"/>
      <c r="DD2552" s="717"/>
      <c r="DE2552" s="717"/>
      <c r="DF2552" s="717"/>
      <c r="DG2552" s="717"/>
      <c r="DH2552" s="717"/>
      <c r="DI2552" s="717"/>
      <c r="DJ2552" s="717"/>
      <c r="DM2552" s="711"/>
      <c r="DN2552" s="711"/>
      <c r="DO2552" s="711"/>
      <c r="DP2552" s="711"/>
      <c r="DQ2552" s="711"/>
    </row>
    <row r="2553" spans="13:121" s="709" customFormat="1" hidden="1">
      <c r="M2553" s="710"/>
      <c r="P2553" s="711"/>
      <c r="Q2553" s="712"/>
      <c r="U2553" s="711"/>
      <c r="V2553" s="711"/>
      <c r="W2553" s="711"/>
      <c r="X2553" s="711"/>
      <c r="Y2553" s="711"/>
      <c r="Z2553" s="711"/>
      <c r="AU2553" s="713"/>
      <c r="AW2553" s="712"/>
      <c r="BY2553" s="714"/>
      <c r="BZ2553" s="715"/>
      <c r="CA2553" s="716"/>
      <c r="CB2553" s="717"/>
      <c r="CC2553" s="717"/>
      <c r="CD2553" s="717"/>
      <c r="CE2553" s="717"/>
      <c r="CF2553" s="717"/>
      <c r="CG2553" s="717"/>
      <c r="CH2553" s="717"/>
      <c r="CI2553" s="717"/>
      <c r="CJ2553" s="717"/>
      <c r="CK2553" s="717"/>
      <c r="CL2553" s="717"/>
      <c r="CM2553" s="717"/>
      <c r="CN2553" s="717"/>
      <c r="CO2553" s="717"/>
      <c r="CP2553" s="717"/>
      <c r="CQ2553" s="717"/>
      <c r="CR2553" s="717"/>
      <c r="CS2553" s="717"/>
      <c r="CT2553" s="717"/>
      <c r="CU2553" s="717"/>
      <c r="CV2553" s="717"/>
      <c r="CW2553" s="717"/>
      <c r="CX2553" s="717"/>
      <c r="CY2553" s="717"/>
      <c r="CZ2553" s="717"/>
      <c r="DA2553" s="717"/>
      <c r="DB2553" s="717"/>
      <c r="DC2553" s="717"/>
      <c r="DD2553" s="717"/>
      <c r="DE2553" s="717"/>
      <c r="DF2553" s="717"/>
      <c r="DG2553" s="717"/>
      <c r="DH2553" s="717"/>
      <c r="DI2553" s="717"/>
      <c r="DJ2553" s="717"/>
      <c r="DM2553" s="711"/>
      <c r="DN2553" s="711"/>
      <c r="DO2553" s="711"/>
      <c r="DP2553" s="711"/>
      <c r="DQ2553" s="711"/>
    </row>
    <row r="2554" spans="13:121" s="709" customFormat="1" hidden="1">
      <c r="M2554" s="710"/>
      <c r="P2554" s="711"/>
      <c r="Q2554" s="712"/>
      <c r="U2554" s="711"/>
      <c r="V2554" s="711"/>
      <c r="W2554" s="711"/>
      <c r="X2554" s="711"/>
      <c r="Y2554" s="711"/>
      <c r="Z2554" s="711"/>
      <c r="AU2554" s="713"/>
      <c r="AW2554" s="712"/>
      <c r="BY2554" s="714"/>
      <c r="BZ2554" s="715"/>
      <c r="CA2554" s="716"/>
      <c r="CB2554" s="717"/>
      <c r="CC2554" s="717"/>
      <c r="CD2554" s="717"/>
      <c r="CE2554" s="717"/>
      <c r="CF2554" s="717"/>
      <c r="CG2554" s="717"/>
      <c r="CH2554" s="717"/>
      <c r="CI2554" s="717"/>
      <c r="CJ2554" s="717"/>
      <c r="CK2554" s="717"/>
      <c r="CL2554" s="717"/>
      <c r="CM2554" s="717"/>
      <c r="CN2554" s="717"/>
      <c r="CO2554" s="717"/>
      <c r="CP2554" s="717"/>
      <c r="CQ2554" s="717"/>
      <c r="CR2554" s="717"/>
      <c r="CS2554" s="717"/>
      <c r="CT2554" s="717"/>
      <c r="CU2554" s="717"/>
      <c r="CV2554" s="717"/>
      <c r="CW2554" s="717"/>
      <c r="CX2554" s="717"/>
      <c r="CY2554" s="717"/>
      <c r="CZ2554" s="717"/>
      <c r="DA2554" s="717"/>
      <c r="DB2554" s="717"/>
      <c r="DC2554" s="717"/>
      <c r="DD2554" s="717"/>
      <c r="DE2554" s="717"/>
      <c r="DF2554" s="717"/>
      <c r="DG2554" s="717"/>
      <c r="DH2554" s="717"/>
      <c r="DI2554" s="717"/>
      <c r="DJ2554" s="717"/>
      <c r="DM2554" s="711"/>
      <c r="DN2554" s="711"/>
      <c r="DO2554" s="711"/>
      <c r="DP2554" s="711"/>
      <c r="DQ2554" s="711"/>
    </row>
    <row r="2555" spans="13:121" s="709" customFormat="1" hidden="1">
      <c r="M2555" s="710"/>
      <c r="P2555" s="711"/>
      <c r="Q2555" s="712"/>
      <c r="U2555" s="711"/>
      <c r="V2555" s="711"/>
      <c r="W2555" s="711"/>
      <c r="X2555" s="711"/>
      <c r="Y2555" s="711"/>
      <c r="Z2555" s="711"/>
      <c r="AU2555" s="713"/>
      <c r="AW2555" s="712"/>
      <c r="BY2555" s="714"/>
      <c r="BZ2555" s="715"/>
      <c r="CA2555" s="716"/>
      <c r="CB2555" s="717"/>
      <c r="CC2555" s="717"/>
      <c r="CD2555" s="717"/>
      <c r="CE2555" s="717"/>
      <c r="CF2555" s="717"/>
      <c r="CG2555" s="717"/>
      <c r="CH2555" s="717"/>
      <c r="CI2555" s="717"/>
      <c r="CJ2555" s="717"/>
      <c r="CK2555" s="717"/>
      <c r="CL2555" s="717"/>
      <c r="CM2555" s="717"/>
      <c r="CN2555" s="717"/>
      <c r="CO2555" s="717"/>
      <c r="CP2555" s="717"/>
      <c r="CQ2555" s="717"/>
      <c r="CR2555" s="717"/>
      <c r="CS2555" s="717"/>
      <c r="CT2555" s="717"/>
      <c r="CU2555" s="717"/>
      <c r="CV2555" s="717"/>
      <c r="CW2555" s="717"/>
      <c r="CX2555" s="717"/>
      <c r="CY2555" s="717"/>
      <c r="CZ2555" s="717"/>
      <c r="DA2555" s="717"/>
      <c r="DB2555" s="717"/>
      <c r="DC2555" s="717"/>
      <c r="DD2555" s="717"/>
      <c r="DE2555" s="717"/>
      <c r="DF2555" s="717"/>
      <c r="DG2555" s="717"/>
      <c r="DH2555" s="717"/>
      <c r="DI2555" s="717"/>
      <c r="DJ2555" s="717"/>
      <c r="DM2555" s="711"/>
      <c r="DN2555" s="711"/>
      <c r="DO2555" s="711"/>
      <c r="DP2555" s="711"/>
      <c r="DQ2555" s="711"/>
    </row>
    <row r="2556" spans="13:121" s="709" customFormat="1" hidden="1">
      <c r="M2556" s="710"/>
      <c r="P2556" s="711"/>
      <c r="Q2556" s="712"/>
      <c r="U2556" s="711"/>
      <c r="V2556" s="711"/>
      <c r="W2556" s="711"/>
      <c r="X2556" s="711"/>
      <c r="Y2556" s="711"/>
      <c r="Z2556" s="711"/>
      <c r="AU2556" s="713"/>
      <c r="AW2556" s="712"/>
      <c r="BY2556" s="714"/>
      <c r="BZ2556" s="715"/>
      <c r="CA2556" s="716"/>
      <c r="CB2556" s="717"/>
      <c r="CC2556" s="717"/>
      <c r="CD2556" s="717"/>
      <c r="CE2556" s="717"/>
      <c r="CF2556" s="717"/>
      <c r="CG2556" s="717"/>
      <c r="CH2556" s="717"/>
      <c r="CI2556" s="717"/>
      <c r="CJ2556" s="717"/>
      <c r="CK2556" s="717"/>
      <c r="CL2556" s="717"/>
      <c r="CM2556" s="717"/>
      <c r="CN2556" s="717"/>
      <c r="CO2556" s="717"/>
      <c r="CP2556" s="717"/>
      <c r="CQ2556" s="717"/>
      <c r="CR2556" s="717"/>
      <c r="CS2556" s="717"/>
      <c r="CT2556" s="717"/>
      <c r="CU2556" s="717"/>
      <c r="CV2556" s="717"/>
      <c r="CW2556" s="717"/>
      <c r="CX2556" s="717"/>
      <c r="CY2556" s="717"/>
      <c r="CZ2556" s="717"/>
      <c r="DA2556" s="717"/>
      <c r="DB2556" s="717"/>
      <c r="DC2556" s="717"/>
      <c r="DD2556" s="717"/>
      <c r="DE2556" s="717"/>
      <c r="DF2556" s="717"/>
      <c r="DG2556" s="717"/>
      <c r="DH2556" s="717"/>
      <c r="DI2556" s="717"/>
      <c r="DJ2556" s="717"/>
      <c r="DM2556" s="711"/>
      <c r="DN2556" s="711"/>
      <c r="DO2556" s="711"/>
      <c r="DP2556" s="711"/>
      <c r="DQ2556" s="711"/>
    </row>
    <row r="2557" spans="13:121" s="709" customFormat="1" hidden="1">
      <c r="M2557" s="710"/>
      <c r="P2557" s="711"/>
      <c r="Q2557" s="712"/>
      <c r="U2557" s="711"/>
      <c r="V2557" s="711"/>
      <c r="W2557" s="711"/>
      <c r="X2557" s="711"/>
      <c r="Y2557" s="711"/>
      <c r="Z2557" s="711"/>
      <c r="AU2557" s="713"/>
      <c r="AW2557" s="712"/>
      <c r="BY2557" s="714"/>
      <c r="BZ2557" s="715"/>
      <c r="CA2557" s="716"/>
      <c r="CB2557" s="717"/>
      <c r="CC2557" s="717"/>
      <c r="CD2557" s="717"/>
      <c r="CE2557" s="717"/>
      <c r="CF2557" s="717"/>
      <c r="CG2557" s="717"/>
      <c r="CH2557" s="717"/>
      <c r="CI2557" s="717"/>
      <c r="CJ2557" s="717"/>
      <c r="CK2557" s="717"/>
      <c r="CL2557" s="717"/>
      <c r="CM2557" s="717"/>
      <c r="CN2557" s="717"/>
      <c r="CO2557" s="717"/>
      <c r="CP2557" s="717"/>
      <c r="CQ2557" s="717"/>
      <c r="CR2557" s="717"/>
      <c r="CS2557" s="717"/>
      <c r="CT2557" s="717"/>
      <c r="CU2557" s="717"/>
      <c r="CV2557" s="717"/>
      <c r="CW2557" s="717"/>
      <c r="CX2557" s="717"/>
      <c r="CY2557" s="717"/>
      <c r="CZ2557" s="717"/>
      <c r="DA2557" s="717"/>
      <c r="DB2557" s="717"/>
      <c r="DC2557" s="717"/>
      <c r="DD2557" s="717"/>
      <c r="DE2557" s="717"/>
      <c r="DF2557" s="717"/>
      <c r="DG2557" s="717"/>
      <c r="DH2557" s="717"/>
      <c r="DI2557" s="717"/>
      <c r="DJ2557" s="717"/>
      <c r="DM2557" s="711"/>
      <c r="DN2557" s="711"/>
      <c r="DO2557" s="711"/>
      <c r="DP2557" s="711"/>
      <c r="DQ2557" s="711"/>
    </row>
    <row r="2558" spans="13:121" s="709" customFormat="1" hidden="1">
      <c r="M2558" s="710"/>
      <c r="P2558" s="711"/>
      <c r="Q2558" s="712"/>
      <c r="U2558" s="711"/>
      <c r="V2558" s="711"/>
      <c r="W2558" s="711"/>
      <c r="X2558" s="711"/>
      <c r="Y2558" s="711"/>
      <c r="Z2558" s="711"/>
      <c r="AU2558" s="713"/>
      <c r="AW2558" s="712"/>
      <c r="BY2558" s="714"/>
      <c r="BZ2558" s="715"/>
      <c r="CA2558" s="716"/>
      <c r="CB2558" s="717"/>
      <c r="CC2558" s="717"/>
      <c r="CD2558" s="717"/>
      <c r="CE2558" s="717"/>
      <c r="CF2558" s="717"/>
      <c r="CG2558" s="717"/>
      <c r="CH2558" s="717"/>
      <c r="CI2558" s="717"/>
      <c r="CJ2558" s="717"/>
      <c r="CK2558" s="717"/>
      <c r="CL2558" s="717"/>
      <c r="CM2558" s="717"/>
      <c r="CN2558" s="717"/>
      <c r="CO2558" s="717"/>
      <c r="CP2558" s="717"/>
      <c r="CQ2558" s="717"/>
      <c r="CR2558" s="717"/>
      <c r="CS2558" s="717"/>
      <c r="CT2558" s="717"/>
      <c r="CU2558" s="717"/>
      <c r="CV2558" s="717"/>
      <c r="CW2558" s="717"/>
      <c r="CX2558" s="717"/>
      <c r="CY2558" s="717"/>
      <c r="CZ2558" s="717"/>
      <c r="DA2558" s="717"/>
      <c r="DB2558" s="717"/>
      <c r="DC2558" s="717"/>
      <c r="DD2558" s="717"/>
      <c r="DE2558" s="717"/>
      <c r="DF2558" s="717"/>
      <c r="DG2558" s="717"/>
      <c r="DH2558" s="717"/>
      <c r="DI2558" s="717"/>
      <c r="DJ2558" s="717"/>
      <c r="DM2558" s="711"/>
      <c r="DN2558" s="711"/>
      <c r="DO2558" s="711"/>
      <c r="DP2558" s="711"/>
      <c r="DQ2558" s="711"/>
    </row>
    <row r="2559" spans="13:121" s="709" customFormat="1" hidden="1">
      <c r="M2559" s="710"/>
      <c r="P2559" s="711"/>
      <c r="Q2559" s="712"/>
      <c r="U2559" s="711"/>
      <c r="V2559" s="711"/>
      <c r="W2559" s="711"/>
      <c r="X2559" s="711"/>
      <c r="Y2559" s="711"/>
      <c r="Z2559" s="711"/>
      <c r="AU2559" s="713"/>
      <c r="AW2559" s="712"/>
      <c r="BY2559" s="714"/>
      <c r="BZ2559" s="715"/>
      <c r="CA2559" s="716"/>
      <c r="CB2559" s="717"/>
      <c r="CC2559" s="717"/>
      <c r="CD2559" s="717"/>
      <c r="CE2559" s="717"/>
      <c r="CF2559" s="717"/>
      <c r="CG2559" s="717"/>
      <c r="CH2559" s="717"/>
      <c r="CI2559" s="717"/>
      <c r="CJ2559" s="717"/>
      <c r="CK2559" s="717"/>
      <c r="CL2559" s="717"/>
      <c r="CM2559" s="717"/>
      <c r="CN2559" s="717"/>
      <c r="CO2559" s="717"/>
      <c r="CP2559" s="717"/>
      <c r="CQ2559" s="717"/>
      <c r="CR2559" s="717"/>
      <c r="CS2559" s="717"/>
      <c r="CT2559" s="717"/>
      <c r="CU2559" s="717"/>
      <c r="CV2559" s="717"/>
      <c r="CW2559" s="717"/>
      <c r="CX2559" s="717"/>
      <c r="CY2559" s="717"/>
      <c r="CZ2559" s="717"/>
      <c r="DA2559" s="717"/>
      <c r="DB2559" s="717"/>
      <c r="DC2559" s="717"/>
      <c r="DD2559" s="717"/>
      <c r="DE2559" s="717"/>
      <c r="DF2559" s="717"/>
      <c r="DG2559" s="717"/>
      <c r="DH2559" s="717"/>
      <c r="DI2559" s="717"/>
      <c r="DJ2559" s="717"/>
      <c r="DM2559" s="711"/>
      <c r="DN2559" s="711"/>
      <c r="DO2559" s="711"/>
      <c r="DP2559" s="711"/>
      <c r="DQ2559" s="711"/>
    </row>
    <row r="2560" spans="13:121" s="709" customFormat="1" hidden="1">
      <c r="M2560" s="710"/>
      <c r="P2560" s="711"/>
      <c r="Q2560" s="712"/>
      <c r="U2560" s="711"/>
      <c r="V2560" s="711"/>
      <c r="W2560" s="711"/>
      <c r="X2560" s="711"/>
      <c r="Y2560" s="711"/>
      <c r="Z2560" s="711"/>
      <c r="AU2560" s="713"/>
      <c r="AW2560" s="712"/>
      <c r="BY2560" s="714"/>
      <c r="BZ2560" s="715"/>
      <c r="CA2560" s="716"/>
      <c r="CB2560" s="717"/>
      <c r="CC2560" s="717"/>
      <c r="CD2560" s="717"/>
      <c r="CE2560" s="717"/>
      <c r="CF2560" s="717"/>
      <c r="CG2560" s="717"/>
      <c r="CH2560" s="717"/>
      <c r="CI2560" s="717"/>
      <c r="CJ2560" s="717"/>
      <c r="CK2560" s="717"/>
      <c r="CL2560" s="717"/>
      <c r="CM2560" s="717"/>
      <c r="CN2560" s="717"/>
      <c r="CO2560" s="717"/>
      <c r="CP2560" s="717"/>
      <c r="CQ2560" s="717"/>
      <c r="CR2560" s="717"/>
      <c r="CS2560" s="717"/>
      <c r="CT2560" s="717"/>
      <c r="CU2560" s="717"/>
      <c r="CV2560" s="717"/>
      <c r="CW2560" s="717"/>
      <c r="CX2560" s="717"/>
      <c r="CY2560" s="717"/>
      <c r="CZ2560" s="717"/>
      <c r="DA2560" s="717"/>
      <c r="DB2560" s="717"/>
      <c r="DC2560" s="717"/>
      <c r="DD2560" s="717"/>
      <c r="DE2560" s="717"/>
      <c r="DF2560" s="717"/>
      <c r="DG2560" s="717"/>
      <c r="DH2560" s="717"/>
      <c r="DI2560" s="717"/>
      <c r="DJ2560" s="717"/>
      <c r="DM2560" s="711"/>
      <c r="DN2560" s="711"/>
      <c r="DO2560" s="711"/>
      <c r="DP2560" s="711"/>
      <c r="DQ2560" s="711"/>
    </row>
    <row r="2561" spans="13:121" s="709" customFormat="1" hidden="1">
      <c r="M2561" s="710"/>
      <c r="P2561" s="711"/>
      <c r="Q2561" s="712"/>
      <c r="U2561" s="711"/>
      <c r="V2561" s="711"/>
      <c r="W2561" s="711"/>
      <c r="X2561" s="711"/>
      <c r="Y2561" s="711"/>
      <c r="Z2561" s="711"/>
      <c r="AU2561" s="713"/>
      <c r="AW2561" s="712"/>
      <c r="BY2561" s="714"/>
      <c r="BZ2561" s="715"/>
      <c r="CA2561" s="716"/>
      <c r="CB2561" s="717"/>
      <c r="CC2561" s="717"/>
      <c r="CD2561" s="717"/>
      <c r="CE2561" s="717"/>
      <c r="CF2561" s="717"/>
      <c r="CG2561" s="717"/>
      <c r="CH2561" s="717"/>
      <c r="CI2561" s="717"/>
      <c r="CJ2561" s="717"/>
      <c r="CK2561" s="717"/>
      <c r="CL2561" s="717"/>
      <c r="CM2561" s="717"/>
      <c r="CN2561" s="717"/>
      <c r="CO2561" s="717"/>
      <c r="CP2561" s="717"/>
      <c r="CQ2561" s="717"/>
      <c r="CR2561" s="717"/>
      <c r="CS2561" s="717"/>
      <c r="CT2561" s="717"/>
      <c r="CU2561" s="717"/>
      <c r="CV2561" s="717"/>
      <c r="CW2561" s="717"/>
      <c r="CX2561" s="717"/>
      <c r="CY2561" s="717"/>
      <c r="CZ2561" s="717"/>
      <c r="DA2561" s="717"/>
      <c r="DB2561" s="717"/>
      <c r="DC2561" s="717"/>
      <c r="DD2561" s="717"/>
      <c r="DE2561" s="717"/>
      <c r="DF2561" s="717"/>
      <c r="DG2561" s="717"/>
      <c r="DH2561" s="717"/>
      <c r="DI2561" s="717"/>
      <c r="DJ2561" s="717"/>
      <c r="DM2561" s="711"/>
      <c r="DN2561" s="711"/>
      <c r="DO2561" s="711"/>
      <c r="DP2561" s="711"/>
      <c r="DQ2561" s="711"/>
    </row>
    <row r="2562" spans="13:121" s="709" customFormat="1" hidden="1">
      <c r="M2562" s="710"/>
      <c r="P2562" s="711"/>
      <c r="Q2562" s="712"/>
      <c r="U2562" s="711"/>
      <c r="V2562" s="711"/>
      <c r="W2562" s="711"/>
      <c r="X2562" s="711"/>
      <c r="Y2562" s="711"/>
      <c r="Z2562" s="711"/>
      <c r="AU2562" s="713"/>
      <c r="AW2562" s="712"/>
      <c r="BY2562" s="714"/>
      <c r="BZ2562" s="715"/>
      <c r="CA2562" s="716"/>
      <c r="CB2562" s="717"/>
      <c r="CC2562" s="717"/>
      <c r="CD2562" s="717"/>
      <c r="CE2562" s="717"/>
      <c r="CF2562" s="717"/>
      <c r="CG2562" s="717"/>
      <c r="CH2562" s="717"/>
      <c r="CI2562" s="717"/>
      <c r="CJ2562" s="717"/>
      <c r="CK2562" s="717"/>
      <c r="CL2562" s="717"/>
      <c r="CM2562" s="717"/>
      <c r="CN2562" s="717"/>
      <c r="CO2562" s="717"/>
      <c r="CP2562" s="717"/>
      <c r="CQ2562" s="717"/>
      <c r="CR2562" s="717"/>
      <c r="CS2562" s="717"/>
      <c r="CT2562" s="717"/>
      <c r="CU2562" s="717"/>
      <c r="CV2562" s="717"/>
      <c r="CW2562" s="717"/>
      <c r="CX2562" s="717"/>
      <c r="CY2562" s="717"/>
      <c r="CZ2562" s="717"/>
      <c r="DA2562" s="717"/>
      <c r="DB2562" s="717"/>
      <c r="DC2562" s="717"/>
      <c r="DD2562" s="717"/>
      <c r="DE2562" s="717"/>
      <c r="DF2562" s="717"/>
      <c r="DG2562" s="717"/>
      <c r="DH2562" s="717"/>
      <c r="DI2562" s="717"/>
      <c r="DJ2562" s="717"/>
      <c r="DM2562" s="711"/>
      <c r="DN2562" s="711"/>
      <c r="DO2562" s="711"/>
      <c r="DP2562" s="711"/>
      <c r="DQ2562" s="711"/>
    </row>
    <row r="2563" spans="13:121" s="709" customFormat="1" hidden="1">
      <c r="M2563" s="710"/>
      <c r="P2563" s="711"/>
      <c r="Q2563" s="712"/>
      <c r="U2563" s="711"/>
      <c r="V2563" s="711"/>
      <c r="W2563" s="711"/>
      <c r="X2563" s="711"/>
      <c r="Y2563" s="711"/>
      <c r="Z2563" s="711"/>
      <c r="AU2563" s="713"/>
      <c r="AW2563" s="712"/>
      <c r="BY2563" s="714"/>
      <c r="BZ2563" s="715"/>
      <c r="CA2563" s="716"/>
      <c r="CB2563" s="717"/>
      <c r="CC2563" s="717"/>
      <c r="CD2563" s="717"/>
      <c r="CE2563" s="717"/>
      <c r="CF2563" s="717"/>
      <c r="CG2563" s="717"/>
      <c r="CH2563" s="717"/>
      <c r="CI2563" s="717"/>
      <c r="CJ2563" s="717"/>
      <c r="CK2563" s="717"/>
      <c r="CL2563" s="717"/>
      <c r="CM2563" s="717"/>
      <c r="CN2563" s="717"/>
      <c r="CO2563" s="717"/>
      <c r="CP2563" s="717"/>
      <c r="CQ2563" s="717"/>
      <c r="CR2563" s="717"/>
      <c r="CS2563" s="717"/>
      <c r="CT2563" s="717"/>
      <c r="CU2563" s="717"/>
      <c r="CV2563" s="717"/>
      <c r="CW2563" s="717"/>
      <c r="CX2563" s="717"/>
      <c r="CY2563" s="717"/>
      <c r="CZ2563" s="717"/>
      <c r="DA2563" s="717"/>
      <c r="DB2563" s="717"/>
      <c r="DC2563" s="717"/>
      <c r="DD2563" s="717"/>
      <c r="DE2563" s="717"/>
      <c r="DF2563" s="717"/>
      <c r="DG2563" s="717"/>
      <c r="DH2563" s="717"/>
      <c r="DI2563" s="717"/>
      <c r="DJ2563" s="717"/>
      <c r="DM2563" s="711"/>
      <c r="DN2563" s="711"/>
      <c r="DO2563" s="711"/>
      <c r="DP2563" s="711"/>
      <c r="DQ2563" s="711"/>
    </row>
    <row r="2564" spans="13:121" s="709" customFormat="1" hidden="1">
      <c r="M2564" s="710"/>
      <c r="P2564" s="711"/>
      <c r="Q2564" s="712"/>
      <c r="U2564" s="711"/>
      <c r="V2564" s="711"/>
      <c r="W2564" s="711"/>
      <c r="X2564" s="711"/>
      <c r="Y2564" s="711"/>
      <c r="Z2564" s="711"/>
      <c r="AU2564" s="713"/>
      <c r="AW2564" s="712"/>
      <c r="BY2564" s="714"/>
      <c r="BZ2564" s="715"/>
      <c r="CA2564" s="716"/>
      <c r="CB2564" s="717"/>
      <c r="CC2564" s="717"/>
      <c r="CD2564" s="717"/>
      <c r="CE2564" s="717"/>
      <c r="CF2564" s="717"/>
      <c r="CG2564" s="717"/>
      <c r="CH2564" s="717"/>
      <c r="CI2564" s="717"/>
      <c r="CJ2564" s="717"/>
      <c r="CK2564" s="717"/>
      <c r="CL2564" s="717"/>
      <c r="CM2564" s="717"/>
      <c r="CN2564" s="717"/>
      <c r="CO2564" s="717"/>
      <c r="CP2564" s="717"/>
      <c r="CQ2564" s="717"/>
      <c r="CR2564" s="717"/>
      <c r="CS2564" s="717"/>
      <c r="CT2564" s="717"/>
      <c r="CU2564" s="717"/>
      <c r="CV2564" s="717"/>
      <c r="CW2564" s="717"/>
      <c r="CX2564" s="717"/>
      <c r="CY2564" s="717"/>
      <c r="CZ2564" s="717"/>
      <c r="DA2564" s="717"/>
      <c r="DB2564" s="717"/>
      <c r="DC2564" s="717"/>
      <c r="DD2564" s="717"/>
      <c r="DE2564" s="717"/>
      <c r="DF2564" s="717"/>
      <c r="DG2564" s="717"/>
      <c r="DH2564" s="717"/>
      <c r="DI2564" s="717"/>
      <c r="DJ2564" s="717"/>
      <c r="DM2564" s="711"/>
      <c r="DN2564" s="711"/>
      <c r="DO2564" s="711"/>
      <c r="DP2564" s="711"/>
      <c r="DQ2564" s="711"/>
    </row>
    <row r="2565" spans="13:121" s="709" customFormat="1" hidden="1">
      <c r="M2565" s="710"/>
      <c r="P2565" s="711"/>
      <c r="Q2565" s="712"/>
      <c r="U2565" s="711"/>
      <c r="V2565" s="711"/>
      <c r="W2565" s="711"/>
      <c r="X2565" s="711"/>
      <c r="Y2565" s="711"/>
      <c r="Z2565" s="711"/>
      <c r="AU2565" s="713"/>
      <c r="AW2565" s="712"/>
      <c r="BY2565" s="714"/>
      <c r="BZ2565" s="715"/>
      <c r="CA2565" s="716"/>
      <c r="CB2565" s="717"/>
      <c r="CC2565" s="717"/>
      <c r="CD2565" s="717"/>
      <c r="CE2565" s="717"/>
      <c r="CF2565" s="717"/>
      <c r="CG2565" s="717"/>
      <c r="CH2565" s="717"/>
      <c r="CI2565" s="717"/>
      <c r="CJ2565" s="717"/>
      <c r="CK2565" s="717"/>
      <c r="CL2565" s="717"/>
      <c r="CM2565" s="717"/>
      <c r="CN2565" s="717"/>
      <c r="CO2565" s="717"/>
      <c r="CP2565" s="717"/>
      <c r="CQ2565" s="717"/>
      <c r="CR2565" s="717"/>
      <c r="CS2565" s="717"/>
      <c r="CT2565" s="717"/>
      <c r="CU2565" s="717"/>
      <c r="CV2565" s="717"/>
      <c r="CW2565" s="717"/>
      <c r="CX2565" s="717"/>
      <c r="CY2565" s="717"/>
      <c r="CZ2565" s="717"/>
      <c r="DA2565" s="717"/>
      <c r="DB2565" s="717"/>
      <c r="DC2565" s="717"/>
      <c r="DD2565" s="717"/>
      <c r="DE2565" s="717"/>
      <c r="DF2565" s="717"/>
      <c r="DG2565" s="717"/>
      <c r="DH2565" s="717"/>
      <c r="DI2565" s="717"/>
      <c r="DJ2565" s="717"/>
      <c r="DM2565" s="711"/>
      <c r="DN2565" s="711"/>
      <c r="DO2565" s="711"/>
      <c r="DP2565" s="711"/>
      <c r="DQ2565" s="711"/>
    </row>
    <row r="2566" spans="13:121" s="709" customFormat="1" hidden="1">
      <c r="M2566" s="710"/>
      <c r="P2566" s="711"/>
      <c r="Q2566" s="712"/>
      <c r="U2566" s="711"/>
      <c r="V2566" s="711"/>
      <c r="W2566" s="711"/>
      <c r="X2566" s="711"/>
      <c r="Y2566" s="711"/>
      <c r="Z2566" s="711"/>
      <c r="AU2566" s="713"/>
      <c r="AW2566" s="712"/>
      <c r="BY2566" s="714"/>
      <c r="BZ2566" s="715"/>
      <c r="CA2566" s="716"/>
      <c r="CB2566" s="717"/>
      <c r="CC2566" s="717"/>
      <c r="CD2566" s="717"/>
      <c r="CE2566" s="717"/>
      <c r="CF2566" s="717"/>
      <c r="CG2566" s="717"/>
      <c r="CH2566" s="717"/>
      <c r="CI2566" s="717"/>
      <c r="CJ2566" s="717"/>
      <c r="CK2566" s="717"/>
      <c r="CL2566" s="717"/>
      <c r="CM2566" s="717"/>
      <c r="CN2566" s="717"/>
      <c r="CO2566" s="717"/>
      <c r="CP2566" s="717"/>
      <c r="CQ2566" s="717"/>
      <c r="CR2566" s="717"/>
      <c r="CS2566" s="717"/>
      <c r="CT2566" s="717"/>
      <c r="CU2566" s="717"/>
      <c r="CV2566" s="717"/>
      <c r="CW2566" s="717"/>
      <c r="CX2566" s="717"/>
      <c r="CY2566" s="717"/>
      <c r="CZ2566" s="717"/>
      <c r="DA2566" s="717"/>
      <c r="DB2566" s="717"/>
      <c r="DC2566" s="717"/>
      <c r="DD2566" s="717"/>
      <c r="DE2566" s="717"/>
      <c r="DF2566" s="717"/>
      <c r="DG2566" s="717"/>
      <c r="DH2566" s="717"/>
      <c r="DI2566" s="717"/>
      <c r="DJ2566" s="717"/>
      <c r="DM2566" s="711"/>
      <c r="DN2566" s="711"/>
      <c r="DO2566" s="711"/>
      <c r="DP2566" s="711"/>
      <c r="DQ2566" s="711"/>
    </row>
    <row r="2567" spans="13:121" s="709" customFormat="1" hidden="1">
      <c r="M2567" s="710"/>
      <c r="P2567" s="711"/>
      <c r="Q2567" s="712"/>
      <c r="U2567" s="711"/>
      <c r="V2567" s="711"/>
      <c r="W2567" s="711"/>
      <c r="X2567" s="711"/>
      <c r="Y2567" s="711"/>
      <c r="Z2567" s="711"/>
      <c r="AU2567" s="713"/>
      <c r="AW2567" s="712"/>
      <c r="BY2567" s="714"/>
      <c r="BZ2567" s="715"/>
      <c r="CA2567" s="716"/>
      <c r="CB2567" s="717"/>
      <c r="CC2567" s="717"/>
      <c r="CD2567" s="717"/>
      <c r="CE2567" s="717"/>
      <c r="CF2567" s="717"/>
      <c r="CG2567" s="717"/>
      <c r="CH2567" s="717"/>
      <c r="CI2567" s="717"/>
      <c r="CJ2567" s="717"/>
      <c r="CK2567" s="717"/>
      <c r="CL2567" s="717"/>
      <c r="CM2567" s="717"/>
      <c r="CN2567" s="717"/>
      <c r="CO2567" s="717"/>
      <c r="CP2567" s="717"/>
      <c r="CQ2567" s="717"/>
      <c r="CR2567" s="717"/>
      <c r="CS2567" s="717"/>
      <c r="CT2567" s="717"/>
      <c r="CU2567" s="717"/>
      <c r="CV2567" s="717"/>
      <c r="CW2567" s="717"/>
      <c r="CX2567" s="717"/>
      <c r="CY2567" s="717"/>
      <c r="CZ2567" s="717"/>
      <c r="DA2567" s="717"/>
      <c r="DB2567" s="717"/>
      <c r="DC2567" s="717"/>
      <c r="DD2567" s="717"/>
      <c r="DE2567" s="717"/>
      <c r="DF2567" s="717"/>
      <c r="DG2567" s="717"/>
      <c r="DH2567" s="717"/>
      <c r="DI2567" s="717"/>
      <c r="DJ2567" s="717"/>
      <c r="DM2567" s="711"/>
      <c r="DN2567" s="711"/>
      <c r="DO2567" s="711"/>
      <c r="DP2567" s="711"/>
      <c r="DQ2567" s="711"/>
    </row>
    <row r="2568" spans="13:121" s="709" customFormat="1" hidden="1">
      <c r="M2568" s="710"/>
      <c r="P2568" s="711"/>
      <c r="Q2568" s="712"/>
      <c r="U2568" s="711"/>
      <c r="V2568" s="711"/>
      <c r="W2568" s="711"/>
      <c r="X2568" s="711"/>
      <c r="Y2568" s="711"/>
      <c r="Z2568" s="711"/>
      <c r="AU2568" s="713"/>
      <c r="AW2568" s="712"/>
      <c r="BY2568" s="714"/>
      <c r="BZ2568" s="715"/>
      <c r="CA2568" s="716"/>
      <c r="CB2568" s="717"/>
      <c r="CC2568" s="717"/>
      <c r="CD2568" s="717"/>
      <c r="CE2568" s="717"/>
      <c r="CF2568" s="717"/>
      <c r="CG2568" s="717"/>
      <c r="CH2568" s="717"/>
      <c r="CI2568" s="717"/>
      <c r="CJ2568" s="717"/>
      <c r="CK2568" s="717"/>
      <c r="CL2568" s="717"/>
      <c r="CM2568" s="717"/>
      <c r="CN2568" s="717"/>
      <c r="CO2568" s="717"/>
      <c r="CP2568" s="717"/>
      <c r="CQ2568" s="717"/>
      <c r="CR2568" s="717"/>
      <c r="CS2568" s="717"/>
      <c r="CT2568" s="717"/>
      <c r="CU2568" s="717"/>
      <c r="CV2568" s="717"/>
      <c r="CW2568" s="717"/>
      <c r="CX2568" s="717"/>
      <c r="CY2568" s="717"/>
      <c r="CZ2568" s="717"/>
      <c r="DA2568" s="717"/>
      <c r="DB2568" s="717"/>
      <c r="DC2568" s="717"/>
      <c r="DD2568" s="717"/>
      <c r="DE2568" s="717"/>
      <c r="DF2568" s="717"/>
      <c r="DG2568" s="717"/>
      <c r="DH2568" s="717"/>
      <c r="DI2568" s="717"/>
      <c r="DJ2568" s="717"/>
      <c r="DM2568" s="711"/>
      <c r="DN2568" s="711"/>
      <c r="DO2568" s="711"/>
      <c r="DP2568" s="711"/>
      <c r="DQ2568" s="711"/>
    </row>
    <row r="2569" spans="13:121" s="709" customFormat="1" hidden="1">
      <c r="M2569" s="710"/>
      <c r="P2569" s="711"/>
      <c r="Q2569" s="712"/>
      <c r="U2569" s="711"/>
      <c r="V2569" s="711"/>
      <c r="W2569" s="711"/>
      <c r="X2569" s="711"/>
      <c r="Y2569" s="711"/>
      <c r="Z2569" s="711"/>
      <c r="AU2569" s="713"/>
      <c r="AW2569" s="712"/>
      <c r="BY2569" s="714"/>
      <c r="BZ2569" s="715"/>
      <c r="CA2569" s="716"/>
      <c r="CB2569" s="717"/>
      <c r="CC2569" s="717"/>
      <c r="CD2569" s="717"/>
      <c r="CE2569" s="717"/>
      <c r="CF2569" s="717"/>
      <c r="CG2569" s="717"/>
      <c r="CH2569" s="717"/>
      <c r="CI2569" s="717"/>
      <c r="CJ2569" s="717"/>
      <c r="CK2569" s="717"/>
      <c r="CL2569" s="717"/>
      <c r="CM2569" s="717"/>
      <c r="CN2569" s="717"/>
      <c r="CO2569" s="717"/>
      <c r="CP2569" s="717"/>
      <c r="CQ2569" s="717"/>
      <c r="CR2569" s="717"/>
      <c r="CS2569" s="717"/>
      <c r="CT2569" s="717"/>
      <c r="CU2569" s="717"/>
      <c r="CV2569" s="717"/>
      <c r="CW2569" s="717"/>
      <c r="CX2569" s="717"/>
      <c r="CY2569" s="717"/>
      <c r="CZ2569" s="717"/>
      <c r="DA2569" s="717"/>
      <c r="DB2569" s="717"/>
      <c r="DC2569" s="717"/>
      <c r="DD2569" s="717"/>
      <c r="DE2569" s="717"/>
      <c r="DF2569" s="717"/>
      <c r="DG2569" s="717"/>
      <c r="DH2569" s="717"/>
      <c r="DI2569" s="717"/>
      <c r="DJ2569" s="717"/>
      <c r="DM2569" s="711"/>
      <c r="DN2569" s="711"/>
      <c r="DO2569" s="711"/>
      <c r="DP2569" s="711"/>
      <c r="DQ2569" s="711"/>
    </row>
    <row r="2570" spans="13:121" s="709" customFormat="1" hidden="1">
      <c r="M2570" s="710"/>
      <c r="P2570" s="711"/>
      <c r="Q2570" s="712"/>
      <c r="U2570" s="711"/>
      <c r="V2570" s="711"/>
      <c r="W2570" s="711"/>
      <c r="X2570" s="711"/>
      <c r="Y2570" s="711"/>
      <c r="Z2570" s="711"/>
      <c r="AU2570" s="713"/>
      <c r="AW2570" s="712"/>
      <c r="BY2570" s="714"/>
      <c r="BZ2570" s="715"/>
      <c r="CA2570" s="716"/>
      <c r="CB2570" s="717"/>
      <c r="CC2570" s="717"/>
      <c r="CD2570" s="717"/>
      <c r="CE2570" s="717"/>
      <c r="CF2570" s="717"/>
      <c r="CG2570" s="717"/>
      <c r="CH2570" s="717"/>
      <c r="CI2570" s="717"/>
      <c r="CJ2570" s="717"/>
      <c r="CK2570" s="717"/>
      <c r="CL2570" s="717"/>
      <c r="CM2570" s="717"/>
      <c r="CN2570" s="717"/>
      <c r="CO2570" s="717"/>
      <c r="CP2570" s="717"/>
      <c r="CQ2570" s="717"/>
      <c r="CR2570" s="717"/>
      <c r="CS2570" s="717"/>
      <c r="CT2570" s="717"/>
      <c r="CU2570" s="717"/>
      <c r="CV2570" s="717"/>
      <c r="CW2570" s="717"/>
      <c r="CX2570" s="717"/>
      <c r="CY2570" s="717"/>
      <c r="CZ2570" s="717"/>
      <c r="DA2570" s="717"/>
      <c r="DB2570" s="717"/>
      <c r="DC2570" s="717"/>
      <c r="DD2570" s="717"/>
      <c r="DE2570" s="717"/>
      <c r="DF2570" s="717"/>
      <c r="DG2570" s="717"/>
      <c r="DH2570" s="717"/>
      <c r="DI2570" s="717"/>
      <c r="DJ2570" s="717"/>
      <c r="DM2570" s="711"/>
      <c r="DN2570" s="711"/>
      <c r="DO2570" s="711"/>
      <c r="DP2570" s="711"/>
      <c r="DQ2570" s="711"/>
    </row>
    <row r="2571" spans="13:121" s="709" customFormat="1" hidden="1">
      <c r="M2571" s="710"/>
      <c r="P2571" s="711"/>
      <c r="Q2571" s="712"/>
      <c r="U2571" s="711"/>
      <c r="V2571" s="711"/>
      <c r="W2571" s="711"/>
      <c r="X2571" s="711"/>
      <c r="Y2571" s="711"/>
      <c r="Z2571" s="711"/>
      <c r="AU2571" s="713"/>
      <c r="AW2571" s="712"/>
      <c r="BY2571" s="714"/>
      <c r="BZ2571" s="715"/>
      <c r="CA2571" s="716"/>
      <c r="CB2571" s="717"/>
      <c r="CC2571" s="717"/>
      <c r="CD2571" s="717"/>
      <c r="CE2571" s="717"/>
      <c r="CF2571" s="717"/>
      <c r="CG2571" s="717"/>
      <c r="CH2571" s="717"/>
      <c r="CI2571" s="717"/>
      <c r="CJ2571" s="717"/>
      <c r="CK2571" s="717"/>
      <c r="CL2571" s="717"/>
      <c r="CM2571" s="717"/>
      <c r="CN2571" s="717"/>
      <c r="CO2571" s="717"/>
      <c r="CP2571" s="717"/>
      <c r="CQ2571" s="717"/>
      <c r="CR2571" s="717"/>
      <c r="CS2571" s="717"/>
      <c r="CT2571" s="717"/>
      <c r="CU2571" s="717"/>
      <c r="CV2571" s="717"/>
      <c r="CW2571" s="717"/>
      <c r="CX2571" s="717"/>
      <c r="CY2571" s="717"/>
      <c r="CZ2571" s="717"/>
      <c r="DA2571" s="717"/>
      <c r="DB2571" s="717"/>
      <c r="DC2571" s="717"/>
      <c r="DD2571" s="717"/>
      <c r="DE2571" s="717"/>
      <c r="DF2571" s="717"/>
      <c r="DG2571" s="717"/>
      <c r="DH2571" s="717"/>
      <c r="DI2571" s="717"/>
      <c r="DJ2571" s="717"/>
      <c r="DM2571" s="711"/>
      <c r="DN2571" s="711"/>
      <c r="DO2571" s="711"/>
      <c r="DP2571" s="711"/>
      <c r="DQ2571" s="711"/>
    </row>
    <row r="2572" spans="13:121" s="709" customFormat="1" hidden="1">
      <c r="M2572" s="710"/>
      <c r="P2572" s="711"/>
      <c r="Q2572" s="712"/>
      <c r="U2572" s="711"/>
      <c r="V2572" s="711"/>
      <c r="W2572" s="711"/>
      <c r="X2572" s="711"/>
      <c r="Y2572" s="711"/>
      <c r="Z2572" s="711"/>
      <c r="AU2572" s="713"/>
      <c r="AW2572" s="712"/>
      <c r="BY2572" s="714"/>
      <c r="BZ2572" s="715"/>
      <c r="CA2572" s="716"/>
      <c r="CB2572" s="717"/>
      <c r="CC2572" s="717"/>
      <c r="CD2572" s="717"/>
      <c r="CE2572" s="717"/>
      <c r="CF2572" s="717"/>
      <c r="CG2572" s="717"/>
      <c r="CH2572" s="717"/>
      <c r="CI2572" s="717"/>
      <c r="CJ2572" s="717"/>
      <c r="CK2572" s="717"/>
      <c r="CL2572" s="717"/>
      <c r="CM2572" s="717"/>
      <c r="CN2572" s="717"/>
      <c r="CO2572" s="717"/>
      <c r="CP2572" s="717"/>
      <c r="CQ2572" s="717"/>
      <c r="CR2572" s="717"/>
      <c r="CS2572" s="717"/>
      <c r="CT2572" s="717"/>
      <c r="CU2572" s="717"/>
      <c r="CV2572" s="717"/>
      <c r="CW2572" s="717"/>
      <c r="CX2572" s="717"/>
      <c r="CY2572" s="717"/>
      <c r="CZ2572" s="717"/>
      <c r="DA2572" s="717"/>
      <c r="DB2572" s="717"/>
      <c r="DC2572" s="717"/>
      <c r="DD2572" s="717"/>
      <c r="DE2572" s="717"/>
      <c r="DF2572" s="717"/>
      <c r="DG2572" s="717"/>
      <c r="DH2572" s="717"/>
      <c r="DI2572" s="717"/>
      <c r="DJ2572" s="717"/>
      <c r="DM2572" s="711"/>
      <c r="DN2572" s="711"/>
      <c r="DO2572" s="711"/>
      <c r="DP2572" s="711"/>
      <c r="DQ2572" s="711"/>
    </row>
    <row r="2573" spans="13:121" s="709" customFormat="1" hidden="1">
      <c r="M2573" s="710"/>
      <c r="P2573" s="711"/>
      <c r="Q2573" s="712"/>
      <c r="U2573" s="711"/>
      <c r="V2573" s="711"/>
      <c r="W2573" s="711"/>
      <c r="X2573" s="711"/>
      <c r="Y2573" s="711"/>
      <c r="Z2573" s="711"/>
      <c r="AU2573" s="713"/>
      <c r="AW2573" s="712"/>
      <c r="BY2573" s="714"/>
      <c r="BZ2573" s="715"/>
      <c r="CA2573" s="716"/>
      <c r="CB2573" s="717"/>
      <c r="CC2573" s="717"/>
      <c r="CD2573" s="717"/>
      <c r="CE2573" s="717"/>
      <c r="CF2573" s="717"/>
      <c r="CG2573" s="717"/>
      <c r="CH2573" s="717"/>
      <c r="CI2573" s="717"/>
      <c r="CJ2573" s="717"/>
      <c r="CK2573" s="717"/>
      <c r="CL2573" s="717"/>
      <c r="CM2573" s="717"/>
      <c r="CN2573" s="717"/>
      <c r="CO2573" s="717"/>
      <c r="CP2573" s="717"/>
      <c r="CQ2573" s="717"/>
      <c r="CR2573" s="717"/>
      <c r="CS2573" s="717"/>
      <c r="CT2573" s="717"/>
      <c r="CU2573" s="717"/>
      <c r="CV2573" s="717"/>
      <c r="CW2573" s="717"/>
      <c r="CX2573" s="717"/>
      <c r="CY2573" s="717"/>
      <c r="CZ2573" s="717"/>
      <c r="DA2573" s="717"/>
      <c r="DB2573" s="717"/>
      <c r="DC2573" s="717"/>
      <c r="DD2573" s="717"/>
      <c r="DE2573" s="717"/>
      <c r="DF2573" s="717"/>
      <c r="DG2573" s="717"/>
      <c r="DH2573" s="717"/>
      <c r="DI2573" s="717"/>
      <c r="DJ2573" s="717"/>
      <c r="DM2573" s="711"/>
      <c r="DN2573" s="711"/>
      <c r="DO2573" s="711"/>
      <c r="DP2573" s="711"/>
      <c r="DQ2573" s="711"/>
    </row>
    <row r="2574" spans="13:121" s="709" customFormat="1" hidden="1">
      <c r="M2574" s="710"/>
      <c r="P2574" s="711"/>
      <c r="Q2574" s="712"/>
      <c r="U2574" s="711"/>
      <c r="V2574" s="711"/>
      <c r="W2574" s="711"/>
      <c r="X2574" s="711"/>
      <c r="Y2574" s="711"/>
      <c r="Z2574" s="711"/>
      <c r="AU2574" s="713"/>
      <c r="AW2574" s="712"/>
      <c r="BY2574" s="714"/>
      <c r="BZ2574" s="715"/>
      <c r="CA2574" s="716"/>
      <c r="CB2574" s="717"/>
      <c r="CC2574" s="717"/>
      <c r="CD2574" s="717"/>
      <c r="CE2574" s="717"/>
      <c r="CF2574" s="717"/>
      <c r="CG2574" s="717"/>
      <c r="CH2574" s="717"/>
      <c r="CI2574" s="717"/>
      <c r="CJ2574" s="717"/>
      <c r="CK2574" s="717"/>
      <c r="CL2574" s="717"/>
      <c r="CM2574" s="717"/>
      <c r="CN2574" s="717"/>
      <c r="CO2574" s="717"/>
      <c r="CP2574" s="717"/>
      <c r="CQ2574" s="717"/>
      <c r="CR2574" s="717"/>
      <c r="CS2574" s="717"/>
      <c r="CT2574" s="717"/>
      <c r="CU2574" s="717"/>
      <c r="CV2574" s="717"/>
      <c r="CW2574" s="717"/>
      <c r="CX2574" s="717"/>
      <c r="CY2574" s="717"/>
      <c r="CZ2574" s="717"/>
      <c r="DA2574" s="717"/>
      <c r="DB2574" s="717"/>
      <c r="DC2574" s="717"/>
      <c r="DD2574" s="717"/>
      <c r="DE2574" s="717"/>
      <c r="DF2574" s="717"/>
      <c r="DG2574" s="717"/>
      <c r="DH2574" s="717"/>
      <c r="DI2574" s="717"/>
      <c r="DJ2574" s="717"/>
      <c r="DM2574" s="711"/>
      <c r="DN2574" s="711"/>
      <c r="DO2574" s="711"/>
      <c r="DP2574" s="711"/>
      <c r="DQ2574" s="711"/>
    </row>
    <row r="2575" spans="13:121" s="709" customFormat="1" hidden="1">
      <c r="M2575" s="710"/>
      <c r="P2575" s="711"/>
      <c r="Q2575" s="712"/>
      <c r="U2575" s="711"/>
      <c r="V2575" s="711"/>
      <c r="W2575" s="711"/>
      <c r="X2575" s="711"/>
      <c r="Y2575" s="711"/>
      <c r="Z2575" s="711"/>
      <c r="AU2575" s="713"/>
      <c r="AW2575" s="712"/>
      <c r="BY2575" s="714"/>
      <c r="BZ2575" s="715"/>
      <c r="CA2575" s="716"/>
      <c r="CB2575" s="717"/>
      <c r="CC2575" s="717"/>
      <c r="CD2575" s="717"/>
      <c r="CE2575" s="717"/>
      <c r="CF2575" s="717"/>
      <c r="CG2575" s="717"/>
      <c r="CH2575" s="717"/>
      <c r="CI2575" s="717"/>
      <c r="CJ2575" s="717"/>
      <c r="CK2575" s="717"/>
      <c r="CL2575" s="717"/>
      <c r="CM2575" s="717"/>
      <c r="CN2575" s="717"/>
      <c r="CO2575" s="717"/>
      <c r="CP2575" s="717"/>
      <c r="CQ2575" s="717"/>
      <c r="CR2575" s="717"/>
      <c r="CS2575" s="717"/>
      <c r="CT2575" s="717"/>
      <c r="CU2575" s="717"/>
      <c r="CV2575" s="717"/>
      <c r="CW2575" s="717"/>
      <c r="CX2575" s="717"/>
      <c r="CY2575" s="717"/>
      <c r="CZ2575" s="717"/>
      <c r="DA2575" s="717"/>
      <c r="DB2575" s="717"/>
      <c r="DC2575" s="717"/>
      <c r="DD2575" s="717"/>
      <c r="DE2575" s="717"/>
      <c r="DF2575" s="717"/>
      <c r="DG2575" s="717"/>
      <c r="DH2575" s="717"/>
      <c r="DI2575" s="717"/>
      <c r="DJ2575" s="717"/>
      <c r="DM2575" s="711"/>
      <c r="DN2575" s="711"/>
      <c r="DO2575" s="711"/>
      <c r="DP2575" s="711"/>
      <c r="DQ2575" s="711"/>
    </row>
    <row r="2576" spans="13:121" s="709" customFormat="1" hidden="1">
      <c r="M2576" s="710"/>
      <c r="P2576" s="711"/>
      <c r="Q2576" s="712"/>
      <c r="U2576" s="711"/>
      <c r="V2576" s="711"/>
      <c r="W2576" s="711"/>
      <c r="X2576" s="711"/>
      <c r="Y2576" s="711"/>
      <c r="Z2576" s="711"/>
      <c r="AU2576" s="713"/>
      <c r="AW2576" s="712"/>
      <c r="BY2576" s="714"/>
      <c r="BZ2576" s="715"/>
      <c r="CA2576" s="716"/>
      <c r="CB2576" s="717"/>
      <c r="CC2576" s="717"/>
      <c r="CD2576" s="717"/>
      <c r="CE2576" s="717"/>
      <c r="CF2576" s="717"/>
      <c r="CG2576" s="717"/>
      <c r="CH2576" s="717"/>
      <c r="CI2576" s="717"/>
      <c r="CJ2576" s="717"/>
      <c r="CK2576" s="717"/>
      <c r="CL2576" s="717"/>
      <c r="CM2576" s="717"/>
      <c r="CN2576" s="717"/>
      <c r="CO2576" s="717"/>
      <c r="CP2576" s="717"/>
      <c r="CQ2576" s="717"/>
      <c r="CR2576" s="717"/>
      <c r="CS2576" s="717"/>
      <c r="CT2576" s="717"/>
      <c r="CU2576" s="717"/>
      <c r="CV2576" s="717"/>
      <c r="CW2576" s="717"/>
      <c r="CX2576" s="717"/>
      <c r="CY2576" s="717"/>
      <c r="CZ2576" s="717"/>
      <c r="DA2576" s="717"/>
      <c r="DB2576" s="717"/>
      <c r="DC2576" s="717"/>
      <c r="DD2576" s="717"/>
      <c r="DE2576" s="717"/>
      <c r="DF2576" s="717"/>
      <c r="DG2576" s="717"/>
      <c r="DH2576" s="717"/>
      <c r="DI2576" s="717"/>
      <c r="DJ2576" s="717"/>
      <c r="DM2576" s="711"/>
      <c r="DN2576" s="711"/>
      <c r="DO2576" s="711"/>
      <c r="DP2576" s="711"/>
      <c r="DQ2576" s="711"/>
    </row>
    <row r="2577" spans="13:121" s="709" customFormat="1" hidden="1">
      <c r="M2577" s="710"/>
      <c r="P2577" s="711"/>
      <c r="Q2577" s="712"/>
      <c r="U2577" s="711"/>
      <c r="V2577" s="711"/>
      <c r="W2577" s="711"/>
      <c r="X2577" s="711"/>
      <c r="Y2577" s="711"/>
      <c r="Z2577" s="711"/>
      <c r="AU2577" s="713"/>
      <c r="AW2577" s="712"/>
      <c r="BY2577" s="714"/>
      <c r="BZ2577" s="715"/>
      <c r="CA2577" s="716"/>
      <c r="CB2577" s="717"/>
      <c r="CC2577" s="717"/>
      <c r="CD2577" s="717"/>
      <c r="CE2577" s="717"/>
      <c r="CF2577" s="717"/>
      <c r="CG2577" s="717"/>
      <c r="CH2577" s="717"/>
      <c r="CI2577" s="717"/>
      <c r="CJ2577" s="717"/>
      <c r="CK2577" s="717"/>
      <c r="CL2577" s="717"/>
      <c r="CM2577" s="717"/>
      <c r="CN2577" s="717"/>
      <c r="CO2577" s="717"/>
      <c r="CP2577" s="717"/>
      <c r="CQ2577" s="717"/>
      <c r="CR2577" s="717"/>
      <c r="CS2577" s="717"/>
      <c r="CT2577" s="717"/>
      <c r="CU2577" s="717"/>
      <c r="CV2577" s="717"/>
      <c r="CW2577" s="717"/>
      <c r="CX2577" s="717"/>
      <c r="CY2577" s="717"/>
      <c r="CZ2577" s="717"/>
      <c r="DA2577" s="717"/>
      <c r="DB2577" s="717"/>
      <c r="DC2577" s="717"/>
      <c r="DD2577" s="717"/>
      <c r="DE2577" s="717"/>
      <c r="DF2577" s="717"/>
      <c r="DG2577" s="717"/>
      <c r="DH2577" s="717"/>
      <c r="DI2577" s="717"/>
      <c r="DJ2577" s="717"/>
      <c r="DM2577" s="711"/>
      <c r="DN2577" s="711"/>
      <c r="DO2577" s="711"/>
      <c r="DP2577" s="711"/>
      <c r="DQ2577" s="711"/>
    </row>
    <row r="2578" spans="13:121" s="709" customFormat="1" hidden="1">
      <c r="M2578" s="710"/>
      <c r="P2578" s="711"/>
      <c r="Q2578" s="712"/>
      <c r="U2578" s="711"/>
      <c r="V2578" s="711"/>
      <c r="W2578" s="711"/>
      <c r="X2578" s="711"/>
      <c r="Y2578" s="711"/>
      <c r="Z2578" s="711"/>
      <c r="AU2578" s="713"/>
      <c r="AW2578" s="712"/>
      <c r="BY2578" s="714"/>
      <c r="BZ2578" s="715"/>
      <c r="CA2578" s="716"/>
      <c r="CB2578" s="717"/>
      <c r="CC2578" s="717"/>
      <c r="CD2578" s="717"/>
      <c r="CE2578" s="717"/>
      <c r="CF2578" s="717"/>
      <c r="CG2578" s="717"/>
      <c r="CH2578" s="717"/>
      <c r="CI2578" s="717"/>
      <c r="CJ2578" s="717"/>
      <c r="CK2578" s="717"/>
      <c r="CL2578" s="717"/>
      <c r="CM2578" s="717"/>
      <c r="CN2578" s="717"/>
      <c r="CO2578" s="717"/>
      <c r="CP2578" s="717"/>
      <c r="CQ2578" s="717"/>
      <c r="CR2578" s="717"/>
      <c r="CS2578" s="717"/>
      <c r="CT2578" s="717"/>
      <c r="CU2578" s="717"/>
      <c r="CV2578" s="717"/>
      <c r="CW2578" s="717"/>
      <c r="CX2578" s="717"/>
      <c r="CY2578" s="717"/>
      <c r="CZ2578" s="717"/>
      <c r="DA2578" s="717"/>
      <c r="DB2578" s="717"/>
      <c r="DC2578" s="717"/>
      <c r="DD2578" s="717"/>
      <c r="DE2578" s="717"/>
      <c r="DF2578" s="717"/>
      <c r="DG2578" s="717"/>
      <c r="DH2578" s="717"/>
      <c r="DI2578" s="717"/>
      <c r="DJ2578" s="717"/>
      <c r="DM2578" s="711"/>
      <c r="DN2578" s="711"/>
      <c r="DO2578" s="711"/>
      <c r="DP2578" s="711"/>
      <c r="DQ2578" s="711"/>
    </row>
    <row r="2579" spans="13:121" s="709" customFormat="1" hidden="1">
      <c r="M2579" s="710"/>
      <c r="P2579" s="711"/>
      <c r="Q2579" s="712"/>
      <c r="U2579" s="711"/>
      <c r="V2579" s="711"/>
      <c r="W2579" s="711"/>
      <c r="X2579" s="711"/>
      <c r="Y2579" s="711"/>
      <c r="Z2579" s="711"/>
      <c r="AU2579" s="713"/>
      <c r="AW2579" s="712"/>
      <c r="BY2579" s="714"/>
      <c r="BZ2579" s="715"/>
      <c r="CA2579" s="716"/>
      <c r="CB2579" s="717"/>
      <c r="CC2579" s="717"/>
      <c r="CD2579" s="717"/>
      <c r="CE2579" s="717"/>
      <c r="CF2579" s="717"/>
      <c r="CG2579" s="717"/>
      <c r="CH2579" s="717"/>
      <c r="CI2579" s="717"/>
      <c r="CJ2579" s="717"/>
      <c r="CK2579" s="717"/>
      <c r="CL2579" s="717"/>
      <c r="CM2579" s="717"/>
      <c r="CN2579" s="717"/>
      <c r="CO2579" s="717"/>
      <c r="CP2579" s="717"/>
      <c r="CQ2579" s="717"/>
      <c r="CR2579" s="717"/>
      <c r="CS2579" s="717"/>
      <c r="CT2579" s="717"/>
      <c r="CU2579" s="717"/>
      <c r="CV2579" s="717"/>
      <c r="CW2579" s="717"/>
      <c r="CX2579" s="717"/>
      <c r="CY2579" s="717"/>
      <c r="CZ2579" s="717"/>
      <c r="DA2579" s="717"/>
      <c r="DB2579" s="717"/>
      <c r="DC2579" s="717"/>
      <c r="DD2579" s="717"/>
      <c r="DE2579" s="717"/>
      <c r="DF2579" s="717"/>
      <c r="DG2579" s="717"/>
      <c r="DH2579" s="717"/>
      <c r="DI2579" s="717"/>
      <c r="DJ2579" s="717"/>
      <c r="DM2579" s="711"/>
      <c r="DN2579" s="711"/>
      <c r="DO2579" s="711"/>
      <c r="DP2579" s="711"/>
      <c r="DQ2579" s="711"/>
    </row>
    <row r="2580" spans="13:121" s="709" customFormat="1" hidden="1">
      <c r="M2580" s="710"/>
      <c r="P2580" s="711"/>
      <c r="Q2580" s="712"/>
      <c r="U2580" s="711"/>
      <c r="V2580" s="711"/>
      <c r="W2580" s="711"/>
      <c r="X2580" s="711"/>
      <c r="Y2580" s="711"/>
      <c r="Z2580" s="711"/>
      <c r="AU2580" s="713"/>
      <c r="AW2580" s="712"/>
      <c r="BY2580" s="714"/>
      <c r="BZ2580" s="715"/>
      <c r="CA2580" s="716"/>
      <c r="CB2580" s="717"/>
      <c r="CC2580" s="717"/>
      <c r="CD2580" s="717"/>
      <c r="CE2580" s="717"/>
      <c r="CF2580" s="717"/>
      <c r="CG2580" s="717"/>
      <c r="CH2580" s="717"/>
      <c r="CI2580" s="717"/>
      <c r="CJ2580" s="717"/>
      <c r="CK2580" s="717"/>
      <c r="CL2580" s="717"/>
      <c r="CM2580" s="717"/>
      <c r="CN2580" s="717"/>
      <c r="CO2580" s="717"/>
      <c r="CP2580" s="717"/>
      <c r="CQ2580" s="717"/>
      <c r="CR2580" s="717"/>
      <c r="CS2580" s="717"/>
      <c r="CT2580" s="717"/>
      <c r="CU2580" s="717"/>
      <c r="CV2580" s="717"/>
      <c r="CW2580" s="717"/>
      <c r="CX2580" s="717"/>
      <c r="CY2580" s="717"/>
      <c r="CZ2580" s="717"/>
      <c r="DA2580" s="717"/>
      <c r="DB2580" s="717"/>
      <c r="DC2580" s="717"/>
      <c r="DD2580" s="717"/>
      <c r="DE2580" s="717"/>
      <c r="DF2580" s="717"/>
      <c r="DG2580" s="717"/>
      <c r="DH2580" s="717"/>
      <c r="DI2580" s="717"/>
      <c r="DJ2580" s="717"/>
      <c r="DM2580" s="711"/>
      <c r="DN2580" s="711"/>
      <c r="DO2580" s="711"/>
      <c r="DP2580" s="711"/>
      <c r="DQ2580" s="711"/>
    </row>
    <row r="2581" spans="13:121" s="709" customFormat="1" hidden="1">
      <c r="M2581" s="710"/>
      <c r="P2581" s="711"/>
      <c r="Q2581" s="712"/>
      <c r="U2581" s="711"/>
      <c r="V2581" s="711"/>
      <c r="W2581" s="711"/>
      <c r="X2581" s="711"/>
      <c r="Y2581" s="711"/>
      <c r="Z2581" s="711"/>
      <c r="AU2581" s="713"/>
      <c r="AW2581" s="712"/>
      <c r="BY2581" s="714"/>
      <c r="BZ2581" s="715"/>
      <c r="CA2581" s="716"/>
      <c r="CB2581" s="717"/>
      <c r="CC2581" s="717"/>
      <c r="CD2581" s="717"/>
      <c r="CE2581" s="717"/>
      <c r="CF2581" s="717"/>
      <c r="CG2581" s="717"/>
      <c r="CH2581" s="717"/>
      <c r="CI2581" s="717"/>
      <c r="CJ2581" s="717"/>
      <c r="CK2581" s="717"/>
      <c r="CL2581" s="717"/>
      <c r="CM2581" s="717"/>
      <c r="CN2581" s="717"/>
      <c r="CO2581" s="717"/>
      <c r="CP2581" s="717"/>
      <c r="CQ2581" s="717"/>
      <c r="CR2581" s="717"/>
      <c r="CS2581" s="717"/>
      <c r="CT2581" s="717"/>
      <c r="CU2581" s="717"/>
      <c r="CV2581" s="717"/>
      <c r="CW2581" s="717"/>
      <c r="CX2581" s="717"/>
      <c r="CY2581" s="717"/>
      <c r="CZ2581" s="717"/>
      <c r="DA2581" s="717"/>
      <c r="DB2581" s="717"/>
      <c r="DC2581" s="717"/>
      <c r="DD2581" s="717"/>
      <c r="DE2581" s="717"/>
      <c r="DF2581" s="717"/>
      <c r="DG2581" s="717"/>
      <c r="DH2581" s="717"/>
      <c r="DI2581" s="717"/>
      <c r="DJ2581" s="717"/>
      <c r="DM2581" s="711"/>
      <c r="DN2581" s="711"/>
      <c r="DO2581" s="711"/>
      <c r="DP2581" s="711"/>
      <c r="DQ2581" s="711"/>
    </row>
    <row r="2582" spans="13:121" s="709" customFormat="1" hidden="1">
      <c r="M2582" s="710"/>
      <c r="P2582" s="711"/>
      <c r="Q2582" s="712"/>
      <c r="U2582" s="711"/>
      <c r="V2582" s="711"/>
      <c r="W2582" s="711"/>
      <c r="X2582" s="711"/>
      <c r="Y2582" s="711"/>
      <c r="Z2582" s="711"/>
      <c r="AU2582" s="713"/>
      <c r="AW2582" s="712"/>
      <c r="BY2582" s="714"/>
      <c r="BZ2582" s="715"/>
      <c r="CA2582" s="716"/>
      <c r="CB2582" s="717"/>
      <c r="CC2582" s="717"/>
      <c r="CD2582" s="717"/>
      <c r="CE2582" s="717"/>
      <c r="CF2582" s="717"/>
      <c r="CG2582" s="717"/>
      <c r="CH2582" s="717"/>
      <c r="CI2582" s="717"/>
      <c r="CJ2582" s="717"/>
      <c r="CK2582" s="717"/>
      <c r="CL2582" s="717"/>
      <c r="CM2582" s="717"/>
      <c r="CN2582" s="717"/>
      <c r="CO2582" s="717"/>
      <c r="CP2582" s="717"/>
      <c r="CQ2582" s="717"/>
      <c r="CR2582" s="717"/>
      <c r="CS2582" s="717"/>
      <c r="CT2582" s="717"/>
      <c r="CU2582" s="717"/>
      <c r="CV2582" s="717"/>
      <c r="CW2582" s="717"/>
      <c r="CX2582" s="717"/>
      <c r="CY2582" s="717"/>
      <c r="CZ2582" s="717"/>
      <c r="DA2582" s="717"/>
      <c r="DB2582" s="717"/>
      <c r="DC2582" s="717"/>
      <c r="DD2582" s="717"/>
      <c r="DE2582" s="717"/>
      <c r="DF2582" s="717"/>
      <c r="DG2582" s="717"/>
      <c r="DH2582" s="717"/>
      <c r="DI2582" s="717"/>
      <c r="DJ2582" s="717"/>
      <c r="DM2582" s="711"/>
      <c r="DN2582" s="711"/>
      <c r="DO2582" s="711"/>
      <c r="DP2582" s="711"/>
      <c r="DQ2582" s="711"/>
    </row>
    <row r="2583" spans="13:121" s="709" customFormat="1" hidden="1">
      <c r="M2583" s="710"/>
      <c r="P2583" s="711"/>
      <c r="Q2583" s="712"/>
      <c r="U2583" s="711"/>
      <c r="V2583" s="711"/>
      <c r="W2583" s="711"/>
      <c r="X2583" s="711"/>
      <c r="Y2583" s="711"/>
      <c r="Z2583" s="711"/>
      <c r="AU2583" s="713"/>
      <c r="AW2583" s="712"/>
      <c r="BY2583" s="714"/>
      <c r="BZ2583" s="715"/>
      <c r="CA2583" s="716"/>
      <c r="CB2583" s="717"/>
      <c r="CC2583" s="717"/>
      <c r="CD2583" s="717"/>
      <c r="CE2583" s="717"/>
      <c r="CF2583" s="717"/>
      <c r="CG2583" s="717"/>
      <c r="CH2583" s="717"/>
      <c r="CI2583" s="717"/>
      <c r="CJ2583" s="717"/>
      <c r="CK2583" s="717"/>
      <c r="CL2583" s="717"/>
      <c r="CM2583" s="717"/>
      <c r="CN2583" s="717"/>
      <c r="CO2583" s="717"/>
      <c r="CP2583" s="717"/>
      <c r="CQ2583" s="717"/>
      <c r="CR2583" s="717"/>
      <c r="CS2583" s="717"/>
      <c r="CT2583" s="717"/>
      <c r="CU2583" s="717"/>
      <c r="CV2583" s="717"/>
      <c r="CW2583" s="717"/>
      <c r="CX2583" s="717"/>
      <c r="CY2583" s="717"/>
      <c r="CZ2583" s="717"/>
      <c r="DA2583" s="717"/>
      <c r="DB2583" s="717"/>
      <c r="DC2583" s="717"/>
      <c r="DD2583" s="717"/>
      <c r="DE2583" s="717"/>
      <c r="DF2583" s="717"/>
      <c r="DG2583" s="717"/>
      <c r="DH2583" s="717"/>
      <c r="DI2583" s="717"/>
      <c r="DJ2583" s="717"/>
      <c r="DM2583" s="711"/>
      <c r="DN2583" s="711"/>
      <c r="DO2583" s="711"/>
      <c r="DP2583" s="711"/>
      <c r="DQ2583" s="711"/>
    </row>
    <row r="2584" spans="13:121" s="709" customFormat="1" hidden="1">
      <c r="M2584" s="710"/>
      <c r="P2584" s="711"/>
      <c r="Q2584" s="712"/>
      <c r="U2584" s="711"/>
      <c r="V2584" s="711"/>
      <c r="W2584" s="711"/>
      <c r="X2584" s="711"/>
      <c r="Y2584" s="711"/>
      <c r="Z2584" s="711"/>
      <c r="AU2584" s="713"/>
      <c r="AW2584" s="712"/>
      <c r="BY2584" s="714"/>
      <c r="BZ2584" s="715"/>
      <c r="CA2584" s="716"/>
      <c r="CB2584" s="717"/>
      <c r="CC2584" s="717"/>
      <c r="CD2584" s="717"/>
      <c r="CE2584" s="717"/>
      <c r="CF2584" s="717"/>
      <c r="CG2584" s="717"/>
      <c r="CH2584" s="717"/>
      <c r="CI2584" s="717"/>
      <c r="CJ2584" s="717"/>
      <c r="CK2584" s="717"/>
      <c r="CL2584" s="717"/>
      <c r="CM2584" s="717"/>
      <c r="CN2584" s="717"/>
      <c r="CO2584" s="717"/>
      <c r="CP2584" s="717"/>
      <c r="CQ2584" s="717"/>
      <c r="CR2584" s="717"/>
      <c r="CS2584" s="717"/>
      <c r="CT2584" s="717"/>
      <c r="CU2584" s="717"/>
      <c r="CV2584" s="717"/>
      <c r="CW2584" s="717"/>
      <c r="CX2584" s="717"/>
      <c r="CY2584" s="717"/>
      <c r="CZ2584" s="717"/>
      <c r="DA2584" s="717"/>
      <c r="DB2584" s="717"/>
      <c r="DC2584" s="717"/>
      <c r="DD2584" s="717"/>
      <c r="DE2584" s="717"/>
      <c r="DF2584" s="717"/>
      <c r="DG2584" s="717"/>
      <c r="DH2584" s="717"/>
      <c r="DI2584" s="717"/>
      <c r="DJ2584" s="717"/>
      <c r="DM2584" s="711"/>
      <c r="DN2584" s="711"/>
      <c r="DO2584" s="711"/>
      <c r="DP2584" s="711"/>
      <c r="DQ2584" s="711"/>
    </row>
    <row r="2585" spans="13:121" s="709" customFormat="1" hidden="1">
      <c r="M2585" s="710"/>
      <c r="P2585" s="711"/>
      <c r="Q2585" s="712"/>
      <c r="U2585" s="711"/>
      <c r="V2585" s="711"/>
      <c r="W2585" s="711"/>
      <c r="X2585" s="711"/>
      <c r="Y2585" s="711"/>
      <c r="Z2585" s="711"/>
      <c r="AU2585" s="713"/>
      <c r="AW2585" s="712"/>
      <c r="BY2585" s="714"/>
      <c r="BZ2585" s="715"/>
      <c r="CA2585" s="716"/>
      <c r="CB2585" s="717"/>
      <c r="CC2585" s="717"/>
      <c r="CD2585" s="717"/>
      <c r="CE2585" s="717"/>
      <c r="CF2585" s="717"/>
      <c r="CG2585" s="717"/>
      <c r="CH2585" s="717"/>
      <c r="CI2585" s="717"/>
      <c r="CJ2585" s="717"/>
      <c r="CK2585" s="717"/>
      <c r="CL2585" s="717"/>
      <c r="CM2585" s="717"/>
      <c r="CN2585" s="717"/>
      <c r="CO2585" s="717"/>
      <c r="CP2585" s="717"/>
      <c r="CQ2585" s="717"/>
      <c r="CR2585" s="717"/>
      <c r="CS2585" s="717"/>
      <c r="CT2585" s="717"/>
      <c r="CU2585" s="717"/>
      <c r="CV2585" s="717"/>
      <c r="CW2585" s="717"/>
      <c r="CX2585" s="717"/>
      <c r="CY2585" s="717"/>
      <c r="CZ2585" s="717"/>
      <c r="DA2585" s="717"/>
      <c r="DB2585" s="717"/>
      <c r="DC2585" s="717"/>
      <c r="DD2585" s="717"/>
      <c r="DE2585" s="717"/>
      <c r="DF2585" s="717"/>
      <c r="DG2585" s="717"/>
      <c r="DH2585" s="717"/>
      <c r="DI2585" s="717"/>
      <c r="DJ2585" s="717"/>
      <c r="DM2585" s="711"/>
      <c r="DN2585" s="711"/>
      <c r="DO2585" s="711"/>
      <c r="DP2585" s="711"/>
      <c r="DQ2585" s="711"/>
    </row>
    <row r="2586" spans="13:121" s="709" customFormat="1" hidden="1">
      <c r="M2586" s="710"/>
      <c r="P2586" s="711"/>
      <c r="Q2586" s="712"/>
      <c r="U2586" s="711"/>
      <c r="V2586" s="711"/>
      <c r="W2586" s="711"/>
      <c r="X2586" s="711"/>
      <c r="Y2586" s="711"/>
      <c r="Z2586" s="711"/>
      <c r="AU2586" s="713"/>
      <c r="AW2586" s="712"/>
      <c r="BY2586" s="714"/>
      <c r="BZ2586" s="715"/>
      <c r="CA2586" s="716"/>
      <c r="CB2586" s="717"/>
      <c r="CC2586" s="717"/>
      <c r="CD2586" s="717"/>
      <c r="CE2586" s="717"/>
      <c r="CF2586" s="717"/>
      <c r="CG2586" s="717"/>
      <c r="CH2586" s="717"/>
      <c r="CI2586" s="717"/>
      <c r="CJ2586" s="717"/>
      <c r="CK2586" s="717"/>
      <c r="CL2586" s="717"/>
      <c r="CM2586" s="717"/>
      <c r="CN2586" s="717"/>
      <c r="CO2586" s="717"/>
      <c r="CP2586" s="717"/>
      <c r="CQ2586" s="717"/>
      <c r="CR2586" s="717"/>
      <c r="CS2586" s="717"/>
      <c r="CT2586" s="717"/>
      <c r="CU2586" s="717"/>
      <c r="CV2586" s="717"/>
      <c r="CW2586" s="717"/>
      <c r="CX2586" s="717"/>
      <c r="CY2586" s="717"/>
      <c r="CZ2586" s="717"/>
      <c r="DA2586" s="717"/>
      <c r="DB2586" s="717"/>
      <c r="DC2586" s="717"/>
      <c r="DD2586" s="717"/>
      <c r="DE2586" s="717"/>
      <c r="DF2586" s="717"/>
      <c r="DG2586" s="717"/>
      <c r="DH2586" s="717"/>
      <c r="DI2586" s="717"/>
      <c r="DJ2586" s="717"/>
      <c r="DM2586" s="711"/>
      <c r="DN2586" s="711"/>
      <c r="DO2586" s="711"/>
      <c r="DP2586" s="711"/>
      <c r="DQ2586" s="711"/>
    </row>
    <row r="2587" spans="13:121" s="709" customFormat="1" hidden="1">
      <c r="M2587" s="710"/>
      <c r="P2587" s="711"/>
      <c r="Q2587" s="712"/>
      <c r="U2587" s="711"/>
      <c r="V2587" s="711"/>
      <c r="W2587" s="711"/>
      <c r="X2587" s="711"/>
      <c r="Y2587" s="711"/>
      <c r="Z2587" s="711"/>
      <c r="AU2587" s="713"/>
      <c r="AW2587" s="712"/>
      <c r="BY2587" s="714"/>
      <c r="BZ2587" s="715"/>
      <c r="CA2587" s="716"/>
      <c r="CB2587" s="717"/>
      <c r="CC2587" s="717"/>
      <c r="CD2587" s="717"/>
      <c r="CE2587" s="717"/>
      <c r="CF2587" s="717"/>
      <c r="CG2587" s="717"/>
      <c r="CH2587" s="717"/>
      <c r="CI2587" s="717"/>
      <c r="CJ2587" s="717"/>
      <c r="CK2587" s="717"/>
      <c r="CL2587" s="717"/>
      <c r="CM2587" s="717"/>
      <c r="CN2587" s="717"/>
      <c r="CO2587" s="717"/>
      <c r="CP2587" s="717"/>
      <c r="CQ2587" s="717"/>
      <c r="CR2587" s="717"/>
      <c r="CS2587" s="717"/>
      <c r="CT2587" s="717"/>
      <c r="CU2587" s="717"/>
      <c r="CV2587" s="717"/>
      <c r="CW2587" s="717"/>
      <c r="CX2587" s="717"/>
      <c r="CY2587" s="717"/>
      <c r="CZ2587" s="717"/>
      <c r="DA2587" s="717"/>
      <c r="DB2587" s="717"/>
      <c r="DC2587" s="717"/>
      <c r="DD2587" s="717"/>
      <c r="DE2587" s="717"/>
      <c r="DF2587" s="717"/>
      <c r="DG2587" s="717"/>
      <c r="DH2587" s="717"/>
      <c r="DI2587" s="717"/>
      <c r="DJ2587" s="717"/>
      <c r="DM2587" s="711"/>
      <c r="DN2587" s="711"/>
      <c r="DO2587" s="711"/>
      <c r="DP2587" s="711"/>
      <c r="DQ2587" s="711"/>
    </row>
    <row r="2588" spans="13:121" s="709" customFormat="1" hidden="1">
      <c r="M2588" s="710"/>
      <c r="P2588" s="711"/>
      <c r="Q2588" s="712"/>
      <c r="U2588" s="711"/>
      <c r="V2588" s="711"/>
      <c r="W2588" s="711"/>
      <c r="X2588" s="711"/>
      <c r="Y2588" s="711"/>
      <c r="Z2588" s="711"/>
      <c r="AU2588" s="713"/>
      <c r="AW2588" s="712"/>
      <c r="BY2588" s="714"/>
      <c r="BZ2588" s="715"/>
      <c r="CA2588" s="716"/>
      <c r="CB2588" s="717"/>
      <c r="CC2588" s="717"/>
      <c r="CD2588" s="717"/>
      <c r="CE2588" s="717"/>
      <c r="CF2588" s="717"/>
      <c r="CG2588" s="717"/>
      <c r="CH2588" s="717"/>
      <c r="CI2588" s="717"/>
      <c r="CJ2588" s="717"/>
      <c r="CK2588" s="717"/>
      <c r="CL2588" s="717"/>
      <c r="CM2588" s="717"/>
      <c r="CN2588" s="717"/>
      <c r="CO2588" s="717"/>
      <c r="CP2588" s="717"/>
      <c r="CQ2588" s="717"/>
      <c r="CR2588" s="717"/>
      <c r="CS2588" s="717"/>
      <c r="CT2588" s="717"/>
      <c r="CU2588" s="717"/>
      <c r="CV2588" s="717"/>
      <c r="CW2588" s="717"/>
      <c r="CX2588" s="717"/>
      <c r="CY2588" s="717"/>
      <c r="CZ2588" s="717"/>
      <c r="DA2588" s="717"/>
      <c r="DB2588" s="717"/>
      <c r="DC2588" s="717"/>
      <c r="DD2588" s="717"/>
      <c r="DE2588" s="717"/>
      <c r="DF2588" s="717"/>
      <c r="DG2588" s="717"/>
      <c r="DH2588" s="717"/>
      <c r="DI2588" s="717"/>
      <c r="DJ2588" s="717"/>
      <c r="DM2588" s="711"/>
      <c r="DN2588" s="711"/>
      <c r="DO2588" s="711"/>
      <c r="DP2588" s="711"/>
      <c r="DQ2588" s="711"/>
    </row>
    <row r="2589" spans="13:121" s="709" customFormat="1" hidden="1">
      <c r="M2589" s="710"/>
      <c r="P2589" s="711"/>
      <c r="Q2589" s="712"/>
      <c r="U2589" s="711"/>
      <c r="V2589" s="711"/>
      <c r="W2589" s="711"/>
      <c r="X2589" s="711"/>
      <c r="Y2589" s="711"/>
      <c r="Z2589" s="711"/>
      <c r="AU2589" s="713"/>
      <c r="AW2589" s="712"/>
      <c r="BY2589" s="714"/>
      <c r="BZ2589" s="715"/>
      <c r="CA2589" s="716"/>
      <c r="CB2589" s="717"/>
      <c r="CC2589" s="717"/>
      <c r="CD2589" s="717"/>
      <c r="CE2589" s="717"/>
      <c r="CF2589" s="717"/>
      <c r="CG2589" s="717"/>
      <c r="CH2589" s="717"/>
      <c r="CI2589" s="717"/>
      <c r="CJ2589" s="717"/>
      <c r="CK2589" s="717"/>
      <c r="CL2589" s="717"/>
      <c r="CM2589" s="717"/>
      <c r="CN2589" s="717"/>
      <c r="CO2589" s="717"/>
      <c r="CP2589" s="717"/>
      <c r="CQ2589" s="717"/>
      <c r="CR2589" s="717"/>
      <c r="CS2589" s="717"/>
      <c r="CT2589" s="717"/>
      <c r="CU2589" s="717"/>
      <c r="CV2589" s="717"/>
      <c r="CW2589" s="717"/>
      <c r="CX2589" s="717"/>
      <c r="CY2589" s="717"/>
      <c r="CZ2589" s="717"/>
      <c r="DA2589" s="717"/>
      <c r="DB2589" s="717"/>
      <c r="DC2589" s="717"/>
      <c r="DD2589" s="717"/>
      <c r="DE2589" s="717"/>
      <c r="DF2589" s="717"/>
      <c r="DG2589" s="717"/>
      <c r="DH2589" s="717"/>
      <c r="DI2589" s="717"/>
      <c r="DJ2589" s="717"/>
      <c r="DM2589" s="711"/>
      <c r="DN2589" s="711"/>
      <c r="DO2589" s="711"/>
      <c r="DP2589" s="711"/>
      <c r="DQ2589" s="711"/>
    </row>
    <row r="2590" spans="13:121" s="709" customFormat="1" hidden="1">
      <c r="M2590" s="710"/>
      <c r="P2590" s="711"/>
      <c r="Q2590" s="712"/>
      <c r="U2590" s="711"/>
      <c r="V2590" s="711"/>
      <c r="W2590" s="711"/>
      <c r="X2590" s="711"/>
      <c r="Y2590" s="711"/>
      <c r="Z2590" s="711"/>
      <c r="AU2590" s="713"/>
      <c r="AW2590" s="712"/>
      <c r="BY2590" s="714"/>
      <c r="BZ2590" s="715"/>
      <c r="CA2590" s="716"/>
      <c r="CB2590" s="717"/>
      <c r="CC2590" s="717"/>
      <c r="CD2590" s="717"/>
      <c r="CE2590" s="717"/>
      <c r="CF2590" s="717"/>
      <c r="CG2590" s="717"/>
      <c r="CH2590" s="717"/>
      <c r="CI2590" s="717"/>
      <c r="CJ2590" s="717"/>
      <c r="CK2590" s="717"/>
      <c r="CL2590" s="717"/>
      <c r="CM2590" s="717"/>
      <c r="CN2590" s="717"/>
      <c r="CO2590" s="717"/>
      <c r="CP2590" s="717"/>
      <c r="CQ2590" s="717"/>
      <c r="CR2590" s="717"/>
      <c r="CS2590" s="717"/>
      <c r="CT2590" s="717"/>
      <c r="CU2590" s="717"/>
      <c r="CV2590" s="717"/>
      <c r="CW2590" s="717"/>
      <c r="CX2590" s="717"/>
      <c r="CY2590" s="717"/>
      <c r="CZ2590" s="717"/>
      <c r="DA2590" s="717"/>
      <c r="DB2590" s="717"/>
      <c r="DC2590" s="717"/>
      <c r="DD2590" s="717"/>
      <c r="DE2590" s="717"/>
      <c r="DF2590" s="717"/>
      <c r="DG2590" s="717"/>
      <c r="DH2590" s="717"/>
      <c r="DI2590" s="717"/>
      <c r="DJ2590" s="717"/>
      <c r="DM2590" s="711"/>
      <c r="DN2590" s="711"/>
      <c r="DO2590" s="711"/>
      <c r="DP2590" s="711"/>
      <c r="DQ2590" s="711"/>
    </row>
    <row r="2591" spans="13:121" s="709" customFormat="1" hidden="1">
      <c r="M2591" s="710"/>
      <c r="P2591" s="711"/>
      <c r="Q2591" s="712"/>
      <c r="U2591" s="711"/>
      <c r="V2591" s="711"/>
      <c r="W2591" s="711"/>
      <c r="X2591" s="711"/>
      <c r="Y2591" s="711"/>
      <c r="Z2591" s="711"/>
      <c r="AU2591" s="713"/>
      <c r="AW2591" s="712"/>
      <c r="BY2591" s="714"/>
      <c r="BZ2591" s="715"/>
      <c r="CA2591" s="716"/>
      <c r="CB2591" s="717"/>
      <c r="CC2591" s="717"/>
      <c r="CD2591" s="717"/>
      <c r="CE2591" s="717"/>
      <c r="CF2591" s="717"/>
      <c r="CG2591" s="717"/>
      <c r="CH2591" s="717"/>
      <c r="CI2591" s="717"/>
      <c r="CJ2591" s="717"/>
      <c r="CK2591" s="717"/>
      <c r="CL2591" s="717"/>
      <c r="CM2591" s="717"/>
      <c r="CN2591" s="717"/>
      <c r="CO2591" s="717"/>
      <c r="CP2591" s="717"/>
      <c r="CQ2591" s="717"/>
      <c r="CR2591" s="717"/>
      <c r="CS2591" s="717"/>
      <c r="CT2591" s="717"/>
      <c r="CU2591" s="717"/>
      <c r="CV2591" s="717"/>
      <c r="CW2591" s="717"/>
      <c r="CX2591" s="717"/>
      <c r="CY2591" s="717"/>
      <c r="CZ2591" s="717"/>
      <c r="DA2591" s="717"/>
      <c r="DB2591" s="717"/>
      <c r="DC2591" s="717"/>
      <c r="DD2591" s="717"/>
      <c r="DE2591" s="717"/>
      <c r="DF2591" s="717"/>
      <c r="DG2591" s="717"/>
      <c r="DH2591" s="717"/>
      <c r="DI2591" s="717"/>
      <c r="DJ2591" s="717"/>
      <c r="DM2591" s="711"/>
      <c r="DN2591" s="711"/>
      <c r="DO2591" s="711"/>
      <c r="DP2591" s="711"/>
      <c r="DQ2591" s="711"/>
    </row>
    <row r="2592" spans="13:121" s="709" customFormat="1" hidden="1">
      <c r="M2592" s="710"/>
      <c r="P2592" s="711"/>
      <c r="Q2592" s="712"/>
      <c r="U2592" s="711"/>
      <c r="V2592" s="711"/>
      <c r="W2592" s="711"/>
      <c r="X2592" s="711"/>
      <c r="Y2592" s="711"/>
      <c r="Z2592" s="711"/>
      <c r="AU2592" s="713"/>
      <c r="AW2592" s="712"/>
      <c r="BY2592" s="714"/>
      <c r="BZ2592" s="715"/>
      <c r="CA2592" s="716"/>
      <c r="CB2592" s="717"/>
      <c r="CC2592" s="717"/>
      <c r="CD2592" s="717"/>
      <c r="CE2592" s="717"/>
      <c r="CF2592" s="717"/>
      <c r="CG2592" s="717"/>
      <c r="CH2592" s="717"/>
      <c r="CI2592" s="717"/>
      <c r="CJ2592" s="717"/>
      <c r="CK2592" s="717"/>
      <c r="CL2592" s="717"/>
      <c r="CM2592" s="717"/>
      <c r="CN2592" s="717"/>
      <c r="CO2592" s="717"/>
      <c r="CP2592" s="717"/>
      <c r="CQ2592" s="717"/>
      <c r="CR2592" s="717"/>
      <c r="CS2592" s="717"/>
      <c r="CT2592" s="717"/>
      <c r="CU2592" s="717"/>
      <c r="CV2592" s="717"/>
      <c r="CW2592" s="717"/>
      <c r="CX2592" s="717"/>
      <c r="CY2592" s="717"/>
      <c r="CZ2592" s="717"/>
      <c r="DA2592" s="717"/>
      <c r="DB2592" s="717"/>
      <c r="DC2592" s="717"/>
      <c r="DD2592" s="717"/>
      <c r="DE2592" s="717"/>
      <c r="DF2592" s="717"/>
      <c r="DG2592" s="717"/>
      <c r="DH2592" s="717"/>
      <c r="DI2592" s="717"/>
      <c r="DJ2592" s="717"/>
      <c r="DM2592" s="711"/>
      <c r="DN2592" s="711"/>
      <c r="DO2592" s="711"/>
      <c r="DP2592" s="711"/>
      <c r="DQ2592" s="711"/>
    </row>
    <row r="2593" spans="13:121" s="709" customFormat="1" hidden="1">
      <c r="M2593" s="710"/>
      <c r="P2593" s="711"/>
      <c r="Q2593" s="712"/>
      <c r="U2593" s="711"/>
      <c r="V2593" s="711"/>
      <c r="W2593" s="711"/>
      <c r="X2593" s="711"/>
      <c r="Y2593" s="711"/>
      <c r="Z2593" s="711"/>
      <c r="AU2593" s="713"/>
      <c r="AW2593" s="712"/>
      <c r="BY2593" s="714"/>
      <c r="BZ2593" s="715"/>
      <c r="CA2593" s="716"/>
      <c r="CB2593" s="717"/>
      <c r="CC2593" s="717"/>
      <c r="CD2593" s="717"/>
      <c r="CE2593" s="717"/>
      <c r="CF2593" s="717"/>
      <c r="CG2593" s="717"/>
      <c r="CH2593" s="717"/>
      <c r="CI2593" s="717"/>
      <c r="CJ2593" s="717"/>
      <c r="CK2593" s="717"/>
      <c r="CL2593" s="717"/>
      <c r="CM2593" s="717"/>
      <c r="CN2593" s="717"/>
      <c r="CO2593" s="717"/>
      <c r="CP2593" s="717"/>
      <c r="CQ2593" s="717"/>
      <c r="CR2593" s="717"/>
      <c r="CS2593" s="717"/>
      <c r="CT2593" s="717"/>
      <c r="CU2593" s="717"/>
      <c r="CV2593" s="717"/>
      <c r="CW2593" s="717"/>
      <c r="CX2593" s="717"/>
      <c r="CY2593" s="717"/>
      <c r="CZ2593" s="717"/>
      <c r="DA2593" s="717"/>
      <c r="DB2593" s="717"/>
      <c r="DC2593" s="717"/>
      <c r="DD2593" s="717"/>
      <c r="DE2593" s="717"/>
      <c r="DF2593" s="717"/>
      <c r="DG2593" s="717"/>
      <c r="DH2593" s="717"/>
      <c r="DI2593" s="717"/>
      <c r="DJ2593" s="717"/>
      <c r="DM2593" s="711"/>
      <c r="DN2593" s="711"/>
      <c r="DO2593" s="711"/>
      <c r="DP2593" s="711"/>
      <c r="DQ2593" s="711"/>
    </row>
    <row r="2594" spans="13:121" s="709" customFormat="1" hidden="1">
      <c r="M2594" s="710"/>
      <c r="P2594" s="711"/>
      <c r="Q2594" s="712"/>
      <c r="U2594" s="711"/>
      <c r="V2594" s="711"/>
      <c r="W2594" s="711"/>
      <c r="X2594" s="711"/>
      <c r="Y2594" s="711"/>
      <c r="Z2594" s="711"/>
      <c r="AU2594" s="713"/>
      <c r="AW2594" s="712"/>
      <c r="BY2594" s="714"/>
      <c r="BZ2594" s="715"/>
      <c r="CA2594" s="716"/>
      <c r="CB2594" s="717"/>
      <c r="CC2594" s="717"/>
      <c r="CD2594" s="717"/>
      <c r="CE2594" s="717"/>
      <c r="CF2594" s="717"/>
      <c r="CG2594" s="717"/>
      <c r="CH2594" s="717"/>
      <c r="CI2594" s="717"/>
      <c r="CJ2594" s="717"/>
      <c r="CK2594" s="717"/>
      <c r="CL2594" s="717"/>
      <c r="CM2594" s="717"/>
      <c r="CN2594" s="717"/>
      <c r="CO2594" s="717"/>
      <c r="CP2594" s="717"/>
      <c r="CQ2594" s="717"/>
      <c r="CR2594" s="717"/>
      <c r="CS2594" s="717"/>
      <c r="CT2594" s="717"/>
      <c r="CU2594" s="717"/>
      <c r="CV2594" s="717"/>
      <c r="CW2594" s="717"/>
      <c r="CX2594" s="717"/>
      <c r="CY2594" s="717"/>
      <c r="CZ2594" s="717"/>
      <c r="DA2594" s="717"/>
      <c r="DB2594" s="717"/>
      <c r="DC2594" s="717"/>
      <c r="DD2594" s="717"/>
      <c r="DE2594" s="717"/>
      <c r="DF2594" s="717"/>
      <c r="DG2594" s="717"/>
      <c r="DH2594" s="717"/>
      <c r="DI2594" s="717"/>
      <c r="DJ2594" s="717"/>
      <c r="DM2594" s="711"/>
      <c r="DN2594" s="711"/>
      <c r="DO2594" s="711"/>
      <c r="DP2594" s="711"/>
      <c r="DQ2594" s="711"/>
    </row>
    <row r="2595" spans="13:121" s="709" customFormat="1" hidden="1">
      <c r="M2595" s="710"/>
      <c r="P2595" s="711"/>
      <c r="Q2595" s="712"/>
      <c r="U2595" s="711"/>
      <c r="V2595" s="711"/>
      <c r="W2595" s="711"/>
      <c r="X2595" s="711"/>
      <c r="Y2595" s="711"/>
      <c r="Z2595" s="711"/>
      <c r="AU2595" s="713"/>
      <c r="AW2595" s="712"/>
      <c r="BY2595" s="714"/>
      <c r="BZ2595" s="715"/>
      <c r="CA2595" s="716"/>
      <c r="CB2595" s="717"/>
      <c r="CC2595" s="717"/>
      <c r="CD2595" s="717"/>
      <c r="CE2595" s="717"/>
      <c r="CF2595" s="717"/>
      <c r="CG2595" s="717"/>
      <c r="CH2595" s="717"/>
      <c r="CI2595" s="717"/>
      <c r="CJ2595" s="717"/>
      <c r="CK2595" s="717"/>
      <c r="CL2595" s="717"/>
      <c r="CM2595" s="717"/>
      <c r="CN2595" s="717"/>
      <c r="CO2595" s="717"/>
      <c r="CP2595" s="717"/>
      <c r="CQ2595" s="717"/>
      <c r="CR2595" s="717"/>
      <c r="CS2595" s="717"/>
      <c r="CT2595" s="717"/>
      <c r="CU2595" s="717"/>
      <c r="CV2595" s="717"/>
      <c r="CW2595" s="717"/>
      <c r="CX2595" s="717"/>
      <c r="CY2595" s="717"/>
      <c r="CZ2595" s="717"/>
      <c r="DA2595" s="717"/>
      <c r="DB2595" s="717"/>
      <c r="DC2595" s="717"/>
      <c r="DD2595" s="717"/>
      <c r="DE2595" s="717"/>
      <c r="DF2595" s="717"/>
      <c r="DG2595" s="717"/>
      <c r="DH2595" s="717"/>
      <c r="DI2595" s="717"/>
      <c r="DJ2595" s="717"/>
      <c r="DM2595" s="711"/>
      <c r="DN2595" s="711"/>
      <c r="DO2595" s="711"/>
      <c r="DP2595" s="711"/>
      <c r="DQ2595" s="711"/>
    </row>
    <row r="2596" spans="13:121" s="709" customFormat="1" hidden="1">
      <c r="M2596" s="710"/>
      <c r="P2596" s="711"/>
      <c r="Q2596" s="712"/>
      <c r="U2596" s="711"/>
      <c r="V2596" s="711"/>
      <c r="W2596" s="711"/>
      <c r="X2596" s="711"/>
      <c r="Y2596" s="711"/>
      <c r="Z2596" s="711"/>
      <c r="AU2596" s="713"/>
      <c r="AW2596" s="712"/>
      <c r="BY2596" s="714"/>
      <c r="BZ2596" s="715"/>
      <c r="CA2596" s="716"/>
      <c r="CB2596" s="717"/>
      <c r="CC2596" s="717"/>
      <c r="CD2596" s="717"/>
      <c r="CE2596" s="717"/>
      <c r="CF2596" s="717"/>
      <c r="CG2596" s="717"/>
      <c r="CH2596" s="717"/>
      <c r="CI2596" s="717"/>
      <c r="CJ2596" s="717"/>
      <c r="CK2596" s="717"/>
      <c r="CL2596" s="717"/>
      <c r="CM2596" s="717"/>
      <c r="CN2596" s="717"/>
      <c r="CO2596" s="717"/>
      <c r="CP2596" s="717"/>
      <c r="CQ2596" s="717"/>
      <c r="CR2596" s="717"/>
      <c r="CS2596" s="717"/>
      <c r="CT2596" s="717"/>
      <c r="CU2596" s="717"/>
      <c r="CV2596" s="717"/>
      <c r="CW2596" s="717"/>
      <c r="CX2596" s="717"/>
      <c r="CY2596" s="717"/>
      <c r="CZ2596" s="717"/>
      <c r="DA2596" s="717"/>
      <c r="DB2596" s="717"/>
      <c r="DC2596" s="717"/>
      <c r="DD2596" s="717"/>
      <c r="DE2596" s="717"/>
      <c r="DF2596" s="717"/>
      <c r="DG2596" s="717"/>
      <c r="DH2596" s="717"/>
      <c r="DI2596" s="717"/>
      <c r="DJ2596" s="717"/>
      <c r="DM2596" s="711"/>
      <c r="DN2596" s="711"/>
      <c r="DO2596" s="711"/>
      <c r="DP2596" s="711"/>
      <c r="DQ2596" s="711"/>
    </row>
    <row r="2597" spans="13:121" s="709" customFormat="1" hidden="1">
      <c r="M2597" s="710"/>
      <c r="P2597" s="711"/>
      <c r="Q2597" s="712"/>
      <c r="U2597" s="711"/>
      <c r="V2597" s="711"/>
      <c r="W2597" s="711"/>
      <c r="X2597" s="711"/>
      <c r="Y2597" s="711"/>
      <c r="Z2597" s="711"/>
      <c r="AU2597" s="713"/>
      <c r="AW2597" s="712"/>
      <c r="BY2597" s="714"/>
      <c r="BZ2597" s="715"/>
      <c r="CA2597" s="716"/>
      <c r="CB2597" s="717"/>
      <c r="CC2597" s="717"/>
      <c r="CD2597" s="717"/>
      <c r="CE2597" s="717"/>
      <c r="CF2597" s="717"/>
      <c r="CG2597" s="717"/>
      <c r="CH2597" s="717"/>
      <c r="CI2597" s="717"/>
      <c r="CJ2597" s="717"/>
      <c r="CK2597" s="717"/>
      <c r="CL2597" s="717"/>
      <c r="CM2597" s="717"/>
      <c r="CN2597" s="717"/>
      <c r="CO2597" s="717"/>
      <c r="CP2597" s="717"/>
      <c r="CQ2597" s="717"/>
      <c r="CR2597" s="717"/>
      <c r="CS2597" s="717"/>
      <c r="CT2597" s="717"/>
      <c r="CU2597" s="717"/>
      <c r="CV2597" s="717"/>
      <c r="CW2597" s="717"/>
      <c r="CX2597" s="717"/>
      <c r="CY2597" s="717"/>
      <c r="CZ2597" s="717"/>
      <c r="DA2597" s="717"/>
      <c r="DB2597" s="717"/>
      <c r="DC2597" s="717"/>
      <c r="DD2597" s="717"/>
      <c r="DE2597" s="717"/>
      <c r="DF2597" s="717"/>
      <c r="DG2597" s="717"/>
      <c r="DH2597" s="717"/>
      <c r="DI2597" s="717"/>
      <c r="DJ2597" s="717"/>
      <c r="DM2597" s="711"/>
      <c r="DN2597" s="711"/>
      <c r="DO2597" s="711"/>
      <c r="DP2597" s="711"/>
      <c r="DQ2597" s="711"/>
    </row>
    <row r="2598" spans="13:121" s="709" customFormat="1" hidden="1">
      <c r="M2598" s="710"/>
      <c r="P2598" s="711"/>
      <c r="Q2598" s="712"/>
      <c r="U2598" s="711"/>
      <c r="V2598" s="711"/>
      <c r="W2598" s="711"/>
      <c r="X2598" s="711"/>
      <c r="Y2598" s="711"/>
      <c r="Z2598" s="711"/>
      <c r="AU2598" s="713"/>
      <c r="AW2598" s="712"/>
      <c r="BY2598" s="714"/>
      <c r="BZ2598" s="715"/>
      <c r="CA2598" s="716"/>
      <c r="CB2598" s="717"/>
      <c r="CC2598" s="717"/>
      <c r="CD2598" s="717"/>
      <c r="CE2598" s="717"/>
      <c r="CF2598" s="717"/>
      <c r="CG2598" s="717"/>
      <c r="CH2598" s="717"/>
      <c r="CI2598" s="717"/>
      <c r="CJ2598" s="717"/>
      <c r="CK2598" s="717"/>
      <c r="CL2598" s="717"/>
      <c r="CM2598" s="717"/>
      <c r="CN2598" s="717"/>
      <c r="CO2598" s="717"/>
      <c r="CP2598" s="717"/>
      <c r="CQ2598" s="717"/>
      <c r="CR2598" s="717"/>
      <c r="CS2598" s="717"/>
      <c r="CT2598" s="717"/>
      <c r="CU2598" s="717"/>
      <c r="CV2598" s="717"/>
      <c r="CW2598" s="717"/>
      <c r="CX2598" s="717"/>
      <c r="CY2598" s="717"/>
      <c r="CZ2598" s="717"/>
      <c r="DA2598" s="717"/>
      <c r="DB2598" s="717"/>
      <c r="DC2598" s="717"/>
      <c r="DD2598" s="717"/>
      <c r="DE2598" s="717"/>
      <c r="DF2598" s="717"/>
      <c r="DG2598" s="717"/>
      <c r="DH2598" s="717"/>
      <c r="DI2598" s="717"/>
      <c r="DJ2598" s="717"/>
      <c r="DM2598" s="711"/>
      <c r="DN2598" s="711"/>
      <c r="DO2598" s="711"/>
      <c r="DP2598" s="711"/>
      <c r="DQ2598" s="711"/>
    </row>
    <row r="2599" spans="13:121" s="709" customFormat="1" hidden="1">
      <c r="M2599" s="710"/>
      <c r="P2599" s="711"/>
      <c r="Q2599" s="712"/>
      <c r="U2599" s="711"/>
      <c r="V2599" s="711"/>
      <c r="W2599" s="711"/>
      <c r="X2599" s="711"/>
      <c r="Y2599" s="711"/>
      <c r="Z2599" s="711"/>
      <c r="AU2599" s="713"/>
      <c r="AW2599" s="712"/>
      <c r="BY2599" s="714"/>
      <c r="BZ2599" s="715"/>
      <c r="CA2599" s="716"/>
      <c r="CB2599" s="717"/>
      <c r="CC2599" s="717"/>
      <c r="CD2599" s="717"/>
      <c r="CE2599" s="717"/>
      <c r="CF2599" s="717"/>
      <c r="CG2599" s="717"/>
      <c r="CH2599" s="717"/>
      <c r="CI2599" s="717"/>
      <c r="CJ2599" s="717"/>
      <c r="CK2599" s="717"/>
      <c r="CL2599" s="717"/>
      <c r="CM2599" s="717"/>
      <c r="CN2599" s="717"/>
      <c r="CO2599" s="717"/>
      <c r="CP2599" s="717"/>
      <c r="CQ2599" s="717"/>
      <c r="CR2599" s="717"/>
      <c r="CS2599" s="717"/>
      <c r="CT2599" s="717"/>
      <c r="CU2599" s="717"/>
      <c r="CV2599" s="717"/>
      <c r="CW2599" s="717"/>
      <c r="CX2599" s="717"/>
      <c r="CY2599" s="717"/>
      <c r="CZ2599" s="717"/>
      <c r="DA2599" s="717"/>
      <c r="DB2599" s="717"/>
      <c r="DC2599" s="717"/>
      <c r="DD2599" s="717"/>
      <c r="DE2599" s="717"/>
      <c r="DF2599" s="717"/>
      <c r="DG2599" s="717"/>
      <c r="DH2599" s="717"/>
      <c r="DI2599" s="717"/>
      <c r="DJ2599" s="717"/>
      <c r="DM2599" s="711"/>
      <c r="DN2599" s="711"/>
      <c r="DO2599" s="711"/>
      <c r="DP2599" s="711"/>
      <c r="DQ2599" s="711"/>
    </row>
    <row r="2600" spans="13:121" s="709" customFormat="1" hidden="1">
      <c r="M2600" s="710"/>
      <c r="P2600" s="711"/>
      <c r="Q2600" s="712"/>
      <c r="U2600" s="711"/>
      <c r="V2600" s="711"/>
      <c r="W2600" s="711"/>
      <c r="X2600" s="711"/>
      <c r="Y2600" s="711"/>
      <c r="Z2600" s="711"/>
      <c r="AU2600" s="713"/>
      <c r="AW2600" s="712"/>
      <c r="BY2600" s="714"/>
      <c r="BZ2600" s="715"/>
      <c r="CA2600" s="716"/>
      <c r="CB2600" s="717"/>
      <c r="CC2600" s="717"/>
      <c r="CD2600" s="717"/>
      <c r="CE2600" s="717"/>
      <c r="CF2600" s="717"/>
      <c r="CG2600" s="717"/>
      <c r="CH2600" s="717"/>
      <c r="CI2600" s="717"/>
      <c r="CJ2600" s="717"/>
      <c r="CK2600" s="717"/>
      <c r="CL2600" s="717"/>
      <c r="CM2600" s="717"/>
      <c r="CN2600" s="717"/>
      <c r="CO2600" s="717"/>
      <c r="CP2600" s="717"/>
      <c r="CQ2600" s="717"/>
      <c r="CR2600" s="717"/>
      <c r="CS2600" s="717"/>
      <c r="CT2600" s="717"/>
      <c r="CU2600" s="717"/>
      <c r="CV2600" s="717"/>
      <c r="CW2600" s="717"/>
      <c r="CX2600" s="717"/>
      <c r="CY2600" s="717"/>
      <c r="CZ2600" s="717"/>
      <c r="DA2600" s="717"/>
      <c r="DB2600" s="717"/>
      <c r="DC2600" s="717"/>
      <c r="DD2600" s="717"/>
      <c r="DE2600" s="717"/>
      <c r="DF2600" s="717"/>
      <c r="DG2600" s="717"/>
      <c r="DH2600" s="717"/>
      <c r="DI2600" s="717"/>
      <c r="DJ2600" s="717"/>
      <c r="DM2600" s="711"/>
      <c r="DN2600" s="711"/>
      <c r="DO2600" s="711"/>
      <c r="DP2600" s="711"/>
      <c r="DQ2600" s="711"/>
    </row>
    <row r="2601" spans="13:121" s="709" customFormat="1" hidden="1">
      <c r="M2601" s="710"/>
      <c r="P2601" s="711"/>
      <c r="Q2601" s="712"/>
      <c r="U2601" s="711"/>
      <c r="V2601" s="711"/>
      <c r="W2601" s="711"/>
      <c r="X2601" s="711"/>
      <c r="Y2601" s="711"/>
      <c r="Z2601" s="711"/>
      <c r="AU2601" s="713"/>
      <c r="AW2601" s="712"/>
      <c r="BY2601" s="714"/>
      <c r="BZ2601" s="715"/>
      <c r="CA2601" s="716"/>
      <c r="CB2601" s="717"/>
      <c r="CC2601" s="717"/>
      <c r="CD2601" s="717"/>
      <c r="CE2601" s="717"/>
      <c r="CF2601" s="717"/>
      <c r="CG2601" s="717"/>
      <c r="CH2601" s="717"/>
      <c r="CI2601" s="717"/>
      <c r="CJ2601" s="717"/>
      <c r="CK2601" s="717"/>
      <c r="CL2601" s="717"/>
      <c r="CM2601" s="717"/>
      <c r="CN2601" s="717"/>
      <c r="CO2601" s="717"/>
      <c r="CP2601" s="717"/>
      <c r="CQ2601" s="717"/>
      <c r="CR2601" s="717"/>
      <c r="CS2601" s="717"/>
      <c r="CT2601" s="717"/>
      <c r="CU2601" s="717"/>
      <c r="CV2601" s="717"/>
      <c r="CW2601" s="717"/>
      <c r="CX2601" s="717"/>
      <c r="CY2601" s="717"/>
      <c r="CZ2601" s="717"/>
      <c r="DA2601" s="717"/>
      <c r="DB2601" s="717"/>
      <c r="DC2601" s="717"/>
      <c r="DD2601" s="717"/>
      <c r="DE2601" s="717"/>
      <c r="DF2601" s="717"/>
      <c r="DG2601" s="717"/>
      <c r="DH2601" s="717"/>
      <c r="DI2601" s="717"/>
      <c r="DJ2601" s="717"/>
      <c r="DM2601" s="711"/>
      <c r="DN2601" s="711"/>
      <c r="DO2601" s="711"/>
      <c r="DP2601" s="711"/>
      <c r="DQ2601" s="711"/>
    </row>
    <row r="2602" spans="13:121" s="709" customFormat="1" hidden="1">
      <c r="M2602" s="710"/>
      <c r="P2602" s="711"/>
      <c r="Q2602" s="712"/>
      <c r="U2602" s="711"/>
      <c r="V2602" s="711"/>
      <c r="W2602" s="711"/>
      <c r="X2602" s="711"/>
      <c r="Y2602" s="711"/>
      <c r="Z2602" s="711"/>
      <c r="AU2602" s="713"/>
      <c r="AW2602" s="712"/>
      <c r="BY2602" s="714"/>
      <c r="BZ2602" s="715"/>
      <c r="CA2602" s="716"/>
      <c r="CB2602" s="717"/>
      <c r="CC2602" s="717"/>
      <c r="CD2602" s="717"/>
      <c r="CE2602" s="717"/>
      <c r="CF2602" s="717"/>
      <c r="CG2602" s="717"/>
      <c r="CH2602" s="717"/>
      <c r="CI2602" s="717"/>
      <c r="CJ2602" s="717"/>
      <c r="CK2602" s="717"/>
      <c r="CL2602" s="717"/>
      <c r="CM2602" s="717"/>
      <c r="CN2602" s="717"/>
      <c r="CO2602" s="717"/>
      <c r="CP2602" s="717"/>
      <c r="CQ2602" s="717"/>
      <c r="CR2602" s="717"/>
      <c r="CS2602" s="717"/>
      <c r="CT2602" s="717"/>
      <c r="CU2602" s="717"/>
      <c r="CV2602" s="717"/>
      <c r="CW2602" s="717"/>
      <c r="CX2602" s="717"/>
      <c r="CY2602" s="717"/>
      <c r="CZ2602" s="717"/>
      <c r="DA2602" s="717"/>
      <c r="DB2602" s="717"/>
      <c r="DC2602" s="717"/>
      <c r="DD2602" s="717"/>
      <c r="DE2602" s="717"/>
      <c r="DF2602" s="717"/>
      <c r="DG2602" s="717"/>
      <c r="DH2602" s="717"/>
      <c r="DI2602" s="717"/>
      <c r="DJ2602" s="717"/>
      <c r="DM2602" s="711"/>
      <c r="DN2602" s="711"/>
      <c r="DO2602" s="711"/>
      <c r="DP2602" s="711"/>
      <c r="DQ2602" s="711"/>
    </row>
    <row r="2603" spans="13:121" s="709" customFormat="1" hidden="1">
      <c r="M2603" s="710"/>
      <c r="P2603" s="711"/>
      <c r="Q2603" s="712"/>
      <c r="U2603" s="711"/>
      <c r="V2603" s="711"/>
      <c r="W2603" s="711"/>
      <c r="X2603" s="711"/>
      <c r="Y2603" s="711"/>
      <c r="Z2603" s="711"/>
      <c r="AU2603" s="713"/>
      <c r="AW2603" s="712"/>
      <c r="BY2603" s="714"/>
      <c r="BZ2603" s="715"/>
      <c r="CA2603" s="716"/>
      <c r="CB2603" s="717"/>
      <c r="CC2603" s="717"/>
      <c r="CD2603" s="717"/>
      <c r="CE2603" s="717"/>
      <c r="CF2603" s="717"/>
      <c r="CG2603" s="717"/>
      <c r="CH2603" s="717"/>
      <c r="CI2603" s="717"/>
      <c r="CJ2603" s="717"/>
      <c r="CK2603" s="717"/>
      <c r="CL2603" s="717"/>
      <c r="CM2603" s="717"/>
      <c r="CN2603" s="717"/>
      <c r="CO2603" s="717"/>
      <c r="CP2603" s="717"/>
      <c r="CQ2603" s="717"/>
      <c r="CR2603" s="717"/>
      <c r="CS2603" s="717"/>
      <c r="CT2603" s="717"/>
      <c r="CU2603" s="717"/>
      <c r="CV2603" s="717"/>
      <c r="CW2603" s="717"/>
      <c r="CX2603" s="717"/>
      <c r="CY2603" s="717"/>
      <c r="CZ2603" s="717"/>
      <c r="DA2603" s="717"/>
      <c r="DB2603" s="717"/>
      <c r="DC2603" s="717"/>
      <c r="DD2603" s="717"/>
      <c r="DE2603" s="717"/>
      <c r="DF2603" s="717"/>
      <c r="DG2603" s="717"/>
      <c r="DH2603" s="717"/>
      <c r="DI2603" s="717"/>
      <c r="DJ2603" s="717"/>
      <c r="DM2603" s="711"/>
      <c r="DN2603" s="711"/>
      <c r="DO2603" s="711"/>
      <c r="DP2603" s="711"/>
      <c r="DQ2603" s="711"/>
    </row>
    <row r="2604" spans="13:121" s="709" customFormat="1" hidden="1">
      <c r="M2604" s="710"/>
      <c r="P2604" s="711"/>
      <c r="Q2604" s="712"/>
      <c r="U2604" s="711"/>
      <c r="V2604" s="711"/>
      <c r="W2604" s="711"/>
      <c r="X2604" s="711"/>
      <c r="Y2604" s="711"/>
      <c r="Z2604" s="711"/>
      <c r="AU2604" s="713"/>
      <c r="AW2604" s="712"/>
      <c r="BY2604" s="714"/>
      <c r="BZ2604" s="715"/>
      <c r="CA2604" s="716"/>
      <c r="CB2604" s="717"/>
      <c r="CC2604" s="717"/>
      <c r="CD2604" s="717"/>
      <c r="CE2604" s="717"/>
      <c r="CF2604" s="717"/>
      <c r="CG2604" s="717"/>
      <c r="CH2604" s="717"/>
      <c r="CI2604" s="717"/>
      <c r="CJ2604" s="717"/>
      <c r="CK2604" s="717"/>
      <c r="CL2604" s="717"/>
      <c r="CM2604" s="717"/>
      <c r="CN2604" s="717"/>
      <c r="CO2604" s="717"/>
      <c r="CP2604" s="717"/>
      <c r="CQ2604" s="717"/>
      <c r="CR2604" s="717"/>
      <c r="CS2604" s="717"/>
      <c r="CT2604" s="717"/>
      <c r="CU2604" s="717"/>
      <c r="CV2604" s="717"/>
      <c r="CW2604" s="717"/>
      <c r="CX2604" s="717"/>
      <c r="CY2604" s="717"/>
      <c r="CZ2604" s="717"/>
      <c r="DA2604" s="717"/>
      <c r="DB2604" s="717"/>
      <c r="DC2604" s="717"/>
      <c r="DD2604" s="717"/>
      <c r="DE2604" s="717"/>
      <c r="DF2604" s="717"/>
      <c r="DG2604" s="717"/>
      <c r="DH2604" s="717"/>
      <c r="DI2604" s="717"/>
      <c r="DJ2604" s="717"/>
      <c r="DM2604" s="711"/>
      <c r="DN2604" s="711"/>
      <c r="DO2604" s="711"/>
      <c r="DP2604" s="711"/>
      <c r="DQ2604" s="711"/>
    </row>
    <row r="2605" spans="13:121" s="709" customFormat="1" hidden="1">
      <c r="M2605" s="710"/>
      <c r="P2605" s="711"/>
      <c r="Q2605" s="712"/>
      <c r="U2605" s="711"/>
      <c r="V2605" s="711"/>
      <c r="W2605" s="711"/>
      <c r="X2605" s="711"/>
      <c r="Y2605" s="711"/>
      <c r="Z2605" s="711"/>
      <c r="AU2605" s="713"/>
      <c r="AW2605" s="712"/>
      <c r="BY2605" s="714"/>
      <c r="BZ2605" s="715"/>
      <c r="CA2605" s="716"/>
      <c r="CB2605" s="717"/>
      <c r="CC2605" s="717"/>
      <c r="CD2605" s="717"/>
      <c r="CE2605" s="717"/>
      <c r="CF2605" s="717"/>
      <c r="CG2605" s="717"/>
      <c r="CH2605" s="717"/>
      <c r="CI2605" s="717"/>
      <c r="CJ2605" s="717"/>
      <c r="CK2605" s="717"/>
      <c r="CL2605" s="717"/>
      <c r="CM2605" s="717"/>
      <c r="CN2605" s="717"/>
      <c r="CO2605" s="717"/>
      <c r="CP2605" s="717"/>
      <c r="CQ2605" s="717"/>
      <c r="CR2605" s="717"/>
      <c r="CS2605" s="717"/>
      <c r="CT2605" s="717"/>
      <c r="CU2605" s="717"/>
      <c r="CV2605" s="717"/>
      <c r="CW2605" s="717"/>
      <c r="CX2605" s="717"/>
      <c r="CY2605" s="717"/>
      <c r="CZ2605" s="717"/>
      <c r="DA2605" s="717"/>
      <c r="DB2605" s="717"/>
      <c r="DC2605" s="717"/>
      <c r="DD2605" s="717"/>
      <c r="DE2605" s="717"/>
      <c r="DF2605" s="717"/>
      <c r="DG2605" s="717"/>
      <c r="DH2605" s="717"/>
      <c r="DI2605" s="717"/>
      <c r="DJ2605" s="717"/>
      <c r="DM2605" s="711"/>
      <c r="DN2605" s="711"/>
      <c r="DO2605" s="711"/>
      <c r="DP2605" s="711"/>
      <c r="DQ2605" s="711"/>
    </row>
    <row r="2606" spans="13:121" s="709" customFormat="1" hidden="1">
      <c r="M2606" s="710"/>
      <c r="P2606" s="711"/>
      <c r="Q2606" s="712"/>
      <c r="U2606" s="711"/>
      <c r="V2606" s="711"/>
      <c r="W2606" s="711"/>
      <c r="X2606" s="711"/>
      <c r="Y2606" s="711"/>
      <c r="Z2606" s="711"/>
      <c r="AU2606" s="713"/>
      <c r="AW2606" s="712"/>
      <c r="BY2606" s="714"/>
      <c r="BZ2606" s="715"/>
      <c r="CA2606" s="716"/>
      <c r="CB2606" s="717"/>
      <c r="CC2606" s="717"/>
      <c r="CD2606" s="717"/>
      <c r="CE2606" s="717"/>
      <c r="CF2606" s="717"/>
      <c r="CG2606" s="717"/>
      <c r="CH2606" s="717"/>
      <c r="CI2606" s="717"/>
      <c r="CJ2606" s="717"/>
      <c r="CK2606" s="717"/>
      <c r="CL2606" s="717"/>
      <c r="CM2606" s="717"/>
      <c r="CN2606" s="717"/>
      <c r="CO2606" s="717"/>
      <c r="CP2606" s="717"/>
      <c r="CQ2606" s="717"/>
      <c r="CR2606" s="717"/>
      <c r="CS2606" s="717"/>
      <c r="CT2606" s="717"/>
      <c r="CU2606" s="717"/>
      <c r="CV2606" s="717"/>
      <c r="CW2606" s="717"/>
      <c r="CX2606" s="717"/>
      <c r="CY2606" s="717"/>
      <c r="CZ2606" s="717"/>
      <c r="DA2606" s="717"/>
      <c r="DB2606" s="717"/>
      <c r="DC2606" s="717"/>
      <c r="DD2606" s="717"/>
      <c r="DE2606" s="717"/>
      <c r="DF2606" s="717"/>
      <c r="DG2606" s="717"/>
      <c r="DH2606" s="717"/>
      <c r="DI2606" s="717"/>
      <c r="DJ2606" s="717"/>
      <c r="DM2606" s="711"/>
      <c r="DN2606" s="711"/>
      <c r="DO2606" s="711"/>
      <c r="DP2606" s="711"/>
      <c r="DQ2606" s="711"/>
    </row>
    <row r="2607" spans="13:121" s="709" customFormat="1" hidden="1">
      <c r="M2607" s="710"/>
      <c r="P2607" s="711"/>
      <c r="Q2607" s="712"/>
      <c r="U2607" s="711"/>
      <c r="V2607" s="711"/>
      <c r="W2607" s="711"/>
      <c r="X2607" s="711"/>
      <c r="Y2607" s="711"/>
      <c r="Z2607" s="711"/>
      <c r="AU2607" s="713"/>
      <c r="AW2607" s="712"/>
      <c r="BY2607" s="714"/>
      <c r="BZ2607" s="715"/>
      <c r="CA2607" s="716"/>
      <c r="CB2607" s="717"/>
      <c r="CC2607" s="717"/>
      <c r="CD2607" s="717"/>
      <c r="CE2607" s="717"/>
      <c r="CF2607" s="717"/>
      <c r="CG2607" s="717"/>
      <c r="CH2607" s="717"/>
      <c r="CI2607" s="717"/>
      <c r="CJ2607" s="717"/>
      <c r="CK2607" s="717"/>
      <c r="CL2607" s="717"/>
      <c r="CM2607" s="717"/>
      <c r="CN2607" s="717"/>
      <c r="CO2607" s="717"/>
      <c r="CP2607" s="717"/>
      <c r="CQ2607" s="717"/>
      <c r="CR2607" s="717"/>
      <c r="CS2607" s="717"/>
      <c r="CT2607" s="717"/>
      <c r="CU2607" s="717"/>
      <c r="CV2607" s="717"/>
      <c r="CW2607" s="717"/>
      <c r="CX2607" s="717"/>
      <c r="CY2607" s="717"/>
      <c r="CZ2607" s="717"/>
      <c r="DA2607" s="717"/>
      <c r="DB2607" s="717"/>
      <c r="DC2607" s="717"/>
      <c r="DD2607" s="717"/>
      <c r="DE2607" s="717"/>
      <c r="DF2607" s="717"/>
      <c r="DG2607" s="717"/>
      <c r="DH2607" s="717"/>
      <c r="DI2607" s="717"/>
      <c r="DJ2607" s="717"/>
      <c r="DM2607" s="711"/>
      <c r="DN2607" s="711"/>
      <c r="DO2607" s="711"/>
      <c r="DP2607" s="711"/>
      <c r="DQ2607" s="711"/>
    </row>
    <row r="2608" spans="13:121" s="709" customFormat="1" hidden="1">
      <c r="M2608" s="710"/>
      <c r="P2608" s="711"/>
      <c r="Q2608" s="712"/>
      <c r="U2608" s="711"/>
      <c r="V2608" s="711"/>
      <c r="W2608" s="711"/>
      <c r="X2608" s="711"/>
      <c r="Y2608" s="711"/>
      <c r="Z2608" s="711"/>
      <c r="AU2608" s="713"/>
      <c r="AW2608" s="712"/>
      <c r="BY2608" s="714"/>
      <c r="BZ2608" s="715"/>
      <c r="CA2608" s="716"/>
      <c r="CB2608" s="717"/>
      <c r="CC2608" s="717"/>
      <c r="CD2608" s="717"/>
      <c r="CE2608" s="717"/>
      <c r="CF2608" s="717"/>
      <c r="CG2608" s="717"/>
      <c r="CH2608" s="717"/>
      <c r="CI2608" s="717"/>
      <c r="CJ2608" s="717"/>
      <c r="CK2608" s="717"/>
      <c r="CL2608" s="717"/>
      <c r="CM2608" s="717"/>
      <c r="CN2608" s="717"/>
      <c r="CO2608" s="717"/>
      <c r="CP2608" s="717"/>
      <c r="CQ2608" s="717"/>
      <c r="CR2608" s="717"/>
      <c r="CS2608" s="717"/>
      <c r="CT2608" s="717"/>
      <c r="CU2608" s="717"/>
      <c r="CV2608" s="717"/>
      <c r="CW2608" s="717"/>
      <c r="CX2608" s="717"/>
      <c r="CY2608" s="717"/>
      <c r="CZ2608" s="717"/>
      <c r="DA2608" s="717"/>
      <c r="DB2608" s="717"/>
      <c r="DC2608" s="717"/>
      <c r="DD2608" s="717"/>
      <c r="DE2608" s="717"/>
      <c r="DF2608" s="717"/>
      <c r="DG2608" s="717"/>
      <c r="DH2608" s="717"/>
      <c r="DI2608" s="717"/>
      <c r="DJ2608" s="717"/>
      <c r="DM2608" s="711"/>
      <c r="DN2608" s="711"/>
      <c r="DO2608" s="711"/>
      <c r="DP2608" s="711"/>
      <c r="DQ2608" s="711"/>
    </row>
    <row r="2609" spans="13:121" s="709" customFormat="1" hidden="1">
      <c r="M2609" s="710"/>
      <c r="P2609" s="711"/>
      <c r="Q2609" s="712"/>
      <c r="U2609" s="711"/>
      <c r="V2609" s="711"/>
      <c r="W2609" s="711"/>
      <c r="X2609" s="711"/>
      <c r="Y2609" s="711"/>
      <c r="Z2609" s="711"/>
      <c r="AU2609" s="713"/>
      <c r="AW2609" s="712"/>
      <c r="BY2609" s="714"/>
      <c r="BZ2609" s="715"/>
      <c r="CA2609" s="716"/>
      <c r="CB2609" s="717"/>
      <c r="CC2609" s="717"/>
      <c r="CD2609" s="717"/>
      <c r="CE2609" s="717"/>
      <c r="CF2609" s="717"/>
      <c r="CG2609" s="717"/>
      <c r="CH2609" s="717"/>
      <c r="CI2609" s="717"/>
      <c r="CJ2609" s="717"/>
      <c r="CK2609" s="717"/>
      <c r="CL2609" s="717"/>
      <c r="CM2609" s="717"/>
      <c r="CN2609" s="717"/>
      <c r="CO2609" s="717"/>
      <c r="CP2609" s="717"/>
      <c r="CQ2609" s="717"/>
      <c r="CR2609" s="717"/>
      <c r="CS2609" s="717"/>
      <c r="CT2609" s="717"/>
      <c r="CU2609" s="717"/>
      <c r="CV2609" s="717"/>
      <c r="CW2609" s="717"/>
      <c r="CX2609" s="717"/>
      <c r="CY2609" s="717"/>
      <c r="CZ2609" s="717"/>
      <c r="DA2609" s="717"/>
      <c r="DB2609" s="717"/>
      <c r="DC2609" s="717"/>
      <c r="DD2609" s="717"/>
      <c r="DE2609" s="717"/>
      <c r="DF2609" s="717"/>
      <c r="DG2609" s="717"/>
      <c r="DH2609" s="717"/>
      <c r="DI2609" s="717"/>
      <c r="DJ2609" s="717"/>
      <c r="DM2609" s="711"/>
      <c r="DN2609" s="711"/>
      <c r="DO2609" s="711"/>
      <c r="DP2609" s="711"/>
      <c r="DQ2609" s="711"/>
    </row>
    <row r="2610" spans="13:121" s="709" customFormat="1" hidden="1">
      <c r="M2610" s="710"/>
      <c r="P2610" s="711"/>
      <c r="Q2610" s="712"/>
      <c r="U2610" s="711"/>
      <c r="V2610" s="711"/>
      <c r="W2610" s="711"/>
      <c r="X2610" s="711"/>
      <c r="Y2610" s="711"/>
      <c r="Z2610" s="711"/>
      <c r="AU2610" s="713"/>
      <c r="AW2610" s="712"/>
      <c r="BY2610" s="714"/>
      <c r="BZ2610" s="715"/>
      <c r="CA2610" s="716"/>
      <c r="CB2610" s="717"/>
      <c r="CC2610" s="717"/>
      <c r="CD2610" s="717"/>
      <c r="CE2610" s="717"/>
      <c r="CF2610" s="717"/>
      <c r="CG2610" s="717"/>
      <c r="CH2610" s="717"/>
      <c r="CI2610" s="717"/>
      <c r="CJ2610" s="717"/>
      <c r="CK2610" s="717"/>
      <c r="CL2610" s="717"/>
      <c r="CM2610" s="717"/>
      <c r="CN2610" s="717"/>
      <c r="CO2610" s="717"/>
      <c r="CP2610" s="717"/>
      <c r="CQ2610" s="717"/>
      <c r="CR2610" s="717"/>
      <c r="CS2610" s="717"/>
      <c r="CT2610" s="717"/>
      <c r="CU2610" s="717"/>
      <c r="CV2610" s="717"/>
      <c r="CW2610" s="717"/>
      <c r="CX2610" s="717"/>
      <c r="CY2610" s="717"/>
      <c r="CZ2610" s="717"/>
      <c r="DA2610" s="717"/>
      <c r="DB2610" s="717"/>
      <c r="DC2610" s="717"/>
      <c r="DD2610" s="717"/>
      <c r="DE2610" s="717"/>
      <c r="DF2610" s="717"/>
      <c r="DG2610" s="717"/>
      <c r="DH2610" s="717"/>
      <c r="DI2610" s="717"/>
      <c r="DJ2610" s="717"/>
      <c r="DM2610" s="711"/>
      <c r="DN2610" s="711"/>
      <c r="DO2610" s="711"/>
      <c r="DP2610" s="711"/>
      <c r="DQ2610" s="711"/>
    </row>
    <row r="2611" spans="13:121" s="709" customFormat="1" hidden="1">
      <c r="M2611" s="710"/>
      <c r="P2611" s="711"/>
      <c r="Q2611" s="712"/>
      <c r="U2611" s="711"/>
      <c r="V2611" s="711"/>
      <c r="W2611" s="711"/>
      <c r="X2611" s="711"/>
      <c r="Y2611" s="711"/>
      <c r="Z2611" s="711"/>
      <c r="AU2611" s="713"/>
      <c r="AW2611" s="712"/>
      <c r="BY2611" s="714"/>
      <c r="BZ2611" s="715"/>
      <c r="CA2611" s="716"/>
      <c r="CB2611" s="717"/>
      <c r="CC2611" s="717"/>
      <c r="CD2611" s="717"/>
      <c r="CE2611" s="717"/>
      <c r="CF2611" s="717"/>
      <c r="CG2611" s="717"/>
      <c r="CH2611" s="717"/>
      <c r="CI2611" s="717"/>
      <c r="CJ2611" s="717"/>
      <c r="CK2611" s="717"/>
      <c r="CL2611" s="717"/>
      <c r="CM2611" s="717"/>
      <c r="CN2611" s="717"/>
      <c r="CO2611" s="717"/>
      <c r="CP2611" s="717"/>
      <c r="CQ2611" s="717"/>
      <c r="CR2611" s="717"/>
      <c r="CS2611" s="717"/>
      <c r="CT2611" s="717"/>
      <c r="CU2611" s="717"/>
      <c r="CV2611" s="717"/>
      <c r="CW2611" s="717"/>
      <c r="CX2611" s="717"/>
      <c r="CY2611" s="717"/>
      <c r="CZ2611" s="717"/>
      <c r="DA2611" s="717"/>
      <c r="DB2611" s="717"/>
      <c r="DC2611" s="717"/>
      <c r="DD2611" s="717"/>
      <c r="DE2611" s="717"/>
      <c r="DF2611" s="717"/>
      <c r="DG2611" s="717"/>
      <c r="DH2611" s="717"/>
      <c r="DI2611" s="717"/>
      <c r="DJ2611" s="717"/>
      <c r="DM2611" s="711"/>
      <c r="DN2611" s="711"/>
      <c r="DO2611" s="711"/>
      <c r="DP2611" s="711"/>
      <c r="DQ2611" s="711"/>
    </row>
    <row r="2612" spans="13:121" s="709" customFormat="1" hidden="1">
      <c r="M2612" s="710"/>
      <c r="P2612" s="711"/>
      <c r="Q2612" s="712"/>
      <c r="U2612" s="711"/>
      <c r="V2612" s="711"/>
      <c r="W2612" s="711"/>
      <c r="X2612" s="711"/>
      <c r="Y2612" s="711"/>
      <c r="Z2612" s="711"/>
      <c r="AU2612" s="713"/>
      <c r="AW2612" s="712"/>
      <c r="BY2612" s="714"/>
      <c r="BZ2612" s="715"/>
      <c r="CA2612" s="716"/>
      <c r="CB2612" s="717"/>
      <c r="CC2612" s="717"/>
      <c r="CD2612" s="717"/>
      <c r="CE2612" s="717"/>
      <c r="CF2612" s="717"/>
      <c r="CG2612" s="717"/>
      <c r="CH2612" s="717"/>
      <c r="CI2612" s="717"/>
      <c r="CJ2612" s="717"/>
      <c r="CK2612" s="717"/>
      <c r="CL2612" s="717"/>
      <c r="CM2612" s="717"/>
      <c r="CN2612" s="717"/>
      <c r="CO2612" s="717"/>
      <c r="CP2612" s="717"/>
      <c r="CQ2612" s="717"/>
      <c r="CR2612" s="717"/>
      <c r="CS2612" s="717"/>
      <c r="CT2612" s="717"/>
      <c r="CU2612" s="717"/>
      <c r="CV2612" s="717"/>
      <c r="CW2612" s="717"/>
      <c r="CX2612" s="717"/>
      <c r="CY2612" s="717"/>
      <c r="CZ2612" s="717"/>
      <c r="DA2612" s="717"/>
      <c r="DB2612" s="717"/>
      <c r="DC2612" s="717"/>
      <c r="DD2612" s="717"/>
      <c r="DE2612" s="717"/>
      <c r="DF2612" s="717"/>
      <c r="DG2612" s="717"/>
      <c r="DH2612" s="717"/>
      <c r="DI2612" s="717"/>
      <c r="DJ2612" s="717"/>
      <c r="DM2612" s="711"/>
      <c r="DN2612" s="711"/>
      <c r="DO2612" s="711"/>
      <c r="DP2612" s="711"/>
      <c r="DQ2612" s="711"/>
    </row>
    <row r="2613" spans="13:121" s="709" customFormat="1" hidden="1">
      <c r="M2613" s="710"/>
      <c r="P2613" s="711"/>
      <c r="Q2613" s="712"/>
      <c r="U2613" s="711"/>
      <c r="V2613" s="711"/>
      <c r="W2613" s="711"/>
      <c r="X2613" s="711"/>
      <c r="Y2613" s="711"/>
      <c r="Z2613" s="711"/>
      <c r="AU2613" s="713"/>
      <c r="AW2613" s="712"/>
      <c r="BY2613" s="714"/>
      <c r="BZ2613" s="715"/>
      <c r="CA2613" s="716"/>
      <c r="CB2613" s="717"/>
      <c r="CC2613" s="717"/>
      <c r="CD2613" s="717"/>
      <c r="CE2613" s="717"/>
      <c r="CF2613" s="717"/>
      <c r="CG2613" s="717"/>
      <c r="CH2613" s="717"/>
      <c r="CI2613" s="717"/>
      <c r="CJ2613" s="717"/>
      <c r="CK2613" s="717"/>
      <c r="CL2613" s="717"/>
      <c r="CM2613" s="717"/>
      <c r="CN2613" s="717"/>
      <c r="CO2613" s="717"/>
      <c r="CP2613" s="717"/>
      <c r="CQ2613" s="717"/>
      <c r="CR2613" s="717"/>
      <c r="CS2613" s="717"/>
      <c r="CT2613" s="717"/>
      <c r="CU2613" s="717"/>
      <c r="CV2613" s="717"/>
      <c r="CW2613" s="717"/>
      <c r="CX2613" s="717"/>
      <c r="CY2613" s="717"/>
      <c r="CZ2613" s="717"/>
      <c r="DA2613" s="717"/>
      <c r="DB2613" s="717"/>
      <c r="DC2613" s="717"/>
      <c r="DD2613" s="717"/>
      <c r="DE2613" s="717"/>
      <c r="DF2613" s="717"/>
      <c r="DG2613" s="717"/>
      <c r="DH2613" s="717"/>
      <c r="DI2613" s="717"/>
      <c r="DJ2613" s="717"/>
      <c r="DM2613" s="711"/>
      <c r="DN2613" s="711"/>
      <c r="DO2613" s="711"/>
      <c r="DP2613" s="711"/>
      <c r="DQ2613" s="711"/>
    </row>
    <row r="2614" spans="13:121" s="709" customFormat="1" hidden="1">
      <c r="M2614" s="710"/>
      <c r="P2614" s="711"/>
      <c r="Q2614" s="712"/>
      <c r="U2614" s="711"/>
      <c r="V2614" s="711"/>
      <c r="W2614" s="711"/>
      <c r="X2614" s="711"/>
      <c r="Y2614" s="711"/>
      <c r="Z2614" s="711"/>
      <c r="AU2614" s="713"/>
      <c r="AW2614" s="712"/>
      <c r="BY2614" s="714"/>
      <c r="BZ2614" s="715"/>
      <c r="CA2614" s="716"/>
      <c r="CB2614" s="717"/>
      <c r="CC2614" s="717"/>
      <c r="CD2614" s="717"/>
      <c r="CE2614" s="717"/>
      <c r="CF2614" s="717"/>
      <c r="CG2614" s="717"/>
      <c r="CH2614" s="717"/>
      <c r="CI2614" s="717"/>
      <c r="CJ2614" s="717"/>
      <c r="CK2614" s="717"/>
      <c r="CL2614" s="717"/>
      <c r="CM2614" s="717"/>
      <c r="CN2614" s="717"/>
      <c r="CO2614" s="717"/>
      <c r="CP2614" s="717"/>
      <c r="CQ2614" s="717"/>
      <c r="CR2614" s="717"/>
      <c r="CS2614" s="717"/>
      <c r="CT2614" s="717"/>
      <c r="CU2614" s="717"/>
      <c r="CV2614" s="717"/>
      <c r="CW2614" s="717"/>
      <c r="CX2614" s="717"/>
      <c r="CY2614" s="717"/>
      <c r="CZ2614" s="717"/>
      <c r="DA2614" s="717"/>
      <c r="DB2614" s="717"/>
      <c r="DC2614" s="717"/>
      <c r="DD2614" s="717"/>
      <c r="DE2614" s="717"/>
      <c r="DF2614" s="717"/>
      <c r="DG2614" s="717"/>
      <c r="DH2614" s="717"/>
      <c r="DI2614" s="717"/>
      <c r="DJ2614" s="717"/>
      <c r="DM2614" s="711"/>
      <c r="DN2614" s="711"/>
      <c r="DO2614" s="711"/>
      <c r="DP2614" s="711"/>
      <c r="DQ2614" s="711"/>
    </row>
    <row r="2615" spans="13:121" s="709" customFormat="1" hidden="1">
      <c r="M2615" s="710"/>
      <c r="P2615" s="711"/>
      <c r="Q2615" s="712"/>
      <c r="U2615" s="711"/>
      <c r="V2615" s="711"/>
      <c r="W2615" s="711"/>
      <c r="X2615" s="711"/>
      <c r="Y2615" s="711"/>
      <c r="Z2615" s="711"/>
      <c r="AU2615" s="713"/>
      <c r="AW2615" s="712"/>
      <c r="BY2615" s="714"/>
      <c r="BZ2615" s="715"/>
      <c r="CA2615" s="716"/>
      <c r="CB2615" s="717"/>
      <c r="CC2615" s="717"/>
      <c r="CD2615" s="717"/>
      <c r="CE2615" s="717"/>
      <c r="CF2615" s="717"/>
      <c r="CG2615" s="717"/>
      <c r="CH2615" s="717"/>
      <c r="CI2615" s="717"/>
      <c r="CJ2615" s="717"/>
      <c r="CK2615" s="717"/>
      <c r="CL2615" s="717"/>
      <c r="CM2615" s="717"/>
      <c r="CN2615" s="717"/>
      <c r="CO2615" s="717"/>
      <c r="CP2615" s="717"/>
      <c r="CQ2615" s="717"/>
      <c r="CR2615" s="717"/>
      <c r="CS2615" s="717"/>
      <c r="CT2615" s="717"/>
      <c r="CU2615" s="717"/>
      <c r="CV2615" s="717"/>
      <c r="CW2615" s="717"/>
      <c r="CX2615" s="717"/>
      <c r="CY2615" s="717"/>
      <c r="CZ2615" s="717"/>
      <c r="DA2615" s="717"/>
      <c r="DB2615" s="717"/>
      <c r="DC2615" s="717"/>
      <c r="DD2615" s="717"/>
      <c r="DE2615" s="717"/>
      <c r="DF2615" s="717"/>
      <c r="DG2615" s="717"/>
      <c r="DH2615" s="717"/>
      <c r="DI2615" s="717"/>
      <c r="DJ2615" s="717"/>
      <c r="DM2615" s="711"/>
      <c r="DN2615" s="711"/>
      <c r="DO2615" s="711"/>
      <c r="DP2615" s="711"/>
      <c r="DQ2615" s="711"/>
    </row>
    <row r="2616" spans="13:121" s="709" customFormat="1" hidden="1">
      <c r="M2616" s="710"/>
      <c r="P2616" s="711"/>
      <c r="Q2616" s="712"/>
      <c r="U2616" s="711"/>
      <c r="V2616" s="711"/>
      <c r="W2616" s="711"/>
      <c r="X2616" s="711"/>
      <c r="Y2616" s="711"/>
      <c r="Z2616" s="711"/>
      <c r="AU2616" s="713"/>
      <c r="AW2616" s="712"/>
      <c r="BY2616" s="714"/>
      <c r="BZ2616" s="715"/>
      <c r="CA2616" s="716"/>
      <c r="CB2616" s="717"/>
      <c r="CC2616" s="717"/>
      <c r="CD2616" s="717"/>
      <c r="CE2616" s="717"/>
      <c r="CF2616" s="717"/>
      <c r="CG2616" s="717"/>
      <c r="CH2616" s="717"/>
      <c r="CI2616" s="717"/>
      <c r="CJ2616" s="717"/>
      <c r="CK2616" s="717"/>
      <c r="CL2616" s="717"/>
      <c r="CM2616" s="717"/>
      <c r="CN2616" s="717"/>
      <c r="CO2616" s="717"/>
      <c r="CP2616" s="717"/>
      <c r="CQ2616" s="717"/>
      <c r="CR2616" s="717"/>
      <c r="CS2616" s="717"/>
      <c r="CT2616" s="717"/>
      <c r="CU2616" s="717"/>
      <c r="CV2616" s="717"/>
      <c r="CW2616" s="717"/>
      <c r="CX2616" s="717"/>
      <c r="CY2616" s="717"/>
      <c r="CZ2616" s="717"/>
      <c r="DA2616" s="717"/>
      <c r="DB2616" s="717"/>
      <c r="DC2616" s="717"/>
      <c r="DD2616" s="717"/>
      <c r="DE2616" s="717"/>
      <c r="DF2616" s="717"/>
      <c r="DG2616" s="717"/>
      <c r="DH2616" s="717"/>
      <c r="DI2616" s="717"/>
      <c r="DJ2616" s="717"/>
      <c r="DM2616" s="711"/>
      <c r="DN2616" s="711"/>
      <c r="DO2616" s="711"/>
      <c r="DP2616" s="711"/>
      <c r="DQ2616" s="711"/>
    </row>
    <row r="2617" spans="13:121" s="709" customFormat="1" hidden="1">
      <c r="M2617" s="710"/>
      <c r="P2617" s="711"/>
      <c r="Q2617" s="712"/>
      <c r="U2617" s="711"/>
      <c r="V2617" s="711"/>
      <c r="W2617" s="711"/>
      <c r="X2617" s="711"/>
      <c r="Y2617" s="711"/>
      <c r="Z2617" s="711"/>
      <c r="AU2617" s="713"/>
      <c r="AW2617" s="712"/>
      <c r="BY2617" s="714"/>
      <c r="BZ2617" s="715"/>
      <c r="CA2617" s="716"/>
      <c r="CB2617" s="717"/>
      <c r="CC2617" s="717"/>
      <c r="CD2617" s="717"/>
      <c r="CE2617" s="717"/>
      <c r="CF2617" s="717"/>
      <c r="CG2617" s="717"/>
      <c r="CH2617" s="717"/>
      <c r="CI2617" s="717"/>
      <c r="CJ2617" s="717"/>
      <c r="CK2617" s="717"/>
      <c r="CL2617" s="717"/>
      <c r="CM2617" s="717"/>
      <c r="CN2617" s="717"/>
      <c r="CO2617" s="717"/>
      <c r="CP2617" s="717"/>
      <c r="CQ2617" s="717"/>
      <c r="CR2617" s="717"/>
      <c r="CS2617" s="717"/>
      <c r="CT2617" s="717"/>
      <c r="CU2617" s="717"/>
      <c r="CV2617" s="717"/>
      <c r="CW2617" s="717"/>
      <c r="CX2617" s="717"/>
      <c r="CY2617" s="717"/>
      <c r="CZ2617" s="717"/>
      <c r="DA2617" s="717"/>
      <c r="DB2617" s="717"/>
      <c r="DC2617" s="717"/>
      <c r="DD2617" s="717"/>
      <c r="DE2617" s="717"/>
      <c r="DF2617" s="717"/>
      <c r="DG2617" s="717"/>
      <c r="DH2617" s="717"/>
      <c r="DI2617" s="717"/>
      <c r="DJ2617" s="717"/>
      <c r="DM2617" s="711"/>
      <c r="DN2617" s="711"/>
      <c r="DO2617" s="711"/>
      <c r="DP2617" s="711"/>
      <c r="DQ2617" s="711"/>
    </row>
    <row r="2618" spans="13:121" s="709" customFormat="1" hidden="1">
      <c r="M2618" s="710"/>
      <c r="P2618" s="711"/>
      <c r="Q2618" s="712"/>
      <c r="U2618" s="711"/>
      <c r="V2618" s="711"/>
      <c r="W2618" s="711"/>
      <c r="X2618" s="711"/>
      <c r="Y2618" s="711"/>
      <c r="Z2618" s="711"/>
      <c r="AU2618" s="713"/>
      <c r="AW2618" s="712"/>
      <c r="BY2618" s="714"/>
      <c r="BZ2618" s="715"/>
      <c r="CA2618" s="716"/>
      <c r="CB2618" s="717"/>
      <c r="CC2618" s="717"/>
      <c r="CD2618" s="717"/>
      <c r="CE2618" s="717"/>
      <c r="CF2618" s="717"/>
      <c r="CG2618" s="717"/>
      <c r="CH2618" s="717"/>
      <c r="CI2618" s="717"/>
      <c r="CJ2618" s="717"/>
      <c r="CK2618" s="717"/>
      <c r="CL2618" s="717"/>
      <c r="CM2618" s="717"/>
      <c r="CN2618" s="717"/>
      <c r="CO2618" s="717"/>
      <c r="CP2618" s="717"/>
      <c r="CQ2618" s="717"/>
      <c r="CR2618" s="717"/>
      <c r="CS2618" s="717"/>
      <c r="CT2618" s="717"/>
      <c r="CU2618" s="717"/>
      <c r="CV2618" s="717"/>
      <c r="CW2618" s="717"/>
      <c r="CX2618" s="717"/>
      <c r="CY2618" s="717"/>
      <c r="CZ2618" s="717"/>
      <c r="DA2618" s="717"/>
      <c r="DB2618" s="717"/>
      <c r="DC2618" s="717"/>
      <c r="DD2618" s="717"/>
      <c r="DE2618" s="717"/>
      <c r="DF2618" s="717"/>
      <c r="DG2618" s="717"/>
      <c r="DH2618" s="717"/>
      <c r="DI2618" s="717"/>
      <c r="DJ2618" s="717"/>
      <c r="DM2618" s="711"/>
      <c r="DN2618" s="711"/>
      <c r="DO2618" s="711"/>
      <c r="DP2618" s="711"/>
      <c r="DQ2618" s="711"/>
    </row>
    <row r="2619" spans="13:121" s="709" customFormat="1" hidden="1">
      <c r="M2619" s="710"/>
      <c r="P2619" s="711"/>
      <c r="Q2619" s="712"/>
      <c r="U2619" s="711"/>
      <c r="V2619" s="711"/>
      <c r="W2619" s="711"/>
      <c r="X2619" s="711"/>
      <c r="Y2619" s="711"/>
      <c r="Z2619" s="711"/>
      <c r="AU2619" s="713"/>
      <c r="AW2619" s="712"/>
      <c r="BY2619" s="714"/>
      <c r="BZ2619" s="715"/>
      <c r="CA2619" s="716"/>
      <c r="CB2619" s="717"/>
      <c r="CC2619" s="717"/>
      <c r="CD2619" s="717"/>
      <c r="CE2619" s="717"/>
      <c r="CF2619" s="717"/>
      <c r="CG2619" s="717"/>
      <c r="CH2619" s="717"/>
      <c r="CI2619" s="717"/>
      <c r="CJ2619" s="717"/>
      <c r="CK2619" s="717"/>
      <c r="CL2619" s="717"/>
      <c r="CM2619" s="717"/>
      <c r="CN2619" s="717"/>
      <c r="CO2619" s="717"/>
      <c r="CP2619" s="717"/>
      <c r="CQ2619" s="717"/>
      <c r="CR2619" s="717"/>
      <c r="CS2619" s="717"/>
      <c r="CT2619" s="717"/>
      <c r="CU2619" s="717"/>
      <c r="CV2619" s="717"/>
      <c r="CW2619" s="717"/>
      <c r="CX2619" s="717"/>
      <c r="CY2619" s="717"/>
      <c r="CZ2619" s="717"/>
      <c r="DA2619" s="717"/>
      <c r="DB2619" s="717"/>
      <c r="DC2619" s="717"/>
      <c r="DD2619" s="717"/>
      <c r="DE2619" s="717"/>
      <c r="DF2619" s="717"/>
      <c r="DG2619" s="717"/>
      <c r="DH2619" s="717"/>
      <c r="DI2619" s="717"/>
      <c r="DJ2619" s="717"/>
      <c r="DM2619" s="711"/>
      <c r="DN2619" s="711"/>
      <c r="DO2619" s="711"/>
      <c r="DP2619" s="711"/>
      <c r="DQ2619" s="711"/>
    </row>
    <row r="2620" spans="13:121" s="709" customFormat="1" hidden="1">
      <c r="M2620" s="710"/>
      <c r="P2620" s="711"/>
      <c r="Q2620" s="712"/>
      <c r="U2620" s="711"/>
      <c r="V2620" s="711"/>
      <c r="W2620" s="711"/>
      <c r="X2620" s="711"/>
      <c r="Y2620" s="711"/>
      <c r="Z2620" s="711"/>
      <c r="AU2620" s="713"/>
      <c r="AW2620" s="712"/>
      <c r="BY2620" s="714"/>
      <c r="BZ2620" s="715"/>
      <c r="CA2620" s="716"/>
      <c r="CB2620" s="717"/>
      <c r="CC2620" s="717"/>
      <c r="CD2620" s="717"/>
      <c r="CE2620" s="717"/>
      <c r="CF2620" s="717"/>
      <c r="CG2620" s="717"/>
      <c r="CH2620" s="717"/>
      <c r="CI2620" s="717"/>
      <c r="CJ2620" s="717"/>
      <c r="CK2620" s="717"/>
      <c r="CL2620" s="717"/>
      <c r="CM2620" s="717"/>
      <c r="CN2620" s="717"/>
      <c r="CO2620" s="717"/>
      <c r="CP2620" s="717"/>
      <c r="CQ2620" s="717"/>
      <c r="CR2620" s="717"/>
      <c r="CS2620" s="717"/>
      <c r="CT2620" s="717"/>
      <c r="CU2620" s="717"/>
      <c r="CV2620" s="717"/>
      <c r="CW2620" s="717"/>
      <c r="CX2620" s="717"/>
      <c r="CY2620" s="717"/>
      <c r="CZ2620" s="717"/>
      <c r="DA2620" s="717"/>
      <c r="DB2620" s="717"/>
      <c r="DC2620" s="717"/>
      <c r="DD2620" s="717"/>
      <c r="DE2620" s="717"/>
      <c r="DF2620" s="717"/>
      <c r="DG2620" s="717"/>
      <c r="DH2620" s="717"/>
      <c r="DI2620" s="717"/>
      <c r="DJ2620" s="717"/>
      <c r="DM2620" s="711"/>
      <c r="DN2620" s="711"/>
      <c r="DO2620" s="711"/>
      <c r="DP2620" s="711"/>
      <c r="DQ2620" s="711"/>
    </row>
    <row r="2621" spans="13:121" s="709" customFormat="1" hidden="1">
      <c r="M2621" s="710"/>
      <c r="P2621" s="711"/>
      <c r="Q2621" s="712"/>
      <c r="U2621" s="711"/>
      <c r="V2621" s="711"/>
      <c r="W2621" s="711"/>
      <c r="X2621" s="711"/>
      <c r="Y2621" s="711"/>
      <c r="Z2621" s="711"/>
      <c r="AU2621" s="713"/>
      <c r="AW2621" s="712"/>
      <c r="BY2621" s="714"/>
      <c r="BZ2621" s="715"/>
      <c r="CA2621" s="716"/>
      <c r="CB2621" s="717"/>
      <c r="CC2621" s="717"/>
      <c r="CD2621" s="717"/>
      <c r="CE2621" s="717"/>
      <c r="CF2621" s="717"/>
      <c r="CG2621" s="717"/>
      <c r="CH2621" s="717"/>
      <c r="CI2621" s="717"/>
      <c r="CJ2621" s="717"/>
      <c r="CK2621" s="717"/>
      <c r="CL2621" s="717"/>
      <c r="CM2621" s="717"/>
      <c r="CN2621" s="717"/>
      <c r="CO2621" s="717"/>
      <c r="CP2621" s="717"/>
      <c r="CQ2621" s="717"/>
      <c r="CR2621" s="717"/>
      <c r="CS2621" s="717"/>
      <c r="CT2621" s="717"/>
      <c r="CU2621" s="717"/>
      <c r="CV2621" s="717"/>
      <c r="CW2621" s="717"/>
      <c r="CX2621" s="717"/>
      <c r="CY2621" s="717"/>
      <c r="CZ2621" s="717"/>
      <c r="DA2621" s="717"/>
      <c r="DB2621" s="717"/>
      <c r="DC2621" s="717"/>
      <c r="DD2621" s="717"/>
      <c r="DE2621" s="717"/>
      <c r="DF2621" s="717"/>
      <c r="DG2621" s="717"/>
      <c r="DH2621" s="717"/>
      <c r="DI2621" s="717"/>
      <c r="DJ2621" s="717"/>
      <c r="DM2621" s="711"/>
      <c r="DN2621" s="711"/>
      <c r="DO2621" s="711"/>
      <c r="DP2621" s="711"/>
      <c r="DQ2621" s="711"/>
    </row>
    <row r="2622" spans="13:121" s="709" customFormat="1" hidden="1">
      <c r="M2622" s="710"/>
      <c r="P2622" s="711"/>
      <c r="Q2622" s="712"/>
      <c r="U2622" s="711"/>
      <c r="V2622" s="711"/>
      <c r="W2622" s="711"/>
      <c r="X2622" s="711"/>
      <c r="Y2622" s="711"/>
      <c r="Z2622" s="711"/>
      <c r="AU2622" s="713"/>
      <c r="AW2622" s="712"/>
      <c r="BY2622" s="714"/>
      <c r="BZ2622" s="715"/>
      <c r="CA2622" s="716"/>
      <c r="CB2622" s="717"/>
      <c r="CC2622" s="717"/>
      <c r="CD2622" s="717"/>
      <c r="CE2622" s="717"/>
      <c r="CF2622" s="717"/>
      <c r="CG2622" s="717"/>
      <c r="CH2622" s="717"/>
      <c r="CI2622" s="717"/>
      <c r="CJ2622" s="717"/>
      <c r="CK2622" s="717"/>
      <c r="CL2622" s="717"/>
      <c r="CM2622" s="717"/>
      <c r="CN2622" s="717"/>
      <c r="CO2622" s="717"/>
      <c r="CP2622" s="717"/>
      <c r="CQ2622" s="717"/>
      <c r="CR2622" s="717"/>
      <c r="CS2622" s="717"/>
      <c r="CT2622" s="717"/>
      <c r="CU2622" s="717"/>
      <c r="CV2622" s="717"/>
      <c r="CW2622" s="717"/>
      <c r="CX2622" s="717"/>
      <c r="CY2622" s="717"/>
      <c r="CZ2622" s="717"/>
      <c r="DA2622" s="717"/>
      <c r="DB2622" s="717"/>
      <c r="DC2622" s="717"/>
      <c r="DD2622" s="717"/>
      <c r="DE2622" s="717"/>
      <c r="DF2622" s="717"/>
      <c r="DG2622" s="717"/>
      <c r="DH2622" s="717"/>
      <c r="DI2622" s="717"/>
      <c r="DJ2622" s="717"/>
      <c r="DM2622" s="711"/>
      <c r="DN2622" s="711"/>
      <c r="DO2622" s="711"/>
      <c r="DP2622" s="711"/>
      <c r="DQ2622" s="711"/>
    </row>
    <row r="2623" spans="13:121" s="709" customFormat="1" hidden="1">
      <c r="M2623" s="710"/>
      <c r="P2623" s="711"/>
      <c r="Q2623" s="712"/>
      <c r="U2623" s="711"/>
      <c r="V2623" s="711"/>
      <c r="W2623" s="711"/>
      <c r="X2623" s="711"/>
      <c r="Y2623" s="711"/>
      <c r="Z2623" s="711"/>
      <c r="AU2623" s="713"/>
      <c r="AW2623" s="712"/>
      <c r="BY2623" s="714"/>
      <c r="BZ2623" s="715"/>
      <c r="CA2623" s="716"/>
      <c r="CB2623" s="717"/>
      <c r="CC2623" s="717"/>
      <c r="CD2623" s="717"/>
      <c r="CE2623" s="717"/>
      <c r="CF2623" s="717"/>
      <c r="CG2623" s="717"/>
      <c r="CH2623" s="717"/>
      <c r="CI2623" s="717"/>
      <c r="CJ2623" s="717"/>
      <c r="CK2623" s="717"/>
      <c r="CL2623" s="717"/>
      <c r="CM2623" s="717"/>
      <c r="CN2623" s="717"/>
      <c r="CO2623" s="717"/>
      <c r="CP2623" s="717"/>
      <c r="CQ2623" s="717"/>
      <c r="CR2623" s="717"/>
      <c r="CS2623" s="717"/>
      <c r="CT2623" s="717"/>
      <c r="CU2623" s="717"/>
      <c r="CV2623" s="717"/>
      <c r="CW2623" s="717"/>
      <c r="CX2623" s="717"/>
      <c r="CY2623" s="717"/>
      <c r="CZ2623" s="717"/>
      <c r="DA2623" s="717"/>
      <c r="DB2623" s="717"/>
      <c r="DC2623" s="717"/>
      <c r="DD2623" s="717"/>
      <c r="DE2623" s="717"/>
      <c r="DF2623" s="717"/>
      <c r="DG2623" s="717"/>
      <c r="DH2623" s="717"/>
      <c r="DI2623" s="717"/>
      <c r="DJ2623" s="717"/>
      <c r="DM2623" s="711"/>
      <c r="DN2623" s="711"/>
      <c r="DO2623" s="711"/>
      <c r="DP2623" s="711"/>
      <c r="DQ2623" s="711"/>
    </row>
    <row r="2624" spans="13:121" s="709" customFormat="1" hidden="1">
      <c r="M2624" s="710"/>
      <c r="P2624" s="711"/>
      <c r="Q2624" s="712"/>
      <c r="U2624" s="711"/>
      <c r="V2624" s="711"/>
      <c r="W2624" s="711"/>
      <c r="X2624" s="711"/>
      <c r="Y2624" s="711"/>
      <c r="Z2624" s="711"/>
      <c r="AU2624" s="713"/>
      <c r="AW2624" s="712"/>
      <c r="BY2624" s="714"/>
      <c r="BZ2624" s="715"/>
      <c r="CA2624" s="716"/>
      <c r="CB2624" s="717"/>
      <c r="CC2624" s="717"/>
      <c r="CD2624" s="717"/>
      <c r="CE2624" s="717"/>
      <c r="CF2624" s="717"/>
      <c r="CG2624" s="717"/>
      <c r="CH2624" s="717"/>
      <c r="CI2624" s="717"/>
      <c r="CJ2624" s="717"/>
      <c r="CK2624" s="717"/>
      <c r="CL2624" s="717"/>
      <c r="CM2624" s="717"/>
      <c r="CN2624" s="717"/>
      <c r="CO2624" s="717"/>
      <c r="CP2624" s="717"/>
      <c r="CQ2624" s="717"/>
      <c r="CR2624" s="717"/>
      <c r="CS2624" s="717"/>
      <c r="CT2624" s="717"/>
      <c r="CU2624" s="717"/>
      <c r="CV2624" s="717"/>
      <c r="CW2624" s="717"/>
      <c r="CX2624" s="717"/>
      <c r="CY2624" s="717"/>
      <c r="CZ2624" s="717"/>
      <c r="DA2624" s="717"/>
      <c r="DB2624" s="717"/>
      <c r="DC2624" s="717"/>
      <c r="DD2624" s="717"/>
      <c r="DE2624" s="717"/>
      <c r="DF2624" s="717"/>
      <c r="DG2624" s="717"/>
      <c r="DH2624" s="717"/>
      <c r="DI2624" s="717"/>
      <c r="DJ2624" s="717"/>
      <c r="DM2624" s="711"/>
      <c r="DN2624" s="711"/>
      <c r="DO2624" s="711"/>
      <c r="DP2624" s="711"/>
      <c r="DQ2624" s="711"/>
    </row>
    <row r="2625" spans="13:121" s="709" customFormat="1" hidden="1">
      <c r="M2625" s="710"/>
      <c r="P2625" s="711"/>
      <c r="Q2625" s="712"/>
      <c r="U2625" s="711"/>
      <c r="V2625" s="711"/>
      <c r="W2625" s="711"/>
      <c r="X2625" s="711"/>
      <c r="Y2625" s="711"/>
      <c r="Z2625" s="711"/>
      <c r="AU2625" s="713"/>
      <c r="AW2625" s="712"/>
      <c r="BY2625" s="714"/>
      <c r="BZ2625" s="715"/>
      <c r="CA2625" s="716"/>
      <c r="CB2625" s="717"/>
      <c r="CC2625" s="717"/>
      <c r="CD2625" s="717"/>
      <c r="CE2625" s="717"/>
      <c r="CF2625" s="717"/>
      <c r="CG2625" s="717"/>
      <c r="CH2625" s="717"/>
      <c r="CI2625" s="717"/>
      <c r="CJ2625" s="717"/>
      <c r="CK2625" s="717"/>
      <c r="CL2625" s="717"/>
      <c r="CM2625" s="717"/>
      <c r="CN2625" s="717"/>
      <c r="CO2625" s="717"/>
      <c r="CP2625" s="717"/>
      <c r="CQ2625" s="717"/>
      <c r="CR2625" s="717"/>
      <c r="CS2625" s="717"/>
      <c r="CT2625" s="717"/>
      <c r="CU2625" s="717"/>
      <c r="CV2625" s="717"/>
      <c r="CW2625" s="717"/>
      <c r="CX2625" s="717"/>
      <c r="CY2625" s="717"/>
      <c r="CZ2625" s="717"/>
      <c r="DA2625" s="717"/>
      <c r="DB2625" s="717"/>
      <c r="DC2625" s="717"/>
      <c r="DD2625" s="717"/>
      <c r="DE2625" s="717"/>
      <c r="DF2625" s="717"/>
      <c r="DG2625" s="717"/>
      <c r="DH2625" s="717"/>
      <c r="DI2625" s="717"/>
      <c r="DJ2625" s="717"/>
      <c r="DM2625" s="711"/>
      <c r="DN2625" s="711"/>
      <c r="DO2625" s="711"/>
      <c r="DP2625" s="711"/>
      <c r="DQ2625" s="711"/>
    </row>
    <row r="2626" spans="13:121" s="709" customFormat="1" hidden="1">
      <c r="M2626" s="710"/>
      <c r="P2626" s="711"/>
      <c r="Q2626" s="712"/>
      <c r="U2626" s="711"/>
      <c r="V2626" s="711"/>
      <c r="W2626" s="711"/>
      <c r="X2626" s="711"/>
      <c r="Y2626" s="711"/>
      <c r="Z2626" s="711"/>
      <c r="AU2626" s="713"/>
      <c r="AW2626" s="712"/>
      <c r="BY2626" s="714"/>
      <c r="BZ2626" s="715"/>
      <c r="CA2626" s="716"/>
      <c r="CB2626" s="717"/>
      <c r="CC2626" s="717"/>
      <c r="CD2626" s="717"/>
      <c r="CE2626" s="717"/>
      <c r="CF2626" s="717"/>
      <c r="CG2626" s="717"/>
      <c r="CH2626" s="717"/>
      <c r="CI2626" s="717"/>
      <c r="CJ2626" s="717"/>
      <c r="CK2626" s="717"/>
      <c r="CL2626" s="717"/>
      <c r="CM2626" s="717"/>
      <c r="CN2626" s="717"/>
      <c r="CO2626" s="717"/>
      <c r="CP2626" s="717"/>
      <c r="CQ2626" s="717"/>
      <c r="CR2626" s="717"/>
      <c r="CS2626" s="717"/>
      <c r="CT2626" s="717"/>
      <c r="CU2626" s="717"/>
      <c r="CV2626" s="717"/>
      <c r="CW2626" s="717"/>
      <c r="CX2626" s="717"/>
      <c r="CY2626" s="717"/>
      <c r="CZ2626" s="717"/>
      <c r="DA2626" s="717"/>
      <c r="DB2626" s="717"/>
      <c r="DC2626" s="717"/>
      <c r="DD2626" s="717"/>
      <c r="DE2626" s="717"/>
      <c r="DF2626" s="717"/>
      <c r="DG2626" s="717"/>
      <c r="DH2626" s="717"/>
      <c r="DI2626" s="717"/>
      <c r="DJ2626" s="717"/>
      <c r="DM2626" s="711"/>
      <c r="DN2626" s="711"/>
      <c r="DO2626" s="711"/>
      <c r="DP2626" s="711"/>
      <c r="DQ2626" s="711"/>
    </row>
    <row r="2627" spans="13:121" s="709" customFormat="1" hidden="1">
      <c r="M2627" s="710"/>
      <c r="P2627" s="711"/>
      <c r="Q2627" s="712"/>
      <c r="U2627" s="711"/>
      <c r="V2627" s="711"/>
      <c r="W2627" s="711"/>
      <c r="X2627" s="711"/>
      <c r="Y2627" s="711"/>
      <c r="Z2627" s="711"/>
      <c r="AU2627" s="713"/>
      <c r="AW2627" s="712"/>
      <c r="BY2627" s="714"/>
      <c r="BZ2627" s="715"/>
      <c r="CA2627" s="716"/>
      <c r="CB2627" s="717"/>
      <c r="CC2627" s="717"/>
      <c r="CD2627" s="717"/>
      <c r="CE2627" s="717"/>
      <c r="CF2627" s="717"/>
      <c r="CG2627" s="717"/>
      <c r="CH2627" s="717"/>
      <c r="CI2627" s="717"/>
      <c r="CJ2627" s="717"/>
      <c r="CK2627" s="717"/>
      <c r="CL2627" s="717"/>
      <c r="CM2627" s="717"/>
      <c r="CN2627" s="717"/>
      <c r="CO2627" s="717"/>
      <c r="CP2627" s="717"/>
      <c r="CQ2627" s="717"/>
      <c r="CR2627" s="717"/>
      <c r="CS2627" s="717"/>
      <c r="CT2627" s="717"/>
      <c r="CU2627" s="717"/>
      <c r="CV2627" s="717"/>
      <c r="CW2627" s="717"/>
      <c r="CX2627" s="717"/>
      <c r="CY2627" s="717"/>
      <c r="CZ2627" s="717"/>
      <c r="DA2627" s="717"/>
      <c r="DB2627" s="717"/>
      <c r="DC2627" s="717"/>
      <c r="DD2627" s="717"/>
      <c r="DE2627" s="717"/>
      <c r="DF2627" s="717"/>
      <c r="DG2627" s="717"/>
      <c r="DH2627" s="717"/>
      <c r="DI2627" s="717"/>
      <c r="DJ2627" s="717"/>
      <c r="DM2627" s="711"/>
      <c r="DN2627" s="711"/>
      <c r="DO2627" s="711"/>
      <c r="DP2627" s="711"/>
      <c r="DQ2627" s="711"/>
    </row>
    <row r="2628" spans="13:121" s="709" customFormat="1" hidden="1">
      <c r="M2628" s="710"/>
      <c r="P2628" s="711"/>
      <c r="Q2628" s="712"/>
      <c r="U2628" s="711"/>
      <c r="V2628" s="711"/>
      <c r="W2628" s="711"/>
      <c r="X2628" s="711"/>
      <c r="Y2628" s="711"/>
      <c r="Z2628" s="711"/>
      <c r="AU2628" s="713"/>
      <c r="AW2628" s="712"/>
      <c r="BY2628" s="714"/>
      <c r="BZ2628" s="715"/>
      <c r="CA2628" s="716"/>
      <c r="CB2628" s="717"/>
      <c r="CC2628" s="717"/>
      <c r="CD2628" s="717"/>
      <c r="CE2628" s="717"/>
      <c r="CF2628" s="717"/>
      <c r="CG2628" s="717"/>
      <c r="CH2628" s="717"/>
      <c r="CI2628" s="717"/>
      <c r="CJ2628" s="717"/>
      <c r="CK2628" s="717"/>
      <c r="CL2628" s="717"/>
      <c r="CM2628" s="717"/>
      <c r="CN2628" s="717"/>
      <c r="CO2628" s="717"/>
      <c r="CP2628" s="717"/>
      <c r="CQ2628" s="717"/>
      <c r="CR2628" s="717"/>
      <c r="CS2628" s="717"/>
      <c r="CT2628" s="717"/>
      <c r="CU2628" s="717"/>
      <c r="CV2628" s="717"/>
      <c r="CW2628" s="717"/>
      <c r="CX2628" s="717"/>
      <c r="CY2628" s="717"/>
      <c r="CZ2628" s="717"/>
      <c r="DA2628" s="717"/>
      <c r="DB2628" s="717"/>
      <c r="DC2628" s="717"/>
      <c r="DD2628" s="717"/>
      <c r="DE2628" s="717"/>
      <c r="DF2628" s="717"/>
      <c r="DG2628" s="717"/>
      <c r="DH2628" s="717"/>
      <c r="DI2628" s="717"/>
      <c r="DJ2628" s="717"/>
      <c r="DM2628" s="711"/>
      <c r="DN2628" s="711"/>
      <c r="DO2628" s="711"/>
      <c r="DP2628" s="711"/>
      <c r="DQ2628" s="711"/>
    </row>
    <row r="2629" spans="13:121" s="709" customFormat="1" hidden="1">
      <c r="M2629" s="710"/>
      <c r="P2629" s="711"/>
      <c r="Q2629" s="712"/>
      <c r="U2629" s="711"/>
      <c r="V2629" s="711"/>
      <c r="W2629" s="711"/>
      <c r="X2629" s="711"/>
      <c r="Y2629" s="711"/>
      <c r="Z2629" s="711"/>
      <c r="AU2629" s="713"/>
      <c r="AW2629" s="712"/>
      <c r="BY2629" s="714"/>
      <c r="BZ2629" s="715"/>
      <c r="CA2629" s="716"/>
      <c r="CB2629" s="717"/>
      <c r="CC2629" s="717"/>
      <c r="CD2629" s="717"/>
      <c r="CE2629" s="717"/>
      <c r="CF2629" s="717"/>
      <c r="CG2629" s="717"/>
      <c r="CH2629" s="717"/>
      <c r="CI2629" s="717"/>
      <c r="CJ2629" s="717"/>
      <c r="CK2629" s="717"/>
      <c r="CL2629" s="717"/>
      <c r="CM2629" s="717"/>
      <c r="CN2629" s="717"/>
      <c r="CO2629" s="717"/>
      <c r="CP2629" s="717"/>
      <c r="CQ2629" s="717"/>
      <c r="CR2629" s="717"/>
      <c r="CS2629" s="717"/>
      <c r="CT2629" s="717"/>
      <c r="CU2629" s="717"/>
      <c r="CV2629" s="717"/>
      <c r="CW2629" s="717"/>
      <c r="CX2629" s="717"/>
      <c r="CY2629" s="717"/>
      <c r="CZ2629" s="717"/>
      <c r="DA2629" s="717"/>
      <c r="DB2629" s="717"/>
      <c r="DC2629" s="717"/>
      <c r="DD2629" s="717"/>
      <c r="DE2629" s="717"/>
      <c r="DF2629" s="717"/>
      <c r="DG2629" s="717"/>
      <c r="DH2629" s="717"/>
      <c r="DI2629" s="717"/>
      <c r="DJ2629" s="717"/>
      <c r="DM2629" s="711"/>
      <c r="DN2629" s="711"/>
      <c r="DO2629" s="711"/>
      <c r="DP2629" s="711"/>
      <c r="DQ2629" s="711"/>
    </row>
    <row r="2630" spans="13:121" s="709" customFormat="1" hidden="1">
      <c r="M2630" s="710"/>
      <c r="P2630" s="711"/>
      <c r="Q2630" s="712"/>
      <c r="U2630" s="711"/>
      <c r="V2630" s="711"/>
      <c r="W2630" s="711"/>
      <c r="X2630" s="711"/>
      <c r="Y2630" s="711"/>
      <c r="Z2630" s="711"/>
      <c r="AU2630" s="713"/>
      <c r="AW2630" s="712"/>
      <c r="BY2630" s="714"/>
      <c r="BZ2630" s="715"/>
      <c r="CA2630" s="716"/>
      <c r="CB2630" s="717"/>
      <c r="CC2630" s="717"/>
      <c r="CD2630" s="717"/>
      <c r="CE2630" s="717"/>
      <c r="CF2630" s="717"/>
      <c r="CG2630" s="717"/>
      <c r="CH2630" s="717"/>
      <c r="CI2630" s="717"/>
      <c r="CJ2630" s="717"/>
      <c r="CK2630" s="717"/>
      <c r="CL2630" s="717"/>
      <c r="CM2630" s="717"/>
      <c r="CN2630" s="717"/>
      <c r="CO2630" s="717"/>
      <c r="CP2630" s="717"/>
      <c r="CQ2630" s="717"/>
      <c r="CR2630" s="717"/>
      <c r="CS2630" s="717"/>
      <c r="CT2630" s="717"/>
      <c r="CU2630" s="717"/>
      <c r="CV2630" s="717"/>
      <c r="CW2630" s="717"/>
      <c r="CX2630" s="717"/>
      <c r="CY2630" s="717"/>
      <c r="CZ2630" s="717"/>
      <c r="DA2630" s="717"/>
      <c r="DB2630" s="717"/>
      <c r="DC2630" s="717"/>
      <c r="DD2630" s="717"/>
      <c r="DE2630" s="717"/>
      <c r="DF2630" s="717"/>
      <c r="DG2630" s="717"/>
      <c r="DH2630" s="717"/>
      <c r="DI2630" s="717"/>
      <c r="DJ2630" s="717"/>
      <c r="DM2630" s="711"/>
      <c r="DN2630" s="711"/>
      <c r="DO2630" s="711"/>
      <c r="DP2630" s="711"/>
      <c r="DQ2630" s="711"/>
    </row>
    <row r="2631" spans="13:121" s="709" customFormat="1" hidden="1">
      <c r="M2631" s="710"/>
      <c r="P2631" s="711"/>
      <c r="Q2631" s="712"/>
      <c r="U2631" s="711"/>
      <c r="V2631" s="711"/>
      <c r="W2631" s="711"/>
      <c r="X2631" s="711"/>
      <c r="Y2631" s="711"/>
      <c r="Z2631" s="711"/>
      <c r="AU2631" s="713"/>
      <c r="AW2631" s="712"/>
      <c r="BY2631" s="714"/>
      <c r="BZ2631" s="715"/>
      <c r="CA2631" s="716"/>
      <c r="CB2631" s="717"/>
      <c r="CC2631" s="717"/>
      <c r="CD2631" s="717"/>
      <c r="CE2631" s="717"/>
      <c r="CF2631" s="717"/>
      <c r="CG2631" s="717"/>
      <c r="CH2631" s="717"/>
      <c r="CI2631" s="717"/>
      <c r="CJ2631" s="717"/>
      <c r="CK2631" s="717"/>
      <c r="CL2631" s="717"/>
      <c r="CM2631" s="717"/>
      <c r="CN2631" s="717"/>
      <c r="CO2631" s="717"/>
      <c r="CP2631" s="717"/>
      <c r="CQ2631" s="717"/>
      <c r="CR2631" s="717"/>
      <c r="CS2631" s="717"/>
      <c r="CT2631" s="717"/>
      <c r="CU2631" s="717"/>
      <c r="CV2631" s="717"/>
      <c r="CW2631" s="717"/>
      <c r="CX2631" s="717"/>
      <c r="CY2631" s="717"/>
      <c r="CZ2631" s="717"/>
      <c r="DA2631" s="717"/>
      <c r="DB2631" s="717"/>
      <c r="DC2631" s="717"/>
      <c r="DD2631" s="717"/>
      <c r="DE2631" s="717"/>
      <c r="DF2631" s="717"/>
      <c r="DG2631" s="717"/>
      <c r="DH2631" s="717"/>
      <c r="DI2631" s="717"/>
      <c r="DJ2631" s="717"/>
      <c r="DM2631" s="711"/>
      <c r="DN2631" s="711"/>
      <c r="DO2631" s="711"/>
      <c r="DP2631" s="711"/>
      <c r="DQ2631" s="711"/>
    </row>
    <row r="2632" spans="13:121" s="709" customFormat="1" hidden="1">
      <c r="M2632" s="710"/>
      <c r="P2632" s="711"/>
      <c r="Q2632" s="712"/>
      <c r="U2632" s="711"/>
      <c r="V2632" s="711"/>
      <c r="W2632" s="711"/>
      <c r="X2632" s="711"/>
      <c r="Y2632" s="711"/>
      <c r="Z2632" s="711"/>
      <c r="AU2632" s="713"/>
      <c r="AW2632" s="712"/>
      <c r="BY2632" s="714"/>
      <c r="BZ2632" s="715"/>
      <c r="CA2632" s="716"/>
      <c r="CB2632" s="717"/>
      <c r="CC2632" s="717"/>
      <c r="CD2632" s="717"/>
      <c r="CE2632" s="717"/>
      <c r="CF2632" s="717"/>
      <c r="CG2632" s="717"/>
      <c r="CH2632" s="717"/>
      <c r="CI2632" s="717"/>
      <c r="CJ2632" s="717"/>
      <c r="CK2632" s="717"/>
      <c r="CL2632" s="717"/>
      <c r="CM2632" s="717"/>
      <c r="CN2632" s="717"/>
      <c r="CO2632" s="717"/>
      <c r="CP2632" s="717"/>
      <c r="CQ2632" s="717"/>
      <c r="CR2632" s="717"/>
      <c r="CS2632" s="717"/>
      <c r="CT2632" s="717"/>
      <c r="CU2632" s="717"/>
      <c r="CV2632" s="717"/>
      <c r="CW2632" s="717"/>
      <c r="CX2632" s="717"/>
      <c r="CY2632" s="717"/>
      <c r="CZ2632" s="717"/>
      <c r="DA2632" s="717"/>
      <c r="DB2632" s="717"/>
      <c r="DC2632" s="717"/>
      <c r="DD2632" s="717"/>
      <c r="DE2632" s="717"/>
      <c r="DF2632" s="717"/>
      <c r="DG2632" s="717"/>
      <c r="DH2632" s="717"/>
      <c r="DI2632" s="717"/>
      <c r="DJ2632" s="717"/>
      <c r="DM2632" s="711"/>
      <c r="DN2632" s="711"/>
      <c r="DO2632" s="711"/>
      <c r="DP2632" s="711"/>
      <c r="DQ2632" s="711"/>
    </row>
    <row r="2633" spans="13:121" s="709" customFormat="1" hidden="1">
      <c r="M2633" s="710"/>
      <c r="P2633" s="711"/>
      <c r="Q2633" s="712"/>
      <c r="U2633" s="711"/>
      <c r="V2633" s="711"/>
      <c r="W2633" s="711"/>
      <c r="X2633" s="711"/>
      <c r="Y2633" s="711"/>
      <c r="Z2633" s="711"/>
      <c r="AU2633" s="713"/>
      <c r="AW2633" s="712"/>
      <c r="BY2633" s="714"/>
      <c r="BZ2633" s="715"/>
      <c r="CA2633" s="716"/>
      <c r="CB2633" s="717"/>
      <c r="CC2633" s="717"/>
      <c r="CD2633" s="717"/>
      <c r="CE2633" s="717"/>
      <c r="CF2633" s="717"/>
      <c r="CG2633" s="717"/>
      <c r="CH2633" s="717"/>
      <c r="CI2633" s="717"/>
      <c r="CJ2633" s="717"/>
      <c r="CK2633" s="717"/>
      <c r="CL2633" s="717"/>
      <c r="CM2633" s="717"/>
      <c r="CN2633" s="717"/>
      <c r="CO2633" s="717"/>
      <c r="CP2633" s="717"/>
      <c r="CQ2633" s="717"/>
      <c r="CR2633" s="717"/>
      <c r="CS2633" s="717"/>
      <c r="CT2633" s="717"/>
      <c r="CU2633" s="717"/>
      <c r="CV2633" s="717"/>
      <c r="CW2633" s="717"/>
      <c r="CX2633" s="717"/>
      <c r="CY2633" s="717"/>
      <c r="CZ2633" s="717"/>
      <c r="DA2633" s="717"/>
      <c r="DB2633" s="717"/>
      <c r="DC2633" s="717"/>
      <c r="DD2633" s="717"/>
      <c r="DE2633" s="717"/>
      <c r="DF2633" s="717"/>
      <c r="DG2633" s="717"/>
      <c r="DH2633" s="717"/>
      <c r="DI2633" s="717"/>
      <c r="DJ2633" s="717"/>
      <c r="DM2633" s="711"/>
      <c r="DN2633" s="711"/>
      <c r="DO2633" s="711"/>
      <c r="DP2633" s="711"/>
      <c r="DQ2633" s="711"/>
    </row>
    <row r="2634" spans="13:121" s="709" customFormat="1" hidden="1">
      <c r="M2634" s="710"/>
      <c r="P2634" s="711"/>
      <c r="Q2634" s="712"/>
      <c r="U2634" s="711"/>
      <c r="V2634" s="711"/>
      <c r="W2634" s="711"/>
      <c r="X2634" s="711"/>
      <c r="Y2634" s="711"/>
      <c r="Z2634" s="711"/>
      <c r="AU2634" s="713"/>
      <c r="AW2634" s="712"/>
      <c r="BY2634" s="714"/>
      <c r="BZ2634" s="715"/>
      <c r="CA2634" s="716"/>
      <c r="CB2634" s="717"/>
      <c r="CC2634" s="717"/>
      <c r="CD2634" s="717"/>
      <c r="CE2634" s="717"/>
      <c r="CF2634" s="717"/>
      <c r="CG2634" s="717"/>
      <c r="CH2634" s="717"/>
      <c r="CI2634" s="717"/>
      <c r="CJ2634" s="717"/>
      <c r="CK2634" s="717"/>
      <c r="CL2634" s="717"/>
      <c r="CM2634" s="717"/>
      <c r="CN2634" s="717"/>
      <c r="CO2634" s="717"/>
      <c r="CP2634" s="717"/>
      <c r="CQ2634" s="717"/>
      <c r="CR2634" s="717"/>
      <c r="CS2634" s="717"/>
      <c r="CT2634" s="717"/>
      <c r="CU2634" s="717"/>
      <c r="CV2634" s="717"/>
      <c r="CW2634" s="717"/>
      <c r="CX2634" s="717"/>
      <c r="CY2634" s="717"/>
      <c r="CZ2634" s="717"/>
      <c r="DA2634" s="717"/>
      <c r="DB2634" s="717"/>
      <c r="DC2634" s="717"/>
      <c r="DD2634" s="717"/>
      <c r="DE2634" s="717"/>
      <c r="DF2634" s="717"/>
      <c r="DG2634" s="717"/>
      <c r="DH2634" s="717"/>
      <c r="DI2634" s="717"/>
      <c r="DJ2634" s="717"/>
      <c r="DM2634" s="711"/>
      <c r="DN2634" s="711"/>
      <c r="DO2634" s="711"/>
      <c r="DP2634" s="711"/>
      <c r="DQ2634" s="711"/>
    </row>
    <row r="2635" spans="13:121" s="709" customFormat="1" hidden="1">
      <c r="M2635" s="710"/>
      <c r="P2635" s="711"/>
      <c r="Q2635" s="712"/>
      <c r="U2635" s="711"/>
      <c r="V2635" s="711"/>
      <c r="W2635" s="711"/>
      <c r="X2635" s="711"/>
      <c r="Y2635" s="711"/>
      <c r="Z2635" s="711"/>
      <c r="AU2635" s="713"/>
      <c r="AW2635" s="712"/>
      <c r="BY2635" s="714"/>
      <c r="BZ2635" s="715"/>
      <c r="CA2635" s="716"/>
      <c r="CB2635" s="717"/>
      <c r="CC2635" s="717"/>
      <c r="CD2635" s="717"/>
      <c r="CE2635" s="717"/>
      <c r="CF2635" s="717"/>
      <c r="CG2635" s="717"/>
      <c r="CH2635" s="717"/>
      <c r="CI2635" s="717"/>
      <c r="CJ2635" s="717"/>
      <c r="CK2635" s="717"/>
      <c r="CL2635" s="717"/>
      <c r="CM2635" s="717"/>
      <c r="CN2635" s="717"/>
      <c r="CO2635" s="717"/>
      <c r="CP2635" s="717"/>
      <c r="CQ2635" s="717"/>
      <c r="CR2635" s="717"/>
      <c r="CS2635" s="717"/>
      <c r="CT2635" s="717"/>
      <c r="CU2635" s="717"/>
      <c r="CV2635" s="717"/>
      <c r="CW2635" s="717"/>
      <c r="CX2635" s="717"/>
      <c r="CY2635" s="717"/>
      <c r="CZ2635" s="717"/>
      <c r="DA2635" s="717"/>
      <c r="DB2635" s="717"/>
      <c r="DC2635" s="717"/>
      <c r="DD2635" s="717"/>
      <c r="DE2635" s="717"/>
      <c r="DF2635" s="717"/>
      <c r="DG2635" s="717"/>
      <c r="DH2635" s="717"/>
      <c r="DI2635" s="717"/>
      <c r="DJ2635" s="717"/>
      <c r="DM2635" s="711"/>
      <c r="DN2635" s="711"/>
      <c r="DO2635" s="711"/>
      <c r="DP2635" s="711"/>
      <c r="DQ2635" s="711"/>
    </row>
    <row r="2636" spans="13:121" s="709" customFormat="1" hidden="1">
      <c r="M2636" s="710"/>
      <c r="P2636" s="711"/>
      <c r="Q2636" s="712"/>
      <c r="U2636" s="711"/>
      <c r="V2636" s="711"/>
      <c r="W2636" s="711"/>
      <c r="X2636" s="711"/>
      <c r="Y2636" s="711"/>
      <c r="Z2636" s="711"/>
      <c r="AU2636" s="713"/>
      <c r="AW2636" s="712"/>
      <c r="BY2636" s="714"/>
      <c r="BZ2636" s="715"/>
      <c r="CA2636" s="716"/>
      <c r="CB2636" s="717"/>
      <c r="CC2636" s="717"/>
      <c r="CD2636" s="717"/>
      <c r="CE2636" s="717"/>
      <c r="CF2636" s="717"/>
      <c r="CG2636" s="717"/>
      <c r="CH2636" s="717"/>
      <c r="CI2636" s="717"/>
      <c r="CJ2636" s="717"/>
      <c r="CK2636" s="717"/>
      <c r="CL2636" s="717"/>
      <c r="CM2636" s="717"/>
      <c r="CN2636" s="717"/>
      <c r="CO2636" s="717"/>
      <c r="CP2636" s="717"/>
      <c r="CQ2636" s="717"/>
      <c r="CR2636" s="717"/>
      <c r="CS2636" s="717"/>
      <c r="CT2636" s="717"/>
      <c r="CU2636" s="717"/>
      <c r="CV2636" s="717"/>
      <c r="CW2636" s="717"/>
      <c r="CX2636" s="717"/>
      <c r="CY2636" s="717"/>
      <c r="CZ2636" s="717"/>
      <c r="DA2636" s="717"/>
      <c r="DB2636" s="717"/>
      <c r="DC2636" s="717"/>
      <c r="DD2636" s="717"/>
      <c r="DE2636" s="717"/>
      <c r="DF2636" s="717"/>
      <c r="DG2636" s="717"/>
      <c r="DH2636" s="717"/>
      <c r="DI2636" s="717"/>
      <c r="DJ2636" s="717"/>
      <c r="DM2636" s="711"/>
      <c r="DN2636" s="711"/>
      <c r="DO2636" s="711"/>
      <c r="DP2636" s="711"/>
      <c r="DQ2636" s="711"/>
    </row>
    <row r="2637" spans="13:121" s="709" customFormat="1" hidden="1">
      <c r="M2637" s="710"/>
      <c r="P2637" s="711"/>
      <c r="Q2637" s="712"/>
      <c r="U2637" s="711"/>
      <c r="V2637" s="711"/>
      <c r="W2637" s="711"/>
      <c r="X2637" s="711"/>
      <c r="Y2637" s="711"/>
      <c r="Z2637" s="711"/>
      <c r="AU2637" s="713"/>
      <c r="AW2637" s="712"/>
      <c r="BY2637" s="714"/>
      <c r="BZ2637" s="715"/>
      <c r="CA2637" s="716"/>
      <c r="CB2637" s="717"/>
      <c r="CC2637" s="717"/>
      <c r="CD2637" s="717"/>
      <c r="CE2637" s="717"/>
      <c r="CF2637" s="717"/>
      <c r="CG2637" s="717"/>
      <c r="CH2637" s="717"/>
      <c r="CI2637" s="717"/>
      <c r="CJ2637" s="717"/>
      <c r="CK2637" s="717"/>
      <c r="CL2637" s="717"/>
      <c r="CM2637" s="717"/>
      <c r="CN2637" s="717"/>
      <c r="CO2637" s="717"/>
      <c r="CP2637" s="717"/>
      <c r="CQ2637" s="717"/>
      <c r="CR2637" s="717"/>
      <c r="CS2637" s="717"/>
      <c r="CT2637" s="717"/>
      <c r="CU2637" s="717"/>
      <c r="CV2637" s="717"/>
      <c r="CW2637" s="717"/>
      <c r="CX2637" s="717"/>
      <c r="CY2637" s="717"/>
      <c r="CZ2637" s="717"/>
      <c r="DA2637" s="717"/>
      <c r="DB2637" s="717"/>
      <c r="DC2637" s="717"/>
      <c r="DD2637" s="717"/>
      <c r="DE2637" s="717"/>
      <c r="DF2637" s="717"/>
      <c r="DG2637" s="717"/>
      <c r="DH2637" s="717"/>
      <c r="DI2637" s="717"/>
      <c r="DJ2637" s="717"/>
      <c r="DM2637" s="711"/>
      <c r="DN2637" s="711"/>
      <c r="DO2637" s="711"/>
      <c r="DP2637" s="711"/>
      <c r="DQ2637" s="711"/>
    </row>
    <row r="2638" spans="13:121" s="709" customFormat="1" hidden="1">
      <c r="M2638" s="710"/>
      <c r="P2638" s="711"/>
      <c r="Q2638" s="712"/>
      <c r="U2638" s="711"/>
      <c r="V2638" s="711"/>
      <c r="W2638" s="711"/>
      <c r="X2638" s="711"/>
      <c r="Y2638" s="711"/>
      <c r="Z2638" s="711"/>
      <c r="AU2638" s="713"/>
      <c r="AW2638" s="712"/>
      <c r="BY2638" s="714"/>
      <c r="BZ2638" s="715"/>
      <c r="CA2638" s="716"/>
      <c r="CB2638" s="717"/>
      <c r="CC2638" s="717"/>
      <c r="CD2638" s="717"/>
      <c r="CE2638" s="717"/>
      <c r="CF2638" s="717"/>
      <c r="CG2638" s="717"/>
      <c r="CH2638" s="717"/>
      <c r="CI2638" s="717"/>
      <c r="CJ2638" s="717"/>
      <c r="CK2638" s="717"/>
      <c r="CL2638" s="717"/>
      <c r="CM2638" s="717"/>
      <c r="CN2638" s="717"/>
      <c r="CO2638" s="717"/>
      <c r="CP2638" s="717"/>
      <c r="CQ2638" s="717"/>
      <c r="CR2638" s="717"/>
      <c r="CS2638" s="717"/>
      <c r="CT2638" s="717"/>
      <c r="CU2638" s="717"/>
      <c r="CV2638" s="717"/>
      <c r="CW2638" s="717"/>
      <c r="CX2638" s="717"/>
      <c r="CY2638" s="717"/>
      <c r="CZ2638" s="717"/>
      <c r="DA2638" s="717"/>
      <c r="DB2638" s="717"/>
      <c r="DC2638" s="717"/>
      <c r="DD2638" s="717"/>
      <c r="DE2638" s="717"/>
      <c r="DF2638" s="717"/>
      <c r="DG2638" s="717"/>
      <c r="DH2638" s="717"/>
      <c r="DI2638" s="717"/>
      <c r="DJ2638" s="717"/>
      <c r="DM2638" s="711"/>
      <c r="DN2638" s="711"/>
      <c r="DO2638" s="711"/>
      <c r="DP2638" s="711"/>
      <c r="DQ2638" s="711"/>
    </row>
    <row r="2639" spans="13:121" s="709" customFormat="1" hidden="1">
      <c r="M2639" s="710"/>
      <c r="P2639" s="711"/>
      <c r="Q2639" s="712"/>
      <c r="U2639" s="711"/>
      <c r="V2639" s="711"/>
      <c r="W2639" s="711"/>
      <c r="X2639" s="711"/>
      <c r="Y2639" s="711"/>
      <c r="Z2639" s="711"/>
      <c r="AU2639" s="713"/>
      <c r="AW2639" s="712"/>
      <c r="BY2639" s="714"/>
      <c r="BZ2639" s="715"/>
      <c r="CA2639" s="716"/>
      <c r="CB2639" s="717"/>
      <c r="CC2639" s="717"/>
      <c r="CD2639" s="717"/>
      <c r="CE2639" s="717"/>
      <c r="CF2639" s="717"/>
      <c r="CG2639" s="717"/>
      <c r="CH2639" s="717"/>
      <c r="CI2639" s="717"/>
      <c r="CJ2639" s="717"/>
      <c r="CK2639" s="717"/>
      <c r="CL2639" s="717"/>
      <c r="CM2639" s="717"/>
      <c r="CN2639" s="717"/>
      <c r="CO2639" s="717"/>
      <c r="CP2639" s="717"/>
      <c r="CQ2639" s="717"/>
      <c r="CR2639" s="717"/>
      <c r="CS2639" s="717"/>
      <c r="CT2639" s="717"/>
      <c r="CU2639" s="717"/>
      <c r="CV2639" s="717"/>
      <c r="CW2639" s="717"/>
      <c r="CX2639" s="717"/>
      <c r="CY2639" s="717"/>
      <c r="CZ2639" s="717"/>
      <c r="DA2639" s="717"/>
      <c r="DB2639" s="717"/>
      <c r="DC2639" s="717"/>
      <c r="DD2639" s="717"/>
      <c r="DE2639" s="717"/>
      <c r="DF2639" s="717"/>
      <c r="DG2639" s="717"/>
      <c r="DH2639" s="717"/>
      <c r="DI2639" s="717"/>
      <c r="DJ2639" s="717"/>
      <c r="DM2639" s="711"/>
      <c r="DN2639" s="711"/>
      <c r="DO2639" s="711"/>
      <c r="DP2639" s="711"/>
      <c r="DQ2639" s="711"/>
    </row>
    <row r="2640" spans="13:121" s="709" customFormat="1" hidden="1">
      <c r="M2640" s="710"/>
      <c r="P2640" s="711"/>
      <c r="Q2640" s="712"/>
      <c r="U2640" s="711"/>
      <c r="V2640" s="711"/>
      <c r="W2640" s="711"/>
      <c r="X2640" s="711"/>
      <c r="Y2640" s="711"/>
      <c r="Z2640" s="711"/>
      <c r="AU2640" s="713"/>
      <c r="AW2640" s="712"/>
      <c r="BY2640" s="714"/>
      <c r="BZ2640" s="715"/>
      <c r="CA2640" s="716"/>
      <c r="CB2640" s="717"/>
      <c r="CC2640" s="717"/>
      <c r="CD2640" s="717"/>
      <c r="CE2640" s="717"/>
      <c r="CF2640" s="717"/>
      <c r="CG2640" s="717"/>
      <c r="CH2640" s="717"/>
      <c r="CI2640" s="717"/>
      <c r="CJ2640" s="717"/>
      <c r="CK2640" s="717"/>
      <c r="CL2640" s="717"/>
      <c r="CM2640" s="717"/>
      <c r="CN2640" s="717"/>
      <c r="CO2640" s="717"/>
      <c r="CP2640" s="717"/>
      <c r="CQ2640" s="717"/>
      <c r="CR2640" s="717"/>
      <c r="CS2640" s="717"/>
      <c r="CT2640" s="717"/>
      <c r="CU2640" s="717"/>
      <c r="CV2640" s="717"/>
      <c r="CW2640" s="717"/>
      <c r="CX2640" s="717"/>
      <c r="CY2640" s="717"/>
      <c r="CZ2640" s="717"/>
      <c r="DA2640" s="717"/>
      <c r="DB2640" s="717"/>
      <c r="DC2640" s="717"/>
      <c r="DD2640" s="717"/>
      <c r="DE2640" s="717"/>
      <c r="DF2640" s="717"/>
      <c r="DG2640" s="717"/>
      <c r="DH2640" s="717"/>
      <c r="DI2640" s="717"/>
      <c r="DJ2640" s="717"/>
      <c r="DM2640" s="711"/>
      <c r="DN2640" s="711"/>
      <c r="DO2640" s="711"/>
      <c r="DP2640" s="711"/>
      <c r="DQ2640" s="711"/>
    </row>
    <row r="2641" spans="13:121" s="709" customFormat="1" hidden="1">
      <c r="M2641" s="710"/>
      <c r="P2641" s="711"/>
      <c r="Q2641" s="712"/>
      <c r="U2641" s="711"/>
      <c r="V2641" s="711"/>
      <c r="W2641" s="711"/>
      <c r="X2641" s="711"/>
      <c r="Y2641" s="711"/>
      <c r="Z2641" s="711"/>
      <c r="AU2641" s="713"/>
      <c r="AW2641" s="712"/>
      <c r="BY2641" s="714"/>
      <c r="BZ2641" s="715"/>
      <c r="CA2641" s="716"/>
      <c r="CB2641" s="717"/>
      <c r="CC2641" s="717"/>
      <c r="CD2641" s="717"/>
      <c r="CE2641" s="717"/>
      <c r="CF2641" s="717"/>
      <c r="CG2641" s="717"/>
      <c r="CH2641" s="717"/>
      <c r="CI2641" s="717"/>
      <c r="CJ2641" s="717"/>
      <c r="CK2641" s="717"/>
      <c r="CL2641" s="717"/>
      <c r="CM2641" s="717"/>
      <c r="CN2641" s="717"/>
      <c r="CO2641" s="717"/>
      <c r="CP2641" s="717"/>
      <c r="CQ2641" s="717"/>
      <c r="CR2641" s="717"/>
      <c r="CS2641" s="717"/>
      <c r="CT2641" s="717"/>
      <c r="CU2641" s="717"/>
      <c r="CV2641" s="717"/>
      <c r="CW2641" s="717"/>
      <c r="CX2641" s="717"/>
      <c r="CY2641" s="717"/>
      <c r="CZ2641" s="717"/>
      <c r="DA2641" s="717"/>
      <c r="DB2641" s="717"/>
      <c r="DC2641" s="717"/>
      <c r="DD2641" s="717"/>
      <c r="DE2641" s="717"/>
      <c r="DF2641" s="717"/>
      <c r="DG2641" s="717"/>
      <c r="DH2641" s="717"/>
      <c r="DI2641" s="717"/>
      <c r="DJ2641" s="717"/>
      <c r="DM2641" s="711"/>
      <c r="DN2641" s="711"/>
      <c r="DO2641" s="711"/>
      <c r="DP2641" s="711"/>
      <c r="DQ2641" s="711"/>
    </row>
    <row r="2642" spans="13:121" s="709" customFormat="1" hidden="1">
      <c r="M2642" s="710"/>
      <c r="P2642" s="711"/>
      <c r="Q2642" s="712"/>
      <c r="U2642" s="711"/>
      <c r="V2642" s="711"/>
      <c r="W2642" s="711"/>
      <c r="X2642" s="711"/>
      <c r="Y2642" s="711"/>
      <c r="Z2642" s="711"/>
      <c r="AU2642" s="713"/>
      <c r="AW2642" s="712"/>
      <c r="BY2642" s="714"/>
      <c r="BZ2642" s="715"/>
      <c r="CA2642" s="716"/>
      <c r="CB2642" s="717"/>
      <c r="CC2642" s="717"/>
      <c r="CD2642" s="717"/>
      <c r="CE2642" s="717"/>
      <c r="CF2642" s="717"/>
      <c r="CG2642" s="717"/>
      <c r="CH2642" s="717"/>
      <c r="CI2642" s="717"/>
      <c r="CJ2642" s="717"/>
      <c r="CK2642" s="717"/>
      <c r="CL2642" s="717"/>
      <c r="CM2642" s="717"/>
      <c r="CN2642" s="717"/>
      <c r="CO2642" s="717"/>
      <c r="CP2642" s="717"/>
      <c r="CQ2642" s="717"/>
      <c r="CR2642" s="717"/>
      <c r="CS2642" s="717"/>
      <c r="CT2642" s="717"/>
      <c r="CU2642" s="717"/>
      <c r="CV2642" s="717"/>
      <c r="CW2642" s="717"/>
      <c r="CX2642" s="717"/>
      <c r="CY2642" s="717"/>
      <c r="CZ2642" s="717"/>
      <c r="DA2642" s="717"/>
      <c r="DB2642" s="717"/>
      <c r="DC2642" s="717"/>
      <c r="DD2642" s="717"/>
      <c r="DE2642" s="717"/>
      <c r="DF2642" s="717"/>
      <c r="DG2642" s="717"/>
      <c r="DH2642" s="717"/>
      <c r="DI2642" s="717"/>
      <c r="DJ2642" s="717"/>
      <c r="DM2642" s="711"/>
      <c r="DN2642" s="711"/>
      <c r="DO2642" s="711"/>
      <c r="DP2642" s="711"/>
      <c r="DQ2642" s="711"/>
    </row>
    <row r="2643" spans="13:121" s="709" customFormat="1" hidden="1">
      <c r="M2643" s="710"/>
      <c r="P2643" s="711"/>
      <c r="Q2643" s="712"/>
      <c r="U2643" s="711"/>
      <c r="V2643" s="711"/>
      <c r="W2643" s="711"/>
      <c r="X2643" s="711"/>
      <c r="Y2643" s="711"/>
      <c r="Z2643" s="711"/>
      <c r="AU2643" s="713"/>
      <c r="AW2643" s="712"/>
      <c r="BY2643" s="714"/>
      <c r="BZ2643" s="715"/>
      <c r="CA2643" s="716"/>
      <c r="CB2643" s="717"/>
      <c r="CC2643" s="717"/>
      <c r="CD2643" s="717"/>
      <c r="CE2643" s="717"/>
      <c r="CF2643" s="717"/>
      <c r="CG2643" s="717"/>
      <c r="CH2643" s="717"/>
      <c r="CI2643" s="717"/>
      <c r="CJ2643" s="717"/>
      <c r="CK2643" s="717"/>
      <c r="CL2643" s="717"/>
      <c r="CM2643" s="717"/>
      <c r="CN2643" s="717"/>
      <c r="CO2643" s="717"/>
      <c r="CP2643" s="717"/>
      <c r="CQ2643" s="717"/>
      <c r="CR2643" s="717"/>
      <c r="CS2643" s="717"/>
      <c r="CT2643" s="717"/>
      <c r="CU2643" s="717"/>
      <c r="CV2643" s="717"/>
      <c r="CW2643" s="717"/>
      <c r="CX2643" s="717"/>
      <c r="CY2643" s="717"/>
      <c r="CZ2643" s="717"/>
      <c r="DA2643" s="717"/>
      <c r="DB2643" s="717"/>
      <c r="DC2643" s="717"/>
      <c r="DD2643" s="717"/>
      <c r="DE2643" s="717"/>
      <c r="DF2643" s="717"/>
      <c r="DG2643" s="717"/>
      <c r="DH2643" s="717"/>
      <c r="DI2643" s="717"/>
      <c r="DJ2643" s="717"/>
      <c r="DM2643" s="711"/>
      <c r="DN2643" s="711"/>
      <c r="DO2643" s="711"/>
      <c r="DP2643" s="711"/>
      <c r="DQ2643" s="711"/>
    </row>
    <row r="2644" spans="13:121" s="709" customFormat="1" hidden="1">
      <c r="M2644" s="710"/>
      <c r="P2644" s="711"/>
      <c r="Q2644" s="712"/>
      <c r="U2644" s="711"/>
      <c r="V2644" s="711"/>
      <c r="W2644" s="711"/>
      <c r="X2644" s="711"/>
      <c r="Y2644" s="711"/>
      <c r="Z2644" s="711"/>
      <c r="AU2644" s="713"/>
      <c r="AW2644" s="712"/>
      <c r="BY2644" s="714"/>
      <c r="BZ2644" s="715"/>
      <c r="CA2644" s="716"/>
      <c r="CB2644" s="717"/>
      <c r="CC2644" s="717"/>
      <c r="CD2644" s="717"/>
      <c r="CE2644" s="717"/>
      <c r="CF2644" s="717"/>
      <c r="CG2644" s="717"/>
      <c r="CH2644" s="717"/>
      <c r="CI2644" s="717"/>
      <c r="CJ2644" s="717"/>
      <c r="CK2644" s="717"/>
      <c r="CL2644" s="717"/>
      <c r="CM2644" s="717"/>
      <c r="CN2644" s="717"/>
      <c r="CO2644" s="717"/>
      <c r="CP2644" s="717"/>
      <c r="CQ2644" s="717"/>
      <c r="CR2644" s="717"/>
      <c r="CS2644" s="717"/>
      <c r="CT2644" s="717"/>
      <c r="CU2644" s="717"/>
      <c r="CV2644" s="717"/>
      <c r="CW2644" s="717"/>
      <c r="CX2644" s="717"/>
      <c r="CY2644" s="717"/>
      <c r="CZ2644" s="717"/>
      <c r="DA2644" s="717"/>
      <c r="DB2644" s="717"/>
      <c r="DC2644" s="717"/>
      <c r="DD2644" s="717"/>
      <c r="DE2644" s="717"/>
      <c r="DF2644" s="717"/>
      <c r="DG2644" s="717"/>
      <c r="DH2644" s="717"/>
      <c r="DI2644" s="717"/>
      <c r="DJ2644" s="717"/>
      <c r="DM2644" s="711"/>
      <c r="DN2644" s="711"/>
      <c r="DO2644" s="711"/>
      <c r="DP2644" s="711"/>
      <c r="DQ2644" s="711"/>
    </row>
    <row r="2645" spans="13:121" s="709" customFormat="1" hidden="1">
      <c r="M2645" s="710"/>
      <c r="P2645" s="711"/>
      <c r="Q2645" s="712"/>
      <c r="U2645" s="711"/>
      <c r="V2645" s="711"/>
      <c r="W2645" s="711"/>
      <c r="X2645" s="711"/>
      <c r="Y2645" s="711"/>
      <c r="Z2645" s="711"/>
      <c r="AU2645" s="713"/>
      <c r="AW2645" s="712"/>
      <c r="BY2645" s="714"/>
      <c r="BZ2645" s="715"/>
      <c r="CA2645" s="716"/>
      <c r="CB2645" s="717"/>
      <c r="CC2645" s="717"/>
      <c r="CD2645" s="717"/>
      <c r="CE2645" s="717"/>
      <c r="CF2645" s="717"/>
      <c r="CG2645" s="717"/>
      <c r="CH2645" s="717"/>
      <c r="CI2645" s="717"/>
      <c r="CJ2645" s="717"/>
      <c r="CK2645" s="717"/>
      <c r="CL2645" s="717"/>
      <c r="CM2645" s="717"/>
      <c r="CN2645" s="717"/>
      <c r="CO2645" s="717"/>
      <c r="CP2645" s="717"/>
      <c r="CQ2645" s="717"/>
      <c r="CR2645" s="717"/>
      <c r="CS2645" s="717"/>
      <c r="CT2645" s="717"/>
      <c r="CU2645" s="717"/>
      <c r="CV2645" s="717"/>
      <c r="CW2645" s="717"/>
      <c r="CX2645" s="717"/>
      <c r="CY2645" s="717"/>
      <c r="CZ2645" s="717"/>
      <c r="DA2645" s="717"/>
      <c r="DB2645" s="717"/>
      <c r="DC2645" s="717"/>
      <c r="DD2645" s="717"/>
      <c r="DE2645" s="717"/>
      <c r="DF2645" s="717"/>
      <c r="DG2645" s="717"/>
      <c r="DH2645" s="717"/>
      <c r="DI2645" s="717"/>
      <c r="DJ2645" s="717"/>
      <c r="DM2645" s="711"/>
      <c r="DN2645" s="711"/>
      <c r="DO2645" s="711"/>
      <c r="DP2645" s="711"/>
      <c r="DQ2645" s="711"/>
    </row>
    <row r="2646" spans="13:121" s="709" customFormat="1" hidden="1">
      <c r="M2646" s="710"/>
      <c r="P2646" s="711"/>
      <c r="Q2646" s="712"/>
      <c r="U2646" s="711"/>
      <c r="V2646" s="711"/>
      <c r="W2646" s="711"/>
      <c r="X2646" s="711"/>
      <c r="Y2646" s="711"/>
      <c r="Z2646" s="711"/>
      <c r="AU2646" s="713"/>
      <c r="AW2646" s="712"/>
      <c r="BY2646" s="714"/>
      <c r="BZ2646" s="715"/>
      <c r="CA2646" s="716"/>
      <c r="CB2646" s="717"/>
      <c r="CC2646" s="717"/>
      <c r="CD2646" s="717"/>
      <c r="CE2646" s="717"/>
      <c r="CF2646" s="717"/>
      <c r="CG2646" s="717"/>
      <c r="CH2646" s="717"/>
      <c r="CI2646" s="717"/>
      <c r="CJ2646" s="717"/>
      <c r="CK2646" s="717"/>
      <c r="CL2646" s="717"/>
      <c r="CM2646" s="717"/>
      <c r="CN2646" s="717"/>
      <c r="CO2646" s="717"/>
      <c r="CP2646" s="717"/>
      <c r="CQ2646" s="717"/>
      <c r="CR2646" s="717"/>
      <c r="CS2646" s="717"/>
      <c r="CT2646" s="717"/>
      <c r="CU2646" s="717"/>
      <c r="CV2646" s="717"/>
      <c r="CW2646" s="717"/>
      <c r="CX2646" s="717"/>
      <c r="CY2646" s="717"/>
      <c r="CZ2646" s="717"/>
      <c r="DA2646" s="717"/>
      <c r="DB2646" s="717"/>
      <c r="DC2646" s="717"/>
      <c r="DD2646" s="717"/>
      <c r="DE2646" s="717"/>
      <c r="DF2646" s="717"/>
      <c r="DG2646" s="717"/>
      <c r="DH2646" s="717"/>
      <c r="DI2646" s="717"/>
      <c r="DJ2646" s="717"/>
      <c r="DM2646" s="711"/>
      <c r="DN2646" s="711"/>
      <c r="DO2646" s="711"/>
      <c r="DP2646" s="711"/>
      <c r="DQ2646" s="711"/>
    </row>
    <row r="2647" spans="13:121" s="709" customFormat="1" hidden="1">
      <c r="M2647" s="710"/>
      <c r="P2647" s="711"/>
      <c r="Q2647" s="712"/>
      <c r="U2647" s="711"/>
      <c r="V2647" s="711"/>
      <c r="W2647" s="711"/>
      <c r="X2647" s="711"/>
      <c r="Y2647" s="711"/>
      <c r="Z2647" s="711"/>
      <c r="AU2647" s="713"/>
      <c r="AW2647" s="712"/>
      <c r="BY2647" s="714"/>
      <c r="BZ2647" s="715"/>
      <c r="CA2647" s="716"/>
      <c r="CB2647" s="717"/>
      <c r="CC2647" s="717"/>
      <c r="CD2647" s="717"/>
      <c r="CE2647" s="717"/>
      <c r="CF2647" s="717"/>
      <c r="CG2647" s="717"/>
      <c r="CH2647" s="717"/>
      <c r="CI2647" s="717"/>
      <c r="CJ2647" s="717"/>
      <c r="CK2647" s="717"/>
      <c r="CL2647" s="717"/>
      <c r="CM2647" s="717"/>
      <c r="CN2647" s="717"/>
      <c r="CO2647" s="717"/>
      <c r="CP2647" s="717"/>
      <c r="CQ2647" s="717"/>
      <c r="CR2647" s="717"/>
      <c r="CS2647" s="717"/>
      <c r="CT2647" s="717"/>
      <c r="CU2647" s="717"/>
      <c r="CV2647" s="717"/>
      <c r="CW2647" s="717"/>
      <c r="CX2647" s="717"/>
      <c r="CY2647" s="717"/>
      <c r="CZ2647" s="717"/>
      <c r="DA2647" s="717"/>
      <c r="DB2647" s="717"/>
      <c r="DC2647" s="717"/>
      <c r="DD2647" s="717"/>
      <c r="DE2647" s="717"/>
      <c r="DF2647" s="717"/>
      <c r="DG2647" s="717"/>
      <c r="DH2647" s="717"/>
      <c r="DI2647" s="717"/>
      <c r="DJ2647" s="717"/>
      <c r="DM2647" s="711"/>
      <c r="DN2647" s="711"/>
      <c r="DO2647" s="711"/>
      <c r="DP2647" s="711"/>
      <c r="DQ2647" s="711"/>
    </row>
    <row r="2648" spans="13:121" s="709" customFormat="1" hidden="1">
      <c r="M2648" s="710"/>
      <c r="P2648" s="711"/>
      <c r="Q2648" s="712"/>
      <c r="U2648" s="711"/>
      <c r="V2648" s="711"/>
      <c r="W2648" s="711"/>
      <c r="X2648" s="711"/>
      <c r="Y2648" s="711"/>
      <c r="Z2648" s="711"/>
      <c r="AU2648" s="713"/>
      <c r="AW2648" s="712"/>
      <c r="BY2648" s="714"/>
      <c r="BZ2648" s="715"/>
      <c r="CA2648" s="716"/>
      <c r="CB2648" s="717"/>
      <c r="CC2648" s="717"/>
      <c r="CD2648" s="717"/>
      <c r="CE2648" s="717"/>
      <c r="CF2648" s="717"/>
      <c r="CG2648" s="717"/>
      <c r="CH2648" s="717"/>
      <c r="CI2648" s="717"/>
      <c r="CJ2648" s="717"/>
      <c r="CK2648" s="717"/>
      <c r="CL2648" s="717"/>
      <c r="CM2648" s="717"/>
      <c r="CN2648" s="717"/>
      <c r="CO2648" s="717"/>
      <c r="CP2648" s="717"/>
      <c r="CQ2648" s="717"/>
      <c r="CR2648" s="717"/>
      <c r="CS2648" s="717"/>
      <c r="CT2648" s="717"/>
      <c r="CU2648" s="717"/>
      <c r="CV2648" s="717"/>
      <c r="CW2648" s="717"/>
      <c r="CX2648" s="717"/>
      <c r="CY2648" s="717"/>
      <c r="CZ2648" s="717"/>
      <c r="DA2648" s="717"/>
      <c r="DB2648" s="717"/>
      <c r="DC2648" s="717"/>
      <c r="DD2648" s="717"/>
      <c r="DE2648" s="717"/>
      <c r="DF2648" s="717"/>
      <c r="DG2648" s="717"/>
      <c r="DH2648" s="717"/>
      <c r="DI2648" s="717"/>
      <c r="DJ2648" s="717"/>
      <c r="DM2648" s="711"/>
      <c r="DN2648" s="711"/>
      <c r="DO2648" s="711"/>
      <c r="DP2648" s="711"/>
      <c r="DQ2648" s="711"/>
    </row>
    <row r="2649" spans="13:121" s="709" customFormat="1" hidden="1">
      <c r="M2649" s="710"/>
      <c r="P2649" s="711"/>
      <c r="Q2649" s="712"/>
      <c r="U2649" s="711"/>
      <c r="V2649" s="711"/>
      <c r="W2649" s="711"/>
      <c r="X2649" s="711"/>
      <c r="Y2649" s="711"/>
      <c r="Z2649" s="711"/>
      <c r="AU2649" s="713"/>
      <c r="AW2649" s="712"/>
      <c r="BY2649" s="714"/>
      <c r="BZ2649" s="715"/>
      <c r="CA2649" s="716"/>
      <c r="CB2649" s="717"/>
      <c r="CC2649" s="717"/>
      <c r="CD2649" s="717"/>
      <c r="CE2649" s="717"/>
      <c r="CF2649" s="717"/>
      <c r="CG2649" s="717"/>
      <c r="CH2649" s="717"/>
      <c r="CI2649" s="717"/>
      <c r="CJ2649" s="717"/>
      <c r="CK2649" s="717"/>
      <c r="CL2649" s="717"/>
      <c r="CM2649" s="717"/>
      <c r="CN2649" s="717"/>
      <c r="CO2649" s="717"/>
      <c r="CP2649" s="717"/>
      <c r="CQ2649" s="717"/>
      <c r="CR2649" s="717"/>
      <c r="CS2649" s="717"/>
      <c r="CT2649" s="717"/>
      <c r="CU2649" s="717"/>
      <c r="CV2649" s="717"/>
      <c r="CW2649" s="717"/>
      <c r="CX2649" s="717"/>
      <c r="CY2649" s="717"/>
      <c r="CZ2649" s="717"/>
      <c r="DA2649" s="717"/>
      <c r="DB2649" s="717"/>
      <c r="DC2649" s="717"/>
      <c r="DD2649" s="717"/>
      <c r="DE2649" s="717"/>
      <c r="DF2649" s="717"/>
      <c r="DG2649" s="717"/>
      <c r="DH2649" s="717"/>
      <c r="DI2649" s="717"/>
      <c r="DJ2649" s="717"/>
      <c r="DM2649" s="711"/>
      <c r="DN2649" s="711"/>
      <c r="DO2649" s="711"/>
      <c r="DP2649" s="711"/>
      <c r="DQ2649" s="711"/>
    </row>
    <row r="2650" spans="13:121" s="709" customFormat="1" hidden="1">
      <c r="M2650" s="710"/>
      <c r="P2650" s="711"/>
      <c r="Q2650" s="712"/>
      <c r="U2650" s="711"/>
      <c r="V2650" s="711"/>
      <c r="W2650" s="711"/>
      <c r="X2650" s="711"/>
      <c r="Y2650" s="711"/>
      <c r="Z2650" s="711"/>
      <c r="AU2650" s="713"/>
      <c r="AW2650" s="712"/>
      <c r="BY2650" s="714"/>
      <c r="BZ2650" s="715"/>
      <c r="CA2650" s="716"/>
      <c r="CB2650" s="717"/>
      <c r="CC2650" s="717"/>
      <c r="CD2650" s="717"/>
      <c r="CE2650" s="717"/>
      <c r="CF2650" s="717"/>
      <c r="CG2650" s="717"/>
      <c r="CH2650" s="717"/>
      <c r="CI2650" s="717"/>
      <c r="CJ2650" s="717"/>
      <c r="CK2650" s="717"/>
      <c r="CL2650" s="717"/>
      <c r="CM2650" s="717"/>
      <c r="CN2650" s="717"/>
      <c r="CO2650" s="717"/>
      <c r="CP2650" s="717"/>
      <c r="CQ2650" s="717"/>
      <c r="CR2650" s="717"/>
      <c r="CS2650" s="717"/>
      <c r="CT2650" s="717"/>
      <c r="CU2650" s="717"/>
      <c r="CV2650" s="717"/>
      <c r="CW2650" s="717"/>
      <c r="CX2650" s="717"/>
      <c r="CY2650" s="717"/>
      <c r="CZ2650" s="717"/>
      <c r="DA2650" s="717"/>
      <c r="DB2650" s="717"/>
      <c r="DC2650" s="717"/>
      <c r="DD2650" s="717"/>
      <c r="DE2650" s="717"/>
      <c r="DF2650" s="717"/>
      <c r="DG2650" s="717"/>
      <c r="DH2650" s="717"/>
      <c r="DI2650" s="717"/>
      <c r="DJ2650" s="717"/>
      <c r="DM2650" s="711"/>
      <c r="DN2650" s="711"/>
      <c r="DO2650" s="711"/>
      <c r="DP2650" s="711"/>
      <c r="DQ2650" s="711"/>
    </row>
    <row r="2651" spans="13:121" s="709" customFormat="1" hidden="1">
      <c r="M2651" s="710"/>
      <c r="P2651" s="711"/>
      <c r="Q2651" s="712"/>
      <c r="U2651" s="711"/>
      <c r="V2651" s="711"/>
      <c r="W2651" s="711"/>
      <c r="X2651" s="711"/>
      <c r="Y2651" s="711"/>
      <c r="Z2651" s="711"/>
      <c r="AU2651" s="713"/>
      <c r="AW2651" s="712"/>
      <c r="BY2651" s="714"/>
      <c r="BZ2651" s="715"/>
      <c r="CA2651" s="716"/>
      <c r="CB2651" s="717"/>
      <c r="CC2651" s="717"/>
      <c r="CD2651" s="717"/>
      <c r="CE2651" s="717"/>
      <c r="CF2651" s="717"/>
      <c r="CG2651" s="717"/>
      <c r="CH2651" s="717"/>
      <c r="CI2651" s="717"/>
      <c r="CJ2651" s="717"/>
      <c r="CK2651" s="717"/>
      <c r="CL2651" s="717"/>
      <c r="CM2651" s="717"/>
      <c r="CN2651" s="717"/>
      <c r="CO2651" s="717"/>
      <c r="CP2651" s="717"/>
      <c r="CQ2651" s="717"/>
      <c r="CR2651" s="717"/>
      <c r="CS2651" s="717"/>
      <c r="CT2651" s="717"/>
      <c r="CU2651" s="717"/>
      <c r="CV2651" s="717"/>
      <c r="CW2651" s="717"/>
      <c r="CX2651" s="717"/>
      <c r="CY2651" s="717"/>
      <c r="CZ2651" s="717"/>
      <c r="DA2651" s="717"/>
      <c r="DB2651" s="717"/>
      <c r="DC2651" s="717"/>
      <c r="DD2651" s="717"/>
      <c r="DE2651" s="717"/>
      <c r="DF2651" s="717"/>
      <c r="DG2651" s="717"/>
      <c r="DH2651" s="717"/>
      <c r="DI2651" s="717"/>
      <c r="DJ2651" s="717"/>
      <c r="DM2651" s="711"/>
      <c r="DN2651" s="711"/>
      <c r="DO2651" s="711"/>
      <c r="DP2651" s="711"/>
      <c r="DQ2651" s="711"/>
    </row>
    <row r="2652" spans="13:121" s="709" customFormat="1" hidden="1">
      <c r="M2652" s="710"/>
      <c r="P2652" s="711"/>
      <c r="Q2652" s="712"/>
      <c r="U2652" s="711"/>
      <c r="V2652" s="711"/>
      <c r="W2652" s="711"/>
      <c r="X2652" s="711"/>
      <c r="Y2652" s="711"/>
      <c r="Z2652" s="711"/>
      <c r="AU2652" s="713"/>
      <c r="AW2652" s="712"/>
      <c r="BY2652" s="714"/>
      <c r="BZ2652" s="715"/>
      <c r="CA2652" s="716"/>
      <c r="CB2652" s="717"/>
      <c r="CC2652" s="717"/>
      <c r="CD2652" s="717"/>
      <c r="CE2652" s="717"/>
      <c r="CF2652" s="717"/>
      <c r="CG2652" s="717"/>
      <c r="CH2652" s="717"/>
      <c r="CI2652" s="717"/>
      <c r="CJ2652" s="717"/>
      <c r="CK2652" s="717"/>
      <c r="CL2652" s="717"/>
      <c r="CM2652" s="717"/>
      <c r="CN2652" s="717"/>
      <c r="CO2652" s="717"/>
      <c r="CP2652" s="717"/>
      <c r="CQ2652" s="717"/>
      <c r="CR2652" s="717"/>
      <c r="CS2652" s="717"/>
      <c r="CT2652" s="717"/>
      <c r="CU2652" s="717"/>
      <c r="CV2652" s="717"/>
      <c r="CW2652" s="717"/>
      <c r="CX2652" s="717"/>
      <c r="CY2652" s="717"/>
      <c r="CZ2652" s="717"/>
      <c r="DA2652" s="717"/>
      <c r="DB2652" s="717"/>
      <c r="DC2652" s="717"/>
      <c r="DD2652" s="717"/>
      <c r="DE2652" s="717"/>
      <c r="DF2652" s="717"/>
      <c r="DG2652" s="717"/>
      <c r="DH2652" s="717"/>
      <c r="DI2652" s="717"/>
      <c r="DJ2652" s="717"/>
      <c r="DM2652" s="711"/>
      <c r="DN2652" s="711"/>
      <c r="DO2652" s="711"/>
      <c r="DP2652" s="711"/>
      <c r="DQ2652" s="711"/>
    </row>
    <row r="2653" spans="13:121" s="709" customFormat="1" hidden="1">
      <c r="M2653" s="710"/>
      <c r="P2653" s="711"/>
      <c r="Q2653" s="712"/>
      <c r="U2653" s="711"/>
      <c r="V2653" s="711"/>
      <c r="W2653" s="711"/>
      <c r="X2653" s="711"/>
      <c r="Y2653" s="711"/>
      <c r="Z2653" s="711"/>
      <c r="AU2653" s="713"/>
      <c r="AW2653" s="712"/>
      <c r="BY2653" s="714"/>
      <c r="BZ2653" s="715"/>
      <c r="CA2653" s="716"/>
      <c r="CB2653" s="717"/>
      <c r="CC2653" s="717"/>
      <c r="CD2653" s="717"/>
      <c r="CE2653" s="717"/>
      <c r="CF2653" s="717"/>
      <c r="CG2653" s="717"/>
      <c r="CH2653" s="717"/>
      <c r="CI2653" s="717"/>
      <c r="CJ2653" s="717"/>
      <c r="CK2653" s="717"/>
      <c r="CL2653" s="717"/>
      <c r="CM2653" s="717"/>
      <c r="CN2653" s="717"/>
      <c r="CO2653" s="717"/>
      <c r="CP2653" s="717"/>
      <c r="CQ2653" s="717"/>
      <c r="CR2653" s="717"/>
      <c r="CS2653" s="717"/>
      <c r="CT2653" s="717"/>
      <c r="CU2653" s="717"/>
      <c r="CV2653" s="717"/>
      <c r="CW2653" s="717"/>
      <c r="CX2653" s="717"/>
      <c r="CY2653" s="717"/>
      <c r="CZ2653" s="717"/>
      <c r="DA2653" s="717"/>
      <c r="DB2653" s="717"/>
      <c r="DC2653" s="717"/>
      <c r="DD2653" s="717"/>
      <c r="DE2653" s="717"/>
      <c r="DF2653" s="717"/>
      <c r="DG2653" s="717"/>
      <c r="DH2653" s="717"/>
      <c r="DI2653" s="717"/>
      <c r="DJ2653" s="717"/>
      <c r="DM2653" s="711"/>
      <c r="DN2653" s="711"/>
      <c r="DO2653" s="711"/>
      <c r="DP2653" s="711"/>
      <c r="DQ2653" s="711"/>
    </row>
    <row r="2654" spans="13:121" s="709" customFormat="1" hidden="1">
      <c r="M2654" s="710"/>
      <c r="P2654" s="711"/>
      <c r="Q2654" s="712"/>
      <c r="U2654" s="711"/>
      <c r="V2654" s="711"/>
      <c r="W2654" s="711"/>
      <c r="X2654" s="711"/>
      <c r="Y2654" s="711"/>
      <c r="Z2654" s="711"/>
      <c r="AU2654" s="713"/>
      <c r="AW2654" s="712"/>
      <c r="BY2654" s="714"/>
      <c r="BZ2654" s="715"/>
      <c r="CA2654" s="716"/>
      <c r="CB2654" s="717"/>
      <c r="CC2654" s="717"/>
      <c r="CD2654" s="717"/>
      <c r="CE2654" s="717"/>
      <c r="CF2654" s="717"/>
      <c r="CG2654" s="717"/>
      <c r="CH2654" s="717"/>
      <c r="CI2654" s="717"/>
      <c r="CJ2654" s="717"/>
      <c r="CK2654" s="717"/>
      <c r="CL2654" s="717"/>
      <c r="CM2654" s="717"/>
      <c r="CN2654" s="717"/>
      <c r="CO2654" s="717"/>
      <c r="CP2654" s="717"/>
      <c r="CQ2654" s="717"/>
      <c r="CR2654" s="717"/>
      <c r="CS2654" s="717"/>
      <c r="CT2654" s="717"/>
      <c r="CU2654" s="717"/>
      <c r="CV2654" s="717"/>
      <c r="CW2654" s="717"/>
      <c r="CX2654" s="717"/>
      <c r="CY2654" s="717"/>
      <c r="CZ2654" s="717"/>
      <c r="DA2654" s="717"/>
      <c r="DB2654" s="717"/>
      <c r="DC2654" s="717"/>
      <c r="DD2654" s="717"/>
      <c r="DE2654" s="717"/>
      <c r="DF2654" s="717"/>
      <c r="DG2654" s="717"/>
      <c r="DH2654" s="717"/>
      <c r="DI2654" s="717"/>
      <c r="DJ2654" s="717"/>
      <c r="DM2654" s="711"/>
      <c r="DN2654" s="711"/>
      <c r="DO2654" s="711"/>
      <c r="DP2654" s="711"/>
      <c r="DQ2654" s="711"/>
    </row>
    <row r="2655" spans="13:121" s="709" customFormat="1" hidden="1">
      <c r="M2655" s="710"/>
      <c r="P2655" s="711"/>
      <c r="Q2655" s="712"/>
      <c r="U2655" s="711"/>
      <c r="V2655" s="711"/>
      <c r="W2655" s="711"/>
      <c r="X2655" s="711"/>
      <c r="Y2655" s="711"/>
      <c r="Z2655" s="711"/>
      <c r="AU2655" s="713"/>
      <c r="AW2655" s="712"/>
      <c r="BY2655" s="714"/>
      <c r="BZ2655" s="715"/>
      <c r="CA2655" s="716"/>
      <c r="CB2655" s="717"/>
      <c r="CC2655" s="717"/>
      <c r="CD2655" s="717"/>
      <c r="CE2655" s="717"/>
      <c r="CF2655" s="717"/>
      <c r="CG2655" s="717"/>
      <c r="CH2655" s="717"/>
      <c r="CI2655" s="717"/>
      <c r="CJ2655" s="717"/>
      <c r="CK2655" s="717"/>
      <c r="CL2655" s="717"/>
      <c r="CM2655" s="717"/>
      <c r="CN2655" s="717"/>
      <c r="CO2655" s="717"/>
      <c r="CP2655" s="717"/>
      <c r="CQ2655" s="717"/>
      <c r="CR2655" s="717"/>
      <c r="CS2655" s="717"/>
      <c r="CT2655" s="717"/>
      <c r="CU2655" s="717"/>
      <c r="CV2655" s="717"/>
      <c r="CW2655" s="717"/>
      <c r="CX2655" s="717"/>
      <c r="CY2655" s="717"/>
      <c r="CZ2655" s="717"/>
      <c r="DA2655" s="717"/>
      <c r="DB2655" s="717"/>
      <c r="DC2655" s="717"/>
      <c r="DD2655" s="717"/>
      <c r="DE2655" s="717"/>
      <c r="DF2655" s="717"/>
      <c r="DG2655" s="717"/>
      <c r="DH2655" s="717"/>
      <c r="DI2655" s="717"/>
      <c r="DJ2655" s="717"/>
      <c r="DM2655" s="711"/>
      <c r="DN2655" s="711"/>
      <c r="DO2655" s="711"/>
      <c r="DP2655" s="711"/>
      <c r="DQ2655" s="711"/>
    </row>
    <row r="2656" spans="13:121" s="709" customFormat="1" hidden="1">
      <c r="M2656" s="710"/>
      <c r="P2656" s="711"/>
      <c r="Q2656" s="712"/>
      <c r="U2656" s="711"/>
      <c r="V2656" s="711"/>
      <c r="W2656" s="711"/>
      <c r="X2656" s="711"/>
      <c r="Y2656" s="711"/>
      <c r="Z2656" s="711"/>
      <c r="AU2656" s="713"/>
      <c r="AW2656" s="712"/>
      <c r="BY2656" s="714"/>
      <c r="BZ2656" s="715"/>
      <c r="CA2656" s="716"/>
      <c r="CB2656" s="717"/>
      <c r="CC2656" s="717"/>
      <c r="CD2656" s="717"/>
      <c r="CE2656" s="717"/>
      <c r="CF2656" s="717"/>
      <c r="CG2656" s="717"/>
      <c r="CH2656" s="717"/>
      <c r="CI2656" s="717"/>
      <c r="CJ2656" s="717"/>
      <c r="CK2656" s="717"/>
      <c r="CL2656" s="717"/>
      <c r="CM2656" s="717"/>
      <c r="CN2656" s="717"/>
      <c r="CO2656" s="717"/>
      <c r="CP2656" s="717"/>
      <c r="CQ2656" s="717"/>
      <c r="CR2656" s="717"/>
      <c r="CS2656" s="717"/>
      <c r="CT2656" s="717"/>
      <c r="CU2656" s="717"/>
      <c r="CV2656" s="717"/>
      <c r="CW2656" s="717"/>
      <c r="CX2656" s="717"/>
      <c r="CY2656" s="717"/>
      <c r="CZ2656" s="717"/>
      <c r="DA2656" s="717"/>
      <c r="DB2656" s="717"/>
      <c r="DC2656" s="717"/>
      <c r="DD2656" s="717"/>
      <c r="DE2656" s="717"/>
      <c r="DF2656" s="717"/>
      <c r="DG2656" s="717"/>
      <c r="DH2656" s="717"/>
      <c r="DI2656" s="717"/>
      <c r="DJ2656" s="717"/>
      <c r="DM2656" s="711"/>
      <c r="DN2656" s="711"/>
      <c r="DO2656" s="711"/>
      <c r="DP2656" s="711"/>
      <c r="DQ2656" s="711"/>
    </row>
    <row r="2657" spans="13:121" s="709" customFormat="1" hidden="1">
      <c r="M2657" s="710"/>
      <c r="P2657" s="711"/>
      <c r="Q2657" s="712"/>
      <c r="U2657" s="711"/>
      <c r="V2657" s="711"/>
      <c r="W2657" s="711"/>
      <c r="X2657" s="711"/>
      <c r="Y2657" s="711"/>
      <c r="Z2657" s="711"/>
      <c r="AU2657" s="713"/>
      <c r="AW2657" s="712"/>
      <c r="BY2657" s="714"/>
      <c r="BZ2657" s="715"/>
      <c r="CA2657" s="716"/>
      <c r="CB2657" s="717"/>
      <c r="CC2657" s="717"/>
      <c r="CD2657" s="717"/>
      <c r="CE2657" s="717"/>
      <c r="CF2657" s="717"/>
      <c r="CG2657" s="717"/>
      <c r="CH2657" s="717"/>
      <c r="CI2657" s="717"/>
      <c r="CJ2657" s="717"/>
      <c r="CK2657" s="717"/>
      <c r="CL2657" s="717"/>
      <c r="CM2657" s="717"/>
      <c r="CN2657" s="717"/>
      <c r="CO2657" s="717"/>
      <c r="CP2657" s="717"/>
      <c r="CQ2657" s="717"/>
      <c r="CR2657" s="717"/>
      <c r="CS2657" s="717"/>
      <c r="CT2657" s="717"/>
      <c r="CU2657" s="717"/>
      <c r="CV2657" s="717"/>
      <c r="CW2657" s="717"/>
      <c r="CX2657" s="717"/>
      <c r="CY2657" s="717"/>
      <c r="CZ2657" s="717"/>
      <c r="DA2657" s="717"/>
      <c r="DB2657" s="717"/>
      <c r="DC2657" s="717"/>
      <c r="DD2657" s="717"/>
      <c r="DE2657" s="717"/>
      <c r="DF2657" s="717"/>
      <c r="DG2657" s="717"/>
      <c r="DH2657" s="717"/>
      <c r="DI2657" s="717"/>
      <c r="DJ2657" s="717"/>
      <c r="DM2657" s="711"/>
      <c r="DN2657" s="711"/>
      <c r="DO2657" s="711"/>
      <c r="DP2657" s="711"/>
      <c r="DQ2657" s="711"/>
    </row>
    <row r="2658" spans="13:121" s="709" customFormat="1" hidden="1">
      <c r="M2658" s="710"/>
      <c r="P2658" s="711"/>
      <c r="Q2658" s="712"/>
      <c r="U2658" s="711"/>
      <c r="V2658" s="711"/>
      <c r="W2658" s="711"/>
      <c r="X2658" s="711"/>
      <c r="Y2658" s="711"/>
      <c r="Z2658" s="711"/>
      <c r="AU2658" s="713"/>
      <c r="AW2658" s="712"/>
      <c r="BY2658" s="714"/>
      <c r="BZ2658" s="715"/>
      <c r="CA2658" s="716"/>
      <c r="CB2658" s="717"/>
      <c r="CC2658" s="717"/>
      <c r="CD2658" s="717"/>
      <c r="CE2658" s="717"/>
      <c r="CF2658" s="717"/>
      <c r="CG2658" s="717"/>
      <c r="CH2658" s="717"/>
      <c r="CI2658" s="717"/>
      <c r="CJ2658" s="717"/>
      <c r="CK2658" s="717"/>
      <c r="CL2658" s="717"/>
      <c r="CM2658" s="717"/>
      <c r="CN2658" s="717"/>
      <c r="CO2658" s="717"/>
      <c r="CP2658" s="717"/>
      <c r="CQ2658" s="717"/>
      <c r="CR2658" s="717"/>
      <c r="CS2658" s="717"/>
      <c r="CT2658" s="717"/>
      <c r="CU2658" s="717"/>
      <c r="CV2658" s="717"/>
      <c r="CW2658" s="717"/>
      <c r="CX2658" s="717"/>
      <c r="CY2658" s="717"/>
      <c r="CZ2658" s="717"/>
      <c r="DA2658" s="717"/>
      <c r="DB2658" s="717"/>
      <c r="DC2658" s="717"/>
      <c r="DD2658" s="717"/>
      <c r="DE2658" s="717"/>
      <c r="DF2658" s="717"/>
      <c r="DG2658" s="717"/>
      <c r="DH2658" s="717"/>
      <c r="DI2658" s="717"/>
      <c r="DJ2658" s="717"/>
      <c r="DM2658" s="711"/>
      <c r="DN2658" s="711"/>
      <c r="DO2658" s="711"/>
      <c r="DP2658" s="711"/>
      <c r="DQ2658" s="711"/>
    </row>
    <row r="2659" spans="13:121" s="709" customFormat="1" hidden="1">
      <c r="M2659" s="710"/>
      <c r="P2659" s="711"/>
      <c r="Q2659" s="712"/>
      <c r="U2659" s="711"/>
      <c r="V2659" s="711"/>
      <c r="W2659" s="711"/>
      <c r="X2659" s="711"/>
      <c r="Y2659" s="711"/>
      <c r="Z2659" s="711"/>
      <c r="AU2659" s="713"/>
      <c r="AW2659" s="712"/>
      <c r="BY2659" s="714"/>
      <c r="BZ2659" s="715"/>
      <c r="CA2659" s="716"/>
      <c r="CB2659" s="717"/>
      <c r="CC2659" s="717"/>
      <c r="CD2659" s="717"/>
      <c r="CE2659" s="717"/>
      <c r="CF2659" s="717"/>
      <c r="CG2659" s="717"/>
      <c r="CH2659" s="717"/>
      <c r="CI2659" s="717"/>
      <c r="CJ2659" s="717"/>
      <c r="CK2659" s="717"/>
      <c r="CL2659" s="717"/>
      <c r="CM2659" s="717"/>
      <c r="CN2659" s="717"/>
      <c r="CO2659" s="717"/>
      <c r="CP2659" s="717"/>
      <c r="CQ2659" s="717"/>
      <c r="CR2659" s="717"/>
      <c r="CS2659" s="717"/>
      <c r="CT2659" s="717"/>
      <c r="CU2659" s="717"/>
      <c r="CV2659" s="717"/>
      <c r="CW2659" s="717"/>
      <c r="CX2659" s="717"/>
      <c r="CY2659" s="717"/>
      <c r="CZ2659" s="717"/>
      <c r="DA2659" s="717"/>
      <c r="DB2659" s="717"/>
      <c r="DC2659" s="717"/>
      <c r="DD2659" s="717"/>
      <c r="DE2659" s="717"/>
      <c r="DF2659" s="717"/>
      <c r="DG2659" s="717"/>
      <c r="DH2659" s="717"/>
      <c r="DI2659" s="717"/>
      <c r="DJ2659" s="717"/>
      <c r="DM2659" s="711"/>
      <c r="DN2659" s="711"/>
      <c r="DO2659" s="711"/>
      <c r="DP2659" s="711"/>
      <c r="DQ2659" s="711"/>
    </row>
    <row r="2660" spans="13:121" s="709" customFormat="1" hidden="1">
      <c r="M2660" s="710"/>
      <c r="P2660" s="711"/>
      <c r="Q2660" s="712"/>
      <c r="U2660" s="711"/>
      <c r="V2660" s="711"/>
      <c r="W2660" s="711"/>
      <c r="X2660" s="711"/>
      <c r="Y2660" s="711"/>
      <c r="Z2660" s="711"/>
      <c r="AU2660" s="713"/>
      <c r="AW2660" s="712"/>
      <c r="BY2660" s="714"/>
      <c r="BZ2660" s="715"/>
      <c r="CA2660" s="716"/>
      <c r="CB2660" s="717"/>
      <c r="CC2660" s="717"/>
      <c r="CD2660" s="717"/>
      <c r="CE2660" s="717"/>
      <c r="CF2660" s="717"/>
      <c r="CG2660" s="717"/>
      <c r="CH2660" s="717"/>
      <c r="CI2660" s="717"/>
      <c r="CJ2660" s="717"/>
      <c r="CK2660" s="717"/>
      <c r="CL2660" s="717"/>
      <c r="CM2660" s="717"/>
      <c r="CN2660" s="717"/>
      <c r="CO2660" s="717"/>
      <c r="CP2660" s="717"/>
      <c r="CQ2660" s="717"/>
      <c r="CR2660" s="717"/>
      <c r="CS2660" s="717"/>
      <c r="CT2660" s="717"/>
      <c r="CU2660" s="717"/>
      <c r="CV2660" s="717"/>
      <c r="CW2660" s="717"/>
      <c r="CX2660" s="717"/>
      <c r="CY2660" s="717"/>
      <c r="CZ2660" s="717"/>
      <c r="DA2660" s="717"/>
      <c r="DB2660" s="717"/>
      <c r="DC2660" s="717"/>
      <c r="DD2660" s="717"/>
      <c r="DE2660" s="717"/>
      <c r="DF2660" s="717"/>
      <c r="DG2660" s="717"/>
      <c r="DH2660" s="717"/>
      <c r="DI2660" s="717"/>
      <c r="DJ2660" s="717"/>
      <c r="DM2660" s="711"/>
      <c r="DN2660" s="711"/>
      <c r="DO2660" s="711"/>
      <c r="DP2660" s="711"/>
      <c r="DQ2660" s="711"/>
    </row>
    <row r="2661" spans="13:121" s="709" customFormat="1" hidden="1">
      <c r="M2661" s="710"/>
      <c r="P2661" s="711"/>
      <c r="Q2661" s="712"/>
      <c r="U2661" s="711"/>
      <c r="V2661" s="711"/>
      <c r="W2661" s="711"/>
      <c r="X2661" s="711"/>
      <c r="Y2661" s="711"/>
      <c r="Z2661" s="711"/>
      <c r="AU2661" s="713"/>
      <c r="AW2661" s="712"/>
      <c r="BY2661" s="714"/>
      <c r="BZ2661" s="715"/>
      <c r="CA2661" s="716"/>
      <c r="CB2661" s="717"/>
      <c r="CC2661" s="717"/>
      <c r="CD2661" s="717"/>
      <c r="CE2661" s="717"/>
      <c r="CF2661" s="717"/>
      <c r="CG2661" s="717"/>
      <c r="CH2661" s="717"/>
      <c r="CI2661" s="717"/>
      <c r="CJ2661" s="717"/>
      <c r="CK2661" s="717"/>
      <c r="CL2661" s="717"/>
      <c r="CM2661" s="717"/>
      <c r="CN2661" s="717"/>
      <c r="CO2661" s="717"/>
      <c r="CP2661" s="717"/>
      <c r="CQ2661" s="717"/>
      <c r="CR2661" s="717"/>
      <c r="CS2661" s="717"/>
      <c r="CT2661" s="717"/>
      <c r="CU2661" s="717"/>
      <c r="CV2661" s="717"/>
      <c r="CW2661" s="717"/>
      <c r="CX2661" s="717"/>
      <c r="CY2661" s="717"/>
      <c r="CZ2661" s="717"/>
      <c r="DA2661" s="717"/>
      <c r="DB2661" s="717"/>
      <c r="DC2661" s="717"/>
      <c r="DD2661" s="717"/>
      <c r="DE2661" s="717"/>
      <c r="DF2661" s="717"/>
      <c r="DG2661" s="717"/>
      <c r="DH2661" s="717"/>
      <c r="DI2661" s="717"/>
      <c r="DJ2661" s="717"/>
      <c r="DM2661" s="711"/>
      <c r="DN2661" s="711"/>
      <c r="DO2661" s="711"/>
      <c r="DP2661" s="711"/>
      <c r="DQ2661" s="711"/>
    </row>
    <row r="2662" spans="13:121" s="709" customFormat="1" hidden="1">
      <c r="M2662" s="710"/>
      <c r="P2662" s="711"/>
      <c r="Q2662" s="712"/>
      <c r="U2662" s="711"/>
      <c r="V2662" s="711"/>
      <c r="W2662" s="711"/>
      <c r="X2662" s="711"/>
      <c r="Y2662" s="711"/>
      <c r="Z2662" s="711"/>
      <c r="AU2662" s="713"/>
      <c r="AW2662" s="712"/>
      <c r="BY2662" s="714"/>
      <c r="BZ2662" s="715"/>
      <c r="CA2662" s="716"/>
      <c r="CB2662" s="717"/>
      <c r="CC2662" s="717"/>
      <c r="CD2662" s="717"/>
      <c r="CE2662" s="717"/>
      <c r="CF2662" s="717"/>
      <c r="CG2662" s="717"/>
      <c r="CH2662" s="717"/>
      <c r="CI2662" s="717"/>
      <c r="CJ2662" s="717"/>
      <c r="CK2662" s="717"/>
      <c r="CL2662" s="717"/>
      <c r="CM2662" s="717"/>
      <c r="CN2662" s="717"/>
      <c r="CO2662" s="717"/>
      <c r="CP2662" s="717"/>
      <c r="CQ2662" s="717"/>
      <c r="CR2662" s="717"/>
      <c r="CS2662" s="717"/>
      <c r="CT2662" s="717"/>
      <c r="CU2662" s="717"/>
      <c r="CV2662" s="717"/>
      <c r="CW2662" s="717"/>
      <c r="CX2662" s="717"/>
      <c r="CY2662" s="717"/>
      <c r="CZ2662" s="717"/>
      <c r="DA2662" s="717"/>
      <c r="DB2662" s="717"/>
      <c r="DC2662" s="717"/>
      <c r="DD2662" s="717"/>
      <c r="DE2662" s="717"/>
      <c r="DF2662" s="717"/>
      <c r="DG2662" s="717"/>
      <c r="DH2662" s="717"/>
      <c r="DI2662" s="717"/>
      <c r="DJ2662" s="717"/>
      <c r="DM2662" s="711"/>
      <c r="DN2662" s="711"/>
      <c r="DO2662" s="711"/>
      <c r="DP2662" s="711"/>
      <c r="DQ2662" s="711"/>
    </row>
    <row r="2663" spans="13:121" s="709" customFormat="1" hidden="1">
      <c r="M2663" s="710"/>
      <c r="P2663" s="711"/>
      <c r="Q2663" s="712"/>
      <c r="U2663" s="711"/>
      <c r="V2663" s="711"/>
      <c r="W2663" s="711"/>
      <c r="X2663" s="711"/>
      <c r="Y2663" s="711"/>
      <c r="Z2663" s="711"/>
      <c r="AU2663" s="713"/>
      <c r="AW2663" s="712"/>
      <c r="BY2663" s="714"/>
      <c r="BZ2663" s="715"/>
      <c r="CA2663" s="716"/>
      <c r="CB2663" s="717"/>
      <c r="CC2663" s="717"/>
      <c r="CD2663" s="717"/>
      <c r="CE2663" s="717"/>
      <c r="CF2663" s="717"/>
      <c r="CG2663" s="717"/>
      <c r="CH2663" s="717"/>
      <c r="CI2663" s="717"/>
      <c r="CJ2663" s="717"/>
      <c r="CK2663" s="717"/>
      <c r="CL2663" s="717"/>
      <c r="CM2663" s="717"/>
      <c r="CN2663" s="717"/>
      <c r="CO2663" s="717"/>
      <c r="CP2663" s="717"/>
      <c r="CQ2663" s="717"/>
      <c r="CR2663" s="717"/>
      <c r="CS2663" s="717"/>
      <c r="CT2663" s="717"/>
      <c r="CU2663" s="717"/>
      <c r="CV2663" s="717"/>
      <c r="CW2663" s="717"/>
      <c r="CX2663" s="717"/>
      <c r="CY2663" s="717"/>
      <c r="CZ2663" s="717"/>
      <c r="DA2663" s="717"/>
      <c r="DB2663" s="717"/>
      <c r="DC2663" s="717"/>
      <c r="DD2663" s="717"/>
      <c r="DE2663" s="717"/>
      <c r="DF2663" s="717"/>
      <c r="DG2663" s="717"/>
      <c r="DH2663" s="717"/>
      <c r="DI2663" s="717"/>
      <c r="DJ2663" s="717"/>
      <c r="DM2663" s="711"/>
      <c r="DN2663" s="711"/>
      <c r="DO2663" s="711"/>
      <c r="DP2663" s="711"/>
      <c r="DQ2663" s="711"/>
    </row>
    <row r="2664" spans="13:121" s="709" customFormat="1" hidden="1">
      <c r="M2664" s="710"/>
      <c r="P2664" s="711"/>
      <c r="Q2664" s="712"/>
      <c r="U2664" s="711"/>
      <c r="V2664" s="711"/>
      <c r="W2664" s="711"/>
      <c r="X2664" s="711"/>
      <c r="Y2664" s="711"/>
      <c r="Z2664" s="711"/>
      <c r="AU2664" s="713"/>
      <c r="AW2664" s="712"/>
      <c r="BY2664" s="714"/>
      <c r="BZ2664" s="715"/>
      <c r="CA2664" s="716"/>
      <c r="CB2664" s="717"/>
      <c r="CC2664" s="717"/>
      <c r="CD2664" s="717"/>
      <c r="CE2664" s="717"/>
      <c r="CF2664" s="717"/>
      <c r="CG2664" s="717"/>
      <c r="CH2664" s="717"/>
      <c r="CI2664" s="717"/>
      <c r="CJ2664" s="717"/>
      <c r="CK2664" s="717"/>
      <c r="CL2664" s="717"/>
      <c r="CM2664" s="717"/>
      <c r="CN2664" s="717"/>
      <c r="CO2664" s="717"/>
      <c r="CP2664" s="717"/>
      <c r="CQ2664" s="717"/>
      <c r="CR2664" s="717"/>
      <c r="CS2664" s="717"/>
      <c r="CT2664" s="717"/>
      <c r="CU2664" s="717"/>
      <c r="CV2664" s="717"/>
      <c r="CW2664" s="717"/>
      <c r="CX2664" s="717"/>
      <c r="CY2664" s="717"/>
      <c r="CZ2664" s="717"/>
      <c r="DA2664" s="717"/>
      <c r="DB2664" s="717"/>
      <c r="DC2664" s="717"/>
      <c r="DD2664" s="717"/>
      <c r="DE2664" s="717"/>
      <c r="DF2664" s="717"/>
      <c r="DG2664" s="717"/>
      <c r="DH2664" s="717"/>
      <c r="DI2664" s="717"/>
      <c r="DJ2664" s="717"/>
      <c r="DM2664" s="711"/>
      <c r="DN2664" s="711"/>
      <c r="DO2664" s="711"/>
      <c r="DP2664" s="711"/>
      <c r="DQ2664" s="711"/>
    </row>
    <row r="2665" spans="13:121" s="709" customFormat="1" hidden="1">
      <c r="M2665" s="710"/>
      <c r="P2665" s="711"/>
      <c r="Q2665" s="712"/>
      <c r="U2665" s="711"/>
      <c r="V2665" s="711"/>
      <c r="W2665" s="711"/>
      <c r="X2665" s="711"/>
      <c r="Y2665" s="711"/>
      <c r="Z2665" s="711"/>
      <c r="AU2665" s="713"/>
      <c r="AW2665" s="712"/>
      <c r="BY2665" s="714"/>
      <c r="BZ2665" s="715"/>
      <c r="CA2665" s="716"/>
      <c r="CB2665" s="717"/>
      <c r="CC2665" s="717"/>
      <c r="CD2665" s="717"/>
      <c r="CE2665" s="717"/>
      <c r="CF2665" s="717"/>
      <c r="CG2665" s="717"/>
      <c r="CH2665" s="717"/>
      <c r="CI2665" s="717"/>
      <c r="CJ2665" s="717"/>
      <c r="CK2665" s="717"/>
      <c r="CL2665" s="717"/>
      <c r="CM2665" s="717"/>
      <c r="CN2665" s="717"/>
      <c r="CO2665" s="717"/>
      <c r="CP2665" s="717"/>
      <c r="CQ2665" s="717"/>
      <c r="CR2665" s="717"/>
      <c r="CS2665" s="717"/>
      <c r="CT2665" s="717"/>
      <c r="CU2665" s="717"/>
      <c r="CV2665" s="717"/>
      <c r="CW2665" s="717"/>
      <c r="CX2665" s="717"/>
      <c r="CY2665" s="717"/>
      <c r="CZ2665" s="717"/>
      <c r="DA2665" s="717"/>
      <c r="DB2665" s="717"/>
      <c r="DC2665" s="717"/>
      <c r="DD2665" s="717"/>
      <c r="DE2665" s="717"/>
      <c r="DF2665" s="717"/>
      <c r="DG2665" s="717"/>
      <c r="DH2665" s="717"/>
      <c r="DI2665" s="717"/>
      <c r="DJ2665" s="717"/>
      <c r="DM2665" s="711"/>
      <c r="DN2665" s="711"/>
      <c r="DO2665" s="711"/>
      <c r="DP2665" s="711"/>
      <c r="DQ2665" s="711"/>
    </row>
    <row r="2666" spans="13:121" s="709" customFormat="1" hidden="1">
      <c r="M2666" s="710"/>
      <c r="P2666" s="711"/>
      <c r="Q2666" s="712"/>
      <c r="U2666" s="711"/>
      <c r="V2666" s="711"/>
      <c r="W2666" s="711"/>
      <c r="X2666" s="711"/>
      <c r="Y2666" s="711"/>
      <c r="Z2666" s="711"/>
      <c r="AU2666" s="713"/>
      <c r="AW2666" s="712"/>
      <c r="BY2666" s="714"/>
      <c r="BZ2666" s="715"/>
      <c r="CA2666" s="716"/>
      <c r="CB2666" s="717"/>
      <c r="CC2666" s="717"/>
      <c r="CD2666" s="717"/>
      <c r="CE2666" s="717"/>
      <c r="CF2666" s="717"/>
      <c r="CG2666" s="717"/>
      <c r="CH2666" s="717"/>
      <c r="CI2666" s="717"/>
      <c r="CJ2666" s="717"/>
      <c r="CK2666" s="717"/>
      <c r="CL2666" s="717"/>
      <c r="CM2666" s="717"/>
      <c r="CN2666" s="717"/>
      <c r="CO2666" s="717"/>
      <c r="CP2666" s="717"/>
      <c r="CQ2666" s="717"/>
      <c r="CR2666" s="717"/>
      <c r="CS2666" s="717"/>
      <c r="CT2666" s="717"/>
      <c r="CU2666" s="717"/>
      <c r="CV2666" s="717"/>
      <c r="CW2666" s="717"/>
      <c r="CX2666" s="717"/>
      <c r="CY2666" s="717"/>
      <c r="CZ2666" s="717"/>
      <c r="DA2666" s="717"/>
      <c r="DB2666" s="717"/>
      <c r="DC2666" s="717"/>
      <c r="DD2666" s="717"/>
      <c r="DE2666" s="717"/>
      <c r="DF2666" s="717"/>
      <c r="DG2666" s="717"/>
      <c r="DH2666" s="717"/>
      <c r="DI2666" s="717"/>
      <c r="DJ2666" s="717"/>
      <c r="DM2666" s="711"/>
      <c r="DN2666" s="711"/>
      <c r="DO2666" s="711"/>
      <c r="DP2666" s="711"/>
      <c r="DQ2666" s="711"/>
    </row>
    <row r="2667" spans="13:121" s="709" customFormat="1" hidden="1">
      <c r="M2667" s="710"/>
      <c r="P2667" s="711"/>
      <c r="Q2667" s="712"/>
      <c r="U2667" s="711"/>
      <c r="V2667" s="711"/>
      <c r="W2667" s="711"/>
      <c r="X2667" s="711"/>
      <c r="Y2667" s="711"/>
      <c r="Z2667" s="711"/>
      <c r="AU2667" s="713"/>
      <c r="AW2667" s="712"/>
      <c r="BY2667" s="714"/>
      <c r="BZ2667" s="715"/>
      <c r="CA2667" s="716"/>
      <c r="CB2667" s="717"/>
      <c r="CC2667" s="717"/>
      <c r="CD2667" s="717"/>
      <c r="CE2667" s="717"/>
      <c r="CF2667" s="717"/>
      <c r="CG2667" s="717"/>
      <c r="CH2667" s="717"/>
      <c r="CI2667" s="717"/>
      <c r="CJ2667" s="717"/>
      <c r="CK2667" s="717"/>
      <c r="CL2667" s="717"/>
      <c r="CM2667" s="717"/>
      <c r="CN2667" s="717"/>
      <c r="CO2667" s="717"/>
      <c r="CP2667" s="717"/>
      <c r="CQ2667" s="717"/>
      <c r="CR2667" s="717"/>
      <c r="CS2667" s="717"/>
      <c r="CT2667" s="717"/>
      <c r="CU2667" s="717"/>
      <c r="CV2667" s="717"/>
      <c r="CW2667" s="717"/>
      <c r="CX2667" s="717"/>
      <c r="CY2667" s="717"/>
      <c r="CZ2667" s="717"/>
      <c r="DA2667" s="717"/>
      <c r="DB2667" s="717"/>
      <c r="DC2667" s="717"/>
      <c r="DD2667" s="717"/>
      <c r="DE2667" s="717"/>
      <c r="DF2667" s="717"/>
      <c r="DG2667" s="717"/>
      <c r="DH2667" s="717"/>
      <c r="DI2667" s="717"/>
      <c r="DJ2667" s="717"/>
      <c r="DM2667" s="711"/>
      <c r="DN2667" s="711"/>
      <c r="DO2667" s="711"/>
      <c r="DP2667" s="711"/>
      <c r="DQ2667" s="711"/>
    </row>
    <row r="2668" spans="13:121" s="709" customFormat="1" hidden="1">
      <c r="M2668" s="710"/>
      <c r="P2668" s="711"/>
      <c r="Q2668" s="712"/>
      <c r="U2668" s="711"/>
      <c r="V2668" s="711"/>
      <c r="W2668" s="711"/>
      <c r="X2668" s="711"/>
      <c r="Y2668" s="711"/>
      <c r="Z2668" s="711"/>
      <c r="AU2668" s="713"/>
      <c r="AW2668" s="712"/>
      <c r="BY2668" s="714"/>
      <c r="BZ2668" s="715"/>
      <c r="CA2668" s="716"/>
      <c r="CB2668" s="717"/>
      <c r="CC2668" s="717"/>
      <c r="CD2668" s="717"/>
      <c r="CE2668" s="717"/>
      <c r="CF2668" s="717"/>
      <c r="CG2668" s="717"/>
      <c r="CH2668" s="717"/>
      <c r="CI2668" s="717"/>
      <c r="CJ2668" s="717"/>
      <c r="CK2668" s="717"/>
      <c r="CL2668" s="717"/>
      <c r="CM2668" s="717"/>
      <c r="CN2668" s="717"/>
      <c r="CO2668" s="717"/>
      <c r="CP2668" s="717"/>
      <c r="CQ2668" s="717"/>
      <c r="CR2668" s="717"/>
      <c r="CS2668" s="717"/>
      <c r="CT2668" s="717"/>
      <c r="CU2668" s="717"/>
      <c r="CV2668" s="717"/>
      <c r="CW2668" s="717"/>
      <c r="CX2668" s="717"/>
      <c r="CY2668" s="717"/>
      <c r="CZ2668" s="717"/>
      <c r="DA2668" s="717"/>
      <c r="DB2668" s="717"/>
      <c r="DC2668" s="717"/>
      <c r="DD2668" s="717"/>
      <c r="DE2668" s="717"/>
      <c r="DF2668" s="717"/>
      <c r="DG2668" s="717"/>
      <c r="DH2668" s="717"/>
      <c r="DI2668" s="717"/>
      <c r="DJ2668" s="717"/>
      <c r="DM2668" s="711"/>
      <c r="DN2668" s="711"/>
      <c r="DO2668" s="711"/>
      <c r="DP2668" s="711"/>
      <c r="DQ2668" s="711"/>
    </row>
    <row r="2669" spans="13:121" s="709" customFormat="1" hidden="1">
      <c r="M2669" s="710"/>
      <c r="P2669" s="711"/>
      <c r="Q2669" s="712"/>
      <c r="U2669" s="711"/>
      <c r="V2669" s="711"/>
      <c r="W2669" s="711"/>
      <c r="X2669" s="711"/>
      <c r="Y2669" s="711"/>
      <c r="Z2669" s="711"/>
      <c r="AU2669" s="713"/>
      <c r="AW2669" s="712"/>
      <c r="BY2669" s="714"/>
      <c r="BZ2669" s="715"/>
      <c r="CA2669" s="716"/>
      <c r="CB2669" s="717"/>
      <c r="CC2669" s="717"/>
      <c r="CD2669" s="717"/>
      <c r="CE2669" s="717"/>
      <c r="CF2669" s="717"/>
      <c r="CG2669" s="717"/>
      <c r="CH2669" s="717"/>
      <c r="CI2669" s="717"/>
      <c r="CJ2669" s="717"/>
      <c r="CK2669" s="717"/>
      <c r="CL2669" s="717"/>
      <c r="CM2669" s="717"/>
      <c r="CN2669" s="717"/>
      <c r="CO2669" s="717"/>
      <c r="CP2669" s="717"/>
      <c r="CQ2669" s="717"/>
      <c r="CR2669" s="717"/>
      <c r="CS2669" s="717"/>
      <c r="CT2669" s="717"/>
      <c r="CU2669" s="717"/>
      <c r="CV2669" s="717"/>
      <c r="CW2669" s="717"/>
      <c r="CX2669" s="717"/>
      <c r="CY2669" s="717"/>
      <c r="CZ2669" s="717"/>
      <c r="DA2669" s="717"/>
      <c r="DB2669" s="717"/>
      <c r="DC2669" s="717"/>
      <c r="DD2669" s="717"/>
      <c r="DE2669" s="717"/>
      <c r="DF2669" s="717"/>
      <c r="DG2669" s="717"/>
      <c r="DH2669" s="717"/>
      <c r="DI2669" s="717"/>
      <c r="DJ2669" s="717"/>
      <c r="DM2669" s="711"/>
      <c r="DN2669" s="711"/>
      <c r="DO2669" s="711"/>
      <c r="DP2669" s="711"/>
      <c r="DQ2669" s="711"/>
    </row>
    <row r="2670" spans="13:121" s="709" customFormat="1" hidden="1">
      <c r="M2670" s="710"/>
      <c r="P2670" s="711"/>
      <c r="Q2670" s="712"/>
      <c r="U2670" s="711"/>
      <c r="V2670" s="711"/>
      <c r="W2670" s="711"/>
      <c r="X2670" s="711"/>
      <c r="Y2670" s="711"/>
      <c r="Z2670" s="711"/>
      <c r="AU2670" s="713"/>
      <c r="AW2670" s="712"/>
      <c r="BY2670" s="714"/>
      <c r="BZ2670" s="715"/>
      <c r="CA2670" s="716"/>
      <c r="CB2670" s="717"/>
      <c r="CC2670" s="717"/>
      <c r="CD2670" s="717"/>
      <c r="CE2670" s="717"/>
      <c r="CF2670" s="717"/>
      <c r="CG2670" s="717"/>
      <c r="CH2670" s="717"/>
      <c r="CI2670" s="717"/>
      <c r="CJ2670" s="717"/>
      <c r="CK2670" s="717"/>
      <c r="CL2670" s="717"/>
      <c r="CM2670" s="717"/>
      <c r="CN2670" s="717"/>
      <c r="CO2670" s="717"/>
      <c r="CP2670" s="717"/>
      <c r="CQ2670" s="717"/>
      <c r="CR2670" s="717"/>
      <c r="CS2670" s="717"/>
      <c r="CT2670" s="717"/>
      <c r="CU2670" s="717"/>
      <c r="CV2670" s="717"/>
      <c r="CW2670" s="717"/>
      <c r="CX2670" s="717"/>
      <c r="CY2670" s="717"/>
      <c r="CZ2670" s="717"/>
      <c r="DA2670" s="717"/>
      <c r="DB2670" s="717"/>
      <c r="DC2670" s="717"/>
      <c r="DD2670" s="717"/>
      <c r="DE2670" s="717"/>
      <c r="DF2670" s="717"/>
      <c r="DG2670" s="717"/>
      <c r="DH2670" s="717"/>
      <c r="DI2670" s="717"/>
      <c r="DJ2670" s="717"/>
      <c r="DM2670" s="711"/>
      <c r="DN2670" s="711"/>
      <c r="DO2670" s="711"/>
      <c r="DP2670" s="711"/>
      <c r="DQ2670" s="711"/>
    </row>
    <row r="2671" spans="13:121" s="709" customFormat="1" hidden="1">
      <c r="M2671" s="710"/>
      <c r="P2671" s="711"/>
      <c r="Q2671" s="712"/>
      <c r="U2671" s="711"/>
      <c r="V2671" s="711"/>
      <c r="W2671" s="711"/>
      <c r="X2671" s="711"/>
      <c r="Y2671" s="711"/>
      <c r="Z2671" s="711"/>
      <c r="AU2671" s="713"/>
      <c r="AW2671" s="712"/>
      <c r="BY2671" s="714"/>
      <c r="BZ2671" s="715"/>
      <c r="CA2671" s="716"/>
      <c r="CB2671" s="717"/>
      <c r="CC2671" s="717"/>
      <c r="CD2671" s="717"/>
      <c r="CE2671" s="717"/>
      <c r="CF2671" s="717"/>
      <c r="CG2671" s="717"/>
      <c r="CH2671" s="717"/>
      <c r="CI2671" s="717"/>
      <c r="CJ2671" s="717"/>
      <c r="CK2671" s="717"/>
      <c r="CL2671" s="717"/>
      <c r="CM2671" s="717"/>
      <c r="CN2671" s="717"/>
      <c r="CO2671" s="717"/>
      <c r="CP2671" s="717"/>
      <c r="CQ2671" s="717"/>
      <c r="CR2671" s="717"/>
      <c r="CS2671" s="717"/>
      <c r="CT2671" s="717"/>
      <c r="CU2671" s="717"/>
      <c r="CV2671" s="717"/>
      <c r="CW2671" s="717"/>
      <c r="CX2671" s="717"/>
      <c r="CY2671" s="717"/>
      <c r="CZ2671" s="717"/>
      <c r="DA2671" s="717"/>
      <c r="DB2671" s="717"/>
      <c r="DC2671" s="717"/>
      <c r="DD2671" s="717"/>
      <c r="DE2671" s="717"/>
      <c r="DF2671" s="717"/>
      <c r="DG2671" s="717"/>
      <c r="DH2671" s="717"/>
      <c r="DI2671" s="717"/>
      <c r="DJ2671" s="717"/>
      <c r="DM2671" s="711"/>
      <c r="DN2671" s="711"/>
      <c r="DO2671" s="711"/>
      <c r="DP2671" s="711"/>
      <c r="DQ2671" s="711"/>
    </row>
    <row r="2672" spans="13:121" s="709" customFormat="1" hidden="1">
      <c r="M2672" s="710"/>
      <c r="P2672" s="711"/>
      <c r="Q2672" s="712"/>
      <c r="U2672" s="711"/>
      <c r="V2672" s="711"/>
      <c r="W2672" s="711"/>
      <c r="X2672" s="711"/>
      <c r="Y2672" s="711"/>
      <c r="Z2672" s="711"/>
      <c r="AU2672" s="713"/>
      <c r="AW2672" s="712"/>
      <c r="BY2672" s="714"/>
      <c r="BZ2672" s="715"/>
      <c r="CA2672" s="716"/>
      <c r="CB2672" s="717"/>
      <c r="CC2672" s="717"/>
      <c r="CD2672" s="717"/>
      <c r="CE2672" s="717"/>
      <c r="CF2672" s="717"/>
      <c r="CG2672" s="717"/>
      <c r="CH2672" s="717"/>
      <c r="CI2672" s="717"/>
      <c r="CJ2672" s="717"/>
      <c r="CK2672" s="717"/>
      <c r="CL2672" s="717"/>
      <c r="CM2672" s="717"/>
      <c r="CN2672" s="717"/>
      <c r="CO2672" s="717"/>
      <c r="CP2672" s="717"/>
      <c r="CQ2672" s="717"/>
      <c r="CR2672" s="717"/>
      <c r="CS2672" s="717"/>
      <c r="CT2672" s="717"/>
      <c r="CU2672" s="717"/>
      <c r="CV2672" s="717"/>
      <c r="CW2672" s="717"/>
      <c r="CX2672" s="717"/>
      <c r="CY2672" s="717"/>
      <c r="CZ2672" s="717"/>
      <c r="DA2672" s="717"/>
      <c r="DB2672" s="717"/>
      <c r="DC2672" s="717"/>
      <c r="DD2672" s="717"/>
      <c r="DE2672" s="717"/>
      <c r="DF2672" s="717"/>
      <c r="DG2672" s="717"/>
      <c r="DH2672" s="717"/>
      <c r="DI2672" s="717"/>
      <c r="DJ2672" s="717"/>
      <c r="DM2672" s="711"/>
      <c r="DN2672" s="711"/>
      <c r="DO2672" s="711"/>
      <c r="DP2672" s="711"/>
      <c r="DQ2672" s="711"/>
    </row>
    <row r="2673" spans="13:121" s="709" customFormat="1" hidden="1">
      <c r="M2673" s="710"/>
      <c r="P2673" s="711"/>
      <c r="Q2673" s="712"/>
      <c r="U2673" s="711"/>
      <c r="V2673" s="711"/>
      <c r="W2673" s="711"/>
      <c r="X2673" s="711"/>
      <c r="Y2673" s="711"/>
      <c r="Z2673" s="711"/>
      <c r="AU2673" s="713"/>
      <c r="AW2673" s="712"/>
      <c r="BY2673" s="714"/>
      <c r="BZ2673" s="715"/>
      <c r="CA2673" s="716"/>
      <c r="CB2673" s="717"/>
      <c r="CC2673" s="717"/>
      <c r="CD2673" s="717"/>
      <c r="CE2673" s="717"/>
      <c r="CF2673" s="717"/>
      <c r="CG2673" s="717"/>
      <c r="CH2673" s="717"/>
      <c r="CI2673" s="717"/>
      <c r="CJ2673" s="717"/>
      <c r="CK2673" s="717"/>
      <c r="CL2673" s="717"/>
      <c r="CM2673" s="717"/>
      <c r="CN2673" s="717"/>
      <c r="CO2673" s="717"/>
      <c r="CP2673" s="717"/>
      <c r="CQ2673" s="717"/>
      <c r="CR2673" s="717"/>
      <c r="CS2673" s="717"/>
      <c r="CT2673" s="717"/>
      <c r="CU2673" s="717"/>
      <c r="CV2673" s="717"/>
      <c r="CW2673" s="717"/>
      <c r="CX2673" s="717"/>
      <c r="CY2673" s="717"/>
      <c r="CZ2673" s="717"/>
      <c r="DA2673" s="717"/>
      <c r="DB2673" s="717"/>
      <c r="DC2673" s="717"/>
      <c r="DD2673" s="717"/>
      <c r="DE2673" s="717"/>
      <c r="DF2673" s="717"/>
      <c r="DG2673" s="717"/>
      <c r="DH2673" s="717"/>
      <c r="DI2673" s="717"/>
      <c r="DJ2673" s="717"/>
      <c r="DM2673" s="711"/>
      <c r="DN2673" s="711"/>
      <c r="DO2673" s="711"/>
      <c r="DP2673" s="711"/>
      <c r="DQ2673" s="711"/>
    </row>
    <row r="2674" spans="13:121" s="709" customFormat="1" hidden="1">
      <c r="M2674" s="710"/>
      <c r="P2674" s="711"/>
      <c r="Q2674" s="712"/>
      <c r="U2674" s="711"/>
      <c r="V2674" s="711"/>
      <c r="W2674" s="711"/>
      <c r="X2674" s="711"/>
      <c r="Y2674" s="711"/>
      <c r="Z2674" s="711"/>
      <c r="AU2674" s="713"/>
      <c r="AW2674" s="712"/>
      <c r="BY2674" s="714"/>
      <c r="BZ2674" s="715"/>
      <c r="CA2674" s="716"/>
      <c r="CB2674" s="717"/>
      <c r="CC2674" s="717"/>
      <c r="CD2674" s="717"/>
      <c r="CE2674" s="717"/>
      <c r="CF2674" s="717"/>
      <c r="CG2674" s="717"/>
      <c r="CH2674" s="717"/>
      <c r="CI2674" s="717"/>
      <c r="CJ2674" s="717"/>
      <c r="CK2674" s="717"/>
      <c r="CL2674" s="717"/>
      <c r="CM2674" s="717"/>
      <c r="CN2674" s="717"/>
      <c r="CO2674" s="717"/>
      <c r="CP2674" s="717"/>
      <c r="CQ2674" s="717"/>
      <c r="CR2674" s="717"/>
      <c r="CS2674" s="717"/>
      <c r="CT2674" s="717"/>
      <c r="CU2674" s="717"/>
      <c r="CV2674" s="717"/>
      <c r="CW2674" s="717"/>
      <c r="CX2674" s="717"/>
      <c r="CY2674" s="717"/>
      <c r="CZ2674" s="717"/>
      <c r="DA2674" s="717"/>
      <c r="DB2674" s="717"/>
      <c r="DC2674" s="717"/>
      <c r="DD2674" s="717"/>
      <c r="DE2674" s="717"/>
      <c r="DF2674" s="717"/>
      <c r="DG2674" s="717"/>
      <c r="DH2674" s="717"/>
      <c r="DI2674" s="717"/>
      <c r="DJ2674" s="717"/>
      <c r="DM2674" s="711"/>
      <c r="DN2674" s="711"/>
      <c r="DO2674" s="711"/>
      <c r="DP2674" s="711"/>
      <c r="DQ2674" s="711"/>
    </row>
    <row r="2675" spans="13:121" s="709" customFormat="1" hidden="1">
      <c r="M2675" s="710"/>
      <c r="P2675" s="711"/>
      <c r="Q2675" s="712"/>
      <c r="U2675" s="711"/>
      <c r="V2675" s="711"/>
      <c r="W2675" s="711"/>
      <c r="X2675" s="711"/>
      <c r="Y2675" s="711"/>
      <c r="Z2675" s="711"/>
      <c r="AU2675" s="713"/>
      <c r="AW2675" s="712"/>
      <c r="BY2675" s="714"/>
      <c r="BZ2675" s="715"/>
      <c r="CA2675" s="716"/>
      <c r="CB2675" s="717"/>
      <c r="CC2675" s="717"/>
      <c r="CD2675" s="717"/>
      <c r="CE2675" s="717"/>
      <c r="CF2675" s="717"/>
      <c r="CG2675" s="717"/>
      <c r="CH2675" s="717"/>
      <c r="CI2675" s="717"/>
      <c r="CJ2675" s="717"/>
      <c r="CK2675" s="717"/>
      <c r="CL2675" s="717"/>
      <c r="CM2675" s="717"/>
      <c r="CN2675" s="717"/>
      <c r="CO2675" s="717"/>
      <c r="CP2675" s="717"/>
      <c r="CQ2675" s="717"/>
      <c r="CR2675" s="717"/>
      <c r="CS2675" s="717"/>
      <c r="CT2675" s="717"/>
      <c r="CU2675" s="717"/>
      <c r="CV2675" s="717"/>
      <c r="CW2675" s="717"/>
      <c r="CX2675" s="717"/>
      <c r="CY2675" s="717"/>
      <c r="CZ2675" s="717"/>
      <c r="DA2675" s="717"/>
      <c r="DB2675" s="717"/>
      <c r="DC2675" s="717"/>
      <c r="DD2675" s="717"/>
      <c r="DE2675" s="717"/>
      <c r="DF2675" s="717"/>
      <c r="DG2675" s="717"/>
      <c r="DH2675" s="717"/>
      <c r="DI2675" s="717"/>
      <c r="DJ2675" s="717"/>
      <c r="DM2675" s="711"/>
      <c r="DN2675" s="711"/>
      <c r="DO2675" s="711"/>
      <c r="DP2675" s="711"/>
      <c r="DQ2675" s="711"/>
    </row>
    <row r="2676" spans="13:121" s="709" customFormat="1" hidden="1">
      <c r="M2676" s="710"/>
      <c r="P2676" s="711"/>
      <c r="Q2676" s="712"/>
      <c r="U2676" s="711"/>
      <c r="V2676" s="711"/>
      <c r="W2676" s="711"/>
      <c r="X2676" s="711"/>
      <c r="Y2676" s="711"/>
      <c r="Z2676" s="711"/>
      <c r="AU2676" s="713"/>
      <c r="AW2676" s="712"/>
      <c r="BY2676" s="714"/>
      <c r="BZ2676" s="715"/>
      <c r="CA2676" s="716"/>
      <c r="CB2676" s="717"/>
      <c r="CC2676" s="717"/>
      <c r="CD2676" s="717"/>
      <c r="CE2676" s="717"/>
      <c r="CF2676" s="717"/>
      <c r="CG2676" s="717"/>
      <c r="CH2676" s="717"/>
      <c r="CI2676" s="717"/>
      <c r="CJ2676" s="717"/>
      <c r="CK2676" s="717"/>
      <c r="CL2676" s="717"/>
      <c r="CM2676" s="717"/>
      <c r="CN2676" s="717"/>
      <c r="CO2676" s="717"/>
      <c r="CP2676" s="717"/>
      <c r="CQ2676" s="717"/>
      <c r="CR2676" s="717"/>
      <c r="CS2676" s="717"/>
      <c r="CT2676" s="717"/>
      <c r="CU2676" s="717"/>
      <c r="CV2676" s="717"/>
      <c r="CW2676" s="717"/>
      <c r="CX2676" s="717"/>
      <c r="CY2676" s="717"/>
      <c r="CZ2676" s="717"/>
      <c r="DA2676" s="717"/>
      <c r="DB2676" s="717"/>
      <c r="DC2676" s="717"/>
      <c r="DD2676" s="717"/>
      <c r="DE2676" s="717"/>
      <c r="DF2676" s="717"/>
      <c r="DG2676" s="717"/>
      <c r="DH2676" s="717"/>
      <c r="DI2676" s="717"/>
      <c r="DJ2676" s="717"/>
      <c r="DM2676" s="711"/>
      <c r="DN2676" s="711"/>
      <c r="DO2676" s="711"/>
      <c r="DP2676" s="711"/>
      <c r="DQ2676" s="711"/>
    </row>
    <row r="2677" spans="13:121" s="709" customFormat="1" hidden="1">
      <c r="M2677" s="710"/>
      <c r="P2677" s="711"/>
      <c r="Q2677" s="712"/>
      <c r="U2677" s="711"/>
      <c r="V2677" s="711"/>
      <c r="W2677" s="711"/>
      <c r="X2677" s="711"/>
      <c r="Y2677" s="711"/>
      <c r="Z2677" s="711"/>
      <c r="AU2677" s="713"/>
      <c r="AW2677" s="712"/>
      <c r="BY2677" s="714"/>
      <c r="BZ2677" s="715"/>
      <c r="CA2677" s="716"/>
      <c r="CB2677" s="717"/>
      <c r="CC2677" s="717"/>
      <c r="CD2677" s="717"/>
      <c r="CE2677" s="717"/>
      <c r="CF2677" s="717"/>
      <c r="CG2677" s="717"/>
      <c r="CH2677" s="717"/>
      <c r="CI2677" s="717"/>
      <c r="CJ2677" s="717"/>
      <c r="CK2677" s="717"/>
      <c r="CL2677" s="717"/>
      <c r="CM2677" s="717"/>
      <c r="CN2677" s="717"/>
      <c r="CO2677" s="717"/>
      <c r="CP2677" s="717"/>
      <c r="CQ2677" s="717"/>
      <c r="CR2677" s="717"/>
      <c r="CS2677" s="717"/>
      <c r="CT2677" s="717"/>
      <c r="CU2677" s="717"/>
      <c r="CV2677" s="717"/>
      <c r="CW2677" s="717"/>
      <c r="CX2677" s="717"/>
      <c r="CY2677" s="717"/>
      <c r="CZ2677" s="717"/>
      <c r="DA2677" s="717"/>
      <c r="DB2677" s="717"/>
      <c r="DC2677" s="717"/>
      <c r="DD2677" s="717"/>
      <c r="DE2677" s="717"/>
      <c r="DF2677" s="717"/>
      <c r="DG2677" s="717"/>
      <c r="DH2677" s="717"/>
      <c r="DI2677" s="717"/>
      <c r="DJ2677" s="717"/>
      <c r="DM2677" s="711"/>
      <c r="DN2677" s="711"/>
      <c r="DO2677" s="711"/>
      <c r="DP2677" s="711"/>
      <c r="DQ2677" s="711"/>
    </row>
    <row r="2678" spans="13:121" s="709" customFormat="1" hidden="1">
      <c r="M2678" s="710"/>
      <c r="P2678" s="711"/>
      <c r="Q2678" s="712"/>
      <c r="U2678" s="711"/>
      <c r="V2678" s="711"/>
      <c r="W2678" s="711"/>
      <c r="X2678" s="711"/>
      <c r="Y2678" s="711"/>
      <c r="Z2678" s="711"/>
      <c r="AU2678" s="713"/>
      <c r="AW2678" s="712"/>
      <c r="BY2678" s="714"/>
      <c r="BZ2678" s="715"/>
      <c r="CA2678" s="716"/>
      <c r="CB2678" s="717"/>
      <c r="CC2678" s="717"/>
      <c r="CD2678" s="717"/>
      <c r="CE2678" s="717"/>
      <c r="CF2678" s="717"/>
      <c r="CG2678" s="717"/>
      <c r="CH2678" s="717"/>
      <c r="CI2678" s="717"/>
      <c r="CJ2678" s="717"/>
      <c r="CK2678" s="717"/>
      <c r="CL2678" s="717"/>
      <c r="CM2678" s="717"/>
      <c r="CN2678" s="717"/>
      <c r="CO2678" s="717"/>
      <c r="CP2678" s="717"/>
      <c r="CQ2678" s="717"/>
      <c r="CR2678" s="717"/>
      <c r="CS2678" s="717"/>
      <c r="CT2678" s="717"/>
      <c r="CU2678" s="717"/>
      <c r="CV2678" s="717"/>
      <c r="CW2678" s="717"/>
      <c r="CX2678" s="717"/>
      <c r="CY2678" s="717"/>
      <c r="CZ2678" s="717"/>
      <c r="DA2678" s="717"/>
      <c r="DB2678" s="717"/>
      <c r="DC2678" s="717"/>
      <c r="DD2678" s="717"/>
      <c r="DE2678" s="717"/>
      <c r="DF2678" s="717"/>
      <c r="DG2678" s="717"/>
      <c r="DH2678" s="717"/>
      <c r="DI2678" s="717"/>
      <c r="DJ2678" s="717"/>
      <c r="DM2678" s="711"/>
      <c r="DN2678" s="711"/>
      <c r="DO2678" s="711"/>
      <c r="DP2678" s="711"/>
      <c r="DQ2678" s="711"/>
    </row>
    <row r="2679" spans="13:121" s="709" customFormat="1" hidden="1">
      <c r="M2679" s="710"/>
      <c r="P2679" s="711"/>
      <c r="Q2679" s="712"/>
      <c r="U2679" s="711"/>
      <c r="V2679" s="711"/>
      <c r="W2679" s="711"/>
      <c r="X2679" s="711"/>
      <c r="Y2679" s="711"/>
      <c r="Z2679" s="711"/>
      <c r="AU2679" s="713"/>
      <c r="AW2679" s="712"/>
      <c r="BY2679" s="714"/>
      <c r="BZ2679" s="715"/>
      <c r="CA2679" s="716"/>
      <c r="CB2679" s="717"/>
      <c r="CC2679" s="717"/>
      <c r="CD2679" s="717"/>
      <c r="CE2679" s="717"/>
      <c r="CF2679" s="717"/>
      <c r="CG2679" s="717"/>
      <c r="CH2679" s="717"/>
      <c r="CI2679" s="717"/>
      <c r="CJ2679" s="717"/>
      <c r="CK2679" s="717"/>
      <c r="CL2679" s="717"/>
      <c r="CM2679" s="717"/>
      <c r="CN2679" s="717"/>
      <c r="CO2679" s="717"/>
      <c r="CP2679" s="717"/>
      <c r="CQ2679" s="717"/>
      <c r="CR2679" s="717"/>
      <c r="CS2679" s="717"/>
      <c r="CT2679" s="717"/>
      <c r="CU2679" s="717"/>
      <c r="CV2679" s="717"/>
      <c r="CW2679" s="717"/>
      <c r="CX2679" s="717"/>
      <c r="CY2679" s="717"/>
      <c r="CZ2679" s="717"/>
      <c r="DA2679" s="717"/>
      <c r="DB2679" s="717"/>
      <c r="DC2679" s="717"/>
      <c r="DD2679" s="717"/>
      <c r="DE2679" s="717"/>
      <c r="DF2679" s="717"/>
      <c r="DG2679" s="717"/>
      <c r="DH2679" s="717"/>
      <c r="DI2679" s="717"/>
      <c r="DJ2679" s="717"/>
      <c r="DM2679" s="711"/>
      <c r="DN2679" s="711"/>
      <c r="DO2679" s="711"/>
      <c r="DP2679" s="711"/>
      <c r="DQ2679" s="711"/>
    </row>
    <row r="2680" spans="13:121" s="709" customFormat="1" hidden="1">
      <c r="M2680" s="710"/>
      <c r="P2680" s="711"/>
      <c r="Q2680" s="712"/>
      <c r="U2680" s="711"/>
      <c r="V2680" s="711"/>
      <c r="W2680" s="711"/>
      <c r="X2680" s="711"/>
      <c r="Y2680" s="711"/>
      <c r="Z2680" s="711"/>
      <c r="AU2680" s="713"/>
      <c r="AW2680" s="712"/>
      <c r="BY2680" s="714"/>
      <c r="BZ2680" s="715"/>
      <c r="CA2680" s="716"/>
      <c r="CB2680" s="717"/>
      <c r="CC2680" s="717"/>
      <c r="CD2680" s="717"/>
      <c r="CE2680" s="717"/>
      <c r="CF2680" s="717"/>
      <c r="CG2680" s="717"/>
      <c r="CH2680" s="717"/>
      <c r="CI2680" s="717"/>
      <c r="CJ2680" s="717"/>
      <c r="CK2680" s="717"/>
      <c r="CL2680" s="717"/>
      <c r="CM2680" s="717"/>
      <c r="CN2680" s="717"/>
      <c r="CO2680" s="717"/>
      <c r="CP2680" s="717"/>
      <c r="CQ2680" s="717"/>
      <c r="CR2680" s="717"/>
      <c r="CS2680" s="717"/>
      <c r="CT2680" s="717"/>
      <c r="CU2680" s="717"/>
      <c r="CV2680" s="717"/>
      <c r="CW2680" s="717"/>
      <c r="CX2680" s="717"/>
      <c r="CY2680" s="717"/>
      <c r="CZ2680" s="717"/>
      <c r="DA2680" s="717"/>
      <c r="DB2680" s="717"/>
      <c r="DC2680" s="717"/>
      <c r="DD2680" s="717"/>
      <c r="DE2680" s="717"/>
      <c r="DF2680" s="717"/>
      <c r="DG2680" s="717"/>
      <c r="DH2680" s="717"/>
      <c r="DI2680" s="717"/>
      <c r="DJ2680" s="717"/>
      <c r="DM2680" s="711"/>
      <c r="DN2680" s="711"/>
      <c r="DO2680" s="711"/>
      <c r="DP2680" s="711"/>
      <c r="DQ2680" s="711"/>
    </row>
    <row r="2681" spans="13:121" s="709" customFormat="1" hidden="1">
      <c r="M2681" s="710"/>
      <c r="P2681" s="711"/>
      <c r="Q2681" s="712"/>
      <c r="U2681" s="711"/>
      <c r="V2681" s="711"/>
      <c r="W2681" s="711"/>
      <c r="X2681" s="711"/>
      <c r="Y2681" s="711"/>
      <c r="Z2681" s="711"/>
      <c r="AU2681" s="713"/>
      <c r="AW2681" s="712"/>
      <c r="BY2681" s="714"/>
      <c r="BZ2681" s="715"/>
      <c r="CA2681" s="716"/>
      <c r="CB2681" s="717"/>
      <c r="CC2681" s="717"/>
      <c r="CD2681" s="717"/>
      <c r="CE2681" s="717"/>
      <c r="CF2681" s="717"/>
      <c r="CG2681" s="717"/>
      <c r="CH2681" s="717"/>
      <c r="CI2681" s="717"/>
      <c r="CJ2681" s="717"/>
      <c r="CK2681" s="717"/>
      <c r="CL2681" s="717"/>
      <c r="CM2681" s="717"/>
      <c r="CN2681" s="717"/>
      <c r="CO2681" s="717"/>
      <c r="CP2681" s="717"/>
      <c r="CQ2681" s="717"/>
      <c r="CR2681" s="717"/>
      <c r="CS2681" s="717"/>
      <c r="CT2681" s="717"/>
      <c r="CU2681" s="717"/>
      <c r="CV2681" s="717"/>
      <c r="CW2681" s="717"/>
      <c r="CX2681" s="717"/>
      <c r="CY2681" s="717"/>
      <c r="CZ2681" s="717"/>
      <c r="DA2681" s="717"/>
      <c r="DB2681" s="717"/>
      <c r="DC2681" s="717"/>
      <c r="DD2681" s="717"/>
      <c r="DE2681" s="717"/>
      <c r="DF2681" s="717"/>
      <c r="DG2681" s="717"/>
      <c r="DH2681" s="717"/>
      <c r="DI2681" s="717"/>
      <c r="DJ2681" s="717"/>
      <c r="DM2681" s="711"/>
      <c r="DN2681" s="711"/>
      <c r="DO2681" s="711"/>
      <c r="DP2681" s="711"/>
      <c r="DQ2681" s="711"/>
    </row>
    <row r="2682" spans="13:121" s="709" customFormat="1" hidden="1">
      <c r="M2682" s="710"/>
      <c r="P2682" s="711"/>
      <c r="Q2682" s="712"/>
      <c r="U2682" s="711"/>
      <c r="V2682" s="711"/>
      <c r="W2682" s="711"/>
      <c r="X2682" s="711"/>
      <c r="Y2682" s="711"/>
      <c r="Z2682" s="711"/>
      <c r="AU2682" s="713"/>
      <c r="AW2682" s="712"/>
      <c r="BY2682" s="714"/>
      <c r="BZ2682" s="715"/>
      <c r="CA2682" s="716"/>
      <c r="CB2682" s="717"/>
      <c r="CC2682" s="717"/>
      <c r="CD2682" s="717"/>
      <c r="CE2682" s="717"/>
      <c r="CF2682" s="717"/>
      <c r="CG2682" s="717"/>
      <c r="CH2682" s="717"/>
      <c r="CI2682" s="717"/>
      <c r="CJ2682" s="717"/>
      <c r="CK2682" s="717"/>
      <c r="CL2682" s="717"/>
      <c r="CM2682" s="717"/>
      <c r="CN2682" s="717"/>
      <c r="CO2682" s="717"/>
      <c r="CP2682" s="717"/>
      <c r="CQ2682" s="717"/>
      <c r="CR2682" s="717"/>
      <c r="CS2682" s="717"/>
      <c r="CT2682" s="717"/>
      <c r="CU2682" s="717"/>
      <c r="CV2682" s="717"/>
      <c r="CW2682" s="717"/>
      <c r="CX2682" s="717"/>
      <c r="CY2682" s="717"/>
      <c r="CZ2682" s="717"/>
      <c r="DA2682" s="717"/>
      <c r="DB2682" s="717"/>
      <c r="DC2682" s="717"/>
      <c r="DD2682" s="717"/>
      <c r="DE2682" s="717"/>
      <c r="DF2682" s="717"/>
      <c r="DG2682" s="717"/>
      <c r="DH2682" s="717"/>
      <c r="DI2682" s="717"/>
      <c r="DJ2682" s="717"/>
      <c r="DM2682" s="711"/>
      <c r="DN2682" s="711"/>
      <c r="DO2682" s="711"/>
      <c r="DP2682" s="711"/>
      <c r="DQ2682" s="711"/>
    </row>
    <row r="2683" spans="13:121" s="709" customFormat="1" hidden="1">
      <c r="M2683" s="710"/>
      <c r="P2683" s="711"/>
      <c r="Q2683" s="712"/>
      <c r="U2683" s="711"/>
      <c r="V2683" s="711"/>
      <c r="W2683" s="711"/>
      <c r="X2683" s="711"/>
      <c r="Y2683" s="711"/>
      <c r="Z2683" s="711"/>
      <c r="AU2683" s="713"/>
      <c r="AW2683" s="712"/>
      <c r="BY2683" s="714"/>
      <c r="BZ2683" s="715"/>
      <c r="CA2683" s="716"/>
      <c r="CB2683" s="717"/>
      <c r="CC2683" s="717"/>
      <c r="CD2683" s="717"/>
      <c r="CE2683" s="717"/>
      <c r="CF2683" s="717"/>
      <c r="CG2683" s="717"/>
      <c r="CH2683" s="717"/>
      <c r="CI2683" s="717"/>
      <c r="CJ2683" s="717"/>
      <c r="CK2683" s="717"/>
      <c r="CL2683" s="717"/>
      <c r="CM2683" s="717"/>
      <c r="CN2683" s="717"/>
      <c r="CO2683" s="717"/>
      <c r="CP2683" s="717"/>
      <c r="CQ2683" s="717"/>
      <c r="CR2683" s="717"/>
      <c r="CS2683" s="717"/>
      <c r="CT2683" s="717"/>
      <c r="CU2683" s="717"/>
      <c r="CV2683" s="717"/>
      <c r="CW2683" s="717"/>
      <c r="CX2683" s="717"/>
      <c r="CY2683" s="717"/>
      <c r="CZ2683" s="717"/>
      <c r="DA2683" s="717"/>
      <c r="DB2683" s="717"/>
      <c r="DC2683" s="717"/>
      <c r="DD2683" s="717"/>
      <c r="DE2683" s="717"/>
      <c r="DF2683" s="717"/>
      <c r="DG2683" s="717"/>
      <c r="DH2683" s="717"/>
      <c r="DI2683" s="717"/>
      <c r="DJ2683" s="717"/>
      <c r="DM2683" s="711"/>
      <c r="DN2683" s="711"/>
      <c r="DO2683" s="711"/>
      <c r="DP2683" s="711"/>
      <c r="DQ2683" s="711"/>
    </row>
    <row r="2684" spans="13:121" s="709" customFormat="1" hidden="1">
      <c r="M2684" s="710"/>
      <c r="P2684" s="711"/>
      <c r="Q2684" s="712"/>
      <c r="U2684" s="711"/>
      <c r="V2684" s="711"/>
      <c r="W2684" s="711"/>
      <c r="X2684" s="711"/>
      <c r="Y2684" s="711"/>
      <c r="Z2684" s="711"/>
      <c r="AU2684" s="713"/>
      <c r="AW2684" s="712"/>
      <c r="BY2684" s="714"/>
      <c r="BZ2684" s="715"/>
      <c r="CA2684" s="716"/>
      <c r="CB2684" s="717"/>
      <c r="CC2684" s="717"/>
      <c r="CD2684" s="717"/>
      <c r="CE2684" s="717"/>
      <c r="CF2684" s="717"/>
      <c r="CG2684" s="717"/>
      <c r="CH2684" s="717"/>
      <c r="CI2684" s="717"/>
      <c r="CJ2684" s="717"/>
      <c r="CK2684" s="717"/>
      <c r="CL2684" s="717"/>
      <c r="CM2684" s="717"/>
      <c r="CN2684" s="717"/>
      <c r="CO2684" s="717"/>
      <c r="CP2684" s="717"/>
      <c r="CQ2684" s="717"/>
      <c r="CR2684" s="717"/>
      <c r="CS2684" s="717"/>
      <c r="CT2684" s="717"/>
      <c r="CU2684" s="717"/>
      <c r="CV2684" s="717"/>
      <c r="CW2684" s="717"/>
      <c r="CX2684" s="717"/>
      <c r="CY2684" s="717"/>
      <c r="CZ2684" s="717"/>
      <c r="DA2684" s="717"/>
      <c r="DB2684" s="717"/>
      <c r="DC2684" s="717"/>
      <c r="DD2684" s="717"/>
      <c r="DE2684" s="717"/>
      <c r="DF2684" s="717"/>
      <c r="DG2684" s="717"/>
      <c r="DH2684" s="717"/>
      <c r="DI2684" s="717"/>
      <c r="DJ2684" s="717"/>
      <c r="DM2684" s="711"/>
      <c r="DN2684" s="711"/>
      <c r="DO2684" s="711"/>
      <c r="DP2684" s="711"/>
      <c r="DQ2684" s="711"/>
    </row>
    <row r="2685" spans="13:121" s="709" customFormat="1" hidden="1">
      <c r="M2685" s="710"/>
      <c r="P2685" s="711"/>
      <c r="Q2685" s="712"/>
      <c r="U2685" s="711"/>
      <c r="V2685" s="711"/>
      <c r="W2685" s="711"/>
      <c r="X2685" s="711"/>
      <c r="Y2685" s="711"/>
      <c r="Z2685" s="711"/>
      <c r="AU2685" s="713"/>
      <c r="AW2685" s="712"/>
      <c r="BY2685" s="714"/>
      <c r="BZ2685" s="715"/>
      <c r="CA2685" s="716"/>
      <c r="CB2685" s="717"/>
      <c r="CC2685" s="717"/>
      <c r="CD2685" s="717"/>
      <c r="CE2685" s="717"/>
      <c r="CF2685" s="717"/>
      <c r="CG2685" s="717"/>
      <c r="CH2685" s="717"/>
      <c r="CI2685" s="717"/>
      <c r="CJ2685" s="717"/>
      <c r="CK2685" s="717"/>
      <c r="CL2685" s="717"/>
      <c r="CM2685" s="717"/>
      <c r="CN2685" s="717"/>
      <c r="CO2685" s="717"/>
      <c r="CP2685" s="717"/>
      <c r="CQ2685" s="717"/>
      <c r="CR2685" s="717"/>
      <c r="CS2685" s="717"/>
      <c r="CT2685" s="717"/>
      <c r="CU2685" s="717"/>
      <c r="CV2685" s="717"/>
      <c r="CW2685" s="717"/>
      <c r="CX2685" s="717"/>
      <c r="CY2685" s="717"/>
      <c r="CZ2685" s="717"/>
      <c r="DA2685" s="717"/>
      <c r="DB2685" s="717"/>
      <c r="DC2685" s="717"/>
      <c r="DD2685" s="717"/>
      <c r="DE2685" s="717"/>
      <c r="DF2685" s="717"/>
      <c r="DG2685" s="717"/>
      <c r="DH2685" s="717"/>
      <c r="DI2685" s="717"/>
      <c r="DJ2685" s="717"/>
      <c r="DM2685" s="711"/>
      <c r="DN2685" s="711"/>
      <c r="DO2685" s="711"/>
      <c r="DP2685" s="711"/>
      <c r="DQ2685" s="711"/>
    </row>
    <row r="2686" spans="13:121" s="709" customFormat="1" hidden="1">
      <c r="M2686" s="710"/>
      <c r="P2686" s="711"/>
      <c r="Q2686" s="712"/>
      <c r="U2686" s="711"/>
      <c r="V2686" s="711"/>
      <c r="W2686" s="711"/>
      <c r="X2686" s="711"/>
      <c r="Y2686" s="711"/>
      <c r="Z2686" s="711"/>
      <c r="AU2686" s="713"/>
      <c r="AW2686" s="712"/>
      <c r="BY2686" s="714"/>
      <c r="BZ2686" s="715"/>
      <c r="CA2686" s="716"/>
      <c r="CB2686" s="717"/>
      <c r="CC2686" s="717"/>
      <c r="CD2686" s="717"/>
      <c r="CE2686" s="717"/>
      <c r="CF2686" s="717"/>
      <c r="CG2686" s="717"/>
      <c r="CH2686" s="717"/>
      <c r="CI2686" s="717"/>
      <c r="CJ2686" s="717"/>
      <c r="CK2686" s="717"/>
      <c r="CL2686" s="717"/>
      <c r="CM2686" s="717"/>
      <c r="CN2686" s="717"/>
      <c r="CO2686" s="717"/>
      <c r="CP2686" s="717"/>
      <c r="CQ2686" s="717"/>
      <c r="CR2686" s="717"/>
      <c r="CS2686" s="717"/>
      <c r="CT2686" s="717"/>
      <c r="CU2686" s="717"/>
      <c r="CV2686" s="717"/>
      <c r="CW2686" s="717"/>
      <c r="CX2686" s="717"/>
      <c r="CY2686" s="717"/>
      <c r="CZ2686" s="717"/>
      <c r="DA2686" s="717"/>
      <c r="DB2686" s="717"/>
      <c r="DC2686" s="717"/>
      <c r="DD2686" s="717"/>
      <c r="DE2686" s="717"/>
      <c r="DF2686" s="717"/>
      <c r="DG2686" s="717"/>
      <c r="DH2686" s="717"/>
      <c r="DI2686" s="717"/>
      <c r="DJ2686" s="717"/>
      <c r="DM2686" s="711"/>
      <c r="DN2686" s="711"/>
      <c r="DO2686" s="711"/>
      <c r="DP2686" s="711"/>
      <c r="DQ2686" s="711"/>
    </row>
    <row r="2687" spans="13:121" s="709" customFormat="1" hidden="1">
      <c r="M2687" s="710"/>
      <c r="P2687" s="711"/>
      <c r="Q2687" s="712"/>
      <c r="U2687" s="711"/>
      <c r="V2687" s="711"/>
      <c r="W2687" s="711"/>
      <c r="X2687" s="711"/>
      <c r="Y2687" s="711"/>
      <c r="Z2687" s="711"/>
      <c r="AU2687" s="713"/>
      <c r="AW2687" s="712"/>
      <c r="BY2687" s="714"/>
      <c r="BZ2687" s="715"/>
      <c r="CA2687" s="716"/>
      <c r="CB2687" s="717"/>
      <c r="CC2687" s="717"/>
      <c r="CD2687" s="717"/>
      <c r="CE2687" s="717"/>
      <c r="CF2687" s="717"/>
      <c r="CG2687" s="717"/>
      <c r="CH2687" s="717"/>
      <c r="CI2687" s="717"/>
      <c r="CJ2687" s="717"/>
      <c r="CK2687" s="717"/>
      <c r="CL2687" s="717"/>
      <c r="CM2687" s="717"/>
      <c r="CN2687" s="717"/>
      <c r="CO2687" s="717"/>
      <c r="CP2687" s="717"/>
      <c r="CQ2687" s="717"/>
      <c r="CR2687" s="717"/>
      <c r="CS2687" s="717"/>
      <c r="CT2687" s="717"/>
      <c r="CU2687" s="717"/>
      <c r="CV2687" s="717"/>
      <c r="CW2687" s="717"/>
      <c r="CX2687" s="717"/>
      <c r="CY2687" s="717"/>
      <c r="CZ2687" s="717"/>
      <c r="DA2687" s="717"/>
      <c r="DB2687" s="717"/>
      <c r="DC2687" s="717"/>
      <c r="DD2687" s="717"/>
      <c r="DE2687" s="717"/>
      <c r="DF2687" s="717"/>
      <c r="DG2687" s="717"/>
      <c r="DH2687" s="717"/>
      <c r="DI2687" s="717"/>
      <c r="DJ2687" s="717"/>
      <c r="DM2687" s="711"/>
      <c r="DN2687" s="711"/>
      <c r="DO2687" s="711"/>
      <c r="DP2687" s="711"/>
      <c r="DQ2687" s="711"/>
    </row>
    <row r="2688" spans="13:121" s="709" customFormat="1" hidden="1">
      <c r="M2688" s="710"/>
      <c r="P2688" s="711"/>
      <c r="Q2688" s="712"/>
      <c r="U2688" s="711"/>
      <c r="V2688" s="711"/>
      <c r="W2688" s="711"/>
      <c r="X2688" s="711"/>
      <c r="Y2688" s="711"/>
      <c r="Z2688" s="711"/>
      <c r="AU2688" s="713"/>
      <c r="AW2688" s="712"/>
      <c r="BY2688" s="714"/>
      <c r="BZ2688" s="715"/>
      <c r="CA2688" s="716"/>
      <c r="CB2688" s="717"/>
      <c r="CC2688" s="717"/>
      <c r="CD2688" s="717"/>
      <c r="CE2688" s="717"/>
      <c r="CF2688" s="717"/>
      <c r="CG2688" s="717"/>
      <c r="CH2688" s="717"/>
      <c r="CI2688" s="717"/>
      <c r="CJ2688" s="717"/>
      <c r="CK2688" s="717"/>
      <c r="CL2688" s="717"/>
      <c r="CM2688" s="717"/>
      <c r="CN2688" s="717"/>
      <c r="CO2688" s="717"/>
      <c r="CP2688" s="717"/>
      <c r="CQ2688" s="717"/>
      <c r="CR2688" s="717"/>
      <c r="CS2688" s="717"/>
      <c r="CT2688" s="717"/>
      <c r="CU2688" s="717"/>
      <c r="CV2688" s="717"/>
      <c r="CW2688" s="717"/>
      <c r="CX2688" s="717"/>
      <c r="CY2688" s="717"/>
      <c r="CZ2688" s="717"/>
      <c r="DA2688" s="717"/>
      <c r="DB2688" s="717"/>
      <c r="DC2688" s="717"/>
      <c r="DD2688" s="717"/>
      <c r="DE2688" s="717"/>
      <c r="DF2688" s="717"/>
      <c r="DG2688" s="717"/>
      <c r="DH2688" s="717"/>
      <c r="DI2688" s="717"/>
      <c r="DJ2688" s="717"/>
      <c r="DM2688" s="711"/>
      <c r="DN2688" s="711"/>
      <c r="DO2688" s="711"/>
      <c r="DP2688" s="711"/>
      <c r="DQ2688" s="711"/>
    </row>
    <row r="2689" spans="13:121" s="709" customFormat="1" hidden="1">
      <c r="M2689" s="710"/>
      <c r="P2689" s="711"/>
      <c r="Q2689" s="712"/>
      <c r="U2689" s="711"/>
      <c r="V2689" s="711"/>
      <c r="W2689" s="711"/>
      <c r="X2689" s="711"/>
      <c r="Y2689" s="711"/>
      <c r="Z2689" s="711"/>
      <c r="AU2689" s="713"/>
      <c r="AW2689" s="712"/>
      <c r="BY2689" s="714"/>
      <c r="BZ2689" s="715"/>
      <c r="CA2689" s="716"/>
      <c r="CB2689" s="717"/>
      <c r="CC2689" s="717"/>
      <c r="CD2689" s="717"/>
      <c r="CE2689" s="717"/>
      <c r="CF2689" s="717"/>
      <c r="CG2689" s="717"/>
      <c r="CH2689" s="717"/>
      <c r="CI2689" s="717"/>
      <c r="CJ2689" s="717"/>
      <c r="CK2689" s="717"/>
      <c r="CL2689" s="717"/>
      <c r="CM2689" s="717"/>
      <c r="CN2689" s="717"/>
      <c r="CO2689" s="717"/>
      <c r="CP2689" s="717"/>
      <c r="CQ2689" s="717"/>
      <c r="CR2689" s="717"/>
      <c r="CS2689" s="717"/>
      <c r="CT2689" s="717"/>
      <c r="CU2689" s="717"/>
      <c r="CV2689" s="717"/>
      <c r="CW2689" s="717"/>
      <c r="CX2689" s="717"/>
      <c r="CY2689" s="717"/>
      <c r="CZ2689" s="717"/>
      <c r="DA2689" s="717"/>
      <c r="DB2689" s="717"/>
      <c r="DC2689" s="717"/>
      <c r="DD2689" s="717"/>
      <c r="DE2689" s="717"/>
      <c r="DF2689" s="717"/>
      <c r="DG2689" s="717"/>
      <c r="DH2689" s="717"/>
      <c r="DI2689" s="717"/>
      <c r="DJ2689" s="717"/>
      <c r="DM2689" s="711"/>
      <c r="DN2689" s="711"/>
      <c r="DO2689" s="711"/>
      <c r="DP2689" s="711"/>
      <c r="DQ2689" s="711"/>
    </row>
    <row r="2690" spans="13:121" s="709" customFormat="1" hidden="1">
      <c r="M2690" s="710"/>
      <c r="P2690" s="711"/>
      <c r="Q2690" s="712"/>
      <c r="U2690" s="711"/>
      <c r="V2690" s="711"/>
      <c r="W2690" s="711"/>
      <c r="X2690" s="711"/>
      <c r="Y2690" s="711"/>
      <c r="Z2690" s="711"/>
      <c r="AU2690" s="713"/>
      <c r="AW2690" s="712"/>
      <c r="BY2690" s="714"/>
      <c r="BZ2690" s="715"/>
      <c r="CA2690" s="716"/>
      <c r="CB2690" s="717"/>
      <c r="CC2690" s="717"/>
      <c r="CD2690" s="717"/>
      <c r="CE2690" s="717"/>
      <c r="CF2690" s="717"/>
      <c r="CG2690" s="717"/>
      <c r="CH2690" s="717"/>
      <c r="CI2690" s="717"/>
      <c r="CJ2690" s="717"/>
      <c r="CK2690" s="717"/>
      <c r="CL2690" s="717"/>
      <c r="CM2690" s="717"/>
      <c r="CN2690" s="717"/>
      <c r="CO2690" s="717"/>
      <c r="CP2690" s="717"/>
      <c r="CQ2690" s="717"/>
      <c r="CR2690" s="717"/>
      <c r="CS2690" s="717"/>
      <c r="CT2690" s="717"/>
      <c r="CU2690" s="717"/>
      <c r="CV2690" s="717"/>
      <c r="CW2690" s="717"/>
      <c r="CX2690" s="717"/>
      <c r="CY2690" s="717"/>
      <c r="CZ2690" s="717"/>
      <c r="DA2690" s="717"/>
      <c r="DB2690" s="717"/>
      <c r="DC2690" s="717"/>
      <c r="DD2690" s="717"/>
      <c r="DE2690" s="717"/>
      <c r="DF2690" s="717"/>
      <c r="DG2690" s="717"/>
      <c r="DH2690" s="717"/>
      <c r="DI2690" s="717"/>
      <c r="DJ2690" s="717"/>
      <c r="DM2690" s="711"/>
      <c r="DN2690" s="711"/>
      <c r="DO2690" s="711"/>
      <c r="DP2690" s="711"/>
      <c r="DQ2690" s="711"/>
    </row>
    <row r="2691" spans="13:121" s="709" customFormat="1" hidden="1">
      <c r="M2691" s="710"/>
      <c r="P2691" s="711"/>
      <c r="Q2691" s="712"/>
      <c r="U2691" s="711"/>
      <c r="V2691" s="711"/>
      <c r="W2691" s="711"/>
      <c r="X2691" s="711"/>
      <c r="Y2691" s="711"/>
      <c r="Z2691" s="711"/>
      <c r="AU2691" s="713"/>
      <c r="AW2691" s="712"/>
      <c r="BY2691" s="714"/>
      <c r="BZ2691" s="715"/>
      <c r="CA2691" s="716"/>
      <c r="CB2691" s="717"/>
      <c r="CC2691" s="717"/>
      <c r="CD2691" s="717"/>
      <c r="CE2691" s="717"/>
      <c r="CF2691" s="717"/>
      <c r="CG2691" s="717"/>
      <c r="CH2691" s="717"/>
      <c r="CI2691" s="717"/>
      <c r="CJ2691" s="717"/>
      <c r="CK2691" s="717"/>
      <c r="CL2691" s="717"/>
      <c r="CM2691" s="717"/>
      <c r="CN2691" s="717"/>
      <c r="CO2691" s="717"/>
      <c r="CP2691" s="717"/>
      <c r="CQ2691" s="717"/>
      <c r="CR2691" s="717"/>
      <c r="CS2691" s="717"/>
      <c r="CT2691" s="717"/>
      <c r="CU2691" s="717"/>
      <c r="CV2691" s="717"/>
      <c r="CW2691" s="717"/>
      <c r="CX2691" s="717"/>
      <c r="CY2691" s="717"/>
      <c r="CZ2691" s="717"/>
      <c r="DA2691" s="717"/>
      <c r="DB2691" s="717"/>
      <c r="DC2691" s="717"/>
      <c r="DD2691" s="717"/>
      <c r="DE2691" s="717"/>
      <c r="DF2691" s="717"/>
      <c r="DG2691" s="717"/>
      <c r="DH2691" s="717"/>
      <c r="DI2691" s="717"/>
      <c r="DJ2691" s="717"/>
      <c r="DM2691" s="711"/>
      <c r="DN2691" s="711"/>
      <c r="DO2691" s="711"/>
      <c r="DP2691" s="711"/>
      <c r="DQ2691" s="711"/>
    </row>
    <row r="2692" spans="13:121" s="709" customFormat="1" hidden="1">
      <c r="M2692" s="710"/>
      <c r="P2692" s="711"/>
      <c r="Q2692" s="712"/>
      <c r="U2692" s="711"/>
      <c r="V2692" s="711"/>
      <c r="W2692" s="711"/>
      <c r="X2692" s="711"/>
      <c r="Y2692" s="711"/>
      <c r="Z2692" s="711"/>
      <c r="AU2692" s="713"/>
      <c r="AW2692" s="712"/>
      <c r="BY2692" s="714"/>
      <c r="BZ2692" s="715"/>
      <c r="CA2692" s="716"/>
      <c r="CB2692" s="717"/>
      <c r="CC2692" s="717"/>
      <c r="CD2692" s="717"/>
      <c r="CE2692" s="717"/>
      <c r="CF2692" s="717"/>
      <c r="CG2692" s="717"/>
      <c r="CH2692" s="717"/>
      <c r="CI2692" s="717"/>
      <c r="CJ2692" s="717"/>
      <c r="CK2692" s="717"/>
      <c r="CL2692" s="717"/>
      <c r="CM2692" s="717"/>
      <c r="CN2692" s="717"/>
      <c r="CO2692" s="717"/>
      <c r="CP2692" s="717"/>
      <c r="CQ2692" s="717"/>
      <c r="CR2692" s="717"/>
      <c r="CS2692" s="717"/>
      <c r="CT2692" s="717"/>
      <c r="CU2692" s="717"/>
      <c r="CV2692" s="717"/>
      <c r="CW2692" s="717"/>
      <c r="CX2692" s="717"/>
      <c r="CY2692" s="717"/>
      <c r="CZ2692" s="717"/>
      <c r="DA2692" s="717"/>
      <c r="DB2692" s="717"/>
      <c r="DC2692" s="717"/>
      <c r="DD2692" s="717"/>
      <c r="DE2692" s="717"/>
      <c r="DF2692" s="717"/>
      <c r="DG2692" s="717"/>
      <c r="DH2692" s="717"/>
      <c r="DI2692" s="717"/>
      <c r="DJ2692" s="717"/>
      <c r="DM2692" s="711"/>
      <c r="DN2692" s="711"/>
      <c r="DO2692" s="711"/>
      <c r="DP2692" s="711"/>
      <c r="DQ2692" s="711"/>
    </row>
    <row r="2693" spans="13:121" s="709" customFormat="1" hidden="1">
      <c r="M2693" s="710"/>
      <c r="P2693" s="711"/>
      <c r="Q2693" s="712"/>
      <c r="U2693" s="711"/>
      <c r="V2693" s="711"/>
      <c r="W2693" s="711"/>
      <c r="X2693" s="711"/>
      <c r="Y2693" s="711"/>
      <c r="Z2693" s="711"/>
      <c r="AU2693" s="713"/>
      <c r="AW2693" s="712"/>
      <c r="BY2693" s="714"/>
      <c r="BZ2693" s="715"/>
      <c r="CA2693" s="716"/>
      <c r="CB2693" s="717"/>
      <c r="CC2693" s="717"/>
      <c r="CD2693" s="717"/>
      <c r="CE2693" s="717"/>
      <c r="CF2693" s="717"/>
      <c r="CG2693" s="717"/>
      <c r="CH2693" s="717"/>
      <c r="CI2693" s="717"/>
      <c r="CJ2693" s="717"/>
      <c r="CK2693" s="717"/>
      <c r="CL2693" s="717"/>
      <c r="CM2693" s="717"/>
      <c r="CN2693" s="717"/>
      <c r="CO2693" s="717"/>
      <c r="CP2693" s="717"/>
      <c r="CQ2693" s="717"/>
      <c r="CR2693" s="717"/>
      <c r="CS2693" s="717"/>
      <c r="CT2693" s="717"/>
      <c r="CU2693" s="717"/>
      <c r="CV2693" s="717"/>
      <c r="CW2693" s="717"/>
      <c r="CX2693" s="717"/>
      <c r="CY2693" s="717"/>
      <c r="CZ2693" s="717"/>
      <c r="DA2693" s="717"/>
      <c r="DB2693" s="717"/>
      <c r="DC2693" s="717"/>
      <c r="DD2693" s="717"/>
      <c r="DE2693" s="717"/>
      <c r="DF2693" s="717"/>
      <c r="DG2693" s="717"/>
      <c r="DH2693" s="717"/>
      <c r="DI2693" s="717"/>
      <c r="DJ2693" s="717"/>
      <c r="DM2693" s="711"/>
      <c r="DN2693" s="711"/>
      <c r="DO2693" s="711"/>
      <c r="DP2693" s="711"/>
      <c r="DQ2693" s="711"/>
    </row>
    <row r="2694" spans="13:121" s="709" customFormat="1" hidden="1">
      <c r="M2694" s="710"/>
      <c r="P2694" s="711"/>
      <c r="Q2694" s="712"/>
      <c r="U2694" s="711"/>
      <c r="V2694" s="711"/>
      <c r="W2694" s="711"/>
      <c r="X2694" s="711"/>
      <c r="Y2694" s="711"/>
      <c r="Z2694" s="711"/>
      <c r="AU2694" s="713"/>
      <c r="AW2694" s="712"/>
      <c r="BY2694" s="714"/>
      <c r="BZ2694" s="715"/>
      <c r="CA2694" s="716"/>
      <c r="CB2694" s="717"/>
      <c r="CC2694" s="717"/>
      <c r="CD2694" s="717"/>
      <c r="CE2694" s="717"/>
      <c r="CF2694" s="717"/>
      <c r="CG2694" s="717"/>
      <c r="CH2694" s="717"/>
      <c r="CI2694" s="717"/>
      <c r="CJ2694" s="717"/>
      <c r="CK2694" s="717"/>
      <c r="CL2694" s="717"/>
      <c r="CM2694" s="717"/>
      <c r="CN2694" s="717"/>
      <c r="CO2694" s="717"/>
      <c r="CP2694" s="717"/>
      <c r="CQ2694" s="717"/>
      <c r="CR2694" s="717"/>
      <c r="CS2694" s="717"/>
      <c r="CT2694" s="717"/>
      <c r="CU2694" s="717"/>
      <c r="CV2694" s="717"/>
      <c r="CW2694" s="717"/>
      <c r="CX2694" s="717"/>
      <c r="CY2694" s="717"/>
      <c r="CZ2694" s="717"/>
      <c r="DA2694" s="717"/>
      <c r="DB2694" s="717"/>
      <c r="DC2694" s="717"/>
      <c r="DD2694" s="717"/>
      <c r="DE2694" s="717"/>
      <c r="DF2694" s="717"/>
      <c r="DG2694" s="717"/>
      <c r="DH2694" s="717"/>
      <c r="DI2694" s="717"/>
      <c r="DJ2694" s="717"/>
      <c r="DM2694" s="711"/>
      <c r="DN2694" s="711"/>
      <c r="DO2694" s="711"/>
      <c r="DP2694" s="711"/>
      <c r="DQ2694" s="711"/>
    </row>
    <row r="2695" spans="13:121" s="709" customFormat="1" hidden="1">
      <c r="M2695" s="710"/>
      <c r="P2695" s="711"/>
      <c r="Q2695" s="712"/>
      <c r="U2695" s="711"/>
      <c r="V2695" s="711"/>
      <c r="W2695" s="711"/>
      <c r="X2695" s="711"/>
      <c r="Y2695" s="711"/>
      <c r="Z2695" s="711"/>
      <c r="AU2695" s="713"/>
      <c r="AW2695" s="712"/>
      <c r="BY2695" s="714"/>
      <c r="BZ2695" s="715"/>
      <c r="CA2695" s="716"/>
      <c r="CB2695" s="717"/>
      <c r="CC2695" s="717"/>
      <c r="CD2695" s="717"/>
      <c r="CE2695" s="717"/>
      <c r="CF2695" s="717"/>
      <c r="CG2695" s="717"/>
      <c r="CH2695" s="717"/>
      <c r="CI2695" s="717"/>
      <c r="CJ2695" s="717"/>
      <c r="CK2695" s="717"/>
      <c r="CL2695" s="717"/>
      <c r="CM2695" s="717"/>
      <c r="CN2695" s="717"/>
      <c r="CO2695" s="717"/>
      <c r="CP2695" s="717"/>
      <c r="CQ2695" s="717"/>
      <c r="CR2695" s="717"/>
      <c r="CS2695" s="717"/>
      <c r="CT2695" s="717"/>
      <c r="CU2695" s="717"/>
      <c r="CV2695" s="717"/>
      <c r="CW2695" s="717"/>
      <c r="CX2695" s="717"/>
      <c r="CY2695" s="717"/>
      <c r="CZ2695" s="717"/>
      <c r="DA2695" s="717"/>
      <c r="DB2695" s="717"/>
      <c r="DC2695" s="717"/>
      <c r="DD2695" s="717"/>
      <c r="DE2695" s="717"/>
      <c r="DF2695" s="717"/>
      <c r="DG2695" s="717"/>
      <c r="DH2695" s="717"/>
      <c r="DI2695" s="717"/>
      <c r="DJ2695" s="717"/>
      <c r="DM2695" s="711"/>
      <c r="DN2695" s="711"/>
      <c r="DO2695" s="711"/>
      <c r="DP2695" s="711"/>
      <c r="DQ2695" s="711"/>
    </row>
    <row r="2696" spans="13:121" s="709" customFormat="1" hidden="1">
      <c r="M2696" s="710"/>
      <c r="P2696" s="711"/>
      <c r="Q2696" s="712"/>
      <c r="U2696" s="711"/>
      <c r="V2696" s="711"/>
      <c r="W2696" s="711"/>
      <c r="X2696" s="711"/>
      <c r="Y2696" s="711"/>
      <c r="Z2696" s="711"/>
      <c r="AU2696" s="713"/>
      <c r="AW2696" s="712"/>
      <c r="BY2696" s="714"/>
      <c r="BZ2696" s="715"/>
      <c r="CA2696" s="716"/>
      <c r="CB2696" s="717"/>
      <c r="CC2696" s="717"/>
      <c r="CD2696" s="717"/>
      <c r="CE2696" s="717"/>
      <c r="CF2696" s="717"/>
      <c r="CG2696" s="717"/>
      <c r="CH2696" s="717"/>
      <c r="CI2696" s="717"/>
      <c r="CJ2696" s="717"/>
      <c r="CK2696" s="717"/>
      <c r="CL2696" s="717"/>
      <c r="CM2696" s="717"/>
      <c r="CN2696" s="717"/>
      <c r="CO2696" s="717"/>
      <c r="CP2696" s="717"/>
      <c r="CQ2696" s="717"/>
      <c r="CR2696" s="717"/>
      <c r="CS2696" s="717"/>
      <c r="CT2696" s="717"/>
      <c r="CU2696" s="717"/>
      <c r="CV2696" s="717"/>
      <c r="CW2696" s="717"/>
      <c r="CX2696" s="717"/>
      <c r="CY2696" s="717"/>
      <c r="CZ2696" s="717"/>
      <c r="DA2696" s="717"/>
      <c r="DB2696" s="717"/>
      <c r="DC2696" s="717"/>
      <c r="DD2696" s="717"/>
      <c r="DE2696" s="717"/>
      <c r="DF2696" s="717"/>
      <c r="DG2696" s="717"/>
      <c r="DH2696" s="717"/>
      <c r="DI2696" s="717"/>
      <c r="DJ2696" s="717"/>
      <c r="DM2696" s="711"/>
      <c r="DN2696" s="711"/>
      <c r="DO2696" s="711"/>
      <c r="DP2696" s="711"/>
      <c r="DQ2696" s="711"/>
    </row>
    <row r="2697" spans="13:121" s="709" customFormat="1" hidden="1">
      <c r="M2697" s="710"/>
      <c r="P2697" s="711"/>
      <c r="Q2697" s="712"/>
      <c r="U2697" s="711"/>
      <c r="V2697" s="711"/>
      <c r="W2697" s="711"/>
      <c r="X2697" s="711"/>
      <c r="Y2697" s="711"/>
      <c r="Z2697" s="711"/>
      <c r="AU2697" s="713"/>
      <c r="AW2697" s="712"/>
      <c r="BY2697" s="714"/>
      <c r="BZ2697" s="715"/>
      <c r="CA2697" s="716"/>
      <c r="CB2697" s="717"/>
      <c r="CC2697" s="717"/>
      <c r="CD2697" s="717"/>
      <c r="CE2697" s="717"/>
      <c r="CF2697" s="717"/>
      <c r="CG2697" s="717"/>
      <c r="CH2697" s="717"/>
      <c r="CI2697" s="717"/>
      <c r="CJ2697" s="717"/>
      <c r="CK2697" s="717"/>
      <c r="CL2697" s="717"/>
      <c r="CM2697" s="717"/>
      <c r="CN2697" s="717"/>
      <c r="CO2697" s="717"/>
      <c r="CP2697" s="717"/>
      <c r="CQ2697" s="717"/>
      <c r="CR2697" s="717"/>
      <c r="CS2697" s="717"/>
      <c r="CT2697" s="717"/>
      <c r="CU2697" s="717"/>
      <c r="CV2697" s="717"/>
      <c r="CW2697" s="717"/>
      <c r="CX2697" s="717"/>
      <c r="CY2697" s="717"/>
      <c r="CZ2697" s="717"/>
      <c r="DA2697" s="717"/>
      <c r="DB2697" s="717"/>
      <c r="DC2697" s="717"/>
      <c r="DD2697" s="717"/>
      <c r="DE2697" s="717"/>
      <c r="DF2697" s="717"/>
      <c r="DG2697" s="717"/>
      <c r="DH2697" s="717"/>
      <c r="DI2697" s="717"/>
      <c r="DJ2697" s="717"/>
      <c r="DM2697" s="711"/>
      <c r="DN2697" s="711"/>
      <c r="DO2697" s="711"/>
      <c r="DP2697" s="711"/>
      <c r="DQ2697" s="711"/>
    </row>
    <row r="2698" spans="13:121" s="709" customFormat="1" hidden="1">
      <c r="M2698" s="710"/>
      <c r="P2698" s="711"/>
      <c r="Q2698" s="712"/>
      <c r="U2698" s="711"/>
      <c r="V2698" s="711"/>
      <c r="W2698" s="711"/>
      <c r="X2698" s="711"/>
      <c r="Y2698" s="711"/>
      <c r="Z2698" s="711"/>
      <c r="AU2698" s="713"/>
      <c r="AW2698" s="712"/>
      <c r="BY2698" s="714"/>
      <c r="BZ2698" s="715"/>
      <c r="CA2698" s="716"/>
      <c r="CB2698" s="717"/>
      <c r="CC2698" s="717"/>
      <c r="CD2698" s="717"/>
      <c r="CE2698" s="717"/>
      <c r="CF2698" s="717"/>
      <c r="CG2698" s="717"/>
      <c r="CH2698" s="717"/>
      <c r="CI2698" s="717"/>
      <c r="CJ2698" s="717"/>
      <c r="CK2698" s="717"/>
      <c r="CL2698" s="717"/>
      <c r="CM2698" s="717"/>
      <c r="CN2698" s="717"/>
      <c r="CO2698" s="717"/>
      <c r="CP2698" s="717"/>
      <c r="CQ2698" s="717"/>
      <c r="CR2698" s="717"/>
      <c r="CS2698" s="717"/>
      <c r="CT2698" s="717"/>
      <c r="CU2698" s="717"/>
      <c r="CV2698" s="717"/>
      <c r="CW2698" s="717"/>
      <c r="CX2698" s="717"/>
      <c r="CY2698" s="717"/>
      <c r="CZ2698" s="717"/>
      <c r="DA2698" s="717"/>
      <c r="DB2698" s="717"/>
      <c r="DC2698" s="717"/>
      <c r="DD2698" s="717"/>
      <c r="DE2698" s="717"/>
      <c r="DF2698" s="717"/>
      <c r="DG2698" s="717"/>
      <c r="DH2698" s="717"/>
      <c r="DI2698" s="717"/>
      <c r="DJ2698" s="717"/>
      <c r="DM2698" s="711"/>
      <c r="DN2698" s="711"/>
      <c r="DO2698" s="711"/>
      <c r="DP2698" s="711"/>
      <c r="DQ2698" s="711"/>
    </row>
    <row r="2699" spans="13:121" s="709" customFormat="1" hidden="1">
      <c r="M2699" s="710"/>
      <c r="P2699" s="711"/>
      <c r="Q2699" s="712"/>
      <c r="U2699" s="711"/>
      <c r="V2699" s="711"/>
      <c r="W2699" s="711"/>
      <c r="X2699" s="711"/>
      <c r="Y2699" s="711"/>
      <c r="Z2699" s="711"/>
      <c r="AU2699" s="713"/>
      <c r="AW2699" s="712"/>
      <c r="BY2699" s="714"/>
      <c r="BZ2699" s="715"/>
      <c r="CA2699" s="716"/>
      <c r="CB2699" s="717"/>
      <c r="CC2699" s="717"/>
      <c r="CD2699" s="717"/>
      <c r="CE2699" s="717"/>
      <c r="CF2699" s="717"/>
      <c r="CG2699" s="717"/>
      <c r="CH2699" s="717"/>
      <c r="CI2699" s="717"/>
      <c r="CJ2699" s="717"/>
      <c r="CK2699" s="717"/>
      <c r="CL2699" s="717"/>
      <c r="CM2699" s="717"/>
      <c r="CN2699" s="717"/>
      <c r="CO2699" s="717"/>
      <c r="CP2699" s="717"/>
      <c r="CQ2699" s="717"/>
      <c r="CR2699" s="717"/>
      <c r="CS2699" s="717"/>
      <c r="CT2699" s="717"/>
      <c r="CU2699" s="717"/>
      <c r="CV2699" s="717"/>
      <c r="CW2699" s="717"/>
      <c r="CX2699" s="717"/>
      <c r="CY2699" s="717"/>
      <c r="CZ2699" s="717"/>
      <c r="DA2699" s="717"/>
      <c r="DB2699" s="717"/>
      <c r="DC2699" s="717"/>
      <c r="DD2699" s="717"/>
      <c r="DE2699" s="717"/>
      <c r="DF2699" s="717"/>
      <c r="DG2699" s="717"/>
      <c r="DH2699" s="717"/>
      <c r="DI2699" s="717"/>
      <c r="DJ2699" s="717"/>
      <c r="DM2699" s="711"/>
      <c r="DN2699" s="711"/>
      <c r="DO2699" s="711"/>
      <c r="DP2699" s="711"/>
      <c r="DQ2699" s="711"/>
    </row>
    <row r="2700" spans="13:121" s="709" customFormat="1" hidden="1">
      <c r="M2700" s="710"/>
      <c r="P2700" s="711"/>
      <c r="Q2700" s="712"/>
      <c r="U2700" s="711"/>
      <c r="V2700" s="711"/>
      <c r="W2700" s="711"/>
      <c r="X2700" s="711"/>
      <c r="Y2700" s="711"/>
      <c r="Z2700" s="711"/>
      <c r="AU2700" s="713"/>
      <c r="AW2700" s="712"/>
      <c r="BY2700" s="714"/>
      <c r="BZ2700" s="715"/>
      <c r="CA2700" s="716"/>
      <c r="CB2700" s="717"/>
      <c r="CC2700" s="717"/>
      <c r="CD2700" s="717"/>
      <c r="CE2700" s="717"/>
      <c r="CF2700" s="717"/>
      <c r="CG2700" s="717"/>
      <c r="CH2700" s="717"/>
      <c r="CI2700" s="717"/>
      <c r="CJ2700" s="717"/>
      <c r="CK2700" s="717"/>
      <c r="CL2700" s="717"/>
      <c r="CM2700" s="717"/>
      <c r="CN2700" s="717"/>
      <c r="CO2700" s="717"/>
      <c r="CP2700" s="717"/>
      <c r="CQ2700" s="717"/>
      <c r="CR2700" s="717"/>
      <c r="CS2700" s="717"/>
      <c r="CT2700" s="717"/>
      <c r="CU2700" s="717"/>
      <c r="CV2700" s="717"/>
      <c r="CW2700" s="717"/>
      <c r="CX2700" s="717"/>
      <c r="CY2700" s="717"/>
      <c r="CZ2700" s="717"/>
      <c r="DA2700" s="717"/>
      <c r="DB2700" s="717"/>
      <c r="DC2700" s="717"/>
      <c r="DD2700" s="717"/>
      <c r="DE2700" s="717"/>
      <c r="DF2700" s="717"/>
      <c r="DG2700" s="717"/>
      <c r="DH2700" s="717"/>
      <c r="DI2700" s="717"/>
      <c r="DJ2700" s="717"/>
      <c r="DM2700" s="711"/>
      <c r="DN2700" s="711"/>
      <c r="DO2700" s="711"/>
      <c r="DP2700" s="711"/>
      <c r="DQ2700" s="711"/>
    </row>
    <row r="2701" spans="13:121" s="709" customFormat="1" hidden="1">
      <c r="M2701" s="710"/>
      <c r="P2701" s="711"/>
      <c r="Q2701" s="712"/>
      <c r="U2701" s="711"/>
      <c r="V2701" s="711"/>
      <c r="W2701" s="711"/>
      <c r="X2701" s="711"/>
      <c r="Y2701" s="711"/>
      <c r="Z2701" s="711"/>
      <c r="AU2701" s="713"/>
      <c r="AW2701" s="712"/>
      <c r="BY2701" s="714"/>
      <c r="BZ2701" s="715"/>
      <c r="CA2701" s="716"/>
      <c r="CB2701" s="717"/>
      <c r="CC2701" s="717"/>
      <c r="CD2701" s="717"/>
      <c r="CE2701" s="717"/>
      <c r="CF2701" s="717"/>
      <c r="CG2701" s="717"/>
      <c r="CH2701" s="717"/>
      <c r="CI2701" s="717"/>
      <c r="CJ2701" s="717"/>
      <c r="CK2701" s="717"/>
      <c r="CL2701" s="717"/>
      <c r="CM2701" s="717"/>
      <c r="CN2701" s="717"/>
      <c r="CO2701" s="717"/>
      <c r="CP2701" s="717"/>
      <c r="CQ2701" s="717"/>
      <c r="CR2701" s="717"/>
      <c r="CS2701" s="717"/>
      <c r="CT2701" s="717"/>
      <c r="CU2701" s="717"/>
      <c r="CV2701" s="717"/>
      <c r="CW2701" s="717"/>
      <c r="CX2701" s="717"/>
      <c r="CY2701" s="717"/>
      <c r="CZ2701" s="717"/>
      <c r="DA2701" s="717"/>
      <c r="DB2701" s="717"/>
      <c r="DC2701" s="717"/>
      <c r="DD2701" s="717"/>
      <c r="DE2701" s="717"/>
      <c r="DF2701" s="717"/>
      <c r="DG2701" s="717"/>
      <c r="DH2701" s="717"/>
      <c r="DI2701" s="717"/>
      <c r="DJ2701" s="717"/>
      <c r="DM2701" s="711"/>
      <c r="DN2701" s="711"/>
      <c r="DO2701" s="711"/>
      <c r="DP2701" s="711"/>
      <c r="DQ2701" s="711"/>
    </row>
    <row r="2702" spans="13:121" s="709" customFormat="1" hidden="1">
      <c r="M2702" s="710"/>
      <c r="P2702" s="711"/>
      <c r="Q2702" s="712"/>
      <c r="U2702" s="711"/>
      <c r="V2702" s="711"/>
      <c r="W2702" s="711"/>
      <c r="X2702" s="711"/>
      <c r="Y2702" s="711"/>
      <c r="Z2702" s="711"/>
      <c r="AU2702" s="713"/>
      <c r="AW2702" s="712"/>
      <c r="BY2702" s="714"/>
      <c r="BZ2702" s="715"/>
      <c r="CA2702" s="716"/>
      <c r="CB2702" s="717"/>
      <c r="CC2702" s="717"/>
      <c r="CD2702" s="717"/>
      <c r="CE2702" s="717"/>
      <c r="CF2702" s="717"/>
      <c r="CG2702" s="717"/>
      <c r="CH2702" s="717"/>
      <c r="CI2702" s="717"/>
      <c r="CJ2702" s="717"/>
      <c r="CK2702" s="717"/>
      <c r="CL2702" s="717"/>
      <c r="CM2702" s="717"/>
      <c r="CN2702" s="717"/>
      <c r="CO2702" s="717"/>
      <c r="CP2702" s="717"/>
      <c r="CQ2702" s="717"/>
      <c r="CR2702" s="717"/>
      <c r="CS2702" s="717"/>
      <c r="CT2702" s="717"/>
      <c r="CU2702" s="717"/>
      <c r="CV2702" s="717"/>
      <c r="CW2702" s="717"/>
      <c r="CX2702" s="717"/>
      <c r="CY2702" s="717"/>
      <c r="CZ2702" s="717"/>
      <c r="DA2702" s="717"/>
      <c r="DB2702" s="717"/>
      <c r="DC2702" s="717"/>
      <c r="DD2702" s="717"/>
      <c r="DE2702" s="717"/>
      <c r="DF2702" s="717"/>
      <c r="DG2702" s="717"/>
      <c r="DH2702" s="717"/>
      <c r="DI2702" s="717"/>
      <c r="DJ2702" s="717"/>
      <c r="DM2702" s="711"/>
      <c r="DN2702" s="711"/>
      <c r="DO2702" s="711"/>
      <c r="DP2702" s="711"/>
      <c r="DQ2702" s="711"/>
    </row>
    <row r="2703" spans="13:121" s="709" customFormat="1" hidden="1">
      <c r="M2703" s="710"/>
      <c r="P2703" s="711"/>
      <c r="Q2703" s="712"/>
      <c r="U2703" s="711"/>
      <c r="V2703" s="711"/>
      <c r="W2703" s="711"/>
      <c r="X2703" s="711"/>
      <c r="Y2703" s="711"/>
      <c r="Z2703" s="711"/>
      <c r="AU2703" s="713"/>
      <c r="AW2703" s="712"/>
      <c r="BY2703" s="714"/>
      <c r="BZ2703" s="715"/>
      <c r="CA2703" s="716"/>
      <c r="CB2703" s="717"/>
      <c r="CC2703" s="717"/>
      <c r="CD2703" s="717"/>
      <c r="CE2703" s="717"/>
      <c r="CF2703" s="717"/>
      <c r="CG2703" s="717"/>
      <c r="CH2703" s="717"/>
      <c r="CI2703" s="717"/>
      <c r="CJ2703" s="717"/>
      <c r="CK2703" s="717"/>
      <c r="CL2703" s="717"/>
      <c r="CM2703" s="717"/>
      <c r="CN2703" s="717"/>
      <c r="CO2703" s="717"/>
      <c r="CP2703" s="717"/>
      <c r="CQ2703" s="717"/>
      <c r="CR2703" s="717"/>
      <c r="CS2703" s="717"/>
      <c r="CT2703" s="717"/>
      <c r="CU2703" s="717"/>
      <c r="CV2703" s="717"/>
      <c r="CW2703" s="717"/>
      <c r="CX2703" s="717"/>
      <c r="CY2703" s="717"/>
      <c r="CZ2703" s="717"/>
      <c r="DA2703" s="717"/>
      <c r="DB2703" s="717"/>
      <c r="DC2703" s="717"/>
      <c r="DD2703" s="717"/>
      <c r="DE2703" s="717"/>
      <c r="DF2703" s="717"/>
      <c r="DG2703" s="717"/>
      <c r="DH2703" s="717"/>
      <c r="DI2703" s="717"/>
      <c r="DJ2703" s="717"/>
      <c r="DM2703" s="711"/>
      <c r="DN2703" s="711"/>
      <c r="DO2703" s="711"/>
      <c r="DP2703" s="711"/>
      <c r="DQ2703" s="711"/>
    </row>
    <row r="2704" spans="13:121" s="709" customFormat="1" hidden="1">
      <c r="M2704" s="710"/>
      <c r="P2704" s="711"/>
      <c r="Q2704" s="712"/>
      <c r="U2704" s="711"/>
      <c r="V2704" s="711"/>
      <c r="W2704" s="711"/>
      <c r="X2704" s="711"/>
      <c r="Y2704" s="711"/>
      <c r="Z2704" s="711"/>
      <c r="AU2704" s="713"/>
      <c r="AW2704" s="712"/>
      <c r="BY2704" s="714"/>
      <c r="BZ2704" s="715"/>
      <c r="CA2704" s="716"/>
      <c r="CB2704" s="717"/>
      <c r="CC2704" s="717"/>
      <c r="CD2704" s="717"/>
      <c r="CE2704" s="717"/>
      <c r="CF2704" s="717"/>
      <c r="CG2704" s="717"/>
      <c r="CH2704" s="717"/>
      <c r="CI2704" s="717"/>
      <c r="CJ2704" s="717"/>
      <c r="CK2704" s="717"/>
      <c r="CL2704" s="717"/>
      <c r="CM2704" s="717"/>
      <c r="CN2704" s="717"/>
      <c r="CO2704" s="717"/>
      <c r="CP2704" s="717"/>
      <c r="CQ2704" s="717"/>
      <c r="CR2704" s="717"/>
      <c r="CS2704" s="717"/>
      <c r="CT2704" s="717"/>
      <c r="CU2704" s="717"/>
      <c r="CV2704" s="717"/>
      <c r="CW2704" s="717"/>
      <c r="CX2704" s="717"/>
      <c r="CY2704" s="717"/>
      <c r="CZ2704" s="717"/>
      <c r="DA2704" s="717"/>
      <c r="DB2704" s="717"/>
      <c r="DC2704" s="717"/>
      <c r="DD2704" s="717"/>
      <c r="DE2704" s="717"/>
      <c r="DF2704" s="717"/>
      <c r="DG2704" s="717"/>
      <c r="DH2704" s="717"/>
      <c r="DI2704" s="717"/>
      <c r="DJ2704" s="717"/>
      <c r="DM2704" s="711"/>
      <c r="DN2704" s="711"/>
      <c r="DO2704" s="711"/>
      <c r="DP2704" s="711"/>
      <c r="DQ2704" s="711"/>
    </row>
    <row r="2705" spans="13:121" s="709" customFormat="1" hidden="1">
      <c r="M2705" s="710"/>
      <c r="P2705" s="711"/>
      <c r="Q2705" s="712"/>
      <c r="U2705" s="711"/>
      <c r="V2705" s="711"/>
      <c r="W2705" s="711"/>
      <c r="X2705" s="711"/>
      <c r="Y2705" s="711"/>
      <c r="Z2705" s="711"/>
      <c r="AU2705" s="713"/>
      <c r="AW2705" s="712"/>
      <c r="BY2705" s="714"/>
      <c r="BZ2705" s="715"/>
      <c r="CA2705" s="716"/>
      <c r="CB2705" s="717"/>
      <c r="CC2705" s="717"/>
      <c r="CD2705" s="717"/>
      <c r="CE2705" s="717"/>
      <c r="CF2705" s="717"/>
      <c r="CG2705" s="717"/>
      <c r="CH2705" s="717"/>
      <c r="CI2705" s="717"/>
      <c r="CJ2705" s="717"/>
      <c r="CK2705" s="717"/>
      <c r="CL2705" s="717"/>
      <c r="CM2705" s="717"/>
      <c r="CN2705" s="717"/>
      <c r="CO2705" s="717"/>
      <c r="CP2705" s="717"/>
      <c r="CQ2705" s="717"/>
      <c r="CR2705" s="717"/>
      <c r="CS2705" s="717"/>
      <c r="CT2705" s="717"/>
      <c r="CU2705" s="717"/>
      <c r="CV2705" s="717"/>
      <c r="CW2705" s="717"/>
      <c r="CX2705" s="717"/>
      <c r="CY2705" s="717"/>
      <c r="CZ2705" s="717"/>
      <c r="DA2705" s="717"/>
      <c r="DB2705" s="717"/>
      <c r="DC2705" s="717"/>
      <c r="DD2705" s="717"/>
      <c r="DE2705" s="717"/>
      <c r="DF2705" s="717"/>
      <c r="DG2705" s="717"/>
      <c r="DH2705" s="717"/>
      <c r="DI2705" s="717"/>
      <c r="DJ2705" s="717"/>
      <c r="DM2705" s="711"/>
      <c r="DN2705" s="711"/>
      <c r="DO2705" s="711"/>
      <c r="DP2705" s="711"/>
      <c r="DQ2705" s="711"/>
    </row>
    <row r="2706" spans="13:121" s="709" customFormat="1" hidden="1">
      <c r="M2706" s="710"/>
      <c r="P2706" s="711"/>
      <c r="Q2706" s="712"/>
      <c r="U2706" s="711"/>
      <c r="V2706" s="711"/>
      <c r="W2706" s="711"/>
      <c r="X2706" s="711"/>
      <c r="Y2706" s="711"/>
      <c r="Z2706" s="711"/>
      <c r="AU2706" s="713"/>
      <c r="AW2706" s="712"/>
      <c r="BY2706" s="714"/>
      <c r="BZ2706" s="715"/>
      <c r="CA2706" s="716"/>
      <c r="CB2706" s="717"/>
      <c r="CC2706" s="717"/>
      <c r="CD2706" s="717"/>
      <c r="CE2706" s="717"/>
      <c r="CF2706" s="717"/>
      <c r="CG2706" s="717"/>
      <c r="CH2706" s="717"/>
      <c r="CI2706" s="717"/>
      <c r="CJ2706" s="717"/>
      <c r="CK2706" s="717"/>
      <c r="CL2706" s="717"/>
      <c r="CM2706" s="717"/>
      <c r="CN2706" s="717"/>
      <c r="CO2706" s="717"/>
      <c r="CP2706" s="717"/>
      <c r="CQ2706" s="717"/>
      <c r="CR2706" s="717"/>
      <c r="CS2706" s="717"/>
      <c r="CT2706" s="717"/>
      <c r="CU2706" s="717"/>
      <c r="CV2706" s="717"/>
      <c r="CW2706" s="717"/>
      <c r="CX2706" s="717"/>
      <c r="CY2706" s="717"/>
      <c r="CZ2706" s="717"/>
      <c r="DA2706" s="717"/>
      <c r="DB2706" s="717"/>
      <c r="DC2706" s="717"/>
      <c r="DD2706" s="717"/>
      <c r="DE2706" s="717"/>
      <c r="DF2706" s="717"/>
      <c r="DG2706" s="717"/>
      <c r="DH2706" s="717"/>
      <c r="DI2706" s="717"/>
      <c r="DJ2706" s="717"/>
      <c r="DM2706" s="711"/>
      <c r="DN2706" s="711"/>
      <c r="DO2706" s="711"/>
      <c r="DP2706" s="711"/>
      <c r="DQ2706" s="711"/>
    </row>
    <row r="2707" spans="13:121" s="709" customFormat="1" hidden="1">
      <c r="M2707" s="710"/>
      <c r="P2707" s="711"/>
      <c r="Q2707" s="712"/>
      <c r="U2707" s="711"/>
      <c r="V2707" s="711"/>
      <c r="W2707" s="711"/>
      <c r="X2707" s="711"/>
      <c r="Y2707" s="711"/>
      <c r="Z2707" s="711"/>
      <c r="AU2707" s="713"/>
      <c r="AW2707" s="712"/>
      <c r="BY2707" s="714"/>
      <c r="BZ2707" s="715"/>
      <c r="CA2707" s="716"/>
      <c r="CB2707" s="717"/>
      <c r="CC2707" s="717"/>
      <c r="CD2707" s="717"/>
      <c r="CE2707" s="717"/>
      <c r="CF2707" s="717"/>
      <c r="CG2707" s="717"/>
      <c r="CH2707" s="717"/>
      <c r="CI2707" s="717"/>
      <c r="CJ2707" s="717"/>
      <c r="CK2707" s="717"/>
      <c r="CL2707" s="717"/>
      <c r="CM2707" s="717"/>
      <c r="CN2707" s="717"/>
      <c r="CO2707" s="717"/>
      <c r="CP2707" s="717"/>
      <c r="CQ2707" s="717"/>
      <c r="CR2707" s="717"/>
      <c r="CS2707" s="717"/>
      <c r="CT2707" s="717"/>
      <c r="CU2707" s="717"/>
      <c r="CV2707" s="717"/>
      <c r="CW2707" s="717"/>
      <c r="CX2707" s="717"/>
      <c r="CY2707" s="717"/>
      <c r="CZ2707" s="717"/>
      <c r="DA2707" s="717"/>
      <c r="DB2707" s="717"/>
      <c r="DC2707" s="717"/>
      <c r="DD2707" s="717"/>
      <c r="DE2707" s="717"/>
      <c r="DF2707" s="717"/>
      <c r="DG2707" s="717"/>
      <c r="DH2707" s="717"/>
      <c r="DI2707" s="717"/>
      <c r="DJ2707" s="717"/>
      <c r="DM2707" s="711"/>
      <c r="DN2707" s="711"/>
      <c r="DO2707" s="711"/>
      <c r="DP2707" s="711"/>
      <c r="DQ2707" s="711"/>
    </row>
    <row r="2708" spans="13:121" s="709" customFormat="1" hidden="1">
      <c r="M2708" s="710"/>
      <c r="P2708" s="711"/>
      <c r="Q2708" s="712"/>
      <c r="U2708" s="711"/>
      <c r="V2708" s="711"/>
      <c r="W2708" s="711"/>
      <c r="X2708" s="711"/>
      <c r="Y2708" s="711"/>
      <c r="Z2708" s="711"/>
      <c r="AU2708" s="713"/>
      <c r="AW2708" s="712"/>
      <c r="BY2708" s="714"/>
      <c r="BZ2708" s="715"/>
      <c r="CA2708" s="716"/>
      <c r="CB2708" s="717"/>
      <c r="CC2708" s="717"/>
      <c r="CD2708" s="717"/>
      <c r="CE2708" s="717"/>
      <c r="CF2708" s="717"/>
      <c r="CG2708" s="717"/>
      <c r="CH2708" s="717"/>
      <c r="CI2708" s="717"/>
      <c r="CJ2708" s="717"/>
      <c r="CK2708" s="717"/>
      <c r="CL2708" s="717"/>
      <c r="CM2708" s="717"/>
      <c r="CN2708" s="717"/>
      <c r="CO2708" s="717"/>
      <c r="CP2708" s="717"/>
      <c r="CQ2708" s="717"/>
      <c r="CR2708" s="717"/>
      <c r="CS2708" s="717"/>
      <c r="CT2708" s="717"/>
      <c r="CU2708" s="717"/>
      <c r="CV2708" s="717"/>
      <c r="CW2708" s="717"/>
      <c r="CX2708" s="717"/>
      <c r="CY2708" s="717"/>
      <c r="CZ2708" s="717"/>
      <c r="DA2708" s="717"/>
      <c r="DB2708" s="717"/>
      <c r="DC2708" s="717"/>
      <c r="DD2708" s="717"/>
      <c r="DE2708" s="717"/>
      <c r="DF2708" s="717"/>
      <c r="DG2708" s="717"/>
      <c r="DH2708" s="717"/>
      <c r="DI2708" s="717"/>
      <c r="DJ2708" s="717"/>
      <c r="DM2708" s="711"/>
      <c r="DN2708" s="711"/>
      <c r="DO2708" s="711"/>
      <c r="DP2708" s="711"/>
      <c r="DQ2708" s="711"/>
    </row>
    <row r="2709" spans="13:121" s="709" customFormat="1" hidden="1">
      <c r="M2709" s="710"/>
      <c r="P2709" s="711"/>
      <c r="Q2709" s="712"/>
      <c r="U2709" s="711"/>
      <c r="V2709" s="711"/>
      <c r="W2709" s="711"/>
      <c r="X2709" s="711"/>
      <c r="Y2709" s="711"/>
      <c r="Z2709" s="711"/>
      <c r="AU2709" s="713"/>
      <c r="AW2709" s="712"/>
      <c r="BY2709" s="714"/>
      <c r="BZ2709" s="715"/>
      <c r="CA2709" s="716"/>
      <c r="CB2709" s="717"/>
      <c r="CC2709" s="717"/>
      <c r="CD2709" s="717"/>
      <c r="CE2709" s="717"/>
      <c r="CF2709" s="717"/>
      <c r="CG2709" s="717"/>
      <c r="CH2709" s="717"/>
      <c r="CI2709" s="717"/>
      <c r="CJ2709" s="717"/>
      <c r="CK2709" s="717"/>
      <c r="CL2709" s="717"/>
      <c r="CM2709" s="717"/>
      <c r="CN2709" s="717"/>
      <c r="CO2709" s="717"/>
      <c r="CP2709" s="717"/>
      <c r="CQ2709" s="717"/>
      <c r="CR2709" s="717"/>
      <c r="CS2709" s="717"/>
      <c r="CT2709" s="717"/>
      <c r="CU2709" s="717"/>
      <c r="CV2709" s="717"/>
      <c r="CW2709" s="717"/>
      <c r="CX2709" s="717"/>
      <c r="CY2709" s="717"/>
      <c r="CZ2709" s="717"/>
      <c r="DA2709" s="717"/>
      <c r="DB2709" s="717"/>
      <c r="DC2709" s="717"/>
      <c r="DD2709" s="717"/>
      <c r="DE2709" s="717"/>
      <c r="DF2709" s="717"/>
      <c r="DG2709" s="717"/>
      <c r="DH2709" s="717"/>
      <c r="DI2709" s="717"/>
      <c r="DJ2709" s="717"/>
      <c r="DM2709" s="711"/>
      <c r="DN2709" s="711"/>
      <c r="DO2709" s="711"/>
      <c r="DP2709" s="711"/>
      <c r="DQ2709" s="711"/>
    </row>
    <row r="2710" spans="13:121" s="709" customFormat="1" hidden="1">
      <c r="M2710" s="710"/>
      <c r="P2710" s="711"/>
      <c r="Q2710" s="712"/>
      <c r="U2710" s="711"/>
      <c r="V2710" s="711"/>
      <c r="W2710" s="711"/>
      <c r="X2710" s="711"/>
      <c r="Y2710" s="711"/>
      <c r="Z2710" s="711"/>
      <c r="AU2710" s="713"/>
      <c r="AW2710" s="712"/>
      <c r="BY2710" s="714"/>
      <c r="BZ2710" s="715"/>
      <c r="CA2710" s="716"/>
      <c r="CB2710" s="717"/>
      <c r="CC2710" s="717"/>
      <c r="CD2710" s="717"/>
      <c r="CE2710" s="717"/>
      <c r="CF2710" s="717"/>
      <c r="CG2710" s="717"/>
      <c r="CH2710" s="717"/>
      <c r="CI2710" s="717"/>
      <c r="CJ2710" s="717"/>
      <c r="CK2710" s="717"/>
      <c r="CL2710" s="717"/>
      <c r="CM2710" s="717"/>
      <c r="CN2710" s="717"/>
      <c r="CO2710" s="717"/>
      <c r="CP2710" s="717"/>
      <c r="CQ2710" s="717"/>
      <c r="CR2710" s="717"/>
      <c r="CS2710" s="717"/>
      <c r="CT2710" s="717"/>
      <c r="CU2710" s="717"/>
      <c r="CV2710" s="717"/>
      <c r="CW2710" s="717"/>
      <c r="CX2710" s="717"/>
      <c r="CY2710" s="717"/>
      <c r="CZ2710" s="717"/>
      <c r="DA2710" s="717"/>
      <c r="DB2710" s="717"/>
      <c r="DC2710" s="717"/>
      <c r="DD2710" s="717"/>
      <c r="DE2710" s="717"/>
      <c r="DF2710" s="717"/>
      <c r="DG2710" s="717"/>
      <c r="DH2710" s="717"/>
      <c r="DI2710" s="717"/>
      <c r="DJ2710" s="717"/>
      <c r="DM2710" s="711"/>
      <c r="DN2710" s="711"/>
      <c r="DO2710" s="711"/>
      <c r="DP2710" s="711"/>
      <c r="DQ2710" s="711"/>
    </row>
    <row r="2711" spans="13:121" s="709" customFormat="1" hidden="1">
      <c r="M2711" s="710"/>
      <c r="P2711" s="711"/>
      <c r="Q2711" s="712"/>
      <c r="U2711" s="711"/>
      <c r="V2711" s="711"/>
      <c r="W2711" s="711"/>
      <c r="X2711" s="711"/>
      <c r="Y2711" s="711"/>
      <c r="Z2711" s="711"/>
      <c r="AU2711" s="713"/>
      <c r="AW2711" s="712"/>
      <c r="BY2711" s="714"/>
      <c r="BZ2711" s="715"/>
      <c r="CA2711" s="716"/>
      <c r="CB2711" s="717"/>
      <c r="CC2711" s="717"/>
      <c r="CD2711" s="717"/>
      <c r="CE2711" s="717"/>
      <c r="CF2711" s="717"/>
      <c r="CG2711" s="717"/>
      <c r="CH2711" s="717"/>
      <c r="CI2711" s="717"/>
      <c r="CJ2711" s="717"/>
      <c r="CK2711" s="717"/>
      <c r="CL2711" s="717"/>
      <c r="CM2711" s="717"/>
      <c r="CN2711" s="717"/>
      <c r="CO2711" s="717"/>
      <c r="CP2711" s="717"/>
      <c r="CQ2711" s="717"/>
      <c r="CR2711" s="717"/>
      <c r="CS2711" s="717"/>
      <c r="CT2711" s="717"/>
      <c r="CU2711" s="717"/>
      <c r="CV2711" s="717"/>
      <c r="CW2711" s="717"/>
      <c r="CX2711" s="717"/>
      <c r="CY2711" s="717"/>
      <c r="CZ2711" s="717"/>
      <c r="DA2711" s="717"/>
      <c r="DB2711" s="717"/>
      <c r="DC2711" s="717"/>
      <c r="DD2711" s="717"/>
      <c r="DE2711" s="717"/>
      <c r="DF2711" s="717"/>
      <c r="DG2711" s="717"/>
      <c r="DH2711" s="717"/>
      <c r="DI2711" s="717"/>
      <c r="DJ2711" s="717"/>
      <c r="DM2711" s="711"/>
      <c r="DN2711" s="711"/>
      <c r="DO2711" s="711"/>
      <c r="DP2711" s="711"/>
      <c r="DQ2711" s="711"/>
    </row>
    <row r="2712" spans="13:121" s="709" customFormat="1" hidden="1">
      <c r="M2712" s="710"/>
      <c r="P2712" s="711"/>
      <c r="Q2712" s="712"/>
      <c r="U2712" s="711"/>
      <c r="V2712" s="711"/>
      <c r="W2712" s="711"/>
      <c r="X2712" s="711"/>
      <c r="Y2712" s="711"/>
      <c r="Z2712" s="711"/>
      <c r="AU2712" s="713"/>
      <c r="AW2712" s="712"/>
      <c r="BY2712" s="714"/>
      <c r="BZ2712" s="715"/>
      <c r="CA2712" s="716"/>
      <c r="CB2712" s="717"/>
      <c r="CC2712" s="717"/>
      <c r="CD2712" s="717"/>
      <c r="CE2712" s="717"/>
      <c r="CF2712" s="717"/>
      <c r="CG2712" s="717"/>
      <c r="CH2712" s="717"/>
      <c r="CI2712" s="717"/>
      <c r="CJ2712" s="717"/>
      <c r="CK2712" s="717"/>
      <c r="CL2712" s="717"/>
      <c r="CM2712" s="717"/>
      <c r="CN2712" s="717"/>
      <c r="CO2712" s="717"/>
      <c r="CP2712" s="717"/>
      <c r="CQ2712" s="717"/>
      <c r="CR2712" s="717"/>
      <c r="CS2712" s="717"/>
      <c r="CT2712" s="717"/>
      <c r="CU2712" s="717"/>
      <c r="CV2712" s="717"/>
      <c r="CW2712" s="717"/>
      <c r="CX2712" s="717"/>
      <c r="CY2712" s="717"/>
      <c r="CZ2712" s="717"/>
      <c r="DA2712" s="717"/>
      <c r="DB2712" s="717"/>
      <c r="DC2712" s="717"/>
      <c r="DD2712" s="717"/>
      <c r="DE2712" s="717"/>
      <c r="DF2712" s="717"/>
      <c r="DG2712" s="717"/>
      <c r="DH2712" s="717"/>
      <c r="DI2712" s="717"/>
      <c r="DJ2712" s="717"/>
      <c r="DM2712" s="711"/>
      <c r="DN2712" s="711"/>
      <c r="DO2712" s="711"/>
      <c r="DP2712" s="711"/>
      <c r="DQ2712" s="711"/>
    </row>
    <row r="2713" spans="13:121" s="709" customFormat="1" hidden="1">
      <c r="M2713" s="710"/>
      <c r="P2713" s="711"/>
      <c r="Q2713" s="712"/>
      <c r="U2713" s="711"/>
      <c r="V2713" s="711"/>
      <c r="W2713" s="711"/>
      <c r="X2713" s="711"/>
      <c r="Y2713" s="711"/>
      <c r="Z2713" s="711"/>
      <c r="AU2713" s="713"/>
      <c r="AW2713" s="712"/>
      <c r="BY2713" s="714"/>
      <c r="BZ2713" s="715"/>
      <c r="CA2713" s="716"/>
      <c r="CB2713" s="717"/>
      <c r="CC2713" s="717"/>
      <c r="CD2713" s="717"/>
      <c r="CE2713" s="717"/>
      <c r="CF2713" s="717"/>
      <c r="CG2713" s="717"/>
      <c r="CH2713" s="717"/>
      <c r="CI2713" s="717"/>
      <c r="CJ2713" s="717"/>
      <c r="CK2713" s="717"/>
      <c r="CL2713" s="717"/>
      <c r="CM2713" s="717"/>
      <c r="CN2713" s="717"/>
      <c r="CO2713" s="717"/>
      <c r="CP2713" s="717"/>
      <c r="CQ2713" s="717"/>
      <c r="CR2713" s="717"/>
      <c r="CS2713" s="717"/>
      <c r="CT2713" s="717"/>
      <c r="CU2713" s="717"/>
      <c r="CV2713" s="717"/>
      <c r="CW2713" s="717"/>
      <c r="CX2713" s="717"/>
      <c r="CY2713" s="717"/>
      <c r="CZ2713" s="717"/>
      <c r="DA2713" s="717"/>
      <c r="DB2713" s="717"/>
      <c r="DC2713" s="717"/>
      <c r="DD2713" s="717"/>
      <c r="DE2713" s="717"/>
      <c r="DF2713" s="717"/>
      <c r="DG2713" s="717"/>
      <c r="DH2713" s="717"/>
      <c r="DI2713" s="717"/>
      <c r="DJ2713" s="717"/>
      <c r="DM2713" s="711"/>
      <c r="DN2713" s="711"/>
      <c r="DO2713" s="711"/>
      <c r="DP2713" s="711"/>
      <c r="DQ2713" s="711"/>
    </row>
    <row r="2714" spans="13:121" s="709" customFormat="1" hidden="1">
      <c r="M2714" s="710"/>
      <c r="P2714" s="711"/>
      <c r="Q2714" s="712"/>
      <c r="U2714" s="711"/>
      <c r="V2714" s="711"/>
      <c r="W2714" s="711"/>
      <c r="X2714" s="711"/>
      <c r="Y2714" s="711"/>
      <c r="Z2714" s="711"/>
      <c r="AU2714" s="713"/>
      <c r="AW2714" s="712"/>
      <c r="BY2714" s="714"/>
      <c r="BZ2714" s="715"/>
      <c r="CA2714" s="716"/>
      <c r="CB2714" s="717"/>
      <c r="CC2714" s="717"/>
      <c r="CD2714" s="717"/>
      <c r="CE2714" s="717"/>
      <c r="CF2714" s="717"/>
      <c r="CG2714" s="717"/>
      <c r="CH2714" s="717"/>
      <c r="CI2714" s="717"/>
      <c r="CJ2714" s="717"/>
      <c r="CK2714" s="717"/>
      <c r="CL2714" s="717"/>
      <c r="CM2714" s="717"/>
      <c r="CN2714" s="717"/>
      <c r="CO2714" s="717"/>
      <c r="CP2714" s="717"/>
      <c r="CQ2714" s="717"/>
      <c r="CR2714" s="717"/>
      <c r="CS2714" s="717"/>
      <c r="CT2714" s="717"/>
      <c r="CU2714" s="717"/>
      <c r="CV2714" s="717"/>
      <c r="CW2714" s="717"/>
      <c r="CX2714" s="717"/>
      <c r="CY2714" s="717"/>
      <c r="CZ2714" s="717"/>
      <c r="DA2714" s="717"/>
      <c r="DB2714" s="717"/>
      <c r="DC2714" s="717"/>
      <c r="DD2714" s="717"/>
      <c r="DE2714" s="717"/>
      <c r="DF2714" s="717"/>
      <c r="DG2714" s="717"/>
      <c r="DH2714" s="717"/>
      <c r="DI2714" s="717"/>
      <c r="DJ2714" s="717"/>
      <c r="DM2714" s="711"/>
      <c r="DN2714" s="711"/>
      <c r="DO2714" s="711"/>
      <c r="DP2714" s="711"/>
      <c r="DQ2714" s="711"/>
    </row>
    <row r="2715" spans="13:121" s="709" customFormat="1" hidden="1">
      <c r="M2715" s="710"/>
      <c r="P2715" s="711"/>
      <c r="Q2715" s="712"/>
      <c r="U2715" s="711"/>
      <c r="V2715" s="711"/>
      <c r="W2715" s="711"/>
      <c r="X2715" s="711"/>
      <c r="Y2715" s="711"/>
      <c r="Z2715" s="711"/>
      <c r="AU2715" s="713"/>
      <c r="AW2715" s="712"/>
      <c r="BY2715" s="714"/>
      <c r="BZ2715" s="715"/>
      <c r="CA2715" s="716"/>
      <c r="CB2715" s="717"/>
      <c r="CC2715" s="717"/>
      <c r="CD2715" s="717"/>
      <c r="CE2715" s="717"/>
      <c r="CF2715" s="717"/>
      <c r="CG2715" s="717"/>
      <c r="CH2715" s="717"/>
      <c r="CI2715" s="717"/>
      <c r="CJ2715" s="717"/>
      <c r="CK2715" s="717"/>
      <c r="CL2715" s="717"/>
      <c r="CM2715" s="717"/>
      <c r="CN2715" s="717"/>
      <c r="CO2715" s="717"/>
      <c r="CP2715" s="717"/>
      <c r="CQ2715" s="717"/>
      <c r="CR2715" s="717"/>
      <c r="CS2715" s="717"/>
      <c r="CT2715" s="717"/>
      <c r="CU2715" s="717"/>
      <c r="CV2715" s="717"/>
      <c r="CW2715" s="717"/>
      <c r="CX2715" s="717"/>
      <c r="CY2715" s="717"/>
      <c r="CZ2715" s="717"/>
      <c r="DA2715" s="717"/>
      <c r="DB2715" s="717"/>
      <c r="DC2715" s="717"/>
      <c r="DD2715" s="717"/>
      <c r="DE2715" s="717"/>
      <c r="DF2715" s="717"/>
      <c r="DG2715" s="717"/>
      <c r="DH2715" s="717"/>
      <c r="DI2715" s="717"/>
      <c r="DJ2715" s="717"/>
      <c r="DM2715" s="711"/>
      <c r="DN2715" s="711"/>
      <c r="DO2715" s="711"/>
      <c r="DP2715" s="711"/>
      <c r="DQ2715" s="711"/>
    </row>
    <row r="2716" spans="13:121" s="709" customFormat="1" hidden="1">
      <c r="M2716" s="710"/>
      <c r="P2716" s="711"/>
      <c r="Q2716" s="712"/>
      <c r="U2716" s="711"/>
      <c r="V2716" s="711"/>
      <c r="W2716" s="711"/>
      <c r="X2716" s="711"/>
      <c r="Y2716" s="711"/>
      <c r="Z2716" s="711"/>
      <c r="AU2716" s="713"/>
      <c r="AW2716" s="712"/>
      <c r="BY2716" s="714"/>
      <c r="BZ2716" s="715"/>
      <c r="CA2716" s="716"/>
      <c r="CB2716" s="717"/>
      <c r="CC2716" s="717"/>
      <c r="CD2716" s="717"/>
      <c r="CE2716" s="717"/>
      <c r="CF2716" s="717"/>
      <c r="CG2716" s="717"/>
      <c r="CH2716" s="717"/>
      <c r="CI2716" s="717"/>
      <c r="CJ2716" s="717"/>
      <c r="CK2716" s="717"/>
      <c r="CL2716" s="717"/>
      <c r="CM2716" s="717"/>
      <c r="CN2716" s="717"/>
      <c r="CO2716" s="717"/>
      <c r="CP2716" s="717"/>
      <c r="CQ2716" s="717"/>
      <c r="CR2716" s="717"/>
      <c r="CS2716" s="717"/>
      <c r="CT2716" s="717"/>
      <c r="CU2716" s="717"/>
      <c r="CV2716" s="717"/>
      <c r="CW2716" s="717"/>
      <c r="CX2716" s="717"/>
      <c r="CY2716" s="717"/>
      <c r="CZ2716" s="717"/>
      <c r="DA2716" s="717"/>
      <c r="DB2716" s="717"/>
      <c r="DC2716" s="717"/>
      <c r="DD2716" s="717"/>
      <c r="DE2716" s="717"/>
      <c r="DF2716" s="717"/>
      <c r="DG2716" s="717"/>
      <c r="DH2716" s="717"/>
      <c r="DI2716" s="717"/>
      <c r="DJ2716" s="717"/>
      <c r="DM2716" s="711"/>
      <c r="DN2716" s="711"/>
      <c r="DO2716" s="711"/>
      <c r="DP2716" s="711"/>
      <c r="DQ2716" s="711"/>
    </row>
    <row r="2717" spans="13:121" s="709" customFormat="1" hidden="1">
      <c r="M2717" s="710"/>
      <c r="P2717" s="711"/>
      <c r="Q2717" s="712"/>
      <c r="U2717" s="711"/>
      <c r="V2717" s="711"/>
      <c r="W2717" s="711"/>
      <c r="X2717" s="711"/>
      <c r="Y2717" s="711"/>
      <c r="Z2717" s="711"/>
      <c r="AU2717" s="713"/>
      <c r="AW2717" s="712"/>
      <c r="BY2717" s="714"/>
      <c r="BZ2717" s="715"/>
      <c r="CA2717" s="716"/>
      <c r="CB2717" s="717"/>
      <c r="CC2717" s="717"/>
      <c r="CD2717" s="717"/>
      <c r="CE2717" s="717"/>
      <c r="CF2717" s="717"/>
      <c r="CG2717" s="717"/>
      <c r="CH2717" s="717"/>
      <c r="CI2717" s="717"/>
      <c r="CJ2717" s="717"/>
      <c r="CK2717" s="717"/>
      <c r="CL2717" s="717"/>
      <c r="CM2717" s="717"/>
      <c r="CN2717" s="717"/>
      <c r="CO2717" s="717"/>
      <c r="CP2717" s="717"/>
      <c r="CQ2717" s="717"/>
      <c r="CR2717" s="717"/>
      <c r="CS2717" s="717"/>
      <c r="CT2717" s="717"/>
      <c r="CU2717" s="717"/>
      <c r="CV2717" s="717"/>
      <c r="CW2717" s="717"/>
      <c r="CX2717" s="717"/>
      <c r="CY2717" s="717"/>
      <c r="CZ2717" s="717"/>
      <c r="DA2717" s="717"/>
      <c r="DB2717" s="717"/>
      <c r="DC2717" s="717"/>
      <c r="DD2717" s="717"/>
      <c r="DE2717" s="717"/>
      <c r="DF2717" s="717"/>
      <c r="DG2717" s="717"/>
      <c r="DH2717" s="717"/>
      <c r="DI2717" s="717"/>
      <c r="DJ2717" s="717"/>
      <c r="DM2717" s="711"/>
      <c r="DN2717" s="711"/>
      <c r="DO2717" s="711"/>
      <c r="DP2717" s="711"/>
      <c r="DQ2717" s="711"/>
    </row>
    <row r="2718" spans="13:121" s="709" customFormat="1" hidden="1">
      <c r="M2718" s="710"/>
      <c r="P2718" s="711"/>
      <c r="Q2718" s="712"/>
      <c r="U2718" s="711"/>
      <c r="V2718" s="711"/>
      <c r="W2718" s="711"/>
      <c r="X2718" s="711"/>
      <c r="Y2718" s="711"/>
      <c r="Z2718" s="711"/>
      <c r="AU2718" s="713"/>
      <c r="AW2718" s="712"/>
      <c r="BY2718" s="714"/>
      <c r="BZ2718" s="715"/>
      <c r="CA2718" s="716"/>
      <c r="CB2718" s="717"/>
      <c r="CC2718" s="717"/>
      <c r="CD2718" s="717"/>
      <c r="CE2718" s="717"/>
      <c r="CF2718" s="717"/>
      <c r="CG2718" s="717"/>
      <c r="CH2718" s="717"/>
      <c r="CI2718" s="717"/>
      <c r="CJ2718" s="717"/>
      <c r="CK2718" s="717"/>
      <c r="CL2718" s="717"/>
      <c r="CM2718" s="717"/>
      <c r="CN2718" s="717"/>
      <c r="CO2718" s="717"/>
      <c r="CP2718" s="717"/>
      <c r="CQ2718" s="717"/>
      <c r="CR2718" s="717"/>
      <c r="CS2718" s="717"/>
      <c r="CT2718" s="717"/>
      <c r="CU2718" s="717"/>
      <c r="CV2718" s="717"/>
      <c r="CW2718" s="717"/>
      <c r="CX2718" s="717"/>
      <c r="CY2718" s="717"/>
      <c r="CZ2718" s="717"/>
      <c r="DA2718" s="717"/>
      <c r="DB2718" s="717"/>
      <c r="DC2718" s="717"/>
      <c r="DD2718" s="717"/>
      <c r="DE2718" s="717"/>
      <c r="DF2718" s="717"/>
      <c r="DG2718" s="717"/>
      <c r="DH2718" s="717"/>
      <c r="DI2718" s="717"/>
      <c r="DJ2718" s="717"/>
      <c r="DM2718" s="711"/>
      <c r="DN2718" s="711"/>
      <c r="DO2718" s="711"/>
      <c r="DP2718" s="711"/>
      <c r="DQ2718" s="711"/>
    </row>
    <row r="2719" spans="13:121" s="709" customFormat="1" hidden="1">
      <c r="M2719" s="710"/>
      <c r="P2719" s="711"/>
      <c r="Q2719" s="712"/>
      <c r="U2719" s="711"/>
      <c r="V2719" s="711"/>
      <c r="W2719" s="711"/>
      <c r="X2719" s="711"/>
      <c r="Y2719" s="711"/>
      <c r="Z2719" s="711"/>
      <c r="AU2719" s="713"/>
      <c r="AW2719" s="712"/>
      <c r="BY2719" s="714"/>
      <c r="BZ2719" s="715"/>
      <c r="CA2719" s="716"/>
      <c r="CB2719" s="717"/>
      <c r="CC2719" s="717"/>
      <c r="CD2719" s="717"/>
      <c r="CE2719" s="717"/>
      <c r="CF2719" s="717"/>
      <c r="CG2719" s="717"/>
      <c r="CH2719" s="717"/>
      <c r="CI2719" s="717"/>
      <c r="CJ2719" s="717"/>
      <c r="CK2719" s="717"/>
      <c r="CL2719" s="717"/>
      <c r="CM2719" s="717"/>
      <c r="CN2719" s="717"/>
      <c r="CO2719" s="717"/>
      <c r="CP2719" s="717"/>
      <c r="CQ2719" s="717"/>
      <c r="CR2719" s="717"/>
      <c r="CS2719" s="717"/>
      <c r="CT2719" s="717"/>
      <c r="CU2719" s="717"/>
      <c r="CV2719" s="717"/>
      <c r="CW2719" s="717"/>
      <c r="CX2719" s="717"/>
      <c r="CY2719" s="717"/>
      <c r="CZ2719" s="717"/>
      <c r="DA2719" s="717"/>
      <c r="DB2719" s="717"/>
      <c r="DC2719" s="717"/>
      <c r="DD2719" s="717"/>
      <c r="DE2719" s="717"/>
      <c r="DF2719" s="717"/>
      <c r="DG2719" s="717"/>
      <c r="DH2719" s="717"/>
      <c r="DI2719" s="717"/>
      <c r="DJ2719" s="717"/>
      <c r="DM2719" s="711"/>
      <c r="DN2719" s="711"/>
      <c r="DO2719" s="711"/>
      <c r="DP2719" s="711"/>
      <c r="DQ2719" s="711"/>
    </row>
    <row r="2720" spans="13:121" s="709" customFormat="1" hidden="1">
      <c r="M2720" s="710"/>
      <c r="P2720" s="711"/>
      <c r="Q2720" s="712"/>
      <c r="U2720" s="711"/>
      <c r="V2720" s="711"/>
      <c r="W2720" s="711"/>
      <c r="X2720" s="711"/>
      <c r="Y2720" s="711"/>
      <c r="Z2720" s="711"/>
      <c r="AU2720" s="713"/>
      <c r="AW2720" s="712"/>
      <c r="BY2720" s="714"/>
      <c r="BZ2720" s="715"/>
      <c r="CA2720" s="716"/>
      <c r="CB2720" s="717"/>
      <c r="CC2720" s="717"/>
      <c r="CD2720" s="717"/>
      <c r="CE2720" s="717"/>
      <c r="CF2720" s="717"/>
      <c r="CG2720" s="717"/>
      <c r="CH2720" s="717"/>
      <c r="CI2720" s="717"/>
      <c r="CJ2720" s="717"/>
      <c r="CK2720" s="717"/>
      <c r="CL2720" s="717"/>
      <c r="CM2720" s="717"/>
      <c r="CN2720" s="717"/>
      <c r="CO2720" s="717"/>
      <c r="CP2720" s="717"/>
      <c r="CQ2720" s="717"/>
      <c r="CR2720" s="717"/>
      <c r="CS2720" s="717"/>
      <c r="CT2720" s="717"/>
      <c r="CU2720" s="717"/>
      <c r="CV2720" s="717"/>
      <c r="CW2720" s="717"/>
      <c r="CX2720" s="717"/>
      <c r="CY2720" s="717"/>
      <c r="CZ2720" s="717"/>
      <c r="DA2720" s="717"/>
      <c r="DB2720" s="717"/>
      <c r="DC2720" s="717"/>
      <c r="DD2720" s="717"/>
      <c r="DE2720" s="717"/>
      <c r="DF2720" s="717"/>
      <c r="DG2720" s="717"/>
      <c r="DH2720" s="717"/>
      <c r="DI2720" s="717"/>
      <c r="DJ2720" s="717"/>
      <c r="DM2720" s="711"/>
      <c r="DN2720" s="711"/>
      <c r="DO2720" s="711"/>
      <c r="DP2720" s="711"/>
      <c r="DQ2720" s="711"/>
    </row>
    <row r="2721" spans="13:121" s="709" customFormat="1" hidden="1">
      <c r="M2721" s="710"/>
      <c r="P2721" s="711"/>
      <c r="Q2721" s="712"/>
      <c r="U2721" s="711"/>
      <c r="V2721" s="711"/>
      <c r="W2721" s="711"/>
      <c r="X2721" s="711"/>
      <c r="Y2721" s="711"/>
      <c r="Z2721" s="711"/>
      <c r="AU2721" s="713"/>
      <c r="AW2721" s="712"/>
      <c r="BY2721" s="714"/>
      <c r="BZ2721" s="715"/>
      <c r="CA2721" s="716"/>
      <c r="CB2721" s="717"/>
      <c r="CC2721" s="717"/>
      <c r="CD2721" s="717"/>
      <c r="CE2721" s="717"/>
      <c r="CF2721" s="717"/>
      <c r="CG2721" s="717"/>
      <c r="CH2721" s="717"/>
      <c r="CI2721" s="717"/>
      <c r="CJ2721" s="717"/>
      <c r="CK2721" s="717"/>
      <c r="CL2721" s="717"/>
      <c r="CM2721" s="717"/>
      <c r="CN2721" s="717"/>
      <c r="CO2721" s="717"/>
      <c r="CP2721" s="717"/>
      <c r="CQ2721" s="717"/>
      <c r="CR2721" s="717"/>
      <c r="CS2721" s="717"/>
      <c r="CT2721" s="717"/>
      <c r="CU2721" s="717"/>
      <c r="CV2721" s="717"/>
      <c r="CW2721" s="717"/>
      <c r="CX2721" s="717"/>
      <c r="CY2721" s="717"/>
      <c r="CZ2721" s="717"/>
      <c r="DA2721" s="717"/>
      <c r="DB2721" s="717"/>
      <c r="DC2721" s="717"/>
      <c r="DD2721" s="717"/>
      <c r="DE2721" s="717"/>
      <c r="DF2721" s="717"/>
      <c r="DG2721" s="717"/>
      <c r="DH2721" s="717"/>
      <c r="DI2721" s="717"/>
      <c r="DJ2721" s="717"/>
      <c r="DM2721" s="711"/>
      <c r="DN2721" s="711"/>
      <c r="DO2721" s="711"/>
      <c r="DP2721" s="711"/>
      <c r="DQ2721" s="711"/>
    </row>
    <row r="2722" spans="13:121" s="709" customFormat="1" hidden="1">
      <c r="M2722" s="710"/>
      <c r="P2722" s="711"/>
      <c r="Q2722" s="712"/>
      <c r="U2722" s="711"/>
      <c r="V2722" s="711"/>
      <c r="W2722" s="711"/>
      <c r="X2722" s="711"/>
      <c r="Y2722" s="711"/>
      <c r="Z2722" s="711"/>
      <c r="AU2722" s="713"/>
      <c r="AW2722" s="712"/>
      <c r="BY2722" s="714"/>
      <c r="BZ2722" s="715"/>
      <c r="CA2722" s="716"/>
      <c r="CB2722" s="717"/>
      <c r="CC2722" s="717"/>
      <c r="CD2722" s="717"/>
      <c r="CE2722" s="717"/>
      <c r="CF2722" s="717"/>
      <c r="CG2722" s="717"/>
      <c r="CH2722" s="717"/>
      <c r="CI2722" s="717"/>
      <c r="CJ2722" s="717"/>
      <c r="CK2722" s="717"/>
      <c r="CL2722" s="717"/>
      <c r="CM2722" s="717"/>
      <c r="CN2722" s="717"/>
      <c r="CO2722" s="717"/>
      <c r="CP2722" s="717"/>
      <c r="CQ2722" s="717"/>
      <c r="CR2722" s="717"/>
      <c r="CS2722" s="717"/>
      <c r="CT2722" s="717"/>
      <c r="CU2722" s="717"/>
      <c r="CV2722" s="717"/>
      <c r="CW2722" s="717"/>
      <c r="CX2722" s="717"/>
      <c r="CY2722" s="717"/>
      <c r="CZ2722" s="717"/>
      <c r="DA2722" s="717"/>
      <c r="DB2722" s="717"/>
      <c r="DC2722" s="717"/>
      <c r="DD2722" s="717"/>
      <c r="DE2722" s="717"/>
      <c r="DF2722" s="717"/>
      <c r="DG2722" s="717"/>
      <c r="DH2722" s="717"/>
      <c r="DI2722" s="717"/>
      <c r="DJ2722" s="717"/>
      <c r="DM2722" s="711"/>
      <c r="DN2722" s="711"/>
      <c r="DO2722" s="711"/>
      <c r="DP2722" s="711"/>
      <c r="DQ2722" s="711"/>
    </row>
    <row r="2723" spans="13:121" s="709" customFormat="1" hidden="1">
      <c r="M2723" s="710"/>
      <c r="P2723" s="711"/>
      <c r="Q2723" s="712"/>
      <c r="U2723" s="711"/>
      <c r="V2723" s="711"/>
      <c r="W2723" s="711"/>
      <c r="X2723" s="711"/>
      <c r="Y2723" s="711"/>
      <c r="Z2723" s="711"/>
      <c r="AU2723" s="713"/>
      <c r="AW2723" s="712"/>
      <c r="BY2723" s="714"/>
      <c r="BZ2723" s="715"/>
      <c r="CA2723" s="716"/>
      <c r="CB2723" s="717"/>
      <c r="CC2723" s="717"/>
      <c r="CD2723" s="717"/>
      <c r="CE2723" s="717"/>
      <c r="CF2723" s="717"/>
      <c r="CG2723" s="717"/>
      <c r="CH2723" s="717"/>
      <c r="CI2723" s="717"/>
      <c r="CJ2723" s="717"/>
      <c r="CK2723" s="717"/>
      <c r="CL2723" s="717"/>
      <c r="CM2723" s="717"/>
      <c r="CN2723" s="717"/>
      <c r="CO2723" s="717"/>
      <c r="CP2723" s="717"/>
      <c r="CQ2723" s="717"/>
      <c r="CR2723" s="717"/>
      <c r="CS2723" s="717"/>
      <c r="CT2723" s="717"/>
      <c r="CU2723" s="717"/>
      <c r="CV2723" s="717"/>
      <c r="CW2723" s="717"/>
      <c r="CX2723" s="717"/>
      <c r="CY2723" s="717"/>
      <c r="CZ2723" s="717"/>
      <c r="DA2723" s="717"/>
      <c r="DB2723" s="717"/>
      <c r="DC2723" s="717"/>
      <c r="DD2723" s="717"/>
      <c r="DE2723" s="717"/>
      <c r="DF2723" s="717"/>
      <c r="DG2723" s="717"/>
      <c r="DH2723" s="717"/>
      <c r="DI2723" s="717"/>
      <c r="DJ2723" s="717"/>
      <c r="DM2723" s="711"/>
      <c r="DN2723" s="711"/>
      <c r="DO2723" s="711"/>
      <c r="DP2723" s="711"/>
      <c r="DQ2723" s="711"/>
    </row>
    <row r="2724" spans="13:121" s="709" customFormat="1" hidden="1">
      <c r="M2724" s="710"/>
      <c r="P2724" s="711"/>
      <c r="Q2724" s="712"/>
      <c r="U2724" s="711"/>
      <c r="V2724" s="711"/>
      <c r="W2724" s="711"/>
      <c r="X2724" s="711"/>
      <c r="Y2724" s="711"/>
      <c r="Z2724" s="711"/>
      <c r="AU2724" s="713"/>
      <c r="AW2724" s="712"/>
      <c r="BY2724" s="714"/>
      <c r="BZ2724" s="715"/>
      <c r="CA2724" s="716"/>
      <c r="CB2724" s="717"/>
      <c r="CC2724" s="717"/>
      <c r="CD2724" s="717"/>
      <c r="CE2724" s="717"/>
      <c r="CF2724" s="717"/>
      <c r="CG2724" s="717"/>
      <c r="CH2724" s="717"/>
      <c r="CI2724" s="717"/>
      <c r="CJ2724" s="717"/>
      <c r="CK2724" s="717"/>
      <c r="CL2724" s="717"/>
      <c r="CM2724" s="717"/>
      <c r="CN2724" s="717"/>
      <c r="CO2724" s="717"/>
      <c r="CP2724" s="717"/>
      <c r="CQ2724" s="717"/>
      <c r="CR2724" s="717"/>
      <c r="CS2724" s="717"/>
      <c r="CT2724" s="717"/>
      <c r="CU2724" s="717"/>
      <c r="CV2724" s="717"/>
      <c r="CW2724" s="717"/>
      <c r="CX2724" s="717"/>
      <c r="CY2724" s="717"/>
      <c r="CZ2724" s="717"/>
      <c r="DA2724" s="717"/>
      <c r="DB2724" s="717"/>
      <c r="DC2724" s="717"/>
      <c r="DD2724" s="717"/>
      <c r="DE2724" s="717"/>
      <c r="DF2724" s="717"/>
      <c r="DG2724" s="717"/>
      <c r="DH2724" s="717"/>
      <c r="DI2724" s="717"/>
      <c r="DJ2724" s="717"/>
      <c r="DM2724" s="711"/>
      <c r="DN2724" s="711"/>
      <c r="DO2724" s="711"/>
      <c r="DP2724" s="711"/>
      <c r="DQ2724" s="711"/>
    </row>
    <row r="2725" spans="13:121" s="709" customFormat="1" hidden="1">
      <c r="M2725" s="710"/>
      <c r="P2725" s="711"/>
      <c r="Q2725" s="712"/>
      <c r="U2725" s="711"/>
      <c r="V2725" s="711"/>
      <c r="W2725" s="711"/>
      <c r="X2725" s="711"/>
      <c r="Y2725" s="711"/>
      <c r="Z2725" s="711"/>
      <c r="AU2725" s="713"/>
      <c r="AW2725" s="712"/>
      <c r="BY2725" s="714"/>
      <c r="BZ2725" s="715"/>
      <c r="CA2725" s="716"/>
      <c r="CB2725" s="717"/>
      <c r="CC2725" s="717"/>
      <c r="CD2725" s="717"/>
      <c r="CE2725" s="717"/>
      <c r="CF2725" s="717"/>
      <c r="CG2725" s="717"/>
      <c r="CH2725" s="717"/>
      <c r="CI2725" s="717"/>
      <c r="CJ2725" s="717"/>
      <c r="CK2725" s="717"/>
      <c r="CL2725" s="717"/>
      <c r="CM2725" s="717"/>
      <c r="CN2725" s="717"/>
      <c r="CO2725" s="717"/>
      <c r="CP2725" s="717"/>
      <c r="CQ2725" s="717"/>
      <c r="CR2725" s="717"/>
      <c r="CS2725" s="717"/>
      <c r="CT2725" s="717"/>
      <c r="CU2725" s="717"/>
      <c r="CV2725" s="717"/>
      <c r="CW2725" s="717"/>
      <c r="CX2725" s="717"/>
      <c r="CY2725" s="717"/>
      <c r="CZ2725" s="717"/>
      <c r="DA2725" s="717"/>
      <c r="DB2725" s="717"/>
      <c r="DC2725" s="717"/>
      <c r="DD2725" s="717"/>
      <c r="DE2725" s="717"/>
      <c r="DF2725" s="717"/>
      <c r="DG2725" s="717"/>
      <c r="DH2725" s="717"/>
      <c r="DI2725" s="717"/>
      <c r="DJ2725" s="717"/>
      <c r="DM2725" s="711"/>
      <c r="DN2725" s="711"/>
      <c r="DO2725" s="711"/>
      <c r="DP2725" s="711"/>
      <c r="DQ2725" s="711"/>
    </row>
    <row r="2726" spans="13:121" s="709" customFormat="1" hidden="1">
      <c r="M2726" s="710"/>
      <c r="P2726" s="711"/>
      <c r="Q2726" s="712"/>
      <c r="U2726" s="711"/>
      <c r="V2726" s="711"/>
      <c r="W2726" s="711"/>
      <c r="X2726" s="711"/>
      <c r="Y2726" s="711"/>
      <c r="Z2726" s="711"/>
      <c r="AU2726" s="713"/>
      <c r="AW2726" s="712"/>
      <c r="BY2726" s="714"/>
      <c r="BZ2726" s="715"/>
      <c r="CA2726" s="716"/>
      <c r="CB2726" s="717"/>
      <c r="CC2726" s="717"/>
      <c r="CD2726" s="717"/>
      <c r="CE2726" s="717"/>
      <c r="CF2726" s="717"/>
      <c r="CG2726" s="717"/>
      <c r="CH2726" s="717"/>
      <c r="CI2726" s="717"/>
      <c r="CJ2726" s="717"/>
      <c r="CK2726" s="717"/>
      <c r="CL2726" s="717"/>
      <c r="CM2726" s="717"/>
      <c r="CN2726" s="717"/>
      <c r="CO2726" s="717"/>
      <c r="CP2726" s="717"/>
      <c r="CQ2726" s="717"/>
      <c r="CR2726" s="717"/>
      <c r="CS2726" s="717"/>
      <c r="CT2726" s="717"/>
      <c r="CU2726" s="717"/>
      <c r="CV2726" s="717"/>
      <c r="CW2726" s="717"/>
      <c r="CX2726" s="717"/>
      <c r="CY2726" s="717"/>
      <c r="CZ2726" s="717"/>
      <c r="DA2726" s="717"/>
      <c r="DB2726" s="717"/>
      <c r="DC2726" s="717"/>
      <c r="DD2726" s="717"/>
      <c r="DE2726" s="717"/>
      <c r="DF2726" s="717"/>
      <c r="DG2726" s="717"/>
      <c r="DH2726" s="717"/>
      <c r="DI2726" s="717"/>
      <c r="DJ2726" s="717"/>
      <c r="DM2726" s="711"/>
      <c r="DN2726" s="711"/>
      <c r="DO2726" s="711"/>
      <c r="DP2726" s="711"/>
      <c r="DQ2726" s="711"/>
    </row>
    <row r="2727" spans="13:121" s="709" customFormat="1" hidden="1">
      <c r="M2727" s="710"/>
      <c r="P2727" s="711"/>
      <c r="Q2727" s="712"/>
      <c r="U2727" s="711"/>
      <c r="V2727" s="711"/>
      <c r="W2727" s="711"/>
      <c r="X2727" s="711"/>
      <c r="Y2727" s="711"/>
      <c r="Z2727" s="711"/>
      <c r="AU2727" s="713"/>
      <c r="AW2727" s="712"/>
      <c r="BY2727" s="714"/>
      <c r="BZ2727" s="715"/>
      <c r="CA2727" s="716"/>
      <c r="CB2727" s="717"/>
      <c r="CC2727" s="717"/>
      <c r="CD2727" s="717"/>
      <c r="CE2727" s="717"/>
      <c r="CF2727" s="717"/>
      <c r="CG2727" s="717"/>
      <c r="CH2727" s="717"/>
      <c r="CI2727" s="717"/>
      <c r="CJ2727" s="717"/>
      <c r="CK2727" s="717"/>
      <c r="CL2727" s="717"/>
      <c r="CM2727" s="717"/>
      <c r="CN2727" s="717"/>
      <c r="CO2727" s="717"/>
      <c r="CP2727" s="717"/>
      <c r="CQ2727" s="717"/>
      <c r="CR2727" s="717"/>
      <c r="CS2727" s="717"/>
      <c r="CT2727" s="717"/>
      <c r="CU2727" s="717"/>
      <c r="CV2727" s="717"/>
      <c r="CW2727" s="717"/>
      <c r="CX2727" s="717"/>
      <c r="CY2727" s="717"/>
      <c r="CZ2727" s="717"/>
      <c r="DA2727" s="717"/>
      <c r="DB2727" s="717"/>
      <c r="DC2727" s="717"/>
      <c r="DD2727" s="717"/>
      <c r="DE2727" s="717"/>
      <c r="DF2727" s="717"/>
      <c r="DG2727" s="717"/>
      <c r="DH2727" s="717"/>
      <c r="DI2727" s="717"/>
      <c r="DJ2727" s="717"/>
      <c r="DM2727" s="711"/>
      <c r="DN2727" s="711"/>
      <c r="DO2727" s="711"/>
      <c r="DP2727" s="711"/>
      <c r="DQ2727" s="711"/>
    </row>
    <row r="2728" spans="13:121" s="709" customFormat="1" hidden="1">
      <c r="M2728" s="710"/>
      <c r="P2728" s="711"/>
      <c r="Q2728" s="712"/>
      <c r="U2728" s="711"/>
      <c r="V2728" s="711"/>
      <c r="W2728" s="711"/>
      <c r="X2728" s="711"/>
      <c r="Y2728" s="711"/>
      <c r="Z2728" s="711"/>
      <c r="AU2728" s="713"/>
      <c r="AW2728" s="712"/>
      <c r="BY2728" s="714"/>
      <c r="BZ2728" s="715"/>
      <c r="CA2728" s="716"/>
      <c r="CB2728" s="717"/>
      <c r="CC2728" s="717"/>
      <c r="CD2728" s="717"/>
      <c r="CE2728" s="717"/>
      <c r="CF2728" s="717"/>
      <c r="CG2728" s="717"/>
      <c r="CH2728" s="717"/>
      <c r="CI2728" s="717"/>
      <c r="CJ2728" s="717"/>
      <c r="CK2728" s="717"/>
      <c r="CL2728" s="717"/>
      <c r="CM2728" s="717"/>
      <c r="CN2728" s="717"/>
      <c r="CO2728" s="717"/>
      <c r="CP2728" s="717"/>
      <c r="CQ2728" s="717"/>
      <c r="CR2728" s="717"/>
      <c r="CS2728" s="717"/>
      <c r="CT2728" s="717"/>
      <c r="CU2728" s="717"/>
      <c r="CV2728" s="717"/>
      <c r="CW2728" s="717"/>
      <c r="CX2728" s="717"/>
      <c r="CY2728" s="717"/>
      <c r="CZ2728" s="717"/>
      <c r="DA2728" s="717"/>
      <c r="DB2728" s="717"/>
      <c r="DC2728" s="717"/>
      <c r="DD2728" s="717"/>
      <c r="DE2728" s="717"/>
      <c r="DF2728" s="717"/>
      <c r="DG2728" s="717"/>
      <c r="DH2728" s="717"/>
      <c r="DI2728" s="717"/>
      <c r="DJ2728" s="717"/>
      <c r="DM2728" s="711"/>
      <c r="DN2728" s="711"/>
      <c r="DO2728" s="711"/>
      <c r="DP2728" s="711"/>
      <c r="DQ2728" s="711"/>
    </row>
    <row r="2729" spans="13:121" s="709" customFormat="1" hidden="1">
      <c r="M2729" s="710"/>
      <c r="P2729" s="711"/>
      <c r="Q2729" s="712"/>
      <c r="U2729" s="711"/>
      <c r="V2729" s="711"/>
      <c r="W2729" s="711"/>
      <c r="X2729" s="711"/>
      <c r="Y2729" s="711"/>
      <c r="Z2729" s="711"/>
      <c r="AU2729" s="713"/>
      <c r="AW2729" s="712"/>
      <c r="BY2729" s="714"/>
      <c r="BZ2729" s="715"/>
      <c r="CA2729" s="716"/>
      <c r="CB2729" s="717"/>
      <c r="CC2729" s="717"/>
      <c r="CD2729" s="717"/>
      <c r="CE2729" s="717"/>
      <c r="CF2729" s="717"/>
      <c r="CG2729" s="717"/>
      <c r="CH2729" s="717"/>
      <c r="CI2729" s="717"/>
      <c r="CJ2729" s="717"/>
      <c r="CK2729" s="717"/>
      <c r="CL2729" s="717"/>
      <c r="CM2729" s="717"/>
      <c r="CN2729" s="717"/>
      <c r="CO2729" s="717"/>
      <c r="CP2729" s="717"/>
      <c r="CQ2729" s="717"/>
      <c r="CR2729" s="717"/>
      <c r="CS2729" s="717"/>
      <c r="CT2729" s="717"/>
      <c r="CU2729" s="717"/>
      <c r="CV2729" s="717"/>
      <c r="CW2729" s="717"/>
      <c r="CX2729" s="717"/>
      <c r="CY2729" s="717"/>
      <c r="CZ2729" s="717"/>
      <c r="DA2729" s="717"/>
      <c r="DB2729" s="717"/>
      <c r="DC2729" s="717"/>
      <c r="DD2729" s="717"/>
      <c r="DE2729" s="717"/>
      <c r="DF2729" s="717"/>
      <c r="DG2729" s="717"/>
      <c r="DH2729" s="717"/>
      <c r="DI2729" s="717"/>
      <c r="DJ2729" s="717"/>
      <c r="DM2729" s="711"/>
      <c r="DN2729" s="711"/>
      <c r="DO2729" s="711"/>
      <c r="DP2729" s="711"/>
      <c r="DQ2729" s="711"/>
    </row>
    <row r="2730" spans="13:121" s="709" customFormat="1" hidden="1">
      <c r="M2730" s="710"/>
      <c r="P2730" s="711"/>
      <c r="Q2730" s="712"/>
      <c r="U2730" s="711"/>
      <c r="V2730" s="711"/>
      <c r="W2730" s="711"/>
      <c r="X2730" s="711"/>
      <c r="Y2730" s="711"/>
      <c r="Z2730" s="711"/>
      <c r="AU2730" s="713"/>
      <c r="AW2730" s="712"/>
      <c r="BY2730" s="714"/>
      <c r="BZ2730" s="715"/>
      <c r="CA2730" s="716"/>
      <c r="CB2730" s="717"/>
      <c r="CC2730" s="717"/>
      <c r="CD2730" s="717"/>
      <c r="CE2730" s="717"/>
      <c r="CF2730" s="717"/>
      <c r="CG2730" s="717"/>
      <c r="CH2730" s="717"/>
      <c r="CI2730" s="717"/>
      <c r="CJ2730" s="717"/>
      <c r="CK2730" s="717"/>
      <c r="CL2730" s="717"/>
      <c r="CM2730" s="717"/>
      <c r="CN2730" s="717"/>
      <c r="CO2730" s="717"/>
      <c r="CP2730" s="717"/>
      <c r="CQ2730" s="717"/>
      <c r="CR2730" s="717"/>
      <c r="CS2730" s="717"/>
      <c r="CT2730" s="717"/>
      <c r="CU2730" s="717"/>
      <c r="CV2730" s="717"/>
      <c r="CW2730" s="717"/>
      <c r="CX2730" s="717"/>
      <c r="CY2730" s="717"/>
      <c r="CZ2730" s="717"/>
      <c r="DA2730" s="717"/>
      <c r="DB2730" s="717"/>
      <c r="DC2730" s="717"/>
      <c r="DD2730" s="717"/>
      <c r="DE2730" s="717"/>
      <c r="DF2730" s="717"/>
      <c r="DG2730" s="717"/>
      <c r="DH2730" s="717"/>
      <c r="DI2730" s="717"/>
      <c r="DJ2730" s="717"/>
      <c r="DM2730" s="711"/>
      <c r="DN2730" s="711"/>
      <c r="DO2730" s="711"/>
      <c r="DP2730" s="711"/>
      <c r="DQ2730" s="711"/>
    </row>
    <row r="2731" spans="13:121" s="709" customFormat="1" hidden="1">
      <c r="M2731" s="710"/>
      <c r="P2731" s="711"/>
      <c r="Q2731" s="712"/>
      <c r="U2731" s="711"/>
      <c r="V2731" s="711"/>
      <c r="W2731" s="711"/>
      <c r="X2731" s="711"/>
      <c r="Y2731" s="711"/>
      <c r="Z2731" s="711"/>
      <c r="AU2731" s="713"/>
      <c r="AW2731" s="712"/>
      <c r="BY2731" s="714"/>
      <c r="BZ2731" s="715"/>
      <c r="CA2731" s="716"/>
      <c r="CB2731" s="717"/>
      <c r="CC2731" s="717"/>
      <c r="CD2731" s="717"/>
      <c r="CE2731" s="717"/>
      <c r="CF2731" s="717"/>
      <c r="CG2731" s="717"/>
      <c r="CH2731" s="717"/>
      <c r="CI2731" s="717"/>
      <c r="CJ2731" s="717"/>
      <c r="CK2731" s="717"/>
      <c r="CL2731" s="717"/>
      <c r="CM2731" s="717"/>
      <c r="CN2731" s="717"/>
      <c r="CO2731" s="717"/>
      <c r="CP2731" s="717"/>
      <c r="CQ2731" s="717"/>
      <c r="CR2731" s="717"/>
      <c r="CS2731" s="717"/>
      <c r="CT2731" s="717"/>
      <c r="CU2731" s="717"/>
      <c r="CV2731" s="717"/>
      <c r="CW2731" s="717"/>
      <c r="CX2731" s="717"/>
      <c r="CY2731" s="717"/>
      <c r="CZ2731" s="717"/>
      <c r="DA2731" s="717"/>
      <c r="DB2731" s="717"/>
      <c r="DC2731" s="717"/>
      <c r="DD2731" s="717"/>
      <c r="DE2731" s="717"/>
      <c r="DF2731" s="717"/>
      <c r="DG2731" s="717"/>
      <c r="DH2731" s="717"/>
      <c r="DI2731" s="717"/>
      <c r="DJ2731" s="717"/>
      <c r="DM2731" s="711"/>
      <c r="DN2731" s="711"/>
      <c r="DO2731" s="711"/>
      <c r="DP2731" s="711"/>
      <c r="DQ2731" s="711"/>
    </row>
    <row r="2732" spans="13:121" s="709" customFormat="1" hidden="1">
      <c r="M2732" s="710"/>
      <c r="P2732" s="711"/>
      <c r="Q2732" s="712"/>
      <c r="U2732" s="711"/>
      <c r="V2732" s="711"/>
      <c r="W2732" s="711"/>
      <c r="X2732" s="711"/>
      <c r="Y2732" s="711"/>
      <c r="Z2732" s="711"/>
      <c r="AU2732" s="713"/>
      <c r="AW2732" s="712"/>
      <c r="BY2732" s="714"/>
      <c r="BZ2732" s="715"/>
      <c r="CA2732" s="716"/>
      <c r="CB2732" s="717"/>
      <c r="CC2732" s="717"/>
      <c r="CD2732" s="717"/>
      <c r="CE2732" s="717"/>
      <c r="CF2732" s="717"/>
      <c r="CG2732" s="717"/>
      <c r="CH2732" s="717"/>
      <c r="CI2732" s="717"/>
      <c r="CJ2732" s="717"/>
      <c r="CK2732" s="717"/>
      <c r="CL2732" s="717"/>
      <c r="CM2732" s="717"/>
      <c r="CN2732" s="717"/>
      <c r="CO2732" s="717"/>
      <c r="CP2732" s="717"/>
      <c r="CQ2732" s="717"/>
      <c r="CR2732" s="717"/>
      <c r="CS2732" s="717"/>
      <c r="CT2732" s="717"/>
      <c r="CU2732" s="717"/>
      <c r="CV2732" s="717"/>
      <c r="CW2732" s="717"/>
      <c r="CX2732" s="717"/>
      <c r="CY2732" s="717"/>
      <c r="CZ2732" s="717"/>
      <c r="DA2732" s="717"/>
      <c r="DB2732" s="717"/>
      <c r="DC2732" s="717"/>
      <c r="DD2732" s="717"/>
      <c r="DE2732" s="717"/>
      <c r="DF2732" s="717"/>
      <c r="DG2732" s="717"/>
      <c r="DH2732" s="717"/>
      <c r="DI2732" s="717"/>
      <c r="DJ2732" s="717"/>
      <c r="DM2732" s="711"/>
      <c r="DN2732" s="711"/>
      <c r="DO2732" s="711"/>
      <c r="DP2732" s="711"/>
      <c r="DQ2732" s="711"/>
    </row>
    <row r="2733" spans="13:121" s="709" customFormat="1" hidden="1">
      <c r="M2733" s="710"/>
      <c r="P2733" s="711"/>
      <c r="Q2733" s="712"/>
      <c r="U2733" s="711"/>
      <c r="V2733" s="711"/>
      <c r="W2733" s="711"/>
      <c r="X2733" s="711"/>
      <c r="Y2733" s="711"/>
      <c r="Z2733" s="711"/>
      <c r="AU2733" s="713"/>
      <c r="AW2733" s="712"/>
      <c r="BY2733" s="714"/>
      <c r="BZ2733" s="715"/>
      <c r="CA2733" s="716"/>
      <c r="CB2733" s="717"/>
      <c r="CC2733" s="717"/>
      <c r="CD2733" s="717"/>
      <c r="CE2733" s="717"/>
      <c r="CF2733" s="717"/>
      <c r="CG2733" s="717"/>
      <c r="CH2733" s="717"/>
      <c r="CI2733" s="717"/>
      <c r="CJ2733" s="717"/>
      <c r="CK2733" s="717"/>
      <c r="CL2733" s="717"/>
      <c r="CM2733" s="717"/>
      <c r="CN2733" s="717"/>
      <c r="CO2733" s="717"/>
      <c r="CP2733" s="717"/>
      <c r="CQ2733" s="717"/>
      <c r="CR2733" s="717"/>
      <c r="CS2733" s="717"/>
      <c r="CT2733" s="717"/>
      <c r="CU2733" s="717"/>
      <c r="CV2733" s="717"/>
      <c r="CW2733" s="717"/>
      <c r="CX2733" s="717"/>
      <c r="CY2733" s="717"/>
      <c r="CZ2733" s="717"/>
      <c r="DA2733" s="717"/>
      <c r="DB2733" s="717"/>
      <c r="DC2733" s="717"/>
      <c r="DD2733" s="717"/>
      <c r="DE2733" s="717"/>
      <c r="DF2733" s="717"/>
      <c r="DG2733" s="717"/>
      <c r="DH2733" s="717"/>
      <c r="DI2733" s="717"/>
      <c r="DJ2733" s="717"/>
      <c r="DM2733" s="711"/>
      <c r="DN2733" s="711"/>
      <c r="DO2733" s="711"/>
      <c r="DP2733" s="711"/>
      <c r="DQ2733" s="711"/>
    </row>
    <row r="2734" spans="13:121" s="709" customFormat="1" hidden="1">
      <c r="M2734" s="710"/>
      <c r="P2734" s="711"/>
      <c r="Q2734" s="712"/>
      <c r="U2734" s="711"/>
      <c r="V2734" s="711"/>
      <c r="W2734" s="711"/>
      <c r="X2734" s="711"/>
      <c r="Y2734" s="711"/>
      <c r="Z2734" s="711"/>
      <c r="AU2734" s="713"/>
      <c r="AW2734" s="712"/>
      <c r="BY2734" s="714"/>
      <c r="BZ2734" s="715"/>
      <c r="CA2734" s="716"/>
      <c r="CB2734" s="717"/>
      <c r="CC2734" s="717"/>
      <c r="CD2734" s="717"/>
      <c r="CE2734" s="717"/>
      <c r="CF2734" s="717"/>
      <c r="CG2734" s="717"/>
      <c r="CH2734" s="717"/>
      <c r="CI2734" s="717"/>
      <c r="CJ2734" s="717"/>
      <c r="CK2734" s="717"/>
      <c r="CL2734" s="717"/>
      <c r="CM2734" s="717"/>
      <c r="CN2734" s="717"/>
      <c r="CO2734" s="717"/>
      <c r="CP2734" s="717"/>
      <c r="CQ2734" s="717"/>
      <c r="CR2734" s="717"/>
      <c r="CS2734" s="717"/>
      <c r="CT2734" s="717"/>
      <c r="CU2734" s="717"/>
      <c r="CV2734" s="717"/>
      <c r="CW2734" s="717"/>
      <c r="CX2734" s="717"/>
      <c r="CY2734" s="717"/>
      <c r="CZ2734" s="717"/>
      <c r="DA2734" s="717"/>
      <c r="DB2734" s="717"/>
      <c r="DC2734" s="717"/>
      <c r="DD2734" s="717"/>
      <c r="DE2734" s="717"/>
      <c r="DF2734" s="717"/>
      <c r="DG2734" s="717"/>
      <c r="DH2734" s="717"/>
      <c r="DI2734" s="717"/>
      <c r="DJ2734" s="717"/>
      <c r="DM2734" s="711"/>
      <c r="DN2734" s="711"/>
      <c r="DO2734" s="711"/>
      <c r="DP2734" s="711"/>
      <c r="DQ2734" s="711"/>
    </row>
    <row r="2735" spans="13:121" s="709" customFormat="1" hidden="1">
      <c r="M2735" s="710"/>
      <c r="P2735" s="711"/>
      <c r="Q2735" s="712"/>
      <c r="U2735" s="711"/>
      <c r="V2735" s="711"/>
      <c r="W2735" s="711"/>
      <c r="X2735" s="711"/>
      <c r="Y2735" s="711"/>
      <c r="Z2735" s="711"/>
      <c r="AU2735" s="713"/>
      <c r="AW2735" s="712"/>
      <c r="BY2735" s="714"/>
      <c r="BZ2735" s="715"/>
      <c r="CA2735" s="716"/>
      <c r="CB2735" s="717"/>
      <c r="CC2735" s="717"/>
      <c r="CD2735" s="717"/>
      <c r="CE2735" s="717"/>
      <c r="CF2735" s="717"/>
      <c r="CG2735" s="717"/>
      <c r="CH2735" s="717"/>
      <c r="CI2735" s="717"/>
      <c r="CJ2735" s="717"/>
      <c r="CK2735" s="717"/>
      <c r="CL2735" s="717"/>
      <c r="CM2735" s="717"/>
      <c r="CN2735" s="717"/>
      <c r="CO2735" s="717"/>
      <c r="CP2735" s="717"/>
      <c r="CQ2735" s="717"/>
      <c r="CR2735" s="717"/>
      <c r="CS2735" s="717"/>
      <c r="CT2735" s="717"/>
      <c r="CU2735" s="717"/>
      <c r="CV2735" s="717"/>
      <c r="CW2735" s="717"/>
      <c r="CX2735" s="717"/>
      <c r="CY2735" s="717"/>
      <c r="CZ2735" s="717"/>
      <c r="DA2735" s="717"/>
      <c r="DB2735" s="717"/>
      <c r="DC2735" s="717"/>
      <c r="DD2735" s="717"/>
      <c r="DE2735" s="717"/>
      <c r="DF2735" s="717"/>
      <c r="DG2735" s="717"/>
      <c r="DH2735" s="717"/>
      <c r="DI2735" s="717"/>
      <c r="DJ2735" s="717"/>
      <c r="DM2735" s="711"/>
      <c r="DN2735" s="711"/>
      <c r="DO2735" s="711"/>
      <c r="DP2735" s="711"/>
      <c r="DQ2735" s="711"/>
    </row>
    <row r="2736" spans="13:121" s="709" customFormat="1" hidden="1">
      <c r="M2736" s="710"/>
      <c r="P2736" s="711"/>
      <c r="Q2736" s="712"/>
      <c r="U2736" s="711"/>
      <c r="V2736" s="711"/>
      <c r="W2736" s="711"/>
      <c r="X2736" s="711"/>
      <c r="Y2736" s="711"/>
      <c r="Z2736" s="711"/>
      <c r="AU2736" s="713"/>
      <c r="AW2736" s="712"/>
      <c r="BY2736" s="714"/>
      <c r="BZ2736" s="715"/>
      <c r="CA2736" s="716"/>
      <c r="CB2736" s="717"/>
      <c r="CC2736" s="717"/>
      <c r="CD2736" s="717"/>
      <c r="CE2736" s="717"/>
      <c r="CF2736" s="717"/>
      <c r="CG2736" s="717"/>
      <c r="CH2736" s="717"/>
      <c r="CI2736" s="717"/>
      <c r="CJ2736" s="717"/>
      <c r="CK2736" s="717"/>
      <c r="CL2736" s="717"/>
      <c r="CM2736" s="717"/>
      <c r="CN2736" s="717"/>
      <c r="CO2736" s="717"/>
      <c r="CP2736" s="717"/>
      <c r="CQ2736" s="717"/>
      <c r="CR2736" s="717"/>
      <c r="CS2736" s="717"/>
      <c r="CT2736" s="717"/>
      <c r="CU2736" s="717"/>
      <c r="CV2736" s="717"/>
      <c r="CW2736" s="717"/>
      <c r="CX2736" s="717"/>
      <c r="CY2736" s="717"/>
      <c r="CZ2736" s="717"/>
      <c r="DA2736" s="717"/>
      <c r="DB2736" s="717"/>
      <c r="DC2736" s="717"/>
      <c r="DD2736" s="717"/>
      <c r="DE2736" s="717"/>
      <c r="DF2736" s="717"/>
      <c r="DG2736" s="717"/>
      <c r="DH2736" s="717"/>
      <c r="DI2736" s="717"/>
      <c r="DJ2736" s="717"/>
      <c r="DM2736" s="711"/>
      <c r="DN2736" s="711"/>
      <c r="DO2736" s="711"/>
      <c r="DP2736" s="711"/>
      <c r="DQ2736" s="711"/>
    </row>
    <row r="2737" spans="13:121" s="709" customFormat="1" hidden="1">
      <c r="M2737" s="710"/>
      <c r="P2737" s="711"/>
      <c r="Q2737" s="712"/>
      <c r="U2737" s="711"/>
      <c r="V2737" s="711"/>
      <c r="W2737" s="711"/>
      <c r="X2737" s="711"/>
      <c r="Y2737" s="711"/>
      <c r="Z2737" s="711"/>
      <c r="AU2737" s="713"/>
      <c r="AW2737" s="712"/>
      <c r="BY2737" s="714"/>
      <c r="BZ2737" s="715"/>
      <c r="CA2737" s="716"/>
      <c r="CB2737" s="717"/>
      <c r="CC2737" s="717"/>
      <c r="CD2737" s="717"/>
      <c r="CE2737" s="717"/>
      <c r="CF2737" s="717"/>
      <c r="CG2737" s="717"/>
      <c r="CH2737" s="717"/>
      <c r="CI2737" s="717"/>
      <c r="CJ2737" s="717"/>
      <c r="CK2737" s="717"/>
      <c r="CL2737" s="717"/>
      <c r="CM2737" s="717"/>
      <c r="CN2737" s="717"/>
      <c r="CO2737" s="717"/>
      <c r="CP2737" s="717"/>
      <c r="CQ2737" s="717"/>
      <c r="CR2737" s="717"/>
      <c r="CS2737" s="717"/>
      <c r="CT2737" s="717"/>
      <c r="CU2737" s="717"/>
      <c r="CV2737" s="717"/>
      <c r="CW2737" s="717"/>
      <c r="CX2737" s="717"/>
      <c r="CY2737" s="717"/>
      <c r="CZ2737" s="717"/>
      <c r="DA2737" s="717"/>
      <c r="DB2737" s="717"/>
      <c r="DC2737" s="717"/>
      <c r="DD2737" s="717"/>
      <c r="DE2737" s="717"/>
      <c r="DF2737" s="717"/>
      <c r="DG2737" s="717"/>
      <c r="DH2737" s="717"/>
      <c r="DI2737" s="717"/>
      <c r="DJ2737" s="717"/>
      <c r="DM2737" s="711"/>
      <c r="DN2737" s="711"/>
      <c r="DO2737" s="711"/>
      <c r="DP2737" s="711"/>
      <c r="DQ2737" s="711"/>
    </row>
    <row r="2738" spans="13:121" s="709" customFormat="1" hidden="1">
      <c r="M2738" s="710"/>
      <c r="P2738" s="711"/>
      <c r="Q2738" s="712"/>
      <c r="U2738" s="711"/>
      <c r="V2738" s="711"/>
      <c r="W2738" s="711"/>
      <c r="X2738" s="711"/>
      <c r="Y2738" s="711"/>
      <c r="Z2738" s="711"/>
      <c r="AU2738" s="713"/>
      <c r="AW2738" s="712"/>
      <c r="BY2738" s="714"/>
      <c r="BZ2738" s="715"/>
      <c r="CA2738" s="716"/>
      <c r="CB2738" s="717"/>
      <c r="CC2738" s="717"/>
      <c r="CD2738" s="717"/>
      <c r="CE2738" s="717"/>
      <c r="CF2738" s="717"/>
      <c r="CG2738" s="717"/>
      <c r="CH2738" s="717"/>
      <c r="CI2738" s="717"/>
      <c r="CJ2738" s="717"/>
      <c r="CK2738" s="717"/>
      <c r="CL2738" s="717"/>
      <c r="CM2738" s="717"/>
      <c r="CN2738" s="717"/>
      <c r="CO2738" s="717"/>
      <c r="CP2738" s="717"/>
      <c r="CQ2738" s="717"/>
      <c r="CR2738" s="717"/>
      <c r="CS2738" s="717"/>
      <c r="CT2738" s="717"/>
      <c r="CU2738" s="717"/>
      <c r="CV2738" s="717"/>
      <c r="CW2738" s="717"/>
      <c r="CX2738" s="717"/>
      <c r="CY2738" s="717"/>
      <c r="CZ2738" s="717"/>
      <c r="DA2738" s="717"/>
      <c r="DB2738" s="717"/>
      <c r="DC2738" s="717"/>
      <c r="DD2738" s="717"/>
      <c r="DE2738" s="717"/>
      <c r="DF2738" s="717"/>
      <c r="DG2738" s="717"/>
      <c r="DH2738" s="717"/>
      <c r="DI2738" s="717"/>
      <c r="DJ2738" s="717"/>
      <c r="DM2738" s="711"/>
      <c r="DN2738" s="711"/>
      <c r="DO2738" s="711"/>
      <c r="DP2738" s="711"/>
      <c r="DQ2738" s="711"/>
    </row>
    <row r="2739" spans="13:121" s="709" customFormat="1" hidden="1">
      <c r="M2739" s="710"/>
      <c r="P2739" s="711"/>
      <c r="Q2739" s="712"/>
      <c r="U2739" s="711"/>
      <c r="V2739" s="711"/>
      <c r="W2739" s="711"/>
      <c r="X2739" s="711"/>
      <c r="Y2739" s="711"/>
      <c r="Z2739" s="711"/>
      <c r="AU2739" s="713"/>
      <c r="AW2739" s="712"/>
      <c r="BY2739" s="714"/>
      <c r="BZ2739" s="715"/>
      <c r="CA2739" s="716"/>
      <c r="CB2739" s="717"/>
      <c r="CC2739" s="717"/>
      <c r="CD2739" s="717"/>
      <c r="CE2739" s="717"/>
      <c r="CF2739" s="717"/>
      <c r="CG2739" s="717"/>
      <c r="CH2739" s="717"/>
      <c r="CI2739" s="717"/>
      <c r="CJ2739" s="717"/>
      <c r="CK2739" s="717"/>
      <c r="CL2739" s="717"/>
      <c r="CM2739" s="717"/>
      <c r="CN2739" s="717"/>
      <c r="CO2739" s="717"/>
      <c r="CP2739" s="717"/>
      <c r="CQ2739" s="717"/>
      <c r="CR2739" s="717"/>
      <c r="CS2739" s="717"/>
      <c r="CT2739" s="717"/>
      <c r="CU2739" s="717"/>
      <c r="CV2739" s="717"/>
      <c r="CW2739" s="717"/>
      <c r="CX2739" s="717"/>
      <c r="CY2739" s="717"/>
      <c r="CZ2739" s="717"/>
      <c r="DA2739" s="717"/>
      <c r="DB2739" s="717"/>
      <c r="DC2739" s="717"/>
      <c r="DD2739" s="717"/>
      <c r="DE2739" s="717"/>
      <c r="DF2739" s="717"/>
      <c r="DG2739" s="717"/>
      <c r="DH2739" s="717"/>
      <c r="DI2739" s="717"/>
      <c r="DJ2739" s="717"/>
      <c r="DM2739" s="711"/>
      <c r="DN2739" s="711"/>
      <c r="DO2739" s="711"/>
      <c r="DP2739" s="711"/>
      <c r="DQ2739" s="711"/>
    </row>
    <row r="2740" spans="13:121" s="709" customFormat="1" hidden="1">
      <c r="M2740" s="710"/>
      <c r="P2740" s="711"/>
      <c r="Q2740" s="712"/>
      <c r="U2740" s="711"/>
      <c r="V2740" s="711"/>
      <c r="W2740" s="711"/>
      <c r="X2740" s="711"/>
      <c r="Y2740" s="711"/>
      <c r="Z2740" s="711"/>
      <c r="AU2740" s="713"/>
      <c r="AW2740" s="712"/>
      <c r="BY2740" s="714"/>
      <c r="BZ2740" s="715"/>
      <c r="CA2740" s="716"/>
      <c r="CB2740" s="717"/>
      <c r="CC2740" s="717"/>
      <c r="CD2740" s="717"/>
      <c r="CE2740" s="717"/>
      <c r="CF2740" s="717"/>
      <c r="CG2740" s="717"/>
      <c r="CH2740" s="717"/>
      <c r="CI2740" s="717"/>
      <c r="CJ2740" s="717"/>
      <c r="CK2740" s="717"/>
      <c r="CL2740" s="717"/>
      <c r="CM2740" s="717"/>
      <c r="CN2740" s="717"/>
      <c r="CO2740" s="717"/>
      <c r="CP2740" s="717"/>
      <c r="CQ2740" s="717"/>
      <c r="CR2740" s="717"/>
      <c r="CS2740" s="717"/>
      <c r="CT2740" s="717"/>
      <c r="CU2740" s="717"/>
      <c r="CV2740" s="717"/>
      <c r="CW2740" s="717"/>
      <c r="CX2740" s="717"/>
      <c r="CY2740" s="717"/>
      <c r="CZ2740" s="717"/>
      <c r="DA2740" s="717"/>
      <c r="DB2740" s="717"/>
      <c r="DC2740" s="717"/>
      <c r="DD2740" s="717"/>
      <c r="DE2740" s="717"/>
      <c r="DF2740" s="717"/>
      <c r="DG2740" s="717"/>
      <c r="DH2740" s="717"/>
      <c r="DI2740" s="717"/>
      <c r="DJ2740" s="717"/>
      <c r="DM2740" s="711"/>
      <c r="DN2740" s="711"/>
      <c r="DO2740" s="711"/>
      <c r="DP2740" s="711"/>
      <c r="DQ2740" s="711"/>
    </row>
    <row r="2741" spans="13:121" s="709" customFormat="1" hidden="1">
      <c r="M2741" s="710"/>
      <c r="P2741" s="711"/>
      <c r="Q2741" s="712"/>
      <c r="U2741" s="711"/>
      <c r="V2741" s="711"/>
      <c r="W2741" s="711"/>
      <c r="X2741" s="711"/>
      <c r="Y2741" s="711"/>
      <c r="Z2741" s="711"/>
      <c r="AU2741" s="713"/>
      <c r="AW2741" s="712"/>
      <c r="BY2741" s="714"/>
      <c r="BZ2741" s="715"/>
      <c r="CA2741" s="716"/>
      <c r="CB2741" s="717"/>
      <c r="CC2741" s="717"/>
      <c r="CD2741" s="717"/>
      <c r="CE2741" s="717"/>
      <c r="CF2741" s="717"/>
      <c r="CG2741" s="717"/>
      <c r="CH2741" s="717"/>
      <c r="CI2741" s="717"/>
      <c r="CJ2741" s="717"/>
      <c r="CK2741" s="717"/>
      <c r="CL2741" s="717"/>
      <c r="CM2741" s="717"/>
      <c r="CN2741" s="717"/>
      <c r="CO2741" s="717"/>
      <c r="CP2741" s="717"/>
      <c r="CQ2741" s="717"/>
      <c r="CR2741" s="717"/>
      <c r="CS2741" s="717"/>
      <c r="CT2741" s="717"/>
      <c r="CU2741" s="717"/>
      <c r="CV2741" s="717"/>
      <c r="CW2741" s="717"/>
      <c r="CX2741" s="717"/>
      <c r="CY2741" s="717"/>
      <c r="CZ2741" s="717"/>
      <c r="DA2741" s="717"/>
      <c r="DB2741" s="717"/>
      <c r="DC2741" s="717"/>
      <c r="DD2741" s="717"/>
      <c r="DE2741" s="717"/>
      <c r="DF2741" s="717"/>
      <c r="DG2741" s="717"/>
      <c r="DH2741" s="717"/>
      <c r="DI2741" s="717"/>
      <c r="DJ2741" s="717"/>
      <c r="DM2741" s="711"/>
      <c r="DN2741" s="711"/>
      <c r="DO2741" s="711"/>
      <c r="DP2741" s="711"/>
      <c r="DQ2741" s="711"/>
    </row>
    <row r="2742" spans="13:121" s="709" customFormat="1" hidden="1">
      <c r="M2742" s="710"/>
      <c r="P2742" s="711"/>
      <c r="Q2742" s="712"/>
      <c r="U2742" s="711"/>
      <c r="V2742" s="711"/>
      <c r="W2742" s="711"/>
      <c r="X2742" s="711"/>
      <c r="Y2742" s="711"/>
      <c r="Z2742" s="711"/>
      <c r="AU2742" s="713"/>
      <c r="AW2742" s="712"/>
      <c r="BY2742" s="714"/>
      <c r="BZ2742" s="715"/>
      <c r="CA2742" s="716"/>
      <c r="CB2742" s="717"/>
      <c r="CC2742" s="717"/>
      <c r="CD2742" s="717"/>
      <c r="CE2742" s="717"/>
      <c r="CF2742" s="717"/>
      <c r="CG2742" s="717"/>
      <c r="CH2742" s="717"/>
      <c r="CI2742" s="717"/>
      <c r="CJ2742" s="717"/>
      <c r="CK2742" s="717"/>
      <c r="CL2742" s="717"/>
      <c r="CM2742" s="717"/>
      <c r="CN2742" s="717"/>
      <c r="CO2742" s="717"/>
      <c r="CP2742" s="717"/>
      <c r="CQ2742" s="717"/>
      <c r="CR2742" s="717"/>
      <c r="CS2742" s="717"/>
      <c r="CT2742" s="717"/>
      <c r="CU2742" s="717"/>
      <c r="CV2742" s="717"/>
      <c r="CW2742" s="717"/>
      <c r="CX2742" s="717"/>
      <c r="CY2742" s="717"/>
      <c r="CZ2742" s="717"/>
      <c r="DA2742" s="717"/>
      <c r="DB2742" s="717"/>
      <c r="DC2742" s="717"/>
      <c r="DD2742" s="717"/>
      <c r="DE2742" s="717"/>
      <c r="DF2742" s="717"/>
      <c r="DG2742" s="717"/>
      <c r="DH2742" s="717"/>
      <c r="DI2742" s="717"/>
      <c r="DJ2742" s="717"/>
      <c r="DM2742" s="711"/>
      <c r="DN2742" s="711"/>
      <c r="DO2742" s="711"/>
      <c r="DP2742" s="711"/>
      <c r="DQ2742" s="711"/>
    </row>
    <row r="2743" spans="13:121" s="709" customFormat="1" hidden="1">
      <c r="M2743" s="710"/>
      <c r="P2743" s="711"/>
      <c r="Q2743" s="712"/>
      <c r="U2743" s="711"/>
      <c r="V2743" s="711"/>
      <c r="W2743" s="711"/>
      <c r="X2743" s="711"/>
      <c r="Y2743" s="711"/>
      <c r="Z2743" s="711"/>
      <c r="AU2743" s="713"/>
      <c r="AW2743" s="712"/>
      <c r="BY2743" s="714"/>
      <c r="BZ2743" s="715"/>
      <c r="CA2743" s="716"/>
      <c r="CB2743" s="717"/>
      <c r="CC2743" s="717"/>
      <c r="CD2743" s="717"/>
      <c r="CE2743" s="717"/>
      <c r="CF2743" s="717"/>
      <c r="CG2743" s="717"/>
      <c r="CH2743" s="717"/>
      <c r="CI2743" s="717"/>
      <c r="CJ2743" s="717"/>
      <c r="CK2743" s="717"/>
      <c r="CL2743" s="717"/>
      <c r="CM2743" s="717"/>
      <c r="CN2743" s="717"/>
      <c r="CO2743" s="717"/>
      <c r="CP2743" s="717"/>
      <c r="CQ2743" s="717"/>
      <c r="CR2743" s="717"/>
      <c r="CS2743" s="717"/>
      <c r="CT2743" s="717"/>
      <c r="CU2743" s="717"/>
      <c r="CV2743" s="717"/>
      <c r="CW2743" s="717"/>
      <c r="CX2743" s="717"/>
      <c r="CY2743" s="717"/>
      <c r="CZ2743" s="717"/>
      <c r="DA2743" s="717"/>
      <c r="DB2743" s="717"/>
      <c r="DC2743" s="717"/>
      <c r="DD2743" s="717"/>
      <c r="DE2743" s="717"/>
      <c r="DF2743" s="717"/>
      <c r="DG2743" s="717"/>
      <c r="DH2743" s="717"/>
      <c r="DI2743" s="717"/>
      <c r="DJ2743" s="717"/>
      <c r="DM2743" s="711"/>
      <c r="DN2743" s="711"/>
      <c r="DO2743" s="711"/>
      <c r="DP2743" s="711"/>
      <c r="DQ2743" s="711"/>
    </row>
    <row r="2744" spans="13:121" s="709" customFormat="1" hidden="1">
      <c r="M2744" s="710"/>
      <c r="P2744" s="711"/>
      <c r="Q2744" s="712"/>
      <c r="U2744" s="711"/>
      <c r="V2744" s="711"/>
      <c r="W2744" s="711"/>
      <c r="X2744" s="711"/>
      <c r="Y2744" s="711"/>
      <c r="Z2744" s="711"/>
      <c r="AU2744" s="713"/>
      <c r="AW2744" s="712"/>
      <c r="BY2744" s="714"/>
      <c r="BZ2744" s="715"/>
      <c r="CA2744" s="716"/>
      <c r="CB2744" s="717"/>
      <c r="CC2744" s="717"/>
      <c r="CD2744" s="717"/>
      <c r="CE2744" s="717"/>
      <c r="CF2744" s="717"/>
      <c r="CG2744" s="717"/>
      <c r="CH2744" s="717"/>
      <c r="CI2744" s="717"/>
      <c r="CJ2744" s="717"/>
      <c r="CK2744" s="717"/>
      <c r="CL2744" s="717"/>
      <c r="CM2744" s="717"/>
      <c r="CN2744" s="717"/>
      <c r="CO2744" s="717"/>
      <c r="CP2744" s="717"/>
      <c r="CQ2744" s="717"/>
      <c r="CR2744" s="717"/>
      <c r="CS2744" s="717"/>
      <c r="CT2744" s="717"/>
      <c r="CU2744" s="717"/>
      <c r="CV2744" s="717"/>
      <c r="CW2744" s="717"/>
      <c r="CX2744" s="717"/>
      <c r="CY2744" s="717"/>
      <c r="CZ2744" s="717"/>
      <c r="DA2744" s="717"/>
      <c r="DB2744" s="717"/>
      <c r="DC2744" s="717"/>
      <c r="DD2744" s="717"/>
      <c r="DE2744" s="717"/>
      <c r="DF2744" s="717"/>
      <c r="DG2744" s="717"/>
      <c r="DH2744" s="717"/>
      <c r="DI2744" s="717"/>
      <c r="DJ2744" s="717"/>
      <c r="DM2744" s="711"/>
      <c r="DN2744" s="711"/>
      <c r="DO2744" s="711"/>
      <c r="DP2744" s="711"/>
      <c r="DQ2744" s="711"/>
    </row>
    <row r="2745" spans="13:121" s="709" customFormat="1" hidden="1">
      <c r="M2745" s="710"/>
      <c r="P2745" s="711"/>
      <c r="Q2745" s="712"/>
      <c r="U2745" s="711"/>
      <c r="V2745" s="711"/>
      <c r="W2745" s="711"/>
      <c r="X2745" s="711"/>
      <c r="Y2745" s="711"/>
      <c r="Z2745" s="711"/>
      <c r="AU2745" s="713"/>
      <c r="AW2745" s="712"/>
      <c r="BY2745" s="714"/>
      <c r="BZ2745" s="715"/>
      <c r="CA2745" s="716"/>
      <c r="CB2745" s="717"/>
      <c r="CC2745" s="717"/>
      <c r="CD2745" s="717"/>
      <c r="CE2745" s="717"/>
      <c r="CF2745" s="717"/>
      <c r="CG2745" s="717"/>
      <c r="CH2745" s="717"/>
      <c r="CI2745" s="717"/>
      <c r="CJ2745" s="717"/>
      <c r="CK2745" s="717"/>
      <c r="CL2745" s="717"/>
      <c r="CM2745" s="717"/>
      <c r="CN2745" s="717"/>
      <c r="CO2745" s="717"/>
      <c r="CP2745" s="717"/>
      <c r="CQ2745" s="717"/>
      <c r="CR2745" s="717"/>
      <c r="CS2745" s="717"/>
      <c r="CT2745" s="717"/>
      <c r="CU2745" s="717"/>
      <c r="CV2745" s="717"/>
      <c r="CW2745" s="717"/>
      <c r="CX2745" s="717"/>
      <c r="CY2745" s="717"/>
      <c r="CZ2745" s="717"/>
      <c r="DA2745" s="717"/>
      <c r="DB2745" s="717"/>
      <c r="DC2745" s="717"/>
      <c r="DD2745" s="717"/>
      <c r="DE2745" s="717"/>
      <c r="DF2745" s="717"/>
      <c r="DG2745" s="717"/>
      <c r="DH2745" s="717"/>
      <c r="DI2745" s="717"/>
      <c r="DJ2745" s="717"/>
      <c r="DM2745" s="711"/>
      <c r="DN2745" s="711"/>
      <c r="DO2745" s="711"/>
      <c r="DP2745" s="711"/>
      <c r="DQ2745" s="711"/>
    </row>
    <row r="2746" spans="13:121" s="709" customFormat="1" hidden="1">
      <c r="M2746" s="710"/>
      <c r="P2746" s="711"/>
      <c r="Q2746" s="712"/>
      <c r="U2746" s="711"/>
      <c r="V2746" s="711"/>
      <c r="W2746" s="711"/>
      <c r="X2746" s="711"/>
      <c r="Y2746" s="711"/>
      <c r="Z2746" s="711"/>
      <c r="AU2746" s="713"/>
      <c r="AW2746" s="712"/>
      <c r="BY2746" s="714"/>
      <c r="BZ2746" s="715"/>
      <c r="CA2746" s="716"/>
      <c r="CB2746" s="717"/>
      <c r="CC2746" s="717"/>
      <c r="CD2746" s="717"/>
      <c r="CE2746" s="717"/>
      <c r="CF2746" s="717"/>
      <c r="CG2746" s="717"/>
      <c r="CH2746" s="717"/>
      <c r="CI2746" s="717"/>
      <c r="CJ2746" s="717"/>
      <c r="CK2746" s="717"/>
      <c r="CL2746" s="717"/>
      <c r="CM2746" s="717"/>
      <c r="CN2746" s="717"/>
      <c r="CO2746" s="717"/>
      <c r="CP2746" s="717"/>
      <c r="CQ2746" s="717"/>
      <c r="CR2746" s="717"/>
      <c r="CS2746" s="717"/>
      <c r="CT2746" s="717"/>
      <c r="CU2746" s="717"/>
      <c r="CV2746" s="717"/>
      <c r="CW2746" s="717"/>
      <c r="CX2746" s="717"/>
      <c r="CY2746" s="717"/>
      <c r="CZ2746" s="717"/>
      <c r="DA2746" s="717"/>
      <c r="DB2746" s="717"/>
      <c r="DC2746" s="717"/>
      <c r="DD2746" s="717"/>
      <c r="DE2746" s="717"/>
      <c r="DF2746" s="717"/>
      <c r="DG2746" s="717"/>
      <c r="DH2746" s="717"/>
      <c r="DI2746" s="717"/>
      <c r="DJ2746" s="717"/>
      <c r="DM2746" s="711"/>
      <c r="DN2746" s="711"/>
      <c r="DO2746" s="711"/>
      <c r="DP2746" s="711"/>
      <c r="DQ2746" s="711"/>
    </row>
    <row r="2747" spans="13:121" s="709" customFormat="1" hidden="1">
      <c r="M2747" s="710"/>
      <c r="P2747" s="711"/>
      <c r="Q2747" s="712"/>
      <c r="U2747" s="711"/>
      <c r="V2747" s="711"/>
      <c r="W2747" s="711"/>
      <c r="X2747" s="711"/>
      <c r="Y2747" s="711"/>
      <c r="Z2747" s="711"/>
      <c r="AU2747" s="713"/>
      <c r="AW2747" s="712"/>
      <c r="BY2747" s="714"/>
      <c r="BZ2747" s="715"/>
      <c r="CA2747" s="716"/>
      <c r="CB2747" s="717"/>
      <c r="CC2747" s="717"/>
      <c r="CD2747" s="717"/>
      <c r="CE2747" s="717"/>
      <c r="CF2747" s="717"/>
      <c r="CG2747" s="717"/>
      <c r="CH2747" s="717"/>
      <c r="CI2747" s="717"/>
      <c r="CJ2747" s="717"/>
      <c r="CK2747" s="717"/>
      <c r="CL2747" s="717"/>
      <c r="CM2747" s="717"/>
      <c r="CN2747" s="717"/>
      <c r="CO2747" s="717"/>
      <c r="CP2747" s="717"/>
      <c r="CQ2747" s="717"/>
      <c r="CR2747" s="717"/>
      <c r="CS2747" s="717"/>
      <c r="CT2747" s="717"/>
      <c r="CU2747" s="717"/>
      <c r="CV2747" s="717"/>
      <c r="CW2747" s="717"/>
      <c r="CX2747" s="717"/>
      <c r="CY2747" s="717"/>
      <c r="CZ2747" s="717"/>
      <c r="DA2747" s="717"/>
      <c r="DB2747" s="717"/>
      <c r="DC2747" s="717"/>
      <c r="DD2747" s="717"/>
      <c r="DE2747" s="717"/>
      <c r="DF2747" s="717"/>
      <c r="DG2747" s="717"/>
      <c r="DH2747" s="717"/>
      <c r="DI2747" s="717"/>
      <c r="DJ2747" s="717"/>
      <c r="DM2747" s="711"/>
      <c r="DN2747" s="711"/>
      <c r="DO2747" s="711"/>
      <c r="DP2747" s="711"/>
      <c r="DQ2747" s="711"/>
    </row>
    <row r="2748" spans="13:121" s="709" customFormat="1" hidden="1">
      <c r="M2748" s="710"/>
      <c r="P2748" s="711"/>
      <c r="Q2748" s="712"/>
      <c r="U2748" s="711"/>
      <c r="V2748" s="711"/>
      <c r="W2748" s="711"/>
      <c r="X2748" s="711"/>
      <c r="Y2748" s="711"/>
      <c r="Z2748" s="711"/>
      <c r="AU2748" s="713"/>
      <c r="AW2748" s="712"/>
      <c r="BY2748" s="714"/>
      <c r="BZ2748" s="715"/>
      <c r="CA2748" s="716"/>
      <c r="CB2748" s="717"/>
      <c r="CC2748" s="717"/>
      <c r="CD2748" s="717"/>
      <c r="CE2748" s="717"/>
      <c r="CF2748" s="717"/>
      <c r="CG2748" s="717"/>
      <c r="CH2748" s="717"/>
      <c r="CI2748" s="717"/>
      <c r="CJ2748" s="717"/>
      <c r="CK2748" s="717"/>
      <c r="CL2748" s="717"/>
      <c r="CM2748" s="717"/>
      <c r="CN2748" s="717"/>
      <c r="CO2748" s="717"/>
      <c r="CP2748" s="717"/>
      <c r="CQ2748" s="717"/>
      <c r="CR2748" s="717"/>
      <c r="CS2748" s="717"/>
      <c r="CT2748" s="717"/>
      <c r="CU2748" s="717"/>
      <c r="CV2748" s="717"/>
      <c r="CW2748" s="717"/>
      <c r="CX2748" s="717"/>
      <c r="CY2748" s="717"/>
      <c r="CZ2748" s="717"/>
      <c r="DA2748" s="717"/>
      <c r="DB2748" s="717"/>
      <c r="DC2748" s="717"/>
      <c r="DD2748" s="717"/>
      <c r="DE2748" s="717"/>
      <c r="DF2748" s="717"/>
      <c r="DG2748" s="717"/>
      <c r="DH2748" s="717"/>
      <c r="DI2748" s="717"/>
      <c r="DJ2748" s="717"/>
      <c r="DM2748" s="711"/>
      <c r="DN2748" s="711"/>
      <c r="DO2748" s="711"/>
      <c r="DP2748" s="711"/>
      <c r="DQ2748" s="711"/>
    </row>
    <row r="2749" spans="13:121" s="709" customFormat="1" hidden="1">
      <c r="M2749" s="710"/>
      <c r="P2749" s="711"/>
      <c r="Q2749" s="712"/>
      <c r="U2749" s="711"/>
      <c r="V2749" s="711"/>
      <c r="W2749" s="711"/>
      <c r="X2749" s="711"/>
      <c r="Y2749" s="711"/>
      <c r="Z2749" s="711"/>
      <c r="AU2749" s="713"/>
      <c r="AW2749" s="712"/>
      <c r="BY2749" s="714"/>
      <c r="BZ2749" s="715"/>
      <c r="CA2749" s="716"/>
      <c r="CB2749" s="717"/>
      <c r="CC2749" s="717"/>
      <c r="CD2749" s="717"/>
      <c r="CE2749" s="717"/>
      <c r="CF2749" s="717"/>
      <c r="CG2749" s="717"/>
      <c r="CH2749" s="717"/>
      <c r="CI2749" s="717"/>
      <c r="CJ2749" s="717"/>
      <c r="CK2749" s="717"/>
      <c r="CL2749" s="717"/>
      <c r="CM2749" s="717"/>
      <c r="CN2749" s="717"/>
      <c r="CO2749" s="717"/>
      <c r="CP2749" s="717"/>
      <c r="CQ2749" s="717"/>
      <c r="CR2749" s="717"/>
      <c r="CS2749" s="717"/>
      <c r="CT2749" s="717"/>
      <c r="CU2749" s="717"/>
      <c r="CV2749" s="717"/>
      <c r="CW2749" s="717"/>
      <c r="CX2749" s="717"/>
      <c r="CY2749" s="717"/>
      <c r="CZ2749" s="717"/>
      <c r="DA2749" s="717"/>
      <c r="DB2749" s="717"/>
      <c r="DC2749" s="717"/>
      <c r="DD2749" s="717"/>
      <c r="DE2749" s="717"/>
      <c r="DF2749" s="717"/>
      <c r="DG2749" s="717"/>
      <c r="DH2749" s="717"/>
      <c r="DI2749" s="717"/>
      <c r="DJ2749" s="717"/>
      <c r="DM2749" s="711"/>
      <c r="DN2749" s="711"/>
      <c r="DO2749" s="711"/>
      <c r="DP2749" s="711"/>
      <c r="DQ2749" s="711"/>
    </row>
    <row r="2750" spans="13:121" s="709" customFormat="1" hidden="1">
      <c r="M2750" s="710"/>
      <c r="P2750" s="711"/>
      <c r="Q2750" s="712"/>
      <c r="U2750" s="711"/>
      <c r="V2750" s="711"/>
      <c r="W2750" s="711"/>
      <c r="X2750" s="711"/>
      <c r="Y2750" s="711"/>
      <c r="Z2750" s="711"/>
      <c r="AU2750" s="713"/>
      <c r="AW2750" s="712"/>
      <c r="BY2750" s="714"/>
      <c r="BZ2750" s="715"/>
      <c r="CA2750" s="716"/>
      <c r="CB2750" s="717"/>
      <c r="CC2750" s="717"/>
      <c r="CD2750" s="717"/>
      <c r="CE2750" s="717"/>
      <c r="CF2750" s="717"/>
      <c r="CG2750" s="717"/>
      <c r="CH2750" s="717"/>
      <c r="CI2750" s="717"/>
      <c r="CJ2750" s="717"/>
      <c r="CK2750" s="717"/>
      <c r="CL2750" s="717"/>
      <c r="CM2750" s="717"/>
      <c r="CN2750" s="717"/>
      <c r="CO2750" s="717"/>
      <c r="CP2750" s="717"/>
      <c r="CQ2750" s="717"/>
      <c r="CR2750" s="717"/>
      <c r="CS2750" s="717"/>
      <c r="CT2750" s="717"/>
      <c r="CU2750" s="717"/>
      <c r="CV2750" s="717"/>
      <c r="CW2750" s="717"/>
      <c r="CX2750" s="717"/>
      <c r="CY2750" s="717"/>
      <c r="CZ2750" s="717"/>
      <c r="DA2750" s="717"/>
      <c r="DB2750" s="717"/>
      <c r="DC2750" s="717"/>
      <c r="DD2750" s="717"/>
      <c r="DE2750" s="717"/>
      <c r="DF2750" s="717"/>
      <c r="DG2750" s="717"/>
      <c r="DH2750" s="717"/>
      <c r="DI2750" s="717"/>
      <c r="DJ2750" s="717"/>
      <c r="DM2750" s="711"/>
      <c r="DN2750" s="711"/>
      <c r="DO2750" s="711"/>
      <c r="DP2750" s="711"/>
      <c r="DQ2750" s="711"/>
    </row>
    <row r="2751" spans="13:121" s="709" customFormat="1" hidden="1">
      <c r="M2751" s="710"/>
      <c r="P2751" s="711"/>
      <c r="Q2751" s="712"/>
      <c r="U2751" s="711"/>
      <c r="V2751" s="711"/>
      <c r="W2751" s="711"/>
      <c r="X2751" s="711"/>
      <c r="Y2751" s="711"/>
      <c r="Z2751" s="711"/>
      <c r="AU2751" s="713"/>
      <c r="AW2751" s="712"/>
      <c r="BY2751" s="714"/>
      <c r="BZ2751" s="715"/>
      <c r="CA2751" s="716"/>
      <c r="CB2751" s="717"/>
      <c r="CC2751" s="717"/>
      <c r="CD2751" s="717"/>
      <c r="CE2751" s="717"/>
      <c r="CF2751" s="717"/>
      <c r="CG2751" s="717"/>
      <c r="CH2751" s="717"/>
      <c r="CI2751" s="717"/>
      <c r="CJ2751" s="717"/>
      <c r="CK2751" s="717"/>
      <c r="CL2751" s="717"/>
      <c r="CM2751" s="717"/>
      <c r="CN2751" s="717"/>
      <c r="CO2751" s="717"/>
      <c r="CP2751" s="717"/>
      <c r="CQ2751" s="717"/>
      <c r="CR2751" s="717"/>
      <c r="CS2751" s="717"/>
      <c r="CT2751" s="717"/>
      <c r="CU2751" s="717"/>
      <c r="CV2751" s="717"/>
      <c r="CW2751" s="717"/>
      <c r="CX2751" s="717"/>
      <c r="CY2751" s="717"/>
      <c r="CZ2751" s="717"/>
      <c r="DA2751" s="717"/>
      <c r="DB2751" s="717"/>
      <c r="DC2751" s="717"/>
      <c r="DD2751" s="717"/>
      <c r="DE2751" s="717"/>
      <c r="DF2751" s="717"/>
      <c r="DG2751" s="717"/>
      <c r="DH2751" s="717"/>
      <c r="DI2751" s="717"/>
      <c r="DJ2751" s="717"/>
      <c r="DM2751" s="711"/>
      <c r="DN2751" s="711"/>
      <c r="DO2751" s="711"/>
      <c r="DP2751" s="711"/>
      <c r="DQ2751" s="711"/>
    </row>
    <row r="2752" spans="13:121" s="709" customFormat="1" hidden="1">
      <c r="M2752" s="710"/>
      <c r="P2752" s="711"/>
      <c r="Q2752" s="712"/>
      <c r="U2752" s="711"/>
      <c r="V2752" s="711"/>
      <c r="W2752" s="711"/>
      <c r="X2752" s="711"/>
      <c r="Y2752" s="711"/>
      <c r="Z2752" s="711"/>
      <c r="AU2752" s="713"/>
      <c r="AW2752" s="712"/>
      <c r="BY2752" s="714"/>
      <c r="BZ2752" s="715"/>
      <c r="CA2752" s="716"/>
      <c r="CB2752" s="717"/>
      <c r="CC2752" s="717"/>
      <c r="CD2752" s="717"/>
      <c r="CE2752" s="717"/>
      <c r="CF2752" s="717"/>
      <c r="CG2752" s="717"/>
      <c r="CH2752" s="717"/>
      <c r="CI2752" s="717"/>
      <c r="CJ2752" s="717"/>
      <c r="CK2752" s="717"/>
      <c r="CL2752" s="717"/>
      <c r="CM2752" s="717"/>
      <c r="CN2752" s="717"/>
      <c r="CO2752" s="717"/>
      <c r="CP2752" s="717"/>
      <c r="CQ2752" s="717"/>
      <c r="CR2752" s="717"/>
      <c r="CS2752" s="717"/>
      <c r="CT2752" s="717"/>
      <c r="CU2752" s="717"/>
      <c r="CV2752" s="717"/>
      <c r="CW2752" s="717"/>
      <c r="CX2752" s="717"/>
      <c r="CY2752" s="717"/>
      <c r="CZ2752" s="717"/>
      <c r="DA2752" s="717"/>
      <c r="DB2752" s="717"/>
      <c r="DC2752" s="717"/>
      <c r="DD2752" s="717"/>
      <c r="DE2752" s="717"/>
      <c r="DF2752" s="717"/>
      <c r="DG2752" s="717"/>
      <c r="DH2752" s="717"/>
      <c r="DI2752" s="717"/>
      <c r="DJ2752" s="717"/>
      <c r="DM2752" s="711"/>
      <c r="DN2752" s="711"/>
      <c r="DO2752" s="711"/>
      <c r="DP2752" s="711"/>
      <c r="DQ2752" s="711"/>
    </row>
    <row r="2753" spans="13:121" s="709" customFormat="1" hidden="1">
      <c r="M2753" s="710"/>
      <c r="P2753" s="711"/>
      <c r="Q2753" s="712"/>
      <c r="U2753" s="711"/>
      <c r="V2753" s="711"/>
      <c r="W2753" s="711"/>
      <c r="X2753" s="711"/>
      <c r="Y2753" s="711"/>
      <c r="Z2753" s="711"/>
      <c r="AU2753" s="713"/>
      <c r="AW2753" s="712"/>
      <c r="BY2753" s="714"/>
      <c r="BZ2753" s="715"/>
      <c r="CA2753" s="716"/>
      <c r="CB2753" s="717"/>
      <c r="CC2753" s="717"/>
      <c r="CD2753" s="717"/>
      <c r="CE2753" s="717"/>
      <c r="CF2753" s="717"/>
      <c r="CG2753" s="717"/>
      <c r="CH2753" s="717"/>
      <c r="CI2753" s="717"/>
      <c r="CJ2753" s="717"/>
      <c r="CK2753" s="717"/>
      <c r="CL2753" s="717"/>
      <c r="CM2753" s="717"/>
      <c r="CN2753" s="717"/>
      <c r="CO2753" s="717"/>
      <c r="CP2753" s="717"/>
      <c r="CQ2753" s="717"/>
      <c r="CR2753" s="717"/>
      <c r="CS2753" s="717"/>
      <c r="CT2753" s="717"/>
      <c r="CU2753" s="717"/>
      <c r="CV2753" s="717"/>
      <c r="CW2753" s="717"/>
      <c r="CX2753" s="717"/>
      <c r="CY2753" s="717"/>
      <c r="CZ2753" s="717"/>
      <c r="DA2753" s="717"/>
      <c r="DB2753" s="717"/>
      <c r="DC2753" s="717"/>
      <c r="DD2753" s="717"/>
      <c r="DE2753" s="717"/>
      <c r="DF2753" s="717"/>
      <c r="DG2753" s="717"/>
      <c r="DH2753" s="717"/>
      <c r="DI2753" s="717"/>
      <c r="DJ2753" s="717"/>
      <c r="DM2753" s="711"/>
      <c r="DN2753" s="711"/>
      <c r="DO2753" s="711"/>
      <c r="DP2753" s="711"/>
      <c r="DQ2753" s="711"/>
    </row>
    <row r="2754" spans="13:121" s="709" customFormat="1" hidden="1">
      <c r="M2754" s="710"/>
      <c r="P2754" s="711"/>
      <c r="Q2754" s="712"/>
      <c r="U2754" s="711"/>
      <c r="V2754" s="711"/>
      <c r="W2754" s="711"/>
      <c r="X2754" s="711"/>
      <c r="Y2754" s="711"/>
      <c r="Z2754" s="711"/>
      <c r="AU2754" s="713"/>
      <c r="AW2754" s="712"/>
      <c r="BY2754" s="714"/>
      <c r="BZ2754" s="715"/>
      <c r="CA2754" s="716"/>
      <c r="CB2754" s="717"/>
      <c r="CC2754" s="717"/>
      <c r="CD2754" s="717"/>
      <c r="CE2754" s="717"/>
      <c r="CF2754" s="717"/>
      <c r="CG2754" s="717"/>
      <c r="CH2754" s="717"/>
      <c r="CI2754" s="717"/>
      <c r="CJ2754" s="717"/>
      <c r="CK2754" s="717"/>
      <c r="CL2754" s="717"/>
      <c r="CM2754" s="717"/>
      <c r="CN2754" s="717"/>
      <c r="CO2754" s="717"/>
      <c r="CP2754" s="717"/>
      <c r="CQ2754" s="717"/>
      <c r="CR2754" s="717"/>
      <c r="CS2754" s="717"/>
      <c r="CT2754" s="717"/>
      <c r="CU2754" s="717"/>
      <c r="CV2754" s="717"/>
      <c r="CW2754" s="717"/>
      <c r="CX2754" s="717"/>
      <c r="CY2754" s="717"/>
      <c r="CZ2754" s="717"/>
      <c r="DA2754" s="717"/>
      <c r="DB2754" s="717"/>
      <c r="DC2754" s="717"/>
      <c r="DD2754" s="717"/>
      <c r="DE2754" s="717"/>
      <c r="DF2754" s="717"/>
      <c r="DG2754" s="717"/>
      <c r="DH2754" s="717"/>
      <c r="DI2754" s="717"/>
      <c r="DJ2754" s="717"/>
      <c r="DM2754" s="711"/>
      <c r="DN2754" s="711"/>
      <c r="DO2754" s="711"/>
      <c r="DP2754" s="711"/>
      <c r="DQ2754" s="711"/>
    </row>
    <row r="2755" spans="13:121" s="709" customFormat="1" hidden="1">
      <c r="M2755" s="710"/>
      <c r="P2755" s="711"/>
      <c r="Q2755" s="712"/>
      <c r="U2755" s="711"/>
      <c r="V2755" s="711"/>
      <c r="W2755" s="711"/>
      <c r="X2755" s="711"/>
      <c r="Y2755" s="711"/>
      <c r="Z2755" s="711"/>
      <c r="AU2755" s="713"/>
      <c r="AW2755" s="712"/>
      <c r="BY2755" s="714"/>
      <c r="BZ2755" s="715"/>
      <c r="CA2755" s="716"/>
      <c r="CB2755" s="717"/>
      <c r="CC2755" s="717"/>
      <c r="CD2755" s="717"/>
      <c r="CE2755" s="717"/>
      <c r="CF2755" s="717"/>
      <c r="CG2755" s="717"/>
      <c r="CH2755" s="717"/>
      <c r="CI2755" s="717"/>
      <c r="CJ2755" s="717"/>
      <c r="CK2755" s="717"/>
      <c r="CL2755" s="717"/>
      <c r="CM2755" s="717"/>
      <c r="CN2755" s="717"/>
      <c r="CO2755" s="717"/>
      <c r="CP2755" s="717"/>
      <c r="CQ2755" s="717"/>
      <c r="CR2755" s="717"/>
      <c r="CS2755" s="717"/>
      <c r="CT2755" s="717"/>
      <c r="CU2755" s="717"/>
      <c r="CV2755" s="717"/>
      <c r="CW2755" s="717"/>
      <c r="CX2755" s="717"/>
      <c r="CY2755" s="717"/>
      <c r="CZ2755" s="717"/>
      <c r="DA2755" s="717"/>
      <c r="DB2755" s="717"/>
      <c r="DC2755" s="717"/>
      <c r="DD2755" s="717"/>
      <c r="DE2755" s="717"/>
      <c r="DF2755" s="717"/>
      <c r="DG2755" s="717"/>
      <c r="DH2755" s="717"/>
      <c r="DI2755" s="717"/>
      <c r="DJ2755" s="717"/>
      <c r="DM2755" s="711"/>
      <c r="DN2755" s="711"/>
      <c r="DO2755" s="711"/>
      <c r="DP2755" s="711"/>
      <c r="DQ2755" s="711"/>
    </row>
    <row r="2756" spans="13:121" s="709" customFormat="1" hidden="1">
      <c r="M2756" s="710"/>
      <c r="P2756" s="711"/>
      <c r="Q2756" s="712"/>
      <c r="U2756" s="711"/>
      <c r="V2756" s="711"/>
      <c r="W2756" s="711"/>
      <c r="X2756" s="711"/>
      <c r="Y2756" s="711"/>
      <c r="Z2756" s="711"/>
      <c r="AU2756" s="713"/>
      <c r="AW2756" s="712"/>
      <c r="BY2756" s="714"/>
      <c r="BZ2756" s="715"/>
      <c r="CA2756" s="716"/>
      <c r="CB2756" s="717"/>
      <c r="CC2756" s="717"/>
      <c r="CD2756" s="717"/>
      <c r="CE2756" s="717"/>
      <c r="CF2756" s="717"/>
      <c r="CG2756" s="717"/>
      <c r="CH2756" s="717"/>
      <c r="CI2756" s="717"/>
      <c r="CJ2756" s="717"/>
      <c r="CK2756" s="717"/>
      <c r="CL2756" s="717"/>
      <c r="CM2756" s="717"/>
      <c r="CN2756" s="717"/>
      <c r="CO2756" s="717"/>
      <c r="CP2756" s="717"/>
      <c r="CQ2756" s="717"/>
      <c r="CR2756" s="717"/>
      <c r="CS2756" s="717"/>
      <c r="CT2756" s="717"/>
      <c r="CU2756" s="717"/>
      <c r="CV2756" s="717"/>
      <c r="CW2756" s="717"/>
      <c r="CX2756" s="717"/>
      <c r="CY2756" s="717"/>
      <c r="CZ2756" s="717"/>
      <c r="DA2756" s="717"/>
      <c r="DB2756" s="717"/>
      <c r="DC2756" s="717"/>
      <c r="DD2756" s="717"/>
      <c r="DE2756" s="717"/>
      <c r="DF2756" s="717"/>
      <c r="DG2756" s="717"/>
      <c r="DH2756" s="717"/>
      <c r="DI2756" s="717"/>
      <c r="DJ2756" s="717"/>
      <c r="DM2756" s="711"/>
      <c r="DN2756" s="711"/>
      <c r="DO2756" s="711"/>
      <c r="DP2756" s="711"/>
      <c r="DQ2756" s="711"/>
    </row>
    <row r="2757" spans="13:121" s="709" customFormat="1" hidden="1">
      <c r="M2757" s="710"/>
      <c r="P2757" s="711"/>
      <c r="Q2757" s="712"/>
      <c r="U2757" s="711"/>
      <c r="V2757" s="711"/>
      <c r="W2757" s="711"/>
      <c r="X2757" s="711"/>
      <c r="Y2757" s="711"/>
      <c r="Z2757" s="711"/>
      <c r="AU2757" s="713"/>
      <c r="AW2757" s="712"/>
      <c r="BY2757" s="714"/>
      <c r="BZ2757" s="715"/>
      <c r="CA2757" s="716"/>
      <c r="CB2757" s="717"/>
      <c r="CC2757" s="717"/>
      <c r="CD2757" s="717"/>
      <c r="CE2757" s="717"/>
      <c r="CF2757" s="717"/>
      <c r="CG2757" s="717"/>
      <c r="CH2757" s="717"/>
      <c r="CI2757" s="717"/>
      <c r="CJ2757" s="717"/>
      <c r="CK2757" s="717"/>
      <c r="CL2757" s="717"/>
      <c r="CM2757" s="717"/>
      <c r="CN2757" s="717"/>
      <c r="CO2757" s="717"/>
      <c r="CP2757" s="717"/>
      <c r="CQ2757" s="717"/>
      <c r="CR2757" s="717"/>
      <c r="CS2757" s="717"/>
      <c r="CT2757" s="717"/>
      <c r="CU2757" s="717"/>
      <c r="CV2757" s="717"/>
      <c r="CW2757" s="717"/>
      <c r="CX2757" s="717"/>
      <c r="CY2757" s="717"/>
      <c r="CZ2757" s="717"/>
      <c r="DA2757" s="717"/>
      <c r="DB2757" s="717"/>
      <c r="DC2757" s="717"/>
      <c r="DD2757" s="717"/>
      <c r="DE2757" s="717"/>
      <c r="DF2757" s="717"/>
      <c r="DG2757" s="717"/>
      <c r="DH2757" s="717"/>
      <c r="DI2757" s="717"/>
      <c r="DJ2757" s="717"/>
      <c r="DM2757" s="711"/>
      <c r="DN2757" s="711"/>
      <c r="DO2757" s="711"/>
      <c r="DP2757" s="711"/>
      <c r="DQ2757" s="711"/>
    </row>
    <row r="2758" spans="13:121" s="709" customFormat="1" hidden="1">
      <c r="M2758" s="710"/>
      <c r="P2758" s="711"/>
      <c r="Q2758" s="712"/>
      <c r="U2758" s="711"/>
      <c r="V2758" s="711"/>
      <c r="W2758" s="711"/>
      <c r="X2758" s="711"/>
      <c r="Y2758" s="711"/>
      <c r="Z2758" s="711"/>
      <c r="AU2758" s="713"/>
      <c r="AW2758" s="712"/>
      <c r="BY2758" s="714"/>
      <c r="BZ2758" s="715"/>
      <c r="CA2758" s="716"/>
      <c r="CB2758" s="717"/>
      <c r="CC2758" s="717"/>
      <c r="CD2758" s="717"/>
      <c r="CE2758" s="717"/>
      <c r="CF2758" s="717"/>
      <c r="CG2758" s="717"/>
      <c r="CH2758" s="717"/>
      <c r="CI2758" s="717"/>
      <c r="CJ2758" s="717"/>
      <c r="CK2758" s="717"/>
      <c r="CL2758" s="717"/>
      <c r="CM2758" s="717"/>
      <c r="CN2758" s="717"/>
      <c r="CO2758" s="717"/>
      <c r="CP2758" s="717"/>
      <c r="CQ2758" s="717"/>
      <c r="CR2758" s="717"/>
      <c r="CS2758" s="717"/>
      <c r="CT2758" s="717"/>
      <c r="CU2758" s="717"/>
      <c r="CV2758" s="717"/>
      <c r="CW2758" s="717"/>
      <c r="CX2758" s="717"/>
      <c r="CY2758" s="717"/>
      <c r="CZ2758" s="717"/>
      <c r="DA2758" s="717"/>
      <c r="DB2758" s="717"/>
      <c r="DC2758" s="717"/>
      <c r="DD2758" s="717"/>
      <c r="DE2758" s="717"/>
      <c r="DF2758" s="717"/>
      <c r="DG2758" s="717"/>
      <c r="DH2758" s="717"/>
      <c r="DI2758" s="717"/>
      <c r="DJ2758" s="717"/>
      <c r="DM2758" s="711"/>
      <c r="DN2758" s="711"/>
      <c r="DO2758" s="711"/>
      <c r="DP2758" s="711"/>
      <c r="DQ2758" s="711"/>
    </row>
    <row r="2759" spans="13:121" s="709" customFormat="1" hidden="1">
      <c r="M2759" s="710"/>
      <c r="P2759" s="711"/>
      <c r="Q2759" s="712"/>
      <c r="U2759" s="711"/>
      <c r="V2759" s="711"/>
      <c r="W2759" s="711"/>
      <c r="X2759" s="711"/>
      <c r="Y2759" s="711"/>
      <c r="Z2759" s="711"/>
      <c r="AU2759" s="713"/>
      <c r="AW2759" s="712"/>
      <c r="BY2759" s="714"/>
      <c r="BZ2759" s="715"/>
      <c r="CA2759" s="716"/>
      <c r="CB2759" s="717"/>
      <c r="CC2759" s="717"/>
      <c r="CD2759" s="717"/>
      <c r="CE2759" s="717"/>
      <c r="CF2759" s="717"/>
      <c r="CG2759" s="717"/>
      <c r="CH2759" s="717"/>
      <c r="CI2759" s="717"/>
      <c r="CJ2759" s="717"/>
      <c r="CK2759" s="717"/>
      <c r="CL2759" s="717"/>
      <c r="CM2759" s="717"/>
      <c r="CN2759" s="717"/>
      <c r="CO2759" s="717"/>
      <c r="CP2759" s="717"/>
      <c r="CQ2759" s="717"/>
      <c r="CR2759" s="717"/>
      <c r="CS2759" s="717"/>
      <c r="CT2759" s="717"/>
      <c r="CU2759" s="717"/>
      <c r="CV2759" s="717"/>
      <c r="CW2759" s="717"/>
      <c r="CX2759" s="717"/>
      <c r="CY2759" s="717"/>
      <c r="CZ2759" s="717"/>
      <c r="DA2759" s="717"/>
      <c r="DB2759" s="717"/>
      <c r="DC2759" s="717"/>
      <c r="DD2759" s="717"/>
      <c r="DE2759" s="717"/>
      <c r="DF2759" s="717"/>
      <c r="DG2759" s="717"/>
      <c r="DH2759" s="717"/>
      <c r="DI2759" s="717"/>
      <c r="DJ2759" s="717"/>
      <c r="DM2759" s="711"/>
      <c r="DN2759" s="711"/>
      <c r="DO2759" s="711"/>
      <c r="DP2759" s="711"/>
      <c r="DQ2759" s="711"/>
    </row>
    <row r="2760" spans="13:121" s="709" customFormat="1" hidden="1">
      <c r="M2760" s="710"/>
      <c r="P2760" s="711"/>
      <c r="Q2760" s="712"/>
      <c r="U2760" s="711"/>
      <c r="V2760" s="711"/>
      <c r="W2760" s="711"/>
      <c r="X2760" s="711"/>
      <c r="Y2760" s="711"/>
      <c r="Z2760" s="711"/>
      <c r="AU2760" s="713"/>
      <c r="AW2760" s="712"/>
      <c r="BY2760" s="714"/>
      <c r="BZ2760" s="715"/>
      <c r="CA2760" s="716"/>
      <c r="CB2760" s="717"/>
      <c r="CC2760" s="717"/>
      <c r="CD2760" s="717"/>
      <c r="CE2760" s="717"/>
      <c r="CF2760" s="717"/>
      <c r="CG2760" s="717"/>
      <c r="CH2760" s="717"/>
      <c r="CI2760" s="717"/>
      <c r="CJ2760" s="717"/>
      <c r="CK2760" s="717"/>
      <c r="CL2760" s="717"/>
      <c r="CM2760" s="717"/>
      <c r="CN2760" s="717"/>
      <c r="CO2760" s="717"/>
      <c r="CP2760" s="717"/>
      <c r="CQ2760" s="717"/>
      <c r="CR2760" s="717"/>
      <c r="CS2760" s="717"/>
      <c r="CT2760" s="717"/>
      <c r="CU2760" s="717"/>
      <c r="CV2760" s="717"/>
      <c r="CW2760" s="717"/>
      <c r="CX2760" s="717"/>
      <c r="CY2760" s="717"/>
      <c r="CZ2760" s="717"/>
      <c r="DA2760" s="717"/>
      <c r="DB2760" s="717"/>
      <c r="DC2760" s="717"/>
      <c r="DD2760" s="717"/>
      <c r="DE2760" s="717"/>
      <c r="DF2760" s="717"/>
      <c r="DG2760" s="717"/>
      <c r="DH2760" s="717"/>
      <c r="DI2760" s="717"/>
      <c r="DJ2760" s="717"/>
      <c r="DM2760" s="711"/>
      <c r="DN2760" s="711"/>
      <c r="DO2760" s="711"/>
      <c r="DP2760" s="711"/>
      <c r="DQ2760" s="711"/>
    </row>
    <row r="2761" spans="13:121" s="709" customFormat="1" hidden="1">
      <c r="M2761" s="710"/>
      <c r="P2761" s="711"/>
      <c r="Q2761" s="712"/>
      <c r="U2761" s="711"/>
      <c r="V2761" s="711"/>
      <c r="W2761" s="711"/>
      <c r="X2761" s="711"/>
      <c r="Y2761" s="711"/>
      <c r="Z2761" s="711"/>
      <c r="AU2761" s="713"/>
      <c r="AW2761" s="712"/>
      <c r="BY2761" s="714"/>
      <c r="BZ2761" s="715"/>
      <c r="CA2761" s="716"/>
      <c r="CB2761" s="717"/>
      <c r="CC2761" s="717"/>
      <c r="CD2761" s="717"/>
      <c r="CE2761" s="717"/>
      <c r="CF2761" s="717"/>
      <c r="CG2761" s="717"/>
      <c r="CH2761" s="717"/>
      <c r="CI2761" s="717"/>
      <c r="CJ2761" s="717"/>
      <c r="CK2761" s="717"/>
      <c r="CL2761" s="717"/>
      <c r="CM2761" s="717"/>
      <c r="CN2761" s="717"/>
      <c r="CO2761" s="717"/>
      <c r="CP2761" s="717"/>
      <c r="CQ2761" s="717"/>
      <c r="CR2761" s="717"/>
      <c r="CS2761" s="717"/>
      <c r="CT2761" s="717"/>
      <c r="CU2761" s="717"/>
      <c r="CV2761" s="717"/>
      <c r="CW2761" s="717"/>
      <c r="CX2761" s="717"/>
      <c r="CY2761" s="717"/>
      <c r="CZ2761" s="717"/>
      <c r="DA2761" s="717"/>
      <c r="DB2761" s="717"/>
      <c r="DC2761" s="717"/>
      <c r="DD2761" s="717"/>
      <c r="DE2761" s="717"/>
      <c r="DF2761" s="717"/>
      <c r="DG2761" s="717"/>
      <c r="DH2761" s="717"/>
      <c r="DI2761" s="717"/>
      <c r="DJ2761" s="717"/>
      <c r="DM2761" s="711"/>
      <c r="DN2761" s="711"/>
      <c r="DO2761" s="711"/>
      <c r="DP2761" s="711"/>
      <c r="DQ2761" s="711"/>
    </row>
    <row r="2762" spans="13:121" s="709" customFormat="1" hidden="1">
      <c r="M2762" s="710"/>
      <c r="P2762" s="711"/>
      <c r="Q2762" s="712"/>
      <c r="U2762" s="711"/>
      <c r="V2762" s="711"/>
      <c r="W2762" s="711"/>
      <c r="X2762" s="711"/>
      <c r="Y2762" s="711"/>
      <c r="Z2762" s="711"/>
      <c r="AU2762" s="713"/>
      <c r="AW2762" s="712"/>
      <c r="BY2762" s="714"/>
      <c r="BZ2762" s="715"/>
      <c r="CA2762" s="716"/>
      <c r="CB2762" s="717"/>
      <c r="CC2762" s="717"/>
      <c r="CD2762" s="717"/>
      <c r="CE2762" s="717"/>
      <c r="CF2762" s="717"/>
      <c r="CG2762" s="717"/>
      <c r="CH2762" s="717"/>
      <c r="CI2762" s="717"/>
      <c r="CJ2762" s="717"/>
      <c r="CK2762" s="717"/>
      <c r="CL2762" s="717"/>
      <c r="CM2762" s="717"/>
      <c r="CN2762" s="717"/>
      <c r="CO2762" s="717"/>
      <c r="CP2762" s="717"/>
      <c r="CQ2762" s="717"/>
      <c r="CR2762" s="717"/>
      <c r="CS2762" s="717"/>
      <c r="CT2762" s="717"/>
      <c r="CU2762" s="717"/>
      <c r="CV2762" s="717"/>
      <c r="CW2762" s="717"/>
      <c r="CX2762" s="717"/>
      <c r="CY2762" s="717"/>
      <c r="CZ2762" s="717"/>
      <c r="DA2762" s="717"/>
      <c r="DB2762" s="717"/>
      <c r="DC2762" s="717"/>
      <c r="DD2762" s="717"/>
      <c r="DE2762" s="717"/>
      <c r="DF2762" s="717"/>
      <c r="DG2762" s="717"/>
      <c r="DH2762" s="717"/>
      <c r="DI2762" s="717"/>
      <c r="DJ2762" s="717"/>
      <c r="DM2762" s="711"/>
      <c r="DN2762" s="711"/>
      <c r="DO2762" s="711"/>
      <c r="DP2762" s="711"/>
      <c r="DQ2762" s="711"/>
    </row>
    <row r="2763" spans="13:121" s="709" customFormat="1" hidden="1">
      <c r="M2763" s="710"/>
      <c r="P2763" s="711"/>
      <c r="Q2763" s="712"/>
      <c r="U2763" s="711"/>
      <c r="V2763" s="711"/>
      <c r="W2763" s="711"/>
      <c r="X2763" s="711"/>
      <c r="Y2763" s="711"/>
      <c r="Z2763" s="711"/>
      <c r="AU2763" s="713"/>
      <c r="AW2763" s="712"/>
      <c r="BY2763" s="714"/>
      <c r="BZ2763" s="715"/>
      <c r="CA2763" s="716"/>
      <c r="CB2763" s="717"/>
      <c r="CC2763" s="717"/>
      <c r="CD2763" s="717"/>
      <c r="CE2763" s="717"/>
      <c r="CF2763" s="717"/>
      <c r="CG2763" s="717"/>
      <c r="CH2763" s="717"/>
      <c r="CI2763" s="717"/>
      <c r="CJ2763" s="717"/>
      <c r="CK2763" s="717"/>
      <c r="CL2763" s="717"/>
      <c r="CM2763" s="717"/>
      <c r="CN2763" s="717"/>
      <c r="CO2763" s="717"/>
      <c r="CP2763" s="717"/>
      <c r="CQ2763" s="717"/>
      <c r="CR2763" s="717"/>
      <c r="CS2763" s="717"/>
      <c r="CT2763" s="717"/>
      <c r="CU2763" s="717"/>
      <c r="CV2763" s="717"/>
      <c r="CW2763" s="717"/>
      <c r="CX2763" s="717"/>
      <c r="CY2763" s="717"/>
      <c r="CZ2763" s="717"/>
      <c r="DA2763" s="717"/>
      <c r="DB2763" s="717"/>
      <c r="DC2763" s="717"/>
      <c r="DD2763" s="717"/>
      <c r="DE2763" s="717"/>
      <c r="DF2763" s="717"/>
      <c r="DG2763" s="717"/>
      <c r="DH2763" s="717"/>
      <c r="DI2763" s="717"/>
      <c r="DJ2763" s="717"/>
      <c r="DM2763" s="711"/>
      <c r="DN2763" s="711"/>
      <c r="DO2763" s="711"/>
      <c r="DP2763" s="711"/>
      <c r="DQ2763" s="711"/>
    </row>
    <row r="2764" spans="13:121" s="709" customFormat="1" hidden="1">
      <c r="M2764" s="710"/>
      <c r="P2764" s="711"/>
      <c r="Q2764" s="712"/>
      <c r="U2764" s="711"/>
      <c r="V2764" s="711"/>
      <c r="W2764" s="711"/>
      <c r="X2764" s="711"/>
      <c r="Y2764" s="711"/>
      <c r="Z2764" s="711"/>
      <c r="AU2764" s="713"/>
      <c r="AW2764" s="712"/>
      <c r="BY2764" s="714"/>
      <c r="BZ2764" s="715"/>
      <c r="CA2764" s="716"/>
      <c r="CB2764" s="717"/>
      <c r="CC2764" s="717"/>
      <c r="CD2764" s="717"/>
      <c r="CE2764" s="717"/>
      <c r="CF2764" s="717"/>
      <c r="CG2764" s="717"/>
      <c r="CH2764" s="717"/>
      <c r="CI2764" s="717"/>
      <c r="CJ2764" s="717"/>
      <c r="CK2764" s="717"/>
      <c r="CL2764" s="717"/>
      <c r="CM2764" s="717"/>
      <c r="CN2764" s="717"/>
      <c r="CO2764" s="717"/>
      <c r="CP2764" s="717"/>
      <c r="CQ2764" s="717"/>
      <c r="CR2764" s="717"/>
      <c r="CS2764" s="717"/>
      <c r="CT2764" s="717"/>
      <c r="CU2764" s="717"/>
      <c r="CV2764" s="717"/>
      <c r="CW2764" s="717"/>
      <c r="CX2764" s="717"/>
      <c r="CY2764" s="717"/>
      <c r="CZ2764" s="717"/>
      <c r="DA2764" s="717"/>
      <c r="DB2764" s="717"/>
      <c r="DC2764" s="717"/>
      <c r="DD2764" s="717"/>
      <c r="DE2764" s="717"/>
      <c r="DF2764" s="717"/>
      <c r="DG2764" s="717"/>
      <c r="DH2764" s="717"/>
      <c r="DI2764" s="717"/>
      <c r="DJ2764" s="717"/>
      <c r="DM2764" s="711"/>
      <c r="DN2764" s="711"/>
      <c r="DO2764" s="711"/>
      <c r="DP2764" s="711"/>
      <c r="DQ2764" s="711"/>
    </row>
    <row r="2765" spans="13:121" s="709" customFormat="1" hidden="1">
      <c r="M2765" s="710"/>
      <c r="P2765" s="711"/>
      <c r="Q2765" s="712"/>
      <c r="U2765" s="711"/>
      <c r="V2765" s="711"/>
      <c r="W2765" s="711"/>
      <c r="X2765" s="711"/>
      <c r="Y2765" s="711"/>
      <c r="Z2765" s="711"/>
      <c r="AU2765" s="713"/>
      <c r="AW2765" s="712"/>
      <c r="BY2765" s="714"/>
      <c r="BZ2765" s="715"/>
      <c r="CA2765" s="716"/>
      <c r="CB2765" s="717"/>
      <c r="CC2765" s="717"/>
      <c r="CD2765" s="717"/>
      <c r="CE2765" s="717"/>
      <c r="CF2765" s="717"/>
      <c r="CG2765" s="717"/>
      <c r="CH2765" s="717"/>
      <c r="CI2765" s="717"/>
      <c r="CJ2765" s="717"/>
      <c r="CK2765" s="717"/>
      <c r="CL2765" s="717"/>
      <c r="CM2765" s="717"/>
      <c r="CN2765" s="717"/>
      <c r="CO2765" s="717"/>
      <c r="CP2765" s="717"/>
      <c r="CQ2765" s="717"/>
      <c r="CR2765" s="717"/>
      <c r="CS2765" s="717"/>
      <c r="CT2765" s="717"/>
      <c r="CU2765" s="717"/>
      <c r="CV2765" s="717"/>
      <c r="CW2765" s="717"/>
      <c r="CX2765" s="717"/>
      <c r="CY2765" s="717"/>
      <c r="CZ2765" s="717"/>
      <c r="DA2765" s="717"/>
      <c r="DB2765" s="717"/>
      <c r="DC2765" s="717"/>
      <c r="DD2765" s="717"/>
      <c r="DE2765" s="717"/>
      <c r="DF2765" s="717"/>
      <c r="DG2765" s="717"/>
      <c r="DH2765" s="717"/>
      <c r="DI2765" s="717"/>
      <c r="DJ2765" s="717"/>
      <c r="DM2765" s="711"/>
      <c r="DN2765" s="711"/>
      <c r="DO2765" s="711"/>
      <c r="DP2765" s="711"/>
      <c r="DQ2765" s="711"/>
    </row>
    <row r="2766" spans="13:121" s="709" customFormat="1" hidden="1">
      <c r="M2766" s="710"/>
      <c r="P2766" s="711"/>
      <c r="Q2766" s="712"/>
      <c r="U2766" s="711"/>
      <c r="V2766" s="711"/>
      <c r="W2766" s="711"/>
      <c r="X2766" s="711"/>
      <c r="Y2766" s="711"/>
      <c r="Z2766" s="711"/>
      <c r="AU2766" s="713"/>
      <c r="AW2766" s="712"/>
      <c r="BY2766" s="714"/>
      <c r="BZ2766" s="715"/>
      <c r="CA2766" s="716"/>
      <c r="CB2766" s="717"/>
      <c r="CC2766" s="717"/>
      <c r="CD2766" s="717"/>
      <c r="CE2766" s="717"/>
      <c r="CF2766" s="717"/>
      <c r="CG2766" s="717"/>
      <c r="CH2766" s="717"/>
      <c r="CI2766" s="717"/>
      <c r="CJ2766" s="717"/>
      <c r="CK2766" s="717"/>
      <c r="CL2766" s="717"/>
      <c r="CM2766" s="717"/>
      <c r="CN2766" s="717"/>
      <c r="CO2766" s="717"/>
      <c r="CP2766" s="717"/>
      <c r="CQ2766" s="717"/>
      <c r="CR2766" s="717"/>
      <c r="CS2766" s="717"/>
      <c r="CT2766" s="717"/>
      <c r="CU2766" s="717"/>
      <c r="CV2766" s="717"/>
      <c r="CW2766" s="717"/>
      <c r="CX2766" s="717"/>
      <c r="CY2766" s="717"/>
      <c r="CZ2766" s="717"/>
      <c r="DA2766" s="717"/>
      <c r="DB2766" s="717"/>
      <c r="DC2766" s="717"/>
      <c r="DD2766" s="717"/>
      <c r="DE2766" s="717"/>
      <c r="DF2766" s="717"/>
      <c r="DG2766" s="717"/>
      <c r="DH2766" s="717"/>
      <c r="DI2766" s="717"/>
      <c r="DJ2766" s="717"/>
      <c r="DM2766" s="711"/>
      <c r="DN2766" s="711"/>
      <c r="DO2766" s="711"/>
      <c r="DP2766" s="711"/>
      <c r="DQ2766" s="711"/>
    </row>
    <row r="2767" spans="13:121" s="709" customFormat="1" hidden="1">
      <c r="M2767" s="710"/>
      <c r="P2767" s="711"/>
      <c r="Q2767" s="712"/>
      <c r="U2767" s="711"/>
      <c r="V2767" s="711"/>
      <c r="W2767" s="711"/>
      <c r="X2767" s="711"/>
      <c r="Y2767" s="711"/>
      <c r="Z2767" s="711"/>
      <c r="AU2767" s="713"/>
      <c r="AW2767" s="712"/>
      <c r="BY2767" s="714"/>
      <c r="BZ2767" s="715"/>
      <c r="CA2767" s="716"/>
      <c r="CB2767" s="717"/>
      <c r="CC2767" s="717"/>
      <c r="CD2767" s="717"/>
      <c r="CE2767" s="717"/>
      <c r="CF2767" s="717"/>
      <c r="CG2767" s="717"/>
      <c r="CH2767" s="717"/>
      <c r="CI2767" s="717"/>
      <c r="CJ2767" s="717"/>
      <c r="CK2767" s="717"/>
      <c r="CL2767" s="717"/>
      <c r="CM2767" s="717"/>
      <c r="CN2767" s="717"/>
      <c r="CO2767" s="717"/>
      <c r="CP2767" s="717"/>
      <c r="CQ2767" s="717"/>
      <c r="CR2767" s="717"/>
      <c r="CS2767" s="717"/>
      <c r="CT2767" s="717"/>
      <c r="CU2767" s="717"/>
      <c r="CV2767" s="717"/>
      <c r="CW2767" s="717"/>
      <c r="CX2767" s="717"/>
      <c r="CY2767" s="717"/>
      <c r="CZ2767" s="717"/>
      <c r="DA2767" s="717"/>
      <c r="DB2767" s="717"/>
      <c r="DC2767" s="717"/>
      <c r="DD2767" s="717"/>
      <c r="DE2767" s="717"/>
      <c r="DF2767" s="717"/>
      <c r="DG2767" s="717"/>
      <c r="DH2767" s="717"/>
      <c r="DI2767" s="717"/>
      <c r="DJ2767" s="717"/>
      <c r="DM2767" s="711"/>
      <c r="DN2767" s="711"/>
      <c r="DO2767" s="711"/>
      <c r="DP2767" s="711"/>
      <c r="DQ2767" s="711"/>
    </row>
    <row r="2768" spans="13:121" s="709" customFormat="1" hidden="1">
      <c r="M2768" s="710"/>
      <c r="P2768" s="711"/>
      <c r="Q2768" s="712"/>
      <c r="U2768" s="711"/>
      <c r="V2768" s="711"/>
      <c r="W2768" s="711"/>
      <c r="X2768" s="711"/>
      <c r="Y2768" s="711"/>
      <c r="Z2768" s="711"/>
      <c r="AU2768" s="713"/>
      <c r="AW2768" s="712"/>
      <c r="BY2768" s="714"/>
      <c r="BZ2768" s="715"/>
      <c r="CA2768" s="716"/>
      <c r="CB2768" s="717"/>
      <c r="CC2768" s="717"/>
      <c r="CD2768" s="717"/>
      <c r="CE2768" s="717"/>
      <c r="CF2768" s="717"/>
      <c r="CG2768" s="717"/>
      <c r="CH2768" s="717"/>
      <c r="CI2768" s="717"/>
      <c r="CJ2768" s="717"/>
      <c r="CK2768" s="717"/>
      <c r="CL2768" s="717"/>
      <c r="CM2768" s="717"/>
      <c r="CN2768" s="717"/>
      <c r="CO2768" s="717"/>
      <c r="CP2768" s="717"/>
      <c r="CQ2768" s="717"/>
      <c r="CR2768" s="717"/>
      <c r="CS2768" s="717"/>
      <c r="CT2768" s="717"/>
      <c r="CU2768" s="717"/>
      <c r="CV2768" s="717"/>
      <c r="CW2768" s="717"/>
      <c r="CX2768" s="717"/>
      <c r="CY2768" s="717"/>
      <c r="CZ2768" s="717"/>
      <c r="DA2768" s="717"/>
      <c r="DB2768" s="717"/>
      <c r="DC2768" s="717"/>
      <c r="DD2768" s="717"/>
      <c r="DE2768" s="717"/>
      <c r="DF2768" s="717"/>
      <c r="DG2768" s="717"/>
      <c r="DH2768" s="717"/>
      <c r="DI2768" s="717"/>
      <c r="DJ2768" s="717"/>
      <c r="DM2768" s="711"/>
      <c r="DN2768" s="711"/>
      <c r="DO2768" s="711"/>
      <c r="DP2768" s="711"/>
      <c r="DQ2768" s="711"/>
    </row>
    <row r="2769" spans="13:121" s="709" customFormat="1" hidden="1">
      <c r="M2769" s="710"/>
      <c r="P2769" s="711"/>
      <c r="Q2769" s="712"/>
      <c r="U2769" s="711"/>
      <c r="V2769" s="711"/>
      <c r="W2769" s="711"/>
      <c r="X2769" s="711"/>
      <c r="Y2769" s="711"/>
      <c r="Z2769" s="711"/>
      <c r="AU2769" s="713"/>
      <c r="AW2769" s="712"/>
      <c r="BY2769" s="714"/>
      <c r="BZ2769" s="715"/>
      <c r="CA2769" s="716"/>
      <c r="CB2769" s="717"/>
      <c r="CC2769" s="717"/>
      <c r="CD2769" s="717"/>
      <c r="CE2769" s="717"/>
      <c r="CF2769" s="717"/>
      <c r="CG2769" s="717"/>
      <c r="CH2769" s="717"/>
      <c r="CI2769" s="717"/>
      <c r="CJ2769" s="717"/>
      <c r="CK2769" s="717"/>
      <c r="CL2769" s="717"/>
      <c r="CM2769" s="717"/>
      <c r="CN2769" s="717"/>
      <c r="CO2769" s="717"/>
      <c r="CP2769" s="717"/>
      <c r="CQ2769" s="717"/>
      <c r="CR2769" s="717"/>
      <c r="CS2769" s="717"/>
      <c r="CT2769" s="717"/>
      <c r="CU2769" s="717"/>
      <c r="CV2769" s="717"/>
      <c r="CW2769" s="717"/>
      <c r="CX2769" s="717"/>
      <c r="CY2769" s="717"/>
      <c r="CZ2769" s="717"/>
      <c r="DA2769" s="717"/>
      <c r="DB2769" s="717"/>
      <c r="DC2769" s="717"/>
      <c r="DD2769" s="717"/>
      <c r="DE2769" s="717"/>
      <c r="DF2769" s="717"/>
      <c r="DG2769" s="717"/>
      <c r="DH2769" s="717"/>
      <c r="DI2769" s="717"/>
      <c r="DJ2769" s="717"/>
      <c r="DM2769" s="711"/>
      <c r="DN2769" s="711"/>
      <c r="DO2769" s="711"/>
      <c r="DP2769" s="711"/>
      <c r="DQ2769" s="711"/>
    </row>
    <row r="2770" spans="13:121" s="709" customFormat="1" hidden="1">
      <c r="M2770" s="710"/>
      <c r="P2770" s="711"/>
      <c r="Q2770" s="712"/>
      <c r="U2770" s="711"/>
      <c r="V2770" s="711"/>
      <c r="W2770" s="711"/>
      <c r="X2770" s="711"/>
      <c r="Y2770" s="711"/>
      <c r="Z2770" s="711"/>
      <c r="AU2770" s="713"/>
      <c r="AW2770" s="712"/>
      <c r="BY2770" s="714"/>
      <c r="BZ2770" s="715"/>
      <c r="CA2770" s="716"/>
      <c r="CB2770" s="717"/>
      <c r="CC2770" s="717"/>
      <c r="CD2770" s="717"/>
      <c r="CE2770" s="717"/>
      <c r="CF2770" s="717"/>
      <c r="CG2770" s="717"/>
      <c r="CH2770" s="717"/>
      <c r="CI2770" s="717"/>
      <c r="CJ2770" s="717"/>
      <c r="CK2770" s="717"/>
      <c r="CL2770" s="717"/>
      <c r="CM2770" s="717"/>
      <c r="CN2770" s="717"/>
      <c r="CO2770" s="717"/>
      <c r="CP2770" s="717"/>
      <c r="CQ2770" s="717"/>
      <c r="CR2770" s="717"/>
      <c r="CS2770" s="717"/>
      <c r="CT2770" s="717"/>
      <c r="CU2770" s="717"/>
      <c r="CV2770" s="717"/>
      <c r="CW2770" s="717"/>
      <c r="CX2770" s="717"/>
      <c r="CY2770" s="717"/>
      <c r="CZ2770" s="717"/>
      <c r="DA2770" s="717"/>
      <c r="DB2770" s="717"/>
      <c r="DC2770" s="717"/>
      <c r="DD2770" s="717"/>
      <c r="DE2770" s="717"/>
      <c r="DF2770" s="717"/>
      <c r="DG2770" s="717"/>
      <c r="DH2770" s="717"/>
      <c r="DI2770" s="717"/>
      <c r="DJ2770" s="717"/>
      <c r="DM2770" s="711"/>
      <c r="DN2770" s="711"/>
      <c r="DO2770" s="711"/>
      <c r="DP2770" s="711"/>
      <c r="DQ2770" s="711"/>
    </row>
    <row r="2771" spans="13:121" s="709" customFormat="1" hidden="1">
      <c r="M2771" s="710"/>
      <c r="P2771" s="711"/>
      <c r="Q2771" s="712"/>
      <c r="U2771" s="711"/>
      <c r="V2771" s="711"/>
      <c r="W2771" s="711"/>
      <c r="X2771" s="711"/>
      <c r="Y2771" s="711"/>
      <c r="Z2771" s="711"/>
      <c r="AU2771" s="713"/>
      <c r="AW2771" s="712"/>
      <c r="BY2771" s="714"/>
      <c r="BZ2771" s="715"/>
      <c r="CA2771" s="716"/>
      <c r="CB2771" s="717"/>
      <c r="CC2771" s="717"/>
      <c r="CD2771" s="717"/>
      <c r="CE2771" s="717"/>
      <c r="CF2771" s="717"/>
      <c r="CG2771" s="717"/>
      <c r="CH2771" s="717"/>
      <c r="CI2771" s="717"/>
      <c r="CJ2771" s="717"/>
      <c r="CK2771" s="717"/>
      <c r="CL2771" s="717"/>
      <c r="CM2771" s="717"/>
      <c r="CN2771" s="717"/>
      <c r="CO2771" s="717"/>
      <c r="CP2771" s="717"/>
      <c r="CQ2771" s="717"/>
      <c r="CR2771" s="717"/>
      <c r="CS2771" s="717"/>
      <c r="CT2771" s="717"/>
      <c r="CU2771" s="717"/>
      <c r="CV2771" s="717"/>
      <c r="CW2771" s="717"/>
      <c r="CX2771" s="717"/>
      <c r="CY2771" s="717"/>
      <c r="CZ2771" s="717"/>
      <c r="DA2771" s="717"/>
      <c r="DB2771" s="717"/>
      <c r="DC2771" s="717"/>
      <c r="DD2771" s="717"/>
      <c r="DE2771" s="717"/>
      <c r="DF2771" s="717"/>
      <c r="DG2771" s="717"/>
      <c r="DH2771" s="717"/>
      <c r="DI2771" s="717"/>
      <c r="DJ2771" s="717"/>
      <c r="DM2771" s="711"/>
      <c r="DN2771" s="711"/>
      <c r="DO2771" s="711"/>
      <c r="DP2771" s="711"/>
      <c r="DQ2771" s="711"/>
    </row>
    <row r="2772" spans="13:121" s="709" customFormat="1" hidden="1">
      <c r="M2772" s="710"/>
      <c r="P2772" s="711"/>
      <c r="Q2772" s="712"/>
      <c r="U2772" s="711"/>
      <c r="V2772" s="711"/>
      <c r="W2772" s="711"/>
      <c r="X2772" s="711"/>
      <c r="Y2772" s="711"/>
      <c r="Z2772" s="711"/>
      <c r="AU2772" s="713"/>
      <c r="AW2772" s="712"/>
      <c r="BY2772" s="714"/>
      <c r="BZ2772" s="715"/>
      <c r="CA2772" s="716"/>
      <c r="CB2772" s="717"/>
      <c r="CC2772" s="717"/>
      <c r="CD2772" s="717"/>
      <c r="CE2772" s="717"/>
      <c r="CF2772" s="717"/>
      <c r="CG2772" s="717"/>
      <c r="CH2772" s="717"/>
      <c r="CI2772" s="717"/>
      <c r="CJ2772" s="717"/>
      <c r="CK2772" s="717"/>
      <c r="CL2772" s="717"/>
      <c r="CM2772" s="717"/>
      <c r="CN2772" s="717"/>
      <c r="CO2772" s="717"/>
      <c r="CP2772" s="717"/>
      <c r="CQ2772" s="717"/>
      <c r="CR2772" s="717"/>
      <c r="CS2772" s="717"/>
      <c r="CT2772" s="717"/>
      <c r="CU2772" s="717"/>
      <c r="CV2772" s="717"/>
      <c r="CW2772" s="717"/>
      <c r="CX2772" s="717"/>
      <c r="CY2772" s="717"/>
      <c r="CZ2772" s="717"/>
      <c r="DA2772" s="717"/>
      <c r="DB2772" s="717"/>
      <c r="DC2772" s="717"/>
      <c r="DD2772" s="717"/>
      <c r="DE2772" s="717"/>
      <c r="DF2772" s="717"/>
      <c r="DG2772" s="717"/>
      <c r="DH2772" s="717"/>
      <c r="DI2772" s="717"/>
      <c r="DJ2772" s="717"/>
      <c r="DM2772" s="711"/>
      <c r="DN2772" s="711"/>
      <c r="DO2772" s="711"/>
      <c r="DP2772" s="711"/>
      <c r="DQ2772" s="711"/>
    </row>
    <row r="2773" spans="13:121" s="709" customFormat="1" hidden="1">
      <c r="M2773" s="710"/>
      <c r="P2773" s="711"/>
      <c r="Q2773" s="712"/>
      <c r="U2773" s="711"/>
      <c r="V2773" s="711"/>
      <c r="W2773" s="711"/>
      <c r="X2773" s="711"/>
      <c r="Y2773" s="711"/>
      <c r="Z2773" s="711"/>
      <c r="AU2773" s="713"/>
      <c r="AW2773" s="712"/>
      <c r="BY2773" s="714"/>
      <c r="BZ2773" s="715"/>
      <c r="CA2773" s="716"/>
      <c r="CB2773" s="717"/>
      <c r="CC2773" s="717"/>
      <c r="CD2773" s="717"/>
      <c r="CE2773" s="717"/>
      <c r="CF2773" s="717"/>
      <c r="CG2773" s="717"/>
      <c r="CH2773" s="717"/>
      <c r="CI2773" s="717"/>
      <c r="CJ2773" s="717"/>
      <c r="CK2773" s="717"/>
      <c r="CL2773" s="717"/>
      <c r="CM2773" s="717"/>
      <c r="CN2773" s="717"/>
      <c r="CO2773" s="717"/>
      <c r="CP2773" s="717"/>
      <c r="CQ2773" s="717"/>
      <c r="CR2773" s="717"/>
      <c r="CS2773" s="717"/>
      <c r="CT2773" s="717"/>
      <c r="CU2773" s="717"/>
      <c r="CV2773" s="717"/>
      <c r="CW2773" s="717"/>
      <c r="CX2773" s="717"/>
      <c r="CY2773" s="717"/>
      <c r="CZ2773" s="717"/>
      <c r="DA2773" s="717"/>
      <c r="DB2773" s="717"/>
      <c r="DC2773" s="717"/>
      <c r="DD2773" s="717"/>
      <c r="DE2773" s="717"/>
      <c r="DF2773" s="717"/>
      <c r="DG2773" s="717"/>
      <c r="DH2773" s="717"/>
      <c r="DI2773" s="717"/>
      <c r="DJ2773" s="717"/>
      <c r="DM2773" s="711"/>
      <c r="DN2773" s="711"/>
      <c r="DO2773" s="711"/>
      <c r="DP2773" s="711"/>
      <c r="DQ2773" s="711"/>
    </row>
    <row r="2774" spans="13:121" s="709" customFormat="1" hidden="1">
      <c r="M2774" s="710"/>
      <c r="P2774" s="711"/>
      <c r="Q2774" s="712"/>
      <c r="U2774" s="711"/>
      <c r="V2774" s="711"/>
      <c r="W2774" s="711"/>
      <c r="X2774" s="711"/>
      <c r="Y2774" s="711"/>
      <c r="Z2774" s="711"/>
      <c r="AU2774" s="713"/>
      <c r="AW2774" s="712"/>
      <c r="BY2774" s="714"/>
      <c r="BZ2774" s="715"/>
      <c r="CA2774" s="716"/>
      <c r="CB2774" s="717"/>
      <c r="CC2774" s="717"/>
      <c r="CD2774" s="717"/>
      <c r="CE2774" s="717"/>
      <c r="CF2774" s="717"/>
      <c r="CG2774" s="717"/>
      <c r="CH2774" s="717"/>
      <c r="CI2774" s="717"/>
      <c r="CJ2774" s="717"/>
      <c r="CK2774" s="717"/>
      <c r="CL2774" s="717"/>
      <c r="CM2774" s="717"/>
      <c r="CN2774" s="717"/>
      <c r="CO2774" s="717"/>
      <c r="CP2774" s="717"/>
      <c r="CQ2774" s="717"/>
      <c r="CR2774" s="717"/>
      <c r="CS2774" s="717"/>
      <c r="CT2774" s="717"/>
      <c r="CU2774" s="717"/>
      <c r="CV2774" s="717"/>
      <c r="CW2774" s="717"/>
      <c r="CX2774" s="717"/>
      <c r="CY2774" s="717"/>
      <c r="CZ2774" s="717"/>
      <c r="DA2774" s="717"/>
      <c r="DB2774" s="717"/>
      <c r="DC2774" s="717"/>
      <c r="DD2774" s="717"/>
      <c r="DE2774" s="717"/>
      <c r="DF2774" s="717"/>
      <c r="DG2774" s="717"/>
      <c r="DH2774" s="717"/>
      <c r="DI2774" s="717"/>
      <c r="DJ2774" s="717"/>
      <c r="DM2774" s="711"/>
      <c r="DN2774" s="711"/>
      <c r="DO2774" s="711"/>
      <c r="DP2774" s="711"/>
      <c r="DQ2774" s="711"/>
    </row>
    <row r="2775" spans="13:121" s="709" customFormat="1" hidden="1">
      <c r="M2775" s="710"/>
      <c r="P2775" s="711"/>
      <c r="Q2775" s="712"/>
      <c r="U2775" s="711"/>
      <c r="V2775" s="711"/>
      <c r="W2775" s="711"/>
      <c r="X2775" s="711"/>
      <c r="Y2775" s="711"/>
      <c r="Z2775" s="711"/>
      <c r="AU2775" s="713"/>
      <c r="AW2775" s="712"/>
      <c r="BY2775" s="714"/>
      <c r="BZ2775" s="715"/>
      <c r="CA2775" s="716"/>
      <c r="CB2775" s="717"/>
      <c r="CC2775" s="717"/>
      <c r="CD2775" s="717"/>
      <c r="CE2775" s="717"/>
      <c r="CF2775" s="717"/>
      <c r="CG2775" s="717"/>
      <c r="CH2775" s="717"/>
      <c r="CI2775" s="717"/>
      <c r="CJ2775" s="717"/>
      <c r="CK2775" s="717"/>
      <c r="CL2775" s="717"/>
      <c r="CM2775" s="717"/>
      <c r="CN2775" s="717"/>
      <c r="CO2775" s="717"/>
      <c r="CP2775" s="717"/>
      <c r="CQ2775" s="717"/>
      <c r="CR2775" s="717"/>
      <c r="CS2775" s="717"/>
      <c r="CT2775" s="717"/>
      <c r="CU2775" s="717"/>
      <c r="CV2775" s="717"/>
      <c r="CW2775" s="717"/>
      <c r="CX2775" s="717"/>
      <c r="CY2775" s="717"/>
      <c r="CZ2775" s="717"/>
      <c r="DA2775" s="717"/>
      <c r="DB2775" s="717"/>
      <c r="DC2775" s="717"/>
      <c r="DD2775" s="717"/>
      <c r="DE2775" s="717"/>
      <c r="DF2775" s="717"/>
      <c r="DG2775" s="717"/>
      <c r="DH2775" s="717"/>
      <c r="DI2775" s="717"/>
      <c r="DJ2775" s="717"/>
      <c r="DM2775" s="711"/>
      <c r="DN2775" s="711"/>
      <c r="DO2775" s="711"/>
      <c r="DP2775" s="711"/>
      <c r="DQ2775" s="711"/>
    </row>
    <row r="2776" spans="13:121" s="709" customFormat="1" hidden="1">
      <c r="M2776" s="710"/>
      <c r="P2776" s="711"/>
      <c r="Q2776" s="712"/>
      <c r="U2776" s="711"/>
      <c r="V2776" s="711"/>
      <c r="W2776" s="711"/>
      <c r="X2776" s="711"/>
      <c r="Y2776" s="711"/>
      <c r="Z2776" s="711"/>
      <c r="AU2776" s="713"/>
      <c r="AW2776" s="712"/>
      <c r="BY2776" s="714"/>
      <c r="BZ2776" s="715"/>
      <c r="CA2776" s="716"/>
      <c r="CB2776" s="717"/>
      <c r="CC2776" s="717"/>
      <c r="CD2776" s="717"/>
      <c r="CE2776" s="717"/>
      <c r="CF2776" s="717"/>
      <c r="CG2776" s="717"/>
      <c r="CH2776" s="717"/>
      <c r="CI2776" s="717"/>
      <c r="CJ2776" s="717"/>
      <c r="CK2776" s="717"/>
      <c r="CL2776" s="717"/>
      <c r="CM2776" s="717"/>
      <c r="CN2776" s="717"/>
      <c r="CO2776" s="717"/>
      <c r="CP2776" s="717"/>
      <c r="CQ2776" s="717"/>
      <c r="CR2776" s="717"/>
      <c r="CS2776" s="717"/>
      <c r="CT2776" s="717"/>
      <c r="CU2776" s="717"/>
      <c r="CV2776" s="717"/>
      <c r="CW2776" s="717"/>
      <c r="CX2776" s="717"/>
      <c r="CY2776" s="717"/>
      <c r="CZ2776" s="717"/>
      <c r="DA2776" s="717"/>
      <c r="DB2776" s="717"/>
      <c r="DC2776" s="717"/>
      <c r="DD2776" s="717"/>
      <c r="DE2776" s="717"/>
      <c r="DF2776" s="717"/>
      <c r="DG2776" s="717"/>
      <c r="DH2776" s="717"/>
      <c r="DI2776" s="717"/>
      <c r="DJ2776" s="717"/>
      <c r="DM2776" s="711"/>
      <c r="DN2776" s="711"/>
      <c r="DO2776" s="711"/>
      <c r="DP2776" s="711"/>
      <c r="DQ2776" s="711"/>
    </row>
    <row r="2777" spans="13:121" s="709" customFormat="1" hidden="1">
      <c r="M2777" s="710"/>
      <c r="P2777" s="711"/>
      <c r="Q2777" s="712"/>
      <c r="U2777" s="711"/>
      <c r="V2777" s="711"/>
      <c r="W2777" s="711"/>
      <c r="X2777" s="711"/>
      <c r="Y2777" s="711"/>
      <c r="Z2777" s="711"/>
      <c r="AU2777" s="713"/>
      <c r="AW2777" s="712"/>
      <c r="BY2777" s="714"/>
      <c r="BZ2777" s="715"/>
      <c r="CA2777" s="716"/>
      <c r="CB2777" s="717"/>
      <c r="CC2777" s="717"/>
      <c r="CD2777" s="717"/>
      <c r="CE2777" s="717"/>
      <c r="CF2777" s="717"/>
      <c r="CG2777" s="717"/>
      <c r="CH2777" s="717"/>
      <c r="CI2777" s="717"/>
      <c r="CJ2777" s="717"/>
      <c r="CK2777" s="717"/>
      <c r="CL2777" s="717"/>
      <c r="CM2777" s="717"/>
      <c r="CN2777" s="717"/>
      <c r="CO2777" s="717"/>
      <c r="CP2777" s="717"/>
      <c r="CQ2777" s="717"/>
      <c r="CR2777" s="717"/>
      <c r="CS2777" s="717"/>
      <c r="CT2777" s="717"/>
      <c r="CU2777" s="717"/>
      <c r="CV2777" s="717"/>
      <c r="CW2777" s="717"/>
      <c r="CX2777" s="717"/>
      <c r="CY2777" s="717"/>
      <c r="CZ2777" s="717"/>
      <c r="DA2777" s="717"/>
      <c r="DB2777" s="717"/>
      <c r="DC2777" s="717"/>
      <c r="DD2777" s="717"/>
      <c r="DE2777" s="717"/>
      <c r="DF2777" s="717"/>
      <c r="DG2777" s="717"/>
      <c r="DH2777" s="717"/>
      <c r="DI2777" s="717"/>
      <c r="DJ2777" s="717"/>
      <c r="DM2777" s="711"/>
      <c r="DN2777" s="711"/>
      <c r="DO2777" s="711"/>
      <c r="DP2777" s="711"/>
      <c r="DQ2777" s="711"/>
    </row>
    <row r="2778" spans="13:121" s="709" customFormat="1" hidden="1">
      <c r="M2778" s="710"/>
      <c r="P2778" s="711"/>
      <c r="Q2778" s="712"/>
      <c r="U2778" s="711"/>
      <c r="V2778" s="711"/>
      <c r="W2778" s="711"/>
      <c r="X2778" s="711"/>
      <c r="Y2778" s="711"/>
      <c r="Z2778" s="711"/>
      <c r="AU2778" s="713"/>
      <c r="AW2778" s="712"/>
      <c r="BY2778" s="714"/>
      <c r="BZ2778" s="715"/>
      <c r="CA2778" s="716"/>
      <c r="CB2778" s="717"/>
      <c r="CC2778" s="717"/>
      <c r="CD2778" s="717"/>
      <c r="CE2778" s="717"/>
      <c r="CF2778" s="717"/>
      <c r="CG2778" s="717"/>
      <c r="CH2778" s="717"/>
      <c r="CI2778" s="717"/>
      <c r="CJ2778" s="717"/>
      <c r="CK2778" s="717"/>
      <c r="CL2778" s="717"/>
      <c r="CM2778" s="717"/>
      <c r="CN2778" s="717"/>
      <c r="CO2778" s="717"/>
      <c r="CP2778" s="717"/>
      <c r="CQ2778" s="717"/>
      <c r="CR2778" s="717"/>
      <c r="CS2778" s="717"/>
      <c r="CT2778" s="717"/>
      <c r="CU2778" s="717"/>
      <c r="CV2778" s="717"/>
      <c r="CW2778" s="717"/>
      <c r="CX2778" s="717"/>
      <c r="CY2778" s="717"/>
      <c r="CZ2778" s="717"/>
      <c r="DA2778" s="717"/>
      <c r="DB2778" s="717"/>
      <c r="DC2778" s="717"/>
      <c r="DD2778" s="717"/>
      <c r="DE2778" s="717"/>
      <c r="DF2778" s="717"/>
      <c r="DG2778" s="717"/>
      <c r="DH2778" s="717"/>
      <c r="DI2778" s="717"/>
      <c r="DJ2778" s="717"/>
      <c r="DM2778" s="711"/>
      <c r="DN2778" s="711"/>
      <c r="DO2778" s="711"/>
      <c r="DP2778" s="711"/>
      <c r="DQ2778" s="711"/>
    </row>
    <row r="2779" spans="13:121" s="709" customFormat="1" hidden="1">
      <c r="M2779" s="710"/>
      <c r="P2779" s="711"/>
      <c r="Q2779" s="712"/>
      <c r="U2779" s="711"/>
      <c r="V2779" s="711"/>
      <c r="W2779" s="711"/>
      <c r="X2779" s="711"/>
      <c r="Y2779" s="711"/>
      <c r="Z2779" s="711"/>
      <c r="AU2779" s="713"/>
      <c r="AW2779" s="712"/>
      <c r="BY2779" s="714"/>
      <c r="BZ2779" s="715"/>
      <c r="CA2779" s="716"/>
      <c r="CB2779" s="717"/>
      <c r="CC2779" s="717"/>
      <c r="CD2779" s="717"/>
      <c r="CE2779" s="717"/>
      <c r="CF2779" s="717"/>
      <c r="CG2779" s="717"/>
      <c r="CH2779" s="717"/>
      <c r="CI2779" s="717"/>
      <c r="CJ2779" s="717"/>
      <c r="CK2779" s="717"/>
      <c r="CL2779" s="717"/>
      <c r="CM2779" s="717"/>
      <c r="CN2779" s="717"/>
      <c r="CO2779" s="717"/>
      <c r="CP2779" s="717"/>
      <c r="CQ2779" s="717"/>
      <c r="CR2779" s="717"/>
      <c r="CS2779" s="717"/>
      <c r="CT2779" s="717"/>
      <c r="CU2779" s="717"/>
      <c r="CV2779" s="717"/>
      <c r="CW2779" s="717"/>
      <c r="CX2779" s="717"/>
      <c r="CY2779" s="717"/>
      <c r="CZ2779" s="717"/>
      <c r="DA2779" s="717"/>
      <c r="DB2779" s="717"/>
      <c r="DC2779" s="717"/>
      <c r="DD2779" s="717"/>
      <c r="DE2779" s="717"/>
      <c r="DF2779" s="717"/>
      <c r="DG2779" s="717"/>
      <c r="DH2779" s="717"/>
      <c r="DI2779" s="717"/>
      <c r="DJ2779" s="717"/>
      <c r="DM2779" s="711"/>
      <c r="DN2779" s="711"/>
      <c r="DO2779" s="711"/>
      <c r="DP2779" s="711"/>
      <c r="DQ2779" s="711"/>
    </row>
    <row r="2780" spans="13:121" s="709" customFormat="1" hidden="1">
      <c r="M2780" s="710"/>
      <c r="P2780" s="711"/>
      <c r="Q2780" s="712"/>
      <c r="U2780" s="711"/>
      <c r="V2780" s="711"/>
      <c r="W2780" s="711"/>
      <c r="X2780" s="711"/>
      <c r="Y2780" s="711"/>
      <c r="Z2780" s="711"/>
      <c r="AU2780" s="713"/>
      <c r="AW2780" s="712"/>
      <c r="BY2780" s="714"/>
      <c r="BZ2780" s="715"/>
      <c r="CA2780" s="716"/>
      <c r="CB2780" s="717"/>
      <c r="CC2780" s="717"/>
      <c r="CD2780" s="717"/>
      <c r="CE2780" s="717"/>
      <c r="CF2780" s="717"/>
      <c r="CG2780" s="717"/>
      <c r="CH2780" s="717"/>
      <c r="CI2780" s="717"/>
      <c r="CJ2780" s="717"/>
      <c r="CK2780" s="717"/>
      <c r="CL2780" s="717"/>
      <c r="CM2780" s="717"/>
      <c r="CN2780" s="717"/>
      <c r="CO2780" s="717"/>
      <c r="CP2780" s="717"/>
      <c r="CQ2780" s="717"/>
      <c r="CR2780" s="717"/>
      <c r="CS2780" s="717"/>
      <c r="CT2780" s="717"/>
      <c r="CU2780" s="717"/>
      <c r="CV2780" s="717"/>
      <c r="CW2780" s="717"/>
      <c r="CX2780" s="717"/>
      <c r="CY2780" s="717"/>
      <c r="CZ2780" s="717"/>
      <c r="DA2780" s="717"/>
      <c r="DB2780" s="717"/>
      <c r="DC2780" s="717"/>
      <c r="DD2780" s="717"/>
      <c r="DE2780" s="717"/>
      <c r="DF2780" s="717"/>
      <c r="DG2780" s="717"/>
      <c r="DH2780" s="717"/>
      <c r="DI2780" s="717"/>
      <c r="DJ2780" s="717"/>
      <c r="DM2780" s="711"/>
      <c r="DN2780" s="711"/>
      <c r="DO2780" s="711"/>
      <c r="DP2780" s="711"/>
      <c r="DQ2780" s="711"/>
    </row>
    <row r="2781" spans="13:121" s="709" customFormat="1" hidden="1">
      <c r="M2781" s="710"/>
      <c r="P2781" s="711"/>
      <c r="Q2781" s="712"/>
      <c r="U2781" s="711"/>
      <c r="V2781" s="711"/>
      <c r="W2781" s="711"/>
      <c r="X2781" s="711"/>
      <c r="Y2781" s="711"/>
      <c r="Z2781" s="711"/>
      <c r="AU2781" s="713"/>
      <c r="AW2781" s="712"/>
      <c r="BY2781" s="714"/>
      <c r="BZ2781" s="715"/>
      <c r="CA2781" s="716"/>
      <c r="CB2781" s="717"/>
      <c r="CC2781" s="717"/>
      <c r="CD2781" s="717"/>
      <c r="CE2781" s="717"/>
      <c r="CF2781" s="717"/>
      <c r="CG2781" s="717"/>
      <c r="CH2781" s="717"/>
      <c r="CI2781" s="717"/>
      <c r="CJ2781" s="717"/>
      <c r="CK2781" s="717"/>
      <c r="CL2781" s="717"/>
      <c r="CM2781" s="717"/>
      <c r="CN2781" s="717"/>
      <c r="CO2781" s="717"/>
      <c r="CP2781" s="717"/>
      <c r="CQ2781" s="717"/>
      <c r="CR2781" s="717"/>
      <c r="CS2781" s="717"/>
      <c r="CT2781" s="717"/>
      <c r="CU2781" s="717"/>
      <c r="CV2781" s="717"/>
      <c r="CW2781" s="717"/>
      <c r="CX2781" s="717"/>
      <c r="CY2781" s="717"/>
      <c r="CZ2781" s="717"/>
      <c r="DA2781" s="717"/>
      <c r="DB2781" s="717"/>
      <c r="DC2781" s="717"/>
      <c r="DD2781" s="717"/>
      <c r="DE2781" s="717"/>
      <c r="DF2781" s="717"/>
      <c r="DG2781" s="717"/>
      <c r="DH2781" s="717"/>
      <c r="DI2781" s="717"/>
      <c r="DJ2781" s="717"/>
      <c r="DM2781" s="711"/>
      <c r="DN2781" s="711"/>
      <c r="DO2781" s="711"/>
      <c r="DP2781" s="711"/>
      <c r="DQ2781" s="711"/>
    </row>
    <row r="2782" spans="13:121" s="709" customFormat="1" hidden="1">
      <c r="M2782" s="710"/>
      <c r="P2782" s="711"/>
      <c r="Q2782" s="712"/>
      <c r="U2782" s="711"/>
      <c r="V2782" s="711"/>
      <c r="W2782" s="711"/>
      <c r="X2782" s="711"/>
      <c r="Y2782" s="711"/>
      <c r="Z2782" s="711"/>
      <c r="AU2782" s="713"/>
      <c r="AW2782" s="712"/>
      <c r="BY2782" s="714"/>
      <c r="BZ2782" s="715"/>
      <c r="CA2782" s="716"/>
      <c r="CB2782" s="717"/>
      <c r="CC2782" s="717"/>
      <c r="CD2782" s="717"/>
      <c r="CE2782" s="717"/>
      <c r="CF2782" s="717"/>
      <c r="CG2782" s="717"/>
      <c r="CH2782" s="717"/>
      <c r="CI2782" s="717"/>
      <c r="CJ2782" s="717"/>
      <c r="CK2782" s="717"/>
      <c r="CL2782" s="717"/>
      <c r="CM2782" s="717"/>
      <c r="CN2782" s="717"/>
      <c r="CO2782" s="717"/>
      <c r="CP2782" s="717"/>
      <c r="CQ2782" s="717"/>
      <c r="CR2782" s="717"/>
      <c r="CS2782" s="717"/>
      <c r="CT2782" s="717"/>
      <c r="CU2782" s="717"/>
      <c r="CV2782" s="717"/>
      <c r="CW2782" s="717"/>
      <c r="CX2782" s="717"/>
      <c r="CY2782" s="717"/>
      <c r="CZ2782" s="717"/>
      <c r="DA2782" s="717"/>
      <c r="DB2782" s="717"/>
      <c r="DC2782" s="717"/>
      <c r="DD2782" s="717"/>
      <c r="DE2782" s="717"/>
      <c r="DF2782" s="717"/>
      <c r="DG2782" s="717"/>
      <c r="DH2782" s="717"/>
      <c r="DI2782" s="717"/>
      <c r="DJ2782" s="717"/>
      <c r="DM2782" s="711"/>
      <c r="DN2782" s="711"/>
      <c r="DO2782" s="711"/>
      <c r="DP2782" s="711"/>
      <c r="DQ2782" s="711"/>
    </row>
    <row r="2783" spans="13:121" s="709" customFormat="1" hidden="1">
      <c r="M2783" s="710"/>
      <c r="P2783" s="711"/>
      <c r="Q2783" s="712"/>
      <c r="U2783" s="711"/>
      <c r="V2783" s="711"/>
      <c r="W2783" s="711"/>
      <c r="X2783" s="711"/>
      <c r="Y2783" s="711"/>
      <c r="Z2783" s="711"/>
      <c r="AU2783" s="713"/>
      <c r="AW2783" s="712"/>
      <c r="BY2783" s="714"/>
      <c r="BZ2783" s="715"/>
      <c r="CA2783" s="716"/>
      <c r="CB2783" s="717"/>
      <c r="CC2783" s="717"/>
      <c r="CD2783" s="717"/>
      <c r="CE2783" s="717"/>
      <c r="CF2783" s="717"/>
      <c r="CG2783" s="717"/>
      <c r="CH2783" s="717"/>
      <c r="CI2783" s="717"/>
      <c r="CJ2783" s="717"/>
      <c r="CK2783" s="717"/>
      <c r="CL2783" s="717"/>
      <c r="CM2783" s="717"/>
      <c r="CN2783" s="717"/>
      <c r="CO2783" s="717"/>
      <c r="CP2783" s="717"/>
      <c r="CQ2783" s="717"/>
      <c r="CR2783" s="717"/>
      <c r="CS2783" s="717"/>
      <c r="CT2783" s="717"/>
      <c r="CU2783" s="717"/>
      <c r="CV2783" s="717"/>
      <c r="CW2783" s="717"/>
      <c r="CX2783" s="717"/>
      <c r="CY2783" s="717"/>
      <c r="CZ2783" s="717"/>
      <c r="DA2783" s="717"/>
      <c r="DB2783" s="717"/>
      <c r="DC2783" s="717"/>
      <c r="DD2783" s="717"/>
      <c r="DE2783" s="717"/>
      <c r="DF2783" s="717"/>
      <c r="DG2783" s="717"/>
      <c r="DH2783" s="717"/>
      <c r="DI2783" s="717"/>
      <c r="DJ2783" s="717"/>
      <c r="DM2783" s="711"/>
      <c r="DN2783" s="711"/>
      <c r="DO2783" s="711"/>
      <c r="DP2783" s="711"/>
      <c r="DQ2783" s="711"/>
    </row>
    <row r="2784" spans="13:121" s="709" customFormat="1" hidden="1">
      <c r="M2784" s="710"/>
      <c r="P2784" s="711"/>
      <c r="Q2784" s="712"/>
      <c r="U2784" s="711"/>
      <c r="V2784" s="711"/>
      <c r="W2784" s="711"/>
      <c r="X2784" s="711"/>
      <c r="Y2784" s="711"/>
      <c r="Z2784" s="711"/>
      <c r="AU2784" s="713"/>
      <c r="AW2784" s="712"/>
      <c r="BY2784" s="714"/>
      <c r="BZ2784" s="715"/>
      <c r="CA2784" s="716"/>
      <c r="CB2784" s="717"/>
      <c r="CC2784" s="717"/>
      <c r="CD2784" s="717"/>
      <c r="CE2784" s="717"/>
      <c r="CF2784" s="717"/>
      <c r="CG2784" s="717"/>
      <c r="CH2784" s="717"/>
      <c r="CI2784" s="717"/>
      <c r="CJ2784" s="717"/>
      <c r="CK2784" s="717"/>
      <c r="CL2784" s="717"/>
      <c r="CM2784" s="717"/>
      <c r="CN2784" s="717"/>
      <c r="CO2784" s="717"/>
      <c r="CP2784" s="717"/>
      <c r="CQ2784" s="717"/>
      <c r="CR2784" s="717"/>
      <c r="CS2784" s="717"/>
      <c r="CT2784" s="717"/>
      <c r="CU2784" s="717"/>
      <c r="CV2784" s="717"/>
      <c r="CW2784" s="717"/>
      <c r="CX2784" s="717"/>
      <c r="CY2784" s="717"/>
      <c r="CZ2784" s="717"/>
      <c r="DA2784" s="717"/>
      <c r="DB2784" s="717"/>
      <c r="DC2784" s="717"/>
      <c r="DD2784" s="717"/>
      <c r="DE2784" s="717"/>
      <c r="DF2784" s="717"/>
      <c r="DG2784" s="717"/>
      <c r="DH2784" s="717"/>
      <c r="DI2784" s="717"/>
      <c r="DJ2784" s="717"/>
      <c r="DM2784" s="711"/>
      <c r="DN2784" s="711"/>
      <c r="DO2784" s="711"/>
      <c r="DP2784" s="711"/>
      <c r="DQ2784" s="711"/>
    </row>
    <row r="2785" spans="13:121" s="709" customFormat="1" hidden="1">
      <c r="M2785" s="710"/>
      <c r="P2785" s="711"/>
      <c r="Q2785" s="712"/>
      <c r="U2785" s="711"/>
      <c r="V2785" s="711"/>
      <c r="W2785" s="711"/>
      <c r="X2785" s="711"/>
      <c r="Y2785" s="711"/>
      <c r="Z2785" s="711"/>
      <c r="AU2785" s="713"/>
      <c r="AW2785" s="712"/>
      <c r="BY2785" s="714"/>
      <c r="BZ2785" s="715"/>
      <c r="CA2785" s="716"/>
      <c r="CB2785" s="717"/>
      <c r="CC2785" s="717"/>
      <c r="CD2785" s="717"/>
      <c r="CE2785" s="717"/>
      <c r="CF2785" s="717"/>
      <c r="CG2785" s="717"/>
      <c r="CH2785" s="717"/>
      <c r="CI2785" s="717"/>
      <c r="CJ2785" s="717"/>
      <c r="CK2785" s="717"/>
      <c r="CL2785" s="717"/>
      <c r="CM2785" s="717"/>
      <c r="CN2785" s="717"/>
      <c r="CO2785" s="717"/>
      <c r="CP2785" s="717"/>
      <c r="CQ2785" s="717"/>
      <c r="CR2785" s="717"/>
      <c r="CS2785" s="717"/>
      <c r="CT2785" s="717"/>
      <c r="CU2785" s="717"/>
      <c r="CV2785" s="717"/>
      <c r="CW2785" s="717"/>
      <c r="CX2785" s="717"/>
      <c r="CY2785" s="717"/>
      <c r="CZ2785" s="717"/>
      <c r="DA2785" s="717"/>
      <c r="DB2785" s="717"/>
      <c r="DC2785" s="717"/>
      <c r="DD2785" s="717"/>
      <c r="DE2785" s="717"/>
      <c r="DF2785" s="717"/>
      <c r="DG2785" s="717"/>
      <c r="DH2785" s="717"/>
      <c r="DI2785" s="717"/>
      <c r="DJ2785" s="717"/>
      <c r="DM2785" s="711"/>
      <c r="DN2785" s="711"/>
      <c r="DO2785" s="711"/>
      <c r="DP2785" s="711"/>
      <c r="DQ2785" s="711"/>
    </row>
    <row r="2786" spans="13:121" s="709" customFormat="1" hidden="1">
      <c r="M2786" s="710"/>
      <c r="P2786" s="711"/>
      <c r="Q2786" s="712"/>
      <c r="U2786" s="711"/>
      <c r="V2786" s="711"/>
      <c r="W2786" s="711"/>
      <c r="X2786" s="711"/>
      <c r="Y2786" s="711"/>
      <c r="Z2786" s="711"/>
      <c r="AU2786" s="713"/>
      <c r="AW2786" s="712"/>
      <c r="BY2786" s="714"/>
      <c r="BZ2786" s="715"/>
      <c r="CA2786" s="716"/>
      <c r="CB2786" s="717"/>
      <c r="CC2786" s="717"/>
      <c r="CD2786" s="717"/>
      <c r="CE2786" s="717"/>
      <c r="CF2786" s="717"/>
      <c r="CG2786" s="717"/>
      <c r="CH2786" s="717"/>
      <c r="CI2786" s="717"/>
      <c r="CJ2786" s="717"/>
      <c r="CK2786" s="717"/>
      <c r="CL2786" s="717"/>
      <c r="CM2786" s="717"/>
      <c r="CN2786" s="717"/>
      <c r="CO2786" s="717"/>
      <c r="CP2786" s="717"/>
      <c r="CQ2786" s="717"/>
      <c r="CR2786" s="717"/>
      <c r="CS2786" s="717"/>
      <c r="CT2786" s="717"/>
      <c r="CU2786" s="717"/>
      <c r="CV2786" s="717"/>
      <c r="CW2786" s="717"/>
      <c r="CX2786" s="717"/>
      <c r="CY2786" s="717"/>
      <c r="CZ2786" s="717"/>
      <c r="DA2786" s="717"/>
      <c r="DB2786" s="717"/>
      <c r="DC2786" s="717"/>
      <c r="DD2786" s="717"/>
      <c r="DE2786" s="717"/>
      <c r="DF2786" s="717"/>
      <c r="DG2786" s="717"/>
      <c r="DH2786" s="717"/>
      <c r="DI2786" s="717"/>
      <c r="DJ2786" s="717"/>
      <c r="DM2786" s="711"/>
      <c r="DN2786" s="711"/>
      <c r="DO2786" s="711"/>
      <c r="DP2786" s="711"/>
      <c r="DQ2786" s="711"/>
    </row>
    <row r="2787" spans="13:121" s="709" customFormat="1" hidden="1">
      <c r="M2787" s="710"/>
      <c r="P2787" s="711"/>
      <c r="Q2787" s="712"/>
      <c r="U2787" s="711"/>
      <c r="V2787" s="711"/>
      <c r="W2787" s="711"/>
      <c r="X2787" s="711"/>
      <c r="Y2787" s="711"/>
      <c r="Z2787" s="711"/>
      <c r="AU2787" s="713"/>
      <c r="AW2787" s="712"/>
      <c r="BY2787" s="714"/>
      <c r="BZ2787" s="715"/>
      <c r="CA2787" s="716"/>
      <c r="CB2787" s="717"/>
      <c r="CC2787" s="717"/>
      <c r="CD2787" s="717"/>
      <c r="CE2787" s="717"/>
      <c r="CF2787" s="717"/>
      <c r="CG2787" s="717"/>
      <c r="CH2787" s="717"/>
      <c r="CI2787" s="717"/>
      <c r="CJ2787" s="717"/>
      <c r="CK2787" s="717"/>
      <c r="CL2787" s="717"/>
      <c r="CM2787" s="717"/>
      <c r="CN2787" s="717"/>
      <c r="CO2787" s="717"/>
      <c r="CP2787" s="717"/>
      <c r="CQ2787" s="717"/>
      <c r="CR2787" s="717"/>
      <c r="CS2787" s="717"/>
      <c r="CT2787" s="717"/>
      <c r="CU2787" s="717"/>
      <c r="CV2787" s="717"/>
      <c r="CW2787" s="717"/>
      <c r="CX2787" s="717"/>
      <c r="CY2787" s="717"/>
      <c r="CZ2787" s="717"/>
      <c r="DA2787" s="717"/>
      <c r="DB2787" s="717"/>
      <c r="DC2787" s="717"/>
      <c r="DD2787" s="717"/>
      <c r="DE2787" s="717"/>
      <c r="DF2787" s="717"/>
      <c r="DG2787" s="717"/>
      <c r="DH2787" s="717"/>
      <c r="DI2787" s="717"/>
      <c r="DJ2787" s="717"/>
      <c r="DM2787" s="711"/>
      <c r="DN2787" s="711"/>
      <c r="DO2787" s="711"/>
      <c r="DP2787" s="711"/>
      <c r="DQ2787" s="711"/>
    </row>
    <row r="2788" spans="13:121" s="709" customFormat="1" hidden="1">
      <c r="M2788" s="710"/>
      <c r="P2788" s="711"/>
      <c r="Q2788" s="712"/>
      <c r="U2788" s="711"/>
      <c r="V2788" s="711"/>
      <c r="W2788" s="711"/>
      <c r="X2788" s="711"/>
      <c r="Y2788" s="711"/>
      <c r="Z2788" s="711"/>
      <c r="AU2788" s="713"/>
      <c r="AW2788" s="712"/>
      <c r="BY2788" s="714"/>
      <c r="BZ2788" s="715"/>
      <c r="CA2788" s="716"/>
      <c r="CB2788" s="717"/>
      <c r="CC2788" s="717"/>
      <c r="CD2788" s="717"/>
      <c r="CE2788" s="717"/>
      <c r="CF2788" s="717"/>
      <c r="CG2788" s="717"/>
      <c r="CH2788" s="717"/>
      <c r="CI2788" s="717"/>
      <c r="CJ2788" s="717"/>
      <c r="CK2788" s="717"/>
      <c r="CL2788" s="717"/>
      <c r="CM2788" s="717"/>
      <c r="CN2788" s="717"/>
      <c r="CO2788" s="717"/>
      <c r="CP2788" s="717"/>
      <c r="CQ2788" s="717"/>
      <c r="CR2788" s="717"/>
      <c r="CS2788" s="717"/>
      <c r="CT2788" s="717"/>
      <c r="CU2788" s="717"/>
      <c r="CV2788" s="717"/>
      <c r="CW2788" s="717"/>
      <c r="CX2788" s="717"/>
      <c r="CY2788" s="717"/>
      <c r="CZ2788" s="717"/>
      <c r="DA2788" s="717"/>
      <c r="DB2788" s="717"/>
      <c r="DC2788" s="717"/>
      <c r="DD2788" s="717"/>
      <c r="DE2788" s="717"/>
      <c r="DF2788" s="717"/>
      <c r="DG2788" s="717"/>
      <c r="DH2788" s="717"/>
      <c r="DI2788" s="717"/>
      <c r="DJ2788" s="717"/>
      <c r="DM2788" s="711"/>
      <c r="DN2788" s="711"/>
      <c r="DO2788" s="711"/>
      <c r="DP2788" s="711"/>
      <c r="DQ2788" s="711"/>
    </row>
    <row r="2789" spans="13:121" s="709" customFormat="1" hidden="1">
      <c r="M2789" s="710"/>
      <c r="P2789" s="711"/>
      <c r="Q2789" s="712"/>
      <c r="U2789" s="711"/>
      <c r="V2789" s="711"/>
      <c r="W2789" s="711"/>
      <c r="X2789" s="711"/>
      <c r="Y2789" s="711"/>
      <c r="Z2789" s="711"/>
      <c r="AU2789" s="713"/>
      <c r="AW2789" s="712"/>
      <c r="BY2789" s="714"/>
      <c r="BZ2789" s="715"/>
      <c r="CA2789" s="716"/>
      <c r="CB2789" s="717"/>
      <c r="CC2789" s="717"/>
      <c r="CD2789" s="717"/>
      <c r="CE2789" s="717"/>
      <c r="CF2789" s="717"/>
      <c r="CG2789" s="717"/>
      <c r="CH2789" s="717"/>
      <c r="CI2789" s="717"/>
      <c r="CJ2789" s="717"/>
      <c r="CK2789" s="717"/>
      <c r="CL2789" s="717"/>
      <c r="CM2789" s="717"/>
      <c r="CN2789" s="717"/>
      <c r="CO2789" s="717"/>
      <c r="CP2789" s="717"/>
      <c r="CQ2789" s="717"/>
      <c r="CR2789" s="717"/>
      <c r="CS2789" s="717"/>
      <c r="CT2789" s="717"/>
      <c r="CU2789" s="717"/>
      <c r="CV2789" s="717"/>
      <c r="CW2789" s="717"/>
      <c r="CX2789" s="717"/>
      <c r="CY2789" s="717"/>
      <c r="CZ2789" s="717"/>
      <c r="DA2789" s="717"/>
      <c r="DB2789" s="717"/>
      <c r="DC2789" s="717"/>
      <c r="DD2789" s="717"/>
      <c r="DE2789" s="717"/>
      <c r="DF2789" s="717"/>
      <c r="DG2789" s="717"/>
      <c r="DH2789" s="717"/>
      <c r="DI2789" s="717"/>
      <c r="DJ2789" s="717"/>
      <c r="DM2789" s="711"/>
      <c r="DN2789" s="711"/>
      <c r="DO2789" s="711"/>
      <c r="DP2789" s="711"/>
      <c r="DQ2789" s="711"/>
    </row>
    <row r="2790" spans="13:121" s="709" customFormat="1" hidden="1">
      <c r="M2790" s="710"/>
      <c r="P2790" s="711"/>
      <c r="Q2790" s="712"/>
      <c r="U2790" s="711"/>
      <c r="V2790" s="711"/>
      <c r="W2790" s="711"/>
      <c r="X2790" s="711"/>
      <c r="Y2790" s="711"/>
      <c r="Z2790" s="711"/>
      <c r="AU2790" s="713"/>
      <c r="AW2790" s="712"/>
      <c r="BY2790" s="714"/>
      <c r="BZ2790" s="715"/>
      <c r="CA2790" s="716"/>
      <c r="CB2790" s="717"/>
      <c r="CC2790" s="717"/>
      <c r="CD2790" s="717"/>
      <c r="CE2790" s="717"/>
      <c r="CF2790" s="717"/>
      <c r="CG2790" s="717"/>
      <c r="CH2790" s="717"/>
      <c r="CI2790" s="717"/>
      <c r="CJ2790" s="717"/>
      <c r="CK2790" s="717"/>
      <c r="CL2790" s="717"/>
      <c r="CM2790" s="717"/>
      <c r="CN2790" s="717"/>
      <c r="CO2790" s="717"/>
      <c r="CP2790" s="717"/>
      <c r="CQ2790" s="717"/>
      <c r="CR2790" s="717"/>
      <c r="CS2790" s="717"/>
      <c r="CT2790" s="717"/>
      <c r="CU2790" s="717"/>
      <c r="CV2790" s="717"/>
      <c r="CW2790" s="717"/>
      <c r="CX2790" s="717"/>
      <c r="CY2790" s="717"/>
      <c r="CZ2790" s="717"/>
      <c r="DA2790" s="717"/>
      <c r="DB2790" s="717"/>
      <c r="DC2790" s="717"/>
      <c r="DD2790" s="717"/>
      <c r="DE2790" s="717"/>
      <c r="DF2790" s="717"/>
      <c r="DG2790" s="717"/>
      <c r="DH2790" s="717"/>
      <c r="DI2790" s="717"/>
      <c r="DJ2790" s="717"/>
      <c r="DM2790" s="711"/>
      <c r="DN2790" s="711"/>
      <c r="DO2790" s="711"/>
      <c r="DP2790" s="711"/>
      <c r="DQ2790" s="711"/>
    </row>
    <row r="2791" spans="13:121" s="709" customFormat="1" hidden="1">
      <c r="M2791" s="710"/>
      <c r="P2791" s="711"/>
      <c r="Q2791" s="712"/>
      <c r="U2791" s="711"/>
      <c r="V2791" s="711"/>
      <c r="W2791" s="711"/>
      <c r="X2791" s="711"/>
      <c r="Y2791" s="711"/>
      <c r="Z2791" s="711"/>
      <c r="AU2791" s="713"/>
      <c r="AW2791" s="712"/>
      <c r="BY2791" s="714"/>
      <c r="BZ2791" s="715"/>
      <c r="CA2791" s="716"/>
      <c r="CB2791" s="717"/>
      <c r="CC2791" s="717"/>
      <c r="CD2791" s="717"/>
      <c r="CE2791" s="717"/>
      <c r="CF2791" s="717"/>
      <c r="CG2791" s="717"/>
      <c r="CH2791" s="717"/>
      <c r="CI2791" s="717"/>
      <c r="CJ2791" s="717"/>
      <c r="CK2791" s="717"/>
      <c r="CL2791" s="717"/>
      <c r="CM2791" s="717"/>
      <c r="CN2791" s="717"/>
      <c r="CO2791" s="717"/>
      <c r="CP2791" s="717"/>
      <c r="CQ2791" s="717"/>
      <c r="CR2791" s="717"/>
      <c r="CS2791" s="717"/>
      <c r="CT2791" s="717"/>
      <c r="CU2791" s="717"/>
      <c r="CV2791" s="717"/>
      <c r="CW2791" s="717"/>
      <c r="CX2791" s="717"/>
      <c r="CY2791" s="717"/>
      <c r="CZ2791" s="717"/>
      <c r="DA2791" s="717"/>
      <c r="DB2791" s="717"/>
      <c r="DC2791" s="717"/>
      <c r="DD2791" s="717"/>
      <c r="DE2791" s="717"/>
      <c r="DF2791" s="717"/>
      <c r="DG2791" s="717"/>
      <c r="DH2791" s="717"/>
      <c r="DI2791" s="717"/>
      <c r="DJ2791" s="717"/>
      <c r="DM2791" s="711"/>
      <c r="DN2791" s="711"/>
      <c r="DO2791" s="711"/>
      <c r="DP2791" s="711"/>
      <c r="DQ2791" s="711"/>
    </row>
    <row r="2792" spans="13:121" s="709" customFormat="1" hidden="1">
      <c r="M2792" s="710"/>
      <c r="P2792" s="711"/>
      <c r="Q2792" s="712"/>
      <c r="U2792" s="711"/>
      <c r="V2792" s="711"/>
      <c r="W2792" s="711"/>
      <c r="X2792" s="711"/>
      <c r="Y2792" s="711"/>
      <c r="Z2792" s="711"/>
      <c r="AU2792" s="713"/>
      <c r="AW2792" s="712"/>
      <c r="BY2792" s="714"/>
      <c r="BZ2792" s="715"/>
      <c r="CA2792" s="716"/>
      <c r="CB2792" s="717"/>
      <c r="CC2792" s="717"/>
      <c r="CD2792" s="717"/>
      <c r="CE2792" s="717"/>
      <c r="CF2792" s="717"/>
      <c r="CG2792" s="717"/>
      <c r="CH2792" s="717"/>
      <c r="CI2792" s="717"/>
      <c r="CJ2792" s="717"/>
      <c r="CK2792" s="717"/>
      <c r="CL2792" s="717"/>
      <c r="CM2792" s="717"/>
      <c r="CN2792" s="717"/>
      <c r="CO2792" s="717"/>
      <c r="CP2792" s="717"/>
      <c r="CQ2792" s="717"/>
      <c r="CR2792" s="717"/>
      <c r="CS2792" s="717"/>
      <c r="CT2792" s="717"/>
      <c r="CU2792" s="717"/>
      <c r="CV2792" s="717"/>
      <c r="CW2792" s="717"/>
      <c r="CX2792" s="717"/>
      <c r="CY2792" s="717"/>
      <c r="CZ2792" s="717"/>
      <c r="DA2792" s="717"/>
      <c r="DB2792" s="717"/>
      <c r="DC2792" s="717"/>
      <c r="DD2792" s="717"/>
      <c r="DE2792" s="717"/>
      <c r="DF2792" s="717"/>
      <c r="DG2792" s="717"/>
      <c r="DH2792" s="717"/>
      <c r="DI2792" s="717"/>
      <c r="DJ2792" s="717"/>
      <c r="DM2792" s="711"/>
      <c r="DN2792" s="711"/>
      <c r="DO2792" s="711"/>
      <c r="DP2792" s="711"/>
      <c r="DQ2792" s="711"/>
    </row>
    <row r="2793" spans="13:121" s="709" customFormat="1" hidden="1">
      <c r="M2793" s="710"/>
      <c r="P2793" s="711"/>
      <c r="Q2793" s="712"/>
      <c r="U2793" s="711"/>
      <c r="V2793" s="711"/>
      <c r="W2793" s="711"/>
      <c r="X2793" s="711"/>
      <c r="Y2793" s="711"/>
      <c r="Z2793" s="711"/>
      <c r="AU2793" s="713"/>
      <c r="AW2793" s="712"/>
      <c r="BY2793" s="714"/>
      <c r="BZ2793" s="715"/>
      <c r="CA2793" s="716"/>
      <c r="CB2793" s="717"/>
      <c r="CC2793" s="717"/>
      <c r="CD2793" s="717"/>
      <c r="CE2793" s="717"/>
      <c r="CF2793" s="717"/>
      <c r="CG2793" s="717"/>
      <c r="CH2793" s="717"/>
      <c r="CI2793" s="717"/>
      <c r="CJ2793" s="717"/>
      <c r="CK2793" s="717"/>
      <c r="CL2793" s="717"/>
      <c r="CM2793" s="717"/>
      <c r="CN2793" s="717"/>
      <c r="CO2793" s="717"/>
      <c r="CP2793" s="717"/>
      <c r="CQ2793" s="717"/>
      <c r="CR2793" s="717"/>
      <c r="CS2793" s="717"/>
      <c r="CT2793" s="717"/>
      <c r="CU2793" s="717"/>
      <c r="CV2793" s="717"/>
      <c r="CW2793" s="717"/>
      <c r="CX2793" s="717"/>
      <c r="CY2793" s="717"/>
      <c r="CZ2793" s="717"/>
      <c r="DA2793" s="717"/>
      <c r="DB2793" s="717"/>
      <c r="DC2793" s="717"/>
      <c r="DD2793" s="717"/>
      <c r="DE2793" s="717"/>
      <c r="DF2793" s="717"/>
      <c r="DG2793" s="717"/>
      <c r="DH2793" s="717"/>
      <c r="DI2793" s="717"/>
      <c r="DJ2793" s="717"/>
      <c r="DM2793" s="711"/>
      <c r="DN2793" s="711"/>
      <c r="DO2793" s="711"/>
      <c r="DP2793" s="711"/>
      <c r="DQ2793" s="711"/>
    </row>
    <row r="2794" spans="13:121" s="709" customFormat="1" hidden="1">
      <c r="M2794" s="710"/>
      <c r="P2794" s="711"/>
      <c r="Q2794" s="712"/>
      <c r="U2794" s="711"/>
      <c r="V2794" s="711"/>
      <c r="W2794" s="711"/>
      <c r="X2794" s="711"/>
      <c r="Y2794" s="711"/>
      <c r="Z2794" s="711"/>
      <c r="AU2794" s="713"/>
      <c r="AW2794" s="712"/>
      <c r="BY2794" s="714"/>
      <c r="BZ2794" s="715"/>
      <c r="CA2794" s="716"/>
      <c r="CB2794" s="717"/>
      <c r="CC2794" s="717"/>
      <c r="CD2794" s="717"/>
      <c r="CE2794" s="717"/>
      <c r="CF2794" s="717"/>
      <c r="CG2794" s="717"/>
      <c r="CH2794" s="717"/>
      <c r="CI2794" s="717"/>
      <c r="CJ2794" s="717"/>
      <c r="CK2794" s="717"/>
      <c r="CL2794" s="717"/>
      <c r="CM2794" s="717"/>
      <c r="CN2794" s="717"/>
      <c r="CO2794" s="717"/>
      <c r="CP2794" s="717"/>
      <c r="CQ2794" s="717"/>
      <c r="CR2794" s="717"/>
      <c r="CS2794" s="717"/>
      <c r="CT2794" s="717"/>
      <c r="CU2794" s="717"/>
      <c r="CV2794" s="717"/>
      <c r="CW2794" s="717"/>
      <c r="CX2794" s="717"/>
      <c r="CY2794" s="717"/>
      <c r="CZ2794" s="717"/>
      <c r="DA2794" s="717"/>
      <c r="DB2794" s="717"/>
      <c r="DC2794" s="717"/>
      <c r="DD2794" s="717"/>
      <c r="DE2794" s="717"/>
      <c r="DF2794" s="717"/>
      <c r="DG2794" s="717"/>
      <c r="DH2794" s="717"/>
      <c r="DI2794" s="717"/>
      <c r="DJ2794" s="717"/>
      <c r="DM2794" s="711"/>
      <c r="DN2794" s="711"/>
      <c r="DO2794" s="711"/>
      <c r="DP2794" s="711"/>
      <c r="DQ2794" s="711"/>
    </row>
    <row r="2795" spans="13:121" s="709" customFormat="1" hidden="1">
      <c r="M2795" s="710"/>
      <c r="P2795" s="711"/>
      <c r="Q2795" s="712"/>
      <c r="U2795" s="711"/>
      <c r="V2795" s="711"/>
      <c r="W2795" s="711"/>
      <c r="X2795" s="711"/>
      <c r="Y2795" s="711"/>
      <c r="Z2795" s="711"/>
      <c r="AU2795" s="713"/>
      <c r="AW2795" s="712"/>
      <c r="BY2795" s="714"/>
      <c r="BZ2795" s="715"/>
      <c r="CA2795" s="716"/>
      <c r="CB2795" s="717"/>
      <c r="CC2795" s="717"/>
      <c r="CD2795" s="717"/>
      <c r="CE2795" s="717"/>
      <c r="CF2795" s="717"/>
      <c r="CG2795" s="717"/>
      <c r="CH2795" s="717"/>
      <c r="CI2795" s="717"/>
      <c r="CJ2795" s="717"/>
      <c r="CK2795" s="717"/>
      <c r="CL2795" s="717"/>
      <c r="CM2795" s="717"/>
      <c r="CN2795" s="717"/>
      <c r="CO2795" s="717"/>
      <c r="CP2795" s="717"/>
      <c r="CQ2795" s="717"/>
      <c r="CR2795" s="717"/>
      <c r="CS2795" s="717"/>
      <c r="CT2795" s="717"/>
      <c r="CU2795" s="717"/>
      <c r="CV2795" s="717"/>
      <c r="CW2795" s="717"/>
      <c r="CX2795" s="717"/>
      <c r="CY2795" s="717"/>
      <c r="CZ2795" s="717"/>
      <c r="DA2795" s="717"/>
      <c r="DB2795" s="717"/>
      <c r="DC2795" s="717"/>
      <c r="DD2795" s="717"/>
      <c r="DE2795" s="717"/>
      <c r="DF2795" s="717"/>
      <c r="DG2795" s="717"/>
      <c r="DH2795" s="717"/>
      <c r="DI2795" s="717"/>
      <c r="DJ2795" s="717"/>
      <c r="DM2795" s="711"/>
      <c r="DN2795" s="711"/>
      <c r="DO2795" s="711"/>
      <c r="DP2795" s="711"/>
      <c r="DQ2795" s="711"/>
    </row>
    <row r="2796" spans="13:121" s="709" customFormat="1" hidden="1">
      <c r="M2796" s="710"/>
      <c r="P2796" s="711"/>
      <c r="Q2796" s="712"/>
      <c r="U2796" s="711"/>
      <c r="V2796" s="711"/>
      <c r="W2796" s="711"/>
      <c r="X2796" s="711"/>
      <c r="Y2796" s="711"/>
      <c r="Z2796" s="711"/>
      <c r="AU2796" s="713"/>
      <c r="AW2796" s="712"/>
      <c r="BY2796" s="714"/>
      <c r="BZ2796" s="715"/>
      <c r="CA2796" s="716"/>
      <c r="CB2796" s="717"/>
      <c r="CC2796" s="717"/>
      <c r="CD2796" s="717"/>
      <c r="CE2796" s="717"/>
      <c r="CF2796" s="717"/>
      <c r="CG2796" s="717"/>
      <c r="CH2796" s="717"/>
      <c r="CI2796" s="717"/>
      <c r="CJ2796" s="717"/>
      <c r="CK2796" s="717"/>
      <c r="CL2796" s="717"/>
      <c r="CM2796" s="717"/>
      <c r="CN2796" s="717"/>
      <c r="CO2796" s="717"/>
      <c r="CP2796" s="717"/>
      <c r="CQ2796" s="717"/>
      <c r="CR2796" s="717"/>
      <c r="CS2796" s="717"/>
      <c r="CT2796" s="717"/>
      <c r="CU2796" s="717"/>
      <c r="CV2796" s="717"/>
      <c r="CW2796" s="717"/>
      <c r="CX2796" s="717"/>
      <c r="CY2796" s="717"/>
      <c r="CZ2796" s="717"/>
      <c r="DA2796" s="717"/>
      <c r="DB2796" s="717"/>
      <c r="DC2796" s="717"/>
      <c r="DD2796" s="717"/>
      <c r="DE2796" s="717"/>
      <c r="DF2796" s="717"/>
      <c r="DG2796" s="717"/>
      <c r="DH2796" s="717"/>
      <c r="DI2796" s="717"/>
      <c r="DJ2796" s="717"/>
      <c r="DM2796" s="711"/>
      <c r="DN2796" s="711"/>
      <c r="DO2796" s="711"/>
      <c r="DP2796" s="711"/>
      <c r="DQ2796" s="711"/>
    </row>
    <row r="2797" spans="13:121" s="709" customFormat="1" hidden="1">
      <c r="M2797" s="710"/>
      <c r="P2797" s="711"/>
      <c r="Q2797" s="712"/>
      <c r="U2797" s="711"/>
      <c r="V2797" s="711"/>
      <c r="W2797" s="711"/>
      <c r="X2797" s="711"/>
      <c r="Y2797" s="711"/>
      <c r="Z2797" s="711"/>
      <c r="AU2797" s="713"/>
      <c r="AW2797" s="712"/>
      <c r="BY2797" s="714"/>
      <c r="BZ2797" s="715"/>
      <c r="CA2797" s="716"/>
      <c r="CB2797" s="717"/>
      <c r="CC2797" s="717"/>
      <c r="CD2797" s="717"/>
      <c r="CE2797" s="717"/>
      <c r="CF2797" s="717"/>
      <c r="CG2797" s="717"/>
      <c r="CH2797" s="717"/>
      <c r="CI2797" s="717"/>
      <c r="CJ2797" s="717"/>
      <c r="CK2797" s="717"/>
      <c r="CL2797" s="717"/>
      <c r="CM2797" s="717"/>
      <c r="CN2797" s="717"/>
      <c r="CO2797" s="717"/>
      <c r="CP2797" s="717"/>
      <c r="CQ2797" s="717"/>
      <c r="CR2797" s="717"/>
      <c r="CS2797" s="717"/>
      <c r="CT2797" s="717"/>
      <c r="CU2797" s="717"/>
      <c r="CV2797" s="717"/>
      <c r="CW2797" s="717"/>
      <c r="CX2797" s="717"/>
      <c r="CY2797" s="717"/>
      <c r="CZ2797" s="717"/>
      <c r="DA2797" s="717"/>
      <c r="DB2797" s="717"/>
      <c r="DC2797" s="717"/>
      <c r="DD2797" s="717"/>
      <c r="DE2797" s="717"/>
      <c r="DF2797" s="717"/>
      <c r="DG2797" s="717"/>
      <c r="DH2797" s="717"/>
      <c r="DI2797" s="717"/>
      <c r="DJ2797" s="717"/>
      <c r="DM2797" s="711"/>
      <c r="DN2797" s="711"/>
      <c r="DO2797" s="711"/>
      <c r="DP2797" s="711"/>
      <c r="DQ2797" s="711"/>
    </row>
    <row r="2798" spans="13:121" s="709" customFormat="1" hidden="1">
      <c r="M2798" s="710"/>
      <c r="P2798" s="711"/>
      <c r="Q2798" s="712"/>
      <c r="U2798" s="711"/>
      <c r="V2798" s="711"/>
      <c r="W2798" s="711"/>
      <c r="X2798" s="711"/>
      <c r="Y2798" s="711"/>
      <c r="Z2798" s="711"/>
      <c r="AU2798" s="713"/>
      <c r="AW2798" s="712"/>
      <c r="BY2798" s="714"/>
      <c r="BZ2798" s="715"/>
      <c r="CA2798" s="716"/>
      <c r="CB2798" s="717"/>
      <c r="CC2798" s="717"/>
      <c r="CD2798" s="717"/>
      <c r="CE2798" s="717"/>
      <c r="CF2798" s="717"/>
      <c r="CG2798" s="717"/>
      <c r="CH2798" s="717"/>
      <c r="CI2798" s="717"/>
      <c r="CJ2798" s="717"/>
      <c r="CK2798" s="717"/>
      <c r="CL2798" s="717"/>
      <c r="CM2798" s="717"/>
      <c r="CN2798" s="717"/>
      <c r="CO2798" s="717"/>
      <c r="CP2798" s="717"/>
      <c r="CQ2798" s="717"/>
      <c r="CR2798" s="717"/>
      <c r="CS2798" s="717"/>
      <c r="CT2798" s="717"/>
      <c r="CU2798" s="717"/>
      <c r="CV2798" s="717"/>
      <c r="CW2798" s="717"/>
      <c r="CX2798" s="717"/>
      <c r="CY2798" s="717"/>
      <c r="CZ2798" s="717"/>
      <c r="DA2798" s="717"/>
      <c r="DB2798" s="717"/>
      <c r="DC2798" s="717"/>
      <c r="DD2798" s="717"/>
      <c r="DE2798" s="717"/>
      <c r="DF2798" s="717"/>
      <c r="DG2798" s="717"/>
      <c r="DH2798" s="717"/>
      <c r="DI2798" s="717"/>
      <c r="DJ2798" s="717"/>
      <c r="DM2798" s="711"/>
      <c r="DN2798" s="711"/>
      <c r="DO2798" s="711"/>
      <c r="DP2798" s="711"/>
      <c r="DQ2798" s="711"/>
    </row>
    <row r="2799" spans="13:121" s="709" customFormat="1" hidden="1">
      <c r="M2799" s="710"/>
      <c r="P2799" s="711"/>
      <c r="Q2799" s="712"/>
      <c r="U2799" s="711"/>
      <c r="V2799" s="711"/>
      <c r="W2799" s="711"/>
      <c r="X2799" s="711"/>
      <c r="Y2799" s="711"/>
      <c r="Z2799" s="711"/>
      <c r="AU2799" s="713"/>
      <c r="AW2799" s="712"/>
      <c r="BY2799" s="714"/>
      <c r="BZ2799" s="715"/>
      <c r="CA2799" s="716"/>
      <c r="CB2799" s="717"/>
      <c r="CC2799" s="717"/>
      <c r="CD2799" s="717"/>
      <c r="CE2799" s="717"/>
      <c r="CF2799" s="717"/>
      <c r="CG2799" s="717"/>
      <c r="CH2799" s="717"/>
      <c r="CI2799" s="717"/>
      <c r="CJ2799" s="717"/>
      <c r="CK2799" s="717"/>
      <c r="CL2799" s="717"/>
      <c r="CM2799" s="717"/>
      <c r="CN2799" s="717"/>
      <c r="CO2799" s="717"/>
      <c r="CP2799" s="717"/>
      <c r="CQ2799" s="717"/>
      <c r="CR2799" s="717"/>
      <c r="CS2799" s="717"/>
      <c r="CT2799" s="717"/>
      <c r="CU2799" s="717"/>
      <c r="CV2799" s="717"/>
      <c r="CW2799" s="717"/>
      <c r="CX2799" s="717"/>
      <c r="CY2799" s="717"/>
      <c r="CZ2799" s="717"/>
      <c r="DA2799" s="717"/>
      <c r="DB2799" s="717"/>
      <c r="DC2799" s="717"/>
      <c r="DD2799" s="717"/>
      <c r="DE2799" s="717"/>
      <c r="DF2799" s="717"/>
      <c r="DG2799" s="717"/>
      <c r="DH2799" s="717"/>
      <c r="DI2799" s="717"/>
      <c r="DJ2799" s="717"/>
      <c r="DM2799" s="711"/>
      <c r="DN2799" s="711"/>
      <c r="DO2799" s="711"/>
      <c r="DP2799" s="711"/>
      <c r="DQ2799" s="711"/>
    </row>
    <row r="2800" spans="13:121" s="709" customFormat="1" hidden="1">
      <c r="M2800" s="710"/>
      <c r="P2800" s="711"/>
      <c r="Q2800" s="712"/>
      <c r="U2800" s="711"/>
      <c r="V2800" s="711"/>
      <c r="W2800" s="711"/>
      <c r="X2800" s="711"/>
      <c r="Y2800" s="711"/>
      <c r="Z2800" s="711"/>
      <c r="AU2800" s="713"/>
      <c r="AW2800" s="712"/>
      <c r="BY2800" s="714"/>
      <c r="BZ2800" s="715"/>
      <c r="CA2800" s="716"/>
      <c r="CB2800" s="717"/>
      <c r="CC2800" s="717"/>
      <c r="CD2800" s="717"/>
      <c r="CE2800" s="717"/>
      <c r="CF2800" s="717"/>
      <c r="CG2800" s="717"/>
      <c r="CH2800" s="717"/>
      <c r="CI2800" s="717"/>
      <c r="CJ2800" s="717"/>
      <c r="CK2800" s="717"/>
      <c r="CL2800" s="717"/>
      <c r="CM2800" s="717"/>
      <c r="CN2800" s="717"/>
      <c r="CO2800" s="717"/>
      <c r="CP2800" s="717"/>
      <c r="CQ2800" s="717"/>
      <c r="CR2800" s="717"/>
      <c r="CS2800" s="717"/>
      <c r="CT2800" s="717"/>
      <c r="CU2800" s="717"/>
      <c r="CV2800" s="717"/>
      <c r="CW2800" s="717"/>
      <c r="CX2800" s="717"/>
      <c r="CY2800" s="717"/>
      <c r="CZ2800" s="717"/>
      <c r="DA2800" s="717"/>
      <c r="DB2800" s="717"/>
      <c r="DC2800" s="717"/>
      <c r="DD2800" s="717"/>
      <c r="DE2800" s="717"/>
      <c r="DF2800" s="717"/>
      <c r="DG2800" s="717"/>
      <c r="DH2800" s="717"/>
      <c r="DI2800" s="717"/>
      <c r="DJ2800" s="717"/>
      <c r="DM2800" s="711"/>
      <c r="DN2800" s="711"/>
      <c r="DO2800" s="711"/>
      <c r="DP2800" s="711"/>
      <c r="DQ2800" s="711"/>
    </row>
    <row r="2801" spans="13:121" s="709" customFormat="1" hidden="1">
      <c r="M2801" s="710"/>
      <c r="P2801" s="711"/>
      <c r="Q2801" s="712"/>
      <c r="U2801" s="711"/>
      <c r="V2801" s="711"/>
      <c r="W2801" s="711"/>
      <c r="X2801" s="711"/>
      <c r="Y2801" s="711"/>
      <c r="Z2801" s="711"/>
      <c r="AU2801" s="713"/>
      <c r="AW2801" s="712"/>
      <c r="BY2801" s="714"/>
      <c r="BZ2801" s="715"/>
      <c r="CA2801" s="716"/>
      <c r="CB2801" s="717"/>
      <c r="CC2801" s="717"/>
      <c r="CD2801" s="717"/>
      <c r="CE2801" s="717"/>
      <c r="CF2801" s="717"/>
      <c r="CG2801" s="717"/>
      <c r="CH2801" s="717"/>
      <c r="CI2801" s="717"/>
      <c r="CJ2801" s="717"/>
      <c r="CK2801" s="717"/>
      <c r="CL2801" s="717"/>
      <c r="CM2801" s="717"/>
      <c r="CN2801" s="717"/>
      <c r="CO2801" s="717"/>
      <c r="CP2801" s="717"/>
      <c r="CQ2801" s="717"/>
      <c r="CR2801" s="717"/>
      <c r="CS2801" s="717"/>
      <c r="CT2801" s="717"/>
      <c r="CU2801" s="717"/>
      <c r="CV2801" s="717"/>
      <c r="CW2801" s="717"/>
      <c r="CX2801" s="717"/>
      <c r="CY2801" s="717"/>
      <c r="CZ2801" s="717"/>
      <c r="DA2801" s="717"/>
      <c r="DB2801" s="717"/>
      <c r="DC2801" s="717"/>
      <c r="DD2801" s="717"/>
      <c r="DE2801" s="717"/>
      <c r="DF2801" s="717"/>
      <c r="DG2801" s="717"/>
      <c r="DH2801" s="717"/>
      <c r="DI2801" s="717"/>
      <c r="DJ2801" s="717"/>
      <c r="DM2801" s="711"/>
      <c r="DN2801" s="711"/>
      <c r="DO2801" s="711"/>
      <c r="DP2801" s="711"/>
      <c r="DQ2801" s="711"/>
    </row>
    <row r="2802" spans="13:121" s="709" customFormat="1" hidden="1">
      <c r="M2802" s="710"/>
      <c r="P2802" s="711"/>
      <c r="Q2802" s="712"/>
      <c r="U2802" s="711"/>
      <c r="V2802" s="711"/>
      <c r="W2802" s="711"/>
      <c r="X2802" s="711"/>
      <c r="Y2802" s="711"/>
      <c r="Z2802" s="711"/>
      <c r="AU2802" s="713"/>
      <c r="AW2802" s="712"/>
      <c r="BY2802" s="714"/>
      <c r="BZ2802" s="715"/>
      <c r="CA2802" s="716"/>
      <c r="CB2802" s="717"/>
      <c r="CC2802" s="717"/>
      <c r="CD2802" s="717"/>
      <c r="CE2802" s="717"/>
      <c r="CF2802" s="717"/>
      <c r="CG2802" s="717"/>
      <c r="CH2802" s="717"/>
      <c r="CI2802" s="717"/>
      <c r="CJ2802" s="717"/>
      <c r="CK2802" s="717"/>
      <c r="CL2802" s="717"/>
      <c r="CM2802" s="717"/>
      <c r="CN2802" s="717"/>
      <c r="CO2802" s="717"/>
      <c r="CP2802" s="717"/>
      <c r="CQ2802" s="717"/>
      <c r="CR2802" s="717"/>
      <c r="CS2802" s="717"/>
      <c r="CT2802" s="717"/>
      <c r="CU2802" s="717"/>
      <c r="CV2802" s="717"/>
      <c r="CW2802" s="717"/>
      <c r="CX2802" s="717"/>
      <c r="CY2802" s="717"/>
      <c r="CZ2802" s="717"/>
      <c r="DA2802" s="717"/>
      <c r="DB2802" s="717"/>
      <c r="DC2802" s="717"/>
      <c r="DD2802" s="717"/>
      <c r="DE2802" s="717"/>
      <c r="DF2802" s="717"/>
      <c r="DG2802" s="717"/>
      <c r="DH2802" s="717"/>
      <c r="DI2802" s="717"/>
      <c r="DJ2802" s="717"/>
      <c r="DM2802" s="711"/>
      <c r="DN2802" s="711"/>
      <c r="DO2802" s="711"/>
      <c r="DP2802" s="711"/>
      <c r="DQ2802" s="711"/>
    </row>
    <row r="2803" spans="13:121" s="709" customFormat="1" hidden="1">
      <c r="M2803" s="710"/>
      <c r="P2803" s="711"/>
      <c r="Q2803" s="712"/>
      <c r="U2803" s="711"/>
      <c r="V2803" s="711"/>
      <c r="W2803" s="711"/>
      <c r="X2803" s="711"/>
      <c r="Y2803" s="711"/>
      <c r="Z2803" s="711"/>
      <c r="AU2803" s="713"/>
      <c r="AW2803" s="712"/>
      <c r="BY2803" s="714"/>
      <c r="BZ2803" s="715"/>
      <c r="CA2803" s="716"/>
      <c r="CB2803" s="717"/>
      <c r="CC2803" s="717"/>
      <c r="CD2803" s="717"/>
      <c r="CE2803" s="717"/>
      <c r="CF2803" s="717"/>
      <c r="CG2803" s="717"/>
      <c r="CH2803" s="717"/>
      <c r="CI2803" s="717"/>
      <c r="CJ2803" s="717"/>
      <c r="CK2803" s="717"/>
      <c r="CL2803" s="717"/>
      <c r="CM2803" s="717"/>
      <c r="CN2803" s="717"/>
      <c r="CO2803" s="717"/>
      <c r="CP2803" s="717"/>
      <c r="CQ2803" s="717"/>
      <c r="CR2803" s="717"/>
      <c r="CS2803" s="717"/>
      <c r="CT2803" s="717"/>
      <c r="CU2803" s="717"/>
      <c r="CV2803" s="717"/>
      <c r="CW2803" s="717"/>
      <c r="CX2803" s="717"/>
      <c r="CY2803" s="717"/>
      <c r="CZ2803" s="717"/>
      <c r="DA2803" s="717"/>
      <c r="DB2803" s="717"/>
      <c r="DC2803" s="717"/>
      <c r="DD2803" s="717"/>
      <c r="DE2803" s="717"/>
      <c r="DF2803" s="717"/>
      <c r="DG2803" s="717"/>
      <c r="DH2803" s="717"/>
      <c r="DI2803" s="717"/>
      <c r="DJ2803" s="717"/>
      <c r="DM2803" s="711"/>
      <c r="DN2803" s="711"/>
      <c r="DO2803" s="711"/>
      <c r="DP2803" s="711"/>
      <c r="DQ2803" s="711"/>
    </row>
    <row r="2804" spans="13:121" s="709" customFormat="1" hidden="1">
      <c r="M2804" s="710"/>
      <c r="P2804" s="711"/>
      <c r="Q2804" s="712"/>
      <c r="U2804" s="711"/>
      <c r="V2804" s="711"/>
      <c r="W2804" s="711"/>
      <c r="X2804" s="711"/>
      <c r="Y2804" s="711"/>
      <c r="Z2804" s="711"/>
      <c r="AU2804" s="713"/>
      <c r="AW2804" s="712"/>
      <c r="BY2804" s="714"/>
      <c r="BZ2804" s="715"/>
      <c r="CA2804" s="716"/>
      <c r="CB2804" s="717"/>
      <c r="CC2804" s="717"/>
      <c r="CD2804" s="717"/>
      <c r="CE2804" s="717"/>
      <c r="CF2804" s="717"/>
      <c r="CG2804" s="717"/>
      <c r="CH2804" s="717"/>
      <c r="CI2804" s="717"/>
      <c r="CJ2804" s="717"/>
      <c r="CK2804" s="717"/>
      <c r="CL2804" s="717"/>
      <c r="CM2804" s="717"/>
      <c r="CN2804" s="717"/>
      <c r="CO2804" s="717"/>
      <c r="CP2804" s="717"/>
      <c r="CQ2804" s="717"/>
      <c r="CR2804" s="717"/>
      <c r="CS2804" s="717"/>
      <c r="CT2804" s="717"/>
      <c r="CU2804" s="717"/>
      <c r="CV2804" s="717"/>
      <c r="CW2804" s="717"/>
      <c r="CX2804" s="717"/>
      <c r="CY2804" s="717"/>
      <c r="CZ2804" s="717"/>
      <c r="DA2804" s="717"/>
      <c r="DB2804" s="717"/>
      <c r="DC2804" s="717"/>
      <c r="DD2804" s="717"/>
      <c r="DE2804" s="717"/>
      <c r="DF2804" s="717"/>
      <c r="DG2804" s="717"/>
      <c r="DH2804" s="717"/>
      <c r="DI2804" s="717"/>
      <c r="DJ2804" s="717"/>
      <c r="DM2804" s="711"/>
      <c r="DN2804" s="711"/>
      <c r="DO2804" s="711"/>
      <c r="DP2804" s="711"/>
      <c r="DQ2804" s="711"/>
    </row>
    <row r="2805" spans="13:121" s="709" customFormat="1" hidden="1">
      <c r="M2805" s="710"/>
      <c r="P2805" s="711"/>
      <c r="Q2805" s="712"/>
      <c r="U2805" s="711"/>
      <c r="V2805" s="711"/>
      <c r="W2805" s="711"/>
      <c r="X2805" s="711"/>
      <c r="Y2805" s="711"/>
      <c r="Z2805" s="711"/>
      <c r="AU2805" s="713"/>
      <c r="AW2805" s="712"/>
      <c r="BY2805" s="714"/>
      <c r="BZ2805" s="715"/>
      <c r="CA2805" s="716"/>
      <c r="CB2805" s="717"/>
      <c r="CC2805" s="717"/>
      <c r="CD2805" s="717"/>
      <c r="CE2805" s="717"/>
      <c r="CF2805" s="717"/>
      <c r="CG2805" s="717"/>
      <c r="CH2805" s="717"/>
      <c r="CI2805" s="717"/>
      <c r="CJ2805" s="717"/>
      <c r="CK2805" s="717"/>
      <c r="CL2805" s="717"/>
      <c r="CM2805" s="717"/>
      <c r="CN2805" s="717"/>
      <c r="CO2805" s="717"/>
      <c r="CP2805" s="717"/>
      <c r="CQ2805" s="717"/>
      <c r="CR2805" s="717"/>
      <c r="CS2805" s="717"/>
      <c r="CT2805" s="717"/>
      <c r="CU2805" s="717"/>
      <c r="CV2805" s="717"/>
      <c r="CW2805" s="717"/>
      <c r="CX2805" s="717"/>
      <c r="CY2805" s="717"/>
      <c r="CZ2805" s="717"/>
      <c r="DA2805" s="717"/>
      <c r="DB2805" s="717"/>
      <c r="DC2805" s="717"/>
      <c r="DD2805" s="717"/>
      <c r="DE2805" s="717"/>
      <c r="DF2805" s="717"/>
      <c r="DG2805" s="717"/>
      <c r="DH2805" s="717"/>
      <c r="DI2805" s="717"/>
      <c r="DJ2805" s="717"/>
      <c r="DM2805" s="711"/>
      <c r="DN2805" s="711"/>
      <c r="DO2805" s="711"/>
      <c r="DP2805" s="711"/>
      <c r="DQ2805" s="711"/>
    </row>
    <row r="2806" spans="13:121" s="709" customFormat="1" hidden="1">
      <c r="M2806" s="710"/>
      <c r="P2806" s="711"/>
      <c r="Q2806" s="712"/>
      <c r="U2806" s="711"/>
      <c r="V2806" s="711"/>
      <c r="W2806" s="711"/>
      <c r="X2806" s="711"/>
      <c r="Y2806" s="711"/>
      <c r="Z2806" s="711"/>
      <c r="AU2806" s="713"/>
      <c r="AW2806" s="712"/>
      <c r="BY2806" s="714"/>
      <c r="BZ2806" s="715"/>
      <c r="CA2806" s="716"/>
      <c r="CB2806" s="717"/>
      <c r="CC2806" s="717"/>
      <c r="CD2806" s="717"/>
      <c r="CE2806" s="717"/>
      <c r="CF2806" s="717"/>
      <c r="CG2806" s="717"/>
      <c r="CH2806" s="717"/>
      <c r="CI2806" s="717"/>
      <c r="CJ2806" s="717"/>
      <c r="CK2806" s="717"/>
      <c r="CL2806" s="717"/>
      <c r="CM2806" s="717"/>
      <c r="CN2806" s="717"/>
      <c r="CO2806" s="717"/>
      <c r="CP2806" s="717"/>
      <c r="CQ2806" s="717"/>
      <c r="CR2806" s="717"/>
      <c r="CS2806" s="717"/>
      <c r="CT2806" s="717"/>
      <c r="CU2806" s="717"/>
      <c r="CV2806" s="717"/>
      <c r="CW2806" s="717"/>
      <c r="CX2806" s="717"/>
      <c r="CY2806" s="717"/>
      <c r="CZ2806" s="717"/>
      <c r="DA2806" s="717"/>
      <c r="DB2806" s="717"/>
      <c r="DC2806" s="717"/>
      <c r="DD2806" s="717"/>
      <c r="DE2806" s="717"/>
      <c r="DF2806" s="717"/>
      <c r="DG2806" s="717"/>
      <c r="DH2806" s="717"/>
      <c r="DI2806" s="717"/>
      <c r="DJ2806" s="717"/>
      <c r="DM2806" s="711"/>
      <c r="DN2806" s="711"/>
      <c r="DO2806" s="711"/>
      <c r="DP2806" s="711"/>
      <c r="DQ2806" s="711"/>
    </row>
    <row r="2807" spans="13:121" s="709" customFormat="1" hidden="1">
      <c r="M2807" s="710"/>
      <c r="P2807" s="711"/>
      <c r="Q2807" s="712"/>
      <c r="U2807" s="711"/>
      <c r="V2807" s="711"/>
      <c r="W2807" s="711"/>
      <c r="X2807" s="711"/>
      <c r="Y2807" s="711"/>
      <c r="Z2807" s="711"/>
      <c r="AU2807" s="713"/>
      <c r="AW2807" s="712"/>
      <c r="BY2807" s="714"/>
      <c r="BZ2807" s="715"/>
      <c r="CA2807" s="716"/>
      <c r="CB2807" s="717"/>
      <c r="CC2807" s="717"/>
      <c r="CD2807" s="717"/>
      <c r="CE2807" s="717"/>
      <c r="CF2807" s="717"/>
      <c r="CG2807" s="717"/>
      <c r="CH2807" s="717"/>
      <c r="CI2807" s="717"/>
      <c r="CJ2807" s="717"/>
      <c r="CK2807" s="717"/>
      <c r="CL2807" s="717"/>
      <c r="CM2807" s="717"/>
      <c r="CN2807" s="717"/>
      <c r="CO2807" s="717"/>
      <c r="CP2807" s="717"/>
      <c r="CQ2807" s="717"/>
      <c r="CR2807" s="717"/>
      <c r="CS2807" s="717"/>
      <c r="CT2807" s="717"/>
      <c r="CU2807" s="717"/>
      <c r="CV2807" s="717"/>
      <c r="CW2807" s="717"/>
      <c r="CX2807" s="717"/>
      <c r="CY2807" s="717"/>
      <c r="CZ2807" s="717"/>
      <c r="DA2807" s="717"/>
      <c r="DB2807" s="717"/>
      <c r="DC2807" s="717"/>
      <c r="DD2807" s="717"/>
      <c r="DE2807" s="717"/>
      <c r="DF2807" s="717"/>
      <c r="DG2807" s="717"/>
      <c r="DH2807" s="717"/>
      <c r="DI2807" s="717"/>
      <c r="DJ2807" s="717"/>
      <c r="DM2807" s="711"/>
      <c r="DN2807" s="711"/>
      <c r="DO2807" s="711"/>
      <c r="DP2807" s="711"/>
      <c r="DQ2807" s="711"/>
    </row>
    <row r="2808" spans="13:121" s="709" customFormat="1" hidden="1">
      <c r="M2808" s="710"/>
      <c r="P2808" s="711"/>
      <c r="Q2808" s="712"/>
      <c r="U2808" s="711"/>
      <c r="V2808" s="711"/>
      <c r="W2808" s="711"/>
      <c r="X2808" s="711"/>
      <c r="Y2808" s="711"/>
      <c r="Z2808" s="711"/>
      <c r="AU2808" s="713"/>
      <c r="AW2808" s="712"/>
      <c r="BY2808" s="714"/>
      <c r="BZ2808" s="715"/>
      <c r="CA2808" s="716"/>
      <c r="CB2808" s="717"/>
      <c r="CC2808" s="717"/>
      <c r="CD2808" s="717"/>
      <c r="CE2808" s="717"/>
      <c r="CF2808" s="717"/>
      <c r="CG2808" s="717"/>
      <c r="CH2808" s="717"/>
      <c r="CI2808" s="717"/>
      <c r="CJ2808" s="717"/>
      <c r="CK2808" s="717"/>
      <c r="CL2808" s="717"/>
      <c r="CM2808" s="717"/>
      <c r="CN2808" s="717"/>
      <c r="CO2808" s="717"/>
      <c r="CP2808" s="717"/>
      <c r="CQ2808" s="717"/>
      <c r="CR2808" s="717"/>
      <c r="CS2808" s="717"/>
      <c r="CT2808" s="717"/>
      <c r="CU2808" s="717"/>
      <c r="CV2808" s="717"/>
      <c r="CW2808" s="717"/>
      <c r="CX2808" s="717"/>
      <c r="CY2808" s="717"/>
      <c r="CZ2808" s="717"/>
      <c r="DA2808" s="717"/>
      <c r="DB2808" s="717"/>
      <c r="DC2808" s="717"/>
      <c r="DD2808" s="717"/>
      <c r="DE2808" s="717"/>
      <c r="DF2808" s="717"/>
      <c r="DG2808" s="717"/>
      <c r="DH2808" s="717"/>
      <c r="DI2808" s="717"/>
      <c r="DJ2808" s="717"/>
      <c r="DM2808" s="711"/>
      <c r="DN2808" s="711"/>
      <c r="DO2808" s="711"/>
      <c r="DP2808" s="711"/>
      <c r="DQ2808" s="711"/>
    </row>
    <row r="2809" spans="13:121" s="709" customFormat="1" hidden="1">
      <c r="M2809" s="710"/>
      <c r="P2809" s="711"/>
      <c r="Q2809" s="712"/>
      <c r="U2809" s="711"/>
      <c r="V2809" s="711"/>
      <c r="W2809" s="711"/>
      <c r="X2809" s="711"/>
      <c r="Y2809" s="711"/>
      <c r="Z2809" s="711"/>
      <c r="AU2809" s="713"/>
      <c r="AW2809" s="712"/>
      <c r="BY2809" s="714"/>
      <c r="BZ2809" s="715"/>
      <c r="CA2809" s="716"/>
      <c r="CB2809" s="717"/>
      <c r="CC2809" s="717"/>
      <c r="CD2809" s="717"/>
      <c r="CE2809" s="717"/>
      <c r="CF2809" s="717"/>
      <c r="CG2809" s="717"/>
      <c r="CH2809" s="717"/>
      <c r="CI2809" s="717"/>
      <c r="CJ2809" s="717"/>
      <c r="CK2809" s="717"/>
      <c r="CL2809" s="717"/>
      <c r="CM2809" s="717"/>
      <c r="CN2809" s="717"/>
      <c r="CO2809" s="717"/>
      <c r="CP2809" s="717"/>
      <c r="CQ2809" s="717"/>
      <c r="CR2809" s="717"/>
      <c r="CS2809" s="717"/>
      <c r="CT2809" s="717"/>
      <c r="CU2809" s="717"/>
      <c r="CV2809" s="717"/>
      <c r="CW2809" s="717"/>
      <c r="CX2809" s="717"/>
      <c r="CY2809" s="717"/>
      <c r="CZ2809" s="717"/>
      <c r="DA2809" s="717"/>
      <c r="DB2809" s="717"/>
      <c r="DC2809" s="717"/>
      <c r="DD2809" s="717"/>
      <c r="DE2809" s="717"/>
      <c r="DF2809" s="717"/>
      <c r="DG2809" s="717"/>
      <c r="DH2809" s="717"/>
      <c r="DI2809" s="717"/>
      <c r="DJ2809" s="717"/>
      <c r="DM2809" s="711"/>
      <c r="DN2809" s="711"/>
      <c r="DO2809" s="711"/>
      <c r="DP2809" s="711"/>
      <c r="DQ2809" s="711"/>
    </row>
    <row r="2810" spans="13:121" s="709" customFormat="1" hidden="1">
      <c r="M2810" s="710"/>
      <c r="P2810" s="711"/>
      <c r="Q2810" s="712"/>
      <c r="U2810" s="711"/>
      <c r="V2810" s="711"/>
      <c r="W2810" s="711"/>
      <c r="X2810" s="711"/>
      <c r="Y2810" s="711"/>
      <c r="Z2810" s="711"/>
      <c r="AU2810" s="713"/>
      <c r="AW2810" s="712"/>
      <c r="BY2810" s="714"/>
      <c r="BZ2810" s="715"/>
      <c r="CA2810" s="716"/>
      <c r="CB2810" s="717"/>
      <c r="CC2810" s="717"/>
      <c r="CD2810" s="717"/>
      <c r="CE2810" s="717"/>
      <c r="CF2810" s="717"/>
      <c r="CG2810" s="717"/>
      <c r="CH2810" s="717"/>
      <c r="CI2810" s="717"/>
      <c r="CJ2810" s="717"/>
      <c r="CK2810" s="717"/>
      <c r="CL2810" s="717"/>
      <c r="CM2810" s="717"/>
      <c r="CN2810" s="717"/>
      <c r="CO2810" s="717"/>
      <c r="CP2810" s="717"/>
      <c r="CQ2810" s="717"/>
      <c r="CR2810" s="717"/>
      <c r="CS2810" s="717"/>
      <c r="CT2810" s="717"/>
      <c r="CU2810" s="717"/>
      <c r="CV2810" s="717"/>
      <c r="CW2810" s="717"/>
      <c r="CX2810" s="717"/>
      <c r="CY2810" s="717"/>
      <c r="CZ2810" s="717"/>
      <c r="DA2810" s="717"/>
      <c r="DB2810" s="717"/>
      <c r="DC2810" s="717"/>
      <c r="DD2810" s="717"/>
      <c r="DE2810" s="717"/>
      <c r="DF2810" s="717"/>
      <c r="DG2810" s="717"/>
      <c r="DH2810" s="717"/>
      <c r="DI2810" s="717"/>
      <c r="DJ2810" s="717"/>
      <c r="DM2810" s="711"/>
      <c r="DN2810" s="711"/>
      <c r="DO2810" s="711"/>
      <c r="DP2810" s="711"/>
      <c r="DQ2810" s="711"/>
    </row>
    <row r="2811" spans="13:121" s="709" customFormat="1" hidden="1">
      <c r="M2811" s="710"/>
      <c r="P2811" s="711"/>
      <c r="Q2811" s="712"/>
      <c r="U2811" s="711"/>
      <c r="V2811" s="711"/>
      <c r="W2811" s="711"/>
      <c r="X2811" s="711"/>
      <c r="Y2811" s="711"/>
      <c r="Z2811" s="711"/>
      <c r="AU2811" s="713"/>
      <c r="AW2811" s="712"/>
      <c r="BY2811" s="714"/>
      <c r="BZ2811" s="715"/>
      <c r="CA2811" s="716"/>
      <c r="CB2811" s="717"/>
      <c r="CC2811" s="717"/>
      <c r="CD2811" s="717"/>
      <c r="CE2811" s="717"/>
      <c r="CF2811" s="717"/>
      <c r="CG2811" s="717"/>
      <c r="CH2811" s="717"/>
      <c r="CI2811" s="717"/>
      <c r="CJ2811" s="717"/>
      <c r="CK2811" s="717"/>
      <c r="CL2811" s="717"/>
      <c r="CM2811" s="717"/>
      <c r="CN2811" s="717"/>
      <c r="CO2811" s="717"/>
      <c r="CP2811" s="717"/>
      <c r="CQ2811" s="717"/>
      <c r="CR2811" s="717"/>
      <c r="CS2811" s="717"/>
      <c r="CT2811" s="717"/>
      <c r="CU2811" s="717"/>
      <c r="CV2811" s="717"/>
      <c r="CW2811" s="717"/>
      <c r="CX2811" s="717"/>
      <c r="CY2811" s="717"/>
      <c r="CZ2811" s="717"/>
      <c r="DA2811" s="717"/>
      <c r="DB2811" s="717"/>
      <c r="DC2811" s="717"/>
      <c r="DD2811" s="717"/>
      <c r="DE2811" s="717"/>
      <c r="DF2811" s="717"/>
      <c r="DG2811" s="717"/>
      <c r="DH2811" s="717"/>
      <c r="DI2811" s="717"/>
      <c r="DJ2811" s="717"/>
      <c r="DM2811" s="711"/>
      <c r="DN2811" s="711"/>
      <c r="DO2811" s="711"/>
      <c r="DP2811" s="711"/>
      <c r="DQ2811" s="711"/>
    </row>
    <row r="2812" spans="13:121" s="709" customFormat="1" hidden="1">
      <c r="M2812" s="710"/>
      <c r="P2812" s="711"/>
      <c r="Q2812" s="712"/>
      <c r="U2812" s="711"/>
      <c r="V2812" s="711"/>
      <c r="W2812" s="711"/>
      <c r="X2812" s="711"/>
      <c r="Y2812" s="711"/>
      <c r="Z2812" s="711"/>
      <c r="AU2812" s="713"/>
      <c r="AW2812" s="712"/>
      <c r="BY2812" s="714"/>
      <c r="BZ2812" s="715"/>
      <c r="CA2812" s="716"/>
      <c r="CB2812" s="717"/>
      <c r="CC2812" s="717"/>
      <c r="CD2812" s="717"/>
      <c r="CE2812" s="717"/>
      <c r="CF2812" s="717"/>
      <c r="CG2812" s="717"/>
      <c r="CH2812" s="717"/>
      <c r="CI2812" s="717"/>
      <c r="CJ2812" s="717"/>
      <c r="CK2812" s="717"/>
      <c r="CL2812" s="717"/>
      <c r="CM2812" s="717"/>
      <c r="CN2812" s="717"/>
      <c r="CO2812" s="717"/>
      <c r="CP2812" s="717"/>
      <c r="CQ2812" s="717"/>
      <c r="CR2812" s="717"/>
      <c r="CS2812" s="717"/>
      <c r="CT2812" s="717"/>
      <c r="CU2812" s="717"/>
      <c r="CV2812" s="717"/>
      <c r="CW2812" s="717"/>
      <c r="CX2812" s="717"/>
      <c r="CY2812" s="717"/>
      <c r="CZ2812" s="717"/>
      <c r="DA2812" s="717"/>
      <c r="DB2812" s="717"/>
      <c r="DC2812" s="717"/>
      <c r="DD2812" s="717"/>
      <c r="DE2812" s="717"/>
      <c r="DF2812" s="717"/>
      <c r="DG2812" s="717"/>
      <c r="DH2812" s="717"/>
      <c r="DI2812" s="717"/>
      <c r="DJ2812" s="717"/>
      <c r="DM2812" s="711"/>
      <c r="DN2812" s="711"/>
      <c r="DO2812" s="711"/>
      <c r="DP2812" s="711"/>
      <c r="DQ2812" s="711"/>
    </row>
    <row r="2813" spans="13:121" s="709" customFormat="1" hidden="1">
      <c r="M2813" s="710"/>
      <c r="P2813" s="711"/>
      <c r="Q2813" s="712"/>
      <c r="U2813" s="711"/>
      <c r="V2813" s="711"/>
      <c r="W2813" s="711"/>
      <c r="X2813" s="711"/>
      <c r="Y2813" s="711"/>
      <c r="Z2813" s="711"/>
      <c r="AU2813" s="713"/>
      <c r="AW2813" s="712"/>
      <c r="BY2813" s="714"/>
      <c r="BZ2813" s="715"/>
      <c r="CA2813" s="716"/>
      <c r="CB2813" s="717"/>
      <c r="CC2813" s="717"/>
      <c r="CD2813" s="717"/>
      <c r="CE2813" s="717"/>
      <c r="CF2813" s="717"/>
      <c r="CG2813" s="717"/>
      <c r="CH2813" s="717"/>
      <c r="CI2813" s="717"/>
      <c r="CJ2813" s="717"/>
      <c r="CK2813" s="717"/>
      <c r="CL2813" s="717"/>
      <c r="CM2813" s="717"/>
      <c r="CN2813" s="717"/>
      <c r="CO2813" s="717"/>
      <c r="CP2813" s="717"/>
      <c r="CQ2813" s="717"/>
      <c r="CR2813" s="717"/>
      <c r="CS2813" s="717"/>
      <c r="CT2813" s="717"/>
      <c r="CU2813" s="717"/>
      <c r="CV2813" s="717"/>
      <c r="CW2813" s="717"/>
      <c r="CX2813" s="717"/>
      <c r="CY2813" s="717"/>
      <c r="CZ2813" s="717"/>
      <c r="DA2813" s="717"/>
      <c r="DB2813" s="717"/>
      <c r="DC2813" s="717"/>
      <c r="DD2813" s="717"/>
      <c r="DE2813" s="717"/>
      <c r="DF2813" s="717"/>
      <c r="DG2813" s="717"/>
      <c r="DH2813" s="717"/>
      <c r="DI2813" s="717"/>
      <c r="DJ2813" s="717"/>
      <c r="DM2813" s="711"/>
      <c r="DN2813" s="711"/>
      <c r="DO2813" s="711"/>
      <c r="DP2813" s="711"/>
      <c r="DQ2813" s="711"/>
    </row>
    <row r="2814" spans="13:121" s="709" customFormat="1" hidden="1">
      <c r="M2814" s="710"/>
      <c r="P2814" s="711"/>
      <c r="Q2814" s="712"/>
      <c r="U2814" s="711"/>
      <c r="V2814" s="711"/>
      <c r="W2814" s="711"/>
      <c r="X2814" s="711"/>
      <c r="Y2814" s="711"/>
      <c r="Z2814" s="711"/>
      <c r="AU2814" s="713"/>
      <c r="AW2814" s="712"/>
      <c r="BY2814" s="714"/>
      <c r="BZ2814" s="715"/>
      <c r="CA2814" s="716"/>
      <c r="CB2814" s="717"/>
      <c r="CC2814" s="717"/>
      <c r="CD2814" s="717"/>
      <c r="CE2814" s="717"/>
      <c r="CF2814" s="717"/>
      <c r="CG2814" s="717"/>
      <c r="CH2814" s="717"/>
      <c r="CI2814" s="717"/>
      <c r="CJ2814" s="717"/>
      <c r="CK2814" s="717"/>
      <c r="CL2814" s="717"/>
      <c r="CM2814" s="717"/>
      <c r="CN2814" s="717"/>
      <c r="CO2814" s="717"/>
      <c r="CP2814" s="717"/>
      <c r="CQ2814" s="717"/>
      <c r="CR2814" s="717"/>
      <c r="CS2814" s="717"/>
      <c r="CT2814" s="717"/>
      <c r="CU2814" s="717"/>
      <c r="CV2814" s="717"/>
      <c r="CW2814" s="717"/>
      <c r="CX2814" s="717"/>
      <c r="CY2814" s="717"/>
      <c r="CZ2814" s="717"/>
      <c r="DA2814" s="717"/>
      <c r="DB2814" s="717"/>
      <c r="DC2814" s="717"/>
      <c r="DD2814" s="717"/>
      <c r="DE2814" s="717"/>
      <c r="DF2814" s="717"/>
      <c r="DG2814" s="717"/>
      <c r="DH2814" s="717"/>
      <c r="DI2814" s="717"/>
      <c r="DJ2814" s="717"/>
      <c r="DM2814" s="711"/>
      <c r="DN2814" s="711"/>
      <c r="DO2814" s="711"/>
      <c r="DP2814" s="711"/>
      <c r="DQ2814" s="711"/>
    </row>
    <row r="2815" spans="13:121" s="709" customFormat="1" hidden="1">
      <c r="M2815" s="710"/>
      <c r="P2815" s="711"/>
      <c r="Q2815" s="712"/>
      <c r="U2815" s="711"/>
      <c r="V2815" s="711"/>
      <c r="W2815" s="711"/>
      <c r="X2815" s="711"/>
      <c r="Y2815" s="711"/>
      <c r="Z2815" s="711"/>
      <c r="AU2815" s="713"/>
      <c r="AW2815" s="712"/>
      <c r="BY2815" s="714"/>
      <c r="BZ2815" s="715"/>
      <c r="CA2815" s="716"/>
      <c r="CB2815" s="717"/>
      <c r="CC2815" s="717"/>
      <c r="CD2815" s="717"/>
      <c r="CE2815" s="717"/>
      <c r="CF2815" s="717"/>
      <c r="CG2815" s="717"/>
      <c r="CH2815" s="717"/>
      <c r="CI2815" s="717"/>
      <c r="CJ2815" s="717"/>
      <c r="CK2815" s="717"/>
      <c r="CL2815" s="717"/>
      <c r="CM2815" s="717"/>
      <c r="CN2815" s="717"/>
      <c r="CO2815" s="717"/>
      <c r="CP2815" s="717"/>
      <c r="CQ2815" s="717"/>
      <c r="CR2815" s="717"/>
      <c r="CS2815" s="717"/>
      <c r="CT2815" s="717"/>
      <c r="CU2815" s="717"/>
      <c r="CV2815" s="717"/>
      <c r="CW2815" s="717"/>
      <c r="CX2815" s="717"/>
      <c r="CY2815" s="717"/>
      <c r="CZ2815" s="717"/>
      <c r="DA2815" s="717"/>
      <c r="DB2815" s="717"/>
      <c r="DC2815" s="717"/>
      <c r="DD2815" s="717"/>
      <c r="DE2815" s="717"/>
      <c r="DF2815" s="717"/>
      <c r="DG2815" s="717"/>
      <c r="DH2815" s="717"/>
      <c r="DI2815" s="717"/>
      <c r="DJ2815" s="717"/>
      <c r="DM2815" s="711"/>
      <c r="DN2815" s="711"/>
      <c r="DO2815" s="711"/>
      <c r="DP2815" s="711"/>
      <c r="DQ2815" s="711"/>
    </row>
    <row r="2816" spans="13:121" s="709" customFormat="1" hidden="1">
      <c r="M2816" s="710"/>
      <c r="P2816" s="711"/>
      <c r="Q2816" s="712"/>
      <c r="U2816" s="711"/>
      <c r="V2816" s="711"/>
      <c r="W2816" s="711"/>
      <c r="X2816" s="711"/>
      <c r="Y2816" s="711"/>
      <c r="Z2816" s="711"/>
      <c r="AU2816" s="713"/>
      <c r="AW2816" s="712"/>
      <c r="BY2816" s="714"/>
      <c r="BZ2816" s="715"/>
      <c r="CA2816" s="716"/>
      <c r="CB2816" s="717"/>
      <c r="CC2816" s="717"/>
      <c r="CD2816" s="717"/>
      <c r="CE2816" s="717"/>
      <c r="CF2816" s="717"/>
      <c r="CG2816" s="717"/>
      <c r="CH2816" s="717"/>
      <c r="CI2816" s="717"/>
      <c r="CJ2816" s="717"/>
      <c r="CK2816" s="717"/>
      <c r="CL2816" s="717"/>
      <c r="CM2816" s="717"/>
      <c r="CN2816" s="717"/>
      <c r="CO2816" s="717"/>
      <c r="CP2816" s="717"/>
      <c r="CQ2816" s="717"/>
      <c r="CR2816" s="717"/>
      <c r="CS2816" s="717"/>
      <c r="CT2816" s="717"/>
      <c r="CU2816" s="717"/>
      <c r="CV2816" s="717"/>
      <c r="CW2816" s="717"/>
      <c r="CX2816" s="717"/>
      <c r="CY2816" s="717"/>
      <c r="CZ2816" s="717"/>
      <c r="DA2816" s="717"/>
      <c r="DB2816" s="717"/>
      <c r="DC2816" s="717"/>
      <c r="DD2816" s="717"/>
      <c r="DE2816" s="717"/>
      <c r="DF2816" s="717"/>
      <c r="DG2816" s="717"/>
      <c r="DH2816" s="717"/>
      <c r="DI2816" s="717"/>
      <c r="DJ2816" s="717"/>
      <c r="DM2816" s="711"/>
      <c r="DN2816" s="711"/>
      <c r="DO2816" s="711"/>
      <c r="DP2816" s="711"/>
      <c r="DQ2816" s="711"/>
    </row>
    <row r="2817" spans="13:121" s="709" customFormat="1" hidden="1">
      <c r="M2817" s="710"/>
      <c r="P2817" s="711"/>
      <c r="Q2817" s="712"/>
      <c r="U2817" s="711"/>
      <c r="V2817" s="711"/>
      <c r="W2817" s="711"/>
      <c r="X2817" s="711"/>
      <c r="Y2817" s="711"/>
      <c r="Z2817" s="711"/>
      <c r="AU2817" s="713"/>
      <c r="AW2817" s="712"/>
      <c r="BY2817" s="714"/>
      <c r="BZ2817" s="715"/>
      <c r="CA2817" s="716"/>
      <c r="CB2817" s="717"/>
      <c r="CC2817" s="717"/>
      <c r="CD2817" s="717"/>
      <c r="CE2817" s="717"/>
      <c r="CF2817" s="717"/>
      <c r="CG2817" s="717"/>
      <c r="CH2817" s="717"/>
      <c r="CI2817" s="717"/>
      <c r="CJ2817" s="717"/>
      <c r="CK2817" s="717"/>
      <c r="CL2817" s="717"/>
      <c r="CM2817" s="717"/>
      <c r="CN2817" s="717"/>
      <c r="CO2817" s="717"/>
      <c r="CP2817" s="717"/>
      <c r="CQ2817" s="717"/>
      <c r="CR2817" s="717"/>
      <c r="CS2817" s="717"/>
      <c r="CT2817" s="717"/>
      <c r="CU2817" s="717"/>
      <c r="CV2817" s="717"/>
      <c r="CW2817" s="717"/>
      <c r="CX2817" s="717"/>
      <c r="CY2817" s="717"/>
      <c r="CZ2817" s="717"/>
      <c r="DA2817" s="717"/>
      <c r="DB2817" s="717"/>
      <c r="DC2817" s="717"/>
      <c r="DD2817" s="717"/>
      <c r="DE2817" s="717"/>
      <c r="DF2817" s="717"/>
      <c r="DG2817" s="717"/>
      <c r="DH2817" s="717"/>
      <c r="DI2817" s="717"/>
      <c r="DJ2817" s="717"/>
      <c r="DM2817" s="711"/>
      <c r="DN2817" s="711"/>
      <c r="DO2817" s="711"/>
      <c r="DP2817" s="711"/>
      <c r="DQ2817" s="711"/>
    </row>
    <row r="2818" spans="13:121" s="709" customFormat="1" hidden="1">
      <c r="M2818" s="710"/>
      <c r="P2818" s="711"/>
      <c r="Q2818" s="712"/>
      <c r="U2818" s="711"/>
      <c r="V2818" s="711"/>
      <c r="W2818" s="711"/>
      <c r="X2818" s="711"/>
      <c r="Y2818" s="711"/>
      <c r="Z2818" s="711"/>
      <c r="AU2818" s="713"/>
      <c r="AW2818" s="712"/>
      <c r="BY2818" s="714"/>
      <c r="BZ2818" s="715"/>
      <c r="CA2818" s="716"/>
      <c r="CB2818" s="717"/>
      <c r="CC2818" s="717"/>
      <c r="CD2818" s="717"/>
      <c r="CE2818" s="717"/>
      <c r="CF2818" s="717"/>
      <c r="CG2818" s="717"/>
      <c r="CH2818" s="717"/>
      <c r="CI2818" s="717"/>
      <c r="CJ2818" s="717"/>
      <c r="CK2818" s="717"/>
      <c r="CL2818" s="717"/>
      <c r="CM2818" s="717"/>
      <c r="CN2818" s="717"/>
      <c r="CO2818" s="717"/>
      <c r="CP2818" s="717"/>
      <c r="CQ2818" s="717"/>
      <c r="CR2818" s="717"/>
      <c r="CS2818" s="717"/>
      <c r="CT2818" s="717"/>
      <c r="CU2818" s="717"/>
      <c r="CV2818" s="717"/>
      <c r="CW2818" s="717"/>
      <c r="CX2818" s="717"/>
      <c r="CY2818" s="717"/>
      <c r="CZ2818" s="717"/>
      <c r="DA2818" s="717"/>
      <c r="DB2818" s="717"/>
      <c r="DC2818" s="717"/>
      <c r="DD2818" s="717"/>
      <c r="DE2818" s="717"/>
      <c r="DF2818" s="717"/>
      <c r="DG2818" s="717"/>
      <c r="DH2818" s="717"/>
      <c r="DI2818" s="717"/>
      <c r="DJ2818" s="717"/>
      <c r="DM2818" s="711"/>
      <c r="DN2818" s="711"/>
      <c r="DO2818" s="711"/>
      <c r="DP2818" s="711"/>
      <c r="DQ2818" s="711"/>
    </row>
    <row r="2819" spans="13:121" s="709" customFormat="1" hidden="1">
      <c r="M2819" s="710"/>
      <c r="P2819" s="711"/>
      <c r="Q2819" s="712"/>
      <c r="U2819" s="711"/>
      <c r="V2819" s="711"/>
      <c r="W2819" s="711"/>
      <c r="X2819" s="711"/>
      <c r="Y2819" s="711"/>
      <c r="Z2819" s="711"/>
      <c r="AU2819" s="713"/>
      <c r="AW2819" s="712"/>
      <c r="BY2819" s="714"/>
      <c r="BZ2819" s="715"/>
      <c r="CA2819" s="716"/>
      <c r="CB2819" s="717"/>
      <c r="CC2819" s="717"/>
      <c r="CD2819" s="717"/>
      <c r="CE2819" s="717"/>
      <c r="CF2819" s="717"/>
      <c r="CG2819" s="717"/>
      <c r="CH2819" s="717"/>
      <c r="CI2819" s="717"/>
      <c r="CJ2819" s="717"/>
      <c r="CK2819" s="717"/>
      <c r="CL2819" s="717"/>
      <c r="CM2819" s="717"/>
      <c r="CN2819" s="717"/>
      <c r="CO2819" s="717"/>
      <c r="CP2819" s="717"/>
      <c r="CQ2819" s="717"/>
      <c r="CR2819" s="717"/>
      <c r="CS2819" s="717"/>
      <c r="CT2819" s="717"/>
      <c r="CU2819" s="717"/>
      <c r="CV2819" s="717"/>
      <c r="CW2819" s="717"/>
      <c r="CX2819" s="717"/>
      <c r="CY2819" s="717"/>
      <c r="CZ2819" s="717"/>
      <c r="DA2819" s="717"/>
      <c r="DB2819" s="717"/>
      <c r="DC2819" s="717"/>
      <c r="DD2819" s="717"/>
      <c r="DE2819" s="717"/>
      <c r="DF2819" s="717"/>
      <c r="DG2819" s="717"/>
      <c r="DH2819" s="717"/>
      <c r="DI2819" s="717"/>
      <c r="DJ2819" s="717"/>
      <c r="DM2819" s="711"/>
      <c r="DN2819" s="711"/>
      <c r="DO2819" s="711"/>
      <c r="DP2819" s="711"/>
      <c r="DQ2819" s="711"/>
    </row>
    <row r="2820" spans="13:121" s="709" customFormat="1" hidden="1">
      <c r="M2820" s="710"/>
      <c r="P2820" s="711"/>
      <c r="Q2820" s="712"/>
      <c r="U2820" s="711"/>
      <c r="V2820" s="711"/>
      <c r="W2820" s="711"/>
      <c r="X2820" s="711"/>
      <c r="Y2820" s="711"/>
      <c r="Z2820" s="711"/>
      <c r="AU2820" s="713"/>
      <c r="AW2820" s="712"/>
      <c r="BY2820" s="714"/>
      <c r="BZ2820" s="715"/>
      <c r="CA2820" s="716"/>
      <c r="CB2820" s="717"/>
      <c r="CC2820" s="717"/>
      <c r="CD2820" s="717"/>
      <c r="CE2820" s="717"/>
      <c r="CF2820" s="717"/>
      <c r="CG2820" s="717"/>
      <c r="CH2820" s="717"/>
      <c r="CI2820" s="717"/>
      <c r="CJ2820" s="717"/>
      <c r="CK2820" s="717"/>
      <c r="CL2820" s="717"/>
      <c r="CM2820" s="717"/>
      <c r="CN2820" s="717"/>
      <c r="CO2820" s="717"/>
      <c r="CP2820" s="717"/>
      <c r="CQ2820" s="717"/>
      <c r="CR2820" s="717"/>
      <c r="CS2820" s="717"/>
      <c r="CT2820" s="717"/>
      <c r="CU2820" s="717"/>
      <c r="CV2820" s="717"/>
      <c r="CW2820" s="717"/>
      <c r="CX2820" s="717"/>
      <c r="CY2820" s="717"/>
      <c r="CZ2820" s="717"/>
      <c r="DA2820" s="717"/>
      <c r="DB2820" s="717"/>
      <c r="DC2820" s="717"/>
      <c r="DD2820" s="717"/>
      <c r="DE2820" s="717"/>
      <c r="DF2820" s="717"/>
      <c r="DG2820" s="717"/>
      <c r="DH2820" s="717"/>
      <c r="DI2820" s="717"/>
      <c r="DJ2820" s="717"/>
      <c r="DM2820" s="711"/>
      <c r="DN2820" s="711"/>
      <c r="DO2820" s="711"/>
      <c r="DP2820" s="711"/>
      <c r="DQ2820" s="711"/>
    </row>
    <row r="2821" spans="13:121" s="709" customFormat="1" hidden="1">
      <c r="M2821" s="710"/>
      <c r="P2821" s="711"/>
      <c r="Q2821" s="712"/>
      <c r="U2821" s="711"/>
      <c r="V2821" s="711"/>
      <c r="W2821" s="711"/>
      <c r="X2821" s="711"/>
      <c r="Y2821" s="711"/>
      <c r="Z2821" s="711"/>
      <c r="AU2821" s="713"/>
      <c r="AW2821" s="712"/>
      <c r="BY2821" s="714"/>
      <c r="BZ2821" s="715"/>
      <c r="CA2821" s="716"/>
      <c r="CB2821" s="717"/>
      <c r="CC2821" s="717"/>
      <c r="CD2821" s="717"/>
      <c r="CE2821" s="717"/>
      <c r="CF2821" s="717"/>
      <c r="CG2821" s="717"/>
      <c r="CH2821" s="717"/>
      <c r="CI2821" s="717"/>
      <c r="CJ2821" s="717"/>
      <c r="CK2821" s="717"/>
      <c r="CL2821" s="717"/>
      <c r="CM2821" s="717"/>
      <c r="CN2821" s="717"/>
      <c r="CO2821" s="717"/>
      <c r="CP2821" s="717"/>
      <c r="CQ2821" s="717"/>
      <c r="CR2821" s="717"/>
      <c r="CS2821" s="717"/>
      <c r="CT2821" s="717"/>
      <c r="CU2821" s="717"/>
      <c r="CV2821" s="717"/>
      <c r="CW2821" s="717"/>
      <c r="CX2821" s="717"/>
      <c r="CY2821" s="717"/>
      <c r="CZ2821" s="717"/>
      <c r="DA2821" s="717"/>
      <c r="DB2821" s="717"/>
      <c r="DC2821" s="717"/>
      <c r="DD2821" s="717"/>
      <c r="DE2821" s="717"/>
      <c r="DF2821" s="717"/>
      <c r="DG2821" s="717"/>
      <c r="DH2821" s="717"/>
      <c r="DI2821" s="717"/>
      <c r="DJ2821" s="717"/>
      <c r="DM2821" s="711"/>
      <c r="DN2821" s="711"/>
      <c r="DO2821" s="711"/>
      <c r="DP2821" s="711"/>
      <c r="DQ2821" s="711"/>
    </row>
    <row r="2822" spans="13:121" s="709" customFormat="1" hidden="1">
      <c r="M2822" s="710"/>
      <c r="P2822" s="711"/>
      <c r="Q2822" s="712"/>
      <c r="U2822" s="711"/>
      <c r="V2822" s="711"/>
      <c r="W2822" s="711"/>
      <c r="X2822" s="711"/>
      <c r="Y2822" s="711"/>
      <c r="Z2822" s="711"/>
      <c r="AU2822" s="713"/>
      <c r="AW2822" s="712"/>
      <c r="BY2822" s="714"/>
      <c r="BZ2822" s="715"/>
      <c r="CA2822" s="716"/>
      <c r="CB2822" s="717"/>
      <c r="CC2822" s="717"/>
      <c r="CD2822" s="717"/>
      <c r="CE2822" s="717"/>
      <c r="CF2822" s="717"/>
      <c r="CG2822" s="717"/>
      <c r="CH2822" s="717"/>
      <c r="CI2822" s="717"/>
      <c r="CJ2822" s="717"/>
      <c r="CK2822" s="717"/>
      <c r="CL2822" s="717"/>
      <c r="CM2822" s="717"/>
      <c r="CN2822" s="717"/>
      <c r="CO2822" s="717"/>
      <c r="CP2822" s="717"/>
      <c r="CQ2822" s="717"/>
      <c r="CR2822" s="717"/>
      <c r="CS2822" s="717"/>
      <c r="CT2822" s="717"/>
      <c r="CU2822" s="717"/>
      <c r="CV2822" s="717"/>
      <c r="CW2822" s="717"/>
      <c r="CX2822" s="717"/>
      <c r="CY2822" s="717"/>
      <c r="CZ2822" s="717"/>
      <c r="DA2822" s="717"/>
      <c r="DB2822" s="717"/>
      <c r="DC2822" s="717"/>
      <c r="DD2822" s="717"/>
      <c r="DE2822" s="717"/>
      <c r="DF2822" s="717"/>
      <c r="DG2822" s="717"/>
      <c r="DH2822" s="717"/>
      <c r="DI2822" s="717"/>
      <c r="DJ2822" s="717"/>
      <c r="DM2822" s="711"/>
      <c r="DN2822" s="711"/>
      <c r="DO2822" s="711"/>
      <c r="DP2822" s="711"/>
      <c r="DQ2822" s="711"/>
    </row>
    <row r="2823" spans="13:121" s="709" customFormat="1" hidden="1">
      <c r="M2823" s="710"/>
      <c r="P2823" s="711"/>
      <c r="Q2823" s="712"/>
      <c r="U2823" s="711"/>
      <c r="V2823" s="711"/>
      <c r="W2823" s="711"/>
      <c r="X2823" s="711"/>
      <c r="Y2823" s="711"/>
      <c r="Z2823" s="711"/>
      <c r="AU2823" s="713"/>
      <c r="AW2823" s="712"/>
      <c r="BY2823" s="714"/>
      <c r="BZ2823" s="715"/>
      <c r="CA2823" s="716"/>
      <c r="CB2823" s="717"/>
      <c r="CC2823" s="717"/>
      <c r="CD2823" s="717"/>
      <c r="CE2823" s="717"/>
      <c r="CF2823" s="717"/>
      <c r="CG2823" s="717"/>
      <c r="CH2823" s="717"/>
      <c r="CI2823" s="717"/>
      <c r="CJ2823" s="717"/>
      <c r="CK2823" s="717"/>
      <c r="CL2823" s="717"/>
      <c r="CM2823" s="717"/>
      <c r="CN2823" s="717"/>
      <c r="CO2823" s="717"/>
      <c r="CP2823" s="717"/>
      <c r="CQ2823" s="717"/>
      <c r="CR2823" s="717"/>
      <c r="CS2823" s="717"/>
      <c r="CT2823" s="717"/>
      <c r="CU2823" s="717"/>
      <c r="CV2823" s="717"/>
      <c r="CW2823" s="717"/>
      <c r="CX2823" s="717"/>
      <c r="CY2823" s="717"/>
      <c r="CZ2823" s="717"/>
      <c r="DA2823" s="717"/>
      <c r="DB2823" s="717"/>
      <c r="DC2823" s="717"/>
      <c r="DD2823" s="717"/>
      <c r="DE2823" s="717"/>
      <c r="DF2823" s="717"/>
      <c r="DG2823" s="717"/>
      <c r="DH2823" s="717"/>
      <c r="DI2823" s="717"/>
      <c r="DJ2823" s="717"/>
      <c r="DM2823" s="711"/>
      <c r="DN2823" s="711"/>
      <c r="DO2823" s="711"/>
      <c r="DP2823" s="711"/>
      <c r="DQ2823" s="711"/>
    </row>
    <row r="2824" spans="13:121" s="709" customFormat="1" hidden="1">
      <c r="M2824" s="710"/>
      <c r="P2824" s="711"/>
      <c r="Q2824" s="712"/>
      <c r="U2824" s="711"/>
      <c r="V2824" s="711"/>
      <c r="W2824" s="711"/>
      <c r="X2824" s="711"/>
      <c r="Y2824" s="711"/>
      <c r="Z2824" s="711"/>
      <c r="AU2824" s="713"/>
      <c r="AW2824" s="712"/>
      <c r="BY2824" s="714"/>
      <c r="BZ2824" s="715"/>
      <c r="CA2824" s="716"/>
      <c r="CB2824" s="717"/>
      <c r="CC2824" s="717"/>
      <c r="CD2824" s="717"/>
      <c r="CE2824" s="717"/>
      <c r="CF2824" s="717"/>
      <c r="CG2824" s="717"/>
      <c r="CH2824" s="717"/>
      <c r="CI2824" s="717"/>
      <c r="CJ2824" s="717"/>
      <c r="CK2824" s="717"/>
      <c r="CL2824" s="717"/>
      <c r="CM2824" s="717"/>
      <c r="CN2824" s="717"/>
      <c r="CO2824" s="717"/>
      <c r="CP2824" s="717"/>
      <c r="CQ2824" s="717"/>
      <c r="CR2824" s="717"/>
      <c r="CS2824" s="717"/>
      <c r="CT2824" s="717"/>
      <c r="CU2824" s="717"/>
      <c r="CV2824" s="717"/>
      <c r="CW2824" s="717"/>
      <c r="CX2824" s="717"/>
      <c r="CY2824" s="717"/>
      <c r="CZ2824" s="717"/>
      <c r="DA2824" s="717"/>
      <c r="DB2824" s="717"/>
      <c r="DC2824" s="717"/>
      <c r="DD2824" s="717"/>
      <c r="DE2824" s="717"/>
      <c r="DF2824" s="717"/>
      <c r="DG2824" s="717"/>
      <c r="DH2824" s="717"/>
      <c r="DI2824" s="717"/>
      <c r="DJ2824" s="717"/>
      <c r="DM2824" s="711"/>
      <c r="DN2824" s="711"/>
      <c r="DO2824" s="711"/>
      <c r="DP2824" s="711"/>
      <c r="DQ2824" s="711"/>
    </row>
    <row r="2825" spans="13:121" s="709" customFormat="1" hidden="1">
      <c r="M2825" s="710"/>
      <c r="P2825" s="711"/>
      <c r="Q2825" s="712"/>
      <c r="U2825" s="711"/>
      <c r="V2825" s="711"/>
      <c r="W2825" s="711"/>
      <c r="X2825" s="711"/>
      <c r="Y2825" s="711"/>
      <c r="Z2825" s="711"/>
      <c r="AU2825" s="713"/>
      <c r="AW2825" s="712"/>
      <c r="BY2825" s="714"/>
      <c r="BZ2825" s="715"/>
      <c r="CA2825" s="716"/>
      <c r="CB2825" s="717"/>
      <c r="CC2825" s="717"/>
      <c r="CD2825" s="717"/>
      <c r="CE2825" s="717"/>
      <c r="CF2825" s="717"/>
      <c r="CG2825" s="717"/>
      <c r="CH2825" s="717"/>
      <c r="CI2825" s="717"/>
      <c r="CJ2825" s="717"/>
      <c r="CK2825" s="717"/>
      <c r="CL2825" s="717"/>
      <c r="CM2825" s="717"/>
      <c r="CN2825" s="717"/>
      <c r="CO2825" s="717"/>
      <c r="CP2825" s="717"/>
      <c r="CQ2825" s="717"/>
      <c r="CR2825" s="717"/>
      <c r="CS2825" s="717"/>
      <c r="CT2825" s="717"/>
      <c r="CU2825" s="717"/>
      <c r="CV2825" s="717"/>
      <c r="CW2825" s="717"/>
      <c r="CX2825" s="717"/>
      <c r="CY2825" s="717"/>
      <c r="CZ2825" s="717"/>
      <c r="DA2825" s="717"/>
      <c r="DB2825" s="717"/>
      <c r="DC2825" s="717"/>
      <c r="DD2825" s="717"/>
      <c r="DE2825" s="717"/>
      <c r="DF2825" s="717"/>
      <c r="DG2825" s="717"/>
      <c r="DH2825" s="717"/>
      <c r="DI2825" s="717"/>
      <c r="DJ2825" s="717"/>
      <c r="DM2825" s="711"/>
      <c r="DN2825" s="711"/>
      <c r="DO2825" s="711"/>
      <c r="DP2825" s="711"/>
      <c r="DQ2825" s="711"/>
    </row>
    <row r="2826" spans="13:121" s="709" customFormat="1" hidden="1">
      <c r="M2826" s="710"/>
      <c r="P2826" s="711"/>
      <c r="Q2826" s="712"/>
      <c r="U2826" s="711"/>
      <c r="V2826" s="711"/>
      <c r="W2826" s="711"/>
      <c r="X2826" s="711"/>
      <c r="Y2826" s="711"/>
      <c r="Z2826" s="711"/>
      <c r="AU2826" s="713"/>
      <c r="AW2826" s="712"/>
      <c r="BY2826" s="714"/>
      <c r="BZ2826" s="715"/>
      <c r="CA2826" s="716"/>
      <c r="CB2826" s="717"/>
      <c r="CC2826" s="717"/>
      <c r="CD2826" s="717"/>
      <c r="CE2826" s="717"/>
      <c r="CF2826" s="717"/>
      <c r="CG2826" s="717"/>
      <c r="CH2826" s="717"/>
      <c r="CI2826" s="717"/>
      <c r="CJ2826" s="717"/>
      <c r="CK2826" s="717"/>
      <c r="CL2826" s="717"/>
      <c r="CM2826" s="717"/>
      <c r="CN2826" s="717"/>
      <c r="CO2826" s="717"/>
      <c r="CP2826" s="717"/>
      <c r="CQ2826" s="717"/>
      <c r="CR2826" s="717"/>
      <c r="CS2826" s="717"/>
      <c r="CT2826" s="717"/>
      <c r="CU2826" s="717"/>
      <c r="CV2826" s="717"/>
      <c r="CW2826" s="717"/>
      <c r="CX2826" s="717"/>
      <c r="CY2826" s="717"/>
      <c r="CZ2826" s="717"/>
      <c r="DA2826" s="717"/>
      <c r="DB2826" s="717"/>
      <c r="DC2826" s="717"/>
      <c r="DD2826" s="717"/>
      <c r="DE2826" s="717"/>
      <c r="DF2826" s="717"/>
      <c r="DG2826" s="717"/>
      <c r="DH2826" s="717"/>
      <c r="DI2826" s="717"/>
      <c r="DJ2826" s="717"/>
      <c r="DM2826" s="711"/>
      <c r="DN2826" s="711"/>
      <c r="DO2826" s="711"/>
      <c r="DP2826" s="711"/>
      <c r="DQ2826" s="711"/>
    </row>
    <row r="2827" spans="13:121" s="709" customFormat="1" hidden="1">
      <c r="M2827" s="710"/>
      <c r="P2827" s="711"/>
      <c r="Q2827" s="712"/>
      <c r="U2827" s="711"/>
      <c r="V2827" s="711"/>
      <c r="W2827" s="711"/>
      <c r="X2827" s="711"/>
      <c r="Y2827" s="711"/>
      <c r="Z2827" s="711"/>
      <c r="AU2827" s="713"/>
      <c r="AW2827" s="712"/>
      <c r="BY2827" s="714"/>
      <c r="BZ2827" s="715"/>
      <c r="CA2827" s="716"/>
      <c r="CB2827" s="717"/>
      <c r="CC2827" s="717"/>
      <c r="CD2827" s="717"/>
      <c r="CE2827" s="717"/>
      <c r="CF2827" s="717"/>
      <c r="CG2827" s="717"/>
      <c r="CH2827" s="717"/>
      <c r="CI2827" s="717"/>
      <c r="CJ2827" s="717"/>
      <c r="CK2827" s="717"/>
      <c r="CL2827" s="717"/>
      <c r="CM2827" s="717"/>
      <c r="CN2827" s="717"/>
      <c r="CO2827" s="717"/>
      <c r="CP2827" s="717"/>
      <c r="CQ2827" s="717"/>
      <c r="CR2827" s="717"/>
      <c r="CS2827" s="717"/>
      <c r="CT2827" s="717"/>
      <c r="CU2827" s="717"/>
      <c r="CV2827" s="717"/>
      <c r="CW2827" s="717"/>
      <c r="CX2827" s="717"/>
      <c r="CY2827" s="717"/>
      <c r="CZ2827" s="717"/>
      <c r="DA2827" s="717"/>
      <c r="DB2827" s="717"/>
      <c r="DC2827" s="717"/>
      <c r="DD2827" s="717"/>
      <c r="DE2827" s="717"/>
      <c r="DF2827" s="717"/>
      <c r="DG2827" s="717"/>
      <c r="DH2827" s="717"/>
      <c r="DI2827" s="717"/>
      <c r="DJ2827" s="717"/>
      <c r="DM2827" s="711"/>
      <c r="DN2827" s="711"/>
      <c r="DO2827" s="711"/>
      <c r="DP2827" s="711"/>
      <c r="DQ2827" s="711"/>
    </row>
    <row r="2828" spans="13:121" s="709" customFormat="1" hidden="1">
      <c r="M2828" s="710"/>
      <c r="P2828" s="711"/>
      <c r="Q2828" s="712"/>
      <c r="U2828" s="711"/>
      <c r="V2828" s="711"/>
      <c r="W2828" s="711"/>
      <c r="X2828" s="711"/>
      <c r="Y2828" s="711"/>
      <c r="Z2828" s="711"/>
      <c r="AU2828" s="713"/>
      <c r="AW2828" s="712"/>
      <c r="BY2828" s="714"/>
      <c r="BZ2828" s="715"/>
      <c r="CA2828" s="716"/>
      <c r="CB2828" s="717"/>
      <c r="CC2828" s="717"/>
      <c r="CD2828" s="717"/>
      <c r="CE2828" s="717"/>
      <c r="CF2828" s="717"/>
      <c r="CG2828" s="717"/>
      <c r="CH2828" s="717"/>
      <c r="CI2828" s="717"/>
      <c r="CJ2828" s="717"/>
      <c r="CK2828" s="717"/>
      <c r="CL2828" s="717"/>
      <c r="CM2828" s="717"/>
      <c r="CN2828" s="717"/>
      <c r="CO2828" s="717"/>
      <c r="CP2828" s="717"/>
      <c r="CQ2828" s="717"/>
      <c r="CR2828" s="717"/>
      <c r="CS2828" s="717"/>
      <c r="CT2828" s="717"/>
      <c r="CU2828" s="717"/>
      <c r="CV2828" s="717"/>
      <c r="CW2828" s="717"/>
      <c r="CX2828" s="717"/>
      <c r="CY2828" s="717"/>
      <c r="CZ2828" s="717"/>
      <c r="DA2828" s="717"/>
      <c r="DB2828" s="717"/>
      <c r="DC2828" s="717"/>
      <c r="DD2828" s="717"/>
      <c r="DE2828" s="717"/>
      <c r="DF2828" s="717"/>
      <c r="DG2828" s="717"/>
      <c r="DH2828" s="717"/>
      <c r="DI2828" s="717"/>
      <c r="DJ2828" s="717"/>
      <c r="DM2828" s="711"/>
      <c r="DN2828" s="711"/>
      <c r="DO2828" s="711"/>
      <c r="DP2828" s="711"/>
      <c r="DQ2828" s="711"/>
    </row>
    <row r="2829" spans="13:121" s="709" customFormat="1" hidden="1">
      <c r="M2829" s="710"/>
      <c r="P2829" s="711"/>
      <c r="Q2829" s="712"/>
      <c r="U2829" s="711"/>
      <c r="V2829" s="711"/>
      <c r="W2829" s="711"/>
      <c r="X2829" s="711"/>
      <c r="Y2829" s="711"/>
      <c r="Z2829" s="711"/>
      <c r="AU2829" s="713"/>
      <c r="AW2829" s="712"/>
      <c r="BY2829" s="714"/>
      <c r="BZ2829" s="715"/>
      <c r="CA2829" s="716"/>
      <c r="CB2829" s="717"/>
      <c r="CC2829" s="717"/>
      <c r="CD2829" s="717"/>
      <c r="CE2829" s="717"/>
      <c r="CF2829" s="717"/>
      <c r="CG2829" s="717"/>
      <c r="CH2829" s="717"/>
      <c r="CI2829" s="717"/>
      <c r="CJ2829" s="717"/>
      <c r="CK2829" s="717"/>
      <c r="CL2829" s="717"/>
      <c r="CM2829" s="717"/>
      <c r="CN2829" s="717"/>
      <c r="CO2829" s="717"/>
      <c r="CP2829" s="717"/>
      <c r="CQ2829" s="717"/>
      <c r="CR2829" s="717"/>
      <c r="CS2829" s="717"/>
      <c r="CT2829" s="717"/>
      <c r="CU2829" s="717"/>
      <c r="CV2829" s="717"/>
      <c r="CW2829" s="717"/>
      <c r="CX2829" s="717"/>
      <c r="CY2829" s="717"/>
      <c r="CZ2829" s="717"/>
      <c r="DA2829" s="717"/>
      <c r="DB2829" s="717"/>
      <c r="DC2829" s="717"/>
      <c r="DD2829" s="717"/>
      <c r="DE2829" s="717"/>
      <c r="DF2829" s="717"/>
      <c r="DG2829" s="717"/>
      <c r="DH2829" s="717"/>
      <c r="DI2829" s="717"/>
      <c r="DJ2829" s="717"/>
      <c r="DM2829" s="711"/>
      <c r="DN2829" s="711"/>
      <c r="DO2829" s="711"/>
      <c r="DP2829" s="711"/>
      <c r="DQ2829" s="711"/>
    </row>
    <row r="2830" spans="13:121" s="709" customFormat="1" hidden="1">
      <c r="M2830" s="710"/>
      <c r="P2830" s="711"/>
      <c r="Q2830" s="712"/>
      <c r="U2830" s="711"/>
      <c r="V2830" s="711"/>
      <c r="W2830" s="711"/>
      <c r="X2830" s="711"/>
      <c r="Y2830" s="711"/>
      <c r="Z2830" s="711"/>
      <c r="AU2830" s="713"/>
      <c r="AW2830" s="712"/>
      <c r="BY2830" s="714"/>
      <c r="BZ2830" s="715"/>
      <c r="CA2830" s="716"/>
      <c r="CB2830" s="717"/>
      <c r="CC2830" s="717"/>
      <c r="CD2830" s="717"/>
      <c r="CE2830" s="717"/>
      <c r="CF2830" s="717"/>
      <c r="CG2830" s="717"/>
      <c r="CH2830" s="717"/>
      <c r="CI2830" s="717"/>
      <c r="CJ2830" s="717"/>
      <c r="CK2830" s="717"/>
      <c r="CL2830" s="717"/>
      <c r="CM2830" s="717"/>
      <c r="CN2830" s="717"/>
      <c r="CO2830" s="717"/>
      <c r="CP2830" s="717"/>
      <c r="CQ2830" s="717"/>
      <c r="CR2830" s="717"/>
      <c r="CS2830" s="717"/>
      <c r="CT2830" s="717"/>
      <c r="CU2830" s="717"/>
      <c r="CV2830" s="717"/>
      <c r="CW2830" s="717"/>
      <c r="CX2830" s="717"/>
      <c r="CY2830" s="717"/>
      <c r="CZ2830" s="717"/>
      <c r="DA2830" s="717"/>
      <c r="DB2830" s="717"/>
      <c r="DC2830" s="717"/>
      <c r="DD2830" s="717"/>
      <c r="DE2830" s="717"/>
      <c r="DF2830" s="717"/>
      <c r="DG2830" s="717"/>
      <c r="DH2830" s="717"/>
      <c r="DI2830" s="717"/>
      <c r="DJ2830" s="717"/>
      <c r="DM2830" s="711"/>
      <c r="DN2830" s="711"/>
      <c r="DO2830" s="711"/>
      <c r="DP2830" s="711"/>
      <c r="DQ2830" s="711"/>
    </row>
    <row r="2831" spans="13:121" s="709" customFormat="1" hidden="1">
      <c r="M2831" s="710"/>
      <c r="P2831" s="711"/>
      <c r="Q2831" s="712"/>
      <c r="U2831" s="711"/>
      <c r="V2831" s="711"/>
      <c r="W2831" s="711"/>
      <c r="X2831" s="711"/>
      <c r="Y2831" s="711"/>
      <c r="Z2831" s="711"/>
      <c r="AU2831" s="713"/>
      <c r="AW2831" s="712"/>
      <c r="BY2831" s="714"/>
      <c r="BZ2831" s="715"/>
      <c r="CA2831" s="716"/>
      <c r="CB2831" s="717"/>
      <c r="CC2831" s="717"/>
      <c r="CD2831" s="717"/>
      <c r="CE2831" s="717"/>
      <c r="CF2831" s="717"/>
      <c r="CG2831" s="717"/>
      <c r="CH2831" s="717"/>
      <c r="CI2831" s="717"/>
      <c r="CJ2831" s="717"/>
      <c r="CK2831" s="717"/>
      <c r="CL2831" s="717"/>
      <c r="CM2831" s="717"/>
      <c r="CN2831" s="717"/>
      <c r="CO2831" s="717"/>
      <c r="CP2831" s="717"/>
      <c r="CQ2831" s="717"/>
      <c r="CR2831" s="717"/>
      <c r="CS2831" s="717"/>
      <c r="CT2831" s="717"/>
      <c r="CU2831" s="717"/>
      <c r="CV2831" s="717"/>
      <c r="CW2831" s="717"/>
      <c r="CX2831" s="717"/>
      <c r="CY2831" s="717"/>
      <c r="CZ2831" s="717"/>
      <c r="DA2831" s="717"/>
      <c r="DB2831" s="717"/>
      <c r="DC2831" s="717"/>
      <c r="DD2831" s="717"/>
      <c r="DE2831" s="717"/>
      <c r="DF2831" s="717"/>
      <c r="DG2831" s="717"/>
      <c r="DH2831" s="717"/>
      <c r="DI2831" s="717"/>
      <c r="DJ2831" s="717"/>
      <c r="DM2831" s="711"/>
      <c r="DN2831" s="711"/>
      <c r="DO2831" s="711"/>
      <c r="DP2831" s="711"/>
      <c r="DQ2831" s="711"/>
    </row>
    <row r="2832" spans="13:121" s="709" customFormat="1" hidden="1">
      <c r="M2832" s="710"/>
      <c r="P2832" s="711"/>
      <c r="Q2832" s="712"/>
      <c r="U2832" s="711"/>
      <c r="V2832" s="711"/>
      <c r="W2832" s="711"/>
      <c r="X2832" s="711"/>
      <c r="Y2832" s="711"/>
      <c r="Z2832" s="711"/>
      <c r="AU2832" s="713"/>
      <c r="AW2832" s="712"/>
      <c r="BY2832" s="714"/>
      <c r="BZ2832" s="715"/>
      <c r="CA2832" s="716"/>
      <c r="CB2832" s="717"/>
      <c r="CC2832" s="717"/>
      <c r="CD2832" s="717"/>
      <c r="CE2832" s="717"/>
      <c r="CF2832" s="717"/>
      <c r="CG2832" s="717"/>
      <c r="CH2832" s="717"/>
      <c r="CI2832" s="717"/>
      <c r="CJ2832" s="717"/>
      <c r="CK2832" s="717"/>
      <c r="CL2832" s="717"/>
      <c r="CM2832" s="717"/>
      <c r="CN2832" s="717"/>
      <c r="CO2832" s="717"/>
      <c r="CP2832" s="717"/>
      <c r="CQ2832" s="717"/>
      <c r="CR2832" s="717"/>
      <c r="CS2832" s="717"/>
      <c r="CT2832" s="717"/>
      <c r="CU2832" s="717"/>
      <c r="CV2832" s="717"/>
      <c r="CW2832" s="717"/>
      <c r="CX2832" s="717"/>
      <c r="CY2832" s="717"/>
      <c r="CZ2832" s="717"/>
      <c r="DA2832" s="717"/>
      <c r="DB2832" s="717"/>
      <c r="DC2832" s="717"/>
      <c r="DD2832" s="717"/>
      <c r="DE2832" s="717"/>
      <c r="DF2832" s="717"/>
      <c r="DG2832" s="717"/>
      <c r="DH2832" s="717"/>
      <c r="DI2832" s="717"/>
      <c r="DJ2832" s="717"/>
      <c r="DM2832" s="711"/>
      <c r="DN2832" s="711"/>
      <c r="DO2832" s="711"/>
      <c r="DP2832" s="711"/>
      <c r="DQ2832" s="711"/>
    </row>
    <row r="2833" spans="13:121" s="709" customFormat="1" hidden="1">
      <c r="M2833" s="710"/>
      <c r="P2833" s="711"/>
      <c r="Q2833" s="712"/>
      <c r="U2833" s="711"/>
      <c r="V2833" s="711"/>
      <c r="W2833" s="711"/>
      <c r="X2833" s="711"/>
      <c r="Y2833" s="711"/>
      <c r="Z2833" s="711"/>
      <c r="AU2833" s="713"/>
      <c r="AW2833" s="712"/>
      <c r="BY2833" s="714"/>
      <c r="BZ2833" s="715"/>
      <c r="CA2833" s="716"/>
      <c r="CB2833" s="717"/>
      <c r="CC2833" s="717"/>
      <c r="CD2833" s="717"/>
      <c r="CE2833" s="717"/>
      <c r="CF2833" s="717"/>
      <c r="CG2833" s="717"/>
      <c r="CH2833" s="717"/>
      <c r="CI2833" s="717"/>
      <c r="CJ2833" s="717"/>
      <c r="CK2833" s="717"/>
      <c r="CL2833" s="717"/>
      <c r="CM2833" s="717"/>
      <c r="CN2833" s="717"/>
      <c r="CO2833" s="717"/>
      <c r="CP2833" s="717"/>
      <c r="CQ2833" s="717"/>
      <c r="CR2833" s="717"/>
      <c r="CS2833" s="717"/>
      <c r="CT2833" s="717"/>
      <c r="CU2833" s="717"/>
      <c r="CV2833" s="717"/>
      <c r="CW2833" s="717"/>
      <c r="CX2833" s="717"/>
      <c r="CY2833" s="717"/>
      <c r="CZ2833" s="717"/>
      <c r="DA2833" s="717"/>
      <c r="DB2833" s="717"/>
      <c r="DC2833" s="717"/>
      <c r="DD2833" s="717"/>
      <c r="DE2833" s="717"/>
      <c r="DF2833" s="717"/>
      <c r="DG2833" s="717"/>
      <c r="DH2833" s="717"/>
      <c r="DI2833" s="717"/>
      <c r="DJ2833" s="717"/>
      <c r="DM2833" s="711"/>
      <c r="DN2833" s="711"/>
      <c r="DO2833" s="711"/>
      <c r="DP2833" s="711"/>
      <c r="DQ2833" s="711"/>
    </row>
    <row r="2834" spans="13:121" s="709" customFormat="1" hidden="1">
      <c r="M2834" s="710"/>
      <c r="P2834" s="711"/>
      <c r="Q2834" s="712"/>
      <c r="U2834" s="711"/>
      <c r="V2834" s="711"/>
      <c r="W2834" s="711"/>
      <c r="X2834" s="711"/>
      <c r="Y2834" s="711"/>
      <c r="Z2834" s="711"/>
      <c r="AU2834" s="713"/>
      <c r="AW2834" s="712"/>
      <c r="BY2834" s="714"/>
      <c r="BZ2834" s="715"/>
      <c r="CA2834" s="716"/>
      <c r="CB2834" s="717"/>
      <c r="CC2834" s="717"/>
      <c r="CD2834" s="717"/>
      <c r="CE2834" s="717"/>
      <c r="CF2834" s="717"/>
      <c r="CG2834" s="717"/>
      <c r="CH2834" s="717"/>
      <c r="CI2834" s="717"/>
      <c r="CJ2834" s="717"/>
      <c r="CK2834" s="717"/>
      <c r="CL2834" s="717"/>
      <c r="CM2834" s="717"/>
      <c r="CN2834" s="717"/>
      <c r="CO2834" s="717"/>
      <c r="CP2834" s="717"/>
      <c r="CQ2834" s="717"/>
      <c r="CR2834" s="717"/>
      <c r="CS2834" s="717"/>
      <c r="CT2834" s="717"/>
      <c r="CU2834" s="717"/>
      <c r="CV2834" s="717"/>
      <c r="CW2834" s="717"/>
      <c r="CX2834" s="717"/>
      <c r="CY2834" s="717"/>
      <c r="CZ2834" s="717"/>
      <c r="DA2834" s="717"/>
      <c r="DB2834" s="717"/>
      <c r="DC2834" s="717"/>
      <c r="DD2834" s="717"/>
      <c r="DE2834" s="717"/>
      <c r="DF2834" s="717"/>
      <c r="DG2834" s="717"/>
      <c r="DH2834" s="717"/>
      <c r="DI2834" s="717"/>
      <c r="DJ2834" s="717"/>
      <c r="DM2834" s="711"/>
      <c r="DN2834" s="711"/>
      <c r="DO2834" s="711"/>
      <c r="DP2834" s="711"/>
      <c r="DQ2834" s="711"/>
    </row>
    <row r="2835" spans="13:121" s="709" customFormat="1" hidden="1">
      <c r="M2835" s="710"/>
      <c r="P2835" s="711"/>
      <c r="Q2835" s="712"/>
      <c r="U2835" s="711"/>
      <c r="V2835" s="711"/>
      <c r="W2835" s="711"/>
      <c r="X2835" s="711"/>
      <c r="Y2835" s="711"/>
      <c r="Z2835" s="711"/>
      <c r="AU2835" s="713"/>
      <c r="AW2835" s="712"/>
      <c r="BY2835" s="714"/>
      <c r="BZ2835" s="715"/>
      <c r="CA2835" s="716"/>
      <c r="CB2835" s="717"/>
      <c r="CC2835" s="717"/>
      <c r="CD2835" s="717"/>
      <c r="CE2835" s="717"/>
      <c r="CF2835" s="717"/>
      <c r="CG2835" s="717"/>
      <c r="CH2835" s="717"/>
      <c r="CI2835" s="717"/>
      <c r="CJ2835" s="717"/>
      <c r="CK2835" s="717"/>
      <c r="CL2835" s="717"/>
      <c r="CM2835" s="717"/>
      <c r="CN2835" s="717"/>
      <c r="CO2835" s="717"/>
      <c r="CP2835" s="717"/>
      <c r="CQ2835" s="717"/>
      <c r="CR2835" s="717"/>
      <c r="CS2835" s="717"/>
      <c r="CT2835" s="717"/>
      <c r="CU2835" s="717"/>
      <c r="CV2835" s="717"/>
      <c r="CW2835" s="717"/>
      <c r="CX2835" s="717"/>
      <c r="CY2835" s="717"/>
      <c r="CZ2835" s="717"/>
      <c r="DA2835" s="717"/>
      <c r="DB2835" s="717"/>
      <c r="DC2835" s="717"/>
      <c r="DD2835" s="717"/>
      <c r="DE2835" s="717"/>
      <c r="DF2835" s="717"/>
      <c r="DG2835" s="717"/>
      <c r="DH2835" s="717"/>
      <c r="DI2835" s="717"/>
      <c r="DJ2835" s="717"/>
      <c r="DM2835" s="711"/>
      <c r="DN2835" s="711"/>
      <c r="DO2835" s="711"/>
      <c r="DP2835" s="711"/>
      <c r="DQ2835" s="711"/>
    </row>
    <row r="2836" spans="13:121" s="709" customFormat="1" hidden="1">
      <c r="M2836" s="710"/>
      <c r="P2836" s="711"/>
      <c r="Q2836" s="712"/>
      <c r="U2836" s="711"/>
      <c r="V2836" s="711"/>
      <c r="W2836" s="711"/>
      <c r="X2836" s="711"/>
      <c r="Y2836" s="711"/>
      <c r="Z2836" s="711"/>
      <c r="AU2836" s="713"/>
      <c r="AW2836" s="712"/>
      <c r="BY2836" s="714"/>
      <c r="BZ2836" s="715"/>
      <c r="CA2836" s="716"/>
      <c r="CB2836" s="717"/>
      <c r="CC2836" s="717"/>
      <c r="CD2836" s="717"/>
      <c r="CE2836" s="717"/>
      <c r="CF2836" s="717"/>
      <c r="CG2836" s="717"/>
      <c r="CH2836" s="717"/>
      <c r="CI2836" s="717"/>
      <c r="CJ2836" s="717"/>
      <c r="CK2836" s="717"/>
      <c r="CL2836" s="717"/>
      <c r="CM2836" s="717"/>
      <c r="CN2836" s="717"/>
      <c r="CO2836" s="717"/>
      <c r="CP2836" s="717"/>
      <c r="CQ2836" s="717"/>
      <c r="CR2836" s="717"/>
      <c r="CS2836" s="717"/>
      <c r="CT2836" s="717"/>
      <c r="CU2836" s="717"/>
      <c r="CV2836" s="717"/>
      <c r="CW2836" s="717"/>
      <c r="CX2836" s="717"/>
      <c r="CY2836" s="717"/>
      <c r="CZ2836" s="717"/>
      <c r="DA2836" s="717"/>
      <c r="DB2836" s="717"/>
      <c r="DC2836" s="717"/>
      <c r="DD2836" s="717"/>
      <c r="DE2836" s="717"/>
      <c r="DF2836" s="717"/>
      <c r="DG2836" s="717"/>
      <c r="DH2836" s="717"/>
      <c r="DI2836" s="717"/>
      <c r="DJ2836" s="717"/>
      <c r="DM2836" s="711"/>
      <c r="DN2836" s="711"/>
      <c r="DO2836" s="711"/>
      <c r="DP2836" s="711"/>
      <c r="DQ2836" s="711"/>
    </row>
    <row r="2837" spans="13:121" s="709" customFormat="1" hidden="1">
      <c r="M2837" s="710"/>
      <c r="P2837" s="711"/>
      <c r="Q2837" s="712"/>
      <c r="U2837" s="711"/>
      <c r="V2837" s="711"/>
      <c r="W2837" s="711"/>
      <c r="X2837" s="711"/>
      <c r="Y2837" s="711"/>
      <c r="Z2837" s="711"/>
      <c r="AU2837" s="713"/>
      <c r="AW2837" s="712"/>
      <c r="BY2837" s="714"/>
      <c r="BZ2837" s="715"/>
      <c r="CA2837" s="716"/>
      <c r="CB2837" s="717"/>
      <c r="CC2837" s="717"/>
      <c r="CD2837" s="717"/>
      <c r="CE2837" s="717"/>
      <c r="CF2837" s="717"/>
      <c r="CG2837" s="717"/>
      <c r="CH2837" s="717"/>
      <c r="CI2837" s="717"/>
      <c r="CJ2837" s="717"/>
      <c r="CK2837" s="717"/>
      <c r="CL2837" s="717"/>
      <c r="CM2837" s="717"/>
      <c r="CN2837" s="717"/>
      <c r="CO2837" s="717"/>
      <c r="CP2837" s="717"/>
      <c r="CQ2837" s="717"/>
      <c r="CR2837" s="717"/>
      <c r="CS2837" s="717"/>
      <c r="CT2837" s="717"/>
      <c r="CU2837" s="717"/>
      <c r="CV2837" s="717"/>
      <c r="CW2837" s="717"/>
      <c r="CX2837" s="717"/>
      <c r="CY2837" s="717"/>
      <c r="CZ2837" s="717"/>
      <c r="DA2837" s="717"/>
      <c r="DB2837" s="717"/>
      <c r="DC2837" s="717"/>
      <c r="DD2837" s="717"/>
      <c r="DE2837" s="717"/>
      <c r="DF2837" s="717"/>
      <c r="DG2837" s="717"/>
      <c r="DH2837" s="717"/>
      <c r="DI2837" s="717"/>
      <c r="DJ2837" s="717"/>
      <c r="DM2837" s="711"/>
      <c r="DN2837" s="711"/>
      <c r="DO2837" s="711"/>
      <c r="DP2837" s="711"/>
      <c r="DQ2837" s="711"/>
    </row>
    <row r="2838" spans="13:121" s="709" customFormat="1" hidden="1">
      <c r="M2838" s="710"/>
      <c r="P2838" s="711"/>
      <c r="Q2838" s="712"/>
      <c r="U2838" s="711"/>
      <c r="V2838" s="711"/>
      <c r="W2838" s="711"/>
      <c r="X2838" s="711"/>
      <c r="Y2838" s="711"/>
      <c r="Z2838" s="711"/>
      <c r="AU2838" s="713"/>
      <c r="AW2838" s="712"/>
      <c r="BY2838" s="714"/>
      <c r="BZ2838" s="715"/>
      <c r="CA2838" s="716"/>
      <c r="CB2838" s="717"/>
      <c r="CC2838" s="717"/>
      <c r="CD2838" s="717"/>
      <c r="CE2838" s="717"/>
      <c r="CF2838" s="717"/>
      <c r="CG2838" s="717"/>
      <c r="CH2838" s="717"/>
      <c r="CI2838" s="717"/>
      <c r="CJ2838" s="717"/>
      <c r="CK2838" s="717"/>
      <c r="CL2838" s="717"/>
      <c r="CM2838" s="717"/>
      <c r="CN2838" s="717"/>
      <c r="CO2838" s="717"/>
      <c r="CP2838" s="717"/>
      <c r="CQ2838" s="717"/>
      <c r="CR2838" s="717"/>
      <c r="CS2838" s="717"/>
      <c r="CT2838" s="717"/>
      <c r="CU2838" s="717"/>
      <c r="CV2838" s="717"/>
      <c r="CW2838" s="717"/>
      <c r="CX2838" s="717"/>
      <c r="CY2838" s="717"/>
      <c r="CZ2838" s="717"/>
      <c r="DA2838" s="717"/>
      <c r="DB2838" s="717"/>
      <c r="DC2838" s="717"/>
      <c r="DD2838" s="717"/>
      <c r="DE2838" s="717"/>
      <c r="DF2838" s="717"/>
      <c r="DG2838" s="717"/>
      <c r="DH2838" s="717"/>
      <c r="DI2838" s="717"/>
      <c r="DJ2838" s="717"/>
      <c r="DM2838" s="711"/>
      <c r="DN2838" s="711"/>
      <c r="DO2838" s="711"/>
      <c r="DP2838" s="711"/>
      <c r="DQ2838" s="711"/>
    </row>
    <row r="2839" spans="13:121" s="709" customFormat="1" hidden="1">
      <c r="M2839" s="710"/>
      <c r="P2839" s="711"/>
      <c r="Q2839" s="712"/>
      <c r="U2839" s="711"/>
      <c r="V2839" s="711"/>
      <c r="W2839" s="711"/>
      <c r="X2839" s="711"/>
      <c r="Y2839" s="711"/>
      <c r="Z2839" s="711"/>
      <c r="AU2839" s="713"/>
      <c r="AW2839" s="712"/>
      <c r="BY2839" s="714"/>
      <c r="BZ2839" s="715"/>
      <c r="CA2839" s="716"/>
      <c r="CB2839" s="717"/>
      <c r="CC2839" s="717"/>
      <c r="CD2839" s="717"/>
      <c r="CE2839" s="717"/>
      <c r="CF2839" s="717"/>
      <c r="CG2839" s="717"/>
      <c r="CH2839" s="717"/>
      <c r="CI2839" s="717"/>
      <c r="CJ2839" s="717"/>
      <c r="CK2839" s="717"/>
      <c r="CL2839" s="717"/>
      <c r="CM2839" s="717"/>
      <c r="CN2839" s="717"/>
      <c r="CO2839" s="717"/>
      <c r="CP2839" s="717"/>
      <c r="CQ2839" s="717"/>
      <c r="CR2839" s="717"/>
      <c r="CS2839" s="717"/>
      <c r="CT2839" s="717"/>
      <c r="CU2839" s="717"/>
      <c r="CV2839" s="717"/>
      <c r="CW2839" s="717"/>
      <c r="CX2839" s="717"/>
      <c r="CY2839" s="717"/>
      <c r="CZ2839" s="717"/>
      <c r="DA2839" s="717"/>
      <c r="DB2839" s="717"/>
      <c r="DC2839" s="717"/>
      <c r="DD2839" s="717"/>
      <c r="DE2839" s="717"/>
      <c r="DF2839" s="717"/>
      <c r="DG2839" s="717"/>
      <c r="DH2839" s="717"/>
      <c r="DI2839" s="717"/>
      <c r="DJ2839" s="717"/>
      <c r="DM2839" s="711"/>
      <c r="DN2839" s="711"/>
      <c r="DO2839" s="711"/>
      <c r="DP2839" s="711"/>
      <c r="DQ2839" s="711"/>
    </row>
    <row r="2840" spans="13:121" s="709" customFormat="1" hidden="1">
      <c r="M2840" s="710"/>
      <c r="P2840" s="711"/>
      <c r="Q2840" s="712"/>
      <c r="U2840" s="711"/>
      <c r="V2840" s="711"/>
      <c r="W2840" s="711"/>
      <c r="X2840" s="711"/>
      <c r="Y2840" s="711"/>
      <c r="Z2840" s="711"/>
      <c r="AU2840" s="713"/>
      <c r="AW2840" s="712"/>
      <c r="BY2840" s="714"/>
      <c r="BZ2840" s="715"/>
      <c r="CA2840" s="716"/>
      <c r="CB2840" s="717"/>
      <c r="CC2840" s="717"/>
      <c r="CD2840" s="717"/>
      <c r="CE2840" s="717"/>
      <c r="CF2840" s="717"/>
      <c r="CG2840" s="717"/>
      <c r="CH2840" s="717"/>
      <c r="CI2840" s="717"/>
      <c r="CJ2840" s="717"/>
      <c r="CK2840" s="717"/>
      <c r="CL2840" s="717"/>
      <c r="CM2840" s="717"/>
      <c r="CN2840" s="717"/>
      <c r="CO2840" s="717"/>
      <c r="CP2840" s="717"/>
      <c r="CQ2840" s="717"/>
      <c r="CR2840" s="717"/>
      <c r="CS2840" s="717"/>
      <c r="CT2840" s="717"/>
      <c r="CU2840" s="717"/>
      <c r="CV2840" s="717"/>
      <c r="CW2840" s="717"/>
      <c r="CX2840" s="717"/>
      <c r="CY2840" s="717"/>
      <c r="CZ2840" s="717"/>
      <c r="DA2840" s="717"/>
      <c r="DB2840" s="717"/>
      <c r="DC2840" s="717"/>
      <c r="DD2840" s="717"/>
      <c r="DE2840" s="717"/>
      <c r="DF2840" s="717"/>
      <c r="DG2840" s="717"/>
      <c r="DH2840" s="717"/>
      <c r="DI2840" s="717"/>
      <c r="DJ2840" s="717"/>
      <c r="DM2840" s="711"/>
      <c r="DN2840" s="711"/>
      <c r="DO2840" s="711"/>
      <c r="DP2840" s="711"/>
      <c r="DQ2840" s="711"/>
    </row>
    <row r="2841" spans="13:121" s="709" customFormat="1" hidden="1">
      <c r="M2841" s="710"/>
      <c r="P2841" s="711"/>
      <c r="Q2841" s="712"/>
      <c r="U2841" s="711"/>
      <c r="V2841" s="711"/>
      <c r="W2841" s="711"/>
      <c r="X2841" s="711"/>
      <c r="Y2841" s="711"/>
      <c r="Z2841" s="711"/>
      <c r="AU2841" s="713"/>
      <c r="AW2841" s="712"/>
      <c r="BY2841" s="714"/>
      <c r="BZ2841" s="715"/>
      <c r="CA2841" s="716"/>
      <c r="CB2841" s="717"/>
      <c r="CC2841" s="717"/>
      <c r="CD2841" s="717"/>
      <c r="CE2841" s="717"/>
      <c r="CF2841" s="717"/>
      <c r="CG2841" s="717"/>
      <c r="CH2841" s="717"/>
      <c r="CI2841" s="717"/>
      <c r="CJ2841" s="717"/>
      <c r="CK2841" s="717"/>
      <c r="CL2841" s="717"/>
      <c r="CM2841" s="717"/>
      <c r="CN2841" s="717"/>
      <c r="CO2841" s="717"/>
      <c r="CP2841" s="717"/>
      <c r="CQ2841" s="717"/>
      <c r="CR2841" s="717"/>
      <c r="CS2841" s="717"/>
      <c r="CT2841" s="717"/>
      <c r="CU2841" s="717"/>
      <c r="CV2841" s="717"/>
      <c r="CW2841" s="717"/>
      <c r="CX2841" s="717"/>
      <c r="CY2841" s="717"/>
      <c r="CZ2841" s="717"/>
      <c r="DA2841" s="717"/>
      <c r="DB2841" s="717"/>
      <c r="DC2841" s="717"/>
      <c r="DD2841" s="717"/>
      <c r="DE2841" s="717"/>
      <c r="DF2841" s="717"/>
      <c r="DG2841" s="717"/>
      <c r="DH2841" s="717"/>
      <c r="DI2841" s="717"/>
      <c r="DJ2841" s="717"/>
      <c r="DM2841" s="711"/>
      <c r="DN2841" s="711"/>
      <c r="DO2841" s="711"/>
      <c r="DP2841" s="711"/>
      <c r="DQ2841" s="711"/>
    </row>
    <row r="2842" spans="13:121" s="709" customFormat="1" hidden="1">
      <c r="M2842" s="710"/>
      <c r="P2842" s="711"/>
      <c r="Q2842" s="712"/>
      <c r="U2842" s="711"/>
      <c r="V2842" s="711"/>
      <c r="W2842" s="711"/>
      <c r="X2842" s="711"/>
      <c r="Y2842" s="711"/>
      <c r="Z2842" s="711"/>
      <c r="AU2842" s="713"/>
      <c r="AW2842" s="712"/>
      <c r="BY2842" s="714"/>
      <c r="BZ2842" s="715"/>
      <c r="CA2842" s="716"/>
      <c r="CB2842" s="717"/>
      <c r="CC2842" s="717"/>
      <c r="CD2842" s="717"/>
      <c r="CE2842" s="717"/>
      <c r="CF2842" s="717"/>
      <c r="CG2842" s="717"/>
      <c r="CH2842" s="717"/>
      <c r="CI2842" s="717"/>
      <c r="CJ2842" s="717"/>
      <c r="CK2842" s="717"/>
      <c r="CL2842" s="717"/>
      <c r="CM2842" s="717"/>
      <c r="CN2842" s="717"/>
      <c r="CO2842" s="717"/>
      <c r="CP2842" s="717"/>
      <c r="CQ2842" s="717"/>
      <c r="CR2842" s="717"/>
      <c r="CS2842" s="717"/>
      <c r="CT2842" s="717"/>
      <c r="CU2842" s="717"/>
      <c r="CV2842" s="717"/>
      <c r="CW2842" s="717"/>
      <c r="CX2842" s="717"/>
      <c r="CY2842" s="717"/>
      <c r="CZ2842" s="717"/>
      <c r="DA2842" s="717"/>
      <c r="DB2842" s="717"/>
      <c r="DC2842" s="717"/>
      <c r="DD2842" s="717"/>
      <c r="DE2842" s="717"/>
      <c r="DF2842" s="717"/>
      <c r="DG2842" s="717"/>
      <c r="DH2842" s="717"/>
      <c r="DI2842" s="717"/>
      <c r="DJ2842" s="717"/>
      <c r="DM2842" s="711"/>
      <c r="DN2842" s="711"/>
      <c r="DO2842" s="711"/>
      <c r="DP2842" s="711"/>
      <c r="DQ2842" s="711"/>
    </row>
    <row r="2843" spans="13:121" s="709" customFormat="1" hidden="1">
      <c r="M2843" s="710"/>
      <c r="P2843" s="711"/>
      <c r="Q2843" s="712"/>
      <c r="U2843" s="711"/>
      <c r="V2843" s="711"/>
      <c r="W2843" s="711"/>
      <c r="X2843" s="711"/>
      <c r="Y2843" s="711"/>
      <c r="Z2843" s="711"/>
      <c r="AU2843" s="713"/>
      <c r="AW2843" s="712"/>
      <c r="BY2843" s="714"/>
      <c r="BZ2843" s="715"/>
      <c r="CA2843" s="716"/>
      <c r="CB2843" s="717"/>
      <c r="CC2843" s="717"/>
      <c r="CD2843" s="717"/>
      <c r="CE2843" s="717"/>
      <c r="CF2843" s="717"/>
      <c r="CG2843" s="717"/>
      <c r="CH2843" s="717"/>
      <c r="CI2843" s="717"/>
      <c r="CJ2843" s="717"/>
      <c r="CK2843" s="717"/>
      <c r="CL2843" s="717"/>
      <c r="CM2843" s="717"/>
      <c r="CN2843" s="717"/>
      <c r="CO2843" s="717"/>
      <c r="CP2843" s="717"/>
      <c r="CQ2843" s="717"/>
      <c r="CR2843" s="717"/>
      <c r="CS2843" s="717"/>
      <c r="CT2843" s="717"/>
      <c r="CU2843" s="717"/>
      <c r="CV2843" s="717"/>
      <c r="CW2843" s="717"/>
      <c r="CX2843" s="717"/>
      <c r="CY2843" s="717"/>
      <c r="CZ2843" s="717"/>
      <c r="DA2843" s="717"/>
      <c r="DB2843" s="717"/>
      <c r="DC2843" s="717"/>
      <c r="DD2843" s="717"/>
      <c r="DE2843" s="717"/>
      <c r="DF2843" s="717"/>
      <c r="DG2843" s="717"/>
      <c r="DH2843" s="717"/>
      <c r="DI2843" s="717"/>
      <c r="DJ2843" s="717"/>
      <c r="DM2843" s="711"/>
      <c r="DN2843" s="711"/>
      <c r="DO2843" s="711"/>
      <c r="DP2843" s="711"/>
      <c r="DQ2843" s="711"/>
    </row>
    <row r="2844" spans="13:121" s="709" customFormat="1" hidden="1">
      <c r="M2844" s="710"/>
      <c r="P2844" s="711"/>
      <c r="Q2844" s="712"/>
      <c r="U2844" s="711"/>
      <c r="V2844" s="711"/>
      <c r="W2844" s="711"/>
      <c r="X2844" s="711"/>
      <c r="Y2844" s="711"/>
      <c r="Z2844" s="711"/>
      <c r="AU2844" s="713"/>
      <c r="AW2844" s="712"/>
      <c r="BY2844" s="714"/>
      <c r="BZ2844" s="715"/>
      <c r="CA2844" s="716"/>
      <c r="CB2844" s="717"/>
      <c r="CC2844" s="717"/>
      <c r="CD2844" s="717"/>
      <c r="CE2844" s="717"/>
      <c r="CF2844" s="717"/>
      <c r="CG2844" s="717"/>
      <c r="CH2844" s="717"/>
      <c r="CI2844" s="717"/>
      <c r="CJ2844" s="717"/>
      <c r="CK2844" s="717"/>
      <c r="CL2844" s="717"/>
      <c r="CM2844" s="717"/>
      <c r="CN2844" s="717"/>
      <c r="CO2844" s="717"/>
      <c r="CP2844" s="717"/>
      <c r="CQ2844" s="717"/>
      <c r="CR2844" s="717"/>
      <c r="CS2844" s="717"/>
      <c r="CT2844" s="717"/>
      <c r="CU2844" s="717"/>
      <c r="CV2844" s="717"/>
      <c r="CW2844" s="717"/>
      <c r="CX2844" s="717"/>
      <c r="CY2844" s="717"/>
      <c r="CZ2844" s="717"/>
      <c r="DA2844" s="717"/>
      <c r="DB2844" s="717"/>
      <c r="DC2844" s="717"/>
      <c r="DD2844" s="717"/>
      <c r="DE2844" s="717"/>
      <c r="DF2844" s="717"/>
      <c r="DG2844" s="717"/>
      <c r="DH2844" s="717"/>
      <c r="DI2844" s="717"/>
      <c r="DJ2844" s="717"/>
      <c r="DM2844" s="711"/>
      <c r="DN2844" s="711"/>
      <c r="DO2844" s="711"/>
      <c r="DP2844" s="711"/>
      <c r="DQ2844" s="711"/>
    </row>
    <row r="2845" spans="13:121" s="709" customFormat="1" hidden="1">
      <c r="M2845" s="710"/>
      <c r="P2845" s="711"/>
      <c r="Q2845" s="712"/>
      <c r="U2845" s="711"/>
      <c r="V2845" s="711"/>
      <c r="W2845" s="711"/>
      <c r="X2845" s="711"/>
      <c r="Y2845" s="711"/>
      <c r="Z2845" s="711"/>
      <c r="AU2845" s="713"/>
      <c r="AW2845" s="712"/>
      <c r="BY2845" s="714"/>
      <c r="BZ2845" s="715"/>
      <c r="CA2845" s="716"/>
      <c r="CB2845" s="717"/>
      <c r="CC2845" s="717"/>
      <c r="CD2845" s="717"/>
      <c r="CE2845" s="717"/>
      <c r="CF2845" s="717"/>
      <c r="CG2845" s="717"/>
      <c r="CH2845" s="717"/>
      <c r="CI2845" s="717"/>
      <c r="CJ2845" s="717"/>
      <c r="CK2845" s="717"/>
      <c r="CL2845" s="717"/>
      <c r="CM2845" s="717"/>
      <c r="CN2845" s="717"/>
      <c r="CO2845" s="717"/>
      <c r="CP2845" s="717"/>
      <c r="CQ2845" s="717"/>
      <c r="CR2845" s="717"/>
      <c r="CS2845" s="717"/>
      <c r="CT2845" s="717"/>
      <c r="CU2845" s="717"/>
      <c r="CV2845" s="717"/>
      <c r="CW2845" s="717"/>
      <c r="CX2845" s="717"/>
      <c r="CY2845" s="717"/>
      <c r="CZ2845" s="717"/>
      <c r="DA2845" s="717"/>
      <c r="DB2845" s="717"/>
      <c r="DC2845" s="717"/>
      <c r="DD2845" s="717"/>
      <c r="DE2845" s="717"/>
      <c r="DF2845" s="717"/>
      <c r="DG2845" s="717"/>
      <c r="DH2845" s="717"/>
      <c r="DI2845" s="717"/>
      <c r="DJ2845" s="717"/>
      <c r="DM2845" s="711"/>
      <c r="DN2845" s="711"/>
      <c r="DO2845" s="711"/>
      <c r="DP2845" s="711"/>
      <c r="DQ2845" s="711"/>
    </row>
    <row r="2846" spans="13:121" s="709" customFormat="1" hidden="1">
      <c r="M2846" s="710"/>
      <c r="P2846" s="711"/>
      <c r="Q2846" s="712"/>
      <c r="U2846" s="711"/>
      <c r="V2846" s="711"/>
      <c r="W2846" s="711"/>
      <c r="X2846" s="711"/>
      <c r="Y2846" s="711"/>
      <c r="Z2846" s="711"/>
      <c r="AU2846" s="713"/>
      <c r="AW2846" s="712"/>
      <c r="BY2846" s="714"/>
      <c r="BZ2846" s="715"/>
      <c r="CA2846" s="716"/>
      <c r="CB2846" s="717"/>
      <c r="CC2846" s="717"/>
      <c r="CD2846" s="717"/>
      <c r="CE2846" s="717"/>
      <c r="CF2846" s="717"/>
      <c r="CG2846" s="717"/>
      <c r="CH2846" s="717"/>
      <c r="CI2846" s="717"/>
      <c r="CJ2846" s="717"/>
      <c r="CK2846" s="717"/>
      <c r="CL2846" s="717"/>
      <c r="CM2846" s="717"/>
      <c r="CN2846" s="717"/>
      <c r="CO2846" s="717"/>
      <c r="CP2846" s="717"/>
      <c r="CQ2846" s="717"/>
      <c r="CR2846" s="717"/>
      <c r="CS2846" s="717"/>
      <c r="CT2846" s="717"/>
      <c r="CU2846" s="717"/>
      <c r="CV2846" s="717"/>
      <c r="CW2846" s="717"/>
      <c r="CX2846" s="717"/>
      <c r="CY2846" s="717"/>
      <c r="CZ2846" s="717"/>
      <c r="DA2846" s="717"/>
      <c r="DB2846" s="717"/>
      <c r="DC2846" s="717"/>
      <c r="DD2846" s="717"/>
      <c r="DE2846" s="717"/>
      <c r="DF2846" s="717"/>
      <c r="DG2846" s="717"/>
      <c r="DH2846" s="717"/>
      <c r="DI2846" s="717"/>
      <c r="DJ2846" s="717"/>
      <c r="DM2846" s="711"/>
      <c r="DN2846" s="711"/>
      <c r="DO2846" s="711"/>
      <c r="DP2846" s="711"/>
      <c r="DQ2846" s="711"/>
    </row>
    <row r="2847" spans="13:121" s="709" customFormat="1" hidden="1">
      <c r="M2847" s="710"/>
      <c r="P2847" s="711"/>
      <c r="Q2847" s="712"/>
      <c r="U2847" s="711"/>
      <c r="V2847" s="711"/>
      <c r="W2847" s="711"/>
      <c r="X2847" s="711"/>
      <c r="Y2847" s="711"/>
      <c r="Z2847" s="711"/>
      <c r="AU2847" s="713"/>
      <c r="AW2847" s="712"/>
      <c r="BY2847" s="714"/>
      <c r="BZ2847" s="715"/>
      <c r="CA2847" s="716"/>
      <c r="CB2847" s="717"/>
      <c r="CC2847" s="717"/>
      <c r="CD2847" s="717"/>
      <c r="CE2847" s="717"/>
      <c r="CF2847" s="717"/>
      <c r="CG2847" s="717"/>
      <c r="CH2847" s="717"/>
      <c r="CI2847" s="717"/>
      <c r="CJ2847" s="717"/>
      <c r="CK2847" s="717"/>
      <c r="CL2847" s="717"/>
      <c r="CM2847" s="717"/>
      <c r="CN2847" s="717"/>
      <c r="CO2847" s="717"/>
      <c r="CP2847" s="717"/>
      <c r="CQ2847" s="717"/>
      <c r="CR2847" s="717"/>
      <c r="CS2847" s="717"/>
      <c r="CT2847" s="717"/>
      <c r="CU2847" s="717"/>
      <c r="CV2847" s="717"/>
      <c r="CW2847" s="717"/>
      <c r="CX2847" s="717"/>
      <c r="CY2847" s="717"/>
      <c r="CZ2847" s="717"/>
      <c r="DA2847" s="717"/>
      <c r="DB2847" s="717"/>
      <c r="DC2847" s="717"/>
      <c r="DD2847" s="717"/>
      <c r="DE2847" s="717"/>
      <c r="DF2847" s="717"/>
      <c r="DG2847" s="717"/>
      <c r="DH2847" s="717"/>
      <c r="DI2847" s="717"/>
      <c r="DJ2847" s="717"/>
      <c r="DM2847" s="711"/>
      <c r="DN2847" s="711"/>
      <c r="DO2847" s="711"/>
      <c r="DP2847" s="711"/>
      <c r="DQ2847" s="711"/>
    </row>
    <row r="2848" spans="13:121" s="709" customFormat="1" hidden="1">
      <c r="M2848" s="710"/>
      <c r="P2848" s="711"/>
      <c r="Q2848" s="712"/>
      <c r="U2848" s="711"/>
      <c r="V2848" s="711"/>
      <c r="W2848" s="711"/>
      <c r="X2848" s="711"/>
      <c r="Y2848" s="711"/>
      <c r="Z2848" s="711"/>
      <c r="AU2848" s="713"/>
      <c r="AW2848" s="712"/>
      <c r="BY2848" s="714"/>
      <c r="BZ2848" s="715"/>
      <c r="CA2848" s="716"/>
      <c r="CB2848" s="717"/>
      <c r="CC2848" s="717"/>
      <c r="CD2848" s="717"/>
      <c r="CE2848" s="717"/>
      <c r="CF2848" s="717"/>
      <c r="CG2848" s="717"/>
      <c r="CH2848" s="717"/>
      <c r="CI2848" s="717"/>
      <c r="CJ2848" s="717"/>
      <c r="CK2848" s="717"/>
      <c r="CL2848" s="717"/>
      <c r="CM2848" s="717"/>
      <c r="CN2848" s="717"/>
      <c r="CO2848" s="717"/>
      <c r="CP2848" s="717"/>
      <c r="CQ2848" s="717"/>
      <c r="CR2848" s="717"/>
      <c r="CS2848" s="717"/>
      <c r="CT2848" s="717"/>
      <c r="CU2848" s="717"/>
      <c r="CV2848" s="717"/>
      <c r="CW2848" s="717"/>
      <c r="CX2848" s="717"/>
      <c r="CY2848" s="717"/>
      <c r="CZ2848" s="717"/>
      <c r="DA2848" s="717"/>
      <c r="DB2848" s="717"/>
      <c r="DC2848" s="717"/>
      <c r="DD2848" s="717"/>
      <c r="DE2848" s="717"/>
      <c r="DF2848" s="717"/>
      <c r="DG2848" s="717"/>
      <c r="DH2848" s="717"/>
      <c r="DI2848" s="717"/>
      <c r="DJ2848" s="717"/>
      <c r="DM2848" s="711"/>
      <c r="DN2848" s="711"/>
      <c r="DO2848" s="711"/>
      <c r="DP2848" s="711"/>
      <c r="DQ2848" s="711"/>
    </row>
    <row r="2849" spans="13:121" s="709" customFormat="1" hidden="1">
      <c r="M2849" s="710"/>
      <c r="P2849" s="711"/>
      <c r="Q2849" s="712"/>
      <c r="U2849" s="711"/>
      <c r="V2849" s="711"/>
      <c r="W2849" s="711"/>
      <c r="X2849" s="711"/>
      <c r="Y2849" s="711"/>
      <c r="Z2849" s="711"/>
      <c r="AU2849" s="713"/>
      <c r="AW2849" s="712"/>
      <c r="BY2849" s="714"/>
      <c r="BZ2849" s="715"/>
      <c r="CA2849" s="716"/>
      <c r="CB2849" s="717"/>
      <c r="CC2849" s="717"/>
      <c r="CD2849" s="717"/>
      <c r="CE2849" s="717"/>
      <c r="CF2849" s="717"/>
      <c r="CG2849" s="717"/>
      <c r="CH2849" s="717"/>
      <c r="CI2849" s="717"/>
      <c r="CJ2849" s="717"/>
      <c r="CK2849" s="717"/>
      <c r="CL2849" s="717"/>
      <c r="CM2849" s="717"/>
      <c r="CN2849" s="717"/>
      <c r="CO2849" s="717"/>
      <c r="CP2849" s="717"/>
      <c r="CQ2849" s="717"/>
      <c r="CR2849" s="717"/>
      <c r="CS2849" s="717"/>
      <c r="CT2849" s="717"/>
      <c r="CU2849" s="717"/>
      <c r="CV2849" s="717"/>
      <c r="CW2849" s="717"/>
      <c r="CX2849" s="717"/>
      <c r="CY2849" s="717"/>
      <c r="CZ2849" s="717"/>
      <c r="DA2849" s="717"/>
      <c r="DB2849" s="717"/>
      <c r="DC2849" s="717"/>
      <c r="DD2849" s="717"/>
      <c r="DE2849" s="717"/>
      <c r="DF2849" s="717"/>
      <c r="DG2849" s="717"/>
      <c r="DH2849" s="717"/>
      <c r="DI2849" s="717"/>
      <c r="DJ2849" s="717"/>
      <c r="DM2849" s="711"/>
      <c r="DN2849" s="711"/>
      <c r="DO2849" s="711"/>
      <c r="DP2849" s="711"/>
      <c r="DQ2849" s="711"/>
    </row>
    <row r="2850" spans="13:121" s="709" customFormat="1" hidden="1">
      <c r="M2850" s="710"/>
      <c r="P2850" s="711"/>
      <c r="Q2850" s="712"/>
      <c r="U2850" s="711"/>
      <c r="V2850" s="711"/>
      <c r="W2850" s="711"/>
      <c r="X2850" s="711"/>
      <c r="Y2850" s="711"/>
      <c r="Z2850" s="711"/>
      <c r="AU2850" s="713"/>
      <c r="AW2850" s="712"/>
      <c r="BY2850" s="714"/>
      <c r="BZ2850" s="715"/>
      <c r="CA2850" s="716"/>
      <c r="CB2850" s="717"/>
      <c r="CC2850" s="717"/>
      <c r="CD2850" s="717"/>
      <c r="CE2850" s="717"/>
      <c r="CF2850" s="717"/>
      <c r="CG2850" s="717"/>
      <c r="CH2850" s="717"/>
      <c r="CI2850" s="717"/>
      <c r="CJ2850" s="717"/>
      <c r="CK2850" s="717"/>
      <c r="CL2850" s="717"/>
      <c r="CM2850" s="717"/>
      <c r="CN2850" s="717"/>
      <c r="CO2850" s="717"/>
      <c r="CP2850" s="717"/>
      <c r="CQ2850" s="717"/>
      <c r="CR2850" s="717"/>
      <c r="CS2850" s="717"/>
      <c r="CT2850" s="717"/>
      <c r="CU2850" s="717"/>
      <c r="CV2850" s="717"/>
      <c r="CW2850" s="717"/>
      <c r="CX2850" s="717"/>
      <c r="CY2850" s="717"/>
      <c r="CZ2850" s="717"/>
      <c r="DA2850" s="717"/>
      <c r="DB2850" s="717"/>
      <c r="DC2850" s="717"/>
      <c r="DD2850" s="717"/>
      <c r="DE2850" s="717"/>
      <c r="DF2850" s="717"/>
      <c r="DG2850" s="717"/>
      <c r="DH2850" s="717"/>
      <c r="DI2850" s="717"/>
      <c r="DJ2850" s="717"/>
      <c r="DM2850" s="711"/>
      <c r="DN2850" s="711"/>
      <c r="DO2850" s="711"/>
      <c r="DP2850" s="711"/>
      <c r="DQ2850" s="711"/>
    </row>
    <row r="2851" spans="13:121" s="709" customFormat="1" hidden="1">
      <c r="M2851" s="710"/>
      <c r="P2851" s="711"/>
      <c r="Q2851" s="712"/>
      <c r="U2851" s="711"/>
      <c r="V2851" s="711"/>
      <c r="W2851" s="711"/>
      <c r="X2851" s="711"/>
      <c r="Y2851" s="711"/>
      <c r="Z2851" s="711"/>
      <c r="AU2851" s="713"/>
      <c r="AW2851" s="712"/>
      <c r="BY2851" s="714"/>
      <c r="BZ2851" s="715"/>
      <c r="CA2851" s="716"/>
      <c r="CB2851" s="717"/>
      <c r="CC2851" s="717"/>
      <c r="CD2851" s="717"/>
      <c r="CE2851" s="717"/>
      <c r="CF2851" s="717"/>
      <c r="CG2851" s="717"/>
      <c r="CH2851" s="717"/>
      <c r="CI2851" s="717"/>
      <c r="CJ2851" s="717"/>
      <c r="CK2851" s="717"/>
      <c r="CL2851" s="717"/>
      <c r="CM2851" s="717"/>
      <c r="CN2851" s="717"/>
      <c r="CO2851" s="717"/>
      <c r="CP2851" s="717"/>
      <c r="CQ2851" s="717"/>
      <c r="CR2851" s="717"/>
      <c r="CS2851" s="717"/>
      <c r="CT2851" s="717"/>
      <c r="CU2851" s="717"/>
      <c r="CV2851" s="717"/>
      <c r="CW2851" s="717"/>
      <c r="CX2851" s="717"/>
      <c r="CY2851" s="717"/>
      <c r="CZ2851" s="717"/>
      <c r="DA2851" s="717"/>
      <c r="DB2851" s="717"/>
      <c r="DC2851" s="717"/>
      <c r="DD2851" s="717"/>
      <c r="DE2851" s="717"/>
      <c r="DF2851" s="717"/>
      <c r="DG2851" s="717"/>
      <c r="DH2851" s="717"/>
      <c r="DI2851" s="717"/>
      <c r="DJ2851" s="717"/>
      <c r="DM2851" s="711"/>
      <c r="DN2851" s="711"/>
      <c r="DO2851" s="711"/>
      <c r="DP2851" s="711"/>
      <c r="DQ2851" s="711"/>
    </row>
    <row r="2852" spans="13:121" s="709" customFormat="1" hidden="1">
      <c r="M2852" s="710"/>
      <c r="P2852" s="711"/>
      <c r="Q2852" s="712"/>
      <c r="U2852" s="711"/>
      <c r="V2852" s="711"/>
      <c r="W2852" s="711"/>
      <c r="X2852" s="711"/>
      <c r="Y2852" s="711"/>
      <c r="Z2852" s="711"/>
      <c r="AU2852" s="713"/>
      <c r="AW2852" s="712"/>
      <c r="BY2852" s="714"/>
      <c r="BZ2852" s="715"/>
      <c r="CA2852" s="716"/>
      <c r="CB2852" s="717"/>
      <c r="CC2852" s="717"/>
      <c r="CD2852" s="717"/>
      <c r="CE2852" s="717"/>
      <c r="CF2852" s="717"/>
      <c r="CG2852" s="717"/>
      <c r="CH2852" s="717"/>
      <c r="CI2852" s="717"/>
      <c r="CJ2852" s="717"/>
      <c r="CK2852" s="717"/>
      <c r="CL2852" s="717"/>
      <c r="CM2852" s="717"/>
      <c r="CN2852" s="717"/>
      <c r="CO2852" s="717"/>
      <c r="CP2852" s="717"/>
      <c r="CQ2852" s="717"/>
      <c r="CR2852" s="717"/>
      <c r="CS2852" s="717"/>
      <c r="CT2852" s="717"/>
      <c r="CU2852" s="717"/>
      <c r="CV2852" s="717"/>
      <c r="CW2852" s="717"/>
      <c r="CX2852" s="717"/>
      <c r="CY2852" s="717"/>
      <c r="CZ2852" s="717"/>
      <c r="DA2852" s="717"/>
      <c r="DB2852" s="717"/>
      <c r="DC2852" s="717"/>
      <c r="DD2852" s="717"/>
      <c r="DE2852" s="717"/>
      <c r="DF2852" s="717"/>
      <c r="DG2852" s="717"/>
      <c r="DH2852" s="717"/>
      <c r="DI2852" s="717"/>
      <c r="DJ2852" s="717"/>
      <c r="DM2852" s="711"/>
      <c r="DN2852" s="711"/>
      <c r="DO2852" s="711"/>
      <c r="DP2852" s="711"/>
      <c r="DQ2852" s="711"/>
    </row>
    <row r="2853" spans="13:121" s="709" customFormat="1" hidden="1">
      <c r="M2853" s="710"/>
      <c r="P2853" s="711"/>
      <c r="Q2853" s="712"/>
      <c r="U2853" s="711"/>
      <c r="V2853" s="711"/>
      <c r="W2853" s="711"/>
      <c r="X2853" s="711"/>
      <c r="Y2853" s="711"/>
      <c r="Z2853" s="711"/>
      <c r="AU2853" s="713"/>
      <c r="AW2853" s="712"/>
      <c r="BY2853" s="714"/>
      <c r="BZ2853" s="715"/>
      <c r="CA2853" s="716"/>
      <c r="CB2853" s="717"/>
      <c r="CC2853" s="717"/>
      <c r="CD2853" s="717"/>
      <c r="CE2853" s="717"/>
      <c r="CF2853" s="717"/>
      <c r="CG2853" s="717"/>
      <c r="CH2853" s="717"/>
      <c r="CI2853" s="717"/>
      <c r="CJ2853" s="717"/>
      <c r="CK2853" s="717"/>
      <c r="CL2853" s="717"/>
      <c r="CM2853" s="717"/>
      <c r="CN2853" s="717"/>
      <c r="CO2853" s="717"/>
      <c r="CP2853" s="717"/>
      <c r="CQ2853" s="717"/>
      <c r="CR2853" s="717"/>
      <c r="CS2853" s="717"/>
      <c r="CT2853" s="717"/>
      <c r="CU2853" s="717"/>
      <c r="CV2853" s="717"/>
      <c r="CW2853" s="717"/>
      <c r="CX2853" s="717"/>
      <c r="CY2853" s="717"/>
      <c r="CZ2853" s="717"/>
      <c r="DA2853" s="717"/>
      <c r="DB2853" s="717"/>
      <c r="DC2853" s="717"/>
      <c r="DD2853" s="717"/>
      <c r="DE2853" s="717"/>
      <c r="DF2853" s="717"/>
      <c r="DG2853" s="717"/>
      <c r="DH2853" s="717"/>
      <c r="DI2853" s="717"/>
      <c r="DJ2853" s="717"/>
      <c r="DM2853" s="711"/>
      <c r="DN2853" s="711"/>
      <c r="DO2853" s="711"/>
      <c r="DP2853" s="711"/>
      <c r="DQ2853" s="711"/>
    </row>
    <row r="2854" spans="13:121" s="709" customFormat="1" hidden="1">
      <c r="M2854" s="710"/>
      <c r="P2854" s="711"/>
      <c r="Q2854" s="712"/>
      <c r="U2854" s="711"/>
      <c r="V2854" s="711"/>
      <c r="W2854" s="711"/>
      <c r="X2854" s="711"/>
      <c r="Y2854" s="711"/>
      <c r="Z2854" s="711"/>
      <c r="AU2854" s="713"/>
      <c r="AW2854" s="712"/>
      <c r="BY2854" s="714"/>
      <c r="BZ2854" s="715"/>
      <c r="CA2854" s="716"/>
      <c r="CB2854" s="717"/>
      <c r="CC2854" s="717"/>
      <c r="CD2854" s="717"/>
      <c r="CE2854" s="717"/>
      <c r="CF2854" s="717"/>
      <c r="CG2854" s="717"/>
      <c r="CH2854" s="717"/>
      <c r="CI2854" s="717"/>
      <c r="CJ2854" s="717"/>
      <c r="CK2854" s="717"/>
      <c r="CL2854" s="717"/>
      <c r="CM2854" s="717"/>
      <c r="CN2854" s="717"/>
      <c r="CO2854" s="717"/>
      <c r="CP2854" s="717"/>
      <c r="CQ2854" s="717"/>
      <c r="CR2854" s="717"/>
      <c r="CS2854" s="717"/>
      <c r="CT2854" s="717"/>
      <c r="CU2854" s="717"/>
      <c r="CV2854" s="717"/>
      <c r="CW2854" s="717"/>
      <c r="CX2854" s="717"/>
      <c r="CY2854" s="717"/>
      <c r="CZ2854" s="717"/>
      <c r="DA2854" s="717"/>
      <c r="DB2854" s="717"/>
      <c r="DC2854" s="717"/>
      <c r="DD2854" s="717"/>
      <c r="DE2854" s="717"/>
      <c r="DF2854" s="717"/>
      <c r="DG2854" s="717"/>
      <c r="DH2854" s="717"/>
      <c r="DI2854" s="717"/>
      <c r="DJ2854" s="717"/>
      <c r="DM2854" s="711"/>
      <c r="DN2854" s="711"/>
      <c r="DO2854" s="711"/>
      <c r="DP2854" s="711"/>
      <c r="DQ2854" s="711"/>
    </row>
    <row r="2855" spans="13:121" s="709" customFormat="1" hidden="1">
      <c r="M2855" s="710"/>
      <c r="P2855" s="711"/>
      <c r="Q2855" s="712"/>
      <c r="U2855" s="711"/>
      <c r="V2855" s="711"/>
      <c r="W2855" s="711"/>
      <c r="X2855" s="711"/>
      <c r="Y2855" s="711"/>
      <c r="Z2855" s="711"/>
      <c r="AU2855" s="713"/>
      <c r="AW2855" s="712"/>
      <c r="BY2855" s="714"/>
      <c r="BZ2855" s="715"/>
      <c r="CA2855" s="716"/>
      <c r="CB2855" s="717"/>
      <c r="CC2855" s="717"/>
      <c r="CD2855" s="717"/>
      <c r="CE2855" s="717"/>
      <c r="CF2855" s="717"/>
      <c r="CG2855" s="717"/>
      <c r="CH2855" s="717"/>
      <c r="CI2855" s="717"/>
      <c r="CJ2855" s="717"/>
      <c r="CK2855" s="717"/>
      <c r="CL2855" s="717"/>
      <c r="CM2855" s="717"/>
      <c r="CN2855" s="717"/>
      <c r="CO2855" s="717"/>
      <c r="CP2855" s="717"/>
      <c r="CQ2855" s="717"/>
      <c r="CR2855" s="717"/>
      <c r="CS2855" s="717"/>
      <c r="CT2855" s="717"/>
      <c r="CU2855" s="717"/>
      <c r="CV2855" s="717"/>
      <c r="CW2855" s="717"/>
      <c r="CX2855" s="717"/>
      <c r="CY2855" s="717"/>
      <c r="CZ2855" s="717"/>
      <c r="DA2855" s="717"/>
      <c r="DB2855" s="717"/>
      <c r="DC2855" s="717"/>
      <c r="DD2855" s="717"/>
      <c r="DE2855" s="717"/>
      <c r="DF2855" s="717"/>
      <c r="DG2855" s="717"/>
      <c r="DH2855" s="717"/>
      <c r="DI2855" s="717"/>
      <c r="DJ2855" s="717"/>
      <c r="DM2855" s="711"/>
      <c r="DN2855" s="711"/>
      <c r="DO2855" s="711"/>
      <c r="DP2855" s="711"/>
      <c r="DQ2855" s="711"/>
    </row>
    <row r="2856" spans="13:121" s="709" customFormat="1" hidden="1">
      <c r="M2856" s="710"/>
      <c r="P2856" s="711"/>
      <c r="Q2856" s="712"/>
      <c r="U2856" s="711"/>
      <c r="V2856" s="711"/>
      <c r="W2856" s="711"/>
      <c r="X2856" s="711"/>
      <c r="Y2856" s="711"/>
      <c r="Z2856" s="711"/>
      <c r="AU2856" s="713"/>
      <c r="AW2856" s="712"/>
      <c r="BY2856" s="714"/>
      <c r="BZ2856" s="715"/>
      <c r="CA2856" s="716"/>
      <c r="CB2856" s="717"/>
      <c r="CC2856" s="717"/>
      <c r="CD2856" s="717"/>
      <c r="CE2856" s="717"/>
      <c r="CF2856" s="717"/>
      <c r="CG2856" s="717"/>
      <c r="CH2856" s="717"/>
      <c r="CI2856" s="717"/>
      <c r="CJ2856" s="717"/>
      <c r="CK2856" s="717"/>
      <c r="CL2856" s="717"/>
      <c r="CM2856" s="717"/>
      <c r="CN2856" s="717"/>
      <c r="CO2856" s="717"/>
      <c r="CP2856" s="717"/>
      <c r="CQ2856" s="717"/>
      <c r="CR2856" s="717"/>
      <c r="CS2856" s="717"/>
      <c r="CT2856" s="717"/>
      <c r="CU2856" s="717"/>
      <c r="CV2856" s="717"/>
      <c r="CW2856" s="717"/>
      <c r="CX2856" s="717"/>
      <c r="CY2856" s="717"/>
      <c r="CZ2856" s="717"/>
      <c r="DA2856" s="717"/>
      <c r="DB2856" s="717"/>
      <c r="DC2856" s="717"/>
      <c r="DD2856" s="717"/>
      <c r="DE2856" s="717"/>
      <c r="DF2856" s="717"/>
      <c r="DG2856" s="717"/>
      <c r="DH2856" s="717"/>
      <c r="DI2856" s="717"/>
      <c r="DJ2856" s="717"/>
      <c r="DM2856" s="711"/>
      <c r="DN2856" s="711"/>
      <c r="DO2856" s="711"/>
      <c r="DP2856" s="711"/>
      <c r="DQ2856" s="711"/>
    </row>
    <row r="2857" spans="13:121" s="709" customFormat="1" hidden="1">
      <c r="M2857" s="710"/>
      <c r="P2857" s="711"/>
      <c r="Q2857" s="712"/>
      <c r="U2857" s="711"/>
      <c r="V2857" s="711"/>
      <c r="W2857" s="711"/>
      <c r="X2857" s="711"/>
      <c r="Y2857" s="711"/>
      <c r="Z2857" s="711"/>
      <c r="AU2857" s="713"/>
      <c r="AW2857" s="712"/>
      <c r="BY2857" s="714"/>
      <c r="BZ2857" s="715"/>
      <c r="CA2857" s="716"/>
      <c r="CB2857" s="717"/>
      <c r="CC2857" s="717"/>
      <c r="CD2857" s="717"/>
      <c r="CE2857" s="717"/>
      <c r="CF2857" s="717"/>
      <c r="CG2857" s="717"/>
      <c r="CH2857" s="717"/>
      <c r="CI2857" s="717"/>
      <c r="CJ2857" s="717"/>
      <c r="CK2857" s="717"/>
      <c r="CL2857" s="717"/>
      <c r="CM2857" s="717"/>
      <c r="CN2857" s="717"/>
      <c r="CO2857" s="717"/>
      <c r="CP2857" s="717"/>
      <c r="CQ2857" s="717"/>
      <c r="CR2857" s="717"/>
      <c r="CS2857" s="717"/>
      <c r="CT2857" s="717"/>
      <c r="CU2857" s="717"/>
      <c r="CV2857" s="717"/>
      <c r="CW2857" s="717"/>
      <c r="CX2857" s="717"/>
      <c r="CY2857" s="717"/>
      <c r="CZ2857" s="717"/>
      <c r="DA2857" s="717"/>
      <c r="DB2857" s="717"/>
      <c r="DC2857" s="717"/>
      <c r="DD2857" s="717"/>
      <c r="DE2857" s="717"/>
      <c r="DF2857" s="717"/>
      <c r="DG2857" s="717"/>
      <c r="DH2857" s="717"/>
      <c r="DI2857" s="717"/>
      <c r="DJ2857" s="717"/>
      <c r="DM2857" s="711"/>
      <c r="DN2857" s="711"/>
      <c r="DO2857" s="711"/>
      <c r="DP2857" s="711"/>
      <c r="DQ2857" s="711"/>
    </row>
    <row r="2858" spans="13:121" s="709" customFormat="1" hidden="1">
      <c r="M2858" s="710"/>
      <c r="P2858" s="711"/>
      <c r="Q2858" s="712"/>
      <c r="U2858" s="711"/>
      <c r="V2858" s="711"/>
      <c r="W2858" s="711"/>
      <c r="X2858" s="711"/>
      <c r="Y2858" s="711"/>
      <c r="Z2858" s="711"/>
      <c r="AU2858" s="713"/>
      <c r="AW2858" s="712"/>
      <c r="BY2858" s="714"/>
      <c r="BZ2858" s="715"/>
      <c r="CA2858" s="716"/>
      <c r="CB2858" s="717"/>
      <c r="CC2858" s="717"/>
      <c r="CD2858" s="717"/>
      <c r="CE2858" s="717"/>
      <c r="CF2858" s="717"/>
      <c r="CG2858" s="717"/>
      <c r="CH2858" s="717"/>
      <c r="CI2858" s="717"/>
      <c r="CJ2858" s="717"/>
      <c r="CK2858" s="717"/>
      <c r="CL2858" s="717"/>
      <c r="CM2858" s="717"/>
      <c r="CN2858" s="717"/>
      <c r="CO2858" s="717"/>
      <c r="CP2858" s="717"/>
      <c r="CQ2858" s="717"/>
      <c r="CR2858" s="717"/>
      <c r="CS2858" s="717"/>
      <c r="CT2858" s="717"/>
      <c r="CU2858" s="717"/>
      <c r="CV2858" s="717"/>
      <c r="CW2858" s="717"/>
      <c r="CX2858" s="717"/>
      <c r="CY2858" s="717"/>
      <c r="CZ2858" s="717"/>
      <c r="DA2858" s="717"/>
      <c r="DB2858" s="717"/>
      <c r="DC2858" s="717"/>
      <c r="DD2858" s="717"/>
      <c r="DE2858" s="717"/>
      <c r="DF2858" s="717"/>
      <c r="DG2858" s="717"/>
      <c r="DH2858" s="717"/>
      <c r="DI2858" s="717"/>
      <c r="DJ2858" s="717"/>
      <c r="DM2858" s="711"/>
      <c r="DN2858" s="711"/>
      <c r="DO2858" s="711"/>
      <c r="DP2858" s="711"/>
      <c r="DQ2858" s="711"/>
    </row>
    <row r="2859" spans="13:121" s="709" customFormat="1" hidden="1">
      <c r="M2859" s="710"/>
      <c r="P2859" s="711"/>
      <c r="Q2859" s="712"/>
      <c r="U2859" s="711"/>
      <c r="V2859" s="711"/>
      <c r="W2859" s="711"/>
      <c r="X2859" s="711"/>
      <c r="Y2859" s="711"/>
      <c r="Z2859" s="711"/>
      <c r="AU2859" s="713"/>
      <c r="AW2859" s="712"/>
      <c r="BY2859" s="714"/>
      <c r="BZ2859" s="715"/>
      <c r="CA2859" s="716"/>
      <c r="CB2859" s="717"/>
      <c r="CC2859" s="717"/>
      <c r="CD2859" s="717"/>
      <c r="CE2859" s="717"/>
      <c r="CF2859" s="717"/>
      <c r="CG2859" s="717"/>
      <c r="CH2859" s="717"/>
      <c r="CI2859" s="717"/>
      <c r="CJ2859" s="717"/>
      <c r="CK2859" s="717"/>
      <c r="CL2859" s="717"/>
      <c r="CM2859" s="717"/>
      <c r="CN2859" s="717"/>
      <c r="CO2859" s="717"/>
      <c r="CP2859" s="717"/>
      <c r="CQ2859" s="717"/>
      <c r="CR2859" s="717"/>
      <c r="CS2859" s="717"/>
      <c r="CT2859" s="717"/>
      <c r="CU2859" s="717"/>
      <c r="CV2859" s="717"/>
      <c r="CW2859" s="717"/>
      <c r="CX2859" s="717"/>
      <c r="CY2859" s="717"/>
      <c r="CZ2859" s="717"/>
      <c r="DA2859" s="717"/>
      <c r="DB2859" s="717"/>
      <c r="DC2859" s="717"/>
      <c r="DD2859" s="717"/>
      <c r="DE2859" s="717"/>
      <c r="DF2859" s="717"/>
      <c r="DG2859" s="717"/>
      <c r="DH2859" s="717"/>
      <c r="DI2859" s="717"/>
      <c r="DJ2859" s="717"/>
      <c r="DM2859" s="711"/>
      <c r="DN2859" s="711"/>
      <c r="DO2859" s="711"/>
      <c r="DP2859" s="711"/>
      <c r="DQ2859" s="711"/>
    </row>
    <row r="2860" spans="13:121" s="709" customFormat="1" hidden="1">
      <c r="M2860" s="710"/>
      <c r="P2860" s="711"/>
      <c r="Q2860" s="712"/>
      <c r="U2860" s="711"/>
      <c r="V2860" s="711"/>
      <c r="W2860" s="711"/>
      <c r="X2860" s="711"/>
      <c r="Y2860" s="711"/>
      <c r="Z2860" s="711"/>
      <c r="AU2860" s="713"/>
      <c r="AW2860" s="712"/>
      <c r="BY2860" s="714"/>
      <c r="BZ2860" s="715"/>
      <c r="CA2860" s="716"/>
      <c r="CB2860" s="717"/>
      <c r="CC2860" s="717"/>
      <c r="CD2860" s="717"/>
      <c r="CE2860" s="717"/>
      <c r="CF2860" s="717"/>
      <c r="CG2860" s="717"/>
      <c r="CH2860" s="717"/>
      <c r="CI2860" s="717"/>
      <c r="CJ2860" s="717"/>
      <c r="CK2860" s="717"/>
      <c r="CL2860" s="717"/>
      <c r="CM2860" s="717"/>
      <c r="CN2860" s="717"/>
      <c r="CO2860" s="717"/>
      <c r="CP2860" s="717"/>
      <c r="CQ2860" s="717"/>
      <c r="CR2860" s="717"/>
      <c r="CS2860" s="717"/>
      <c r="CT2860" s="717"/>
      <c r="CU2860" s="717"/>
      <c r="CV2860" s="717"/>
      <c r="CW2860" s="717"/>
      <c r="CX2860" s="717"/>
      <c r="CY2860" s="717"/>
      <c r="CZ2860" s="717"/>
      <c r="DA2860" s="717"/>
      <c r="DB2860" s="717"/>
      <c r="DC2860" s="717"/>
      <c r="DD2860" s="717"/>
      <c r="DE2860" s="717"/>
      <c r="DF2860" s="717"/>
      <c r="DG2860" s="717"/>
      <c r="DH2860" s="717"/>
      <c r="DI2860" s="717"/>
      <c r="DJ2860" s="717"/>
      <c r="DM2860" s="711"/>
      <c r="DN2860" s="711"/>
      <c r="DO2860" s="711"/>
      <c r="DP2860" s="711"/>
      <c r="DQ2860" s="711"/>
    </row>
    <row r="2861" spans="13:121" s="709" customFormat="1" hidden="1">
      <c r="M2861" s="710"/>
      <c r="P2861" s="711"/>
      <c r="Q2861" s="712"/>
      <c r="U2861" s="711"/>
      <c r="V2861" s="711"/>
      <c r="W2861" s="711"/>
      <c r="X2861" s="711"/>
      <c r="Y2861" s="711"/>
      <c r="Z2861" s="711"/>
      <c r="AU2861" s="713"/>
      <c r="AW2861" s="712"/>
      <c r="BY2861" s="714"/>
      <c r="BZ2861" s="715"/>
      <c r="CA2861" s="716"/>
      <c r="CB2861" s="717"/>
      <c r="CC2861" s="717"/>
      <c r="CD2861" s="717"/>
      <c r="CE2861" s="717"/>
      <c r="CF2861" s="717"/>
      <c r="CG2861" s="717"/>
      <c r="CH2861" s="717"/>
      <c r="CI2861" s="717"/>
      <c r="CJ2861" s="717"/>
      <c r="CK2861" s="717"/>
      <c r="CL2861" s="717"/>
      <c r="CM2861" s="717"/>
      <c r="CN2861" s="717"/>
      <c r="CO2861" s="717"/>
      <c r="CP2861" s="717"/>
      <c r="CQ2861" s="717"/>
      <c r="CR2861" s="717"/>
      <c r="CS2861" s="717"/>
      <c r="CT2861" s="717"/>
      <c r="CU2861" s="717"/>
      <c r="CV2861" s="717"/>
      <c r="CW2861" s="717"/>
      <c r="CX2861" s="717"/>
      <c r="CY2861" s="717"/>
      <c r="CZ2861" s="717"/>
      <c r="DA2861" s="717"/>
      <c r="DB2861" s="717"/>
      <c r="DC2861" s="717"/>
      <c r="DD2861" s="717"/>
      <c r="DE2861" s="717"/>
      <c r="DF2861" s="717"/>
      <c r="DG2861" s="717"/>
      <c r="DH2861" s="717"/>
      <c r="DI2861" s="717"/>
      <c r="DJ2861" s="717"/>
      <c r="DM2861" s="711"/>
      <c r="DN2861" s="711"/>
      <c r="DO2861" s="711"/>
      <c r="DP2861" s="711"/>
      <c r="DQ2861" s="711"/>
    </row>
    <row r="2862" spans="13:121" s="709" customFormat="1" hidden="1">
      <c r="M2862" s="710"/>
      <c r="P2862" s="711"/>
      <c r="Q2862" s="712"/>
      <c r="U2862" s="711"/>
      <c r="V2862" s="711"/>
      <c r="W2862" s="711"/>
      <c r="X2862" s="711"/>
      <c r="Y2862" s="711"/>
      <c r="Z2862" s="711"/>
      <c r="AU2862" s="713"/>
      <c r="AW2862" s="712"/>
      <c r="BY2862" s="714"/>
      <c r="BZ2862" s="715"/>
      <c r="CA2862" s="716"/>
      <c r="CB2862" s="717"/>
      <c r="CC2862" s="717"/>
      <c r="CD2862" s="717"/>
      <c r="CE2862" s="717"/>
      <c r="CF2862" s="717"/>
      <c r="CG2862" s="717"/>
      <c r="CH2862" s="717"/>
      <c r="CI2862" s="717"/>
      <c r="CJ2862" s="717"/>
      <c r="CK2862" s="717"/>
      <c r="CL2862" s="717"/>
      <c r="CM2862" s="717"/>
      <c r="CN2862" s="717"/>
      <c r="CO2862" s="717"/>
      <c r="CP2862" s="717"/>
      <c r="CQ2862" s="717"/>
      <c r="CR2862" s="717"/>
      <c r="CS2862" s="717"/>
      <c r="CT2862" s="717"/>
      <c r="CU2862" s="717"/>
      <c r="CV2862" s="717"/>
      <c r="CW2862" s="717"/>
      <c r="CX2862" s="717"/>
      <c r="CY2862" s="717"/>
      <c r="CZ2862" s="717"/>
      <c r="DA2862" s="717"/>
      <c r="DB2862" s="717"/>
      <c r="DC2862" s="717"/>
      <c r="DD2862" s="717"/>
      <c r="DE2862" s="717"/>
      <c r="DF2862" s="717"/>
      <c r="DG2862" s="717"/>
      <c r="DH2862" s="717"/>
      <c r="DI2862" s="717"/>
      <c r="DJ2862" s="717"/>
      <c r="DM2862" s="711"/>
      <c r="DN2862" s="711"/>
      <c r="DO2862" s="711"/>
      <c r="DP2862" s="711"/>
      <c r="DQ2862" s="711"/>
    </row>
    <row r="2863" spans="13:121" s="709" customFormat="1" hidden="1">
      <c r="M2863" s="710"/>
      <c r="P2863" s="711"/>
      <c r="Q2863" s="712"/>
      <c r="U2863" s="711"/>
      <c r="V2863" s="711"/>
      <c r="W2863" s="711"/>
      <c r="X2863" s="711"/>
      <c r="Y2863" s="711"/>
      <c r="Z2863" s="711"/>
      <c r="AU2863" s="713"/>
      <c r="AW2863" s="712"/>
      <c r="BY2863" s="714"/>
      <c r="BZ2863" s="715"/>
      <c r="CA2863" s="716"/>
      <c r="CB2863" s="717"/>
      <c r="CC2863" s="717"/>
      <c r="CD2863" s="717"/>
      <c r="CE2863" s="717"/>
      <c r="CF2863" s="717"/>
      <c r="CG2863" s="717"/>
      <c r="CH2863" s="717"/>
      <c r="CI2863" s="717"/>
      <c r="CJ2863" s="717"/>
      <c r="CK2863" s="717"/>
      <c r="CL2863" s="717"/>
      <c r="CM2863" s="717"/>
      <c r="CN2863" s="717"/>
      <c r="CO2863" s="717"/>
      <c r="CP2863" s="717"/>
      <c r="CQ2863" s="717"/>
      <c r="CR2863" s="717"/>
      <c r="CS2863" s="717"/>
      <c r="CT2863" s="717"/>
      <c r="CU2863" s="717"/>
      <c r="CV2863" s="717"/>
      <c r="CW2863" s="717"/>
      <c r="CX2863" s="717"/>
      <c r="CY2863" s="717"/>
      <c r="CZ2863" s="717"/>
      <c r="DA2863" s="717"/>
      <c r="DB2863" s="717"/>
      <c r="DC2863" s="717"/>
      <c r="DD2863" s="717"/>
      <c r="DE2863" s="717"/>
      <c r="DF2863" s="717"/>
      <c r="DG2863" s="717"/>
      <c r="DH2863" s="717"/>
      <c r="DI2863" s="717"/>
      <c r="DJ2863" s="717"/>
      <c r="DM2863" s="711"/>
      <c r="DN2863" s="711"/>
      <c r="DO2863" s="711"/>
      <c r="DP2863" s="711"/>
      <c r="DQ2863" s="711"/>
    </row>
    <row r="2864" spans="13:121" s="709" customFormat="1" hidden="1">
      <c r="M2864" s="710"/>
      <c r="P2864" s="711"/>
      <c r="Q2864" s="712"/>
      <c r="U2864" s="711"/>
      <c r="V2864" s="711"/>
      <c r="W2864" s="711"/>
      <c r="X2864" s="711"/>
      <c r="Y2864" s="711"/>
      <c r="Z2864" s="711"/>
      <c r="AU2864" s="713"/>
      <c r="AW2864" s="712"/>
      <c r="BY2864" s="714"/>
      <c r="BZ2864" s="715"/>
      <c r="CA2864" s="716"/>
      <c r="CB2864" s="717"/>
      <c r="CC2864" s="717"/>
      <c r="CD2864" s="717"/>
      <c r="CE2864" s="717"/>
      <c r="CF2864" s="717"/>
      <c r="CG2864" s="717"/>
      <c r="CH2864" s="717"/>
      <c r="CI2864" s="717"/>
      <c r="CJ2864" s="717"/>
      <c r="CK2864" s="717"/>
      <c r="CL2864" s="717"/>
      <c r="CM2864" s="717"/>
      <c r="CN2864" s="717"/>
      <c r="CO2864" s="717"/>
      <c r="CP2864" s="717"/>
      <c r="CQ2864" s="717"/>
      <c r="CR2864" s="717"/>
      <c r="CS2864" s="717"/>
      <c r="CT2864" s="717"/>
      <c r="CU2864" s="717"/>
      <c r="CV2864" s="717"/>
      <c r="CW2864" s="717"/>
      <c r="CX2864" s="717"/>
      <c r="CY2864" s="717"/>
      <c r="CZ2864" s="717"/>
      <c r="DA2864" s="717"/>
      <c r="DB2864" s="717"/>
      <c r="DC2864" s="717"/>
      <c r="DD2864" s="717"/>
      <c r="DE2864" s="717"/>
      <c r="DF2864" s="717"/>
      <c r="DG2864" s="717"/>
      <c r="DH2864" s="717"/>
      <c r="DI2864" s="717"/>
      <c r="DJ2864" s="717"/>
      <c r="DM2864" s="711"/>
      <c r="DN2864" s="711"/>
      <c r="DO2864" s="711"/>
      <c r="DP2864" s="711"/>
      <c r="DQ2864" s="711"/>
    </row>
    <row r="2865" spans="13:121" s="709" customFormat="1" hidden="1">
      <c r="M2865" s="710"/>
      <c r="P2865" s="711"/>
      <c r="Q2865" s="712"/>
      <c r="U2865" s="711"/>
      <c r="V2865" s="711"/>
      <c r="W2865" s="711"/>
      <c r="X2865" s="711"/>
      <c r="Y2865" s="711"/>
      <c r="Z2865" s="711"/>
      <c r="AU2865" s="713"/>
      <c r="AW2865" s="712"/>
      <c r="BY2865" s="714"/>
      <c r="BZ2865" s="715"/>
      <c r="CA2865" s="716"/>
      <c r="CB2865" s="717"/>
      <c r="CC2865" s="717"/>
      <c r="CD2865" s="717"/>
      <c r="CE2865" s="717"/>
      <c r="CF2865" s="717"/>
      <c r="CG2865" s="717"/>
      <c r="CH2865" s="717"/>
      <c r="CI2865" s="717"/>
      <c r="CJ2865" s="717"/>
      <c r="CK2865" s="717"/>
      <c r="CL2865" s="717"/>
      <c r="CM2865" s="717"/>
      <c r="CN2865" s="717"/>
      <c r="CO2865" s="717"/>
      <c r="CP2865" s="717"/>
      <c r="CQ2865" s="717"/>
      <c r="CR2865" s="717"/>
      <c r="CS2865" s="717"/>
      <c r="CT2865" s="717"/>
      <c r="CU2865" s="717"/>
      <c r="CV2865" s="717"/>
      <c r="CW2865" s="717"/>
      <c r="CX2865" s="717"/>
      <c r="CY2865" s="717"/>
      <c r="CZ2865" s="717"/>
      <c r="DA2865" s="717"/>
      <c r="DB2865" s="717"/>
      <c r="DC2865" s="717"/>
      <c r="DD2865" s="717"/>
      <c r="DE2865" s="717"/>
      <c r="DF2865" s="717"/>
      <c r="DG2865" s="717"/>
      <c r="DH2865" s="717"/>
      <c r="DI2865" s="717"/>
      <c r="DJ2865" s="717"/>
      <c r="DM2865" s="711"/>
      <c r="DN2865" s="711"/>
      <c r="DO2865" s="711"/>
      <c r="DP2865" s="711"/>
      <c r="DQ2865" s="711"/>
    </row>
    <row r="2866" spans="13:121" s="709" customFormat="1" hidden="1">
      <c r="M2866" s="710"/>
      <c r="P2866" s="711"/>
      <c r="Q2866" s="712"/>
      <c r="U2866" s="711"/>
      <c r="V2866" s="711"/>
      <c r="W2866" s="711"/>
      <c r="X2866" s="711"/>
      <c r="Y2866" s="711"/>
      <c r="Z2866" s="711"/>
      <c r="AU2866" s="713"/>
      <c r="AW2866" s="712"/>
      <c r="BY2866" s="714"/>
      <c r="BZ2866" s="715"/>
      <c r="CA2866" s="716"/>
      <c r="CB2866" s="717"/>
      <c r="CC2866" s="717"/>
      <c r="CD2866" s="717"/>
      <c r="CE2866" s="717"/>
      <c r="CF2866" s="717"/>
      <c r="CG2866" s="717"/>
      <c r="CH2866" s="717"/>
      <c r="CI2866" s="717"/>
      <c r="CJ2866" s="717"/>
      <c r="CK2866" s="717"/>
      <c r="CL2866" s="717"/>
      <c r="CM2866" s="717"/>
      <c r="CN2866" s="717"/>
      <c r="CO2866" s="717"/>
      <c r="CP2866" s="717"/>
      <c r="CQ2866" s="717"/>
      <c r="CR2866" s="717"/>
      <c r="CS2866" s="717"/>
      <c r="CT2866" s="717"/>
      <c r="CU2866" s="717"/>
      <c r="CV2866" s="717"/>
      <c r="CW2866" s="717"/>
      <c r="CX2866" s="717"/>
      <c r="CY2866" s="717"/>
      <c r="CZ2866" s="717"/>
      <c r="DA2866" s="717"/>
      <c r="DB2866" s="717"/>
      <c r="DC2866" s="717"/>
      <c r="DD2866" s="717"/>
      <c r="DE2866" s="717"/>
      <c r="DF2866" s="717"/>
      <c r="DG2866" s="717"/>
      <c r="DH2866" s="717"/>
      <c r="DI2866" s="717"/>
      <c r="DJ2866" s="717"/>
      <c r="DM2866" s="711"/>
      <c r="DN2866" s="711"/>
      <c r="DO2866" s="711"/>
      <c r="DP2866" s="711"/>
      <c r="DQ2866" s="711"/>
    </row>
    <row r="2867" spans="13:121" s="709" customFormat="1" hidden="1">
      <c r="M2867" s="710"/>
      <c r="P2867" s="711"/>
      <c r="Q2867" s="712"/>
      <c r="U2867" s="711"/>
      <c r="V2867" s="711"/>
      <c r="W2867" s="711"/>
      <c r="X2867" s="711"/>
      <c r="Y2867" s="711"/>
      <c r="Z2867" s="711"/>
      <c r="AU2867" s="713"/>
      <c r="AW2867" s="712"/>
      <c r="BY2867" s="714"/>
      <c r="BZ2867" s="715"/>
      <c r="CA2867" s="716"/>
      <c r="CB2867" s="717"/>
      <c r="CC2867" s="717"/>
      <c r="CD2867" s="717"/>
      <c r="CE2867" s="717"/>
      <c r="CF2867" s="717"/>
      <c r="CG2867" s="717"/>
      <c r="CH2867" s="717"/>
      <c r="CI2867" s="717"/>
      <c r="CJ2867" s="717"/>
      <c r="CK2867" s="717"/>
      <c r="CL2867" s="717"/>
      <c r="CM2867" s="717"/>
      <c r="CN2867" s="717"/>
      <c r="CO2867" s="717"/>
      <c r="CP2867" s="717"/>
      <c r="CQ2867" s="717"/>
      <c r="CR2867" s="717"/>
      <c r="CS2867" s="717"/>
      <c r="CT2867" s="717"/>
      <c r="CU2867" s="717"/>
      <c r="CV2867" s="717"/>
      <c r="CW2867" s="717"/>
      <c r="CX2867" s="717"/>
      <c r="CY2867" s="717"/>
      <c r="CZ2867" s="717"/>
      <c r="DA2867" s="717"/>
      <c r="DB2867" s="717"/>
      <c r="DC2867" s="717"/>
      <c r="DD2867" s="717"/>
      <c r="DE2867" s="717"/>
      <c r="DF2867" s="717"/>
      <c r="DG2867" s="717"/>
      <c r="DH2867" s="717"/>
      <c r="DI2867" s="717"/>
      <c r="DJ2867" s="717"/>
      <c r="DM2867" s="711"/>
      <c r="DN2867" s="711"/>
      <c r="DO2867" s="711"/>
      <c r="DP2867" s="711"/>
      <c r="DQ2867" s="711"/>
    </row>
    <row r="2868" spans="13:121" s="709" customFormat="1" hidden="1">
      <c r="M2868" s="710"/>
      <c r="P2868" s="711"/>
      <c r="Q2868" s="712"/>
      <c r="U2868" s="711"/>
      <c r="V2868" s="711"/>
      <c r="W2868" s="711"/>
      <c r="X2868" s="711"/>
      <c r="Y2868" s="711"/>
      <c r="Z2868" s="711"/>
      <c r="AU2868" s="713"/>
      <c r="AW2868" s="712"/>
      <c r="BY2868" s="714"/>
      <c r="BZ2868" s="715"/>
      <c r="CA2868" s="716"/>
      <c r="CB2868" s="717"/>
      <c r="CC2868" s="717"/>
      <c r="CD2868" s="717"/>
      <c r="CE2868" s="717"/>
      <c r="CF2868" s="717"/>
      <c r="CG2868" s="717"/>
      <c r="CH2868" s="717"/>
      <c r="CI2868" s="717"/>
      <c r="CJ2868" s="717"/>
      <c r="CK2868" s="717"/>
      <c r="CL2868" s="717"/>
      <c r="CM2868" s="717"/>
      <c r="CN2868" s="717"/>
      <c r="CO2868" s="717"/>
      <c r="CP2868" s="717"/>
      <c r="CQ2868" s="717"/>
      <c r="CR2868" s="717"/>
      <c r="CS2868" s="717"/>
      <c r="CT2868" s="717"/>
      <c r="CU2868" s="717"/>
      <c r="CV2868" s="717"/>
      <c r="CW2868" s="717"/>
      <c r="CX2868" s="717"/>
      <c r="CY2868" s="717"/>
      <c r="CZ2868" s="717"/>
      <c r="DA2868" s="717"/>
      <c r="DB2868" s="717"/>
      <c r="DC2868" s="717"/>
      <c r="DD2868" s="717"/>
      <c r="DE2868" s="717"/>
      <c r="DF2868" s="717"/>
      <c r="DG2868" s="717"/>
      <c r="DH2868" s="717"/>
      <c r="DI2868" s="717"/>
      <c r="DJ2868" s="717"/>
      <c r="DM2868" s="711"/>
      <c r="DN2868" s="711"/>
      <c r="DO2868" s="711"/>
      <c r="DP2868" s="711"/>
      <c r="DQ2868" s="711"/>
    </row>
    <row r="2869" spans="13:121" s="709" customFormat="1" hidden="1">
      <c r="M2869" s="710"/>
      <c r="P2869" s="711"/>
      <c r="Q2869" s="712"/>
      <c r="U2869" s="711"/>
      <c r="V2869" s="711"/>
      <c r="W2869" s="711"/>
      <c r="X2869" s="711"/>
      <c r="Y2869" s="711"/>
      <c r="Z2869" s="711"/>
      <c r="AU2869" s="713"/>
      <c r="AW2869" s="712"/>
      <c r="BY2869" s="714"/>
      <c r="BZ2869" s="715"/>
      <c r="CA2869" s="716"/>
      <c r="CB2869" s="717"/>
      <c r="CC2869" s="717"/>
      <c r="CD2869" s="717"/>
      <c r="CE2869" s="717"/>
      <c r="CF2869" s="717"/>
      <c r="CG2869" s="717"/>
      <c r="CH2869" s="717"/>
      <c r="CI2869" s="717"/>
      <c r="CJ2869" s="717"/>
      <c r="CK2869" s="717"/>
      <c r="CL2869" s="717"/>
      <c r="CM2869" s="717"/>
      <c r="CN2869" s="717"/>
      <c r="CO2869" s="717"/>
      <c r="CP2869" s="717"/>
      <c r="CQ2869" s="717"/>
      <c r="CR2869" s="717"/>
      <c r="CS2869" s="717"/>
      <c r="CT2869" s="717"/>
      <c r="CU2869" s="717"/>
      <c r="CV2869" s="717"/>
      <c r="CW2869" s="717"/>
      <c r="CX2869" s="717"/>
      <c r="CY2869" s="717"/>
      <c r="CZ2869" s="717"/>
      <c r="DA2869" s="717"/>
      <c r="DB2869" s="717"/>
      <c r="DC2869" s="717"/>
      <c r="DD2869" s="717"/>
      <c r="DE2869" s="717"/>
      <c r="DF2869" s="717"/>
      <c r="DG2869" s="717"/>
      <c r="DH2869" s="717"/>
      <c r="DI2869" s="717"/>
      <c r="DJ2869" s="717"/>
      <c r="DM2869" s="711"/>
      <c r="DN2869" s="711"/>
      <c r="DO2869" s="711"/>
      <c r="DP2869" s="711"/>
      <c r="DQ2869" s="711"/>
    </row>
    <row r="2870" spans="13:121" s="709" customFormat="1" hidden="1">
      <c r="M2870" s="710"/>
      <c r="P2870" s="711"/>
      <c r="Q2870" s="712"/>
      <c r="U2870" s="711"/>
      <c r="V2870" s="711"/>
      <c r="W2870" s="711"/>
      <c r="X2870" s="711"/>
      <c r="Y2870" s="711"/>
      <c r="Z2870" s="711"/>
      <c r="AU2870" s="713"/>
      <c r="AW2870" s="712"/>
      <c r="BY2870" s="714"/>
      <c r="BZ2870" s="715"/>
      <c r="CA2870" s="716"/>
      <c r="CB2870" s="717"/>
      <c r="CC2870" s="717"/>
      <c r="CD2870" s="717"/>
      <c r="CE2870" s="717"/>
      <c r="CF2870" s="717"/>
      <c r="CG2870" s="717"/>
      <c r="CH2870" s="717"/>
      <c r="CI2870" s="717"/>
      <c r="CJ2870" s="717"/>
      <c r="CK2870" s="717"/>
      <c r="CL2870" s="717"/>
      <c r="CM2870" s="717"/>
      <c r="CN2870" s="717"/>
      <c r="CO2870" s="717"/>
      <c r="CP2870" s="717"/>
      <c r="CQ2870" s="717"/>
      <c r="CR2870" s="717"/>
      <c r="CS2870" s="717"/>
      <c r="CT2870" s="717"/>
      <c r="CU2870" s="717"/>
      <c r="CV2870" s="717"/>
      <c r="CW2870" s="717"/>
      <c r="CX2870" s="717"/>
      <c r="CY2870" s="717"/>
      <c r="CZ2870" s="717"/>
      <c r="DA2870" s="717"/>
      <c r="DB2870" s="717"/>
      <c r="DC2870" s="717"/>
      <c r="DD2870" s="717"/>
      <c r="DE2870" s="717"/>
      <c r="DF2870" s="717"/>
      <c r="DG2870" s="717"/>
      <c r="DH2870" s="717"/>
      <c r="DI2870" s="717"/>
      <c r="DJ2870" s="717"/>
      <c r="DM2870" s="711"/>
      <c r="DN2870" s="711"/>
      <c r="DO2870" s="711"/>
      <c r="DP2870" s="711"/>
      <c r="DQ2870" s="711"/>
    </row>
    <row r="2871" spans="13:121" s="709" customFormat="1" hidden="1">
      <c r="M2871" s="710"/>
      <c r="P2871" s="711"/>
      <c r="Q2871" s="712"/>
      <c r="U2871" s="711"/>
      <c r="V2871" s="711"/>
      <c r="W2871" s="711"/>
      <c r="X2871" s="711"/>
      <c r="Y2871" s="711"/>
      <c r="Z2871" s="711"/>
      <c r="AU2871" s="713"/>
      <c r="AW2871" s="712"/>
      <c r="BY2871" s="714"/>
      <c r="BZ2871" s="715"/>
      <c r="CA2871" s="716"/>
      <c r="CB2871" s="717"/>
      <c r="CC2871" s="717"/>
      <c r="CD2871" s="717"/>
      <c r="CE2871" s="717"/>
      <c r="CF2871" s="717"/>
      <c r="CG2871" s="717"/>
      <c r="CH2871" s="717"/>
      <c r="CI2871" s="717"/>
      <c r="CJ2871" s="717"/>
      <c r="CK2871" s="717"/>
      <c r="CL2871" s="717"/>
      <c r="CM2871" s="717"/>
      <c r="CN2871" s="717"/>
      <c r="CO2871" s="717"/>
      <c r="CP2871" s="717"/>
      <c r="CQ2871" s="717"/>
      <c r="CR2871" s="717"/>
      <c r="CS2871" s="717"/>
      <c r="CT2871" s="717"/>
      <c r="CU2871" s="717"/>
      <c r="CV2871" s="717"/>
      <c r="CW2871" s="717"/>
      <c r="CX2871" s="717"/>
      <c r="CY2871" s="717"/>
      <c r="CZ2871" s="717"/>
      <c r="DA2871" s="717"/>
      <c r="DB2871" s="717"/>
      <c r="DC2871" s="717"/>
      <c r="DD2871" s="717"/>
      <c r="DE2871" s="717"/>
      <c r="DF2871" s="717"/>
      <c r="DG2871" s="717"/>
      <c r="DH2871" s="717"/>
      <c r="DI2871" s="717"/>
      <c r="DJ2871" s="717"/>
      <c r="DM2871" s="711"/>
      <c r="DN2871" s="711"/>
      <c r="DO2871" s="711"/>
      <c r="DP2871" s="711"/>
      <c r="DQ2871" s="711"/>
    </row>
    <row r="2872" spans="13:121" s="709" customFormat="1" hidden="1">
      <c r="M2872" s="710"/>
      <c r="P2872" s="711"/>
      <c r="Q2872" s="712"/>
      <c r="U2872" s="711"/>
      <c r="V2872" s="711"/>
      <c r="W2872" s="711"/>
      <c r="X2872" s="711"/>
      <c r="Y2872" s="711"/>
      <c r="Z2872" s="711"/>
      <c r="AU2872" s="713"/>
      <c r="AW2872" s="712"/>
      <c r="BY2872" s="714"/>
      <c r="BZ2872" s="715"/>
      <c r="CA2872" s="716"/>
      <c r="CB2872" s="717"/>
      <c r="CC2872" s="717"/>
      <c r="CD2872" s="717"/>
      <c r="CE2872" s="717"/>
      <c r="CF2872" s="717"/>
      <c r="CG2872" s="717"/>
      <c r="CH2872" s="717"/>
      <c r="CI2872" s="717"/>
      <c r="CJ2872" s="717"/>
      <c r="CK2872" s="717"/>
      <c r="CL2872" s="717"/>
      <c r="CM2872" s="717"/>
      <c r="CN2872" s="717"/>
      <c r="CO2872" s="717"/>
      <c r="CP2872" s="717"/>
      <c r="CQ2872" s="717"/>
      <c r="CR2872" s="717"/>
      <c r="CS2872" s="717"/>
      <c r="CT2872" s="717"/>
      <c r="CU2872" s="717"/>
      <c r="CV2872" s="717"/>
      <c r="CW2872" s="717"/>
      <c r="CX2872" s="717"/>
      <c r="CY2872" s="717"/>
      <c r="CZ2872" s="717"/>
      <c r="DA2872" s="717"/>
      <c r="DB2872" s="717"/>
      <c r="DC2872" s="717"/>
      <c r="DD2872" s="717"/>
      <c r="DE2872" s="717"/>
      <c r="DF2872" s="717"/>
      <c r="DG2872" s="717"/>
      <c r="DH2872" s="717"/>
      <c r="DI2872" s="717"/>
      <c r="DJ2872" s="717"/>
      <c r="DM2872" s="711"/>
      <c r="DN2872" s="711"/>
      <c r="DO2872" s="711"/>
      <c r="DP2872" s="711"/>
      <c r="DQ2872" s="711"/>
    </row>
    <row r="2873" spans="13:121" s="709" customFormat="1" hidden="1">
      <c r="M2873" s="710"/>
      <c r="P2873" s="711"/>
      <c r="Q2873" s="712"/>
      <c r="U2873" s="711"/>
      <c r="V2873" s="711"/>
      <c r="W2873" s="711"/>
      <c r="X2873" s="711"/>
      <c r="Y2873" s="711"/>
      <c r="Z2873" s="711"/>
      <c r="AU2873" s="713"/>
      <c r="AW2873" s="712"/>
      <c r="BY2873" s="714"/>
      <c r="BZ2873" s="715"/>
      <c r="CA2873" s="716"/>
      <c r="CB2873" s="717"/>
      <c r="CC2873" s="717"/>
      <c r="CD2873" s="717"/>
      <c r="CE2873" s="717"/>
      <c r="CF2873" s="717"/>
      <c r="CG2873" s="717"/>
      <c r="CH2873" s="717"/>
      <c r="CI2873" s="717"/>
      <c r="CJ2873" s="717"/>
      <c r="CK2873" s="717"/>
      <c r="CL2873" s="717"/>
      <c r="CM2873" s="717"/>
      <c r="CN2873" s="717"/>
      <c r="CO2873" s="717"/>
      <c r="CP2873" s="717"/>
      <c r="CQ2873" s="717"/>
      <c r="CR2873" s="717"/>
      <c r="CS2873" s="717"/>
      <c r="CT2873" s="717"/>
      <c r="CU2873" s="717"/>
      <c r="CV2873" s="717"/>
      <c r="CW2873" s="717"/>
      <c r="CX2873" s="717"/>
      <c r="CY2873" s="717"/>
      <c r="CZ2873" s="717"/>
      <c r="DA2873" s="717"/>
      <c r="DB2873" s="717"/>
      <c r="DC2873" s="717"/>
      <c r="DD2873" s="717"/>
      <c r="DE2873" s="717"/>
      <c r="DF2873" s="717"/>
      <c r="DG2873" s="717"/>
      <c r="DH2873" s="717"/>
      <c r="DI2873" s="717"/>
      <c r="DJ2873" s="717"/>
      <c r="DM2873" s="711"/>
      <c r="DN2873" s="711"/>
      <c r="DO2873" s="711"/>
      <c r="DP2873" s="711"/>
      <c r="DQ2873" s="711"/>
    </row>
    <row r="2874" spans="13:121" s="709" customFormat="1" hidden="1">
      <c r="M2874" s="710"/>
      <c r="P2874" s="711"/>
      <c r="Q2874" s="712"/>
      <c r="U2874" s="711"/>
      <c r="V2874" s="711"/>
      <c r="W2874" s="711"/>
      <c r="X2874" s="711"/>
      <c r="Y2874" s="711"/>
      <c r="Z2874" s="711"/>
      <c r="AU2874" s="713"/>
      <c r="AW2874" s="712"/>
      <c r="BY2874" s="714"/>
      <c r="BZ2874" s="715"/>
      <c r="CA2874" s="716"/>
      <c r="CB2874" s="717"/>
      <c r="CC2874" s="717"/>
      <c r="CD2874" s="717"/>
      <c r="CE2874" s="717"/>
      <c r="CF2874" s="717"/>
      <c r="CG2874" s="717"/>
      <c r="CH2874" s="717"/>
      <c r="CI2874" s="717"/>
      <c r="CJ2874" s="717"/>
      <c r="CK2874" s="717"/>
      <c r="CL2874" s="717"/>
      <c r="CM2874" s="717"/>
      <c r="CN2874" s="717"/>
      <c r="CO2874" s="717"/>
      <c r="CP2874" s="717"/>
      <c r="CQ2874" s="717"/>
      <c r="CR2874" s="717"/>
      <c r="CS2874" s="717"/>
      <c r="CT2874" s="717"/>
      <c r="CU2874" s="717"/>
      <c r="CV2874" s="717"/>
      <c r="CW2874" s="717"/>
      <c r="CX2874" s="717"/>
      <c r="CY2874" s="717"/>
      <c r="CZ2874" s="717"/>
      <c r="DA2874" s="717"/>
      <c r="DB2874" s="717"/>
      <c r="DC2874" s="717"/>
      <c r="DD2874" s="717"/>
      <c r="DE2874" s="717"/>
      <c r="DF2874" s="717"/>
      <c r="DG2874" s="717"/>
      <c r="DH2874" s="717"/>
      <c r="DI2874" s="717"/>
      <c r="DJ2874" s="717"/>
      <c r="DM2874" s="711"/>
      <c r="DN2874" s="711"/>
      <c r="DO2874" s="711"/>
      <c r="DP2874" s="711"/>
      <c r="DQ2874" s="711"/>
    </row>
    <row r="2875" spans="13:121" s="709" customFormat="1" hidden="1">
      <c r="M2875" s="710"/>
      <c r="P2875" s="711"/>
      <c r="Q2875" s="712"/>
      <c r="U2875" s="711"/>
      <c r="V2875" s="711"/>
      <c r="W2875" s="711"/>
      <c r="X2875" s="711"/>
      <c r="Y2875" s="711"/>
      <c r="Z2875" s="711"/>
      <c r="AU2875" s="713"/>
      <c r="AW2875" s="712"/>
      <c r="BY2875" s="714"/>
      <c r="BZ2875" s="715"/>
      <c r="CA2875" s="716"/>
      <c r="CB2875" s="717"/>
      <c r="CC2875" s="717"/>
      <c r="CD2875" s="717"/>
      <c r="CE2875" s="717"/>
      <c r="CF2875" s="717"/>
      <c r="CG2875" s="717"/>
      <c r="CH2875" s="717"/>
      <c r="CI2875" s="717"/>
      <c r="CJ2875" s="717"/>
      <c r="CK2875" s="717"/>
      <c r="CL2875" s="717"/>
      <c r="CM2875" s="717"/>
      <c r="CN2875" s="717"/>
      <c r="CO2875" s="717"/>
      <c r="CP2875" s="717"/>
      <c r="CQ2875" s="717"/>
      <c r="CR2875" s="717"/>
      <c r="CS2875" s="717"/>
      <c r="CT2875" s="717"/>
      <c r="CU2875" s="717"/>
      <c r="CV2875" s="717"/>
      <c r="CW2875" s="717"/>
      <c r="CX2875" s="717"/>
      <c r="CY2875" s="717"/>
      <c r="CZ2875" s="717"/>
      <c r="DA2875" s="717"/>
      <c r="DB2875" s="717"/>
      <c r="DC2875" s="717"/>
      <c r="DD2875" s="717"/>
      <c r="DE2875" s="717"/>
      <c r="DF2875" s="717"/>
      <c r="DG2875" s="717"/>
      <c r="DH2875" s="717"/>
      <c r="DI2875" s="717"/>
      <c r="DJ2875" s="717"/>
      <c r="DM2875" s="711"/>
      <c r="DN2875" s="711"/>
      <c r="DO2875" s="711"/>
      <c r="DP2875" s="711"/>
      <c r="DQ2875" s="711"/>
    </row>
    <row r="2876" spans="13:121" s="709" customFormat="1" hidden="1">
      <c r="M2876" s="710"/>
      <c r="P2876" s="711"/>
      <c r="Q2876" s="712"/>
      <c r="U2876" s="711"/>
      <c r="V2876" s="711"/>
      <c r="W2876" s="711"/>
      <c r="X2876" s="711"/>
      <c r="Y2876" s="711"/>
      <c r="Z2876" s="711"/>
      <c r="AU2876" s="713"/>
      <c r="AW2876" s="712"/>
      <c r="BY2876" s="714"/>
      <c r="BZ2876" s="715"/>
      <c r="CA2876" s="716"/>
      <c r="CB2876" s="717"/>
      <c r="CC2876" s="717"/>
      <c r="CD2876" s="717"/>
      <c r="CE2876" s="717"/>
      <c r="CF2876" s="717"/>
      <c r="CG2876" s="717"/>
      <c r="CH2876" s="717"/>
      <c r="CI2876" s="717"/>
      <c r="CJ2876" s="717"/>
      <c r="CK2876" s="717"/>
      <c r="CL2876" s="717"/>
      <c r="CM2876" s="717"/>
      <c r="CN2876" s="717"/>
      <c r="CO2876" s="717"/>
      <c r="CP2876" s="717"/>
      <c r="CQ2876" s="717"/>
      <c r="CR2876" s="717"/>
      <c r="CS2876" s="717"/>
      <c r="CT2876" s="717"/>
      <c r="CU2876" s="717"/>
      <c r="CV2876" s="717"/>
      <c r="CW2876" s="717"/>
      <c r="CX2876" s="717"/>
      <c r="CY2876" s="717"/>
      <c r="CZ2876" s="717"/>
      <c r="DA2876" s="717"/>
      <c r="DB2876" s="717"/>
      <c r="DC2876" s="717"/>
      <c r="DD2876" s="717"/>
      <c r="DE2876" s="717"/>
      <c r="DF2876" s="717"/>
      <c r="DG2876" s="717"/>
      <c r="DH2876" s="717"/>
      <c r="DI2876" s="717"/>
      <c r="DJ2876" s="717"/>
      <c r="DM2876" s="711"/>
      <c r="DN2876" s="711"/>
      <c r="DO2876" s="711"/>
      <c r="DP2876" s="711"/>
      <c r="DQ2876" s="711"/>
    </row>
    <row r="2877" spans="13:121" s="709" customFormat="1" hidden="1">
      <c r="M2877" s="710"/>
      <c r="P2877" s="711"/>
      <c r="Q2877" s="712"/>
      <c r="U2877" s="711"/>
      <c r="V2877" s="711"/>
      <c r="W2877" s="711"/>
      <c r="X2877" s="711"/>
      <c r="Y2877" s="711"/>
      <c r="Z2877" s="711"/>
      <c r="AU2877" s="713"/>
      <c r="AW2877" s="712"/>
      <c r="BY2877" s="714"/>
      <c r="BZ2877" s="715"/>
      <c r="CA2877" s="716"/>
      <c r="CB2877" s="717"/>
      <c r="CC2877" s="717"/>
      <c r="CD2877" s="717"/>
      <c r="CE2877" s="717"/>
      <c r="CF2877" s="717"/>
      <c r="CG2877" s="717"/>
      <c r="CH2877" s="717"/>
      <c r="CI2877" s="717"/>
      <c r="CJ2877" s="717"/>
      <c r="CK2877" s="717"/>
      <c r="CL2877" s="717"/>
      <c r="CM2877" s="717"/>
      <c r="CN2877" s="717"/>
      <c r="CO2877" s="717"/>
      <c r="CP2877" s="717"/>
      <c r="CQ2877" s="717"/>
      <c r="CR2877" s="717"/>
      <c r="CS2877" s="717"/>
      <c r="CT2877" s="717"/>
      <c r="CU2877" s="717"/>
      <c r="CV2877" s="717"/>
      <c r="CW2877" s="717"/>
      <c r="CX2877" s="717"/>
      <c r="CY2877" s="717"/>
      <c r="CZ2877" s="717"/>
      <c r="DA2877" s="717"/>
      <c r="DB2877" s="717"/>
      <c r="DC2877" s="717"/>
      <c r="DD2877" s="717"/>
      <c r="DE2877" s="717"/>
      <c r="DF2877" s="717"/>
      <c r="DG2877" s="717"/>
      <c r="DH2877" s="717"/>
      <c r="DI2877" s="717"/>
      <c r="DJ2877" s="717"/>
      <c r="DM2877" s="711"/>
      <c r="DN2877" s="711"/>
      <c r="DO2877" s="711"/>
      <c r="DP2877" s="711"/>
      <c r="DQ2877" s="711"/>
    </row>
    <row r="2878" spans="13:121" s="709" customFormat="1" hidden="1">
      <c r="M2878" s="710"/>
      <c r="P2878" s="711"/>
      <c r="Q2878" s="712"/>
      <c r="U2878" s="711"/>
      <c r="V2878" s="711"/>
      <c r="W2878" s="711"/>
      <c r="X2878" s="711"/>
      <c r="Y2878" s="711"/>
      <c r="Z2878" s="711"/>
      <c r="AU2878" s="713"/>
      <c r="AW2878" s="712"/>
      <c r="BY2878" s="714"/>
      <c r="BZ2878" s="715"/>
      <c r="CA2878" s="716"/>
      <c r="CB2878" s="717"/>
      <c r="CC2878" s="717"/>
      <c r="CD2878" s="717"/>
      <c r="CE2878" s="717"/>
      <c r="CF2878" s="717"/>
      <c r="CG2878" s="717"/>
      <c r="CH2878" s="717"/>
      <c r="CI2878" s="717"/>
      <c r="CJ2878" s="717"/>
      <c r="CK2878" s="717"/>
      <c r="CL2878" s="717"/>
      <c r="CM2878" s="717"/>
      <c r="CN2878" s="717"/>
      <c r="CO2878" s="717"/>
      <c r="CP2878" s="717"/>
      <c r="CQ2878" s="717"/>
      <c r="CR2878" s="717"/>
      <c r="CS2878" s="717"/>
      <c r="CT2878" s="717"/>
      <c r="CU2878" s="717"/>
      <c r="CV2878" s="717"/>
      <c r="CW2878" s="717"/>
      <c r="CX2878" s="717"/>
      <c r="CY2878" s="717"/>
      <c r="CZ2878" s="717"/>
      <c r="DA2878" s="717"/>
      <c r="DB2878" s="717"/>
      <c r="DC2878" s="717"/>
      <c r="DD2878" s="717"/>
      <c r="DE2878" s="717"/>
      <c r="DF2878" s="717"/>
      <c r="DG2878" s="717"/>
      <c r="DH2878" s="717"/>
      <c r="DI2878" s="717"/>
      <c r="DJ2878" s="717"/>
      <c r="DM2878" s="711"/>
      <c r="DN2878" s="711"/>
      <c r="DO2878" s="711"/>
      <c r="DP2878" s="711"/>
      <c r="DQ2878" s="711"/>
    </row>
    <row r="2879" spans="13:121" s="709" customFormat="1" hidden="1">
      <c r="M2879" s="710"/>
      <c r="P2879" s="711"/>
      <c r="Q2879" s="712"/>
      <c r="U2879" s="711"/>
      <c r="V2879" s="711"/>
      <c r="W2879" s="711"/>
      <c r="X2879" s="711"/>
      <c r="Y2879" s="711"/>
      <c r="Z2879" s="711"/>
      <c r="AU2879" s="713"/>
      <c r="AW2879" s="712"/>
      <c r="BY2879" s="714"/>
      <c r="BZ2879" s="715"/>
      <c r="CA2879" s="716"/>
      <c r="CB2879" s="717"/>
      <c r="CC2879" s="717"/>
      <c r="CD2879" s="717"/>
      <c r="CE2879" s="717"/>
      <c r="CF2879" s="717"/>
      <c r="CG2879" s="717"/>
      <c r="CH2879" s="717"/>
      <c r="CI2879" s="717"/>
      <c r="CJ2879" s="717"/>
      <c r="CK2879" s="717"/>
      <c r="CL2879" s="717"/>
      <c r="CM2879" s="717"/>
      <c r="CN2879" s="717"/>
      <c r="CO2879" s="717"/>
      <c r="CP2879" s="717"/>
      <c r="CQ2879" s="717"/>
      <c r="CR2879" s="717"/>
      <c r="CS2879" s="717"/>
      <c r="CT2879" s="717"/>
      <c r="CU2879" s="717"/>
      <c r="CV2879" s="717"/>
      <c r="CW2879" s="717"/>
      <c r="CX2879" s="717"/>
      <c r="CY2879" s="717"/>
      <c r="CZ2879" s="717"/>
      <c r="DA2879" s="717"/>
      <c r="DB2879" s="717"/>
      <c r="DC2879" s="717"/>
      <c r="DD2879" s="717"/>
      <c r="DE2879" s="717"/>
      <c r="DF2879" s="717"/>
      <c r="DG2879" s="717"/>
      <c r="DH2879" s="717"/>
      <c r="DI2879" s="717"/>
      <c r="DJ2879" s="717"/>
      <c r="DM2879" s="711"/>
      <c r="DN2879" s="711"/>
      <c r="DO2879" s="711"/>
      <c r="DP2879" s="711"/>
      <c r="DQ2879" s="711"/>
    </row>
    <row r="2880" spans="13:121" s="709" customFormat="1" hidden="1">
      <c r="M2880" s="710"/>
      <c r="P2880" s="711"/>
      <c r="Q2880" s="712"/>
      <c r="U2880" s="711"/>
      <c r="V2880" s="711"/>
      <c r="W2880" s="711"/>
      <c r="X2880" s="711"/>
      <c r="Y2880" s="711"/>
      <c r="Z2880" s="711"/>
      <c r="AU2880" s="713"/>
      <c r="AW2880" s="712"/>
      <c r="BY2880" s="714"/>
      <c r="BZ2880" s="715"/>
      <c r="CA2880" s="716"/>
      <c r="CB2880" s="717"/>
      <c r="CC2880" s="717"/>
      <c r="CD2880" s="717"/>
      <c r="CE2880" s="717"/>
      <c r="CF2880" s="717"/>
      <c r="CG2880" s="717"/>
      <c r="CH2880" s="717"/>
      <c r="CI2880" s="717"/>
      <c r="CJ2880" s="717"/>
      <c r="CK2880" s="717"/>
      <c r="CL2880" s="717"/>
      <c r="CM2880" s="717"/>
      <c r="CN2880" s="717"/>
      <c r="CO2880" s="717"/>
      <c r="CP2880" s="717"/>
      <c r="CQ2880" s="717"/>
      <c r="CR2880" s="717"/>
      <c r="CS2880" s="717"/>
      <c r="CT2880" s="717"/>
      <c r="CU2880" s="717"/>
      <c r="CV2880" s="717"/>
      <c r="CW2880" s="717"/>
      <c r="CX2880" s="717"/>
      <c r="CY2880" s="717"/>
      <c r="CZ2880" s="717"/>
      <c r="DA2880" s="717"/>
      <c r="DB2880" s="717"/>
      <c r="DC2880" s="717"/>
      <c r="DD2880" s="717"/>
      <c r="DE2880" s="717"/>
      <c r="DF2880" s="717"/>
      <c r="DG2880" s="717"/>
      <c r="DH2880" s="717"/>
      <c r="DI2880" s="717"/>
      <c r="DJ2880" s="717"/>
      <c r="DM2880" s="711"/>
      <c r="DN2880" s="711"/>
      <c r="DO2880" s="711"/>
      <c r="DP2880" s="711"/>
      <c r="DQ2880" s="711"/>
    </row>
    <row r="2881" spans="13:121" s="709" customFormat="1" hidden="1">
      <c r="M2881" s="710"/>
      <c r="P2881" s="711"/>
      <c r="Q2881" s="712"/>
      <c r="U2881" s="711"/>
      <c r="V2881" s="711"/>
      <c r="W2881" s="711"/>
      <c r="X2881" s="711"/>
      <c r="Y2881" s="711"/>
      <c r="Z2881" s="711"/>
      <c r="AU2881" s="713"/>
      <c r="AW2881" s="712"/>
      <c r="BY2881" s="714"/>
      <c r="BZ2881" s="715"/>
      <c r="CA2881" s="716"/>
      <c r="CB2881" s="717"/>
      <c r="CC2881" s="717"/>
      <c r="CD2881" s="717"/>
      <c r="CE2881" s="717"/>
      <c r="CF2881" s="717"/>
      <c r="CG2881" s="717"/>
      <c r="CH2881" s="717"/>
      <c r="CI2881" s="717"/>
      <c r="CJ2881" s="717"/>
      <c r="CK2881" s="717"/>
      <c r="CL2881" s="717"/>
      <c r="CM2881" s="717"/>
      <c r="CN2881" s="717"/>
      <c r="CO2881" s="717"/>
      <c r="CP2881" s="717"/>
      <c r="CQ2881" s="717"/>
      <c r="CR2881" s="717"/>
      <c r="CS2881" s="717"/>
      <c r="CT2881" s="717"/>
      <c r="CU2881" s="717"/>
      <c r="CV2881" s="717"/>
      <c r="CW2881" s="717"/>
      <c r="CX2881" s="717"/>
      <c r="CY2881" s="717"/>
      <c r="CZ2881" s="717"/>
      <c r="DA2881" s="717"/>
      <c r="DB2881" s="717"/>
      <c r="DC2881" s="717"/>
      <c r="DD2881" s="717"/>
      <c r="DE2881" s="717"/>
      <c r="DF2881" s="717"/>
      <c r="DG2881" s="717"/>
      <c r="DH2881" s="717"/>
      <c r="DI2881" s="717"/>
      <c r="DJ2881" s="717"/>
      <c r="DM2881" s="711"/>
      <c r="DN2881" s="711"/>
      <c r="DO2881" s="711"/>
      <c r="DP2881" s="711"/>
      <c r="DQ2881" s="711"/>
    </row>
    <row r="2882" spans="13:121" s="709" customFormat="1" hidden="1">
      <c r="M2882" s="710"/>
      <c r="P2882" s="711"/>
      <c r="Q2882" s="712"/>
      <c r="U2882" s="711"/>
      <c r="V2882" s="711"/>
      <c r="W2882" s="711"/>
      <c r="X2882" s="711"/>
      <c r="Y2882" s="711"/>
      <c r="Z2882" s="711"/>
      <c r="AU2882" s="713"/>
      <c r="AW2882" s="712"/>
      <c r="BY2882" s="714"/>
      <c r="BZ2882" s="715"/>
      <c r="CA2882" s="716"/>
      <c r="CB2882" s="717"/>
      <c r="CC2882" s="717"/>
      <c r="CD2882" s="717"/>
      <c r="CE2882" s="717"/>
      <c r="CF2882" s="717"/>
      <c r="CG2882" s="717"/>
      <c r="CH2882" s="717"/>
      <c r="CI2882" s="717"/>
      <c r="CJ2882" s="717"/>
      <c r="CK2882" s="717"/>
      <c r="CL2882" s="717"/>
      <c r="CM2882" s="717"/>
      <c r="CN2882" s="717"/>
      <c r="CO2882" s="717"/>
      <c r="CP2882" s="717"/>
      <c r="CQ2882" s="717"/>
      <c r="CR2882" s="717"/>
      <c r="CS2882" s="717"/>
      <c r="CT2882" s="717"/>
      <c r="CU2882" s="717"/>
      <c r="CV2882" s="717"/>
      <c r="CW2882" s="717"/>
      <c r="CX2882" s="717"/>
      <c r="CY2882" s="717"/>
      <c r="CZ2882" s="717"/>
      <c r="DA2882" s="717"/>
      <c r="DB2882" s="717"/>
      <c r="DC2882" s="717"/>
      <c r="DD2882" s="717"/>
      <c r="DE2882" s="717"/>
      <c r="DF2882" s="717"/>
      <c r="DG2882" s="717"/>
      <c r="DH2882" s="717"/>
      <c r="DI2882" s="717"/>
      <c r="DJ2882" s="717"/>
      <c r="DM2882" s="711"/>
      <c r="DN2882" s="711"/>
      <c r="DO2882" s="711"/>
      <c r="DP2882" s="711"/>
      <c r="DQ2882" s="711"/>
    </row>
    <row r="2883" spans="13:121" s="709" customFormat="1" hidden="1">
      <c r="M2883" s="710"/>
      <c r="P2883" s="711"/>
      <c r="Q2883" s="712"/>
      <c r="U2883" s="711"/>
      <c r="V2883" s="711"/>
      <c r="W2883" s="711"/>
      <c r="X2883" s="711"/>
      <c r="Y2883" s="711"/>
      <c r="Z2883" s="711"/>
      <c r="AU2883" s="713"/>
      <c r="AW2883" s="712"/>
      <c r="BY2883" s="714"/>
      <c r="BZ2883" s="715"/>
      <c r="CA2883" s="716"/>
      <c r="CB2883" s="717"/>
      <c r="CC2883" s="717"/>
      <c r="CD2883" s="717"/>
      <c r="CE2883" s="717"/>
      <c r="CF2883" s="717"/>
      <c r="CG2883" s="717"/>
      <c r="CH2883" s="717"/>
      <c r="CI2883" s="717"/>
      <c r="CJ2883" s="717"/>
      <c r="CK2883" s="717"/>
      <c r="CL2883" s="717"/>
      <c r="CM2883" s="717"/>
      <c r="CN2883" s="717"/>
      <c r="CO2883" s="717"/>
      <c r="CP2883" s="717"/>
      <c r="CQ2883" s="717"/>
      <c r="CR2883" s="717"/>
      <c r="CS2883" s="717"/>
      <c r="CT2883" s="717"/>
      <c r="CU2883" s="717"/>
      <c r="CV2883" s="717"/>
      <c r="CW2883" s="717"/>
      <c r="CX2883" s="717"/>
      <c r="CY2883" s="717"/>
      <c r="CZ2883" s="717"/>
      <c r="DA2883" s="717"/>
      <c r="DB2883" s="717"/>
      <c r="DC2883" s="717"/>
      <c r="DD2883" s="717"/>
      <c r="DE2883" s="717"/>
      <c r="DF2883" s="717"/>
      <c r="DG2883" s="717"/>
      <c r="DH2883" s="717"/>
      <c r="DI2883" s="717"/>
      <c r="DJ2883" s="717"/>
      <c r="DM2883" s="711"/>
      <c r="DN2883" s="711"/>
      <c r="DO2883" s="711"/>
      <c r="DP2883" s="711"/>
      <c r="DQ2883" s="711"/>
    </row>
    <row r="2884" spans="13:121" s="709" customFormat="1" hidden="1">
      <c r="M2884" s="710"/>
      <c r="P2884" s="711"/>
      <c r="Q2884" s="712"/>
      <c r="U2884" s="711"/>
      <c r="V2884" s="711"/>
      <c r="W2884" s="711"/>
      <c r="X2884" s="711"/>
      <c r="Y2884" s="711"/>
      <c r="Z2884" s="711"/>
      <c r="AU2884" s="713"/>
      <c r="AW2884" s="712"/>
      <c r="BY2884" s="714"/>
      <c r="BZ2884" s="715"/>
      <c r="CA2884" s="716"/>
      <c r="CB2884" s="717"/>
      <c r="CC2884" s="717"/>
      <c r="CD2884" s="717"/>
      <c r="CE2884" s="717"/>
      <c r="CF2884" s="717"/>
      <c r="CG2884" s="717"/>
      <c r="CH2884" s="717"/>
      <c r="CI2884" s="717"/>
      <c r="CJ2884" s="717"/>
      <c r="CK2884" s="717"/>
      <c r="CL2884" s="717"/>
      <c r="CM2884" s="717"/>
      <c r="CN2884" s="717"/>
      <c r="CO2884" s="717"/>
      <c r="CP2884" s="717"/>
      <c r="CQ2884" s="717"/>
      <c r="CR2884" s="717"/>
      <c r="CS2884" s="717"/>
      <c r="CT2884" s="717"/>
      <c r="CU2884" s="717"/>
      <c r="CV2884" s="717"/>
      <c r="CW2884" s="717"/>
      <c r="CX2884" s="717"/>
      <c r="CY2884" s="717"/>
      <c r="CZ2884" s="717"/>
      <c r="DA2884" s="717"/>
      <c r="DB2884" s="717"/>
      <c r="DC2884" s="717"/>
      <c r="DD2884" s="717"/>
      <c r="DE2884" s="717"/>
      <c r="DF2884" s="717"/>
      <c r="DG2884" s="717"/>
      <c r="DH2884" s="717"/>
      <c r="DI2884" s="717"/>
      <c r="DJ2884" s="717"/>
      <c r="DM2884" s="711"/>
      <c r="DN2884" s="711"/>
      <c r="DO2884" s="711"/>
      <c r="DP2884" s="711"/>
      <c r="DQ2884" s="711"/>
    </row>
    <row r="2885" spans="13:121" s="709" customFormat="1" hidden="1">
      <c r="M2885" s="710"/>
      <c r="P2885" s="711"/>
      <c r="Q2885" s="712"/>
      <c r="U2885" s="711"/>
      <c r="V2885" s="711"/>
      <c r="W2885" s="711"/>
      <c r="X2885" s="711"/>
      <c r="Y2885" s="711"/>
      <c r="Z2885" s="711"/>
      <c r="AU2885" s="713"/>
      <c r="AW2885" s="712"/>
      <c r="BY2885" s="714"/>
      <c r="BZ2885" s="715"/>
      <c r="CA2885" s="716"/>
      <c r="CB2885" s="717"/>
      <c r="CC2885" s="717"/>
      <c r="CD2885" s="717"/>
      <c r="CE2885" s="717"/>
      <c r="CF2885" s="717"/>
      <c r="CG2885" s="717"/>
      <c r="CH2885" s="717"/>
      <c r="CI2885" s="717"/>
      <c r="CJ2885" s="717"/>
      <c r="CK2885" s="717"/>
      <c r="CL2885" s="717"/>
      <c r="CM2885" s="717"/>
      <c r="CN2885" s="717"/>
      <c r="CO2885" s="717"/>
      <c r="CP2885" s="717"/>
      <c r="CQ2885" s="717"/>
      <c r="CR2885" s="717"/>
      <c r="CS2885" s="717"/>
      <c r="CT2885" s="717"/>
      <c r="CU2885" s="717"/>
      <c r="CV2885" s="717"/>
      <c r="CW2885" s="717"/>
      <c r="CX2885" s="717"/>
      <c r="CY2885" s="717"/>
      <c r="CZ2885" s="717"/>
      <c r="DA2885" s="717"/>
      <c r="DB2885" s="717"/>
      <c r="DC2885" s="717"/>
      <c r="DD2885" s="717"/>
      <c r="DE2885" s="717"/>
      <c r="DF2885" s="717"/>
      <c r="DG2885" s="717"/>
      <c r="DH2885" s="717"/>
      <c r="DI2885" s="717"/>
      <c r="DJ2885" s="717"/>
      <c r="DM2885" s="711"/>
      <c r="DN2885" s="711"/>
      <c r="DO2885" s="711"/>
      <c r="DP2885" s="711"/>
      <c r="DQ2885" s="711"/>
    </row>
    <row r="2886" spans="13:121" s="709" customFormat="1" hidden="1">
      <c r="M2886" s="710"/>
      <c r="P2886" s="711"/>
      <c r="Q2886" s="712"/>
      <c r="U2886" s="711"/>
      <c r="V2886" s="711"/>
      <c r="W2886" s="711"/>
      <c r="X2886" s="711"/>
      <c r="Y2886" s="711"/>
      <c r="Z2886" s="711"/>
      <c r="AU2886" s="713"/>
      <c r="AW2886" s="712"/>
      <c r="BY2886" s="714"/>
      <c r="BZ2886" s="715"/>
      <c r="CA2886" s="716"/>
      <c r="CB2886" s="717"/>
      <c r="CC2886" s="717"/>
      <c r="CD2886" s="717"/>
      <c r="CE2886" s="717"/>
      <c r="CF2886" s="717"/>
      <c r="CG2886" s="717"/>
      <c r="CH2886" s="717"/>
      <c r="CI2886" s="717"/>
      <c r="CJ2886" s="717"/>
      <c r="CK2886" s="717"/>
      <c r="CL2886" s="717"/>
      <c r="CM2886" s="717"/>
      <c r="CN2886" s="717"/>
      <c r="CO2886" s="717"/>
      <c r="CP2886" s="717"/>
      <c r="CQ2886" s="717"/>
      <c r="CR2886" s="717"/>
      <c r="CS2886" s="717"/>
      <c r="CT2886" s="717"/>
      <c r="CU2886" s="717"/>
      <c r="CV2886" s="717"/>
      <c r="CW2886" s="717"/>
      <c r="CX2886" s="717"/>
      <c r="CY2886" s="717"/>
      <c r="CZ2886" s="717"/>
      <c r="DA2886" s="717"/>
      <c r="DB2886" s="717"/>
      <c r="DC2886" s="717"/>
      <c r="DD2886" s="717"/>
      <c r="DE2886" s="717"/>
      <c r="DF2886" s="717"/>
      <c r="DG2886" s="717"/>
      <c r="DH2886" s="717"/>
      <c r="DI2886" s="717"/>
      <c r="DJ2886" s="717"/>
      <c r="DM2886" s="711"/>
      <c r="DN2886" s="711"/>
      <c r="DO2886" s="711"/>
      <c r="DP2886" s="711"/>
      <c r="DQ2886" s="711"/>
    </row>
    <row r="2887" spans="13:121" s="709" customFormat="1" hidden="1">
      <c r="M2887" s="710"/>
      <c r="P2887" s="711"/>
      <c r="Q2887" s="712"/>
      <c r="U2887" s="711"/>
      <c r="V2887" s="711"/>
      <c r="W2887" s="711"/>
      <c r="X2887" s="711"/>
      <c r="Y2887" s="711"/>
      <c r="Z2887" s="711"/>
      <c r="AU2887" s="713"/>
      <c r="AW2887" s="712"/>
      <c r="BY2887" s="714"/>
      <c r="BZ2887" s="715"/>
      <c r="CA2887" s="716"/>
      <c r="CB2887" s="717"/>
      <c r="CC2887" s="717"/>
      <c r="CD2887" s="717"/>
      <c r="CE2887" s="717"/>
      <c r="CF2887" s="717"/>
      <c r="CG2887" s="717"/>
      <c r="CH2887" s="717"/>
      <c r="CI2887" s="717"/>
      <c r="CJ2887" s="717"/>
      <c r="CK2887" s="717"/>
      <c r="CL2887" s="717"/>
      <c r="CM2887" s="717"/>
      <c r="CN2887" s="717"/>
      <c r="CO2887" s="717"/>
      <c r="CP2887" s="717"/>
      <c r="CQ2887" s="717"/>
      <c r="CR2887" s="717"/>
      <c r="CS2887" s="717"/>
      <c r="CT2887" s="717"/>
      <c r="CU2887" s="717"/>
      <c r="CV2887" s="717"/>
      <c r="CW2887" s="717"/>
      <c r="CX2887" s="717"/>
      <c r="CY2887" s="717"/>
      <c r="CZ2887" s="717"/>
      <c r="DA2887" s="717"/>
      <c r="DB2887" s="717"/>
      <c r="DC2887" s="717"/>
      <c r="DD2887" s="717"/>
      <c r="DE2887" s="717"/>
      <c r="DF2887" s="717"/>
      <c r="DG2887" s="717"/>
      <c r="DH2887" s="717"/>
      <c r="DI2887" s="717"/>
      <c r="DJ2887" s="717"/>
      <c r="DM2887" s="711"/>
      <c r="DN2887" s="711"/>
      <c r="DO2887" s="711"/>
      <c r="DP2887" s="711"/>
      <c r="DQ2887" s="711"/>
    </row>
    <row r="2888" spans="13:121" s="709" customFormat="1" hidden="1">
      <c r="M2888" s="710"/>
      <c r="P2888" s="711"/>
      <c r="Q2888" s="712"/>
      <c r="U2888" s="711"/>
      <c r="V2888" s="711"/>
      <c r="W2888" s="711"/>
      <c r="X2888" s="711"/>
      <c r="Y2888" s="711"/>
      <c r="Z2888" s="711"/>
      <c r="AU2888" s="713"/>
      <c r="AW2888" s="712"/>
      <c r="BY2888" s="714"/>
      <c r="BZ2888" s="715"/>
      <c r="CA2888" s="716"/>
      <c r="CB2888" s="717"/>
      <c r="CC2888" s="717"/>
      <c r="CD2888" s="717"/>
      <c r="CE2888" s="717"/>
      <c r="CF2888" s="717"/>
      <c r="CG2888" s="717"/>
      <c r="CH2888" s="717"/>
      <c r="CI2888" s="717"/>
      <c r="CJ2888" s="717"/>
      <c r="CK2888" s="717"/>
      <c r="CL2888" s="717"/>
      <c r="CM2888" s="717"/>
      <c r="CN2888" s="717"/>
      <c r="CO2888" s="717"/>
      <c r="CP2888" s="717"/>
      <c r="CQ2888" s="717"/>
      <c r="CR2888" s="717"/>
      <c r="CS2888" s="717"/>
      <c r="CT2888" s="717"/>
      <c r="CU2888" s="717"/>
      <c r="CV2888" s="717"/>
      <c r="CW2888" s="717"/>
      <c r="CX2888" s="717"/>
      <c r="CY2888" s="717"/>
      <c r="CZ2888" s="717"/>
      <c r="DA2888" s="717"/>
      <c r="DB2888" s="717"/>
      <c r="DC2888" s="717"/>
      <c r="DD2888" s="717"/>
      <c r="DE2888" s="717"/>
      <c r="DF2888" s="717"/>
      <c r="DG2888" s="717"/>
      <c r="DH2888" s="717"/>
      <c r="DI2888" s="717"/>
      <c r="DJ2888" s="717"/>
      <c r="DM2888" s="711"/>
      <c r="DN2888" s="711"/>
      <c r="DO2888" s="711"/>
      <c r="DP2888" s="711"/>
      <c r="DQ2888" s="711"/>
    </row>
    <row r="2889" spans="13:121" s="709" customFormat="1" hidden="1">
      <c r="M2889" s="710"/>
      <c r="P2889" s="711"/>
      <c r="Q2889" s="712"/>
      <c r="U2889" s="711"/>
      <c r="V2889" s="711"/>
      <c r="W2889" s="711"/>
      <c r="X2889" s="711"/>
      <c r="Y2889" s="711"/>
      <c r="Z2889" s="711"/>
      <c r="AU2889" s="713"/>
      <c r="AW2889" s="712"/>
      <c r="BY2889" s="714"/>
      <c r="BZ2889" s="715"/>
      <c r="CA2889" s="716"/>
      <c r="CB2889" s="717"/>
      <c r="CC2889" s="717"/>
      <c r="CD2889" s="717"/>
      <c r="CE2889" s="717"/>
      <c r="CF2889" s="717"/>
      <c r="CG2889" s="717"/>
      <c r="CH2889" s="717"/>
      <c r="CI2889" s="717"/>
      <c r="CJ2889" s="717"/>
      <c r="CK2889" s="717"/>
      <c r="CL2889" s="717"/>
      <c r="CM2889" s="717"/>
      <c r="CN2889" s="717"/>
      <c r="CO2889" s="717"/>
      <c r="CP2889" s="717"/>
      <c r="CQ2889" s="717"/>
      <c r="CR2889" s="717"/>
      <c r="CS2889" s="717"/>
      <c r="CT2889" s="717"/>
      <c r="CU2889" s="717"/>
      <c r="CV2889" s="717"/>
      <c r="CW2889" s="717"/>
      <c r="CX2889" s="717"/>
      <c r="CY2889" s="717"/>
      <c r="CZ2889" s="717"/>
      <c r="DA2889" s="717"/>
      <c r="DB2889" s="717"/>
      <c r="DC2889" s="717"/>
      <c r="DD2889" s="717"/>
      <c r="DE2889" s="717"/>
      <c r="DF2889" s="717"/>
      <c r="DG2889" s="717"/>
      <c r="DH2889" s="717"/>
      <c r="DI2889" s="717"/>
      <c r="DJ2889" s="717"/>
      <c r="DM2889" s="711"/>
      <c r="DN2889" s="711"/>
      <c r="DO2889" s="711"/>
      <c r="DP2889" s="711"/>
      <c r="DQ2889" s="711"/>
    </row>
    <row r="2890" spans="13:121" s="709" customFormat="1" hidden="1">
      <c r="M2890" s="710"/>
      <c r="P2890" s="711"/>
      <c r="Q2890" s="712"/>
      <c r="U2890" s="711"/>
      <c r="V2890" s="711"/>
      <c r="W2890" s="711"/>
      <c r="X2890" s="711"/>
      <c r="Y2890" s="711"/>
      <c r="Z2890" s="711"/>
      <c r="AU2890" s="713"/>
      <c r="AW2890" s="712"/>
      <c r="BY2890" s="714"/>
      <c r="BZ2890" s="715"/>
      <c r="CA2890" s="716"/>
      <c r="CB2890" s="717"/>
      <c r="CC2890" s="717"/>
      <c r="CD2890" s="717"/>
      <c r="CE2890" s="717"/>
      <c r="CF2890" s="717"/>
      <c r="CG2890" s="717"/>
      <c r="CH2890" s="717"/>
      <c r="CI2890" s="717"/>
      <c r="CJ2890" s="717"/>
      <c r="CK2890" s="717"/>
      <c r="CL2890" s="717"/>
      <c r="CM2890" s="717"/>
      <c r="CN2890" s="717"/>
      <c r="CO2890" s="717"/>
      <c r="CP2890" s="717"/>
      <c r="CQ2890" s="717"/>
      <c r="CR2890" s="717"/>
      <c r="CS2890" s="717"/>
      <c r="CT2890" s="717"/>
      <c r="CU2890" s="717"/>
      <c r="CV2890" s="717"/>
      <c r="CW2890" s="717"/>
      <c r="CX2890" s="717"/>
      <c r="CY2890" s="717"/>
      <c r="CZ2890" s="717"/>
      <c r="DA2890" s="717"/>
      <c r="DB2890" s="717"/>
      <c r="DC2890" s="717"/>
      <c r="DD2890" s="717"/>
      <c r="DE2890" s="717"/>
      <c r="DF2890" s="717"/>
      <c r="DG2890" s="717"/>
      <c r="DH2890" s="717"/>
      <c r="DI2890" s="717"/>
      <c r="DJ2890" s="717"/>
      <c r="DM2890" s="711"/>
      <c r="DN2890" s="711"/>
      <c r="DO2890" s="711"/>
      <c r="DP2890" s="711"/>
      <c r="DQ2890" s="711"/>
    </row>
    <row r="2891" spans="13:121" s="709" customFormat="1" hidden="1">
      <c r="M2891" s="710"/>
      <c r="P2891" s="711"/>
      <c r="Q2891" s="712"/>
      <c r="U2891" s="711"/>
      <c r="V2891" s="711"/>
      <c r="W2891" s="711"/>
      <c r="X2891" s="711"/>
      <c r="Y2891" s="711"/>
      <c r="Z2891" s="711"/>
      <c r="AU2891" s="713"/>
      <c r="AW2891" s="712"/>
      <c r="BY2891" s="714"/>
      <c r="BZ2891" s="715"/>
      <c r="CA2891" s="716"/>
      <c r="CB2891" s="717"/>
      <c r="CC2891" s="717"/>
      <c r="CD2891" s="717"/>
      <c r="CE2891" s="717"/>
      <c r="CF2891" s="717"/>
      <c r="CG2891" s="717"/>
      <c r="CH2891" s="717"/>
      <c r="CI2891" s="717"/>
      <c r="CJ2891" s="717"/>
      <c r="CK2891" s="717"/>
      <c r="CL2891" s="717"/>
      <c r="CM2891" s="717"/>
      <c r="CN2891" s="717"/>
      <c r="CO2891" s="717"/>
      <c r="CP2891" s="717"/>
      <c r="CQ2891" s="717"/>
      <c r="CR2891" s="717"/>
      <c r="CS2891" s="717"/>
      <c r="CT2891" s="717"/>
      <c r="CU2891" s="717"/>
      <c r="CV2891" s="717"/>
      <c r="CW2891" s="717"/>
      <c r="CX2891" s="717"/>
      <c r="CY2891" s="717"/>
      <c r="CZ2891" s="717"/>
      <c r="DA2891" s="717"/>
      <c r="DB2891" s="717"/>
      <c r="DC2891" s="717"/>
      <c r="DD2891" s="717"/>
      <c r="DE2891" s="717"/>
      <c r="DF2891" s="717"/>
      <c r="DG2891" s="717"/>
      <c r="DH2891" s="717"/>
      <c r="DI2891" s="717"/>
      <c r="DJ2891" s="717"/>
      <c r="DM2891" s="711"/>
      <c r="DN2891" s="711"/>
      <c r="DO2891" s="711"/>
      <c r="DP2891" s="711"/>
      <c r="DQ2891" s="711"/>
    </row>
    <row r="2892" spans="13:121" s="709" customFormat="1" hidden="1">
      <c r="M2892" s="710"/>
      <c r="P2892" s="711"/>
      <c r="Q2892" s="712"/>
      <c r="U2892" s="711"/>
      <c r="V2892" s="711"/>
      <c r="W2892" s="711"/>
      <c r="X2892" s="711"/>
      <c r="Y2892" s="711"/>
      <c r="Z2892" s="711"/>
      <c r="AU2892" s="713"/>
      <c r="AW2892" s="712"/>
      <c r="BY2892" s="714"/>
      <c r="BZ2892" s="715"/>
      <c r="CA2892" s="716"/>
      <c r="CB2892" s="717"/>
      <c r="CC2892" s="717"/>
      <c r="CD2892" s="717"/>
      <c r="CE2892" s="717"/>
      <c r="CF2892" s="717"/>
      <c r="CG2892" s="717"/>
      <c r="CH2892" s="717"/>
      <c r="CI2892" s="717"/>
      <c r="CJ2892" s="717"/>
      <c r="CK2892" s="717"/>
      <c r="CL2892" s="717"/>
      <c r="CM2892" s="717"/>
      <c r="CN2892" s="717"/>
      <c r="CO2892" s="717"/>
      <c r="CP2892" s="717"/>
      <c r="CQ2892" s="717"/>
      <c r="CR2892" s="717"/>
      <c r="CS2892" s="717"/>
      <c r="CT2892" s="717"/>
      <c r="CU2892" s="717"/>
      <c r="CV2892" s="717"/>
      <c r="CW2892" s="717"/>
      <c r="CX2892" s="717"/>
      <c r="CY2892" s="717"/>
      <c r="CZ2892" s="717"/>
      <c r="DA2892" s="717"/>
      <c r="DB2892" s="717"/>
      <c r="DC2892" s="717"/>
      <c r="DD2892" s="717"/>
      <c r="DE2892" s="717"/>
      <c r="DF2892" s="717"/>
      <c r="DG2892" s="717"/>
      <c r="DH2892" s="717"/>
      <c r="DI2892" s="717"/>
      <c r="DJ2892" s="717"/>
      <c r="DM2892" s="711"/>
      <c r="DN2892" s="711"/>
      <c r="DO2892" s="711"/>
      <c r="DP2892" s="711"/>
      <c r="DQ2892" s="711"/>
    </row>
    <row r="2893" spans="13:121" s="709" customFormat="1" hidden="1">
      <c r="M2893" s="710"/>
      <c r="P2893" s="711"/>
      <c r="Q2893" s="712"/>
      <c r="U2893" s="711"/>
      <c r="V2893" s="711"/>
      <c r="W2893" s="711"/>
      <c r="X2893" s="711"/>
      <c r="Y2893" s="711"/>
      <c r="Z2893" s="711"/>
      <c r="AU2893" s="713"/>
      <c r="AW2893" s="712"/>
      <c r="BY2893" s="714"/>
      <c r="BZ2893" s="715"/>
      <c r="CA2893" s="716"/>
      <c r="CB2893" s="717"/>
      <c r="CC2893" s="717"/>
      <c r="CD2893" s="717"/>
      <c r="CE2893" s="717"/>
      <c r="CF2893" s="717"/>
      <c r="CG2893" s="717"/>
      <c r="CH2893" s="717"/>
      <c r="CI2893" s="717"/>
      <c r="CJ2893" s="717"/>
      <c r="CK2893" s="717"/>
      <c r="CL2893" s="717"/>
      <c r="CM2893" s="717"/>
      <c r="CN2893" s="717"/>
      <c r="CO2893" s="717"/>
      <c r="CP2893" s="717"/>
      <c r="CQ2893" s="717"/>
      <c r="CR2893" s="717"/>
      <c r="CS2893" s="717"/>
      <c r="CT2893" s="717"/>
      <c r="CU2893" s="717"/>
      <c r="CV2893" s="717"/>
      <c r="CW2893" s="717"/>
      <c r="CX2893" s="717"/>
      <c r="CY2893" s="717"/>
      <c r="CZ2893" s="717"/>
      <c r="DA2893" s="717"/>
      <c r="DB2893" s="717"/>
      <c r="DC2893" s="717"/>
      <c r="DD2893" s="717"/>
      <c r="DE2893" s="717"/>
      <c r="DF2893" s="717"/>
      <c r="DG2893" s="717"/>
      <c r="DH2893" s="717"/>
      <c r="DI2893" s="717"/>
      <c r="DJ2893" s="717"/>
      <c r="DM2893" s="711"/>
      <c r="DN2893" s="711"/>
      <c r="DO2893" s="711"/>
      <c r="DP2893" s="711"/>
      <c r="DQ2893" s="711"/>
    </row>
    <row r="2894" spans="13:121" s="709" customFormat="1" hidden="1">
      <c r="M2894" s="710"/>
      <c r="P2894" s="711"/>
      <c r="Q2894" s="712"/>
      <c r="U2894" s="711"/>
      <c r="V2894" s="711"/>
      <c r="W2894" s="711"/>
      <c r="X2894" s="711"/>
      <c r="Y2894" s="711"/>
      <c r="Z2894" s="711"/>
      <c r="AU2894" s="713"/>
      <c r="AW2894" s="712"/>
      <c r="BY2894" s="714"/>
      <c r="BZ2894" s="715"/>
      <c r="CA2894" s="716"/>
      <c r="CB2894" s="717"/>
      <c r="CC2894" s="717"/>
      <c r="CD2894" s="717"/>
      <c r="CE2894" s="717"/>
      <c r="CF2894" s="717"/>
      <c r="CG2894" s="717"/>
      <c r="CH2894" s="717"/>
      <c r="CI2894" s="717"/>
      <c r="CJ2894" s="717"/>
      <c r="CK2894" s="717"/>
      <c r="CL2894" s="717"/>
      <c r="CM2894" s="717"/>
      <c r="CN2894" s="717"/>
      <c r="CO2894" s="717"/>
      <c r="CP2894" s="717"/>
      <c r="CQ2894" s="717"/>
      <c r="CR2894" s="717"/>
      <c r="CS2894" s="717"/>
      <c r="CT2894" s="717"/>
      <c r="CU2894" s="717"/>
      <c r="CV2894" s="717"/>
      <c r="CW2894" s="717"/>
      <c r="CX2894" s="717"/>
      <c r="CY2894" s="717"/>
      <c r="CZ2894" s="717"/>
      <c r="DA2894" s="717"/>
      <c r="DB2894" s="717"/>
      <c r="DC2894" s="717"/>
      <c r="DD2894" s="717"/>
      <c r="DE2894" s="717"/>
      <c r="DF2894" s="717"/>
      <c r="DG2894" s="717"/>
      <c r="DH2894" s="717"/>
      <c r="DI2894" s="717"/>
      <c r="DJ2894" s="717"/>
      <c r="DM2894" s="711"/>
      <c r="DN2894" s="711"/>
      <c r="DO2894" s="711"/>
      <c r="DP2894" s="711"/>
      <c r="DQ2894" s="711"/>
    </row>
    <row r="2895" spans="13:121" s="709" customFormat="1" hidden="1">
      <c r="M2895" s="710"/>
      <c r="P2895" s="711"/>
      <c r="Q2895" s="712"/>
      <c r="U2895" s="711"/>
      <c r="V2895" s="711"/>
      <c r="W2895" s="711"/>
      <c r="X2895" s="711"/>
      <c r="Y2895" s="711"/>
      <c r="Z2895" s="711"/>
      <c r="AU2895" s="713"/>
      <c r="AW2895" s="712"/>
      <c r="BY2895" s="714"/>
      <c r="BZ2895" s="715"/>
      <c r="CA2895" s="716"/>
      <c r="CB2895" s="717"/>
      <c r="CC2895" s="717"/>
      <c r="CD2895" s="717"/>
      <c r="CE2895" s="717"/>
      <c r="CF2895" s="717"/>
      <c r="CG2895" s="717"/>
      <c r="CH2895" s="717"/>
      <c r="CI2895" s="717"/>
      <c r="CJ2895" s="717"/>
      <c r="CK2895" s="717"/>
      <c r="CL2895" s="717"/>
      <c r="CM2895" s="717"/>
      <c r="CN2895" s="717"/>
      <c r="CO2895" s="717"/>
      <c r="CP2895" s="717"/>
      <c r="CQ2895" s="717"/>
      <c r="CR2895" s="717"/>
      <c r="CS2895" s="717"/>
      <c r="CT2895" s="717"/>
      <c r="CU2895" s="717"/>
      <c r="CV2895" s="717"/>
      <c r="CW2895" s="717"/>
      <c r="CX2895" s="717"/>
      <c r="CY2895" s="717"/>
      <c r="CZ2895" s="717"/>
      <c r="DA2895" s="717"/>
      <c r="DB2895" s="717"/>
      <c r="DC2895" s="717"/>
      <c r="DD2895" s="717"/>
      <c r="DE2895" s="717"/>
      <c r="DF2895" s="717"/>
      <c r="DG2895" s="717"/>
      <c r="DH2895" s="717"/>
      <c r="DI2895" s="717"/>
      <c r="DJ2895" s="717"/>
      <c r="DM2895" s="711"/>
      <c r="DN2895" s="711"/>
      <c r="DO2895" s="711"/>
      <c r="DP2895" s="711"/>
      <c r="DQ2895" s="711"/>
    </row>
    <row r="2896" spans="13:121" s="709" customFormat="1" hidden="1">
      <c r="M2896" s="710"/>
      <c r="P2896" s="711"/>
      <c r="Q2896" s="712"/>
      <c r="U2896" s="711"/>
      <c r="V2896" s="711"/>
      <c r="W2896" s="711"/>
      <c r="X2896" s="711"/>
      <c r="Y2896" s="711"/>
      <c r="Z2896" s="711"/>
      <c r="AU2896" s="713"/>
      <c r="AW2896" s="712"/>
      <c r="BY2896" s="714"/>
      <c r="BZ2896" s="715"/>
      <c r="CA2896" s="716"/>
      <c r="CB2896" s="717"/>
      <c r="CC2896" s="717"/>
      <c r="CD2896" s="717"/>
      <c r="CE2896" s="717"/>
      <c r="CF2896" s="717"/>
      <c r="CG2896" s="717"/>
      <c r="CH2896" s="717"/>
      <c r="CI2896" s="717"/>
      <c r="CJ2896" s="717"/>
      <c r="CK2896" s="717"/>
      <c r="CL2896" s="717"/>
      <c r="CM2896" s="717"/>
      <c r="CN2896" s="717"/>
      <c r="CO2896" s="717"/>
      <c r="CP2896" s="717"/>
      <c r="CQ2896" s="717"/>
      <c r="CR2896" s="717"/>
      <c r="CS2896" s="717"/>
      <c r="CT2896" s="717"/>
      <c r="CU2896" s="717"/>
      <c r="CV2896" s="717"/>
      <c r="CW2896" s="717"/>
      <c r="CX2896" s="717"/>
      <c r="CY2896" s="717"/>
      <c r="CZ2896" s="717"/>
      <c r="DA2896" s="717"/>
      <c r="DB2896" s="717"/>
      <c r="DC2896" s="717"/>
      <c r="DD2896" s="717"/>
      <c r="DE2896" s="717"/>
      <c r="DF2896" s="717"/>
      <c r="DG2896" s="717"/>
      <c r="DH2896" s="717"/>
      <c r="DI2896" s="717"/>
      <c r="DJ2896" s="717"/>
      <c r="DM2896" s="711"/>
      <c r="DN2896" s="711"/>
      <c r="DO2896" s="711"/>
      <c r="DP2896" s="711"/>
      <c r="DQ2896" s="711"/>
    </row>
    <row r="2897" spans="13:121" s="709" customFormat="1" hidden="1">
      <c r="M2897" s="710"/>
      <c r="P2897" s="711"/>
      <c r="Q2897" s="712"/>
      <c r="U2897" s="711"/>
      <c r="V2897" s="711"/>
      <c r="W2897" s="711"/>
      <c r="X2897" s="711"/>
      <c r="Y2897" s="711"/>
      <c r="Z2897" s="711"/>
      <c r="AU2897" s="713"/>
      <c r="AW2897" s="712"/>
      <c r="BY2897" s="714"/>
      <c r="BZ2897" s="715"/>
      <c r="CA2897" s="716"/>
      <c r="CB2897" s="717"/>
      <c r="CC2897" s="717"/>
      <c r="CD2897" s="717"/>
      <c r="CE2897" s="717"/>
      <c r="CF2897" s="717"/>
      <c r="CG2897" s="717"/>
      <c r="CH2897" s="717"/>
      <c r="CI2897" s="717"/>
      <c r="CJ2897" s="717"/>
      <c r="CK2897" s="717"/>
      <c r="CL2897" s="717"/>
      <c r="CM2897" s="717"/>
      <c r="CN2897" s="717"/>
      <c r="CO2897" s="717"/>
      <c r="CP2897" s="717"/>
      <c r="CQ2897" s="717"/>
      <c r="CR2897" s="717"/>
      <c r="CS2897" s="717"/>
      <c r="CT2897" s="717"/>
      <c r="CU2897" s="717"/>
      <c r="CV2897" s="717"/>
      <c r="CW2897" s="717"/>
      <c r="CX2897" s="717"/>
      <c r="CY2897" s="717"/>
      <c r="CZ2897" s="717"/>
      <c r="DA2897" s="717"/>
      <c r="DB2897" s="717"/>
      <c r="DC2897" s="717"/>
      <c r="DD2897" s="717"/>
      <c r="DE2897" s="717"/>
      <c r="DF2897" s="717"/>
      <c r="DG2897" s="717"/>
      <c r="DH2897" s="717"/>
      <c r="DI2897" s="717"/>
      <c r="DJ2897" s="717"/>
      <c r="DM2897" s="711"/>
      <c r="DN2897" s="711"/>
      <c r="DO2897" s="711"/>
      <c r="DP2897" s="711"/>
      <c r="DQ2897" s="711"/>
    </row>
    <row r="2898" spans="13:121" s="709" customFormat="1" hidden="1">
      <c r="M2898" s="710"/>
      <c r="P2898" s="711"/>
      <c r="Q2898" s="712"/>
      <c r="U2898" s="711"/>
      <c r="V2898" s="711"/>
      <c r="W2898" s="711"/>
      <c r="X2898" s="711"/>
      <c r="Y2898" s="711"/>
      <c r="Z2898" s="711"/>
      <c r="AU2898" s="713"/>
      <c r="AW2898" s="712"/>
      <c r="BY2898" s="714"/>
      <c r="BZ2898" s="715"/>
      <c r="CA2898" s="716"/>
      <c r="CB2898" s="717"/>
      <c r="CC2898" s="717"/>
      <c r="CD2898" s="717"/>
      <c r="CE2898" s="717"/>
      <c r="CF2898" s="717"/>
      <c r="CG2898" s="717"/>
      <c r="CH2898" s="717"/>
      <c r="CI2898" s="717"/>
      <c r="CJ2898" s="717"/>
      <c r="CK2898" s="717"/>
      <c r="CL2898" s="717"/>
      <c r="CM2898" s="717"/>
      <c r="CN2898" s="717"/>
      <c r="CO2898" s="717"/>
      <c r="CP2898" s="717"/>
      <c r="CQ2898" s="717"/>
      <c r="CR2898" s="717"/>
      <c r="CS2898" s="717"/>
      <c r="CT2898" s="717"/>
      <c r="CU2898" s="717"/>
      <c r="CV2898" s="717"/>
      <c r="CW2898" s="717"/>
      <c r="CX2898" s="717"/>
      <c r="CY2898" s="717"/>
      <c r="CZ2898" s="717"/>
      <c r="DA2898" s="717"/>
      <c r="DB2898" s="717"/>
      <c r="DC2898" s="717"/>
      <c r="DD2898" s="717"/>
      <c r="DE2898" s="717"/>
      <c r="DF2898" s="717"/>
      <c r="DG2898" s="717"/>
      <c r="DH2898" s="717"/>
      <c r="DI2898" s="717"/>
      <c r="DJ2898" s="717"/>
      <c r="DM2898" s="711"/>
      <c r="DN2898" s="711"/>
      <c r="DO2898" s="711"/>
      <c r="DP2898" s="711"/>
      <c r="DQ2898" s="711"/>
    </row>
    <row r="2899" spans="13:121" s="709" customFormat="1" hidden="1">
      <c r="M2899" s="710"/>
      <c r="P2899" s="711"/>
      <c r="Q2899" s="712"/>
      <c r="U2899" s="711"/>
      <c r="V2899" s="711"/>
      <c r="W2899" s="711"/>
      <c r="X2899" s="711"/>
      <c r="Y2899" s="711"/>
      <c r="Z2899" s="711"/>
      <c r="AU2899" s="713"/>
      <c r="AW2899" s="712"/>
      <c r="BY2899" s="714"/>
      <c r="BZ2899" s="715"/>
      <c r="CA2899" s="716"/>
      <c r="CB2899" s="717"/>
      <c r="CC2899" s="717"/>
      <c r="CD2899" s="717"/>
      <c r="CE2899" s="717"/>
      <c r="CF2899" s="717"/>
      <c r="CG2899" s="717"/>
      <c r="CH2899" s="717"/>
      <c r="CI2899" s="717"/>
      <c r="CJ2899" s="717"/>
      <c r="CK2899" s="717"/>
      <c r="CL2899" s="717"/>
      <c r="CM2899" s="717"/>
      <c r="CN2899" s="717"/>
      <c r="CO2899" s="717"/>
      <c r="CP2899" s="717"/>
      <c r="CQ2899" s="717"/>
      <c r="CR2899" s="717"/>
      <c r="CS2899" s="717"/>
      <c r="CT2899" s="717"/>
      <c r="CU2899" s="717"/>
      <c r="CV2899" s="717"/>
      <c r="CW2899" s="717"/>
      <c r="CX2899" s="717"/>
      <c r="CY2899" s="717"/>
      <c r="CZ2899" s="717"/>
      <c r="DA2899" s="717"/>
      <c r="DB2899" s="717"/>
      <c r="DC2899" s="717"/>
      <c r="DD2899" s="717"/>
      <c r="DE2899" s="717"/>
      <c r="DF2899" s="717"/>
      <c r="DG2899" s="717"/>
      <c r="DH2899" s="717"/>
      <c r="DI2899" s="717"/>
      <c r="DJ2899" s="717"/>
      <c r="DM2899" s="711"/>
      <c r="DN2899" s="711"/>
      <c r="DO2899" s="711"/>
      <c r="DP2899" s="711"/>
      <c r="DQ2899" s="711"/>
    </row>
    <row r="2900" spans="13:121" s="709" customFormat="1" hidden="1">
      <c r="M2900" s="710"/>
      <c r="P2900" s="711"/>
      <c r="Q2900" s="712"/>
      <c r="U2900" s="711"/>
      <c r="V2900" s="711"/>
      <c r="W2900" s="711"/>
      <c r="X2900" s="711"/>
      <c r="Y2900" s="711"/>
      <c r="Z2900" s="711"/>
      <c r="AU2900" s="713"/>
      <c r="AW2900" s="712"/>
      <c r="BY2900" s="714"/>
      <c r="BZ2900" s="715"/>
      <c r="CA2900" s="716"/>
      <c r="CB2900" s="717"/>
      <c r="CC2900" s="717"/>
      <c r="CD2900" s="717"/>
      <c r="CE2900" s="717"/>
      <c r="CF2900" s="717"/>
      <c r="CG2900" s="717"/>
      <c r="CH2900" s="717"/>
      <c r="CI2900" s="717"/>
      <c r="CJ2900" s="717"/>
      <c r="CK2900" s="717"/>
      <c r="CL2900" s="717"/>
      <c r="CM2900" s="717"/>
      <c r="CN2900" s="717"/>
      <c r="CO2900" s="717"/>
      <c r="CP2900" s="717"/>
      <c r="CQ2900" s="717"/>
      <c r="CR2900" s="717"/>
      <c r="CS2900" s="717"/>
      <c r="CT2900" s="717"/>
      <c r="CU2900" s="717"/>
      <c r="CV2900" s="717"/>
      <c r="CW2900" s="717"/>
      <c r="CX2900" s="717"/>
      <c r="CY2900" s="717"/>
      <c r="CZ2900" s="717"/>
      <c r="DA2900" s="717"/>
      <c r="DB2900" s="717"/>
      <c r="DC2900" s="717"/>
      <c r="DD2900" s="717"/>
      <c r="DE2900" s="717"/>
      <c r="DF2900" s="717"/>
      <c r="DG2900" s="717"/>
      <c r="DH2900" s="717"/>
      <c r="DI2900" s="717"/>
      <c r="DJ2900" s="717"/>
      <c r="DM2900" s="711"/>
      <c r="DN2900" s="711"/>
      <c r="DO2900" s="711"/>
      <c r="DP2900" s="711"/>
      <c r="DQ2900" s="711"/>
    </row>
    <row r="2901" spans="13:121" s="709" customFormat="1" hidden="1">
      <c r="M2901" s="710"/>
      <c r="P2901" s="711"/>
      <c r="Q2901" s="712"/>
      <c r="U2901" s="711"/>
      <c r="V2901" s="711"/>
      <c r="W2901" s="711"/>
      <c r="X2901" s="711"/>
      <c r="Y2901" s="711"/>
      <c r="Z2901" s="711"/>
      <c r="AU2901" s="713"/>
      <c r="AW2901" s="712"/>
      <c r="BY2901" s="714"/>
      <c r="BZ2901" s="715"/>
      <c r="CA2901" s="716"/>
      <c r="CB2901" s="717"/>
      <c r="CC2901" s="717"/>
      <c r="CD2901" s="717"/>
      <c r="CE2901" s="717"/>
      <c r="CF2901" s="717"/>
      <c r="CG2901" s="717"/>
      <c r="CH2901" s="717"/>
      <c r="CI2901" s="717"/>
      <c r="CJ2901" s="717"/>
      <c r="CK2901" s="717"/>
      <c r="CL2901" s="717"/>
      <c r="CM2901" s="717"/>
      <c r="CN2901" s="717"/>
      <c r="CO2901" s="717"/>
      <c r="CP2901" s="717"/>
      <c r="CQ2901" s="717"/>
      <c r="CR2901" s="717"/>
      <c r="CS2901" s="717"/>
      <c r="CT2901" s="717"/>
      <c r="CU2901" s="717"/>
      <c r="CV2901" s="717"/>
      <c r="CW2901" s="717"/>
      <c r="CX2901" s="717"/>
      <c r="CY2901" s="717"/>
      <c r="CZ2901" s="717"/>
      <c r="DA2901" s="717"/>
      <c r="DB2901" s="717"/>
      <c r="DC2901" s="717"/>
      <c r="DD2901" s="717"/>
      <c r="DE2901" s="717"/>
      <c r="DF2901" s="717"/>
      <c r="DG2901" s="717"/>
      <c r="DH2901" s="717"/>
      <c r="DI2901" s="717"/>
      <c r="DJ2901" s="717"/>
      <c r="DM2901" s="711"/>
      <c r="DN2901" s="711"/>
      <c r="DO2901" s="711"/>
      <c r="DP2901" s="711"/>
      <c r="DQ2901" s="711"/>
    </row>
    <row r="2902" spans="13:121" s="709" customFormat="1" hidden="1">
      <c r="M2902" s="710"/>
      <c r="P2902" s="711"/>
      <c r="Q2902" s="712"/>
      <c r="U2902" s="711"/>
      <c r="V2902" s="711"/>
      <c r="W2902" s="711"/>
      <c r="X2902" s="711"/>
      <c r="Y2902" s="711"/>
      <c r="Z2902" s="711"/>
      <c r="AU2902" s="713"/>
      <c r="AW2902" s="712"/>
      <c r="BY2902" s="714"/>
      <c r="BZ2902" s="715"/>
      <c r="CA2902" s="716"/>
      <c r="CB2902" s="717"/>
      <c r="CC2902" s="717"/>
      <c r="CD2902" s="717"/>
      <c r="CE2902" s="717"/>
      <c r="CF2902" s="717"/>
      <c r="CG2902" s="717"/>
      <c r="CH2902" s="717"/>
      <c r="CI2902" s="717"/>
      <c r="CJ2902" s="717"/>
      <c r="CK2902" s="717"/>
      <c r="CL2902" s="717"/>
      <c r="CM2902" s="717"/>
      <c r="CN2902" s="717"/>
      <c r="CO2902" s="717"/>
      <c r="CP2902" s="717"/>
      <c r="CQ2902" s="717"/>
      <c r="CR2902" s="717"/>
      <c r="CS2902" s="717"/>
      <c r="CT2902" s="717"/>
      <c r="CU2902" s="717"/>
      <c r="CV2902" s="717"/>
      <c r="CW2902" s="717"/>
      <c r="CX2902" s="717"/>
      <c r="CY2902" s="717"/>
      <c r="CZ2902" s="717"/>
      <c r="DA2902" s="717"/>
      <c r="DB2902" s="717"/>
      <c r="DC2902" s="717"/>
      <c r="DD2902" s="717"/>
      <c r="DE2902" s="717"/>
      <c r="DF2902" s="717"/>
      <c r="DG2902" s="717"/>
      <c r="DH2902" s="717"/>
      <c r="DI2902" s="717"/>
      <c r="DJ2902" s="717"/>
      <c r="DM2902" s="711"/>
      <c r="DN2902" s="711"/>
      <c r="DO2902" s="711"/>
      <c r="DP2902" s="711"/>
      <c r="DQ2902" s="711"/>
    </row>
    <row r="2903" spans="13:121" s="709" customFormat="1" hidden="1">
      <c r="M2903" s="710"/>
      <c r="P2903" s="711"/>
      <c r="Q2903" s="712"/>
      <c r="U2903" s="711"/>
      <c r="V2903" s="711"/>
      <c r="W2903" s="711"/>
      <c r="X2903" s="711"/>
      <c r="Y2903" s="711"/>
      <c r="Z2903" s="711"/>
      <c r="AU2903" s="713"/>
      <c r="AW2903" s="712"/>
      <c r="BY2903" s="714"/>
      <c r="BZ2903" s="715"/>
      <c r="CA2903" s="716"/>
      <c r="CB2903" s="717"/>
      <c r="CC2903" s="717"/>
      <c r="CD2903" s="717"/>
      <c r="CE2903" s="717"/>
      <c r="CF2903" s="717"/>
      <c r="CG2903" s="717"/>
      <c r="CH2903" s="717"/>
      <c r="CI2903" s="717"/>
      <c r="CJ2903" s="717"/>
      <c r="CK2903" s="717"/>
      <c r="CL2903" s="717"/>
      <c r="CM2903" s="717"/>
      <c r="CN2903" s="717"/>
      <c r="CO2903" s="717"/>
      <c r="CP2903" s="717"/>
      <c r="CQ2903" s="717"/>
      <c r="CR2903" s="717"/>
      <c r="CS2903" s="717"/>
      <c r="CT2903" s="717"/>
      <c r="CU2903" s="717"/>
      <c r="CV2903" s="717"/>
      <c r="CW2903" s="717"/>
      <c r="CX2903" s="717"/>
      <c r="CY2903" s="717"/>
      <c r="CZ2903" s="717"/>
      <c r="DA2903" s="717"/>
      <c r="DB2903" s="717"/>
      <c r="DC2903" s="717"/>
      <c r="DD2903" s="717"/>
      <c r="DE2903" s="717"/>
      <c r="DF2903" s="717"/>
      <c r="DG2903" s="717"/>
      <c r="DH2903" s="717"/>
      <c r="DI2903" s="717"/>
      <c r="DJ2903" s="717"/>
      <c r="DM2903" s="711"/>
      <c r="DN2903" s="711"/>
      <c r="DO2903" s="711"/>
      <c r="DP2903" s="711"/>
      <c r="DQ2903" s="711"/>
    </row>
    <row r="2904" spans="13:121" s="709" customFormat="1" hidden="1">
      <c r="M2904" s="710"/>
      <c r="P2904" s="711"/>
      <c r="Q2904" s="712"/>
      <c r="U2904" s="711"/>
      <c r="V2904" s="711"/>
      <c r="W2904" s="711"/>
      <c r="X2904" s="711"/>
      <c r="Y2904" s="711"/>
      <c r="Z2904" s="711"/>
      <c r="AU2904" s="713"/>
      <c r="AW2904" s="712"/>
      <c r="BY2904" s="714"/>
      <c r="BZ2904" s="715"/>
      <c r="CA2904" s="716"/>
      <c r="CB2904" s="717"/>
      <c r="CC2904" s="717"/>
      <c r="CD2904" s="717"/>
      <c r="CE2904" s="717"/>
      <c r="CF2904" s="717"/>
      <c r="CG2904" s="717"/>
      <c r="CH2904" s="717"/>
      <c r="CI2904" s="717"/>
      <c r="CJ2904" s="717"/>
      <c r="CK2904" s="717"/>
      <c r="CL2904" s="717"/>
      <c r="CM2904" s="717"/>
      <c r="CN2904" s="717"/>
      <c r="CO2904" s="717"/>
      <c r="CP2904" s="717"/>
      <c r="CQ2904" s="717"/>
      <c r="CR2904" s="717"/>
      <c r="CS2904" s="717"/>
      <c r="CT2904" s="717"/>
      <c r="CU2904" s="717"/>
      <c r="CV2904" s="717"/>
      <c r="CW2904" s="717"/>
      <c r="CX2904" s="717"/>
      <c r="CY2904" s="717"/>
      <c r="CZ2904" s="717"/>
      <c r="DA2904" s="717"/>
      <c r="DB2904" s="717"/>
      <c r="DC2904" s="717"/>
      <c r="DD2904" s="717"/>
      <c r="DE2904" s="717"/>
      <c r="DF2904" s="717"/>
      <c r="DG2904" s="717"/>
      <c r="DH2904" s="717"/>
      <c r="DI2904" s="717"/>
      <c r="DJ2904" s="717"/>
      <c r="DM2904" s="711"/>
      <c r="DN2904" s="711"/>
      <c r="DO2904" s="711"/>
      <c r="DP2904" s="711"/>
      <c r="DQ2904" s="711"/>
    </row>
    <row r="2905" spans="13:121" s="709" customFormat="1" hidden="1">
      <c r="M2905" s="710"/>
      <c r="P2905" s="711"/>
      <c r="Q2905" s="712"/>
      <c r="U2905" s="711"/>
      <c r="V2905" s="711"/>
      <c r="W2905" s="711"/>
      <c r="X2905" s="711"/>
      <c r="Y2905" s="711"/>
      <c r="Z2905" s="711"/>
      <c r="AU2905" s="713"/>
      <c r="AW2905" s="712"/>
      <c r="BY2905" s="714"/>
      <c r="BZ2905" s="715"/>
      <c r="CA2905" s="716"/>
      <c r="CB2905" s="717"/>
      <c r="CC2905" s="717"/>
      <c r="CD2905" s="717"/>
      <c r="CE2905" s="717"/>
      <c r="CF2905" s="717"/>
      <c r="CG2905" s="717"/>
      <c r="CH2905" s="717"/>
      <c r="CI2905" s="717"/>
      <c r="CJ2905" s="717"/>
      <c r="CK2905" s="717"/>
      <c r="CL2905" s="717"/>
      <c r="CM2905" s="717"/>
      <c r="CN2905" s="717"/>
      <c r="CO2905" s="717"/>
      <c r="CP2905" s="717"/>
      <c r="CQ2905" s="717"/>
      <c r="CR2905" s="717"/>
      <c r="CS2905" s="717"/>
      <c r="CT2905" s="717"/>
      <c r="CU2905" s="717"/>
      <c r="CV2905" s="717"/>
      <c r="CW2905" s="717"/>
      <c r="CX2905" s="717"/>
      <c r="CY2905" s="717"/>
      <c r="CZ2905" s="717"/>
      <c r="DA2905" s="717"/>
      <c r="DB2905" s="717"/>
      <c r="DC2905" s="717"/>
      <c r="DD2905" s="717"/>
      <c r="DE2905" s="717"/>
      <c r="DF2905" s="717"/>
      <c r="DG2905" s="717"/>
      <c r="DH2905" s="717"/>
      <c r="DI2905" s="717"/>
      <c r="DJ2905" s="717"/>
      <c r="DM2905" s="711"/>
      <c r="DN2905" s="711"/>
      <c r="DO2905" s="711"/>
      <c r="DP2905" s="711"/>
      <c r="DQ2905" s="711"/>
    </row>
    <row r="2906" spans="13:121" s="709" customFormat="1" hidden="1">
      <c r="M2906" s="710"/>
      <c r="P2906" s="711"/>
      <c r="Q2906" s="712"/>
      <c r="U2906" s="711"/>
      <c r="V2906" s="711"/>
      <c r="W2906" s="711"/>
      <c r="X2906" s="711"/>
      <c r="Y2906" s="711"/>
      <c r="Z2906" s="711"/>
      <c r="AU2906" s="713"/>
      <c r="AW2906" s="712"/>
      <c r="BY2906" s="714"/>
      <c r="BZ2906" s="715"/>
      <c r="CA2906" s="716"/>
      <c r="CB2906" s="717"/>
      <c r="CC2906" s="717"/>
      <c r="CD2906" s="717"/>
      <c r="CE2906" s="717"/>
      <c r="CF2906" s="717"/>
      <c r="CG2906" s="717"/>
      <c r="CH2906" s="717"/>
      <c r="CI2906" s="717"/>
      <c r="CJ2906" s="717"/>
      <c r="CK2906" s="717"/>
      <c r="CL2906" s="717"/>
      <c r="CM2906" s="717"/>
      <c r="CN2906" s="717"/>
      <c r="CO2906" s="717"/>
      <c r="CP2906" s="717"/>
      <c r="CQ2906" s="717"/>
      <c r="CR2906" s="717"/>
      <c r="CS2906" s="717"/>
      <c r="CT2906" s="717"/>
      <c r="CU2906" s="717"/>
      <c r="CV2906" s="717"/>
      <c r="CW2906" s="717"/>
      <c r="CX2906" s="717"/>
      <c r="CY2906" s="717"/>
      <c r="CZ2906" s="717"/>
      <c r="DA2906" s="717"/>
      <c r="DB2906" s="717"/>
      <c r="DC2906" s="717"/>
      <c r="DD2906" s="717"/>
      <c r="DE2906" s="717"/>
      <c r="DF2906" s="717"/>
      <c r="DG2906" s="717"/>
      <c r="DH2906" s="717"/>
      <c r="DI2906" s="717"/>
      <c r="DJ2906" s="717"/>
      <c r="DM2906" s="711"/>
      <c r="DN2906" s="711"/>
      <c r="DO2906" s="711"/>
      <c r="DP2906" s="711"/>
      <c r="DQ2906" s="711"/>
    </row>
    <row r="2907" spans="13:121" s="709" customFormat="1" hidden="1">
      <c r="M2907" s="710"/>
      <c r="P2907" s="711"/>
      <c r="Q2907" s="712"/>
      <c r="U2907" s="711"/>
      <c r="V2907" s="711"/>
      <c r="W2907" s="711"/>
      <c r="X2907" s="711"/>
      <c r="Y2907" s="711"/>
      <c r="Z2907" s="711"/>
      <c r="AU2907" s="713"/>
      <c r="AW2907" s="712"/>
      <c r="BY2907" s="714"/>
      <c r="BZ2907" s="715"/>
      <c r="CA2907" s="716"/>
      <c r="CB2907" s="717"/>
      <c r="CC2907" s="717"/>
      <c r="CD2907" s="717"/>
      <c r="CE2907" s="717"/>
      <c r="CF2907" s="717"/>
      <c r="CG2907" s="717"/>
      <c r="CH2907" s="717"/>
      <c r="CI2907" s="717"/>
      <c r="CJ2907" s="717"/>
      <c r="CK2907" s="717"/>
      <c r="CL2907" s="717"/>
      <c r="CM2907" s="717"/>
      <c r="CN2907" s="717"/>
      <c r="CO2907" s="717"/>
      <c r="CP2907" s="717"/>
      <c r="CQ2907" s="717"/>
      <c r="CR2907" s="717"/>
      <c r="CS2907" s="717"/>
      <c r="CT2907" s="717"/>
      <c r="CU2907" s="717"/>
      <c r="CV2907" s="717"/>
      <c r="CW2907" s="717"/>
      <c r="CX2907" s="717"/>
      <c r="CY2907" s="717"/>
      <c r="CZ2907" s="717"/>
      <c r="DA2907" s="717"/>
      <c r="DB2907" s="717"/>
      <c r="DC2907" s="717"/>
      <c r="DD2907" s="717"/>
      <c r="DE2907" s="717"/>
      <c r="DF2907" s="717"/>
      <c r="DG2907" s="717"/>
      <c r="DH2907" s="717"/>
      <c r="DI2907" s="717"/>
      <c r="DJ2907" s="717"/>
      <c r="DM2907" s="711"/>
      <c r="DN2907" s="711"/>
      <c r="DO2907" s="711"/>
      <c r="DP2907" s="711"/>
      <c r="DQ2907" s="711"/>
    </row>
    <row r="2908" spans="13:121" s="709" customFormat="1" hidden="1">
      <c r="M2908" s="710"/>
      <c r="P2908" s="711"/>
      <c r="Q2908" s="712"/>
      <c r="U2908" s="711"/>
      <c r="V2908" s="711"/>
      <c r="W2908" s="711"/>
      <c r="X2908" s="711"/>
      <c r="Y2908" s="711"/>
      <c r="Z2908" s="711"/>
      <c r="AU2908" s="713"/>
      <c r="AW2908" s="712"/>
      <c r="BY2908" s="714"/>
      <c r="BZ2908" s="715"/>
      <c r="CA2908" s="716"/>
      <c r="CB2908" s="717"/>
      <c r="CC2908" s="717"/>
      <c r="CD2908" s="717"/>
      <c r="CE2908" s="717"/>
      <c r="CF2908" s="717"/>
      <c r="CG2908" s="717"/>
      <c r="CH2908" s="717"/>
      <c r="CI2908" s="717"/>
      <c r="CJ2908" s="717"/>
      <c r="CK2908" s="717"/>
      <c r="CL2908" s="717"/>
      <c r="CM2908" s="717"/>
      <c r="CN2908" s="717"/>
      <c r="CO2908" s="717"/>
      <c r="CP2908" s="717"/>
      <c r="CQ2908" s="717"/>
      <c r="CR2908" s="717"/>
      <c r="CS2908" s="717"/>
      <c r="CT2908" s="717"/>
      <c r="CU2908" s="717"/>
      <c r="CV2908" s="717"/>
      <c r="CW2908" s="717"/>
      <c r="CX2908" s="717"/>
      <c r="CY2908" s="717"/>
      <c r="CZ2908" s="717"/>
      <c r="DA2908" s="717"/>
      <c r="DB2908" s="717"/>
      <c r="DC2908" s="717"/>
      <c r="DD2908" s="717"/>
      <c r="DE2908" s="717"/>
      <c r="DF2908" s="717"/>
      <c r="DG2908" s="717"/>
      <c r="DH2908" s="717"/>
      <c r="DI2908" s="717"/>
      <c r="DJ2908" s="717"/>
      <c r="DM2908" s="711"/>
      <c r="DN2908" s="711"/>
      <c r="DO2908" s="711"/>
      <c r="DP2908" s="711"/>
      <c r="DQ2908" s="711"/>
    </row>
    <row r="2909" spans="13:121" s="709" customFormat="1" hidden="1">
      <c r="M2909" s="710"/>
      <c r="P2909" s="711"/>
      <c r="Q2909" s="712"/>
      <c r="U2909" s="711"/>
      <c r="V2909" s="711"/>
      <c r="W2909" s="711"/>
      <c r="X2909" s="711"/>
      <c r="Y2909" s="711"/>
      <c r="Z2909" s="711"/>
      <c r="AU2909" s="713"/>
      <c r="AW2909" s="712"/>
      <c r="BY2909" s="714"/>
      <c r="BZ2909" s="715"/>
      <c r="CA2909" s="716"/>
      <c r="CB2909" s="717"/>
      <c r="CC2909" s="717"/>
      <c r="CD2909" s="717"/>
      <c r="CE2909" s="717"/>
      <c r="CF2909" s="717"/>
      <c r="CG2909" s="717"/>
      <c r="CH2909" s="717"/>
      <c r="CI2909" s="717"/>
      <c r="CJ2909" s="717"/>
      <c r="CK2909" s="717"/>
      <c r="CL2909" s="717"/>
      <c r="CM2909" s="717"/>
      <c r="CN2909" s="717"/>
      <c r="CO2909" s="717"/>
      <c r="CP2909" s="717"/>
      <c r="CQ2909" s="717"/>
      <c r="CR2909" s="717"/>
      <c r="CS2909" s="717"/>
      <c r="CT2909" s="717"/>
      <c r="CU2909" s="717"/>
      <c r="CV2909" s="717"/>
      <c r="CW2909" s="717"/>
      <c r="CX2909" s="717"/>
      <c r="CY2909" s="717"/>
      <c r="CZ2909" s="717"/>
      <c r="DA2909" s="717"/>
      <c r="DB2909" s="717"/>
      <c r="DC2909" s="717"/>
      <c r="DD2909" s="717"/>
      <c r="DE2909" s="717"/>
      <c r="DF2909" s="717"/>
      <c r="DG2909" s="717"/>
      <c r="DH2909" s="717"/>
      <c r="DI2909" s="717"/>
      <c r="DJ2909" s="717"/>
      <c r="DM2909" s="711"/>
      <c r="DN2909" s="711"/>
      <c r="DO2909" s="711"/>
      <c r="DP2909" s="711"/>
      <c r="DQ2909" s="711"/>
    </row>
    <row r="2910" spans="13:121" s="709" customFormat="1" hidden="1">
      <c r="M2910" s="710"/>
      <c r="P2910" s="711"/>
      <c r="Q2910" s="712"/>
      <c r="U2910" s="711"/>
      <c r="V2910" s="711"/>
      <c r="W2910" s="711"/>
      <c r="X2910" s="711"/>
      <c r="Y2910" s="711"/>
      <c r="Z2910" s="711"/>
      <c r="AU2910" s="713"/>
      <c r="AW2910" s="712"/>
      <c r="BY2910" s="714"/>
      <c r="BZ2910" s="715"/>
      <c r="CA2910" s="716"/>
      <c r="CB2910" s="717"/>
      <c r="CC2910" s="717"/>
      <c r="CD2910" s="717"/>
      <c r="CE2910" s="717"/>
      <c r="CF2910" s="717"/>
      <c r="CG2910" s="717"/>
      <c r="CH2910" s="717"/>
      <c r="CI2910" s="717"/>
      <c r="CJ2910" s="717"/>
      <c r="CK2910" s="717"/>
      <c r="CL2910" s="717"/>
      <c r="CM2910" s="717"/>
      <c r="CN2910" s="717"/>
      <c r="CO2910" s="717"/>
      <c r="CP2910" s="717"/>
      <c r="CQ2910" s="717"/>
      <c r="CR2910" s="717"/>
      <c r="CS2910" s="717"/>
      <c r="CT2910" s="717"/>
      <c r="CU2910" s="717"/>
      <c r="CV2910" s="717"/>
      <c r="CW2910" s="717"/>
      <c r="CX2910" s="717"/>
      <c r="CY2910" s="717"/>
      <c r="CZ2910" s="717"/>
      <c r="DA2910" s="717"/>
      <c r="DB2910" s="717"/>
      <c r="DC2910" s="717"/>
      <c r="DD2910" s="717"/>
      <c r="DE2910" s="717"/>
      <c r="DF2910" s="717"/>
      <c r="DG2910" s="717"/>
      <c r="DH2910" s="717"/>
      <c r="DI2910" s="717"/>
      <c r="DJ2910" s="717"/>
      <c r="DM2910" s="711"/>
      <c r="DN2910" s="711"/>
      <c r="DO2910" s="711"/>
      <c r="DP2910" s="711"/>
      <c r="DQ2910" s="711"/>
    </row>
    <row r="2911" spans="13:121" s="709" customFormat="1" hidden="1">
      <c r="M2911" s="710"/>
      <c r="P2911" s="711"/>
      <c r="Q2911" s="712"/>
      <c r="U2911" s="711"/>
      <c r="V2911" s="711"/>
      <c r="W2911" s="711"/>
      <c r="X2911" s="711"/>
      <c r="Y2911" s="711"/>
      <c r="Z2911" s="711"/>
      <c r="AU2911" s="713"/>
      <c r="AW2911" s="712"/>
      <c r="BY2911" s="714"/>
      <c r="BZ2911" s="715"/>
      <c r="CA2911" s="716"/>
      <c r="CB2911" s="717"/>
      <c r="CC2911" s="717"/>
      <c r="CD2911" s="717"/>
      <c r="CE2911" s="717"/>
      <c r="CF2911" s="717"/>
      <c r="CG2911" s="717"/>
      <c r="CH2911" s="717"/>
      <c r="CI2911" s="717"/>
      <c r="CJ2911" s="717"/>
      <c r="CK2911" s="717"/>
      <c r="CL2911" s="717"/>
      <c r="CM2911" s="717"/>
      <c r="CN2911" s="717"/>
      <c r="CO2911" s="717"/>
      <c r="CP2911" s="717"/>
      <c r="CQ2911" s="717"/>
      <c r="CR2911" s="717"/>
      <c r="CS2911" s="717"/>
      <c r="CT2911" s="717"/>
      <c r="CU2911" s="717"/>
      <c r="CV2911" s="717"/>
      <c r="CW2911" s="717"/>
      <c r="CX2911" s="717"/>
      <c r="CY2911" s="717"/>
      <c r="CZ2911" s="717"/>
      <c r="DA2911" s="717"/>
      <c r="DB2911" s="717"/>
      <c r="DC2911" s="717"/>
      <c r="DD2911" s="717"/>
      <c r="DE2911" s="717"/>
      <c r="DF2911" s="717"/>
      <c r="DG2911" s="717"/>
      <c r="DH2911" s="717"/>
      <c r="DI2911" s="717"/>
      <c r="DJ2911" s="717"/>
      <c r="DM2911" s="711"/>
      <c r="DN2911" s="711"/>
      <c r="DO2911" s="711"/>
      <c r="DP2911" s="711"/>
      <c r="DQ2911" s="711"/>
    </row>
    <row r="2912" spans="13:121" s="709" customFormat="1" hidden="1">
      <c r="M2912" s="710"/>
      <c r="P2912" s="711"/>
      <c r="Q2912" s="712"/>
      <c r="U2912" s="711"/>
      <c r="V2912" s="711"/>
      <c r="W2912" s="711"/>
      <c r="X2912" s="711"/>
      <c r="Y2912" s="711"/>
      <c r="Z2912" s="711"/>
      <c r="AU2912" s="713"/>
      <c r="AW2912" s="712"/>
      <c r="BY2912" s="714"/>
      <c r="BZ2912" s="715"/>
      <c r="CA2912" s="716"/>
      <c r="CB2912" s="717"/>
      <c r="CC2912" s="717"/>
      <c r="CD2912" s="717"/>
      <c r="CE2912" s="717"/>
      <c r="CF2912" s="717"/>
      <c r="CG2912" s="717"/>
      <c r="CH2912" s="717"/>
      <c r="CI2912" s="717"/>
      <c r="CJ2912" s="717"/>
      <c r="CK2912" s="717"/>
      <c r="CL2912" s="717"/>
      <c r="CM2912" s="717"/>
      <c r="CN2912" s="717"/>
      <c r="CO2912" s="717"/>
      <c r="CP2912" s="717"/>
      <c r="CQ2912" s="717"/>
      <c r="CR2912" s="717"/>
      <c r="CS2912" s="717"/>
      <c r="CT2912" s="717"/>
      <c r="CU2912" s="717"/>
      <c r="CV2912" s="717"/>
      <c r="CW2912" s="717"/>
      <c r="CX2912" s="717"/>
      <c r="CY2912" s="717"/>
      <c r="CZ2912" s="717"/>
      <c r="DA2912" s="717"/>
      <c r="DB2912" s="717"/>
      <c r="DC2912" s="717"/>
      <c r="DD2912" s="717"/>
      <c r="DE2912" s="717"/>
      <c r="DF2912" s="717"/>
      <c r="DG2912" s="717"/>
      <c r="DH2912" s="717"/>
      <c r="DI2912" s="717"/>
      <c r="DJ2912" s="717"/>
      <c r="DM2912" s="711"/>
      <c r="DN2912" s="711"/>
      <c r="DO2912" s="711"/>
      <c r="DP2912" s="711"/>
      <c r="DQ2912" s="711"/>
    </row>
    <row r="2913" spans="13:121" s="709" customFormat="1" hidden="1">
      <c r="M2913" s="710"/>
      <c r="P2913" s="711"/>
      <c r="Q2913" s="712"/>
      <c r="U2913" s="711"/>
      <c r="V2913" s="711"/>
      <c r="W2913" s="711"/>
      <c r="X2913" s="711"/>
      <c r="Y2913" s="711"/>
      <c r="Z2913" s="711"/>
      <c r="AU2913" s="713"/>
      <c r="AW2913" s="712"/>
      <c r="BY2913" s="714"/>
      <c r="BZ2913" s="715"/>
      <c r="CA2913" s="716"/>
      <c r="CB2913" s="717"/>
      <c r="CC2913" s="717"/>
      <c r="CD2913" s="717"/>
      <c r="CE2913" s="717"/>
      <c r="CF2913" s="717"/>
      <c r="CG2913" s="717"/>
      <c r="CH2913" s="717"/>
      <c r="CI2913" s="717"/>
      <c r="CJ2913" s="717"/>
      <c r="CK2913" s="717"/>
      <c r="CL2913" s="717"/>
      <c r="CM2913" s="717"/>
      <c r="CN2913" s="717"/>
      <c r="CO2913" s="717"/>
      <c r="CP2913" s="717"/>
      <c r="CQ2913" s="717"/>
      <c r="CR2913" s="717"/>
      <c r="CS2913" s="717"/>
      <c r="CT2913" s="717"/>
      <c r="CU2913" s="717"/>
      <c r="CV2913" s="717"/>
      <c r="CW2913" s="717"/>
      <c r="CX2913" s="717"/>
      <c r="CY2913" s="717"/>
      <c r="CZ2913" s="717"/>
      <c r="DA2913" s="717"/>
      <c r="DB2913" s="717"/>
      <c r="DC2913" s="717"/>
      <c r="DD2913" s="717"/>
      <c r="DE2913" s="717"/>
      <c r="DF2913" s="717"/>
      <c r="DG2913" s="717"/>
      <c r="DH2913" s="717"/>
      <c r="DI2913" s="717"/>
      <c r="DJ2913" s="717"/>
      <c r="DM2913" s="711"/>
      <c r="DN2913" s="711"/>
      <c r="DO2913" s="711"/>
      <c r="DP2913" s="711"/>
      <c r="DQ2913" s="711"/>
    </row>
    <row r="2914" spans="13:121" s="709" customFormat="1" hidden="1">
      <c r="M2914" s="710"/>
      <c r="P2914" s="711"/>
      <c r="Q2914" s="712"/>
      <c r="U2914" s="711"/>
      <c r="V2914" s="711"/>
      <c r="W2914" s="711"/>
      <c r="X2914" s="711"/>
      <c r="Y2914" s="711"/>
      <c r="Z2914" s="711"/>
      <c r="AU2914" s="713"/>
      <c r="AW2914" s="712"/>
      <c r="BY2914" s="714"/>
      <c r="BZ2914" s="715"/>
      <c r="CA2914" s="716"/>
      <c r="CB2914" s="717"/>
      <c r="CC2914" s="717"/>
      <c r="CD2914" s="717"/>
      <c r="CE2914" s="717"/>
      <c r="CF2914" s="717"/>
      <c r="CG2914" s="717"/>
      <c r="CH2914" s="717"/>
      <c r="CI2914" s="717"/>
      <c r="CJ2914" s="717"/>
      <c r="CK2914" s="717"/>
      <c r="CL2914" s="717"/>
      <c r="CM2914" s="717"/>
      <c r="CN2914" s="717"/>
      <c r="CO2914" s="717"/>
      <c r="CP2914" s="717"/>
      <c r="CQ2914" s="717"/>
      <c r="CR2914" s="717"/>
      <c r="CS2914" s="717"/>
      <c r="CT2914" s="717"/>
      <c r="CU2914" s="717"/>
      <c r="CV2914" s="717"/>
      <c r="CW2914" s="717"/>
      <c r="CX2914" s="717"/>
      <c r="CY2914" s="717"/>
      <c r="CZ2914" s="717"/>
      <c r="DA2914" s="717"/>
      <c r="DB2914" s="717"/>
      <c r="DC2914" s="717"/>
      <c r="DD2914" s="717"/>
      <c r="DE2914" s="717"/>
      <c r="DF2914" s="717"/>
      <c r="DG2914" s="717"/>
      <c r="DH2914" s="717"/>
      <c r="DI2914" s="717"/>
      <c r="DJ2914" s="717"/>
      <c r="DM2914" s="711"/>
      <c r="DN2914" s="711"/>
      <c r="DO2914" s="711"/>
      <c r="DP2914" s="711"/>
      <c r="DQ2914" s="711"/>
    </row>
    <row r="2915" spans="13:121" s="709" customFormat="1" hidden="1">
      <c r="M2915" s="710"/>
      <c r="P2915" s="711"/>
      <c r="Q2915" s="712"/>
      <c r="U2915" s="711"/>
      <c r="V2915" s="711"/>
      <c r="W2915" s="711"/>
      <c r="X2915" s="711"/>
      <c r="Y2915" s="711"/>
      <c r="Z2915" s="711"/>
      <c r="AU2915" s="713"/>
      <c r="AW2915" s="712"/>
      <c r="BY2915" s="714"/>
      <c r="BZ2915" s="715"/>
      <c r="CA2915" s="716"/>
      <c r="CB2915" s="717"/>
      <c r="CC2915" s="717"/>
      <c r="CD2915" s="717"/>
      <c r="CE2915" s="717"/>
      <c r="CF2915" s="717"/>
      <c r="CG2915" s="717"/>
      <c r="CH2915" s="717"/>
      <c r="CI2915" s="717"/>
      <c r="CJ2915" s="717"/>
      <c r="CK2915" s="717"/>
      <c r="CL2915" s="717"/>
      <c r="CM2915" s="717"/>
      <c r="CN2915" s="717"/>
      <c r="CO2915" s="717"/>
      <c r="CP2915" s="717"/>
      <c r="CQ2915" s="717"/>
      <c r="CR2915" s="717"/>
      <c r="CS2915" s="717"/>
      <c r="CT2915" s="717"/>
      <c r="CU2915" s="717"/>
      <c r="CV2915" s="717"/>
      <c r="CW2915" s="717"/>
      <c r="CX2915" s="717"/>
      <c r="CY2915" s="717"/>
      <c r="CZ2915" s="717"/>
      <c r="DA2915" s="717"/>
      <c r="DB2915" s="717"/>
      <c r="DC2915" s="717"/>
      <c r="DD2915" s="717"/>
      <c r="DE2915" s="717"/>
      <c r="DF2915" s="717"/>
      <c r="DG2915" s="717"/>
      <c r="DH2915" s="717"/>
      <c r="DI2915" s="717"/>
      <c r="DJ2915" s="717"/>
      <c r="DM2915" s="711"/>
      <c r="DN2915" s="711"/>
      <c r="DO2915" s="711"/>
      <c r="DP2915" s="711"/>
      <c r="DQ2915" s="711"/>
    </row>
    <row r="2916" spans="13:121" s="709" customFormat="1" hidden="1">
      <c r="M2916" s="710"/>
      <c r="P2916" s="711"/>
      <c r="Q2916" s="712"/>
      <c r="U2916" s="711"/>
      <c r="V2916" s="711"/>
      <c r="W2916" s="711"/>
      <c r="X2916" s="711"/>
      <c r="Y2916" s="711"/>
      <c r="Z2916" s="711"/>
      <c r="AU2916" s="713"/>
      <c r="AW2916" s="712"/>
      <c r="BY2916" s="714"/>
      <c r="BZ2916" s="715"/>
      <c r="CA2916" s="716"/>
      <c r="CB2916" s="717"/>
      <c r="CC2916" s="717"/>
      <c r="CD2916" s="717"/>
      <c r="CE2916" s="717"/>
      <c r="CF2916" s="717"/>
      <c r="CG2916" s="717"/>
      <c r="CH2916" s="717"/>
      <c r="CI2916" s="717"/>
      <c r="CJ2916" s="717"/>
      <c r="CK2916" s="717"/>
      <c r="CL2916" s="717"/>
      <c r="CM2916" s="717"/>
      <c r="CN2916" s="717"/>
      <c r="CO2916" s="717"/>
      <c r="CP2916" s="717"/>
      <c r="CQ2916" s="717"/>
      <c r="CR2916" s="717"/>
      <c r="CS2916" s="717"/>
      <c r="CT2916" s="717"/>
      <c r="CU2916" s="717"/>
      <c r="CV2916" s="717"/>
      <c r="CW2916" s="717"/>
      <c r="CX2916" s="717"/>
      <c r="CY2916" s="717"/>
      <c r="CZ2916" s="717"/>
      <c r="DA2916" s="717"/>
      <c r="DB2916" s="717"/>
      <c r="DC2916" s="717"/>
      <c r="DD2916" s="717"/>
      <c r="DE2916" s="717"/>
      <c r="DF2916" s="717"/>
      <c r="DG2916" s="717"/>
      <c r="DH2916" s="717"/>
      <c r="DI2916" s="717"/>
      <c r="DJ2916" s="717"/>
      <c r="DM2916" s="711"/>
      <c r="DN2916" s="711"/>
      <c r="DO2916" s="711"/>
      <c r="DP2916" s="711"/>
      <c r="DQ2916" s="711"/>
    </row>
    <row r="2917" spans="13:121" s="709" customFormat="1" hidden="1">
      <c r="M2917" s="710"/>
      <c r="P2917" s="711"/>
      <c r="Q2917" s="712"/>
      <c r="U2917" s="711"/>
      <c r="V2917" s="711"/>
      <c r="W2917" s="711"/>
      <c r="X2917" s="711"/>
      <c r="Y2917" s="711"/>
      <c r="Z2917" s="711"/>
      <c r="AU2917" s="713"/>
      <c r="AW2917" s="712"/>
      <c r="BY2917" s="714"/>
      <c r="BZ2917" s="715"/>
      <c r="CA2917" s="716"/>
      <c r="CB2917" s="717"/>
      <c r="CC2917" s="717"/>
      <c r="CD2917" s="717"/>
      <c r="CE2917" s="717"/>
      <c r="CF2917" s="717"/>
      <c r="CG2917" s="717"/>
      <c r="CH2917" s="717"/>
      <c r="CI2917" s="717"/>
      <c r="CJ2917" s="717"/>
      <c r="CK2917" s="717"/>
      <c r="CL2917" s="717"/>
      <c r="CM2917" s="717"/>
      <c r="CN2917" s="717"/>
      <c r="CO2917" s="717"/>
      <c r="CP2917" s="717"/>
      <c r="CQ2917" s="717"/>
      <c r="CR2917" s="717"/>
      <c r="CS2917" s="717"/>
      <c r="CT2917" s="717"/>
      <c r="CU2917" s="717"/>
      <c r="CV2917" s="717"/>
      <c r="CW2917" s="717"/>
      <c r="CX2917" s="717"/>
      <c r="CY2917" s="717"/>
      <c r="CZ2917" s="717"/>
      <c r="DA2917" s="717"/>
      <c r="DB2917" s="717"/>
      <c r="DC2917" s="717"/>
      <c r="DD2917" s="717"/>
      <c r="DE2917" s="717"/>
      <c r="DF2917" s="717"/>
      <c r="DG2917" s="717"/>
      <c r="DH2917" s="717"/>
      <c r="DI2917" s="717"/>
      <c r="DJ2917" s="717"/>
      <c r="DM2917" s="711"/>
      <c r="DN2917" s="711"/>
      <c r="DO2917" s="711"/>
      <c r="DP2917" s="711"/>
      <c r="DQ2917" s="711"/>
    </row>
    <row r="2918" spans="13:121" s="709" customFormat="1" hidden="1">
      <c r="M2918" s="710"/>
      <c r="P2918" s="711"/>
      <c r="Q2918" s="712"/>
      <c r="U2918" s="711"/>
      <c r="V2918" s="711"/>
      <c r="W2918" s="711"/>
      <c r="X2918" s="711"/>
      <c r="Y2918" s="711"/>
      <c r="Z2918" s="711"/>
      <c r="AU2918" s="713"/>
      <c r="AW2918" s="712"/>
      <c r="BY2918" s="714"/>
      <c r="BZ2918" s="715"/>
      <c r="CA2918" s="716"/>
      <c r="CB2918" s="717"/>
      <c r="CC2918" s="717"/>
      <c r="CD2918" s="717"/>
      <c r="CE2918" s="717"/>
      <c r="CF2918" s="717"/>
      <c r="CG2918" s="717"/>
      <c r="CH2918" s="717"/>
      <c r="CI2918" s="717"/>
      <c r="CJ2918" s="717"/>
      <c r="CK2918" s="717"/>
      <c r="CL2918" s="717"/>
      <c r="CM2918" s="717"/>
      <c r="CN2918" s="717"/>
      <c r="CO2918" s="717"/>
      <c r="CP2918" s="717"/>
      <c r="CQ2918" s="717"/>
      <c r="CR2918" s="717"/>
      <c r="CS2918" s="717"/>
      <c r="CT2918" s="717"/>
      <c r="CU2918" s="717"/>
      <c r="CV2918" s="717"/>
      <c r="CW2918" s="717"/>
      <c r="CX2918" s="717"/>
      <c r="CY2918" s="717"/>
      <c r="CZ2918" s="717"/>
      <c r="DA2918" s="717"/>
      <c r="DB2918" s="717"/>
      <c r="DC2918" s="717"/>
      <c r="DD2918" s="717"/>
      <c r="DE2918" s="717"/>
      <c r="DF2918" s="717"/>
      <c r="DG2918" s="717"/>
      <c r="DH2918" s="717"/>
      <c r="DI2918" s="717"/>
      <c r="DJ2918" s="717"/>
      <c r="DM2918" s="711"/>
      <c r="DN2918" s="711"/>
      <c r="DO2918" s="711"/>
      <c r="DP2918" s="711"/>
      <c r="DQ2918" s="711"/>
    </row>
    <row r="2919" spans="13:121" s="709" customFormat="1" hidden="1">
      <c r="M2919" s="710"/>
      <c r="P2919" s="711"/>
      <c r="Q2919" s="712"/>
      <c r="U2919" s="711"/>
      <c r="V2919" s="711"/>
      <c r="W2919" s="711"/>
      <c r="X2919" s="711"/>
      <c r="Y2919" s="711"/>
      <c r="Z2919" s="711"/>
      <c r="AU2919" s="713"/>
      <c r="AW2919" s="712"/>
      <c r="BY2919" s="714"/>
      <c r="BZ2919" s="715"/>
      <c r="CA2919" s="716"/>
      <c r="CB2919" s="717"/>
      <c r="CC2919" s="717"/>
      <c r="CD2919" s="717"/>
      <c r="CE2919" s="717"/>
      <c r="CF2919" s="717"/>
      <c r="CG2919" s="717"/>
      <c r="CH2919" s="717"/>
      <c r="CI2919" s="717"/>
      <c r="CJ2919" s="717"/>
      <c r="CK2919" s="717"/>
      <c r="CL2919" s="717"/>
      <c r="CM2919" s="717"/>
      <c r="CN2919" s="717"/>
      <c r="CO2919" s="717"/>
      <c r="CP2919" s="717"/>
      <c r="CQ2919" s="717"/>
      <c r="CR2919" s="717"/>
      <c r="CS2919" s="717"/>
      <c r="CT2919" s="717"/>
      <c r="CU2919" s="717"/>
      <c r="CV2919" s="717"/>
      <c r="CW2919" s="717"/>
      <c r="CX2919" s="717"/>
      <c r="CY2919" s="717"/>
      <c r="CZ2919" s="717"/>
      <c r="DA2919" s="717"/>
      <c r="DB2919" s="717"/>
      <c r="DC2919" s="717"/>
      <c r="DD2919" s="717"/>
      <c r="DE2919" s="717"/>
      <c r="DF2919" s="717"/>
      <c r="DG2919" s="717"/>
      <c r="DH2919" s="717"/>
      <c r="DI2919" s="717"/>
      <c r="DJ2919" s="717"/>
      <c r="DM2919" s="711"/>
      <c r="DN2919" s="711"/>
      <c r="DO2919" s="711"/>
      <c r="DP2919" s="711"/>
      <c r="DQ2919" s="711"/>
    </row>
    <row r="2920" spans="13:121" s="709" customFormat="1" hidden="1">
      <c r="M2920" s="710"/>
      <c r="P2920" s="711"/>
      <c r="Q2920" s="712"/>
      <c r="U2920" s="711"/>
      <c r="V2920" s="711"/>
      <c r="W2920" s="711"/>
      <c r="X2920" s="711"/>
      <c r="Y2920" s="711"/>
      <c r="Z2920" s="711"/>
      <c r="AU2920" s="713"/>
      <c r="AW2920" s="712"/>
      <c r="BY2920" s="714"/>
      <c r="BZ2920" s="715"/>
      <c r="CA2920" s="716"/>
      <c r="CB2920" s="717"/>
      <c r="CC2920" s="717"/>
      <c r="CD2920" s="717"/>
      <c r="CE2920" s="717"/>
      <c r="CF2920" s="717"/>
      <c r="CG2920" s="717"/>
      <c r="CH2920" s="717"/>
      <c r="CI2920" s="717"/>
      <c r="CJ2920" s="717"/>
      <c r="CK2920" s="717"/>
      <c r="CL2920" s="717"/>
      <c r="CM2920" s="717"/>
      <c r="CN2920" s="717"/>
      <c r="CO2920" s="717"/>
      <c r="CP2920" s="717"/>
      <c r="CQ2920" s="717"/>
      <c r="CR2920" s="717"/>
      <c r="CS2920" s="717"/>
      <c r="CT2920" s="717"/>
      <c r="CU2920" s="717"/>
      <c r="CV2920" s="717"/>
      <c r="CW2920" s="717"/>
      <c r="CX2920" s="717"/>
      <c r="CY2920" s="717"/>
      <c r="CZ2920" s="717"/>
      <c r="DA2920" s="717"/>
      <c r="DB2920" s="717"/>
      <c r="DC2920" s="717"/>
      <c r="DD2920" s="717"/>
      <c r="DE2920" s="717"/>
      <c r="DF2920" s="717"/>
      <c r="DG2920" s="717"/>
      <c r="DH2920" s="717"/>
      <c r="DI2920" s="717"/>
      <c r="DJ2920" s="717"/>
      <c r="DM2920" s="711"/>
      <c r="DN2920" s="711"/>
      <c r="DO2920" s="711"/>
      <c r="DP2920" s="711"/>
      <c r="DQ2920" s="711"/>
    </row>
    <row r="2921" spans="13:121" s="709" customFormat="1" hidden="1">
      <c r="M2921" s="710"/>
      <c r="P2921" s="711"/>
      <c r="Q2921" s="712"/>
      <c r="U2921" s="711"/>
      <c r="V2921" s="711"/>
      <c r="W2921" s="711"/>
      <c r="X2921" s="711"/>
      <c r="Y2921" s="711"/>
      <c r="Z2921" s="711"/>
      <c r="AU2921" s="713"/>
      <c r="AW2921" s="712"/>
      <c r="BY2921" s="714"/>
      <c r="BZ2921" s="715"/>
      <c r="CA2921" s="716"/>
      <c r="CB2921" s="717"/>
      <c r="CC2921" s="717"/>
      <c r="CD2921" s="717"/>
      <c r="CE2921" s="717"/>
      <c r="CF2921" s="717"/>
      <c r="CG2921" s="717"/>
      <c r="CH2921" s="717"/>
      <c r="CI2921" s="717"/>
      <c r="CJ2921" s="717"/>
      <c r="CK2921" s="717"/>
      <c r="CL2921" s="717"/>
      <c r="CM2921" s="717"/>
      <c r="CN2921" s="717"/>
      <c r="CO2921" s="717"/>
      <c r="CP2921" s="717"/>
      <c r="CQ2921" s="717"/>
      <c r="CR2921" s="717"/>
      <c r="CS2921" s="717"/>
      <c r="CT2921" s="717"/>
      <c r="CU2921" s="717"/>
      <c r="CV2921" s="717"/>
      <c r="CW2921" s="717"/>
      <c r="CX2921" s="717"/>
      <c r="CY2921" s="717"/>
      <c r="CZ2921" s="717"/>
      <c r="DA2921" s="717"/>
      <c r="DB2921" s="717"/>
      <c r="DC2921" s="717"/>
      <c r="DD2921" s="717"/>
      <c r="DE2921" s="717"/>
      <c r="DF2921" s="717"/>
      <c r="DG2921" s="717"/>
      <c r="DH2921" s="717"/>
      <c r="DI2921" s="717"/>
      <c r="DJ2921" s="717"/>
      <c r="DM2921" s="711"/>
      <c r="DN2921" s="711"/>
      <c r="DO2921" s="711"/>
      <c r="DP2921" s="711"/>
      <c r="DQ2921" s="711"/>
    </row>
    <row r="2922" spans="13:121" s="709" customFormat="1" hidden="1">
      <c r="M2922" s="710"/>
      <c r="P2922" s="711"/>
      <c r="Q2922" s="712"/>
      <c r="U2922" s="711"/>
      <c r="V2922" s="711"/>
      <c r="W2922" s="711"/>
      <c r="X2922" s="711"/>
      <c r="Y2922" s="711"/>
      <c r="Z2922" s="711"/>
      <c r="AU2922" s="713"/>
      <c r="AW2922" s="712"/>
      <c r="BY2922" s="714"/>
      <c r="BZ2922" s="715"/>
      <c r="CA2922" s="716"/>
      <c r="CB2922" s="717"/>
      <c r="CC2922" s="717"/>
      <c r="CD2922" s="717"/>
      <c r="CE2922" s="717"/>
      <c r="CF2922" s="717"/>
      <c r="CG2922" s="717"/>
      <c r="CH2922" s="717"/>
      <c r="CI2922" s="717"/>
      <c r="CJ2922" s="717"/>
      <c r="CK2922" s="717"/>
      <c r="CL2922" s="717"/>
      <c r="CM2922" s="717"/>
      <c r="CN2922" s="717"/>
      <c r="CO2922" s="717"/>
      <c r="CP2922" s="717"/>
      <c r="CQ2922" s="717"/>
      <c r="CR2922" s="717"/>
      <c r="CS2922" s="717"/>
      <c r="CT2922" s="717"/>
      <c r="CU2922" s="717"/>
      <c r="CV2922" s="717"/>
      <c r="CW2922" s="717"/>
      <c r="CX2922" s="717"/>
      <c r="CY2922" s="717"/>
      <c r="CZ2922" s="717"/>
      <c r="DA2922" s="717"/>
      <c r="DB2922" s="717"/>
      <c r="DC2922" s="717"/>
      <c r="DD2922" s="717"/>
      <c r="DE2922" s="717"/>
      <c r="DF2922" s="717"/>
      <c r="DG2922" s="717"/>
      <c r="DH2922" s="717"/>
      <c r="DI2922" s="717"/>
      <c r="DJ2922" s="717"/>
      <c r="DM2922" s="711"/>
      <c r="DN2922" s="711"/>
      <c r="DO2922" s="711"/>
      <c r="DP2922" s="711"/>
      <c r="DQ2922" s="711"/>
    </row>
    <row r="2923" spans="13:121" s="709" customFormat="1" hidden="1">
      <c r="M2923" s="710"/>
      <c r="P2923" s="711"/>
      <c r="Q2923" s="712"/>
      <c r="U2923" s="711"/>
      <c r="V2923" s="711"/>
      <c r="W2923" s="711"/>
      <c r="X2923" s="711"/>
      <c r="Y2923" s="711"/>
      <c r="Z2923" s="711"/>
      <c r="AU2923" s="713"/>
      <c r="AW2923" s="712"/>
      <c r="BY2923" s="714"/>
      <c r="BZ2923" s="715"/>
      <c r="CA2923" s="716"/>
      <c r="CB2923" s="717"/>
      <c r="CC2923" s="717"/>
      <c r="CD2923" s="717"/>
      <c r="CE2923" s="717"/>
      <c r="CF2923" s="717"/>
      <c r="CG2923" s="717"/>
      <c r="CH2923" s="717"/>
      <c r="CI2923" s="717"/>
      <c r="CJ2923" s="717"/>
      <c r="CK2923" s="717"/>
      <c r="CL2923" s="717"/>
      <c r="CM2923" s="717"/>
      <c r="CN2923" s="717"/>
      <c r="CO2923" s="717"/>
      <c r="CP2923" s="717"/>
      <c r="CQ2923" s="717"/>
      <c r="CR2923" s="717"/>
      <c r="CS2923" s="717"/>
      <c r="CT2923" s="717"/>
      <c r="CU2923" s="717"/>
      <c r="CV2923" s="717"/>
      <c r="CW2923" s="717"/>
      <c r="CX2923" s="717"/>
      <c r="CY2923" s="717"/>
      <c r="CZ2923" s="717"/>
      <c r="DA2923" s="717"/>
      <c r="DB2923" s="717"/>
      <c r="DC2923" s="717"/>
      <c r="DD2923" s="717"/>
      <c r="DE2923" s="717"/>
      <c r="DF2923" s="717"/>
      <c r="DG2923" s="717"/>
      <c r="DH2923" s="717"/>
      <c r="DI2923" s="717"/>
      <c r="DJ2923" s="717"/>
      <c r="DM2923" s="711"/>
      <c r="DN2923" s="711"/>
      <c r="DO2923" s="711"/>
      <c r="DP2923" s="711"/>
      <c r="DQ2923" s="711"/>
    </row>
    <row r="2924" spans="13:121" s="709" customFormat="1" hidden="1">
      <c r="M2924" s="710"/>
      <c r="P2924" s="711"/>
      <c r="Q2924" s="712"/>
      <c r="U2924" s="711"/>
      <c r="V2924" s="711"/>
      <c r="W2924" s="711"/>
      <c r="X2924" s="711"/>
      <c r="Y2924" s="711"/>
      <c r="Z2924" s="711"/>
      <c r="AU2924" s="713"/>
      <c r="AW2924" s="712"/>
      <c r="BY2924" s="714"/>
      <c r="BZ2924" s="715"/>
      <c r="CA2924" s="716"/>
      <c r="CB2924" s="717"/>
      <c r="CC2924" s="717"/>
      <c r="CD2924" s="717"/>
      <c r="CE2924" s="717"/>
      <c r="CF2924" s="717"/>
      <c r="CG2924" s="717"/>
      <c r="CH2924" s="717"/>
      <c r="CI2924" s="717"/>
      <c r="CJ2924" s="717"/>
      <c r="CK2924" s="717"/>
      <c r="CL2924" s="717"/>
      <c r="CM2924" s="717"/>
      <c r="CN2924" s="717"/>
      <c r="CO2924" s="717"/>
      <c r="CP2924" s="717"/>
      <c r="CQ2924" s="717"/>
      <c r="CR2924" s="717"/>
      <c r="CS2924" s="717"/>
      <c r="CT2924" s="717"/>
      <c r="CU2924" s="717"/>
      <c r="CV2924" s="717"/>
      <c r="CW2924" s="717"/>
      <c r="CX2924" s="717"/>
      <c r="CY2924" s="717"/>
      <c r="CZ2924" s="717"/>
      <c r="DA2924" s="717"/>
      <c r="DB2924" s="717"/>
      <c r="DC2924" s="717"/>
      <c r="DD2924" s="717"/>
      <c r="DE2924" s="717"/>
      <c r="DF2924" s="717"/>
      <c r="DG2924" s="717"/>
      <c r="DH2924" s="717"/>
      <c r="DI2924" s="717"/>
      <c r="DJ2924" s="717"/>
      <c r="DM2924" s="711"/>
      <c r="DN2924" s="711"/>
      <c r="DO2924" s="711"/>
      <c r="DP2924" s="711"/>
      <c r="DQ2924" s="711"/>
    </row>
    <row r="2925" spans="13:121" s="709" customFormat="1" hidden="1">
      <c r="M2925" s="710"/>
      <c r="P2925" s="711"/>
      <c r="Q2925" s="712"/>
      <c r="U2925" s="711"/>
      <c r="V2925" s="711"/>
      <c r="W2925" s="711"/>
      <c r="X2925" s="711"/>
      <c r="Y2925" s="711"/>
      <c r="Z2925" s="711"/>
      <c r="AU2925" s="713"/>
      <c r="AW2925" s="712"/>
      <c r="BY2925" s="714"/>
      <c r="BZ2925" s="715"/>
      <c r="CA2925" s="716"/>
      <c r="CB2925" s="717"/>
      <c r="CC2925" s="717"/>
      <c r="CD2925" s="717"/>
      <c r="CE2925" s="717"/>
      <c r="CF2925" s="717"/>
      <c r="CG2925" s="717"/>
      <c r="CH2925" s="717"/>
      <c r="CI2925" s="717"/>
      <c r="CJ2925" s="717"/>
      <c r="CK2925" s="717"/>
      <c r="CL2925" s="717"/>
      <c r="CM2925" s="717"/>
      <c r="CN2925" s="717"/>
      <c r="CO2925" s="717"/>
      <c r="CP2925" s="717"/>
      <c r="CQ2925" s="717"/>
      <c r="CR2925" s="717"/>
      <c r="CS2925" s="717"/>
      <c r="CT2925" s="717"/>
      <c r="CU2925" s="717"/>
      <c r="CV2925" s="717"/>
      <c r="CW2925" s="717"/>
      <c r="CX2925" s="717"/>
      <c r="CY2925" s="717"/>
      <c r="CZ2925" s="717"/>
      <c r="DA2925" s="717"/>
      <c r="DB2925" s="717"/>
      <c r="DC2925" s="717"/>
      <c r="DD2925" s="717"/>
      <c r="DE2925" s="717"/>
      <c r="DF2925" s="717"/>
      <c r="DG2925" s="717"/>
      <c r="DH2925" s="717"/>
      <c r="DI2925" s="717"/>
      <c r="DJ2925" s="717"/>
      <c r="DM2925" s="711"/>
      <c r="DN2925" s="711"/>
      <c r="DO2925" s="711"/>
      <c r="DP2925" s="711"/>
      <c r="DQ2925" s="711"/>
    </row>
    <row r="2926" spans="13:121" s="709" customFormat="1" hidden="1">
      <c r="M2926" s="710"/>
      <c r="P2926" s="711"/>
      <c r="Q2926" s="712"/>
      <c r="U2926" s="711"/>
      <c r="V2926" s="711"/>
      <c r="W2926" s="711"/>
      <c r="X2926" s="711"/>
      <c r="Y2926" s="711"/>
      <c r="Z2926" s="711"/>
      <c r="AU2926" s="713"/>
      <c r="AW2926" s="712"/>
      <c r="BY2926" s="714"/>
      <c r="BZ2926" s="715"/>
      <c r="CA2926" s="716"/>
      <c r="CB2926" s="717"/>
      <c r="CC2926" s="717"/>
      <c r="CD2926" s="717"/>
      <c r="CE2926" s="717"/>
      <c r="CF2926" s="717"/>
      <c r="CG2926" s="717"/>
      <c r="CH2926" s="717"/>
      <c r="CI2926" s="717"/>
      <c r="CJ2926" s="717"/>
      <c r="CK2926" s="717"/>
      <c r="CL2926" s="717"/>
      <c r="CM2926" s="717"/>
      <c r="CN2926" s="717"/>
      <c r="CO2926" s="717"/>
      <c r="CP2926" s="717"/>
      <c r="CQ2926" s="717"/>
      <c r="CR2926" s="717"/>
      <c r="CS2926" s="717"/>
      <c r="CT2926" s="717"/>
      <c r="CU2926" s="717"/>
      <c r="CV2926" s="717"/>
      <c r="CW2926" s="717"/>
      <c r="CX2926" s="717"/>
      <c r="CY2926" s="717"/>
      <c r="CZ2926" s="717"/>
      <c r="DA2926" s="717"/>
      <c r="DB2926" s="717"/>
      <c r="DC2926" s="717"/>
      <c r="DD2926" s="717"/>
      <c r="DE2926" s="717"/>
      <c r="DF2926" s="717"/>
      <c r="DG2926" s="717"/>
      <c r="DH2926" s="717"/>
      <c r="DI2926" s="717"/>
      <c r="DJ2926" s="717"/>
      <c r="DM2926" s="711"/>
      <c r="DN2926" s="711"/>
      <c r="DO2926" s="711"/>
      <c r="DP2926" s="711"/>
      <c r="DQ2926" s="711"/>
    </row>
    <row r="2927" spans="13:121" s="709" customFormat="1" hidden="1">
      <c r="M2927" s="710"/>
      <c r="P2927" s="711"/>
      <c r="Q2927" s="712"/>
      <c r="U2927" s="711"/>
      <c r="V2927" s="711"/>
      <c r="W2927" s="711"/>
      <c r="X2927" s="711"/>
      <c r="Y2927" s="711"/>
      <c r="Z2927" s="711"/>
      <c r="AU2927" s="713"/>
      <c r="AW2927" s="712"/>
      <c r="BY2927" s="714"/>
      <c r="BZ2927" s="715"/>
      <c r="CA2927" s="716"/>
      <c r="CB2927" s="717"/>
      <c r="CC2927" s="717"/>
      <c r="CD2927" s="717"/>
      <c r="CE2927" s="717"/>
      <c r="CF2927" s="717"/>
      <c r="CG2927" s="717"/>
      <c r="CH2927" s="717"/>
      <c r="CI2927" s="717"/>
      <c r="CJ2927" s="717"/>
      <c r="CK2927" s="717"/>
      <c r="CL2927" s="717"/>
      <c r="CM2927" s="717"/>
      <c r="CN2927" s="717"/>
      <c r="CO2927" s="717"/>
      <c r="CP2927" s="717"/>
      <c r="CQ2927" s="717"/>
      <c r="CR2927" s="717"/>
      <c r="CS2927" s="717"/>
      <c r="CT2927" s="717"/>
      <c r="CU2927" s="717"/>
      <c r="CV2927" s="717"/>
      <c r="CW2927" s="717"/>
      <c r="CX2927" s="717"/>
      <c r="CY2927" s="717"/>
      <c r="CZ2927" s="717"/>
      <c r="DA2927" s="717"/>
      <c r="DB2927" s="717"/>
      <c r="DC2927" s="717"/>
      <c r="DD2927" s="717"/>
      <c r="DE2927" s="717"/>
      <c r="DF2927" s="717"/>
      <c r="DG2927" s="717"/>
      <c r="DH2927" s="717"/>
      <c r="DI2927" s="717"/>
      <c r="DJ2927" s="717"/>
      <c r="DM2927" s="711"/>
      <c r="DN2927" s="711"/>
      <c r="DO2927" s="711"/>
      <c r="DP2927" s="711"/>
      <c r="DQ2927" s="711"/>
    </row>
    <row r="2928" spans="13:121" s="709" customFormat="1" hidden="1">
      <c r="M2928" s="710"/>
      <c r="P2928" s="711"/>
      <c r="Q2928" s="712"/>
      <c r="U2928" s="711"/>
      <c r="V2928" s="711"/>
      <c r="W2928" s="711"/>
      <c r="X2928" s="711"/>
      <c r="Y2928" s="711"/>
      <c r="Z2928" s="711"/>
      <c r="AU2928" s="713"/>
      <c r="AW2928" s="712"/>
      <c r="BY2928" s="714"/>
      <c r="BZ2928" s="715"/>
      <c r="CA2928" s="716"/>
      <c r="CB2928" s="717"/>
      <c r="CC2928" s="717"/>
      <c r="CD2928" s="717"/>
      <c r="CE2928" s="717"/>
      <c r="CF2928" s="717"/>
      <c r="CG2928" s="717"/>
      <c r="CH2928" s="717"/>
      <c r="CI2928" s="717"/>
      <c r="CJ2928" s="717"/>
      <c r="CK2928" s="717"/>
      <c r="CL2928" s="717"/>
      <c r="CM2928" s="717"/>
      <c r="CN2928" s="717"/>
      <c r="CO2928" s="717"/>
      <c r="CP2928" s="717"/>
      <c r="CQ2928" s="717"/>
      <c r="CR2928" s="717"/>
      <c r="CS2928" s="717"/>
      <c r="CT2928" s="717"/>
      <c r="CU2928" s="717"/>
      <c r="CV2928" s="717"/>
      <c r="CW2928" s="717"/>
      <c r="CX2928" s="717"/>
      <c r="CY2928" s="717"/>
      <c r="CZ2928" s="717"/>
      <c r="DA2928" s="717"/>
      <c r="DB2928" s="717"/>
      <c r="DC2928" s="717"/>
      <c r="DD2928" s="717"/>
      <c r="DE2928" s="717"/>
      <c r="DF2928" s="717"/>
      <c r="DG2928" s="717"/>
      <c r="DH2928" s="717"/>
      <c r="DI2928" s="717"/>
      <c r="DJ2928" s="717"/>
      <c r="DM2928" s="711"/>
      <c r="DN2928" s="711"/>
      <c r="DO2928" s="711"/>
      <c r="DP2928" s="711"/>
      <c r="DQ2928" s="711"/>
    </row>
    <row r="2929" spans="13:121" s="709" customFormat="1" hidden="1">
      <c r="M2929" s="710"/>
      <c r="P2929" s="711"/>
      <c r="Q2929" s="712"/>
      <c r="U2929" s="711"/>
      <c r="V2929" s="711"/>
      <c r="W2929" s="711"/>
      <c r="X2929" s="711"/>
      <c r="Y2929" s="711"/>
      <c r="Z2929" s="711"/>
      <c r="AU2929" s="713"/>
      <c r="AW2929" s="712"/>
      <c r="BY2929" s="714"/>
      <c r="BZ2929" s="715"/>
      <c r="CA2929" s="716"/>
      <c r="CB2929" s="717"/>
      <c r="CC2929" s="717"/>
      <c r="CD2929" s="717"/>
      <c r="CE2929" s="717"/>
      <c r="CF2929" s="717"/>
      <c r="CG2929" s="717"/>
      <c r="CH2929" s="717"/>
      <c r="CI2929" s="717"/>
      <c r="CJ2929" s="717"/>
      <c r="CK2929" s="717"/>
      <c r="CL2929" s="717"/>
      <c r="CM2929" s="717"/>
      <c r="CN2929" s="717"/>
      <c r="CO2929" s="717"/>
      <c r="CP2929" s="717"/>
      <c r="CQ2929" s="717"/>
      <c r="CR2929" s="717"/>
      <c r="CS2929" s="717"/>
      <c r="CT2929" s="717"/>
      <c r="CU2929" s="717"/>
      <c r="CV2929" s="717"/>
      <c r="CW2929" s="717"/>
      <c r="CX2929" s="717"/>
      <c r="CY2929" s="717"/>
      <c r="CZ2929" s="717"/>
      <c r="DA2929" s="717"/>
      <c r="DB2929" s="717"/>
      <c r="DC2929" s="717"/>
      <c r="DD2929" s="717"/>
      <c r="DE2929" s="717"/>
      <c r="DF2929" s="717"/>
      <c r="DG2929" s="717"/>
      <c r="DH2929" s="717"/>
      <c r="DI2929" s="717"/>
      <c r="DJ2929" s="717"/>
      <c r="DM2929" s="711"/>
      <c r="DN2929" s="711"/>
      <c r="DO2929" s="711"/>
      <c r="DP2929" s="711"/>
      <c r="DQ2929" s="711"/>
    </row>
    <row r="2930" spans="13:121" s="709" customFormat="1" hidden="1">
      <c r="M2930" s="710"/>
      <c r="P2930" s="711"/>
      <c r="Q2930" s="712"/>
      <c r="U2930" s="711"/>
      <c r="V2930" s="711"/>
      <c r="W2930" s="711"/>
      <c r="X2930" s="711"/>
      <c r="Y2930" s="711"/>
      <c r="Z2930" s="711"/>
      <c r="AU2930" s="713"/>
      <c r="AW2930" s="712"/>
      <c r="BY2930" s="714"/>
      <c r="BZ2930" s="715"/>
      <c r="CA2930" s="716"/>
      <c r="CB2930" s="717"/>
      <c r="CC2930" s="717"/>
      <c r="CD2930" s="717"/>
      <c r="CE2930" s="717"/>
      <c r="CF2930" s="717"/>
      <c r="CG2930" s="717"/>
      <c r="CH2930" s="717"/>
      <c r="CI2930" s="717"/>
      <c r="CJ2930" s="717"/>
      <c r="CK2930" s="717"/>
      <c r="CL2930" s="717"/>
      <c r="CM2930" s="717"/>
      <c r="CN2930" s="717"/>
      <c r="CO2930" s="717"/>
      <c r="CP2930" s="717"/>
      <c r="CQ2930" s="717"/>
      <c r="CR2930" s="717"/>
      <c r="CS2930" s="717"/>
      <c r="CT2930" s="717"/>
      <c r="CU2930" s="717"/>
      <c r="CV2930" s="717"/>
      <c r="CW2930" s="717"/>
      <c r="CX2930" s="717"/>
      <c r="CY2930" s="717"/>
      <c r="CZ2930" s="717"/>
      <c r="DA2930" s="717"/>
      <c r="DB2930" s="717"/>
      <c r="DC2930" s="717"/>
      <c r="DD2930" s="717"/>
      <c r="DE2930" s="717"/>
      <c r="DF2930" s="717"/>
      <c r="DG2930" s="717"/>
      <c r="DH2930" s="717"/>
      <c r="DI2930" s="717"/>
      <c r="DJ2930" s="717"/>
      <c r="DM2930" s="711"/>
      <c r="DN2930" s="711"/>
      <c r="DO2930" s="711"/>
      <c r="DP2930" s="711"/>
      <c r="DQ2930" s="711"/>
    </row>
    <row r="2931" spans="13:121" s="709" customFormat="1" hidden="1">
      <c r="M2931" s="710"/>
      <c r="P2931" s="711"/>
      <c r="Q2931" s="712"/>
      <c r="U2931" s="711"/>
      <c r="V2931" s="711"/>
      <c r="W2931" s="711"/>
      <c r="X2931" s="711"/>
      <c r="Y2931" s="711"/>
      <c r="Z2931" s="711"/>
      <c r="AU2931" s="713"/>
      <c r="AW2931" s="712"/>
      <c r="BY2931" s="714"/>
      <c r="BZ2931" s="715"/>
      <c r="CA2931" s="716"/>
      <c r="CB2931" s="717"/>
      <c r="CC2931" s="717"/>
      <c r="CD2931" s="717"/>
      <c r="CE2931" s="717"/>
      <c r="CF2931" s="717"/>
      <c r="CG2931" s="717"/>
      <c r="CH2931" s="717"/>
      <c r="CI2931" s="717"/>
      <c r="CJ2931" s="717"/>
      <c r="CK2931" s="717"/>
      <c r="CL2931" s="717"/>
      <c r="CM2931" s="717"/>
      <c r="CN2931" s="717"/>
      <c r="CO2931" s="717"/>
      <c r="CP2931" s="717"/>
      <c r="CQ2931" s="717"/>
      <c r="CR2931" s="717"/>
      <c r="CS2931" s="717"/>
      <c r="CT2931" s="717"/>
      <c r="CU2931" s="717"/>
      <c r="CV2931" s="717"/>
      <c r="CW2931" s="717"/>
      <c r="CX2931" s="717"/>
      <c r="CY2931" s="717"/>
      <c r="CZ2931" s="717"/>
      <c r="DA2931" s="717"/>
      <c r="DB2931" s="717"/>
      <c r="DC2931" s="717"/>
      <c r="DD2931" s="717"/>
      <c r="DE2931" s="717"/>
      <c r="DF2931" s="717"/>
      <c r="DG2931" s="717"/>
      <c r="DH2931" s="717"/>
      <c r="DI2931" s="717"/>
      <c r="DJ2931" s="717"/>
      <c r="DM2931" s="711"/>
      <c r="DN2931" s="711"/>
      <c r="DO2931" s="711"/>
      <c r="DP2931" s="711"/>
      <c r="DQ2931" s="711"/>
    </row>
    <row r="2932" spans="13:121" s="709" customFormat="1" hidden="1">
      <c r="M2932" s="710"/>
      <c r="P2932" s="711"/>
      <c r="Q2932" s="712"/>
      <c r="U2932" s="711"/>
      <c r="V2932" s="711"/>
      <c r="W2932" s="711"/>
      <c r="X2932" s="711"/>
      <c r="Y2932" s="711"/>
      <c r="Z2932" s="711"/>
      <c r="AU2932" s="713"/>
      <c r="AW2932" s="712"/>
      <c r="BY2932" s="714"/>
      <c r="BZ2932" s="715"/>
      <c r="CA2932" s="716"/>
      <c r="CB2932" s="717"/>
      <c r="CC2932" s="717"/>
      <c r="CD2932" s="717"/>
      <c r="CE2932" s="717"/>
      <c r="CF2932" s="717"/>
      <c r="CG2932" s="717"/>
      <c r="CH2932" s="717"/>
      <c r="CI2932" s="717"/>
      <c r="CJ2932" s="717"/>
      <c r="CK2932" s="717"/>
      <c r="CL2932" s="717"/>
      <c r="CM2932" s="717"/>
      <c r="CN2932" s="717"/>
      <c r="CO2932" s="717"/>
      <c r="CP2932" s="717"/>
      <c r="CQ2932" s="717"/>
      <c r="CR2932" s="717"/>
      <c r="CS2932" s="717"/>
      <c r="CT2932" s="717"/>
      <c r="CU2932" s="717"/>
      <c r="CV2932" s="717"/>
      <c r="CW2932" s="717"/>
      <c r="CX2932" s="717"/>
      <c r="CY2932" s="717"/>
      <c r="CZ2932" s="717"/>
      <c r="DA2932" s="717"/>
      <c r="DB2932" s="717"/>
      <c r="DC2932" s="717"/>
      <c r="DD2932" s="717"/>
      <c r="DE2932" s="717"/>
      <c r="DF2932" s="717"/>
      <c r="DG2932" s="717"/>
      <c r="DH2932" s="717"/>
      <c r="DI2932" s="717"/>
      <c r="DJ2932" s="717"/>
      <c r="DM2932" s="711"/>
      <c r="DN2932" s="711"/>
      <c r="DO2932" s="711"/>
      <c r="DP2932" s="711"/>
      <c r="DQ2932" s="711"/>
    </row>
    <row r="2933" spans="13:121" s="709" customFormat="1" hidden="1">
      <c r="M2933" s="710"/>
      <c r="P2933" s="711"/>
      <c r="Q2933" s="712"/>
      <c r="U2933" s="711"/>
      <c r="V2933" s="711"/>
      <c r="W2933" s="711"/>
      <c r="X2933" s="711"/>
      <c r="Y2933" s="711"/>
      <c r="Z2933" s="711"/>
      <c r="AU2933" s="713"/>
      <c r="AW2933" s="712"/>
      <c r="BY2933" s="714"/>
      <c r="BZ2933" s="715"/>
      <c r="CA2933" s="716"/>
      <c r="CB2933" s="717"/>
      <c r="CC2933" s="717"/>
      <c r="CD2933" s="717"/>
      <c r="CE2933" s="717"/>
      <c r="CF2933" s="717"/>
      <c r="CG2933" s="717"/>
      <c r="CH2933" s="717"/>
      <c r="CI2933" s="717"/>
      <c r="CJ2933" s="717"/>
      <c r="CK2933" s="717"/>
      <c r="CL2933" s="717"/>
      <c r="CM2933" s="717"/>
      <c r="CN2933" s="717"/>
      <c r="CO2933" s="717"/>
      <c r="CP2933" s="717"/>
      <c r="CQ2933" s="717"/>
      <c r="CR2933" s="717"/>
      <c r="CS2933" s="717"/>
      <c r="CT2933" s="717"/>
      <c r="CU2933" s="717"/>
      <c r="CV2933" s="717"/>
      <c r="CW2933" s="717"/>
      <c r="CX2933" s="717"/>
      <c r="CY2933" s="717"/>
      <c r="CZ2933" s="717"/>
      <c r="DA2933" s="717"/>
      <c r="DB2933" s="717"/>
      <c r="DC2933" s="717"/>
      <c r="DD2933" s="717"/>
      <c r="DE2933" s="717"/>
      <c r="DF2933" s="717"/>
      <c r="DG2933" s="717"/>
      <c r="DH2933" s="717"/>
      <c r="DI2933" s="717"/>
      <c r="DJ2933" s="717"/>
      <c r="DM2933" s="711"/>
      <c r="DN2933" s="711"/>
      <c r="DO2933" s="711"/>
      <c r="DP2933" s="711"/>
      <c r="DQ2933" s="711"/>
    </row>
    <row r="2934" spans="13:121" s="709" customFormat="1" hidden="1">
      <c r="M2934" s="710"/>
      <c r="P2934" s="711"/>
      <c r="Q2934" s="712"/>
      <c r="U2934" s="711"/>
      <c r="V2934" s="711"/>
      <c r="W2934" s="711"/>
      <c r="X2934" s="711"/>
      <c r="Y2934" s="711"/>
      <c r="Z2934" s="711"/>
      <c r="AU2934" s="713"/>
      <c r="AW2934" s="712"/>
      <c r="BY2934" s="714"/>
      <c r="BZ2934" s="715"/>
      <c r="CA2934" s="716"/>
      <c r="CB2934" s="717"/>
      <c r="CC2934" s="717"/>
      <c r="CD2934" s="717"/>
      <c r="CE2934" s="717"/>
      <c r="CF2934" s="717"/>
      <c r="CG2934" s="717"/>
      <c r="CH2934" s="717"/>
      <c r="CI2934" s="717"/>
      <c r="CJ2934" s="717"/>
      <c r="CK2934" s="717"/>
      <c r="CL2934" s="717"/>
      <c r="CM2934" s="717"/>
      <c r="CN2934" s="717"/>
      <c r="CO2934" s="717"/>
      <c r="CP2934" s="717"/>
      <c r="CQ2934" s="717"/>
      <c r="CR2934" s="717"/>
      <c r="CS2934" s="717"/>
      <c r="CT2934" s="717"/>
      <c r="CU2934" s="717"/>
      <c r="CV2934" s="717"/>
      <c r="CW2934" s="717"/>
      <c r="CX2934" s="717"/>
      <c r="CY2934" s="717"/>
      <c r="CZ2934" s="717"/>
      <c r="DA2934" s="717"/>
      <c r="DB2934" s="717"/>
      <c r="DC2934" s="717"/>
      <c r="DD2934" s="717"/>
      <c r="DE2934" s="717"/>
      <c r="DF2934" s="717"/>
      <c r="DG2934" s="717"/>
      <c r="DH2934" s="717"/>
      <c r="DI2934" s="717"/>
      <c r="DJ2934" s="717"/>
      <c r="DM2934" s="711"/>
      <c r="DN2934" s="711"/>
      <c r="DO2934" s="711"/>
      <c r="DP2934" s="711"/>
      <c r="DQ2934" s="711"/>
    </row>
    <row r="2935" spans="13:121" s="709" customFormat="1" hidden="1">
      <c r="M2935" s="710"/>
      <c r="P2935" s="711"/>
      <c r="Q2935" s="712"/>
      <c r="U2935" s="711"/>
      <c r="V2935" s="711"/>
      <c r="W2935" s="711"/>
      <c r="X2935" s="711"/>
      <c r="Y2935" s="711"/>
      <c r="Z2935" s="711"/>
      <c r="AU2935" s="713"/>
      <c r="AW2935" s="712"/>
      <c r="BY2935" s="714"/>
      <c r="BZ2935" s="715"/>
      <c r="CA2935" s="716"/>
      <c r="CB2935" s="717"/>
      <c r="CC2935" s="717"/>
      <c r="CD2935" s="717"/>
      <c r="CE2935" s="717"/>
      <c r="CF2935" s="717"/>
      <c r="CG2935" s="717"/>
      <c r="CH2935" s="717"/>
      <c r="CI2935" s="717"/>
      <c r="CJ2935" s="717"/>
      <c r="CK2935" s="717"/>
      <c r="CL2935" s="717"/>
      <c r="CM2935" s="717"/>
      <c r="CN2935" s="717"/>
      <c r="CO2935" s="717"/>
      <c r="CP2935" s="717"/>
      <c r="CQ2935" s="717"/>
      <c r="CR2935" s="717"/>
      <c r="CS2935" s="717"/>
      <c r="CT2935" s="717"/>
      <c r="CU2935" s="717"/>
      <c r="CV2935" s="717"/>
      <c r="CW2935" s="717"/>
      <c r="CX2935" s="717"/>
      <c r="CY2935" s="717"/>
      <c r="CZ2935" s="717"/>
      <c r="DA2935" s="717"/>
      <c r="DB2935" s="717"/>
      <c r="DC2935" s="717"/>
      <c r="DD2935" s="717"/>
      <c r="DE2935" s="717"/>
      <c r="DF2935" s="717"/>
      <c r="DG2935" s="717"/>
      <c r="DH2935" s="717"/>
      <c r="DI2935" s="717"/>
      <c r="DJ2935" s="717"/>
      <c r="DM2935" s="711"/>
      <c r="DN2935" s="711"/>
      <c r="DO2935" s="711"/>
      <c r="DP2935" s="711"/>
      <c r="DQ2935" s="711"/>
    </row>
    <row r="2936" spans="13:121" s="709" customFormat="1" hidden="1">
      <c r="M2936" s="710"/>
      <c r="P2936" s="711"/>
      <c r="Q2936" s="712"/>
      <c r="U2936" s="711"/>
      <c r="V2936" s="711"/>
      <c r="W2936" s="711"/>
      <c r="X2936" s="711"/>
      <c r="Y2936" s="711"/>
      <c r="Z2936" s="711"/>
      <c r="AU2936" s="713"/>
      <c r="AW2936" s="712"/>
      <c r="BY2936" s="714"/>
      <c r="BZ2936" s="715"/>
      <c r="CA2936" s="716"/>
      <c r="CB2936" s="717"/>
      <c r="CC2936" s="717"/>
      <c r="CD2936" s="717"/>
      <c r="CE2936" s="717"/>
      <c r="CF2936" s="717"/>
      <c r="CG2936" s="717"/>
      <c r="CH2936" s="717"/>
      <c r="CI2936" s="717"/>
      <c r="CJ2936" s="717"/>
      <c r="CK2936" s="717"/>
      <c r="CL2936" s="717"/>
      <c r="CM2936" s="717"/>
      <c r="CN2936" s="717"/>
      <c r="CO2936" s="717"/>
      <c r="CP2936" s="717"/>
      <c r="CQ2936" s="717"/>
      <c r="CR2936" s="717"/>
      <c r="CS2936" s="717"/>
      <c r="CT2936" s="717"/>
      <c r="CU2936" s="717"/>
      <c r="CV2936" s="717"/>
      <c r="CW2936" s="717"/>
      <c r="CX2936" s="717"/>
      <c r="CY2936" s="717"/>
      <c r="CZ2936" s="717"/>
      <c r="DA2936" s="717"/>
      <c r="DB2936" s="717"/>
      <c r="DC2936" s="717"/>
      <c r="DD2936" s="717"/>
      <c r="DE2936" s="717"/>
      <c r="DF2936" s="717"/>
      <c r="DG2936" s="717"/>
      <c r="DH2936" s="717"/>
      <c r="DI2936" s="717"/>
      <c r="DJ2936" s="717"/>
      <c r="DM2936" s="711"/>
      <c r="DN2936" s="711"/>
      <c r="DO2936" s="711"/>
      <c r="DP2936" s="711"/>
      <c r="DQ2936" s="711"/>
    </row>
    <row r="2937" spans="13:121" s="709" customFormat="1" hidden="1">
      <c r="M2937" s="710"/>
      <c r="P2937" s="711"/>
      <c r="Q2937" s="712"/>
      <c r="U2937" s="711"/>
      <c r="V2937" s="711"/>
      <c r="W2937" s="711"/>
      <c r="X2937" s="711"/>
      <c r="Y2937" s="711"/>
      <c r="Z2937" s="711"/>
      <c r="AU2937" s="713"/>
      <c r="AW2937" s="712"/>
      <c r="BY2937" s="714"/>
      <c r="BZ2937" s="715"/>
      <c r="CA2937" s="716"/>
      <c r="CB2937" s="717"/>
      <c r="CC2937" s="717"/>
      <c r="CD2937" s="717"/>
      <c r="CE2937" s="717"/>
      <c r="CF2937" s="717"/>
      <c r="CG2937" s="717"/>
      <c r="CH2937" s="717"/>
      <c r="CI2937" s="717"/>
      <c r="CJ2937" s="717"/>
      <c r="CK2937" s="717"/>
      <c r="CL2937" s="717"/>
      <c r="CM2937" s="717"/>
      <c r="CN2937" s="717"/>
      <c r="CO2937" s="717"/>
      <c r="CP2937" s="717"/>
      <c r="CQ2937" s="717"/>
      <c r="CR2937" s="717"/>
      <c r="CS2937" s="717"/>
      <c r="CT2937" s="717"/>
      <c r="CU2937" s="717"/>
      <c r="CV2937" s="717"/>
      <c r="CW2937" s="717"/>
      <c r="CX2937" s="717"/>
      <c r="CY2937" s="717"/>
      <c r="CZ2937" s="717"/>
      <c r="DA2937" s="717"/>
      <c r="DB2937" s="717"/>
      <c r="DC2937" s="717"/>
      <c r="DD2937" s="717"/>
      <c r="DE2937" s="717"/>
      <c r="DF2937" s="717"/>
      <c r="DG2937" s="717"/>
      <c r="DH2937" s="717"/>
      <c r="DI2937" s="717"/>
      <c r="DJ2937" s="717"/>
      <c r="DM2937" s="711"/>
      <c r="DN2937" s="711"/>
      <c r="DO2937" s="711"/>
      <c r="DP2937" s="711"/>
      <c r="DQ2937" s="711"/>
    </row>
    <row r="2938" spans="13:121" s="709" customFormat="1" hidden="1">
      <c r="M2938" s="710"/>
      <c r="P2938" s="711"/>
      <c r="Q2938" s="712"/>
      <c r="U2938" s="711"/>
      <c r="V2938" s="711"/>
      <c r="W2938" s="711"/>
      <c r="X2938" s="711"/>
      <c r="Y2938" s="711"/>
      <c r="Z2938" s="711"/>
      <c r="AU2938" s="713"/>
      <c r="AW2938" s="712"/>
      <c r="BY2938" s="714"/>
      <c r="BZ2938" s="715"/>
      <c r="CA2938" s="716"/>
      <c r="CB2938" s="717"/>
      <c r="CC2938" s="717"/>
      <c r="CD2938" s="717"/>
      <c r="CE2938" s="717"/>
      <c r="CF2938" s="717"/>
      <c r="CG2938" s="717"/>
      <c r="CH2938" s="717"/>
      <c r="CI2938" s="717"/>
      <c r="CJ2938" s="717"/>
      <c r="CK2938" s="717"/>
      <c r="CL2938" s="717"/>
      <c r="CM2938" s="717"/>
      <c r="CN2938" s="717"/>
      <c r="CO2938" s="717"/>
      <c r="CP2938" s="717"/>
      <c r="CQ2938" s="717"/>
      <c r="CR2938" s="717"/>
      <c r="CS2938" s="717"/>
      <c r="CT2938" s="717"/>
      <c r="CU2938" s="717"/>
      <c r="CV2938" s="717"/>
      <c r="CW2938" s="717"/>
      <c r="CX2938" s="717"/>
      <c r="CY2938" s="717"/>
      <c r="CZ2938" s="717"/>
      <c r="DA2938" s="717"/>
      <c r="DB2938" s="717"/>
      <c r="DC2938" s="717"/>
      <c r="DD2938" s="717"/>
      <c r="DE2938" s="717"/>
      <c r="DF2938" s="717"/>
      <c r="DG2938" s="717"/>
      <c r="DH2938" s="717"/>
      <c r="DI2938" s="717"/>
      <c r="DJ2938" s="717"/>
      <c r="DM2938" s="711"/>
      <c r="DN2938" s="711"/>
      <c r="DO2938" s="711"/>
      <c r="DP2938" s="711"/>
      <c r="DQ2938" s="711"/>
    </row>
    <row r="2939" spans="13:121" s="709" customFormat="1" hidden="1">
      <c r="M2939" s="710"/>
      <c r="P2939" s="711"/>
      <c r="Q2939" s="712"/>
      <c r="U2939" s="711"/>
      <c r="V2939" s="711"/>
      <c r="W2939" s="711"/>
      <c r="X2939" s="711"/>
      <c r="Y2939" s="711"/>
      <c r="Z2939" s="711"/>
      <c r="AU2939" s="713"/>
      <c r="AW2939" s="712"/>
      <c r="BY2939" s="714"/>
      <c r="BZ2939" s="715"/>
      <c r="CA2939" s="716"/>
      <c r="CB2939" s="717"/>
      <c r="CC2939" s="717"/>
      <c r="CD2939" s="717"/>
      <c r="CE2939" s="717"/>
      <c r="CF2939" s="717"/>
      <c r="CG2939" s="717"/>
      <c r="CH2939" s="717"/>
      <c r="CI2939" s="717"/>
      <c r="CJ2939" s="717"/>
      <c r="CK2939" s="717"/>
      <c r="CL2939" s="717"/>
      <c r="CM2939" s="717"/>
      <c r="CN2939" s="717"/>
      <c r="CO2939" s="717"/>
      <c r="CP2939" s="717"/>
      <c r="CQ2939" s="717"/>
      <c r="CR2939" s="717"/>
      <c r="CS2939" s="717"/>
      <c r="CT2939" s="717"/>
      <c r="CU2939" s="717"/>
      <c r="CV2939" s="717"/>
      <c r="CW2939" s="717"/>
      <c r="CX2939" s="717"/>
      <c r="CY2939" s="717"/>
      <c r="CZ2939" s="717"/>
      <c r="DA2939" s="717"/>
      <c r="DB2939" s="717"/>
      <c r="DC2939" s="717"/>
      <c r="DD2939" s="717"/>
      <c r="DE2939" s="717"/>
      <c r="DF2939" s="717"/>
      <c r="DG2939" s="717"/>
      <c r="DH2939" s="717"/>
      <c r="DI2939" s="717"/>
      <c r="DJ2939" s="717"/>
      <c r="DM2939" s="711"/>
      <c r="DN2939" s="711"/>
      <c r="DO2939" s="711"/>
      <c r="DP2939" s="711"/>
      <c r="DQ2939" s="711"/>
    </row>
    <row r="2940" spans="13:121" s="709" customFormat="1" hidden="1">
      <c r="M2940" s="710"/>
      <c r="P2940" s="711"/>
      <c r="Q2940" s="712"/>
      <c r="U2940" s="711"/>
      <c r="V2940" s="711"/>
      <c r="W2940" s="711"/>
      <c r="X2940" s="711"/>
      <c r="Y2940" s="711"/>
      <c r="Z2940" s="711"/>
      <c r="AU2940" s="713"/>
      <c r="AW2940" s="712"/>
      <c r="BY2940" s="714"/>
      <c r="BZ2940" s="715"/>
      <c r="CA2940" s="716"/>
      <c r="CB2940" s="717"/>
      <c r="CC2940" s="717"/>
      <c r="CD2940" s="717"/>
      <c r="CE2940" s="717"/>
      <c r="CF2940" s="717"/>
      <c r="CG2940" s="717"/>
      <c r="CH2940" s="717"/>
      <c r="CI2940" s="717"/>
      <c r="CJ2940" s="717"/>
      <c r="CK2940" s="717"/>
      <c r="CL2940" s="717"/>
      <c r="CM2940" s="717"/>
      <c r="CN2940" s="717"/>
      <c r="CO2940" s="717"/>
      <c r="CP2940" s="717"/>
      <c r="CQ2940" s="717"/>
      <c r="CR2940" s="717"/>
      <c r="CS2940" s="717"/>
      <c r="CT2940" s="717"/>
      <c r="CU2940" s="717"/>
      <c r="CV2940" s="717"/>
      <c r="CW2940" s="717"/>
      <c r="CX2940" s="717"/>
      <c r="CY2940" s="717"/>
      <c r="CZ2940" s="717"/>
      <c r="DA2940" s="717"/>
      <c r="DB2940" s="717"/>
      <c r="DC2940" s="717"/>
      <c r="DD2940" s="717"/>
      <c r="DE2940" s="717"/>
      <c r="DF2940" s="717"/>
      <c r="DG2940" s="717"/>
      <c r="DH2940" s="717"/>
      <c r="DI2940" s="717"/>
      <c r="DJ2940" s="717"/>
      <c r="DM2940" s="711"/>
      <c r="DN2940" s="711"/>
      <c r="DO2940" s="711"/>
      <c r="DP2940" s="711"/>
      <c r="DQ2940" s="711"/>
    </row>
    <row r="2941" spans="13:121" s="709" customFormat="1" hidden="1">
      <c r="M2941" s="710"/>
      <c r="P2941" s="711"/>
      <c r="Q2941" s="712"/>
      <c r="U2941" s="711"/>
      <c r="V2941" s="711"/>
      <c r="W2941" s="711"/>
      <c r="X2941" s="711"/>
      <c r="Y2941" s="711"/>
      <c r="Z2941" s="711"/>
      <c r="AU2941" s="713"/>
      <c r="AW2941" s="712"/>
      <c r="BY2941" s="714"/>
      <c r="BZ2941" s="715"/>
      <c r="CA2941" s="716"/>
      <c r="CB2941" s="717"/>
      <c r="CC2941" s="717"/>
      <c r="CD2941" s="717"/>
      <c r="CE2941" s="717"/>
      <c r="CF2941" s="717"/>
      <c r="CG2941" s="717"/>
      <c r="CH2941" s="717"/>
      <c r="CI2941" s="717"/>
      <c r="CJ2941" s="717"/>
      <c r="CK2941" s="717"/>
      <c r="CL2941" s="717"/>
      <c r="CM2941" s="717"/>
      <c r="CN2941" s="717"/>
      <c r="CO2941" s="717"/>
      <c r="CP2941" s="717"/>
      <c r="CQ2941" s="717"/>
      <c r="CR2941" s="717"/>
      <c r="CS2941" s="717"/>
      <c r="CT2941" s="717"/>
      <c r="CU2941" s="717"/>
      <c r="CV2941" s="717"/>
      <c r="CW2941" s="717"/>
      <c r="CX2941" s="717"/>
      <c r="CY2941" s="717"/>
      <c r="CZ2941" s="717"/>
      <c r="DA2941" s="717"/>
      <c r="DB2941" s="717"/>
      <c r="DC2941" s="717"/>
      <c r="DD2941" s="717"/>
      <c r="DE2941" s="717"/>
      <c r="DF2941" s="717"/>
      <c r="DG2941" s="717"/>
      <c r="DH2941" s="717"/>
      <c r="DI2941" s="717"/>
      <c r="DJ2941" s="717"/>
      <c r="DM2941" s="711"/>
      <c r="DN2941" s="711"/>
      <c r="DO2941" s="711"/>
      <c r="DP2941" s="711"/>
      <c r="DQ2941" s="711"/>
    </row>
    <row r="2942" spans="13:121" s="709" customFormat="1" hidden="1">
      <c r="M2942" s="710"/>
      <c r="P2942" s="711"/>
      <c r="Q2942" s="712"/>
      <c r="U2942" s="711"/>
      <c r="V2942" s="711"/>
      <c r="W2942" s="711"/>
      <c r="X2942" s="711"/>
      <c r="Y2942" s="711"/>
      <c r="Z2942" s="711"/>
      <c r="AU2942" s="713"/>
      <c r="AW2942" s="712"/>
      <c r="BY2942" s="714"/>
      <c r="BZ2942" s="715"/>
      <c r="CA2942" s="716"/>
      <c r="CB2942" s="717"/>
      <c r="CC2942" s="717"/>
      <c r="CD2942" s="717"/>
      <c r="CE2942" s="717"/>
      <c r="CF2942" s="717"/>
      <c r="CG2942" s="717"/>
      <c r="CH2942" s="717"/>
      <c r="CI2942" s="717"/>
      <c r="CJ2942" s="717"/>
      <c r="CK2942" s="717"/>
      <c r="CL2942" s="717"/>
      <c r="CM2942" s="717"/>
      <c r="CN2942" s="717"/>
      <c r="CO2942" s="717"/>
      <c r="CP2942" s="717"/>
      <c r="CQ2942" s="717"/>
      <c r="CR2942" s="717"/>
      <c r="CS2942" s="717"/>
      <c r="CT2942" s="717"/>
      <c r="CU2942" s="717"/>
      <c r="CV2942" s="717"/>
      <c r="CW2942" s="717"/>
      <c r="CX2942" s="717"/>
      <c r="CY2942" s="717"/>
      <c r="CZ2942" s="717"/>
      <c r="DA2942" s="717"/>
      <c r="DB2942" s="717"/>
      <c r="DC2942" s="717"/>
      <c r="DD2942" s="717"/>
      <c r="DE2942" s="717"/>
      <c r="DF2942" s="717"/>
      <c r="DG2942" s="717"/>
      <c r="DH2942" s="717"/>
      <c r="DI2942" s="717"/>
      <c r="DJ2942" s="717"/>
      <c r="DM2942" s="711"/>
      <c r="DN2942" s="711"/>
      <c r="DO2942" s="711"/>
      <c r="DP2942" s="711"/>
      <c r="DQ2942" s="711"/>
    </row>
    <row r="2943" spans="13:121" s="709" customFormat="1" hidden="1">
      <c r="M2943" s="710"/>
      <c r="P2943" s="711"/>
      <c r="Q2943" s="712"/>
      <c r="U2943" s="711"/>
      <c r="V2943" s="711"/>
      <c r="W2943" s="711"/>
      <c r="X2943" s="711"/>
      <c r="Y2943" s="711"/>
      <c r="Z2943" s="711"/>
      <c r="AU2943" s="713"/>
      <c r="AW2943" s="712"/>
      <c r="BY2943" s="714"/>
      <c r="BZ2943" s="715"/>
      <c r="CA2943" s="716"/>
      <c r="CB2943" s="717"/>
      <c r="CC2943" s="717"/>
      <c r="CD2943" s="717"/>
      <c r="CE2943" s="717"/>
      <c r="CF2943" s="717"/>
      <c r="CG2943" s="717"/>
      <c r="CH2943" s="717"/>
      <c r="CI2943" s="717"/>
      <c r="CJ2943" s="717"/>
      <c r="CK2943" s="717"/>
      <c r="CL2943" s="717"/>
      <c r="CM2943" s="717"/>
      <c r="CN2943" s="717"/>
      <c r="CO2943" s="717"/>
      <c r="CP2943" s="717"/>
      <c r="CQ2943" s="717"/>
      <c r="CR2943" s="717"/>
      <c r="CS2943" s="717"/>
      <c r="CT2943" s="717"/>
      <c r="CU2943" s="717"/>
      <c r="CV2943" s="717"/>
      <c r="CW2943" s="717"/>
      <c r="CX2943" s="717"/>
      <c r="CY2943" s="717"/>
      <c r="CZ2943" s="717"/>
      <c r="DA2943" s="717"/>
      <c r="DB2943" s="717"/>
      <c r="DC2943" s="717"/>
      <c r="DD2943" s="717"/>
      <c r="DE2943" s="717"/>
      <c r="DF2943" s="717"/>
      <c r="DG2943" s="717"/>
      <c r="DH2943" s="717"/>
      <c r="DI2943" s="717"/>
      <c r="DJ2943" s="717"/>
      <c r="DM2943" s="711"/>
      <c r="DN2943" s="711"/>
      <c r="DO2943" s="711"/>
      <c r="DP2943" s="711"/>
      <c r="DQ2943" s="711"/>
    </row>
    <row r="2944" spans="13:121" s="709" customFormat="1" hidden="1">
      <c r="M2944" s="710"/>
      <c r="P2944" s="711"/>
      <c r="Q2944" s="712"/>
      <c r="U2944" s="711"/>
      <c r="V2944" s="711"/>
      <c r="W2944" s="711"/>
      <c r="X2944" s="711"/>
      <c r="Y2944" s="711"/>
      <c r="Z2944" s="711"/>
      <c r="AU2944" s="713"/>
      <c r="AW2944" s="712"/>
      <c r="BY2944" s="714"/>
      <c r="BZ2944" s="715"/>
      <c r="CA2944" s="716"/>
      <c r="CB2944" s="717"/>
      <c r="CC2944" s="717"/>
      <c r="CD2944" s="717"/>
      <c r="CE2944" s="717"/>
      <c r="CF2944" s="717"/>
      <c r="CG2944" s="717"/>
      <c r="CH2944" s="717"/>
      <c r="CI2944" s="717"/>
      <c r="CJ2944" s="717"/>
      <c r="CK2944" s="717"/>
      <c r="CL2944" s="717"/>
      <c r="CM2944" s="717"/>
      <c r="CN2944" s="717"/>
      <c r="CO2944" s="717"/>
      <c r="CP2944" s="717"/>
      <c r="CQ2944" s="717"/>
      <c r="CR2944" s="717"/>
      <c r="CS2944" s="717"/>
      <c r="CT2944" s="717"/>
      <c r="CU2944" s="717"/>
      <c r="CV2944" s="717"/>
      <c r="CW2944" s="717"/>
      <c r="CX2944" s="717"/>
      <c r="CY2944" s="717"/>
      <c r="CZ2944" s="717"/>
      <c r="DA2944" s="717"/>
      <c r="DB2944" s="717"/>
      <c r="DC2944" s="717"/>
      <c r="DD2944" s="717"/>
      <c r="DE2944" s="717"/>
      <c r="DF2944" s="717"/>
      <c r="DG2944" s="717"/>
      <c r="DH2944" s="717"/>
      <c r="DI2944" s="717"/>
      <c r="DJ2944" s="717"/>
      <c r="DM2944" s="711"/>
      <c r="DN2944" s="711"/>
      <c r="DO2944" s="711"/>
      <c r="DP2944" s="711"/>
      <c r="DQ2944" s="711"/>
    </row>
    <row r="2945" spans="13:121" s="709" customFormat="1" hidden="1">
      <c r="M2945" s="710"/>
      <c r="P2945" s="711"/>
      <c r="Q2945" s="712"/>
      <c r="U2945" s="711"/>
      <c r="V2945" s="711"/>
      <c r="W2945" s="711"/>
      <c r="X2945" s="711"/>
      <c r="Y2945" s="711"/>
      <c r="Z2945" s="711"/>
      <c r="AU2945" s="713"/>
      <c r="AW2945" s="712"/>
      <c r="BY2945" s="714"/>
      <c r="BZ2945" s="715"/>
      <c r="CA2945" s="716"/>
      <c r="CB2945" s="717"/>
      <c r="CC2945" s="717"/>
      <c r="CD2945" s="717"/>
      <c r="CE2945" s="717"/>
      <c r="CF2945" s="717"/>
      <c r="CG2945" s="717"/>
      <c r="CH2945" s="717"/>
      <c r="CI2945" s="717"/>
      <c r="CJ2945" s="717"/>
      <c r="CK2945" s="717"/>
      <c r="CL2945" s="717"/>
      <c r="CM2945" s="717"/>
      <c r="CN2945" s="717"/>
      <c r="CO2945" s="717"/>
      <c r="CP2945" s="717"/>
      <c r="CQ2945" s="717"/>
      <c r="CR2945" s="717"/>
      <c r="CS2945" s="717"/>
      <c r="CT2945" s="717"/>
      <c r="CU2945" s="717"/>
      <c r="CV2945" s="717"/>
      <c r="CW2945" s="717"/>
      <c r="CX2945" s="717"/>
      <c r="CY2945" s="717"/>
      <c r="CZ2945" s="717"/>
      <c r="DA2945" s="717"/>
      <c r="DB2945" s="717"/>
      <c r="DC2945" s="717"/>
      <c r="DD2945" s="717"/>
      <c r="DE2945" s="717"/>
      <c r="DF2945" s="717"/>
      <c r="DG2945" s="717"/>
      <c r="DH2945" s="717"/>
      <c r="DI2945" s="717"/>
      <c r="DJ2945" s="717"/>
      <c r="DM2945" s="711"/>
      <c r="DN2945" s="711"/>
      <c r="DO2945" s="711"/>
      <c r="DP2945" s="711"/>
      <c r="DQ2945" s="711"/>
    </row>
    <row r="2946" spans="13:121" s="709" customFormat="1" hidden="1">
      <c r="M2946" s="710"/>
      <c r="P2946" s="711"/>
      <c r="Q2946" s="712"/>
      <c r="U2946" s="711"/>
      <c r="V2946" s="711"/>
      <c r="W2946" s="711"/>
      <c r="X2946" s="711"/>
      <c r="Y2946" s="711"/>
      <c r="Z2946" s="711"/>
      <c r="AU2946" s="713"/>
      <c r="AW2946" s="712"/>
      <c r="BY2946" s="714"/>
      <c r="BZ2946" s="715"/>
      <c r="CA2946" s="716"/>
      <c r="CB2946" s="717"/>
      <c r="CC2946" s="717"/>
      <c r="CD2946" s="717"/>
      <c r="CE2946" s="717"/>
      <c r="CF2946" s="717"/>
      <c r="CG2946" s="717"/>
      <c r="CH2946" s="717"/>
      <c r="CI2946" s="717"/>
      <c r="CJ2946" s="717"/>
      <c r="CK2946" s="717"/>
      <c r="CL2946" s="717"/>
      <c r="CM2946" s="717"/>
      <c r="CN2946" s="717"/>
      <c r="CO2946" s="717"/>
      <c r="CP2946" s="717"/>
      <c r="CQ2946" s="717"/>
      <c r="CR2946" s="717"/>
      <c r="CS2946" s="717"/>
      <c r="CT2946" s="717"/>
      <c r="CU2946" s="717"/>
      <c r="CV2946" s="717"/>
      <c r="CW2946" s="717"/>
      <c r="CX2946" s="717"/>
      <c r="CY2946" s="717"/>
      <c r="CZ2946" s="717"/>
      <c r="DA2946" s="717"/>
      <c r="DB2946" s="717"/>
      <c r="DC2946" s="717"/>
      <c r="DD2946" s="717"/>
      <c r="DE2946" s="717"/>
      <c r="DF2946" s="717"/>
      <c r="DG2946" s="717"/>
      <c r="DH2946" s="717"/>
      <c r="DI2946" s="717"/>
      <c r="DJ2946" s="717"/>
      <c r="DM2946" s="711"/>
      <c r="DN2946" s="711"/>
      <c r="DO2946" s="711"/>
      <c r="DP2946" s="711"/>
      <c r="DQ2946" s="711"/>
    </row>
    <row r="2947" spans="13:121" s="709" customFormat="1" hidden="1">
      <c r="M2947" s="710"/>
      <c r="P2947" s="711"/>
      <c r="Q2947" s="712"/>
      <c r="U2947" s="711"/>
      <c r="V2947" s="711"/>
      <c r="W2947" s="711"/>
      <c r="X2947" s="711"/>
      <c r="Y2947" s="711"/>
      <c r="Z2947" s="711"/>
      <c r="AU2947" s="713"/>
      <c r="AW2947" s="712"/>
      <c r="BY2947" s="714"/>
      <c r="BZ2947" s="715"/>
      <c r="CA2947" s="716"/>
      <c r="CB2947" s="717"/>
      <c r="CC2947" s="717"/>
      <c r="CD2947" s="717"/>
      <c r="CE2947" s="717"/>
      <c r="CF2947" s="717"/>
      <c r="CG2947" s="717"/>
      <c r="CH2947" s="717"/>
      <c r="CI2947" s="717"/>
      <c r="CJ2947" s="717"/>
      <c r="CK2947" s="717"/>
      <c r="CL2947" s="717"/>
      <c r="CM2947" s="717"/>
      <c r="CN2947" s="717"/>
      <c r="CO2947" s="717"/>
      <c r="CP2947" s="717"/>
      <c r="CQ2947" s="717"/>
      <c r="CR2947" s="717"/>
      <c r="CS2947" s="717"/>
      <c r="CT2947" s="717"/>
      <c r="CU2947" s="717"/>
      <c r="CV2947" s="717"/>
      <c r="CW2947" s="717"/>
      <c r="CX2947" s="717"/>
      <c r="CY2947" s="717"/>
      <c r="CZ2947" s="717"/>
      <c r="DA2947" s="717"/>
      <c r="DB2947" s="717"/>
      <c r="DC2947" s="717"/>
      <c r="DD2947" s="717"/>
      <c r="DE2947" s="717"/>
      <c r="DF2947" s="717"/>
      <c r="DG2947" s="717"/>
      <c r="DH2947" s="717"/>
      <c r="DI2947" s="717"/>
      <c r="DJ2947" s="717"/>
      <c r="DM2947" s="711"/>
      <c r="DN2947" s="711"/>
      <c r="DO2947" s="711"/>
      <c r="DP2947" s="711"/>
      <c r="DQ2947" s="711"/>
    </row>
    <row r="2948" spans="13:121" s="709" customFormat="1" hidden="1">
      <c r="M2948" s="710"/>
      <c r="P2948" s="711"/>
      <c r="Q2948" s="712"/>
      <c r="U2948" s="711"/>
      <c r="V2948" s="711"/>
      <c r="W2948" s="711"/>
      <c r="X2948" s="711"/>
      <c r="Y2948" s="711"/>
      <c r="Z2948" s="711"/>
      <c r="AU2948" s="713"/>
      <c r="AW2948" s="712"/>
      <c r="BY2948" s="714"/>
      <c r="BZ2948" s="715"/>
      <c r="CA2948" s="716"/>
      <c r="CB2948" s="717"/>
      <c r="CC2948" s="717"/>
      <c r="CD2948" s="717"/>
      <c r="CE2948" s="717"/>
      <c r="CF2948" s="717"/>
      <c r="CG2948" s="717"/>
      <c r="CH2948" s="717"/>
      <c r="CI2948" s="717"/>
      <c r="CJ2948" s="717"/>
      <c r="CK2948" s="717"/>
      <c r="CL2948" s="717"/>
      <c r="CM2948" s="717"/>
      <c r="CN2948" s="717"/>
      <c r="CO2948" s="717"/>
      <c r="CP2948" s="717"/>
      <c r="CQ2948" s="717"/>
      <c r="CR2948" s="717"/>
      <c r="CS2948" s="717"/>
      <c r="CT2948" s="717"/>
      <c r="CU2948" s="717"/>
      <c r="CV2948" s="717"/>
      <c r="CW2948" s="717"/>
      <c r="CX2948" s="717"/>
      <c r="CY2948" s="717"/>
      <c r="CZ2948" s="717"/>
      <c r="DA2948" s="717"/>
      <c r="DB2948" s="717"/>
      <c r="DC2948" s="717"/>
      <c r="DD2948" s="717"/>
      <c r="DE2948" s="717"/>
      <c r="DF2948" s="717"/>
      <c r="DG2948" s="717"/>
      <c r="DH2948" s="717"/>
      <c r="DI2948" s="717"/>
      <c r="DJ2948" s="717"/>
      <c r="DM2948" s="711"/>
      <c r="DN2948" s="711"/>
      <c r="DO2948" s="711"/>
      <c r="DP2948" s="711"/>
      <c r="DQ2948" s="711"/>
    </row>
    <row r="2949" spans="13:121" s="709" customFormat="1" hidden="1">
      <c r="M2949" s="710"/>
      <c r="P2949" s="711"/>
      <c r="Q2949" s="712"/>
      <c r="U2949" s="711"/>
      <c r="V2949" s="711"/>
      <c r="W2949" s="711"/>
      <c r="X2949" s="711"/>
      <c r="Y2949" s="711"/>
      <c r="Z2949" s="711"/>
      <c r="AU2949" s="713"/>
      <c r="AW2949" s="712"/>
      <c r="BY2949" s="714"/>
      <c r="BZ2949" s="715"/>
      <c r="CA2949" s="716"/>
      <c r="CB2949" s="717"/>
      <c r="CC2949" s="717"/>
      <c r="CD2949" s="717"/>
      <c r="CE2949" s="717"/>
      <c r="CF2949" s="717"/>
      <c r="CG2949" s="717"/>
      <c r="CH2949" s="717"/>
      <c r="CI2949" s="717"/>
      <c r="CJ2949" s="717"/>
      <c r="CK2949" s="717"/>
      <c r="CL2949" s="717"/>
      <c r="CM2949" s="717"/>
      <c r="CN2949" s="717"/>
      <c r="CO2949" s="717"/>
      <c r="CP2949" s="717"/>
      <c r="CQ2949" s="717"/>
      <c r="CR2949" s="717"/>
      <c r="CS2949" s="717"/>
      <c r="CT2949" s="717"/>
      <c r="CU2949" s="717"/>
      <c r="CV2949" s="717"/>
      <c r="CW2949" s="717"/>
      <c r="CX2949" s="717"/>
      <c r="CY2949" s="717"/>
      <c r="CZ2949" s="717"/>
      <c r="DA2949" s="717"/>
      <c r="DB2949" s="717"/>
      <c r="DC2949" s="717"/>
      <c r="DD2949" s="717"/>
      <c r="DE2949" s="717"/>
      <c r="DF2949" s="717"/>
      <c r="DG2949" s="717"/>
      <c r="DH2949" s="717"/>
      <c r="DI2949" s="717"/>
      <c r="DJ2949" s="717"/>
      <c r="DM2949" s="711"/>
      <c r="DN2949" s="711"/>
      <c r="DO2949" s="711"/>
      <c r="DP2949" s="711"/>
      <c r="DQ2949" s="711"/>
    </row>
    <row r="2950" spans="13:121" s="709" customFormat="1" hidden="1">
      <c r="M2950" s="710"/>
      <c r="P2950" s="711"/>
      <c r="Q2950" s="712"/>
      <c r="U2950" s="711"/>
      <c r="V2950" s="711"/>
      <c r="W2950" s="711"/>
      <c r="X2950" s="711"/>
      <c r="Y2950" s="711"/>
      <c r="Z2950" s="711"/>
      <c r="AU2950" s="713"/>
      <c r="AW2950" s="712"/>
      <c r="BY2950" s="714"/>
      <c r="BZ2950" s="715"/>
      <c r="CA2950" s="716"/>
      <c r="CB2950" s="717"/>
      <c r="CC2950" s="717"/>
      <c r="CD2950" s="717"/>
      <c r="CE2950" s="717"/>
      <c r="CF2950" s="717"/>
      <c r="CG2950" s="717"/>
      <c r="CH2950" s="717"/>
      <c r="CI2950" s="717"/>
      <c r="CJ2950" s="717"/>
      <c r="CK2950" s="717"/>
      <c r="CL2950" s="717"/>
      <c r="CM2950" s="717"/>
      <c r="CN2950" s="717"/>
      <c r="CO2950" s="717"/>
      <c r="CP2950" s="717"/>
      <c r="CQ2950" s="717"/>
      <c r="CR2950" s="717"/>
      <c r="CS2950" s="717"/>
      <c r="CT2950" s="717"/>
      <c r="CU2950" s="717"/>
      <c r="CV2950" s="717"/>
      <c r="CW2950" s="717"/>
      <c r="CX2950" s="717"/>
      <c r="CY2950" s="717"/>
      <c r="CZ2950" s="717"/>
      <c r="DA2950" s="717"/>
      <c r="DB2950" s="717"/>
      <c r="DC2950" s="717"/>
      <c r="DD2950" s="717"/>
      <c r="DE2950" s="717"/>
      <c r="DF2950" s="717"/>
      <c r="DG2950" s="717"/>
      <c r="DH2950" s="717"/>
      <c r="DI2950" s="717"/>
      <c r="DJ2950" s="717"/>
      <c r="DM2950" s="711"/>
      <c r="DN2950" s="711"/>
      <c r="DO2950" s="711"/>
      <c r="DP2950" s="711"/>
      <c r="DQ2950" s="711"/>
    </row>
    <row r="2951" spans="13:121" s="709" customFormat="1" hidden="1">
      <c r="M2951" s="710"/>
      <c r="P2951" s="711"/>
      <c r="Q2951" s="712"/>
      <c r="U2951" s="711"/>
      <c r="V2951" s="711"/>
      <c r="W2951" s="711"/>
      <c r="X2951" s="711"/>
      <c r="Y2951" s="711"/>
      <c r="Z2951" s="711"/>
      <c r="AU2951" s="713"/>
      <c r="AW2951" s="712"/>
      <c r="BY2951" s="714"/>
      <c r="BZ2951" s="715"/>
      <c r="CA2951" s="716"/>
      <c r="CB2951" s="717"/>
      <c r="CC2951" s="717"/>
      <c r="CD2951" s="717"/>
      <c r="CE2951" s="717"/>
      <c r="CF2951" s="717"/>
      <c r="CG2951" s="717"/>
      <c r="CH2951" s="717"/>
      <c r="CI2951" s="717"/>
      <c r="CJ2951" s="717"/>
      <c r="CK2951" s="717"/>
      <c r="CL2951" s="717"/>
      <c r="CM2951" s="717"/>
      <c r="CN2951" s="717"/>
      <c r="CO2951" s="717"/>
      <c r="CP2951" s="717"/>
      <c r="CQ2951" s="717"/>
      <c r="CR2951" s="717"/>
      <c r="CS2951" s="717"/>
      <c r="CT2951" s="717"/>
      <c r="CU2951" s="717"/>
      <c r="CV2951" s="717"/>
      <c r="CW2951" s="717"/>
      <c r="CX2951" s="717"/>
      <c r="CY2951" s="717"/>
      <c r="CZ2951" s="717"/>
      <c r="DA2951" s="717"/>
      <c r="DB2951" s="717"/>
      <c r="DC2951" s="717"/>
      <c r="DD2951" s="717"/>
      <c r="DE2951" s="717"/>
      <c r="DF2951" s="717"/>
      <c r="DG2951" s="717"/>
      <c r="DH2951" s="717"/>
      <c r="DI2951" s="717"/>
      <c r="DJ2951" s="717"/>
      <c r="DM2951" s="711"/>
      <c r="DN2951" s="711"/>
      <c r="DO2951" s="711"/>
      <c r="DP2951" s="711"/>
      <c r="DQ2951" s="711"/>
    </row>
    <row r="2952" spans="13:121" s="709" customFormat="1" hidden="1">
      <c r="M2952" s="710"/>
      <c r="P2952" s="711"/>
      <c r="Q2952" s="712"/>
      <c r="U2952" s="711"/>
      <c r="V2952" s="711"/>
      <c r="W2952" s="711"/>
      <c r="X2952" s="711"/>
      <c r="Y2952" s="711"/>
      <c r="Z2952" s="711"/>
      <c r="AU2952" s="713"/>
      <c r="AW2952" s="712"/>
      <c r="BY2952" s="714"/>
      <c r="BZ2952" s="715"/>
      <c r="CA2952" s="716"/>
      <c r="CB2952" s="717"/>
      <c r="CC2952" s="717"/>
      <c r="CD2952" s="717"/>
      <c r="CE2952" s="717"/>
      <c r="CF2952" s="717"/>
      <c r="CG2952" s="717"/>
      <c r="CH2952" s="717"/>
      <c r="CI2952" s="717"/>
      <c r="CJ2952" s="717"/>
      <c r="CK2952" s="717"/>
      <c r="CL2952" s="717"/>
      <c r="CM2952" s="717"/>
      <c r="CN2952" s="717"/>
      <c r="CO2952" s="717"/>
      <c r="CP2952" s="717"/>
      <c r="CQ2952" s="717"/>
      <c r="CR2952" s="717"/>
      <c r="CS2952" s="717"/>
      <c r="CT2952" s="717"/>
      <c r="CU2952" s="717"/>
      <c r="CV2952" s="717"/>
      <c r="CW2952" s="717"/>
      <c r="CX2952" s="717"/>
      <c r="CY2952" s="717"/>
      <c r="CZ2952" s="717"/>
      <c r="DA2952" s="717"/>
      <c r="DB2952" s="717"/>
      <c r="DC2952" s="717"/>
      <c r="DD2952" s="717"/>
      <c r="DE2952" s="717"/>
      <c r="DF2952" s="717"/>
      <c r="DG2952" s="717"/>
      <c r="DH2952" s="717"/>
      <c r="DI2952" s="717"/>
      <c r="DJ2952" s="717"/>
      <c r="DM2952" s="711"/>
      <c r="DN2952" s="711"/>
      <c r="DO2952" s="711"/>
      <c r="DP2952" s="711"/>
      <c r="DQ2952" s="711"/>
    </row>
    <row r="2953" spans="13:121" s="709" customFormat="1" hidden="1">
      <c r="M2953" s="710"/>
      <c r="P2953" s="711"/>
      <c r="Q2953" s="712"/>
      <c r="U2953" s="711"/>
      <c r="V2953" s="711"/>
      <c r="W2953" s="711"/>
      <c r="X2953" s="711"/>
      <c r="Y2953" s="711"/>
      <c r="Z2953" s="711"/>
      <c r="AU2953" s="713"/>
      <c r="AW2953" s="712"/>
      <c r="BY2953" s="714"/>
      <c r="BZ2953" s="715"/>
      <c r="CA2953" s="716"/>
      <c r="CB2953" s="717"/>
      <c r="CC2953" s="717"/>
      <c r="CD2953" s="717"/>
      <c r="CE2953" s="717"/>
      <c r="CF2953" s="717"/>
      <c r="CG2953" s="717"/>
      <c r="CH2953" s="717"/>
      <c r="CI2953" s="717"/>
      <c r="CJ2953" s="717"/>
      <c r="CK2953" s="717"/>
      <c r="CL2953" s="717"/>
      <c r="CM2953" s="717"/>
      <c r="CN2953" s="717"/>
      <c r="CO2953" s="717"/>
      <c r="CP2953" s="717"/>
      <c r="CQ2953" s="717"/>
      <c r="CR2953" s="717"/>
      <c r="CS2953" s="717"/>
      <c r="CT2953" s="717"/>
      <c r="CU2953" s="717"/>
      <c r="CV2953" s="717"/>
      <c r="CW2953" s="717"/>
      <c r="CX2953" s="717"/>
      <c r="CY2953" s="717"/>
      <c r="CZ2953" s="717"/>
      <c r="DA2953" s="717"/>
      <c r="DB2953" s="717"/>
      <c r="DC2953" s="717"/>
      <c r="DD2953" s="717"/>
      <c r="DE2953" s="717"/>
      <c r="DF2953" s="717"/>
      <c r="DG2953" s="717"/>
      <c r="DH2953" s="717"/>
      <c r="DI2953" s="717"/>
      <c r="DJ2953" s="717"/>
      <c r="DM2953" s="711"/>
      <c r="DN2953" s="711"/>
      <c r="DO2953" s="711"/>
      <c r="DP2953" s="711"/>
      <c r="DQ2953" s="711"/>
    </row>
    <row r="2954" spans="13:121" s="709" customFormat="1" hidden="1">
      <c r="M2954" s="710"/>
      <c r="P2954" s="711"/>
      <c r="Q2954" s="712"/>
      <c r="U2954" s="711"/>
      <c r="V2954" s="711"/>
      <c r="W2954" s="711"/>
      <c r="X2954" s="711"/>
      <c r="Y2954" s="711"/>
      <c r="Z2954" s="711"/>
      <c r="AU2954" s="713"/>
      <c r="AW2954" s="712"/>
      <c r="BY2954" s="714"/>
      <c r="BZ2954" s="715"/>
      <c r="CA2954" s="716"/>
      <c r="CB2954" s="717"/>
      <c r="CC2954" s="717"/>
      <c r="CD2954" s="717"/>
      <c r="CE2954" s="717"/>
      <c r="CF2954" s="717"/>
      <c r="CG2954" s="717"/>
      <c r="CH2954" s="717"/>
      <c r="CI2954" s="717"/>
      <c r="CJ2954" s="717"/>
      <c r="CK2954" s="717"/>
      <c r="CL2954" s="717"/>
      <c r="CM2954" s="717"/>
      <c r="CN2954" s="717"/>
      <c r="CO2954" s="717"/>
      <c r="CP2954" s="717"/>
      <c r="CQ2954" s="717"/>
      <c r="CR2954" s="717"/>
      <c r="CS2954" s="717"/>
      <c r="CT2954" s="717"/>
      <c r="CU2954" s="717"/>
      <c r="CV2954" s="717"/>
      <c r="CW2954" s="717"/>
      <c r="CX2954" s="717"/>
      <c r="CY2954" s="717"/>
      <c r="CZ2954" s="717"/>
      <c r="DA2954" s="717"/>
      <c r="DB2954" s="717"/>
      <c r="DC2954" s="717"/>
      <c r="DD2954" s="717"/>
      <c r="DE2954" s="717"/>
      <c r="DF2954" s="717"/>
      <c r="DG2954" s="717"/>
      <c r="DH2954" s="717"/>
      <c r="DI2954" s="717"/>
      <c r="DJ2954" s="717"/>
      <c r="DM2954" s="711"/>
      <c r="DN2954" s="711"/>
      <c r="DO2954" s="711"/>
      <c r="DP2954" s="711"/>
      <c r="DQ2954" s="711"/>
    </row>
    <row r="2955" spans="13:121" s="709" customFormat="1" hidden="1">
      <c r="M2955" s="710"/>
      <c r="P2955" s="711"/>
      <c r="Q2955" s="712"/>
      <c r="U2955" s="711"/>
      <c r="V2955" s="711"/>
      <c r="W2955" s="711"/>
      <c r="X2955" s="711"/>
      <c r="Y2955" s="711"/>
      <c r="Z2955" s="711"/>
      <c r="AU2955" s="713"/>
      <c r="AW2955" s="712"/>
      <c r="BY2955" s="714"/>
      <c r="BZ2955" s="715"/>
      <c r="CA2955" s="716"/>
      <c r="CB2955" s="717"/>
      <c r="CC2955" s="717"/>
      <c r="CD2955" s="717"/>
      <c r="CE2955" s="717"/>
      <c r="CF2955" s="717"/>
      <c r="CG2955" s="717"/>
      <c r="CH2955" s="717"/>
      <c r="CI2955" s="717"/>
      <c r="CJ2955" s="717"/>
      <c r="CK2955" s="717"/>
      <c r="CL2955" s="717"/>
      <c r="CM2955" s="717"/>
      <c r="CN2955" s="717"/>
      <c r="CO2955" s="717"/>
      <c r="CP2955" s="717"/>
      <c r="CQ2955" s="717"/>
      <c r="CR2955" s="717"/>
      <c r="CS2955" s="717"/>
      <c r="CT2955" s="717"/>
      <c r="CU2955" s="717"/>
      <c r="CV2955" s="717"/>
      <c r="CW2955" s="717"/>
      <c r="CX2955" s="717"/>
      <c r="CY2955" s="717"/>
      <c r="CZ2955" s="717"/>
      <c r="DA2955" s="717"/>
      <c r="DB2955" s="717"/>
      <c r="DC2955" s="717"/>
      <c r="DD2955" s="717"/>
      <c r="DE2955" s="717"/>
      <c r="DF2955" s="717"/>
      <c r="DG2955" s="717"/>
      <c r="DH2955" s="717"/>
      <c r="DI2955" s="717"/>
      <c r="DJ2955" s="717"/>
      <c r="DM2955" s="711"/>
      <c r="DN2955" s="711"/>
      <c r="DO2955" s="711"/>
      <c r="DP2955" s="711"/>
      <c r="DQ2955" s="711"/>
    </row>
    <row r="2956" spans="13:121" s="709" customFormat="1" hidden="1">
      <c r="M2956" s="710"/>
      <c r="P2956" s="711"/>
      <c r="Q2956" s="712"/>
      <c r="U2956" s="711"/>
      <c r="V2956" s="711"/>
      <c r="W2956" s="711"/>
      <c r="X2956" s="711"/>
      <c r="Y2956" s="711"/>
      <c r="Z2956" s="711"/>
      <c r="AU2956" s="713"/>
      <c r="AW2956" s="712"/>
      <c r="BY2956" s="714"/>
      <c r="BZ2956" s="715"/>
      <c r="CA2956" s="716"/>
      <c r="CB2956" s="717"/>
      <c r="CC2956" s="717"/>
      <c r="CD2956" s="717"/>
      <c r="CE2956" s="717"/>
      <c r="CF2956" s="717"/>
      <c r="CG2956" s="717"/>
      <c r="CH2956" s="717"/>
      <c r="CI2956" s="717"/>
      <c r="CJ2956" s="717"/>
      <c r="CK2956" s="717"/>
      <c r="CL2956" s="717"/>
      <c r="CM2956" s="717"/>
      <c r="CN2956" s="717"/>
      <c r="CO2956" s="717"/>
      <c r="CP2956" s="717"/>
      <c r="CQ2956" s="717"/>
      <c r="CR2956" s="717"/>
      <c r="CS2956" s="717"/>
      <c r="CT2956" s="717"/>
      <c r="CU2956" s="717"/>
      <c r="CV2956" s="717"/>
      <c r="CW2956" s="717"/>
      <c r="CX2956" s="717"/>
      <c r="CY2956" s="717"/>
      <c r="CZ2956" s="717"/>
      <c r="DA2956" s="717"/>
      <c r="DB2956" s="717"/>
      <c r="DC2956" s="717"/>
      <c r="DD2956" s="717"/>
      <c r="DE2956" s="717"/>
      <c r="DF2956" s="717"/>
      <c r="DG2956" s="717"/>
      <c r="DH2956" s="717"/>
      <c r="DI2956" s="717"/>
      <c r="DJ2956" s="717"/>
      <c r="DM2956" s="711"/>
      <c r="DN2956" s="711"/>
      <c r="DO2956" s="711"/>
      <c r="DP2956" s="711"/>
      <c r="DQ2956" s="711"/>
    </row>
    <row r="2957" spans="13:121" s="709" customFormat="1" hidden="1">
      <c r="M2957" s="710"/>
      <c r="P2957" s="711"/>
      <c r="Q2957" s="712"/>
      <c r="U2957" s="711"/>
      <c r="V2957" s="711"/>
      <c r="W2957" s="711"/>
      <c r="X2957" s="711"/>
      <c r="Y2957" s="711"/>
      <c r="Z2957" s="711"/>
      <c r="AU2957" s="713"/>
      <c r="AW2957" s="712"/>
      <c r="BY2957" s="714"/>
      <c r="BZ2957" s="715"/>
      <c r="CA2957" s="716"/>
      <c r="CB2957" s="717"/>
      <c r="CC2957" s="717"/>
      <c r="CD2957" s="717"/>
      <c r="CE2957" s="717"/>
      <c r="CF2957" s="717"/>
      <c r="CG2957" s="717"/>
      <c r="CH2957" s="717"/>
      <c r="CI2957" s="717"/>
      <c r="CJ2957" s="717"/>
      <c r="CK2957" s="717"/>
      <c r="CL2957" s="717"/>
      <c r="CM2957" s="717"/>
      <c r="CN2957" s="717"/>
      <c r="CO2957" s="717"/>
      <c r="CP2957" s="717"/>
      <c r="CQ2957" s="717"/>
      <c r="CR2957" s="717"/>
      <c r="CS2957" s="717"/>
      <c r="CT2957" s="717"/>
      <c r="CU2957" s="717"/>
      <c r="CV2957" s="717"/>
      <c r="CW2957" s="717"/>
      <c r="CX2957" s="717"/>
      <c r="CY2957" s="717"/>
      <c r="CZ2957" s="717"/>
      <c r="DA2957" s="717"/>
      <c r="DB2957" s="717"/>
      <c r="DC2957" s="717"/>
      <c r="DD2957" s="717"/>
      <c r="DE2957" s="717"/>
      <c r="DF2957" s="717"/>
      <c r="DG2957" s="717"/>
      <c r="DH2957" s="717"/>
      <c r="DI2957" s="717"/>
      <c r="DJ2957" s="717"/>
      <c r="DM2957" s="711"/>
      <c r="DN2957" s="711"/>
      <c r="DO2957" s="711"/>
      <c r="DP2957" s="711"/>
      <c r="DQ2957" s="711"/>
    </row>
    <row r="2958" spans="13:121" s="709" customFormat="1" hidden="1">
      <c r="M2958" s="710"/>
      <c r="P2958" s="711"/>
      <c r="Q2958" s="712"/>
      <c r="U2958" s="711"/>
      <c r="V2958" s="711"/>
      <c r="W2958" s="711"/>
      <c r="X2958" s="711"/>
      <c r="Y2958" s="711"/>
      <c r="Z2958" s="711"/>
      <c r="AU2958" s="713"/>
      <c r="AW2958" s="712"/>
      <c r="BY2958" s="714"/>
      <c r="BZ2958" s="715"/>
      <c r="CA2958" s="716"/>
      <c r="CB2958" s="717"/>
      <c r="CC2958" s="717"/>
      <c r="CD2958" s="717"/>
      <c r="CE2958" s="717"/>
      <c r="CF2958" s="717"/>
      <c r="CG2958" s="717"/>
      <c r="CH2958" s="717"/>
      <c r="CI2958" s="717"/>
      <c r="CJ2958" s="717"/>
      <c r="CK2958" s="717"/>
      <c r="CL2958" s="717"/>
      <c r="CM2958" s="717"/>
      <c r="CN2958" s="717"/>
      <c r="CO2958" s="717"/>
      <c r="CP2958" s="717"/>
      <c r="CQ2958" s="717"/>
      <c r="CR2958" s="717"/>
      <c r="CS2958" s="717"/>
      <c r="CT2958" s="717"/>
      <c r="CU2958" s="717"/>
      <c r="CV2958" s="717"/>
      <c r="CW2958" s="717"/>
      <c r="CX2958" s="717"/>
      <c r="CY2958" s="717"/>
      <c r="CZ2958" s="717"/>
      <c r="DA2958" s="717"/>
      <c r="DB2958" s="717"/>
      <c r="DC2958" s="717"/>
      <c r="DD2958" s="717"/>
      <c r="DE2958" s="717"/>
      <c r="DF2958" s="717"/>
      <c r="DG2958" s="717"/>
      <c r="DH2958" s="717"/>
      <c r="DI2958" s="717"/>
      <c r="DJ2958" s="717"/>
      <c r="DM2958" s="711"/>
      <c r="DN2958" s="711"/>
      <c r="DO2958" s="711"/>
      <c r="DP2958" s="711"/>
      <c r="DQ2958" s="711"/>
    </row>
    <row r="2959" spans="13:121" s="709" customFormat="1" hidden="1">
      <c r="M2959" s="710"/>
      <c r="P2959" s="711"/>
      <c r="Q2959" s="712"/>
      <c r="U2959" s="711"/>
      <c r="V2959" s="711"/>
      <c r="W2959" s="711"/>
      <c r="X2959" s="711"/>
      <c r="Y2959" s="711"/>
      <c r="Z2959" s="711"/>
      <c r="AU2959" s="713"/>
      <c r="AW2959" s="712"/>
      <c r="BY2959" s="714"/>
      <c r="BZ2959" s="715"/>
      <c r="CA2959" s="716"/>
      <c r="CB2959" s="717"/>
      <c r="CC2959" s="717"/>
      <c r="CD2959" s="717"/>
      <c r="CE2959" s="717"/>
      <c r="CF2959" s="717"/>
      <c r="CG2959" s="717"/>
      <c r="CH2959" s="717"/>
      <c r="CI2959" s="717"/>
      <c r="CJ2959" s="717"/>
      <c r="CK2959" s="717"/>
      <c r="CL2959" s="717"/>
      <c r="CM2959" s="717"/>
      <c r="CN2959" s="717"/>
      <c r="CO2959" s="717"/>
      <c r="CP2959" s="717"/>
      <c r="CQ2959" s="717"/>
      <c r="CR2959" s="717"/>
      <c r="CS2959" s="717"/>
      <c r="CT2959" s="717"/>
      <c r="CU2959" s="717"/>
      <c r="CV2959" s="717"/>
      <c r="CW2959" s="717"/>
      <c r="CX2959" s="717"/>
      <c r="CY2959" s="717"/>
      <c r="CZ2959" s="717"/>
      <c r="DA2959" s="717"/>
      <c r="DB2959" s="717"/>
      <c r="DC2959" s="717"/>
      <c r="DD2959" s="717"/>
      <c r="DE2959" s="717"/>
      <c r="DF2959" s="717"/>
      <c r="DG2959" s="717"/>
      <c r="DH2959" s="717"/>
      <c r="DI2959" s="717"/>
      <c r="DJ2959" s="717"/>
      <c r="DM2959" s="711"/>
      <c r="DN2959" s="711"/>
      <c r="DO2959" s="711"/>
      <c r="DP2959" s="711"/>
      <c r="DQ2959" s="711"/>
    </row>
    <row r="2960" spans="13:121" s="709" customFormat="1" hidden="1">
      <c r="M2960" s="710"/>
      <c r="P2960" s="711"/>
      <c r="Q2960" s="712"/>
      <c r="U2960" s="711"/>
      <c r="V2960" s="711"/>
      <c r="W2960" s="711"/>
      <c r="X2960" s="711"/>
      <c r="Y2960" s="711"/>
      <c r="Z2960" s="711"/>
      <c r="AU2960" s="713"/>
      <c r="AW2960" s="712"/>
      <c r="BY2960" s="714"/>
      <c r="BZ2960" s="715"/>
      <c r="CA2960" s="716"/>
      <c r="CB2960" s="717"/>
      <c r="CC2960" s="717"/>
      <c r="CD2960" s="717"/>
      <c r="CE2960" s="717"/>
      <c r="CF2960" s="717"/>
      <c r="CG2960" s="717"/>
      <c r="CH2960" s="717"/>
      <c r="CI2960" s="717"/>
      <c r="CJ2960" s="717"/>
      <c r="CK2960" s="717"/>
      <c r="CL2960" s="717"/>
      <c r="CM2960" s="717"/>
      <c r="CN2960" s="717"/>
      <c r="CO2960" s="717"/>
      <c r="CP2960" s="717"/>
      <c r="CQ2960" s="717"/>
      <c r="CR2960" s="717"/>
      <c r="CS2960" s="717"/>
      <c r="CT2960" s="717"/>
      <c r="CU2960" s="717"/>
      <c r="CV2960" s="717"/>
      <c r="CW2960" s="717"/>
      <c r="CX2960" s="717"/>
      <c r="CY2960" s="717"/>
      <c r="CZ2960" s="717"/>
      <c r="DA2960" s="717"/>
      <c r="DB2960" s="717"/>
      <c r="DC2960" s="717"/>
      <c r="DD2960" s="717"/>
      <c r="DE2960" s="717"/>
      <c r="DF2960" s="717"/>
      <c r="DG2960" s="717"/>
      <c r="DH2960" s="717"/>
      <c r="DI2960" s="717"/>
      <c r="DJ2960" s="717"/>
      <c r="DM2960" s="711"/>
      <c r="DN2960" s="711"/>
      <c r="DO2960" s="711"/>
      <c r="DP2960" s="711"/>
      <c r="DQ2960" s="711"/>
    </row>
    <row r="2961" spans="13:121" s="709" customFormat="1" hidden="1">
      <c r="M2961" s="710"/>
      <c r="P2961" s="711"/>
      <c r="Q2961" s="712"/>
      <c r="U2961" s="711"/>
      <c r="V2961" s="711"/>
      <c r="W2961" s="711"/>
      <c r="X2961" s="711"/>
      <c r="Y2961" s="711"/>
      <c r="Z2961" s="711"/>
      <c r="AU2961" s="713"/>
      <c r="AW2961" s="712"/>
      <c r="BY2961" s="714"/>
      <c r="BZ2961" s="715"/>
      <c r="CA2961" s="716"/>
      <c r="CB2961" s="717"/>
      <c r="CC2961" s="717"/>
      <c r="CD2961" s="717"/>
      <c r="CE2961" s="717"/>
      <c r="CF2961" s="717"/>
      <c r="CG2961" s="717"/>
      <c r="CH2961" s="717"/>
      <c r="CI2961" s="717"/>
      <c r="CJ2961" s="717"/>
      <c r="CK2961" s="717"/>
      <c r="CL2961" s="717"/>
      <c r="CM2961" s="717"/>
      <c r="CN2961" s="717"/>
      <c r="CO2961" s="717"/>
      <c r="CP2961" s="717"/>
      <c r="CQ2961" s="717"/>
      <c r="CR2961" s="717"/>
      <c r="CS2961" s="717"/>
      <c r="CT2961" s="717"/>
      <c r="CU2961" s="717"/>
      <c r="CV2961" s="717"/>
      <c r="CW2961" s="717"/>
      <c r="CX2961" s="717"/>
      <c r="CY2961" s="717"/>
      <c r="CZ2961" s="717"/>
      <c r="DA2961" s="717"/>
      <c r="DB2961" s="717"/>
      <c r="DC2961" s="717"/>
      <c r="DD2961" s="717"/>
      <c r="DE2961" s="717"/>
      <c r="DF2961" s="717"/>
      <c r="DG2961" s="717"/>
      <c r="DH2961" s="717"/>
      <c r="DI2961" s="717"/>
      <c r="DJ2961" s="717"/>
      <c r="DM2961" s="711"/>
      <c r="DN2961" s="711"/>
      <c r="DO2961" s="711"/>
      <c r="DP2961" s="711"/>
      <c r="DQ2961" s="711"/>
    </row>
    <row r="2962" spans="13:121" s="709" customFormat="1" hidden="1">
      <c r="M2962" s="710"/>
      <c r="P2962" s="711"/>
      <c r="Q2962" s="712"/>
      <c r="U2962" s="711"/>
      <c r="V2962" s="711"/>
      <c r="W2962" s="711"/>
      <c r="X2962" s="711"/>
      <c r="Y2962" s="711"/>
      <c r="Z2962" s="711"/>
      <c r="AU2962" s="713"/>
      <c r="AW2962" s="712"/>
      <c r="BY2962" s="714"/>
      <c r="BZ2962" s="715"/>
      <c r="CA2962" s="716"/>
      <c r="CB2962" s="717"/>
      <c r="CC2962" s="717"/>
      <c r="CD2962" s="717"/>
      <c r="CE2962" s="717"/>
      <c r="CF2962" s="717"/>
      <c r="CG2962" s="717"/>
      <c r="CH2962" s="717"/>
      <c r="CI2962" s="717"/>
      <c r="CJ2962" s="717"/>
      <c r="CK2962" s="717"/>
      <c r="CL2962" s="717"/>
      <c r="CM2962" s="717"/>
      <c r="CN2962" s="717"/>
      <c r="CO2962" s="717"/>
      <c r="CP2962" s="717"/>
      <c r="CQ2962" s="717"/>
      <c r="CR2962" s="717"/>
      <c r="CS2962" s="717"/>
      <c r="CT2962" s="717"/>
      <c r="CU2962" s="717"/>
      <c r="CV2962" s="717"/>
      <c r="CW2962" s="717"/>
      <c r="CX2962" s="717"/>
      <c r="CY2962" s="717"/>
      <c r="CZ2962" s="717"/>
      <c r="DA2962" s="717"/>
      <c r="DB2962" s="717"/>
      <c r="DC2962" s="717"/>
      <c r="DD2962" s="717"/>
      <c r="DE2962" s="717"/>
      <c r="DF2962" s="717"/>
      <c r="DG2962" s="717"/>
      <c r="DH2962" s="717"/>
      <c r="DI2962" s="717"/>
      <c r="DJ2962" s="717"/>
      <c r="DM2962" s="711"/>
      <c r="DN2962" s="711"/>
      <c r="DO2962" s="711"/>
      <c r="DP2962" s="711"/>
      <c r="DQ2962" s="711"/>
    </row>
    <row r="2963" spans="13:121" s="709" customFormat="1" hidden="1">
      <c r="M2963" s="710"/>
      <c r="P2963" s="711"/>
      <c r="Q2963" s="712"/>
      <c r="U2963" s="711"/>
      <c r="V2963" s="711"/>
      <c r="W2963" s="711"/>
      <c r="X2963" s="711"/>
      <c r="Y2963" s="711"/>
      <c r="Z2963" s="711"/>
      <c r="AU2963" s="713"/>
      <c r="AW2963" s="712"/>
      <c r="BY2963" s="714"/>
      <c r="BZ2963" s="715"/>
      <c r="CA2963" s="716"/>
      <c r="CB2963" s="717"/>
      <c r="CC2963" s="717"/>
      <c r="CD2963" s="717"/>
      <c r="CE2963" s="717"/>
      <c r="CF2963" s="717"/>
      <c r="CG2963" s="717"/>
      <c r="CH2963" s="717"/>
      <c r="CI2963" s="717"/>
      <c r="CJ2963" s="717"/>
      <c r="CK2963" s="717"/>
      <c r="CL2963" s="717"/>
      <c r="CM2963" s="717"/>
      <c r="CN2963" s="717"/>
      <c r="CO2963" s="717"/>
      <c r="CP2963" s="717"/>
      <c r="CQ2963" s="717"/>
      <c r="CR2963" s="717"/>
      <c r="CS2963" s="717"/>
      <c r="CT2963" s="717"/>
      <c r="CU2963" s="717"/>
      <c r="CV2963" s="717"/>
      <c r="CW2963" s="717"/>
      <c r="CX2963" s="717"/>
      <c r="CY2963" s="717"/>
      <c r="CZ2963" s="717"/>
      <c r="DA2963" s="717"/>
      <c r="DB2963" s="717"/>
      <c r="DC2963" s="717"/>
      <c r="DD2963" s="717"/>
      <c r="DE2963" s="717"/>
      <c r="DF2963" s="717"/>
      <c r="DG2963" s="717"/>
      <c r="DH2963" s="717"/>
      <c r="DI2963" s="717"/>
      <c r="DJ2963" s="717"/>
      <c r="DM2963" s="711"/>
      <c r="DN2963" s="711"/>
      <c r="DO2963" s="711"/>
      <c r="DP2963" s="711"/>
      <c r="DQ2963" s="711"/>
    </row>
    <row r="2964" spans="13:121" s="709" customFormat="1" hidden="1">
      <c r="M2964" s="710"/>
      <c r="P2964" s="711"/>
      <c r="Q2964" s="712"/>
      <c r="U2964" s="711"/>
      <c r="V2964" s="711"/>
      <c r="W2964" s="711"/>
      <c r="X2964" s="711"/>
      <c r="Y2964" s="711"/>
      <c r="Z2964" s="711"/>
      <c r="AU2964" s="713"/>
      <c r="AW2964" s="712"/>
      <c r="BY2964" s="714"/>
      <c r="BZ2964" s="715"/>
      <c r="CA2964" s="716"/>
      <c r="CB2964" s="717"/>
      <c r="CC2964" s="717"/>
      <c r="CD2964" s="717"/>
      <c r="CE2964" s="717"/>
      <c r="CF2964" s="717"/>
      <c r="CG2964" s="717"/>
      <c r="CH2964" s="717"/>
      <c r="CI2964" s="717"/>
      <c r="CJ2964" s="717"/>
      <c r="CK2964" s="717"/>
      <c r="CL2964" s="717"/>
      <c r="CM2964" s="717"/>
      <c r="CN2964" s="717"/>
      <c r="CO2964" s="717"/>
      <c r="CP2964" s="717"/>
      <c r="CQ2964" s="717"/>
      <c r="CR2964" s="717"/>
      <c r="CS2964" s="717"/>
      <c r="CT2964" s="717"/>
      <c r="CU2964" s="717"/>
      <c r="CV2964" s="717"/>
      <c r="CW2964" s="717"/>
      <c r="CX2964" s="717"/>
      <c r="CY2964" s="717"/>
      <c r="CZ2964" s="717"/>
      <c r="DA2964" s="717"/>
      <c r="DB2964" s="717"/>
      <c r="DC2964" s="717"/>
      <c r="DD2964" s="717"/>
      <c r="DE2964" s="717"/>
      <c r="DF2964" s="717"/>
      <c r="DG2964" s="717"/>
      <c r="DH2964" s="717"/>
      <c r="DI2964" s="717"/>
      <c r="DJ2964" s="717"/>
      <c r="DM2964" s="711"/>
      <c r="DN2964" s="711"/>
      <c r="DO2964" s="711"/>
      <c r="DP2964" s="711"/>
      <c r="DQ2964" s="711"/>
    </row>
    <row r="2965" spans="13:121" s="709" customFormat="1" hidden="1">
      <c r="M2965" s="710"/>
      <c r="P2965" s="711"/>
      <c r="Q2965" s="712"/>
      <c r="U2965" s="711"/>
      <c r="V2965" s="711"/>
      <c r="W2965" s="711"/>
      <c r="X2965" s="711"/>
      <c r="Y2965" s="711"/>
      <c r="Z2965" s="711"/>
      <c r="AU2965" s="713"/>
      <c r="AW2965" s="712"/>
      <c r="BY2965" s="714"/>
      <c r="BZ2965" s="715"/>
      <c r="CA2965" s="716"/>
      <c r="CB2965" s="717"/>
      <c r="CC2965" s="717"/>
      <c r="CD2965" s="717"/>
      <c r="CE2965" s="717"/>
      <c r="CF2965" s="717"/>
      <c r="CG2965" s="717"/>
      <c r="CH2965" s="717"/>
      <c r="CI2965" s="717"/>
      <c r="CJ2965" s="717"/>
      <c r="CK2965" s="717"/>
      <c r="CL2965" s="717"/>
      <c r="CM2965" s="717"/>
      <c r="CN2965" s="717"/>
      <c r="CO2965" s="717"/>
      <c r="CP2965" s="717"/>
      <c r="CQ2965" s="717"/>
      <c r="CR2965" s="717"/>
      <c r="CS2965" s="717"/>
      <c r="CT2965" s="717"/>
      <c r="CU2965" s="717"/>
      <c r="CV2965" s="717"/>
      <c r="CW2965" s="717"/>
      <c r="CX2965" s="717"/>
      <c r="CY2965" s="717"/>
      <c r="CZ2965" s="717"/>
      <c r="DA2965" s="717"/>
      <c r="DB2965" s="717"/>
      <c r="DC2965" s="717"/>
      <c r="DD2965" s="717"/>
      <c r="DE2965" s="717"/>
      <c r="DF2965" s="717"/>
      <c r="DG2965" s="717"/>
      <c r="DH2965" s="717"/>
      <c r="DI2965" s="717"/>
      <c r="DJ2965" s="717"/>
      <c r="DM2965" s="711"/>
      <c r="DN2965" s="711"/>
      <c r="DO2965" s="711"/>
      <c r="DP2965" s="711"/>
      <c r="DQ2965" s="711"/>
    </row>
    <row r="2966" spans="13:121" s="709" customFormat="1" hidden="1">
      <c r="M2966" s="710"/>
      <c r="P2966" s="711"/>
      <c r="Q2966" s="712"/>
      <c r="U2966" s="711"/>
      <c r="V2966" s="711"/>
      <c r="W2966" s="711"/>
      <c r="X2966" s="711"/>
      <c r="Y2966" s="711"/>
      <c r="Z2966" s="711"/>
      <c r="AU2966" s="713"/>
      <c r="AW2966" s="712"/>
      <c r="BY2966" s="714"/>
      <c r="BZ2966" s="715"/>
      <c r="CA2966" s="716"/>
      <c r="CB2966" s="717"/>
      <c r="CC2966" s="717"/>
      <c r="CD2966" s="717"/>
      <c r="CE2966" s="717"/>
      <c r="CF2966" s="717"/>
      <c r="CG2966" s="717"/>
      <c r="CH2966" s="717"/>
      <c r="CI2966" s="717"/>
      <c r="CJ2966" s="717"/>
      <c r="CK2966" s="717"/>
      <c r="CL2966" s="717"/>
      <c r="CM2966" s="717"/>
      <c r="CN2966" s="717"/>
      <c r="CO2966" s="717"/>
      <c r="CP2966" s="717"/>
      <c r="CQ2966" s="717"/>
      <c r="CR2966" s="717"/>
      <c r="CS2966" s="717"/>
      <c r="CT2966" s="717"/>
      <c r="CU2966" s="717"/>
      <c r="CV2966" s="717"/>
      <c r="CW2966" s="717"/>
      <c r="CX2966" s="717"/>
      <c r="CY2966" s="717"/>
      <c r="CZ2966" s="717"/>
      <c r="DA2966" s="717"/>
      <c r="DB2966" s="717"/>
      <c r="DC2966" s="717"/>
      <c r="DD2966" s="717"/>
      <c r="DE2966" s="717"/>
      <c r="DF2966" s="717"/>
      <c r="DG2966" s="717"/>
      <c r="DH2966" s="717"/>
      <c r="DI2966" s="717"/>
      <c r="DJ2966" s="717"/>
      <c r="DM2966" s="711"/>
      <c r="DN2966" s="711"/>
      <c r="DO2966" s="711"/>
      <c r="DP2966" s="711"/>
      <c r="DQ2966" s="711"/>
    </row>
    <row r="2967" spans="13:121" s="709" customFormat="1" hidden="1">
      <c r="M2967" s="710"/>
      <c r="P2967" s="711"/>
      <c r="Q2967" s="712"/>
      <c r="U2967" s="711"/>
      <c r="V2967" s="711"/>
      <c r="W2967" s="711"/>
      <c r="X2967" s="711"/>
      <c r="Y2967" s="711"/>
      <c r="Z2967" s="711"/>
      <c r="AU2967" s="713"/>
      <c r="AW2967" s="712"/>
      <c r="BY2967" s="714"/>
      <c r="BZ2967" s="715"/>
      <c r="CA2967" s="716"/>
      <c r="CB2967" s="717"/>
      <c r="CC2967" s="717"/>
      <c r="CD2967" s="717"/>
      <c r="CE2967" s="717"/>
      <c r="CF2967" s="717"/>
      <c r="CG2967" s="717"/>
      <c r="CH2967" s="717"/>
      <c r="CI2967" s="717"/>
      <c r="CJ2967" s="717"/>
      <c r="CK2967" s="717"/>
      <c r="CL2967" s="717"/>
      <c r="CM2967" s="717"/>
      <c r="CN2967" s="717"/>
      <c r="CO2967" s="717"/>
      <c r="CP2967" s="717"/>
      <c r="CQ2967" s="717"/>
      <c r="CR2967" s="717"/>
      <c r="CS2967" s="717"/>
      <c r="CT2967" s="717"/>
      <c r="CU2967" s="717"/>
      <c r="CV2967" s="717"/>
      <c r="CW2967" s="717"/>
      <c r="CX2967" s="717"/>
      <c r="CY2967" s="717"/>
      <c r="CZ2967" s="717"/>
      <c r="DA2967" s="717"/>
      <c r="DB2967" s="717"/>
      <c r="DC2967" s="717"/>
      <c r="DD2967" s="717"/>
      <c r="DE2967" s="717"/>
      <c r="DF2967" s="717"/>
      <c r="DG2967" s="717"/>
      <c r="DH2967" s="717"/>
      <c r="DI2967" s="717"/>
      <c r="DJ2967" s="717"/>
      <c r="DM2967" s="711"/>
      <c r="DN2967" s="711"/>
      <c r="DO2967" s="711"/>
      <c r="DP2967" s="711"/>
      <c r="DQ2967" s="711"/>
    </row>
    <row r="2968" spans="13:121" s="709" customFormat="1" hidden="1">
      <c r="M2968" s="710"/>
      <c r="P2968" s="711"/>
      <c r="Q2968" s="712"/>
      <c r="U2968" s="711"/>
      <c r="V2968" s="711"/>
      <c r="W2968" s="711"/>
      <c r="X2968" s="711"/>
      <c r="Y2968" s="711"/>
      <c r="Z2968" s="711"/>
      <c r="AU2968" s="713"/>
      <c r="AW2968" s="712"/>
      <c r="BY2968" s="714"/>
      <c r="BZ2968" s="715"/>
      <c r="CA2968" s="716"/>
      <c r="CB2968" s="717"/>
      <c r="CC2968" s="717"/>
      <c r="CD2968" s="717"/>
      <c r="CE2968" s="717"/>
      <c r="CF2968" s="717"/>
      <c r="CG2968" s="717"/>
      <c r="CH2968" s="717"/>
      <c r="CI2968" s="717"/>
      <c r="CJ2968" s="717"/>
      <c r="CK2968" s="717"/>
      <c r="CL2968" s="717"/>
      <c r="CM2968" s="717"/>
      <c r="CN2968" s="717"/>
      <c r="CO2968" s="717"/>
      <c r="CP2968" s="717"/>
      <c r="CQ2968" s="717"/>
      <c r="CR2968" s="717"/>
      <c r="CS2968" s="717"/>
      <c r="CT2968" s="717"/>
      <c r="CU2968" s="717"/>
      <c r="CV2968" s="717"/>
      <c r="CW2968" s="717"/>
      <c r="CX2968" s="717"/>
      <c r="CY2968" s="717"/>
      <c r="CZ2968" s="717"/>
      <c r="DA2968" s="717"/>
      <c r="DB2968" s="717"/>
      <c r="DC2968" s="717"/>
      <c r="DD2968" s="717"/>
      <c r="DE2968" s="717"/>
      <c r="DF2968" s="717"/>
      <c r="DG2968" s="717"/>
      <c r="DH2968" s="717"/>
      <c r="DI2968" s="717"/>
      <c r="DJ2968" s="717"/>
      <c r="DM2968" s="711"/>
      <c r="DN2968" s="711"/>
      <c r="DO2968" s="711"/>
      <c r="DP2968" s="711"/>
      <c r="DQ2968" s="711"/>
    </row>
    <row r="2969" spans="13:121" s="709" customFormat="1" hidden="1">
      <c r="M2969" s="710"/>
      <c r="P2969" s="711"/>
      <c r="Q2969" s="712"/>
      <c r="U2969" s="711"/>
      <c r="V2969" s="711"/>
      <c r="W2969" s="711"/>
      <c r="X2969" s="711"/>
      <c r="Y2969" s="711"/>
      <c r="Z2969" s="711"/>
      <c r="AU2969" s="713"/>
      <c r="AW2969" s="712"/>
      <c r="BY2969" s="714"/>
      <c r="BZ2969" s="715"/>
      <c r="CA2969" s="716"/>
      <c r="CB2969" s="717"/>
      <c r="CC2969" s="717"/>
      <c r="CD2969" s="717"/>
      <c r="CE2969" s="717"/>
      <c r="CF2969" s="717"/>
      <c r="CG2969" s="717"/>
      <c r="CH2969" s="717"/>
      <c r="CI2969" s="717"/>
      <c r="CJ2969" s="717"/>
      <c r="CK2969" s="717"/>
      <c r="CL2969" s="717"/>
      <c r="CM2969" s="717"/>
      <c r="CN2969" s="717"/>
      <c r="CO2969" s="717"/>
      <c r="CP2969" s="717"/>
      <c r="CQ2969" s="717"/>
      <c r="CR2969" s="717"/>
      <c r="CS2969" s="717"/>
      <c r="CT2969" s="717"/>
      <c r="CU2969" s="717"/>
      <c r="CV2969" s="717"/>
      <c r="CW2969" s="717"/>
      <c r="CX2969" s="717"/>
      <c r="CY2969" s="717"/>
      <c r="CZ2969" s="717"/>
      <c r="DA2969" s="717"/>
      <c r="DB2969" s="717"/>
      <c r="DC2969" s="717"/>
      <c r="DD2969" s="717"/>
      <c r="DE2969" s="717"/>
      <c r="DF2969" s="717"/>
      <c r="DG2969" s="717"/>
      <c r="DH2969" s="717"/>
      <c r="DI2969" s="717"/>
      <c r="DJ2969" s="717"/>
      <c r="DM2969" s="711"/>
      <c r="DN2969" s="711"/>
      <c r="DO2969" s="711"/>
      <c r="DP2969" s="711"/>
      <c r="DQ2969" s="711"/>
    </row>
    <row r="2970" spans="13:121" s="709" customFormat="1" hidden="1">
      <c r="M2970" s="710"/>
      <c r="P2970" s="711"/>
      <c r="Q2970" s="712"/>
      <c r="U2970" s="711"/>
      <c r="V2970" s="711"/>
      <c r="W2970" s="711"/>
      <c r="X2970" s="711"/>
      <c r="Y2970" s="711"/>
      <c r="Z2970" s="711"/>
      <c r="AU2970" s="713"/>
      <c r="AW2970" s="712"/>
      <c r="BY2970" s="714"/>
      <c r="BZ2970" s="715"/>
      <c r="CA2970" s="716"/>
      <c r="CB2970" s="717"/>
      <c r="CC2970" s="717"/>
      <c r="CD2970" s="717"/>
      <c r="CE2970" s="717"/>
      <c r="CF2970" s="717"/>
      <c r="CG2970" s="717"/>
      <c r="CH2970" s="717"/>
      <c r="CI2970" s="717"/>
      <c r="CJ2970" s="717"/>
      <c r="CK2970" s="717"/>
      <c r="CL2970" s="717"/>
      <c r="CM2970" s="717"/>
      <c r="CN2970" s="717"/>
      <c r="CO2970" s="717"/>
      <c r="CP2970" s="717"/>
      <c r="CQ2970" s="717"/>
      <c r="CR2970" s="717"/>
      <c r="CS2970" s="717"/>
      <c r="CT2970" s="717"/>
      <c r="CU2970" s="717"/>
      <c r="CV2970" s="717"/>
      <c r="CW2970" s="717"/>
      <c r="CX2970" s="717"/>
      <c r="CY2970" s="717"/>
      <c r="CZ2970" s="717"/>
      <c r="DA2970" s="717"/>
      <c r="DB2970" s="717"/>
      <c r="DC2970" s="717"/>
      <c r="DD2970" s="717"/>
      <c r="DE2970" s="717"/>
      <c r="DF2970" s="717"/>
      <c r="DG2970" s="717"/>
      <c r="DH2970" s="717"/>
      <c r="DI2970" s="717"/>
      <c r="DJ2970" s="717"/>
      <c r="DM2970" s="711"/>
      <c r="DN2970" s="711"/>
      <c r="DO2970" s="711"/>
      <c r="DP2970" s="711"/>
      <c r="DQ2970" s="711"/>
    </row>
    <row r="2971" spans="13:121" s="709" customFormat="1" hidden="1">
      <c r="M2971" s="710"/>
      <c r="P2971" s="711"/>
      <c r="Q2971" s="712"/>
      <c r="U2971" s="711"/>
      <c r="V2971" s="711"/>
      <c r="W2971" s="711"/>
      <c r="X2971" s="711"/>
      <c r="Y2971" s="711"/>
      <c r="Z2971" s="711"/>
      <c r="AU2971" s="713"/>
      <c r="AW2971" s="712"/>
      <c r="BY2971" s="714"/>
      <c r="BZ2971" s="715"/>
      <c r="CA2971" s="716"/>
      <c r="CB2971" s="717"/>
      <c r="CC2971" s="717"/>
      <c r="CD2971" s="717"/>
      <c r="CE2971" s="717"/>
      <c r="CF2971" s="717"/>
      <c r="CG2971" s="717"/>
      <c r="CH2971" s="717"/>
      <c r="CI2971" s="717"/>
      <c r="CJ2971" s="717"/>
      <c r="CK2971" s="717"/>
      <c r="CL2971" s="717"/>
      <c r="CM2971" s="717"/>
      <c r="CN2971" s="717"/>
      <c r="CO2971" s="717"/>
      <c r="CP2971" s="717"/>
      <c r="CQ2971" s="717"/>
      <c r="CR2971" s="717"/>
      <c r="CS2971" s="717"/>
      <c r="CT2971" s="717"/>
      <c r="CU2971" s="717"/>
      <c r="CV2971" s="717"/>
      <c r="CW2971" s="717"/>
      <c r="CX2971" s="717"/>
      <c r="CY2971" s="717"/>
      <c r="CZ2971" s="717"/>
      <c r="DA2971" s="717"/>
      <c r="DB2971" s="717"/>
      <c r="DC2971" s="717"/>
      <c r="DD2971" s="717"/>
      <c r="DE2971" s="717"/>
      <c r="DF2971" s="717"/>
      <c r="DG2971" s="717"/>
      <c r="DH2971" s="717"/>
      <c r="DI2971" s="717"/>
      <c r="DJ2971" s="717"/>
      <c r="DM2971" s="711"/>
      <c r="DN2971" s="711"/>
      <c r="DO2971" s="711"/>
      <c r="DP2971" s="711"/>
      <c r="DQ2971" s="711"/>
    </row>
    <row r="2972" spans="13:121" s="709" customFormat="1" hidden="1">
      <c r="M2972" s="710"/>
      <c r="P2972" s="711"/>
      <c r="Q2972" s="712"/>
      <c r="U2972" s="711"/>
      <c r="V2972" s="711"/>
      <c r="W2972" s="711"/>
      <c r="X2972" s="711"/>
      <c r="Y2972" s="711"/>
      <c r="Z2972" s="711"/>
      <c r="AU2972" s="713"/>
      <c r="AW2972" s="712"/>
      <c r="BY2972" s="714"/>
      <c r="BZ2972" s="715"/>
      <c r="CA2972" s="716"/>
      <c r="CB2972" s="717"/>
      <c r="CC2972" s="717"/>
      <c r="CD2972" s="717"/>
      <c r="CE2972" s="717"/>
      <c r="CF2972" s="717"/>
      <c r="CG2972" s="717"/>
      <c r="CH2972" s="717"/>
      <c r="CI2972" s="717"/>
      <c r="CJ2972" s="717"/>
      <c r="CK2972" s="717"/>
      <c r="CL2972" s="717"/>
      <c r="CM2972" s="717"/>
      <c r="CN2972" s="717"/>
      <c r="CO2972" s="717"/>
      <c r="CP2972" s="717"/>
      <c r="CQ2972" s="717"/>
      <c r="CR2972" s="717"/>
      <c r="CS2972" s="717"/>
      <c r="CT2972" s="717"/>
      <c r="CU2972" s="717"/>
      <c r="CV2972" s="717"/>
      <c r="CW2972" s="717"/>
      <c r="CX2972" s="717"/>
      <c r="CY2972" s="717"/>
      <c r="CZ2972" s="717"/>
      <c r="DA2972" s="717"/>
      <c r="DB2972" s="717"/>
      <c r="DC2972" s="717"/>
      <c r="DD2972" s="717"/>
      <c r="DE2972" s="717"/>
      <c r="DF2972" s="717"/>
      <c r="DG2972" s="717"/>
      <c r="DH2972" s="717"/>
      <c r="DI2972" s="717"/>
      <c r="DJ2972" s="717"/>
      <c r="DM2972" s="711"/>
      <c r="DN2972" s="711"/>
      <c r="DO2972" s="711"/>
      <c r="DP2972" s="711"/>
      <c r="DQ2972" s="711"/>
    </row>
    <row r="2973" spans="13:121" s="709" customFormat="1" hidden="1">
      <c r="M2973" s="710"/>
      <c r="P2973" s="711"/>
      <c r="Q2973" s="712"/>
      <c r="U2973" s="711"/>
      <c r="V2973" s="711"/>
      <c r="W2973" s="711"/>
      <c r="X2973" s="711"/>
      <c r="Y2973" s="711"/>
      <c r="Z2973" s="711"/>
      <c r="AU2973" s="713"/>
      <c r="AW2973" s="712"/>
      <c r="BY2973" s="714"/>
      <c r="BZ2973" s="715"/>
      <c r="CA2973" s="716"/>
      <c r="CB2973" s="717"/>
      <c r="CC2973" s="717"/>
      <c r="CD2973" s="717"/>
      <c r="CE2973" s="717"/>
      <c r="CF2973" s="717"/>
      <c r="CG2973" s="717"/>
      <c r="CH2973" s="717"/>
      <c r="CI2973" s="717"/>
      <c r="CJ2973" s="717"/>
      <c r="CK2973" s="717"/>
      <c r="CL2973" s="717"/>
      <c r="CM2973" s="717"/>
      <c r="CN2973" s="717"/>
      <c r="CO2973" s="717"/>
      <c r="CP2973" s="717"/>
      <c r="CQ2973" s="717"/>
      <c r="CR2973" s="717"/>
      <c r="CS2973" s="717"/>
      <c r="CT2973" s="717"/>
      <c r="CU2973" s="717"/>
      <c r="CV2973" s="717"/>
      <c r="CW2973" s="717"/>
      <c r="CX2973" s="717"/>
      <c r="CY2973" s="717"/>
      <c r="CZ2973" s="717"/>
      <c r="DA2973" s="717"/>
      <c r="DB2973" s="717"/>
      <c r="DC2973" s="717"/>
      <c r="DD2973" s="717"/>
      <c r="DE2973" s="717"/>
      <c r="DF2973" s="717"/>
      <c r="DG2973" s="717"/>
      <c r="DH2973" s="717"/>
      <c r="DI2973" s="717"/>
      <c r="DJ2973" s="717"/>
      <c r="DM2973" s="711"/>
      <c r="DN2973" s="711"/>
      <c r="DO2973" s="711"/>
      <c r="DP2973" s="711"/>
      <c r="DQ2973" s="711"/>
    </row>
    <row r="2974" spans="13:121" s="709" customFormat="1" hidden="1">
      <c r="M2974" s="710"/>
      <c r="P2974" s="711"/>
      <c r="Q2974" s="712"/>
      <c r="U2974" s="711"/>
      <c r="V2974" s="711"/>
      <c r="W2974" s="711"/>
      <c r="X2974" s="711"/>
      <c r="Y2974" s="711"/>
      <c r="Z2974" s="711"/>
      <c r="AU2974" s="713"/>
      <c r="AW2974" s="712"/>
      <c r="BY2974" s="714"/>
      <c r="BZ2974" s="715"/>
      <c r="CA2974" s="716"/>
      <c r="CB2974" s="717"/>
      <c r="CC2974" s="717"/>
      <c r="CD2974" s="717"/>
      <c r="CE2974" s="717"/>
      <c r="CF2974" s="717"/>
      <c r="CG2974" s="717"/>
      <c r="CH2974" s="717"/>
      <c r="CI2974" s="717"/>
      <c r="CJ2974" s="717"/>
      <c r="CK2974" s="717"/>
      <c r="CL2974" s="717"/>
      <c r="CM2974" s="717"/>
      <c r="CN2974" s="717"/>
      <c r="CO2974" s="717"/>
      <c r="CP2974" s="717"/>
      <c r="CQ2974" s="717"/>
      <c r="CR2974" s="717"/>
      <c r="CS2974" s="717"/>
      <c r="CT2974" s="717"/>
      <c r="CU2974" s="717"/>
      <c r="CV2974" s="717"/>
      <c r="CW2974" s="717"/>
      <c r="CX2974" s="717"/>
      <c r="CY2974" s="717"/>
      <c r="CZ2974" s="717"/>
      <c r="DA2974" s="717"/>
      <c r="DB2974" s="717"/>
      <c r="DC2974" s="717"/>
      <c r="DD2974" s="717"/>
      <c r="DE2974" s="717"/>
      <c r="DF2974" s="717"/>
      <c r="DG2974" s="717"/>
      <c r="DH2974" s="717"/>
      <c r="DI2974" s="717"/>
      <c r="DJ2974" s="717"/>
      <c r="DM2974" s="711"/>
      <c r="DN2974" s="711"/>
      <c r="DO2974" s="711"/>
      <c r="DP2974" s="711"/>
      <c r="DQ2974" s="711"/>
    </row>
    <row r="2975" spans="13:121" s="709" customFormat="1" hidden="1">
      <c r="M2975" s="710"/>
      <c r="P2975" s="711"/>
      <c r="Q2975" s="712"/>
      <c r="U2975" s="711"/>
      <c r="V2975" s="711"/>
      <c r="W2975" s="711"/>
      <c r="X2975" s="711"/>
      <c r="Y2975" s="711"/>
      <c r="Z2975" s="711"/>
      <c r="AU2975" s="713"/>
      <c r="AW2975" s="712"/>
      <c r="BY2975" s="714"/>
      <c r="BZ2975" s="715"/>
      <c r="CA2975" s="716"/>
      <c r="CB2975" s="717"/>
      <c r="CC2975" s="717"/>
      <c r="CD2975" s="717"/>
      <c r="CE2975" s="717"/>
      <c r="CF2975" s="717"/>
      <c r="CG2975" s="717"/>
      <c r="CH2975" s="717"/>
      <c r="CI2975" s="717"/>
      <c r="CJ2975" s="717"/>
      <c r="CK2975" s="717"/>
      <c r="CL2975" s="717"/>
      <c r="CM2975" s="717"/>
      <c r="CN2975" s="717"/>
      <c r="CO2975" s="717"/>
      <c r="CP2975" s="717"/>
      <c r="CQ2975" s="717"/>
      <c r="CR2975" s="717"/>
      <c r="CS2975" s="717"/>
      <c r="CT2975" s="717"/>
      <c r="CU2975" s="717"/>
      <c r="CV2975" s="717"/>
      <c r="CW2975" s="717"/>
      <c r="CX2975" s="717"/>
      <c r="CY2975" s="717"/>
      <c r="CZ2975" s="717"/>
      <c r="DA2975" s="717"/>
      <c r="DB2975" s="717"/>
      <c r="DC2975" s="717"/>
      <c r="DD2975" s="717"/>
      <c r="DE2975" s="717"/>
      <c r="DF2975" s="717"/>
      <c r="DG2975" s="717"/>
      <c r="DH2975" s="717"/>
      <c r="DI2975" s="717"/>
      <c r="DJ2975" s="717"/>
      <c r="DM2975" s="711"/>
      <c r="DN2975" s="711"/>
      <c r="DO2975" s="711"/>
      <c r="DP2975" s="711"/>
      <c r="DQ2975" s="711"/>
    </row>
    <row r="2976" spans="13:121" s="709" customFormat="1" hidden="1">
      <c r="M2976" s="710"/>
      <c r="P2976" s="711"/>
      <c r="Q2976" s="712"/>
      <c r="U2976" s="711"/>
      <c r="V2976" s="711"/>
      <c r="W2976" s="711"/>
      <c r="X2976" s="711"/>
      <c r="Y2976" s="711"/>
      <c r="Z2976" s="711"/>
      <c r="AU2976" s="713"/>
      <c r="AW2976" s="712"/>
      <c r="BY2976" s="714"/>
      <c r="BZ2976" s="715"/>
      <c r="CA2976" s="716"/>
      <c r="CB2976" s="717"/>
      <c r="CC2976" s="717"/>
      <c r="CD2976" s="717"/>
      <c r="CE2976" s="717"/>
      <c r="CF2976" s="717"/>
      <c r="CG2976" s="717"/>
      <c r="CH2976" s="717"/>
      <c r="CI2976" s="717"/>
      <c r="CJ2976" s="717"/>
      <c r="CK2976" s="717"/>
      <c r="CL2976" s="717"/>
      <c r="CM2976" s="717"/>
      <c r="CN2976" s="717"/>
      <c r="CO2976" s="717"/>
      <c r="CP2976" s="717"/>
      <c r="CQ2976" s="717"/>
      <c r="CR2976" s="717"/>
      <c r="CS2976" s="717"/>
      <c r="CT2976" s="717"/>
      <c r="CU2976" s="717"/>
      <c r="CV2976" s="717"/>
      <c r="CW2976" s="717"/>
      <c r="CX2976" s="717"/>
      <c r="CY2976" s="717"/>
      <c r="CZ2976" s="717"/>
      <c r="DA2976" s="717"/>
      <c r="DB2976" s="717"/>
      <c r="DC2976" s="717"/>
      <c r="DD2976" s="717"/>
      <c r="DE2976" s="717"/>
      <c r="DF2976" s="717"/>
      <c r="DG2976" s="717"/>
      <c r="DH2976" s="717"/>
      <c r="DI2976" s="717"/>
      <c r="DJ2976" s="717"/>
      <c r="DM2976" s="711"/>
      <c r="DN2976" s="711"/>
      <c r="DO2976" s="711"/>
      <c r="DP2976" s="711"/>
      <c r="DQ2976" s="711"/>
    </row>
    <row r="2977" spans="13:121" s="709" customFormat="1" hidden="1">
      <c r="M2977" s="710"/>
      <c r="P2977" s="711"/>
      <c r="Q2977" s="712"/>
      <c r="U2977" s="711"/>
      <c r="V2977" s="711"/>
      <c r="W2977" s="711"/>
      <c r="X2977" s="711"/>
      <c r="Y2977" s="711"/>
      <c r="Z2977" s="711"/>
      <c r="AU2977" s="713"/>
      <c r="AW2977" s="712"/>
      <c r="BY2977" s="714"/>
      <c r="BZ2977" s="715"/>
      <c r="CA2977" s="716"/>
      <c r="CB2977" s="717"/>
      <c r="CC2977" s="717"/>
      <c r="CD2977" s="717"/>
      <c r="CE2977" s="717"/>
      <c r="CF2977" s="717"/>
      <c r="CG2977" s="717"/>
      <c r="CH2977" s="717"/>
      <c r="CI2977" s="717"/>
      <c r="CJ2977" s="717"/>
      <c r="CK2977" s="717"/>
      <c r="CL2977" s="717"/>
      <c r="CM2977" s="717"/>
      <c r="CN2977" s="717"/>
      <c r="CO2977" s="717"/>
      <c r="CP2977" s="717"/>
      <c r="CQ2977" s="717"/>
      <c r="CR2977" s="717"/>
      <c r="CS2977" s="717"/>
      <c r="CT2977" s="717"/>
      <c r="CU2977" s="717"/>
      <c r="CV2977" s="717"/>
      <c r="CW2977" s="717"/>
      <c r="CX2977" s="717"/>
      <c r="CY2977" s="717"/>
      <c r="CZ2977" s="717"/>
      <c r="DA2977" s="717"/>
      <c r="DB2977" s="717"/>
      <c r="DC2977" s="717"/>
      <c r="DD2977" s="717"/>
      <c r="DE2977" s="717"/>
      <c r="DF2977" s="717"/>
      <c r="DG2977" s="717"/>
      <c r="DH2977" s="717"/>
      <c r="DI2977" s="717"/>
      <c r="DJ2977" s="717"/>
      <c r="DM2977" s="711"/>
      <c r="DN2977" s="711"/>
      <c r="DO2977" s="711"/>
      <c r="DP2977" s="711"/>
      <c r="DQ2977" s="711"/>
    </row>
    <row r="2978" spans="13:121" s="709" customFormat="1" hidden="1">
      <c r="M2978" s="710"/>
      <c r="P2978" s="711"/>
      <c r="Q2978" s="712"/>
      <c r="U2978" s="711"/>
      <c r="V2978" s="711"/>
      <c r="W2978" s="711"/>
      <c r="X2978" s="711"/>
      <c r="Y2978" s="711"/>
      <c r="Z2978" s="711"/>
      <c r="AU2978" s="713"/>
      <c r="AW2978" s="712"/>
      <c r="BY2978" s="714"/>
      <c r="BZ2978" s="715"/>
      <c r="CA2978" s="716"/>
      <c r="CB2978" s="717"/>
      <c r="CC2978" s="717"/>
      <c r="CD2978" s="717"/>
      <c r="CE2978" s="717"/>
      <c r="CF2978" s="717"/>
      <c r="CG2978" s="717"/>
      <c r="CH2978" s="717"/>
      <c r="CI2978" s="717"/>
      <c r="CJ2978" s="717"/>
      <c r="CK2978" s="717"/>
      <c r="CL2978" s="717"/>
      <c r="CM2978" s="717"/>
      <c r="CN2978" s="717"/>
      <c r="CO2978" s="717"/>
      <c r="CP2978" s="717"/>
      <c r="CQ2978" s="717"/>
      <c r="CR2978" s="717"/>
      <c r="CS2978" s="717"/>
      <c r="CT2978" s="717"/>
      <c r="CU2978" s="717"/>
      <c r="CV2978" s="717"/>
      <c r="CW2978" s="717"/>
      <c r="CX2978" s="717"/>
      <c r="CY2978" s="717"/>
      <c r="CZ2978" s="717"/>
      <c r="DA2978" s="717"/>
      <c r="DB2978" s="717"/>
      <c r="DC2978" s="717"/>
      <c r="DD2978" s="717"/>
      <c r="DE2978" s="717"/>
      <c r="DF2978" s="717"/>
      <c r="DG2978" s="717"/>
      <c r="DH2978" s="717"/>
      <c r="DI2978" s="717"/>
      <c r="DJ2978" s="717"/>
      <c r="DM2978" s="711"/>
      <c r="DN2978" s="711"/>
      <c r="DO2978" s="711"/>
      <c r="DP2978" s="711"/>
      <c r="DQ2978" s="711"/>
    </row>
    <row r="2979" spans="13:121" s="709" customFormat="1" hidden="1">
      <c r="M2979" s="710"/>
      <c r="P2979" s="711"/>
      <c r="Q2979" s="712"/>
      <c r="U2979" s="711"/>
      <c r="V2979" s="711"/>
      <c r="W2979" s="711"/>
      <c r="X2979" s="711"/>
      <c r="Y2979" s="711"/>
      <c r="Z2979" s="711"/>
      <c r="AU2979" s="713"/>
      <c r="AW2979" s="712"/>
      <c r="BY2979" s="714"/>
      <c r="BZ2979" s="715"/>
      <c r="CA2979" s="716"/>
      <c r="CB2979" s="717"/>
      <c r="CC2979" s="717"/>
      <c r="CD2979" s="717"/>
      <c r="CE2979" s="717"/>
      <c r="CF2979" s="717"/>
      <c r="CG2979" s="717"/>
      <c r="CH2979" s="717"/>
      <c r="CI2979" s="717"/>
      <c r="CJ2979" s="717"/>
      <c r="CK2979" s="717"/>
      <c r="CL2979" s="717"/>
      <c r="CM2979" s="717"/>
      <c r="CN2979" s="717"/>
      <c r="CO2979" s="717"/>
      <c r="CP2979" s="717"/>
      <c r="CQ2979" s="717"/>
      <c r="CR2979" s="717"/>
      <c r="CS2979" s="717"/>
      <c r="CT2979" s="717"/>
      <c r="CU2979" s="717"/>
      <c r="CV2979" s="717"/>
      <c r="CW2979" s="717"/>
      <c r="CX2979" s="717"/>
      <c r="CY2979" s="717"/>
      <c r="CZ2979" s="717"/>
      <c r="DA2979" s="717"/>
      <c r="DB2979" s="717"/>
      <c r="DC2979" s="717"/>
      <c r="DD2979" s="717"/>
      <c r="DE2979" s="717"/>
      <c r="DF2979" s="717"/>
      <c r="DG2979" s="717"/>
      <c r="DH2979" s="717"/>
      <c r="DI2979" s="717"/>
      <c r="DJ2979" s="717"/>
      <c r="DM2979" s="711"/>
      <c r="DN2979" s="711"/>
      <c r="DO2979" s="711"/>
      <c r="DP2979" s="711"/>
      <c r="DQ2979" s="711"/>
    </row>
    <row r="2980" spans="13:121" s="709" customFormat="1" hidden="1">
      <c r="M2980" s="710"/>
      <c r="P2980" s="711"/>
      <c r="Q2980" s="712"/>
      <c r="U2980" s="711"/>
      <c r="V2980" s="711"/>
      <c r="W2980" s="711"/>
      <c r="X2980" s="711"/>
      <c r="Y2980" s="711"/>
      <c r="Z2980" s="711"/>
      <c r="AU2980" s="713"/>
      <c r="AW2980" s="712"/>
      <c r="BY2980" s="714"/>
      <c r="BZ2980" s="715"/>
      <c r="CA2980" s="716"/>
      <c r="CB2980" s="717"/>
      <c r="CC2980" s="717"/>
      <c r="CD2980" s="717"/>
      <c r="CE2980" s="717"/>
      <c r="CF2980" s="717"/>
      <c r="CG2980" s="717"/>
      <c r="CH2980" s="717"/>
      <c r="CI2980" s="717"/>
      <c r="CJ2980" s="717"/>
      <c r="CK2980" s="717"/>
      <c r="CL2980" s="717"/>
      <c r="CM2980" s="717"/>
      <c r="CN2980" s="717"/>
      <c r="CO2980" s="717"/>
      <c r="CP2980" s="717"/>
      <c r="CQ2980" s="717"/>
      <c r="CR2980" s="717"/>
      <c r="CS2980" s="717"/>
      <c r="CT2980" s="717"/>
      <c r="CU2980" s="717"/>
      <c r="CV2980" s="717"/>
      <c r="CW2980" s="717"/>
      <c r="CX2980" s="717"/>
      <c r="CY2980" s="717"/>
      <c r="CZ2980" s="717"/>
      <c r="DA2980" s="717"/>
      <c r="DB2980" s="717"/>
      <c r="DC2980" s="717"/>
      <c r="DD2980" s="717"/>
      <c r="DE2980" s="717"/>
      <c r="DF2980" s="717"/>
      <c r="DG2980" s="717"/>
      <c r="DH2980" s="717"/>
      <c r="DI2980" s="717"/>
      <c r="DJ2980" s="717"/>
      <c r="DM2980" s="711"/>
      <c r="DN2980" s="711"/>
      <c r="DO2980" s="711"/>
      <c r="DP2980" s="711"/>
      <c r="DQ2980" s="711"/>
    </row>
    <row r="2981" spans="13:121" s="709" customFormat="1" hidden="1">
      <c r="M2981" s="710"/>
      <c r="P2981" s="711"/>
      <c r="Q2981" s="712"/>
      <c r="U2981" s="711"/>
      <c r="V2981" s="711"/>
      <c r="W2981" s="711"/>
      <c r="X2981" s="711"/>
      <c r="Y2981" s="711"/>
      <c r="Z2981" s="711"/>
      <c r="AU2981" s="713"/>
      <c r="AW2981" s="712"/>
      <c r="BY2981" s="714"/>
      <c r="BZ2981" s="715"/>
      <c r="CA2981" s="716"/>
      <c r="CB2981" s="717"/>
      <c r="CC2981" s="717"/>
      <c r="CD2981" s="717"/>
      <c r="CE2981" s="717"/>
      <c r="CF2981" s="717"/>
      <c r="CG2981" s="717"/>
      <c r="CH2981" s="717"/>
      <c r="CI2981" s="717"/>
      <c r="CJ2981" s="717"/>
      <c r="CK2981" s="717"/>
      <c r="CL2981" s="717"/>
      <c r="CM2981" s="717"/>
      <c r="CN2981" s="717"/>
      <c r="CO2981" s="717"/>
      <c r="CP2981" s="717"/>
      <c r="CQ2981" s="717"/>
      <c r="CR2981" s="717"/>
      <c r="CS2981" s="717"/>
      <c r="CT2981" s="717"/>
      <c r="CU2981" s="717"/>
      <c r="CV2981" s="717"/>
      <c r="CW2981" s="717"/>
      <c r="CX2981" s="717"/>
      <c r="CY2981" s="717"/>
      <c r="CZ2981" s="717"/>
      <c r="DA2981" s="717"/>
      <c r="DB2981" s="717"/>
      <c r="DC2981" s="717"/>
      <c r="DD2981" s="717"/>
      <c r="DE2981" s="717"/>
      <c r="DF2981" s="717"/>
      <c r="DG2981" s="717"/>
      <c r="DH2981" s="717"/>
      <c r="DI2981" s="717"/>
      <c r="DJ2981" s="717"/>
      <c r="DM2981" s="711"/>
      <c r="DN2981" s="711"/>
      <c r="DO2981" s="711"/>
      <c r="DP2981" s="711"/>
      <c r="DQ2981" s="711"/>
    </row>
    <row r="2982" spans="13:121" s="709" customFormat="1" hidden="1">
      <c r="M2982" s="710"/>
      <c r="P2982" s="711"/>
      <c r="Q2982" s="712"/>
      <c r="U2982" s="711"/>
      <c r="V2982" s="711"/>
      <c r="W2982" s="711"/>
      <c r="X2982" s="711"/>
      <c r="Y2982" s="711"/>
      <c r="Z2982" s="711"/>
      <c r="AU2982" s="713"/>
      <c r="AW2982" s="712"/>
      <c r="BY2982" s="714"/>
      <c r="BZ2982" s="715"/>
      <c r="CA2982" s="716"/>
      <c r="CB2982" s="717"/>
      <c r="CC2982" s="717"/>
      <c r="CD2982" s="717"/>
      <c r="CE2982" s="717"/>
      <c r="CF2982" s="717"/>
      <c r="CG2982" s="717"/>
      <c r="CH2982" s="717"/>
      <c r="CI2982" s="717"/>
      <c r="CJ2982" s="717"/>
      <c r="CK2982" s="717"/>
      <c r="CL2982" s="717"/>
      <c r="CM2982" s="717"/>
      <c r="CN2982" s="717"/>
      <c r="CO2982" s="717"/>
      <c r="CP2982" s="717"/>
      <c r="CQ2982" s="717"/>
      <c r="CR2982" s="717"/>
      <c r="CS2982" s="717"/>
      <c r="CT2982" s="717"/>
      <c r="CU2982" s="717"/>
      <c r="CV2982" s="717"/>
      <c r="CW2982" s="717"/>
      <c r="CX2982" s="717"/>
      <c r="CY2982" s="717"/>
      <c r="CZ2982" s="717"/>
      <c r="DA2982" s="717"/>
      <c r="DB2982" s="717"/>
      <c r="DC2982" s="717"/>
      <c r="DD2982" s="717"/>
      <c r="DE2982" s="717"/>
      <c r="DF2982" s="717"/>
      <c r="DG2982" s="717"/>
      <c r="DH2982" s="717"/>
      <c r="DI2982" s="717"/>
      <c r="DJ2982" s="717"/>
      <c r="DM2982" s="711"/>
      <c r="DN2982" s="711"/>
      <c r="DO2982" s="711"/>
      <c r="DP2982" s="711"/>
      <c r="DQ2982" s="711"/>
    </row>
    <row r="2983" spans="13:121" s="709" customFormat="1" hidden="1">
      <c r="M2983" s="710"/>
      <c r="P2983" s="711"/>
      <c r="Q2983" s="712"/>
      <c r="U2983" s="711"/>
      <c r="V2983" s="711"/>
      <c r="W2983" s="711"/>
      <c r="X2983" s="711"/>
      <c r="Y2983" s="711"/>
      <c r="Z2983" s="711"/>
      <c r="AU2983" s="713"/>
      <c r="AW2983" s="712"/>
      <c r="BY2983" s="714"/>
      <c r="BZ2983" s="715"/>
      <c r="CA2983" s="716"/>
      <c r="CB2983" s="717"/>
      <c r="CC2983" s="717"/>
      <c r="CD2983" s="717"/>
      <c r="CE2983" s="717"/>
      <c r="CF2983" s="717"/>
      <c r="CG2983" s="717"/>
      <c r="CH2983" s="717"/>
      <c r="CI2983" s="717"/>
      <c r="CJ2983" s="717"/>
      <c r="CK2983" s="717"/>
      <c r="CL2983" s="717"/>
      <c r="CM2983" s="717"/>
      <c r="CN2983" s="717"/>
      <c r="CO2983" s="717"/>
      <c r="CP2983" s="717"/>
      <c r="CQ2983" s="717"/>
      <c r="CR2983" s="717"/>
      <c r="CS2983" s="717"/>
      <c r="CT2983" s="717"/>
      <c r="CU2983" s="717"/>
      <c r="CV2983" s="717"/>
      <c r="CW2983" s="717"/>
      <c r="CX2983" s="717"/>
      <c r="CY2983" s="717"/>
      <c r="CZ2983" s="717"/>
      <c r="DA2983" s="717"/>
      <c r="DB2983" s="717"/>
      <c r="DC2983" s="717"/>
      <c r="DD2983" s="717"/>
      <c r="DE2983" s="717"/>
      <c r="DF2983" s="717"/>
      <c r="DG2983" s="717"/>
      <c r="DH2983" s="717"/>
      <c r="DI2983" s="717"/>
      <c r="DJ2983" s="717"/>
      <c r="DM2983" s="711"/>
      <c r="DN2983" s="711"/>
      <c r="DO2983" s="711"/>
      <c r="DP2983" s="711"/>
      <c r="DQ2983" s="711"/>
    </row>
    <row r="2984" spans="13:121" s="709" customFormat="1" hidden="1">
      <c r="M2984" s="710"/>
      <c r="P2984" s="711"/>
      <c r="Q2984" s="712"/>
      <c r="U2984" s="711"/>
      <c r="V2984" s="711"/>
      <c r="W2984" s="711"/>
      <c r="X2984" s="711"/>
      <c r="Y2984" s="711"/>
      <c r="Z2984" s="711"/>
      <c r="AU2984" s="713"/>
      <c r="AW2984" s="712"/>
      <c r="BY2984" s="714"/>
      <c r="BZ2984" s="715"/>
      <c r="CA2984" s="716"/>
      <c r="CB2984" s="717"/>
      <c r="CC2984" s="717"/>
      <c r="CD2984" s="717"/>
      <c r="CE2984" s="717"/>
      <c r="CF2984" s="717"/>
      <c r="CG2984" s="717"/>
      <c r="CH2984" s="717"/>
      <c r="CI2984" s="717"/>
      <c r="CJ2984" s="717"/>
      <c r="CK2984" s="717"/>
      <c r="CL2984" s="717"/>
      <c r="CM2984" s="717"/>
      <c r="CN2984" s="717"/>
      <c r="CO2984" s="717"/>
      <c r="CP2984" s="717"/>
      <c r="CQ2984" s="717"/>
      <c r="CR2984" s="717"/>
      <c r="CS2984" s="717"/>
      <c r="CT2984" s="717"/>
      <c r="CU2984" s="717"/>
      <c r="CV2984" s="717"/>
      <c r="CW2984" s="717"/>
      <c r="CX2984" s="717"/>
      <c r="CY2984" s="717"/>
      <c r="CZ2984" s="717"/>
      <c r="DA2984" s="717"/>
      <c r="DB2984" s="717"/>
      <c r="DC2984" s="717"/>
      <c r="DD2984" s="717"/>
      <c r="DE2984" s="717"/>
      <c r="DF2984" s="717"/>
      <c r="DG2984" s="717"/>
      <c r="DH2984" s="717"/>
      <c r="DI2984" s="717"/>
      <c r="DJ2984" s="717"/>
      <c r="DM2984" s="711"/>
      <c r="DN2984" s="711"/>
      <c r="DO2984" s="711"/>
      <c r="DP2984" s="711"/>
      <c r="DQ2984" s="711"/>
    </row>
    <row r="2985" spans="13:121" s="709" customFormat="1" hidden="1">
      <c r="M2985" s="710"/>
      <c r="P2985" s="711"/>
      <c r="Q2985" s="712"/>
      <c r="U2985" s="711"/>
      <c r="V2985" s="711"/>
      <c r="W2985" s="711"/>
      <c r="X2985" s="711"/>
      <c r="Y2985" s="711"/>
      <c r="Z2985" s="711"/>
      <c r="AU2985" s="713"/>
      <c r="AW2985" s="712"/>
      <c r="BY2985" s="714"/>
      <c r="BZ2985" s="715"/>
      <c r="CA2985" s="716"/>
      <c r="CB2985" s="717"/>
      <c r="CC2985" s="717"/>
      <c r="CD2985" s="717"/>
      <c r="CE2985" s="717"/>
      <c r="CF2985" s="717"/>
      <c r="CG2985" s="717"/>
      <c r="CH2985" s="717"/>
      <c r="CI2985" s="717"/>
      <c r="CJ2985" s="717"/>
      <c r="CK2985" s="717"/>
      <c r="CL2985" s="717"/>
      <c r="CM2985" s="717"/>
      <c r="CN2985" s="717"/>
      <c r="CO2985" s="717"/>
      <c r="CP2985" s="717"/>
      <c r="CQ2985" s="717"/>
      <c r="CR2985" s="717"/>
      <c r="CS2985" s="717"/>
      <c r="CT2985" s="717"/>
      <c r="CU2985" s="717"/>
      <c r="CV2985" s="717"/>
      <c r="CW2985" s="717"/>
      <c r="CX2985" s="717"/>
      <c r="CY2985" s="717"/>
      <c r="CZ2985" s="717"/>
      <c r="DA2985" s="717"/>
      <c r="DB2985" s="717"/>
      <c r="DC2985" s="717"/>
      <c r="DD2985" s="717"/>
      <c r="DE2985" s="717"/>
      <c r="DF2985" s="717"/>
      <c r="DG2985" s="717"/>
      <c r="DH2985" s="717"/>
      <c r="DI2985" s="717"/>
      <c r="DJ2985" s="717"/>
      <c r="DM2985" s="711"/>
      <c r="DN2985" s="711"/>
      <c r="DO2985" s="711"/>
      <c r="DP2985" s="711"/>
      <c r="DQ2985" s="711"/>
    </row>
    <row r="2986" spans="13:121" s="709" customFormat="1" hidden="1">
      <c r="M2986" s="710"/>
      <c r="P2986" s="711"/>
      <c r="Q2986" s="712"/>
      <c r="U2986" s="711"/>
      <c r="V2986" s="711"/>
      <c r="W2986" s="711"/>
      <c r="X2986" s="711"/>
      <c r="Y2986" s="711"/>
      <c r="Z2986" s="711"/>
      <c r="AU2986" s="713"/>
      <c r="AW2986" s="712"/>
      <c r="BY2986" s="714"/>
      <c r="BZ2986" s="715"/>
      <c r="CA2986" s="716"/>
      <c r="CB2986" s="717"/>
      <c r="CC2986" s="717"/>
      <c r="CD2986" s="717"/>
      <c r="CE2986" s="717"/>
      <c r="CF2986" s="717"/>
      <c r="CG2986" s="717"/>
      <c r="CH2986" s="717"/>
      <c r="CI2986" s="717"/>
      <c r="CJ2986" s="717"/>
      <c r="CK2986" s="717"/>
      <c r="CL2986" s="717"/>
      <c r="CM2986" s="717"/>
      <c r="CN2986" s="717"/>
      <c r="CO2986" s="717"/>
      <c r="CP2986" s="717"/>
      <c r="CQ2986" s="717"/>
      <c r="CR2986" s="717"/>
      <c r="CS2986" s="717"/>
      <c r="CT2986" s="717"/>
      <c r="CU2986" s="717"/>
      <c r="CV2986" s="717"/>
      <c r="CW2986" s="717"/>
      <c r="CX2986" s="717"/>
      <c r="CY2986" s="717"/>
      <c r="CZ2986" s="717"/>
      <c r="DA2986" s="717"/>
      <c r="DB2986" s="717"/>
      <c r="DC2986" s="717"/>
      <c r="DD2986" s="717"/>
      <c r="DE2986" s="717"/>
      <c r="DF2986" s="717"/>
      <c r="DG2986" s="717"/>
      <c r="DH2986" s="717"/>
      <c r="DI2986" s="717"/>
      <c r="DJ2986" s="717"/>
      <c r="DM2986" s="711"/>
      <c r="DN2986" s="711"/>
      <c r="DO2986" s="711"/>
      <c r="DP2986" s="711"/>
      <c r="DQ2986" s="711"/>
    </row>
    <row r="2987" spans="13:121" s="709" customFormat="1" hidden="1">
      <c r="M2987" s="710"/>
      <c r="P2987" s="711"/>
      <c r="Q2987" s="712"/>
      <c r="U2987" s="711"/>
      <c r="V2987" s="711"/>
      <c r="W2987" s="711"/>
      <c r="X2987" s="711"/>
      <c r="Y2987" s="711"/>
      <c r="Z2987" s="711"/>
      <c r="AU2987" s="713"/>
      <c r="AW2987" s="712"/>
      <c r="BY2987" s="714"/>
      <c r="BZ2987" s="715"/>
      <c r="CA2987" s="716"/>
      <c r="CB2987" s="717"/>
      <c r="CC2987" s="717"/>
      <c r="CD2987" s="717"/>
      <c r="CE2987" s="717"/>
      <c r="CF2987" s="717"/>
      <c r="CG2987" s="717"/>
      <c r="CH2987" s="717"/>
      <c r="CI2987" s="717"/>
      <c r="CJ2987" s="717"/>
      <c r="CK2987" s="717"/>
      <c r="CL2987" s="717"/>
      <c r="CM2987" s="717"/>
      <c r="CN2987" s="717"/>
      <c r="CO2987" s="717"/>
      <c r="CP2987" s="717"/>
      <c r="CQ2987" s="717"/>
      <c r="CR2987" s="717"/>
      <c r="CS2987" s="717"/>
      <c r="CT2987" s="717"/>
      <c r="CU2987" s="717"/>
      <c r="CV2987" s="717"/>
      <c r="CW2987" s="717"/>
      <c r="CX2987" s="717"/>
      <c r="CY2987" s="717"/>
      <c r="CZ2987" s="717"/>
      <c r="DA2987" s="717"/>
      <c r="DB2987" s="717"/>
      <c r="DC2987" s="717"/>
      <c r="DD2987" s="717"/>
      <c r="DE2987" s="717"/>
      <c r="DF2987" s="717"/>
      <c r="DG2987" s="717"/>
      <c r="DH2987" s="717"/>
      <c r="DI2987" s="717"/>
      <c r="DJ2987" s="717"/>
      <c r="DM2987" s="711"/>
      <c r="DN2987" s="711"/>
      <c r="DO2987" s="711"/>
      <c r="DP2987" s="711"/>
      <c r="DQ2987" s="711"/>
    </row>
    <row r="2988" spans="13:121" s="709" customFormat="1" hidden="1">
      <c r="M2988" s="710"/>
      <c r="P2988" s="711"/>
      <c r="Q2988" s="712"/>
      <c r="U2988" s="711"/>
      <c r="V2988" s="711"/>
      <c r="W2988" s="711"/>
      <c r="X2988" s="711"/>
      <c r="Y2988" s="711"/>
      <c r="Z2988" s="711"/>
      <c r="AU2988" s="713"/>
      <c r="AW2988" s="712"/>
      <c r="BY2988" s="714"/>
      <c r="BZ2988" s="715"/>
      <c r="CA2988" s="716"/>
      <c r="CB2988" s="717"/>
      <c r="CC2988" s="717"/>
      <c r="CD2988" s="717"/>
      <c r="CE2988" s="717"/>
      <c r="CF2988" s="717"/>
      <c r="CG2988" s="717"/>
      <c r="CH2988" s="717"/>
      <c r="CI2988" s="717"/>
      <c r="CJ2988" s="717"/>
      <c r="CK2988" s="717"/>
      <c r="CL2988" s="717"/>
      <c r="CM2988" s="717"/>
      <c r="CN2988" s="717"/>
      <c r="CO2988" s="717"/>
      <c r="CP2988" s="717"/>
      <c r="CQ2988" s="717"/>
      <c r="CR2988" s="717"/>
      <c r="CS2988" s="717"/>
      <c r="CT2988" s="717"/>
      <c r="CU2988" s="717"/>
      <c r="CV2988" s="717"/>
      <c r="CW2988" s="717"/>
      <c r="CX2988" s="717"/>
      <c r="CY2988" s="717"/>
      <c r="CZ2988" s="717"/>
      <c r="DA2988" s="717"/>
      <c r="DB2988" s="717"/>
      <c r="DC2988" s="717"/>
      <c r="DD2988" s="717"/>
      <c r="DE2988" s="717"/>
      <c r="DF2988" s="717"/>
      <c r="DG2988" s="717"/>
      <c r="DH2988" s="717"/>
      <c r="DI2988" s="717"/>
      <c r="DJ2988" s="717"/>
      <c r="DM2988" s="711"/>
      <c r="DN2988" s="711"/>
      <c r="DO2988" s="711"/>
      <c r="DP2988" s="711"/>
      <c r="DQ2988" s="711"/>
    </row>
    <row r="2989" spans="13:121" s="709" customFormat="1" hidden="1">
      <c r="M2989" s="710"/>
      <c r="P2989" s="711"/>
      <c r="Q2989" s="712"/>
      <c r="U2989" s="711"/>
      <c r="V2989" s="711"/>
      <c r="W2989" s="711"/>
      <c r="X2989" s="711"/>
      <c r="Y2989" s="711"/>
      <c r="Z2989" s="711"/>
      <c r="AU2989" s="713"/>
      <c r="AW2989" s="712"/>
      <c r="BY2989" s="714"/>
      <c r="BZ2989" s="715"/>
      <c r="CA2989" s="716"/>
      <c r="CB2989" s="717"/>
      <c r="CC2989" s="717"/>
      <c r="CD2989" s="717"/>
      <c r="CE2989" s="717"/>
      <c r="CF2989" s="717"/>
      <c r="CG2989" s="717"/>
      <c r="CH2989" s="717"/>
      <c r="CI2989" s="717"/>
      <c r="CJ2989" s="717"/>
      <c r="CK2989" s="717"/>
      <c r="CL2989" s="717"/>
      <c r="CM2989" s="717"/>
      <c r="CN2989" s="717"/>
      <c r="CO2989" s="717"/>
      <c r="CP2989" s="717"/>
      <c r="CQ2989" s="717"/>
      <c r="CR2989" s="717"/>
      <c r="CS2989" s="717"/>
      <c r="CT2989" s="717"/>
      <c r="CU2989" s="717"/>
      <c r="CV2989" s="717"/>
      <c r="CW2989" s="717"/>
      <c r="CX2989" s="717"/>
      <c r="CY2989" s="717"/>
      <c r="CZ2989" s="717"/>
      <c r="DA2989" s="717"/>
      <c r="DB2989" s="717"/>
      <c r="DC2989" s="717"/>
      <c r="DD2989" s="717"/>
      <c r="DE2989" s="717"/>
      <c r="DF2989" s="717"/>
      <c r="DG2989" s="717"/>
      <c r="DH2989" s="717"/>
      <c r="DI2989" s="717"/>
      <c r="DJ2989" s="717"/>
      <c r="DM2989" s="711"/>
      <c r="DN2989" s="711"/>
      <c r="DO2989" s="711"/>
      <c r="DP2989" s="711"/>
      <c r="DQ2989" s="711"/>
    </row>
    <row r="2990" spans="13:121" s="709" customFormat="1" hidden="1">
      <c r="M2990" s="710"/>
      <c r="P2990" s="711"/>
      <c r="Q2990" s="712"/>
      <c r="U2990" s="711"/>
      <c r="V2990" s="711"/>
      <c r="W2990" s="711"/>
      <c r="X2990" s="711"/>
      <c r="Y2990" s="711"/>
      <c r="Z2990" s="711"/>
      <c r="AU2990" s="713"/>
      <c r="AW2990" s="712"/>
      <c r="BY2990" s="714"/>
      <c r="BZ2990" s="715"/>
      <c r="CA2990" s="716"/>
      <c r="CB2990" s="717"/>
      <c r="CC2990" s="717"/>
      <c r="CD2990" s="717"/>
      <c r="CE2990" s="717"/>
      <c r="CF2990" s="717"/>
      <c r="CG2990" s="717"/>
      <c r="CH2990" s="717"/>
      <c r="CI2990" s="717"/>
      <c r="CJ2990" s="717"/>
      <c r="CK2990" s="717"/>
      <c r="CL2990" s="717"/>
      <c r="CM2990" s="717"/>
      <c r="CN2990" s="717"/>
      <c r="CO2990" s="717"/>
      <c r="CP2990" s="717"/>
      <c r="CQ2990" s="717"/>
      <c r="CR2990" s="717"/>
      <c r="CS2990" s="717"/>
      <c r="CT2990" s="717"/>
      <c r="CU2990" s="717"/>
      <c r="CV2990" s="717"/>
      <c r="CW2990" s="717"/>
      <c r="CX2990" s="717"/>
      <c r="CY2990" s="717"/>
      <c r="CZ2990" s="717"/>
      <c r="DA2990" s="717"/>
      <c r="DB2990" s="717"/>
      <c r="DC2990" s="717"/>
      <c r="DD2990" s="717"/>
      <c r="DE2990" s="717"/>
      <c r="DF2990" s="717"/>
      <c r="DG2990" s="717"/>
      <c r="DH2990" s="717"/>
      <c r="DI2990" s="717"/>
      <c r="DJ2990" s="717"/>
      <c r="DM2990" s="711"/>
      <c r="DN2990" s="711"/>
      <c r="DO2990" s="711"/>
      <c r="DP2990" s="711"/>
      <c r="DQ2990" s="711"/>
    </row>
    <row r="2991" spans="13:121" s="709" customFormat="1" hidden="1">
      <c r="M2991" s="710"/>
      <c r="P2991" s="711"/>
      <c r="Q2991" s="712"/>
      <c r="U2991" s="711"/>
      <c r="V2991" s="711"/>
      <c r="W2991" s="711"/>
      <c r="X2991" s="711"/>
      <c r="Y2991" s="711"/>
      <c r="Z2991" s="711"/>
      <c r="AU2991" s="713"/>
      <c r="AW2991" s="712"/>
      <c r="BY2991" s="714"/>
      <c r="BZ2991" s="715"/>
      <c r="CA2991" s="716"/>
      <c r="CB2991" s="717"/>
      <c r="CC2991" s="717"/>
      <c r="CD2991" s="717"/>
      <c r="CE2991" s="717"/>
      <c r="CF2991" s="717"/>
      <c r="CG2991" s="717"/>
      <c r="CH2991" s="717"/>
      <c r="CI2991" s="717"/>
      <c r="CJ2991" s="717"/>
      <c r="CK2991" s="717"/>
      <c r="CL2991" s="717"/>
      <c r="CM2991" s="717"/>
      <c r="CN2991" s="717"/>
      <c r="CO2991" s="717"/>
      <c r="CP2991" s="717"/>
      <c r="CQ2991" s="717"/>
      <c r="CR2991" s="717"/>
      <c r="CS2991" s="717"/>
      <c r="CT2991" s="717"/>
      <c r="CU2991" s="717"/>
      <c r="CV2991" s="717"/>
      <c r="CW2991" s="717"/>
      <c r="CX2991" s="717"/>
      <c r="CY2991" s="717"/>
      <c r="CZ2991" s="717"/>
      <c r="DA2991" s="717"/>
      <c r="DB2991" s="717"/>
      <c r="DC2991" s="717"/>
      <c r="DD2991" s="717"/>
      <c r="DE2991" s="717"/>
      <c r="DF2991" s="717"/>
      <c r="DG2991" s="717"/>
      <c r="DH2991" s="717"/>
      <c r="DI2991" s="717"/>
      <c r="DJ2991" s="717"/>
      <c r="DM2991" s="711"/>
      <c r="DN2991" s="711"/>
      <c r="DO2991" s="711"/>
      <c r="DP2991" s="711"/>
      <c r="DQ2991" s="711"/>
    </row>
    <row r="2992" spans="13:121" s="709" customFormat="1" hidden="1">
      <c r="M2992" s="710"/>
      <c r="P2992" s="711"/>
      <c r="Q2992" s="712"/>
      <c r="U2992" s="711"/>
      <c r="V2992" s="711"/>
      <c r="W2992" s="711"/>
      <c r="X2992" s="711"/>
      <c r="Y2992" s="711"/>
      <c r="Z2992" s="711"/>
      <c r="AU2992" s="713"/>
      <c r="AW2992" s="712"/>
      <c r="BY2992" s="714"/>
      <c r="BZ2992" s="715"/>
      <c r="CA2992" s="716"/>
      <c r="CB2992" s="717"/>
      <c r="CC2992" s="717"/>
      <c r="CD2992" s="717"/>
      <c r="CE2992" s="717"/>
      <c r="CF2992" s="717"/>
      <c r="CG2992" s="717"/>
      <c r="CH2992" s="717"/>
      <c r="CI2992" s="717"/>
      <c r="CJ2992" s="717"/>
      <c r="CK2992" s="717"/>
      <c r="CL2992" s="717"/>
      <c r="CM2992" s="717"/>
      <c r="CN2992" s="717"/>
      <c r="CO2992" s="717"/>
      <c r="CP2992" s="717"/>
      <c r="CQ2992" s="717"/>
      <c r="CR2992" s="717"/>
      <c r="CS2992" s="717"/>
      <c r="CT2992" s="717"/>
      <c r="CU2992" s="717"/>
      <c r="CV2992" s="717"/>
      <c r="CW2992" s="717"/>
      <c r="CX2992" s="717"/>
      <c r="CY2992" s="717"/>
      <c r="CZ2992" s="717"/>
      <c r="DA2992" s="717"/>
      <c r="DB2992" s="717"/>
      <c r="DC2992" s="717"/>
      <c r="DD2992" s="717"/>
      <c r="DE2992" s="717"/>
      <c r="DF2992" s="717"/>
      <c r="DG2992" s="717"/>
      <c r="DH2992" s="717"/>
      <c r="DI2992" s="717"/>
      <c r="DJ2992" s="717"/>
      <c r="DM2992" s="711"/>
      <c r="DN2992" s="711"/>
      <c r="DO2992" s="711"/>
      <c r="DP2992" s="711"/>
      <c r="DQ2992" s="711"/>
    </row>
    <row r="2993" spans="13:121" s="709" customFormat="1" hidden="1">
      <c r="M2993" s="710"/>
      <c r="P2993" s="711"/>
      <c r="Q2993" s="712"/>
      <c r="U2993" s="711"/>
      <c r="V2993" s="711"/>
      <c r="W2993" s="711"/>
      <c r="X2993" s="711"/>
      <c r="Y2993" s="711"/>
      <c r="Z2993" s="711"/>
      <c r="AU2993" s="713"/>
      <c r="AW2993" s="712"/>
      <c r="BY2993" s="714"/>
      <c r="BZ2993" s="715"/>
      <c r="CA2993" s="716"/>
      <c r="CB2993" s="717"/>
      <c r="CC2993" s="717"/>
      <c r="CD2993" s="717"/>
      <c r="CE2993" s="717"/>
      <c r="CF2993" s="717"/>
      <c r="CG2993" s="717"/>
      <c r="CH2993" s="717"/>
      <c r="CI2993" s="717"/>
      <c r="CJ2993" s="717"/>
      <c r="CK2993" s="717"/>
      <c r="CL2993" s="717"/>
      <c r="CM2993" s="717"/>
      <c r="CN2993" s="717"/>
      <c r="CO2993" s="717"/>
      <c r="CP2993" s="717"/>
      <c r="CQ2993" s="717"/>
      <c r="CR2993" s="717"/>
      <c r="CS2993" s="717"/>
      <c r="CT2993" s="717"/>
      <c r="CU2993" s="717"/>
      <c r="CV2993" s="717"/>
      <c r="CW2993" s="717"/>
      <c r="CX2993" s="717"/>
      <c r="CY2993" s="717"/>
      <c r="CZ2993" s="717"/>
      <c r="DA2993" s="717"/>
      <c r="DB2993" s="717"/>
      <c r="DC2993" s="717"/>
      <c r="DD2993" s="717"/>
      <c r="DE2993" s="717"/>
      <c r="DF2993" s="717"/>
      <c r="DG2993" s="717"/>
      <c r="DH2993" s="717"/>
      <c r="DI2993" s="717"/>
      <c r="DJ2993" s="717"/>
      <c r="DM2993" s="711"/>
      <c r="DN2993" s="711"/>
      <c r="DO2993" s="711"/>
      <c r="DP2993" s="711"/>
      <c r="DQ2993" s="711"/>
    </row>
    <row r="2994" spans="13:121" s="709" customFormat="1" hidden="1">
      <c r="M2994" s="710"/>
      <c r="P2994" s="711"/>
      <c r="Q2994" s="712"/>
      <c r="U2994" s="711"/>
      <c r="V2994" s="711"/>
      <c r="W2994" s="711"/>
      <c r="X2994" s="711"/>
      <c r="Y2994" s="711"/>
      <c r="Z2994" s="711"/>
      <c r="AU2994" s="713"/>
      <c r="AW2994" s="712"/>
      <c r="BY2994" s="714"/>
      <c r="BZ2994" s="715"/>
      <c r="CA2994" s="716"/>
      <c r="CB2994" s="717"/>
      <c r="CC2994" s="717"/>
      <c r="CD2994" s="717"/>
      <c r="CE2994" s="717"/>
      <c r="CF2994" s="717"/>
      <c r="CG2994" s="717"/>
      <c r="CH2994" s="717"/>
      <c r="CI2994" s="717"/>
      <c r="CJ2994" s="717"/>
      <c r="CK2994" s="717"/>
      <c r="CL2994" s="717"/>
      <c r="CM2994" s="717"/>
      <c r="CN2994" s="717"/>
      <c r="CO2994" s="717"/>
      <c r="CP2994" s="717"/>
      <c r="CQ2994" s="717"/>
      <c r="CR2994" s="717"/>
      <c r="CS2994" s="717"/>
      <c r="CT2994" s="717"/>
      <c r="CU2994" s="717"/>
      <c r="CV2994" s="717"/>
      <c r="CW2994" s="717"/>
      <c r="CX2994" s="717"/>
      <c r="CY2994" s="717"/>
      <c r="CZ2994" s="717"/>
      <c r="DA2994" s="717"/>
      <c r="DB2994" s="717"/>
      <c r="DC2994" s="717"/>
      <c r="DD2994" s="717"/>
      <c r="DE2994" s="717"/>
      <c r="DF2994" s="717"/>
      <c r="DG2994" s="717"/>
      <c r="DH2994" s="717"/>
      <c r="DI2994" s="717"/>
      <c r="DJ2994" s="717"/>
      <c r="DM2994" s="711"/>
      <c r="DN2994" s="711"/>
      <c r="DO2994" s="711"/>
      <c r="DP2994" s="711"/>
      <c r="DQ2994" s="711"/>
    </row>
    <row r="2995" spans="13:121" s="709" customFormat="1" hidden="1">
      <c r="M2995" s="710"/>
      <c r="P2995" s="711"/>
      <c r="Q2995" s="712"/>
      <c r="U2995" s="711"/>
      <c r="V2995" s="711"/>
      <c r="W2995" s="711"/>
      <c r="X2995" s="711"/>
      <c r="Y2995" s="711"/>
      <c r="Z2995" s="711"/>
      <c r="AU2995" s="713"/>
      <c r="AW2995" s="712"/>
      <c r="BY2995" s="714"/>
      <c r="BZ2995" s="715"/>
      <c r="CA2995" s="716"/>
      <c r="CB2995" s="717"/>
      <c r="CC2995" s="717"/>
      <c r="CD2995" s="717"/>
      <c r="CE2995" s="717"/>
      <c r="CF2995" s="717"/>
      <c r="CG2995" s="717"/>
      <c r="CH2995" s="717"/>
      <c r="CI2995" s="717"/>
      <c r="CJ2995" s="717"/>
      <c r="CK2995" s="717"/>
      <c r="CL2995" s="717"/>
      <c r="CM2995" s="717"/>
      <c r="CN2995" s="717"/>
      <c r="CO2995" s="717"/>
      <c r="CP2995" s="717"/>
      <c r="CQ2995" s="717"/>
      <c r="CR2995" s="717"/>
      <c r="CS2995" s="717"/>
      <c r="CT2995" s="717"/>
      <c r="CU2995" s="717"/>
      <c r="CV2995" s="717"/>
      <c r="CW2995" s="717"/>
      <c r="CX2995" s="717"/>
      <c r="CY2995" s="717"/>
      <c r="CZ2995" s="717"/>
      <c r="DA2995" s="717"/>
      <c r="DB2995" s="717"/>
      <c r="DC2995" s="717"/>
      <c r="DD2995" s="717"/>
      <c r="DE2995" s="717"/>
      <c r="DF2995" s="717"/>
      <c r="DG2995" s="717"/>
      <c r="DH2995" s="717"/>
      <c r="DI2995" s="717"/>
      <c r="DJ2995" s="717"/>
      <c r="DM2995" s="711"/>
      <c r="DN2995" s="711"/>
      <c r="DO2995" s="711"/>
      <c r="DP2995" s="711"/>
      <c r="DQ2995" s="711"/>
    </row>
    <row r="2996" spans="13:121" s="709" customFormat="1" hidden="1">
      <c r="M2996" s="710"/>
      <c r="P2996" s="711"/>
      <c r="Q2996" s="712"/>
      <c r="U2996" s="711"/>
      <c r="V2996" s="711"/>
      <c r="W2996" s="711"/>
      <c r="X2996" s="711"/>
      <c r="Y2996" s="711"/>
      <c r="Z2996" s="711"/>
      <c r="AU2996" s="713"/>
      <c r="AW2996" s="712"/>
      <c r="BY2996" s="714"/>
      <c r="BZ2996" s="715"/>
      <c r="CA2996" s="716"/>
      <c r="CB2996" s="717"/>
      <c r="CC2996" s="717"/>
      <c r="CD2996" s="717"/>
      <c r="CE2996" s="717"/>
      <c r="CF2996" s="717"/>
      <c r="CG2996" s="717"/>
      <c r="CH2996" s="717"/>
      <c r="CI2996" s="717"/>
      <c r="CJ2996" s="717"/>
      <c r="CK2996" s="717"/>
      <c r="CL2996" s="717"/>
      <c r="CM2996" s="717"/>
      <c r="CN2996" s="717"/>
      <c r="CO2996" s="717"/>
      <c r="CP2996" s="717"/>
      <c r="CQ2996" s="717"/>
      <c r="CR2996" s="717"/>
      <c r="CS2996" s="717"/>
      <c r="CT2996" s="717"/>
      <c r="CU2996" s="717"/>
      <c r="CV2996" s="717"/>
      <c r="CW2996" s="717"/>
      <c r="CX2996" s="717"/>
      <c r="CY2996" s="717"/>
      <c r="CZ2996" s="717"/>
      <c r="DA2996" s="717"/>
      <c r="DB2996" s="717"/>
      <c r="DC2996" s="717"/>
      <c r="DD2996" s="717"/>
      <c r="DE2996" s="717"/>
      <c r="DF2996" s="717"/>
      <c r="DG2996" s="717"/>
      <c r="DH2996" s="717"/>
      <c r="DI2996" s="717"/>
      <c r="DJ2996" s="717"/>
      <c r="DM2996" s="711"/>
      <c r="DN2996" s="711"/>
      <c r="DO2996" s="711"/>
      <c r="DP2996" s="711"/>
      <c r="DQ2996" s="711"/>
    </row>
    <row r="2997" spans="13:121" s="709" customFormat="1" hidden="1">
      <c r="M2997" s="710"/>
      <c r="P2997" s="711"/>
      <c r="Q2997" s="712"/>
      <c r="U2997" s="711"/>
      <c r="V2997" s="711"/>
      <c r="W2997" s="711"/>
      <c r="X2997" s="711"/>
      <c r="Y2997" s="711"/>
      <c r="Z2997" s="711"/>
      <c r="AU2997" s="713"/>
      <c r="AW2997" s="712"/>
      <c r="BY2997" s="714"/>
      <c r="BZ2997" s="715"/>
      <c r="CA2997" s="716"/>
      <c r="CB2997" s="717"/>
      <c r="CC2997" s="717"/>
      <c r="CD2997" s="717"/>
      <c r="CE2997" s="717"/>
      <c r="CF2997" s="717"/>
      <c r="CG2997" s="717"/>
      <c r="CH2997" s="717"/>
      <c r="CI2997" s="717"/>
      <c r="CJ2997" s="717"/>
      <c r="CK2997" s="717"/>
      <c r="CL2997" s="717"/>
      <c r="CM2997" s="717"/>
      <c r="CN2997" s="717"/>
      <c r="CO2997" s="717"/>
      <c r="CP2997" s="717"/>
      <c r="CQ2997" s="717"/>
      <c r="CR2997" s="717"/>
      <c r="CS2997" s="717"/>
      <c r="CT2997" s="717"/>
      <c r="CU2997" s="717"/>
      <c r="CV2997" s="717"/>
      <c r="CW2997" s="717"/>
      <c r="CX2997" s="717"/>
      <c r="CY2997" s="717"/>
      <c r="CZ2997" s="717"/>
      <c r="DA2997" s="717"/>
      <c r="DB2997" s="717"/>
      <c r="DC2997" s="717"/>
      <c r="DD2997" s="717"/>
      <c r="DE2997" s="717"/>
      <c r="DF2997" s="717"/>
      <c r="DG2997" s="717"/>
      <c r="DH2997" s="717"/>
      <c r="DI2997" s="717"/>
      <c r="DJ2997" s="717"/>
      <c r="DM2997" s="711"/>
      <c r="DN2997" s="711"/>
      <c r="DO2997" s="711"/>
      <c r="DP2997" s="711"/>
      <c r="DQ2997" s="711"/>
    </row>
    <row r="2998" spans="13:121" s="709" customFormat="1" hidden="1">
      <c r="M2998" s="710"/>
      <c r="P2998" s="711"/>
      <c r="Q2998" s="712"/>
      <c r="U2998" s="711"/>
      <c r="V2998" s="711"/>
      <c r="W2998" s="711"/>
      <c r="X2998" s="711"/>
      <c r="Y2998" s="711"/>
      <c r="Z2998" s="711"/>
      <c r="AU2998" s="713"/>
      <c r="AW2998" s="712"/>
      <c r="BY2998" s="714"/>
      <c r="BZ2998" s="715"/>
      <c r="CA2998" s="716"/>
      <c r="CB2998" s="717"/>
      <c r="CC2998" s="717"/>
      <c r="CD2998" s="717"/>
      <c r="CE2998" s="717"/>
      <c r="CF2998" s="717"/>
      <c r="CG2998" s="717"/>
      <c r="CH2998" s="717"/>
      <c r="CI2998" s="717"/>
      <c r="CJ2998" s="717"/>
      <c r="CK2998" s="717"/>
      <c r="CL2998" s="717"/>
      <c r="CM2998" s="717"/>
      <c r="CN2998" s="717"/>
      <c r="CO2998" s="717"/>
      <c r="CP2998" s="717"/>
      <c r="CQ2998" s="717"/>
      <c r="CR2998" s="717"/>
      <c r="CS2998" s="717"/>
      <c r="CT2998" s="717"/>
      <c r="CU2998" s="717"/>
      <c r="CV2998" s="717"/>
      <c r="CW2998" s="717"/>
      <c r="CX2998" s="717"/>
      <c r="CY2998" s="717"/>
      <c r="CZ2998" s="717"/>
      <c r="DA2998" s="717"/>
      <c r="DB2998" s="717"/>
      <c r="DC2998" s="717"/>
      <c r="DD2998" s="717"/>
      <c r="DE2998" s="717"/>
      <c r="DF2998" s="717"/>
      <c r="DG2998" s="717"/>
      <c r="DH2998" s="717"/>
      <c r="DI2998" s="717"/>
      <c r="DJ2998" s="717"/>
      <c r="DM2998" s="711"/>
      <c r="DN2998" s="711"/>
      <c r="DO2998" s="711"/>
      <c r="DP2998" s="711"/>
      <c r="DQ2998" s="711"/>
    </row>
    <row r="2999" spans="13:121" s="709" customFormat="1" hidden="1">
      <c r="M2999" s="710"/>
      <c r="P2999" s="711"/>
      <c r="Q2999" s="712"/>
      <c r="U2999" s="711"/>
      <c r="V2999" s="711"/>
      <c r="W2999" s="711"/>
      <c r="X2999" s="711"/>
      <c r="Y2999" s="711"/>
      <c r="Z2999" s="711"/>
      <c r="AU2999" s="713"/>
      <c r="AW2999" s="712"/>
      <c r="BY2999" s="714"/>
      <c r="BZ2999" s="715"/>
      <c r="CA2999" s="716"/>
      <c r="CB2999" s="717"/>
      <c r="CC2999" s="717"/>
      <c r="CD2999" s="717"/>
      <c r="CE2999" s="717"/>
      <c r="CF2999" s="717"/>
      <c r="CG2999" s="717"/>
      <c r="CH2999" s="717"/>
      <c r="CI2999" s="717"/>
      <c r="CJ2999" s="717"/>
      <c r="CK2999" s="717"/>
      <c r="CL2999" s="717"/>
      <c r="CM2999" s="717"/>
      <c r="CN2999" s="717"/>
      <c r="CO2999" s="717"/>
      <c r="CP2999" s="717"/>
      <c r="CQ2999" s="717"/>
      <c r="CR2999" s="717"/>
      <c r="CS2999" s="717"/>
      <c r="CT2999" s="717"/>
      <c r="CU2999" s="717"/>
      <c r="CV2999" s="717"/>
      <c r="CW2999" s="717"/>
      <c r="CX2999" s="717"/>
      <c r="CY2999" s="717"/>
      <c r="CZ2999" s="717"/>
      <c r="DA2999" s="717"/>
      <c r="DB2999" s="717"/>
      <c r="DC2999" s="717"/>
      <c r="DD2999" s="717"/>
      <c r="DE2999" s="717"/>
      <c r="DF2999" s="717"/>
      <c r="DG2999" s="717"/>
      <c r="DH2999" s="717"/>
      <c r="DI2999" s="717"/>
      <c r="DJ2999" s="717"/>
      <c r="DM2999" s="711"/>
      <c r="DN2999" s="711"/>
      <c r="DO2999" s="711"/>
      <c r="DP2999" s="711"/>
      <c r="DQ2999" s="711"/>
    </row>
    <row r="3000" spans="13:121" s="709" customFormat="1" hidden="1">
      <c r="M3000" s="710"/>
      <c r="P3000" s="711"/>
      <c r="Q3000" s="712"/>
      <c r="U3000" s="711"/>
      <c r="V3000" s="711"/>
      <c r="W3000" s="711"/>
      <c r="X3000" s="711"/>
      <c r="Y3000" s="711"/>
      <c r="Z3000" s="711"/>
      <c r="AU3000" s="713"/>
      <c r="AW3000" s="712"/>
      <c r="BY3000" s="714"/>
      <c r="BZ3000" s="715"/>
      <c r="CA3000" s="716"/>
      <c r="CB3000" s="717"/>
      <c r="CC3000" s="717"/>
      <c r="CD3000" s="717"/>
      <c r="CE3000" s="717"/>
      <c r="CF3000" s="717"/>
      <c r="CG3000" s="717"/>
      <c r="CH3000" s="717"/>
      <c r="CI3000" s="717"/>
      <c r="CJ3000" s="717"/>
      <c r="CK3000" s="717"/>
      <c r="CL3000" s="717"/>
      <c r="CM3000" s="717"/>
      <c r="CN3000" s="717"/>
      <c r="CO3000" s="717"/>
      <c r="CP3000" s="717"/>
      <c r="CQ3000" s="717"/>
      <c r="CR3000" s="717"/>
      <c r="CS3000" s="717"/>
      <c r="CT3000" s="717"/>
      <c r="CU3000" s="717"/>
      <c r="CV3000" s="717"/>
      <c r="CW3000" s="717"/>
      <c r="CX3000" s="717"/>
      <c r="CY3000" s="717"/>
      <c r="CZ3000" s="717"/>
      <c r="DA3000" s="717"/>
      <c r="DB3000" s="717"/>
      <c r="DC3000" s="717"/>
      <c r="DD3000" s="717"/>
      <c r="DE3000" s="717"/>
      <c r="DF3000" s="717"/>
      <c r="DG3000" s="717"/>
      <c r="DH3000" s="717"/>
      <c r="DI3000" s="717"/>
      <c r="DJ3000" s="717"/>
      <c r="DM3000" s="711"/>
      <c r="DN3000" s="711"/>
      <c r="DO3000" s="711"/>
      <c r="DP3000" s="711"/>
      <c r="DQ3000" s="711"/>
    </row>
    <row r="3001" spans="13:121" s="709" customFormat="1" hidden="1">
      <c r="M3001" s="710"/>
      <c r="P3001" s="711"/>
      <c r="Q3001" s="712"/>
      <c r="U3001" s="711"/>
      <c r="V3001" s="711"/>
      <c r="W3001" s="711"/>
      <c r="X3001" s="711"/>
      <c r="Y3001" s="711"/>
      <c r="Z3001" s="711"/>
      <c r="AU3001" s="713"/>
      <c r="AW3001" s="712"/>
      <c r="BY3001" s="714"/>
      <c r="BZ3001" s="715"/>
      <c r="CA3001" s="716"/>
      <c r="CB3001" s="717"/>
      <c r="CC3001" s="717"/>
      <c r="CD3001" s="717"/>
      <c r="CE3001" s="717"/>
      <c r="CF3001" s="717"/>
      <c r="CG3001" s="717"/>
      <c r="CH3001" s="717"/>
      <c r="CI3001" s="717"/>
      <c r="CJ3001" s="717"/>
      <c r="CK3001" s="717"/>
      <c r="CL3001" s="717"/>
      <c r="CM3001" s="717"/>
      <c r="CN3001" s="717"/>
      <c r="CO3001" s="717"/>
      <c r="CP3001" s="717"/>
      <c r="CQ3001" s="717"/>
      <c r="CR3001" s="717"/>
      <c r="CS3001" s="717"/>
      <c r="CT3001" s="717"/>
      <c r="CU3001" s="717"/>
      <c r="CV3001" s="717"/>
      <c r="CW3001" s="717"/>
      <c r="CX3001" s="717"/>
      <c r="CY3001" s="717"/>
      <c r="CZ3001" s="717"/>
      <c r="DA3001" s="717"/>
      <c r="DB3001" s="717"/>
      <c r="DC3001" s="717"/>
      <c r="DD3001" s="717"/>
      <c r="DE3001" s="717"/>
      <c r="DF3001" s="717"/>
      <c r="DG3001" s="717"/>
      <c r="DH3001" s="717"/>
      <c r="DI3001" s="717"/>
      <c r="DJ3001" s="717"/>
      <c r="DM3001" s="711"/>
      <c r="DN3001" s="711"/>
      <c r="DO3001" s="711"/>
      <c r="DP3001" s="711"/>
      <c r="DQ3001" s="711"/>
    </row>
    <row r="3002" spans="13:121" s="709" customFormat="1" hidden="1">
      <c r="M3002" s="710"/>
      <c r="P3002" s="711"/>
      <c r="Q3002" s="712"/>
      <c r="U3002" s="711"/>
      <c r="V3002" s="711"/>
      <c r="W3002" s="711"/>
      <c r="X3002" s="711"/>
      <c r="Y3002" s="711"/>
      <c r="Z3002" s="711"/>
      <c r="AU3002" s="713"/>
      <c r="AW3002" s="712"/>
      <c r="BY3002" s="714"/>
      <c r="BZ3002" s="715"/>
      <c r="CA3002" s="716"/>
      <c r="CB3002" s="717"/>
      <c r="CC3002" s="717"/>
      <c r="CD3002" s="717"/>
      <c r="CE3002" s="717"/>
      <c r="CF3002" s="717"/>
      <c r="CG3002" s="717"/>
      <c r="CH3002" s="717"/>
      <c r="CI3002" s="717"/>
      <c r="CJ3002" s="717"/>
      <c r="CK3002" s="717"/>
      <c r="CL3002" s="717"/>
      <c r="CM3002" s="717"/>
      <c r="CN3002" s="717"/>
      <c r="CO3002" s="717"/>
      <c r="CP3002" s="717"/>
      <c r="CQ3002" s="717"/>
      <c r="CR3002" s="717"/>
      <c r="CS3002" s="717"/>
      <c r="CT3002" s="717"/>
      <c r="CU3002" s="717"/>
      <c r="CV3002" s="717"/>
      <c r="CW3002" s="717"/>
      <c r="CX3002" s="717"/>
      <c r="CY3002" s="717"/>
      <c r="CZ3002" s="717"/>
      <c r="DA3002" s="717"/>
      <c r="DB3002" s="717"/>
      <c r="DC3002" s="717"/>
      <c r="DD3002" s="717"/>
      <c r="DE3002" s="717"/>
      <c r="DF3002" s="717"/>
      <c r="DG3002" s="717"/>
      <c r="DH3002" s="717"/>
      <c r="DI3002" s="717"/>
      <c r="DJ3002" s="717"/>
      <c r="DM3002" s="711"/>
      <c r="DN3002" s="711"/>
      <c r="DO3002" s="711"/>
      <c r="DP3002" s="711"/>
      <c r="DQ3002" s="711"/>
    </row>
    <row r="3003" spans="13:121" s="709" customFormat="1" hidden="1">
      <c r="M3003" s="710"/>
      <c r="P3003" s="711"/>
      <c r="Q3003" s="712"/>
      <c r="U3003" s="711"/>
      <c r="V3003" s="711"/>
      <c r="W3003" s="711"/>
      <c r="X3003" s="711"/>
      <c r="Y3003" s="711"/>
      <c r="Z3003" s="711"/>
      <c r="AU3003" s="713"/>
      <c r="AW3003" s="712"/>
      <c r="BY3003" s="714"/>
      <c r="BZ3003" s="715"/>
      <c r="CA3003" s="716"/>
      <c r="CB3003" s="717"/>
      <c r="CC3003" s="717"/>
      <c r="CD3003" s="717"/>
      <c r="CE3003" s="717"/>
      <c r="CF3003" s="717"/>
      <c r="CG3003" s="717"/>
      <c r="CH3003" s="717"/>
      <c r="CI3003" s="717"/>
      <c r="CJ3003" s="717"/>
      <c r="CK3003" s="717"/>
      <c r="CL3003" s="717"/>
      <c r="CM3003" s="717"/>
      <c r="CN3003" s="717"/>
      <c r="CO3003" s="717"/>
      <c r="CP3003" s="717"/>
      <c r="CQ3003" s="717"/>
      <c r="CR3003" s="717"/>
      <c r="CS3003" s="717"/>
      <c r="CT3003" s="717"/>
      <c r="CU3003" s="717"/>
      <c r="CV3003" s="717"/>
      <c r="CW3003" s="717"/>
      <c r="CX3003" s="717"/>
      <c r="CY3003" s="717"/>
      <c r="CZ3003" s="717"/>
      <c r="DA3003" s="717"/>
      <c r="DB3003" s="717"/>
      <c r="DC3003" s="717"/>
      <c r="DD3003" s="717"/>
      <c r="DE3003" s="717"/>
      <c r="DF3003" s="717"/>
      <c r="DG3003" s="717"/>
      <c r="DH3003" s="717"/>
      <c r="DI3003" s="717"/>
      <c r="DJ3003" s="717"/>
      <c r="DM3003" s="711"/>
      <c r="DN3003" s="711"/>
      <c r="DO3003" s="711"/>
      <c r="DP3003" s="711"/>
      <c r="DQ3003" s="711"/>
    </row>
    <row r="3004" spans="13:121" s="709" customFormat="1" hidden="1">
      <c r="M3004" s="710"/>
      <c r="P3004" s="711"/>
      <c r="Q3004" s="712"/>
      <c r="U3004" s="711"/>
      <c r="V3004" s="711"/>
      <c r="W3004" s="711"/>
      <c r="X3004" s="711"/>
      <c r="Y3004" s="711"/>
      <c r="Z3004" s="711"/>
      <c r="AU3004" s="713"/>
      <c r="AW3004" s="712"/>
      <c r="BY3004" s="714"/>
      <c r="BZ3004" s="715"/>
      <c r="CA3004" s="716"/>
      <c r="CB3004" s="717"/>
      <c r="CC3004" s="717"/>
      <c r="CD3004" s="717"/>
      <c r="CE3004" s="717"/>
      <c r="CF3004" s="717"/>
      <c r="CG3004" s="717"/>
      <c r="CH3004" s="717"/>
      <c r="CI3004" s="717"/>
      <c r="CJ3004" s="717"/>
      <c r="CK3004" s="717"/>
      <c r="CL3004" s="717"/>
      <c r="CM3004" s="717"/>
      <c r="CN3004" s="717"/>
      <c r="CO3004" s="717"/>
      <c r="CP3004" s="717"/>
      <c r="CQ3004" s="717"/>
      <c r="CR3004" s="717"/>
      <c r="CS3004" s="717"/>
      <c r="CT3004" s="717"/>
      <c r="CU3004" s="717"/>
      <c r="CV3004" s="717"/>
      <c r="CW3004" s="717"/>
      <c r="CX3004" s="717"/>
      <c r="CY3004" s="717"/>
      <c r="CZ3004" s="717"/>
      <c r="DA3004" s="717"/>
      <c r="DB3004" s="717"/>
      <c r="DC3004" s="717"/>
      <c r="DD3004" s="717"/>
      <c r="DE3004" s="717"/>
      <c r="DF3004" s="717"/>
      <c r="DG3004" s="717"/>
      <c r="DH3004" s="717"/>
      <c r="DI3004" s="717"/>
      <c r="DJ3004" s="717"/>
      <c r="DM3004" s="711"/>
      <c r="DN3004" s="711"/>
      <c r="DO3004" s="711"/>
      <c r="DP3004" s="711"/>
      <c r="DQ3004" s="711"/>
    </row>
    <row r="3005" spans="13:121" s="709" customFormat="1" hidden="1">
      <c r="M3005" s="710"/>
      <c r="P3005" s="711"/>
      <c r="Q3005" s="712"/>
      <c r="U3005" s="711"/>
      <c r="V3005" s="711"/>
      <c r="W3005" s="711"/>
      <c r="X3005" s="711"/>
      <c r="Y3005" s="711"/>
      <c r="Z3005" s="711"/>
      <c r="AU3005" s="713"/>
      <c r="AW3005" s="712"/>
      <c r="BY3005" s="714"/>
      <c r="BZ3005" s="715"/>
      <c r="CA3005" s="716"/>
      <c r="CB3005" s="717"/>
      <c r="CC3005" s="717"/>
      <c r="CD3005" s="717"/>
      <c r="CE3005" s="717"/>
      <c r="CF3005" s="717"/>
      <c r="CG3005" s="717"/>
      <c r="CH3005" s="717"/>
      <c r="CI3005" s="717"/>
      <c r="CJ3005" s="717"/>
      <c r="CK3005" s="717"/>
      <c r="CL3005" s="717"/>
      <c r="CM3005" s="717"/>
      <c r="CN3005" s="717"/>
      <c r="CO3005" s="717"/>
      <c r="CP3005" s="717"/>
      <c r="CQ3005" s="717"/>
      <c r="CR3005" s="717"/>
      <c r="CS3005" s="717"/>
      <c r="CT3005" s="717"/>
      <c r="CU3005" s="717"/>
      <c r="CV3005" s="717"/>
      <c r="CW3005" s="717"/>
      <c r="CX3005" s="717"/>
      <c r="CY3005" s="717"/>
      <c r="CZ3005" s="717"/>
      <c r="DA3005" s="717"/>
      <c r="DB3005" s="717"/>
      <c r="DC3005" s="717"/>
      <c r="DD3005" s="717"/>
      <c r="DE3005" s="717"/>
      <c r="DF3005" s="717"/>
      <c r="DG3005" s="717"/>
      <c r="DH3005" s="717"/>
      <c r="DI3005" s="717"/>
      <c r="DJ3005" s="717"/>
      <c r="DM3005" s="711"/>
      <c r="DN3005" s="711"/>
      <c r="DO3005" s="711"/>
      <c r="DP3005" s="711"/>
      <c r="DQ3005" s="711"/>
    </row>
    <row r="3006" spans="13:121" s="709" customFormat="1" hidden="1">
      <c r="M3006" s="710"/>
      <c r="P3006" s="711"/>
      <c r="Q3006" s="712"/>
      <c r="U3006" s="711"/>
      <c r="V3006" s="711"/>
      <c r="W3006" s="711"/>
      <c r="X3006" s="711"/>
      <c r="Y3006" s="711"/>
      <c r="Z3006" s="711"/>
      <c r="AU3006" s="713"/>
      <c r="AW3006" s="712"/>
      <c r="BY3006" s="714"/>
      <c r="BZ3006" s="715"/>
      <c r="CA3006" s="716"/>
      <c r="CB3006" s="717"/>
      <c r="CC3006" s="717"/>
      <c r="CD3006" s="717"/>
      <c r="CE3006" s="717"/>
      <c r="CF3006" s="717"/>
      <c r="CG3006" s="717"/>
      <c r="CH3006" s="717"/>
      <c r="CI3006" s="717"/>
      <c r="CJ3006" s="717"/>
      <c r="CK3006" s="717"/>
      <c r="CL3006" s="717"/>
      <c r="CM3006" s="717"/>
      <c r="CN3006" s="717"/>
      <c r="CO3006" s="717"/>
      <c r="CP3006" s="717"/>
      <c r="CQ3006" s="717"/>
      <c r="CR3006" s="717"/>
      <c r="CS3006" s="717"/>
      <c r="CT3006" s="717"/>
      <c r="CU3006" s="717"/>
      <c r="CV3006" s="717"/>
      <c r="CW3006" s="717"/>
      <c r="CX3006" s="717"/>
      <c r="CY3006" s="717"/>
      <c r="CZ3006" s="717"/>
      <c r="DA3006" s="717"/>
      <c r="DB3006" s="717"/>
      <c r="DC3006" s="717"/>
      <c r="DD3006" s="717"/>
      <c r="DE3006" s="717"/>
      <c r="DF3006" s="717"/>
      <c r="DG3006" s="717"/>
      <c r="DH3006" s="717"/>
      <c r="DI3006" s="717"/>
      <c r="DJ3006" s="717"/>
      <c r="DM3006" s="711"/>
      <c r="DN3006" s="711"/>
      <c r="DO3006" s="711"/>
      <c r="DP3006" s="711"/>
      <c r="DQ3006" s="711"/>
    </row>
    <row r="3007" spans="13:121" s="709" customFormat="1" hidden="1">
      <c r="M3007" s="710"/>
      <c r="P3007" s="711"/>
      <c r="Q3007" s="712"/>
      <c r="U3007" s="711"/>
      <c r="V3007" s="711"/>
      <c r="W3007" s="711"/>
      <c r="X3007" s="711"/>
      <c r="Y3007" s="711"/>
      <c r="Z3007" s="711"/>
      <c r="AU3007" s="713"/>
      <c r="AW3007" s="712"/>
      <c r="BY3007" s="714"/>
      <c r="BZ3007" s="715"/>
      <c r="CA3007" s="716"/>
      <c r="CB3007" s="717"/>
      <c r="CC3007" s="717"/>
      <c r="CD3007" s="717"/>
      <c r="CE3007" s="717"/>
      <c r="CF3007" s="717"/>
      <c r="CG3007" s="717"/>
      <c r="CH3007" s="717"/>
      <c r="CI3007" s="717"/>
      <c r="CJ3007" s="717"/>
      <c r="CK3007" s="717"/>
      <c r="CL3007" s="717"/>
      <c r="CM3007" s="717"/>
      <c r="CN3007" s="717"/>
      <c r="CO3007" s="717"/>
      <c r="CP3007" s="717"/>
      <c r="CQ3007" s="717"/>
      <c r="CR3007" s="717"/>
      <c r="CS3007" s="717"/>
      <c r="CT3007" s="717"/>
      <c r="CU3007" s="717"/>
      <c r="CV3007" s="717"/>
      <c r="CW3007" s="717"/>
      <c r="CX3007" s="717"/>
      <c r="CY3007" s="717"/>
      <c r="CZ3007" s="717"/>
      <c r="DA3007" s="717"/>
      <c r="DB3007" s="717"/>
      <c r="DC3007" s="717"/>
      <c r="DD3007" s="717"/>
      <c r="DE3007" s="717"/>
      <c r="DF3007" s="717"/>
      <c r="DG3007" s="717"/>
      <c r="DH3007" s="717"/>
      <c r="DI3007" s="717"/>
      <c r="DJ3007" s="717"/>
      <c r="DM3007" s="711"/>
      <c r="DN3007" s="711"/>
      <c r="DO3007" s="711"/>
      <c r="DP3007" s="711"/>
      <c r="DQ3007" s="711"/>
    </row>
    <row r="3008" spans="13:121" s="709" customFormat="1" hidden="1">
      <c r="M3008" s="710"/>
      <c r="P3008" s="711"/>
      <c r="Q3008" s="712"/>
      <c r="U3008" s="711"/>
      <c r="V3008" s="711"/>
      <c r="W3008" s="711"/>
      <c r="X3008" s="711"/>
      <c r="Y3008" s="711"/>
      <c r="Z3008" s="711"/>
      <c r="AU3008" s="713"/>
      <c r="AW3008" s="712"/>
      <c r="BY3008" s="714"/>
      <c r="BZ3008" s="715"/>
      <c r="CA3008" s="716"/>
      <c r="CB3008" s="717"/>
      <c r="CC3008" s="717"/>
      <c r="CD3008" s="717"/>
      <c r="CE3008" s="717"/>
      <c r="CF3008" s="717"/>
      <c r="CG3008" s="717"/>
      <c r="CH3008" s="717"/>
      <c r="CI3008" s="717"/>
      <c r="CJ3008" s="717"/>
      <c r="CK3008" s="717"/>
      <c r="CL3008" s="717"/>
      <c r="CM3008" s="717"/>
      <c r="CN3008" s="717"/>
      <c r="CO3008" s="717"/>
      <c r="CP3008" s="717"/>
      <c r="CQ3008" s="717"/>
      <c r="CR3008" s="717"/>
      <c r="CS3008" s="717"/>
      <c r="CT3008" s="717"/>
      <c r="CU3008" s="717"/>
      <c r="CV3008" s="717"/>
      <c r="CW3008" s="717"/>
      <c r="CX3008" s="717"/>
      <c r="CY3008" s="717"/>
      <c r="CZ3008" s="717"/>
      <c r="DA3008" s="717"/>
      <c r="DB3008" s="717"/>
      <c r="DC3008" s="717"/>
      <c r="DD3008" s="717"/>
      <c r="DE3008" s="717"/>
      <c r="DF3008" s="717"/>
      <c r="DG3008" s="717"/>
      <c r="DH3008" s="717"/>
      <c r="DI3008" s="717"/>
      <c r="DJ3008" s="717"/>
      <c r="DM3008" s="711"/>
      <c r="DN3008" s="711"/>
      <c r="DO3008" s="711"/>
      <c r="DP3008" s="711"/>
      <c r="DQ3008" s="711"/>
    </row>
    <row r="3009" spans="13:121" s="709" customFormat="1" hidden="1">
      <c r="M3009" s="710"/>
      <c r="P3009" s="711"/>
      <c r="Q3009" s="712"/>
      <c r="U3009" s="711"/>
      <c r="V3009" s="711"/>
      <c r="W3009" s="711"/>
      <c r="X3009" s="711"/>
      <c r="Y3009" s="711"/>
      <c r="Z3009" s="711"/>
      <c r="AU3009" s="713"/>
      <c r="AW3009" s="712"/>
      <c r="BY3009" s="714"/>
      <c r="BZ3009" s="715"/>
      <c r="CA3009" s="716"/>
      <c r="CB3009" s="717"/>
      <c r="CC3009" s="717"/>
      <c r="CD3009" s="717"/>
      <c r="CE3009" s="717"/>
      <c r="CF3009" s="717"/>
      <c r="CG3009" s="717"/>
      <c r="CH3009" s="717"/>
      <c r="CI3009" s="717"/>
      <c r="CJ3009" s="717"/>
      <c r="CK3009" s="717"/>
      <c r="CL3009" s="717"/>
      <c r="CM3009" s="717"/>
      <c r="CN3009" s="717"/>
      <c r="CO3009" s="717"/>
      <c r="CP3009" s="717"/>
      <c r="CQ3009" s="717"/>
      <c r="CR3009" s="717"/>
      <c r="CS3009" s="717"/>
      <c r="CT3009" s="717"/>
      <c r="CU3009" s="717"/>
      <c r="CV3009" s="717"/>
      <c r="CW3009" s="717"/>
      <c r="CX3009" s="717"/>
      <c r="CY3009" s="717"/>
      <c r="CZ3009" s="717"/>
      <c r="DA3009" s="717"/>
      <c r="DB3009" s="717"/>
      <c r="DC3009" s="717"/>
      <c r="DD3009" s="717"/>
      <c r="DE3009" s="717"/>
      <c r="DF3009" s="717"/>
      <c r="DG3009" s="717"/>
      <c r="DH3009" s="717"/>
      <c r="DI3009" s="717"/>
      <c r="DJ3009" s="717"/>
      <c r="DM3009" s="711"/>
      <c r="DN3009" s="711"/>
      <c r="DO3009" s="711"/>
      <c r="DP3009" s="711"/>
      <c r="DQ3009" s="711"/>
    </row>
    <row r="3010" spans="13:121" s="709" customFormat="1" hidden="1">
      <c r="M3010" s="710"/>
      <c r="P3010" s="711"/>
      <c r="Q3010" s="712"/>
      <c r="U3010" s="711"/>
      <c r="V3010" s="711"/>
      <c r="W3010" s="711"/>
      <c r="X3010" s="711"/>
      <c r="Y3010" s="711"/>
      <c r="Z3010" s="711"/>
      <c r="AU3010" s="713"/>
      <c r="AW3010" s="712"/>
      <c r="BY3010" s="714"/>
      <c r="BZ3010" s="715"/>
      <c r="CA3010" s="716"/>
      <c r="CB3010" s="717"/>
      <c r="CC3010" s="717"/>
      <c r="CD3010" s="717"/>
      <c r="CE3010" s="717"/>
      <c r="CF3010" s="717"/>
      <c r="CG3010" s="717"/>
      <c r="CH3010" s="717"/>
      <c r="CI3010" s="717"/>
      <c r="CJ3010" s="717"/>
      <c r="CK3010" s="717"/>
      <c r="CL3010" s="717"/>
      <c r="CM3010" s="717"/>
      <c r="CN3010" s="717"/>
      <c r="CO3010" s="717"/>
      <c r="CP3010" s="717"/>
      <c r="CQ3010" s="717"/>
      <c r="CR3010" s="717"/>
      <c r="CS3010" s="717"/>
      <c r="CT3010" s="717"/>
      <c r="CU3010" s="717"/>
      <c r="CV3010" s="717"/>
      <c r="CW3010" s="717"/>
      <c r="CX3010" s="717"/>
      <c r="CY3010" s="717"/>
      <c r="CZ3010" s="717"/>
      <c r="DA3010" s="717"/>
      <c r="DB3010" s="717"/>
      <c r="DC3010" s="717"/>
      <c r="DD3010" s="717"/>
      <c r="DE3010" s="717"/>
      <c r="DF3010" s="717"/>
      <c r="DG3010" s="717"/>
      <c r="DH3010" s="717"/>
      <c r="DI3010" s="717"/>
      <c r="DJ3010" s="717"/>
      <c r="DM3010" s="711"/>
      <c r="DN3010" s="711"/>
      <c r="DO3010" s="711"/>
      <c r="DP3010" s="711"/>
      <c r="DQ3010" s="711"/>
    </row>
    <row r="3011" spans="13:121" s="709" customFormat="1" hidden="1">
      <c r="M3011" s="710"/>
      <c r="P3011" s="711"/>
      <c r="Q3011" s="712"/>
      <c r="U3011" s="711"/>
      <c r="V3011" s="711"/>
      <c r="W3011" s="711"/>
      <c r="X3011" s="711"/>
      <c r="Y3011" s="711"/>
      <c r="Z3011" s="711"/>
      <c r="AU3011" s="713"/>
      <c r="AW3011" s="712"/>
      <c r="BY3011" s="714"/>
      <c r="BZ3011" s="715"/>
      <c r="CA3011" s="716"/>
      <c r="CB3011" s="717"/>
      <c r="CC3011" s="717"/>
      <c r="CD3011" s="717"/>
      <c r="CE3011" s="717"/>
      <c r="CF3011" s="717"/>
      <c r="CG3011" s="717"/>
      <c r="CH3011" s="717"/>
      <c r="CI3011" s="717"/>
      <c r="CJ3011" s="717"/>
      <c r="CK3011" s="717"/>
      <c r="CL3011" s="717"/>
      <c r="CM3011" s="717"/>
      <c r="CN3011" s="717"/>
      <c r="CO3011" s="717"/>
      <c r="CP3011" s="717"/>
      <c r="CQ3011" s="717"/>
      <c r="CR3011" s="717"/>
      <c r="CS3011" s="717"/>
      <c r="CT3011" s="717"/>
      <c r="CU3011" s="717"/>
      <c r="CV3011" s="717"/>
      <c r="CW3011" s="717"/>
      <c r="CX3011" s="717"/>
      <c r="CY3011" s="717"/>
      <c r="CZ3011" s="717"/>
      <c r="DA3011" s="717"/>
      <c r="DB3011" s="717"/>
      <c r="DC3011" s="717"/>
      <c r="DD3011" s="717"/>
      <c r="DE3011" s="717"/>
      <c r="DF3011" s="717"/>
      <c r="DG3011" s="717"/>
      <c r="DH3011" s="717"/>
      <c r="DI3011" s="717"/>
      <c r="DJ3011" s="717"/>
      <c r="DM3011" s="711"/>
      <c r="DN3011" s="711"/>
      <c r="DO3011" s="711"/>
      <c r="DP3011" s="711"/>
      <c r="DQ3011" s="711"/>
    </row>
    <row r="3012" spans="13:121" s="709" customFormat="1" hidden="1">
      <c r="M3012" s="710"/>
      <c r="P3012" s="711"/>
      <c r="Q3012" s="712"/>
      <c r="U3012" s="711"/>
      <c r="V3012" s="711"/>
      <c r="W3012" s="711"/>
      <c r="X3012" s="711"/>
      <c r="Y3012" s="711"/>
      <c r="Z3012" s="711"/>
      <c r="AU3012" s="713"/>
      <c r="AW3012" s="712"/>
      <c r="BY3012" s="714"/>
      <c r="BZ3012" s="715"/>
      <c r="CA3012" s="716"/>
      <c r="CB3012" s="717"/>
      <c r="CC3012" s="717"/>
      <c r="CD3012" s="717"/>
      <c r="CE3012" s="717"/>
      <c r="CF3012" s="717"/>
      <c r="CG3012" s="717"/>
      <c r="CH3012" s="717"/>
      <c r="CI3012" s="717"/>
      <c r="CJ3012" s="717"/>
      <c r="CK3012" s="717"/>
      <c r="CL3012" s="717"/>
      <c r="CM3012" s="717"/>
      <c r="CN3012" s="717"/>
      <c r="CO3012" s="717"/>
      <c r="CP3012" s="717"/>
      <c r="CQ3012" s="717"/>
      <c r="CR3012" s="717"/>
      <c r="CS3012" s="717"/>
      <c r="CT3012" s="717"/>
      <c r="CU3012" s="717"/>
      <c r="CV3012" s="717"/>
      <c r="CW3012" s="717"/>
      <c r="CX3012" s="717"/>
      <c r="CY3012" s="717"/>
      <c r="CZ3012" s="717"/>
      <c r="DA3012" s="717"/>
      <c r="DB3012" s="717"/>
      <c r="DC3012" s="717"/>
      <c r="DD3012" s="717"/>
      <c r="DE3012" s="717"/>
      <c r="DF3012" s="717"/>
      <c r="DG3012" s="717"/>
      <c r="DH3012" s="717"/>
      <c r="DI3012" s="717"/>
      <c r="DJ3012" s="717"/>
      <c r="DM3012" s="711"/>
      <c r="DN3012" s="711"/>
      <c r="DO3012" s="711"/>
      <c r="DP3012" s="711"/>
      <c r="DQ3012" s="711"/>
    </row>
    <row r="3013" spans="13:121" s="709" customFormat="1" hidden="1">
      <c r="M3013" s="710"/>
      <c r="P3013" s="711"/>
      <c r="Q3013" s="712"/>
      <c r="U3013" s="711"/>
      <c r="V3013" s="711"/>
      <c r="W3013" s="711"/>
      <c r="X3013" s="711"/>
      <c r="Y3013" s="711"/>
      <c r="Z3013" s="711"/>
      <c r="AU3013" s="713"/>
      <c r="AW3013" s="712"/>
      <c r="BY3013" s="714"/>
      <c r="BZ3013" s="715"/>
      <c r="CA3013" s="716"/>
      <c r="CB3013" s="717"/>
      <c r="CC3013" s="717"/>
      <c r="CD3013" s="717"/>
      <c r="CE3013" s="717"/>
      <c r="CF3013" s="717"/>
      <c r="CG3013" s="717"/>
      <c r="CH3013" s="717"/>
      <c r="CI3013" s="717"/>
      <c r="CJ3013" s="717"/>
      <c r="CK3013" s="717"/>
      <c r="CL3013" s="717"/>
      <c r="CM3013" s="717"/>
      <c r="CN3013" s="717"/>
      <c r="CO3013" s="717"/>
      <c r="CP3013" s="717"/>
      <c r="CQ3013" s="717"/>
      <c r="CR3013" s="717"/>
      <c r="CS3013" s="717"/>
      <c r="CT3013" s="717"/>
      <c r="CU3013" s="717"/>
      <c r="CV3013" s="717"/>
      <c r="CW3013" s="717"/>
      <c r="CX3013" s="717"/>
      <c r="CY3013" s="717"/>
      <c r="CZ3013" s="717"/>
      <c r="DA3013" s="717"/>
      <c r="DB3013" s="717"/>
      <c r="DC3013" s="717"/>
      <c r="DD3013" s="717"/>
      <c r="DE3013" s="717"/>
      <c r="DF3013" s="717"/>
      <c r="DG3013" s="717"/>
      <c r="DH3013" s="717"/>
      <c r="DI3013" s="717"/>
      <c r="DJ3013" s="717"/>
      <c r="DM3013" s="711"/>
      <c r="DN3013" s="711"/>
      <c r="DO3013" s="711"/>
      <c r="DP3013" s="711"/>
      <c r="DQ3013" s="711"/>
    </row>
    <row r="3014" spans="13:121" s="709" customFormat="1" hidden="1">
      <c r="M3014" s="710"/>
      <c r="P3014" s="711"/>
      <c r="Q3014" s="712"/>
      <c r="U3014" s="711"/>
      <c r="V3014" s="711"/>
      <c r="W3014" s="711"/>
      <c r="X3014" s="711"/>
      <c r="Y3014" s="711"/>
      <c r="Z3014" s="711"/>
      <c r="AU3014" s="713"/>
      <c r="AW3014" s="712"/>
      <c r="BY3014" s="714"/>
      <c r="BZ3014" s="715"/>
      <c r="CA3014" s="716"/>
      <c r="CB3014" s="717"/>
      <c r="CC3014" s="717"/>
      <c r="CD3014" s="717"/>
      <c r="CE3014" s="717"/>
      <c r="CF3014" s="717"/>
      <c r="CG3014" s="717"/>
      <c r="CH3014" s="717"/>
      <c r="CI3014" s="717"/>
      <c r="CJ3014" s="717"/>
      <c r="CK3014" s="717"/>
      <c r="CL3014" s="717"/>
      <c r="CM3014" s="717"/>
      <c r="CN3014" s="717"/>
      <c r="CO3014" s="717"/>
      <c r="CP3014" s="717"/>
      <c r="CQ3014" s="717"/>
      <c r="CR3014" s="717"/>
      <c r="CS3014" s="717"/>
      <c r="CT3014" s="717"/>
      <c r="CU3014" s="717"/>
      <c r="CV3014" s="717"/>
      <c r="CW3014" s="717"/>
      <c r="CX3014" s="717"/>
      <c r="CY3014" s="717"/>
      <c r="CZ3014" s="717"/>
      <c r="DA3014" s="717"/>
      <c r="DB3014" s="717"/>
      <c r="DC3014" s="717"/>
      <c r="DD3014" s="717"/>
      <c r="DE3014" s="717"/>
      <c r="DF3014" s="717"/>
      <c r="DG3014" s="717"/>
      <c r="DH3014" s="717"/>
      <c r="DI3014" s="717"/>
      <c r="DJ3014" s="717"/>
      <c r="DM3014" s="711"/>
      <c r="DN3014" s="711"/>
      <c r="DO3014" s="711"/>
      <c r="DP3014" s="711"/>
      <c r="DQ3014" s="711"/>
    </row>
    <row r="3015" spans="13:121" s="709" customFormat="1" hidden="1">
      <c r="M3015" s="710"/>
      <c r="P3015" s="711"/>
      <c r="Q3015" s="712"/>
      <c r="U3015" s="711"/>
      <c r="V3015" s="711"/>
      <c r="W3015" s="711"/>
      <c r="X3015" s="711"/>
      <c r="Y3015" s="711"/>
      <c r="Z3015" s="711"/>
      <c r="AU3015" s="713"/>
      <c r="AW3015" s="712"/>
      <c r="BY3015" s="714"/>
      <c r="BZ3015" s="715"/>
      <c r="CA3015" s="716"/>
      <c r="CB3015" s="717"/>
      <c r="CC3015" s="717"/>
      <c r="CD3015" s="717"/>
      <c r="CE3015" s="717"/>
      <c r="CF3015" s="717"/>
      <c r="CG3015" s="717"/>
      <c r="CH3015" s="717"/>
      <c r="CI3015" s="717"/>
      <c r="CJ3015" s="717"/>
      <c r="CK3015" s="717"/>
      <c r="CL3015" s="717"/>
      <c r="CM3015" s="717"/>
      <c r="CN3015" s="717"/>
      <c r="CO3015" s="717"/>
      <c r="CP3015" s="717"/>
      <c r="CQ3015" s="717"/>
      <c r="CR3015" s="717"/>
      <c r="CS3015" s="717"/>
      <c r="CT3015" s="717"/>
      <c r="CU3015" s="717"/>
      <c r="CV3015" s="717"/>
      <c r="CW3015" s="717"/>
      <c r="CX3015" s="717"/>
      <c r="CY3015" s="717"/>
      <c r="CZ3015" s="717"/>
      <c r="DA3015" s="717"/>
      <c r="DB3015" s="717"/>
      <c r="DC3015" s="717"/>
      <c r="DD3015" s="717"/>
      <c r="DE3015" s="717"/>
      <c r="DF3015" s="717"/>
      <c r="DG3015" s="717"/>
      <c r="DH3015" s="717"/>
      <c r="DI3015" s="717"/>
      <c r="DJ3015" s="717"/>
      <c r="DM3015" s="711"/>
      <c r="DN3015" s="711"/>
      <c r="DO3015" s="711"/>
      <c r="DP3015" s="711"/>
      <c r="DQ3015" s="711"/>
    </row>
    <row r="3016" spans="13:121" s="709" customFormat="1" hidden="1">
      <c r="M3016" s="710"/>
      <c r="P3016" s="711"/>
      <c r="Q3016" s="712"/>
      <c r="U3016" s="711"/>
      <c r="V3016" s="711"/>
      <c r="W3016" s="711"/>
      <c r="X3016" s="711"/>
      <c r="Y3016" s="711"/>
      <c r="Z3016" s="711"/>
      <c r="AU3016" s="713"/>
      <c r="AW3016" s="712"/>
      <c r="BY3016" s="714"/>
      <c r="BZ3016" s="715"/>
      <c r="CA3016" s="716"/>
      <c r="CB3016" s="717"/>
      <c r="CC3016" s="717"/>
      <c r="CD3016" s="717"/>
      <c r="CE3016" s="717"/>
      <c r="CF3016" s="717"/>
      <c r="CG3016" s="717"/>
      <c r="CH3016" s="717"/>
      <c r="CI3016" s="717"/>
      <c r="CJ3016" s="717"/>
      <c r="CK3016" s="717"/>
      <c r="CL3016" s="717"/>
      <c r="CM3016" s="717"/>
      <c r="CN3016" s="717"/>
      <c r="CO3016" s="717"/>
      <c r="CP3016" s="717"/>
      <c r="CQ3016" s="717"/>
      <c r="CR3016" s="717"/>
      <c r="CS3016" s="717"/>
      <c r="CT3016" s="717"/>
      <c r="CU3016" s="717"/>
      <c r="CV3016" s="717"/>
      <c r="CW3016" s="717"/>
      <c r="CX3016" s="717"/>
      <c r="CY3016" s="717"/>
      <c r="CZ3016" s="717"/>
      <c r="DA3016" s="717"/>
      <c r="DB3016" s="717"/>
      <c r="DC3016" s="717"/>
      <c r="DD3016" s="717"/>
      <c r="DE3016" s="717"/>
      <c r="DF3016" s="717"/>
      <c r="DG3016" s="717"/>
      <c r="DH3016" s="717"/>
      <c r="DI3016" s="717"/>
      <c r="DJ3016" s="717"/>
      <c r="DM3016" s="711"/>
      <c r="DN3016" s="711"/>
      <c r="DO3016" s="711"/>
      <c r="DP3016" s="711"/>
      <c r="DQ3016" s="711"/>
    </row>
    <row r="3017" spans="13:121" s="709" customFormat="1" hidden="1">
      <c r="M3017" s="710"/>
      <c r="P3017" s="711"/>
      <c r="Q3017" s="712"/>
      <c r="U3017" s="711"/>
      <c r="V3017" s="711"/>
      <c r="W3017" s="711"/>
      <c r="X3017" s="711"/>
      <c r="Y3017" s="711"/>
      <c r="Z3017" s="711"/>
      <c r="AU3017" s="713"/>
      <c r="AW3017" s="712"/>
      <c r="BY3017" s="714"/>
      <c r="BZ3017" s="715"/>
      <c r="CA3017" s="716"/>
      <c r="CB3017" s="717"/>
      <c r="CC3017" s="717"/>
      <c r="CD3017" s="717"/>
      <c r="CE3017" s="717"/>
      <c r="CF3017" s="717"/>
      <c r="CG3017" s="717"/>
      <c r="CH3017" s="717"/>
      <c r="CI3017" s="717"/>
      <c r="CJ3017" s="717"/>
      <c r="CK3017" s="717"/>
      <c r="CL3017" s="717"/>
      <c r="CM3017" s="717"/>
      <c r="CN3017" s="717"/>
      <c r="CO3017" s="717"/>
      <c r="CP3017" s="717"/>
      <c r="CQ3017" s="717"/>
      <c r="CR3017" s="717"/>
      <c r="CS3017" s="717"/>
      <c r="CT3017" s="717"/>
      <c r="CU3017" s="717"/>
      <c r="CV3017" s="717"/>
      <c r="CW3017" s="717"/>
      <c r="CX3017" s="717"/>
      <c r="CY3017" s="717"/>
      <c r="CZ3017" s="717"/>
      <c r="DA3017" s="717"/>
      <c r="DB3017" s="717"/>
      <c r="DC3017" s="717"/>
      <c r="DD3017" s="717"/>
      <c r="DE3017" s="717"/>
      <c r="DF3017" s="717"/>
      <c r="DG3017" s="717"/>
      <c r="DH3017" s="717"/>
      <c r="DI3017" s="717"/>
      <c r="DJ3017" s="717"/>
      <c r="DM3017" s="711"/>
      <c r="DN3017" s="711"/>
      <c r="DO3017" s="711"/>
      <c r="DP3017" s="711"/>
      <c r="DQ3017" s="711"/>
    </row>
    <row r="3018" spans="13:121" s="709" customFormat="1" hidden="1">
      <c r="M3018" s="710"/>
      <c r="P3018" s="711"/>
      <c r="Q3018" s="712"/>
      <c r="U3018" s="711"/>
      <c r="V3018" s="711"/>
      <c r="W3018" s="711"/>
      <c r="X3018" s="711"/>
      <c r="Y3018" s="711"/>
      <c r="Z3018" s="711"/>
      <c r="AU3018" s="713"/>
      <c r="AW3018" s="712"/>
      <c r="BY3018" s="714"/>
      <c r="BZ3018" s="715"/>
      <c r="CA3018" s="716"/>
      <c r="CB3018" s="717"/>
      <c r="CC3018" s="717"/>
      <c r="CD3018" s="717"/>
      <c r="CE3018" s="717"/>
      <c r="CF3018" s="717"/>
      <c r="CG3018" s="717"/>
      <c r="CH3018" s="717"/>
      <c r="CI3018" s="717"/>
      <c r="CJ3018" s="717"/>
      <c r="CK3018" s="717"/>
      <c r="CL3018" s="717"/>
      <c r="CM3018" s="717"/>
      <c r="CN3018" s="717"/>
      <c r="CO3018" s="717"/>
      <c r="CP3018" s="717"/>
      <c r="CQ3018" s="717"/>
      <c r="CR3018" s="717"/>
      <c r="CS3018" s="717"/>
      <c r="CT3018" s="717"/>
      <c r="CU3018" s="717"/>
      <c r="CV3018" s="717"/>
      <c r="CW3018" s="717"/>
      <c r="CX3018" s="717"/>
      <c r="CY3018" s="717"/>
      <c r="CZ3018" s="717"/>
      <c r="DA3018" s="717"/>
      <c r="DB3018" s="717"/>
      <c r="DC3018" s="717"/>
      <c r="DD3018" s="717"/>
      <c r="DE3018" s="717"/>
      <c r="DF3018" s="717"/>
      <c r="DG3018" s="717"/>
      <c r="DH3018" s="717"/>
      <c r="DI3018" s="717"/>
      <c r="DJ3018" s="717"/>
      <c r="DM3018" s="711"/>
      <c r="DN3018" s="711"/>
      <c r="DO3018" s="711"/>
      <c r="DP3018" s="711"/>
      <c r="DQ3018" s="711"/>
    </row>
    <row r="3019" spans="13:121" s="709" customFormat="1" hidden="1">
      <c r="M3019" s="710"/>
      <c r="P3019" s="711"/>
      <c r="Q3019" s="712"/>
      <c r="U3019" s="711"/>
      <c r="V3019" s="711"/>
      <c r="W3019" s="711"/>
      <c r="X3019" s="711"/>
      <c r="Y3019" s="711"/>
      <c r="Z3019" s="711"/>
      <c r="AU3019" s="713"/>
      <c r="AW3019" s="712"/>
      <c r="BY3019" s="714"/>
      <c r="BZ3019" s="715"/>
      <c r="CA3019" s="716"/>
      <c r="CB3019" s="717"/>
      <c r="CC3019" s="717"/>
      <c r="CD3019" s="717"/>
      <c r="CE3019" s="717"/>
      <c r="CF3019" s="717"/>
      <c r="CG3019" s="717"/>
      <c r="CH3019" s="717"/>
      <c r="CI3019" s="717"/>
      <c r="CJ3019" s="717"/>
      <c r="CK3019" s="717"/>
      <c r="CL3019" s="717"/>
      <c r="CM3019" s="717"/>
      <c r="CN3019" s="717"/>
      <c r="CO3019" s="717"/>
      <c r="CP3019" s="717"/>
      <c r="CQ3019" s="717"/>
      <c r="CR3019" s="717"/>
      <c r="CS3019" s="717"/>
      <c r="CT3019" s="717"/>
      <c r="CU3019" s="717"/>
      <c r="CV3019" s="717"/>
      <c r="CW3019" s="717"/>
      <c r="CX3019" s="717"/>
      <c r="CY3019" s="717"/>
      <c r="CZ3019" s="717"/>
      <c r="DA3019" s="717"/>
      <c r="DB3019" s="717"/>
      <c r="DC3019" s="717"/>
      <c r="DD3019" s="717"/>
      <c r="DE3019" s="717"/>
      <c r="DF3019" s="717"/>
      <c r="DG3019" s="717"/>
      <c r="DH3019" s="717"/>
      <c r="DI3019" s="717"/>
      <c r="DJ3019" s="717"/>
      <c r="DM3019" s="711"/>
      <c r="DN3019" s="711"/>
      <c r="DO3019" s="711"/>
      <c r="DP3019" s="711"/>
      <c r="DQ3019" s="711"/>
    </row>
    <row r="3020" spans="13:121" s="709" customFormat="1" hidden="1">
      <c r="M3020" s="710"/>
      <c r="P3020" s="711"/>
      <c r="Q3020" s="712"/>
      <c r="U3020" s="711"/>
      <c r="V3020" s="711"/>
      <c r="W3020" s="711"/>
      <c r="X3020" s="711"/>
      <c r="Y3020" s="711"/>
      <c r="Z3020" s="711"/>
      <c r="AU3020" s="713"/>
      <c r="AW3020" s="712"/>
      <c r="BY3020" s="714"/>
      <c r="BZ3020" s="715"/>
      <c r="CA3020" s="716"/>
      <c r="CB3020" s="717"/>
      <c r="CC3020" s="717"/>
      <c r="CD3020" s="717"/>
      <c r="CE3020" s="717"/>
      <c r="CF3020" s="717"/>
      <c r="CG3020" s="717"/>
      <c r="CH3020" s="717"/>
      <c r="CI3020" s="717"/>
      <c r="CJ3020" s="717"/>
      <c r="CK3020" s="717"/>
      <c r="CL3020" s="717"/>
      <c r="CM3020" s="717"/>
      <c r="CN3020" s="717"/>
      <c r="CO3020" s="717"/>
      <c r="CP3020" s="717"/>
      <c r="CQ3020" s="717"/>
      <c r="CR3020" s="717"/>
      <c r="CS3020" s="717"/>
      <c r="CT3020" s="717"/>
      <c r="CU3020" s="717"/>
      <c r="CV3020" s="717"/>
      <c r="CW3020" s="717"/>
      <c r="CX3020" s="717"/>
      <c r="CY3020" s="717"/>
      <c r="CZ3020" s="717"/>
      <c r="DA3020" s="717"/>
      <c r="DB3020" s="717"/>
      <c r="DC3020" s="717"/>
      <c r="DD3020" s="717"/>
      <c r="DE3020" s="717"/>
      <c r="DF3020" s="717"/>
      <c r="DG3020" s="717"/>
      <c r="DH3020" s="717"/>
      <c r="DI3020" s="717"/>
      <c r="DJ3020" s="717"/>
      <c r="DM3020" s="711"/>
      <c r="DN3020" s="711"/>
      <c r="DO3020" s="711"/>
      <c r="DP3020" s="711"/>
      <c r="DQ3020" s="711"/>
    </row>
    <row r="3021" spans="13:121" s="709" customFormat="1" hidden="1">
      <c r="M3021" s="710"/>
      <c r="P3021" s="711"/>
      <c r="Q3021" s="712"/>
      <c r="U3021" s="711"/>
      <c r="V3021" s="711"/>
      <c r="W3021" s="711"/>
      <c r="X3021" s="711"/>
      <c r="Y3021" s="711"/>
      <c r="Z3021" s="711"/>
      <c r="AU3021" s="713"/>
      <c r="AW3021" s="712"/>
      <c r="BY3021" s="714"/>
      <c r="BZ3021" s="715"/>
      <c r="CA3021" s="716"/>
      <c r="CB3021" s="717"/>
      <c r="CC3021" s="717"/>
      <c r="CD3021" s="717"/>
      <c r="CE3021" s="717"/>
      <c r="CF3021" s="717"/>
      <c r="CG3021" s="717"/>
      <c r="CH3021" s="717"/>
      <c r="CI3021" s="717"/>
      <c r="CJ3021" s="717"/>
      <c r="CK3021" s="717"/>
      <c r="CL3021" s="717"/>
      <c r="CM3021" s="717"/>
      <c r="CN3021" s="717"/>
      <c r="CO3021" s="717"/>
      <c r="CP3021" s="717"/>
      <c r="CQ3021" s="717"/>
      <c r="CR3021" s="717"/>
      <c r="CS3021" s="717"/>
      <c r="CT3021" s="717"/>
      <c r="CU3021" s="717"/>
      <c r="CV3021" s="717"/>
      <c r="CW3021" s="717"/>
      <c r="CX3021" s="717"/>
      <c r="CY3021" s="717"/>
      <c r="CZ3021" s="717"/>
      <c r="DA3021" s="717"/>
      <c r="DB3021" s="717"/>
      <c r="DC3021" s="717"/>
      <c r="DD3021" s="717"/>
      <c r="DE3021" s="717"/>
      <c r="DF3021" s="717"/>
      <c r="DG3021" s="717"/>
      <c r="DH3021" s="717"/>
      <c r="DI3021" s="717"/>
      <c r="DJ3021" s="717"/>
      <c r="DM3021" s="711"/>
      <c r="DN3021" s="711"/>
      <c r="DO3021" s="711"/>
      <c r="DP3021" s="711"/>
      <c r="DQ3021" s="711"/>
    </row>
    <row r="3022" spans="13:121" s="709" customFormat="1" hidden="1">
      <c r="M3022" s="710"/>
      <c r="P3022" s="711"/>
      <c r="Q3022" s="712"/>
      <c r="U3022" s="711"/>
      <c r="V3022" s="711"/>
      <c r="W3022" s="711"/>
      <c r="X3022" s="711"/>
      <c r="Y3022" s="711"/>
      <c r="Z3022" s="711"/>
      <c r="AU3022" s="713"/>
      <c r="AW3022" s="712"/>
      <c r="BY3022" s="714"/>
      <c r="BZ3022" s="715"/>
      <c r="CA3022" s="716"/>
      <c r="CB3022" s="717"/>
      <c r="CC3022" s="717"/>
      <c r="CD3022" s="717"/>
      <c r="CE3022" s="717"/>
      <c r="CF3022" s="717"/>
      <c r="CG3022" s="717"/>
      <c r="CH3022" s="717"/>
      <c r="CI3022" s="717"/>
      <c r="CJ3022" s="717"/>
      <c r="CK3022" s="717"/>
      <c r="CL3022" s="717"/>
      <c r="CM3022" s="717"/>
      <c r="CN3022" s="717"/>
      <c r="CO3022" s="717"/>
      <c r="CP3022" s="717"/>
      <c r="CQ3022" s="717"/>
      <c r="CR3022" s="717"/>
      <c r="CS3022" s="717"/>
      <c r="CT3022" s="717"/>
      <c r="CU3022" s="717"/>
      <c r="CV3022" s="717"/>
      <c r="CW3022" s="717"/>
      <c r="CX3022" s="717"/>
      <c r="CY3022" s="717"/>
      <c r="CZ3022" s="717"/>
      <c r="DA3022" s="717"/>
      <c r="DB3022" s="717"/>
      <c r="DC3022" s="717"/>
      <c r="DD3022" s="717"/>
      <c r="DE3022" s="717"/>
      <c r="DF3022" s="717"/>
      <c r="DG3022" s="717"/>
      <c r="DH3022" s="717"/>
      <c r="DI3022" s="717"/>
      <c r="DJ3022" s="717"/>
      <c r="DM3022" s="711"/>
      <c r="DN3022" s="711"/>
      <c r="DO3022" s="711"/>
      <c r="DP3022" s="711"/>
      <c r="DQ3022" s="711"/>
    </row>
    <row r="3023" spans="13:121" s="709" customFormat="1" hidden="1">
      <c r="M3023" s="710"/>
      <c r="P3023" s="711"/>
      <c r="Q3023" s="712"/>
      <c r="U3023" s="711"/>
      <c r="V3023" s="711"/>
      <c r="W3023" s="711"/>
      <c r="X3023" s="711"/>
      <c r="Y3023" s="711"/>
      <c r="Z3023" s="711"/>
      <c r="AU3023" s="713"/>
      <c r="AW3023" s="712"/>
      <c r="BY3023" s="714"/>
      <c r="BZ3023" s="715"/>
      <c r="CA3023" s="716"/>
      <c r="CB3023" s="717"/>
      <c r="CC3023" s="717"/>
      <c r="CD3023" s="717"/>
      <c r="CE3023" s="717"/>
      <c r="CF3023" s="717"/>
      <c r="CG3023" s="717"/>
      <c r="CH3023" s="717"/>
      <c r="CI3023" s="717"/>
      <c r="CJ3023" s="717"/>
      <c r="CK3023" s="717"/>
      <c r="CL3023" s="717"/>
      <c r="CM3023" s="717"/>
      <c r="CN3023" s="717"/>
      <c r="CO3023" s="717"/>
      <c r="CP3023" s="717"/>
      <c r="CQ3023" s="717"/>
      <c r="CR3023" s="717"/>
      <c r="CS3023" s="717"/>
      <c r="CT3023" s="717"/>
      <c r="CU3023" s="717"/>
      <c r="CV3023" s="717"/>
      <c r="CW3023" s="717"/>
      <c r="CX3023" s="717"/>
      <c r="CY3023" s="717"/>
      <c r="CZ3023" s="717"/>
      <c r="DA3023" s="717"/>
      <c r="DB3023" s="717"/>
      <c r="DC3023" s="717"/>
      <c r="DD3023" s="717"/>
      <c r="DE3023" s="717"/>
      <c r="DF3023" s="717"/>
      <c r="DG3023" s="717"/>
      <c r="DH3023" s="717"/>
      <c r="DI3023" s="717"/>
      <c r="DJ3023" s="717"/>
      <c r="DM3023" s="711"/>
      <c r="DN3023" s="711"/>
      <c r="DO3023" s="711"/>
      <c r="DP3023" s="711"/>
      <c r="DQ3023" s="711"/>
    </row>
    <row r="3024" spans="13:121" s="709" customFormat="1" hidden="1">
      <c r="M3024" s="710"/>
      <c r="P3024" s="711"/>
      <c r="Q3024" s="712"/>
      <c r="U3024" s="711"/>
      <c r="V3024" s="711"/>
      <c r="W3024" s="711"/>
      <c r="X3024" s="711"/>
      <c r="Y3024" s="711"/>
      <c r="Z3024" s="711"/>
      <c r="AU3024" s="713"/>
      <c r="AW3024" s="712"/>
      <c r="BY3024" s="714"/>
      <c r="BZ3024" s="715"/>
      <c r="CA3024" s="716"/>
      <c r="CB3024" s="717"/>
      <c r="CC3024" s="717"/>
      <c r="CD3024" s="717"/>
      <c r="CE3024" s="717"/>
      <c r="CF3024" s="717"/>
      <c r="CG3024" s="717"/>
      <c r="CH3024" s="717"/>
      <c r="CI3024" s="717"/>
      <c r="CJ3024" s="717"/>
      <c r="CK3024" s="717"/>
      <c r="CL3024" s="717"/>
      <c r="CM3024" s="717"/>
      <c r="CN3024" s="717"/>
      <c r="CO3024" s="717"/>
      <c r="CP3024" s="717"/>
      <c r="CQ3024" s="717"/>
      <c r="CR3024" s="717"/>
      <c r="CS3024" s="717"/>
      <c r="CT3024" s="717"/>
      <c r="CU3024" s="717"/>
      <c r="CV3024" s="717"/>
      <c r="CW3024" s="717"/>
      <c r="CX3024" s="717"/>
      <c r="CY3024" s="717"/>
      <c r="CZ3024" s="717"/>
      <c r="DA3024" s="717"/>
      <c r="DB3024" s="717"/>
      <c r="DC3024" s="717"/>
      <c r="DD3024" s="717"/>
      <c r="DE3024" s="717"/>
      <c r="DF3024" s="717"/>
      <c r="DG3024" s="717"/>
      <c r="DH3024" s="717"/>
      <c r="DI3024" s="717"/>
      <c r="DJ3024" s="717"/>
      <c r="DM3024" s="711"/>
      <c r="DN3024" s="711"/>
      <c r="DO3024" s="711"/>
      <c r="DP3024" s="711"/>
      <c r="DQ3024" s="711"/>
    </row>
    <row r="3025" spans="13:121" s="709" customFormat="1" hidden="1">
      <c r="M3025" s="710"/>
      <c r="P3025" s="711"/>
      <c r="Q3025" s="712"/>
      <c r="U3025" s="711"/>
      <c r="V3025" s="711"/>
      <c r="W3025" s="711"/>
      <c r="X3025" s="711"/>
      <c r="Y3025" s="711"/>
      <c r="Z3025" s="711"/>
      <c r="AU3025" s="713"/>
      <c r="AW3025" s="712"/>
      <c r="BY3025" s="714"/>
      <c r="BZ3025" s="715"/>
      <c r="CA3025" s="716"/>
      <c r="CB3025" s="717"/>
      <c r="CC3025" s="717"/>
      <c r="CD3025" s="717"/>
      <c r="CE3025" s="717"/>
      <c r="CF3025" s="717"/>
      <c r="CG3025" s="717"/>
      <c r="CH3025" s="717"/>
      <c r="CI3025" s="717"/>
      <c r="CJ3025" s="717"/>
      <c r="CK3025" s="717"/>
      <c r="CL3025" s="717"/>
      <c r="CM3025" s="717"/>
      <c r="CN3025" s="717"/>
      <c r="CO3025" s="717"/>
      <c r="CP3025" s="717"/>
      <c r="CQ3025" s="717"/>
      <c r="CR3025" s="717"/>
      <c r="CS3025" s="717"/>
      <c r="CT3025" s="717"/>
      <c r="CU3025" s="717"/>
      <c r="CV3025" s="717"/>
      <c r="CW3025" s="717"/>
      <c r="CX3025" s="717"/>
      <c r="CY3025" s="717"/>
      <c r="CZ3025" s="717"/>
      <c r="DA3025" s="717"/>
      <c r="DB3025" s="717"/>
      <c r="DC3025" s="717"/>
      <c r="DD3025" s="717"/>
      <c r="DE3025" s="717"/>
      <c r="DF3025" s="717"/>
      <c r="DG3025" s="717"/>
      <c r="DH3025" s="717"/>
      <c r="DI3025" s="717"/>
      <c r="DJ3025" s="717"/>
      <c r="DM3025" s="711"/>
      <c r="DN3025" s="711"/>
      <c r="DO3025" s="711"/>
      <c r="DP3025" s="711"/>
      <c r="DQ3025" s="711"/>
    </row>
    <row r="3026" spans="13:121" s="709" customFormat="1" hidden="1">
      <c r="M3026" s="710"/>
      <c r="P3026" s="711"/>
      <c r="Q3026" s="712"/>
      <c r="U3026" s="711"/>
      <c r="V3026" s="711"/>
      <c r="W3026" s="711"/>
      <c r="X3026" s="711"/>
      <c r="Y3026" s="711"/>
      <c r="Z3026" s="711"/>
      <c r="AU3026" s="713"/>
      <c r="AW3026" s="712"/>
      <c r="BY3026" s="714"/>
      <c r="BZ3026" s="715"/>
      <c r="CA3026" s="716"/>
      <c r="CB3026" s="717"/>
      <c r="CC3026" s="717"/>
      <c r="CD3026" s="717"/>
      <c r="CE3026" s="717"/>
      <c r="CF3026" s="717"/>
      <c r="CG3026" s="717"/>
      <c r="CH3026" s="717"/>
      <c r="CI3026" s="717"/>
      <c r="CJ3026" s="717"/>
      <c r="CK3026" s="717"/>
      <c r="CL3026" s="717"/>
      <c r="CM3026" s="717"/>
      <c r="CN3026" s="717"/>
      <c r="CO3026" s="717"/>
      <c r="CP3026" s="717"/>
      <c r="CQ3026" s="717"/>
      <c r="CR3026" s="717"/>
      <c r="CS3026" s="717"/>
      <c r="CT3026" s="717"/>
      <c r="CU3026" s="717"/>
      <c r="CV3026" s="717"/>
      <c r="CW3026" s="717"/>
      <c r="CX3026" s="717"/>
      <c r="CY3026" s="717"/>
      <c r="CZ3026" s="717"/>
      <c r="DA3026" s="717"/>
      <c r="DB3026" s="717"/>
      <c r="DC3026" s="717"/>
      <c r="DD3026" s="717"/>
      <c r="DE3026" s="717"/>
      <c r="DF3026" s="717"/>
      <c r="DG3026" s="717"/>
      <c r="DH3026" s="717"/>
      <c r="DI3026" s="717"/>
      <c r="DJ3026" s="717"/>
      <c r="DM3026" s="711"/>
      <c r="DN3026" s="711"/>
      <c r="DO3026" s="711"/>
      <c r="DP3026" s="711"/>
      <c r="DQ3026" s="711"/>
    </row>
    <row r="3027" spans="13:121" s="709" customFormat="1" hidden="1">
      <c r="M3027" s="710"/>
      <c r="P3027" s="711"/>
      <c r="Q3027" s="712"/>
      <c r="U3027" s="711"/>
      <c r="V3027" s="711"/>
      <c r="W3027" s="711"/>
      <c r="X3027" s="711"/>
      <c r="Y3027" s="711"/>
      <c r="Z3027" s="711"/>
      <c r="AU3027" s="713"/>
      <c r="AW3027" s="712"/>
      <c r="BY3027" s="714"/>
      <c r="BZ3027" s="715"/>
      <c r="CA3027" s="716"/>
      <c r="CB3027" s="717"/>
      <c r="CC3027" s="717"/>
      <c r="CD3027" s="717"/>
      <c r="CE3027" s="717"/>
      <c r="CF3027" s="717"/>
      <c r="CG3027" s="717"/>
      <c r="CH3027" s="717"/>
      <c r="CI3027" s="717"/>
      <c r="CJ3027" s="717"/>
      <c r="CK3027" s="717"/>
      <c r="CL3027" s="717"/>
      <c r="CM3027" s="717"/>
      <c r="CN3027" s="717"/>
      <c r="CO3027" s="717"/>
      <c r="CP3027" s="717"/>
      <c r="CQ3027" s="717"/>
      <c r="CR3027" s="717"/>
      <c r="CS3027" s="717"/>
      <c r="CT3027" s="717"/>
      <c r="CU3027" s="717"/>
      <c r="CV3027" s="717"/>
      <c r="CW3027" s="717"/>
      <c r="CX3027" s="717"/>
      <c r="CY3027" s="717"/>
      <c r="CZ3027" s="717"/>
      <c r="DA3027" s="717"/>
      <c r="DB3027" s="717"/>
      <c r="DC3027" s="717"/>
      <c r="DD3027" s="717"/>
      <c r="DE3027" s="717"/>
      <c r="DF3027" s="717"/>
      <c r="DG3027" s="717"/>
      <c r="DH3027" s="717"/>
      <c r="DI3027" s="717"/>
      <c r="DJ3027" s="717"/>
      <c r="DM3027" s="711"/>
      <c r="DN3027" s="711"/>
      <c r="DO3027" s="711"/>
      <c r="DP3027" s="711"/>
      <c r="DQ3027" s="711"/>
    </row>
    <row r="3028" spans="13:121" s="709" customFormat="1" hidden="1">
      <c r="M3028" s="710"/>
      <c r="P3028" s="711"/>
      <c r="Q3028" s="712"/>
      <c r="U3028" s="711"/>
      <c r="V3028" s="711"/>
      <c r="W3028" s="711"/>
      <c r="X3028" s="711"/>
      <c r="Y3028" s="711"/>
      <c r="Z3028" s="711"/>
      <c r="AU3028" s="713"/>
      <c r="AW3028" s="712"/>
      <c r="BY3028" s="714"/>
      <c r="BZ3028" s="715"/>
      <c r="CA3028" s="716"/>
      <c r="CB3028" s="717"/>
      <c r="CC3028" s="717"/>
      <c r="CD3028" s="717"/>
      <c r="CE3028" s="717"/>
      <c r="CF3028" s="717"/>
      <c r="CG3028" s="717"/>
      <c r="CH3028" s="717"/>
      <c r="CI3028" s="717"/>
      <c r="CJ3028" s="717"/>
      <c r="CK3028" s="717"/>
      <c r="CL3028" s="717"/>
      <c r="CM3028" s="717"/>
      <c r="CN3028" s="717"/>
      <c r="CO3028" s="717"/>
      <c r="CP3028" s="717"/>
      <c r="CQ3028" s="717"/>
      <c r="CR3028" s="717"/>
      <c r="CS3028" s="717"/>
      <c r="CT3028" s="717"/>
      <c r="CU3028" s="717"/>
      <c r="CV3028" s="717"/>
      <c r="CW3028" s="717"/>
      <c r="CX3028" s="717"/>
      <c r="CY3028" s="717"/>
      <c r="CZ3028" s="717"/>
      <c r="DA3028" s="717"/>
      <c r="DB3028" s="717"/>
      <c r="DC3028" s="717"/>
      <c r="DD3028" s="717"/>
      <c r="DE3028" s="717"/>
      <c r="DF3028" s="717"/>
      <c r="DG3028" s="717"/>
      <c r="DH3028" s="717"/>
      <c r="DI3028" s="717"/>
      <c r="DJ3028" s="717"/>
      <c r="DM3028" s="711"/>
      <c r="DN3028" s="711"/>
      <c r="DO3028" s="711"/>
      <c r="DP3028" s="711"/>
      <c r="DQ3028" s="711"/>
    </row>
    <row r="3029" spans="13:121" s="709" customFormat="1" hidden="1">
      <c r="M3029" s="710"/>
      <c r="P3029" s="711"/>
      <c r="Q3029" s="712"/>
      <c r="U3029" s="711"/>
      <c r="V3029" s="711"/>
      <c r="W3029" s="711"/>
      <c r="X3029" s="711"/>
      <c r="Y3029" s="711"/>
      <c r="Z3029" s="711"/>
      <c r="AU3029" s="713"/>
      <c r="AW3029" s="712"/>
      <c r="BY3029" s="714"/>
      <c r="BZ3029" s="715"/>
      <c r="CA3029" s="716"/>
      <c r="CB3029" s="717"/>
      <c r="CC3029" s="717"/>
      <c r="CD3029" s="717"/>
      <c r="CE3029" s="717"/>
      <c r="CF3029" s="717"/>
      <c r="CG3029" s="717"/>
      <c r="CH3029" s="717"/>
      <c r="CI3029" s="717"/>
      <c r="CJ3029" s="717"/>
      <c r="CK3029" s="717"/>
      <c r="CL3029" s="717"/>
      <c r="CM3029" s="717"/>
      <c r="CN3029" s="717"/>
      <c r="CO3029" s="717"/>
      <c r="CP3029" s="717"/>
      <c r="CQ3029" s="717"/>
      <c r="CR3029" s="717"/>
      <c r="CS3029" s="717"/>
      <c r="CT3029" s="717"/>
      <c r="CU3029" s="717"/>
      <c r="CV3029" s="717"/>
      <c r="CW3029" s="717"/>
      <c r="CX3029" s="717"/>
      <c r="CY3029" s="717"/>
      <c r="CZ3029" s="717"/>
      <c r="DA3029" s="717"/>
      <c r="DB3029" s="717"/>
      <c r="DC3029" s="717"/>
      <c r="DD3029" s="717"/>
      <c r="DE3029" s="717"/>
      <c r="DF3029" s="717"/>
      <c r="DG3029" s="717"/>
      <c r="DH3029" s="717"/>
      <c r="DI3029" s="717"/>
      <c r="DJ3029" s="717"/>
      <c r="DM3029" s="711"/>
      <c r="DN3029" s="711"/>
      <c r="DO3029" s="711"/>
      <c r="DP3029" s="711"/>
      <c r="DQ3029" s="711"/>
    </row>
    <row r="3030" spans="13:121" s="709" customFormat="1" hidden="1">
      <c r="M3030" s="710"/>
      <c r="P3030" s="711"/>
      <c r="Q3030" s="712"/>
      <c r="U3030" s="711"/>
      <c r="V3030" s="711"/>
      <c r="W3030" s="711"/>
      <c r="X3030" s="711"/>
      <c r="Y3030" s="711"/>
      <c r="Z3030" s="711"/>
      <c r="AU3030" s="713"/>
      <c r="AW3030" s="712"/>
      <c r="BY3030" s="714"/>
      <c r="BZ3030" s="715"/>
      <c r="CA3030" s="716"/>
      <c r="CB3030" s="717"/>
      <c r="CC3030" s="717"/>
      <c r="CD3030" s="717"/>
      <c r="CE3030" s="717"/>
      <c r="CF3030" s="717"/>
      <c r="CG3030" s="717"/>
      <c r="CH3030" s="717"/>
      <c r="CI3030" s="717"/>
      <c r="CJ3030" s="717"/>
      <c r="CK3030" s="717"/>
      <c r="CL3030" s="717"/>
      <c r="CM3030" s="717"/>
      <c r="CN3030" s="717"/>
      <c r="CO3030" s="717"/>
      <c r="CP3030" s="717"/>
      <c r="CQ3030" s="717"/>
      <c r="CR3030" s="717"/>
      <c r="CS3030" s="717"/>
      <c r="CT3030" s="717"/>
      <c r="CU3030" s="717"/>
      <c r="CV3030" s="717"/>
      <c r="CW3030" s="717"/>
      <c r="CX3030" s="717"/>
      <c r="CY3030" s="717"/>
      <c r="CZ3030" s="717"/>
      <c r="DA3030" s="717"/>
      <c r="DB3030" s="717"/>
      <c r="DC3030" s="717"/>
      <c r="DD3030" s="717"/>
      <c r="DE3030" s="717"/>
      <c r="DF3030" s="717"/>
      <c r="DG3030" s="717"/>
      <c r="DH3030" s="717"/>
      <c r="DI3030" s="717"/>
      <c r="DJ3030" s="717"/>
      <c r="DM3030" s="711"/>
      <c r="DN3030" s="711"/>
      <c r="DO3030" s="711"/>
      <c r="DP3030" s="711"/>
      <c r="DQ3030" s="711"/>
    </row>
    <row r="3031" spans="13:121" s="709" customFormat="1" hidden="1">
      <c r="M3031" s="710"/>
      <c r="P3031" s="711"/>
      <c r="Q3031" s="712"/>
      <c r="U3031" s="711"/>
      <c r="V3031" s="711"/>
      <c r="W3031" s="711"/>
      <c r="X3031" s="711"/>
      <c r="Y3031" s="711"/>
      <c r="Z3031" s="711"/>
      <c r="AU3031" s="713"/>
      <c r="AW3031" s="712"/>
      <c r="BY3031" s="714"/>
      <c r="BZ3031" s="715"/>
      <c r="CA3031" s="716"/>
      <c r="CB3031" s="717"/>
      <c r="CC3031" s="717"/>
      <c r="CD3031" s="717"/>
      <c r="CE3031" s="717"/>
      <c r="CF3031" s="717"/>
      <c r="CG3031" s="717"/>
      <c r="CH3031" s="717"/>
      <c r="CI3031" s="717"/>
      <c r="CJ3031" s="717"/>
      <c r="CK3031" s="717"/>
      <c r="CL3031" s="717"/>
      <c r="CM3031" s="717"/>
      <c r="CN3031" s="717"/>
      <c r="CO3031" s="717"/>
      <c r="CP3031" s="717"/>
      <c r="CQ3031" s="717"/>
      <c r="CR3031" s="717"/>
      <c r="CS3031" s="717"/>
      <c r="CT3031" s="717"/>
      <c r="CU3031" s="717"/>
      <c r="CV3031" s="717"/>
      <c r="CW3031" s="717"/>
      <c r="CX3031" s="717"/>
      <c r="CY3031" s="717"/>
      <c r="CZ3031" s="717"/>
      <c r="DA3031" s="717"/>
      <c r="DB3031" s="717"/>
      <c r="DC3031" s="717"/>
      <c r="DD3031" s="717"/>
      <c r="DE3031" s="717"/>
      <c r="DF3031" s="717"/>
      <c r="DG3031" s="717"/>
      <c r="DH3031" s="717"/>
      <c r="DI3031" s="717"/>
      <c r="DJ3031" s="717"/>
      <c r="DM3031" s="711"/>
      <c r="DN3031" s="711"/>
      <c r="DO3031" s="711"/>
      <c r="DP3031" s="711"/>
      <c r="DQ3031" s="711"/>
    </row>
    <row r="3032" spans="13:121" s="709" customFormat="1" hidden="1">
      <c r="M3032" s="710"/>
      <c r="P3032" s="711"/>
      <c r="Q3032" s="712"/>
      <c r="U3032" s="711"/>
      <c r="V3032" s="711"/>
      <c r="W3032" s="711"/>
      <c r="X3032" s="711"/>
      <c r="Y3032" s="711"/>
      <c r="Z3032" s="711"/>
      <c r="AU3032" s="713"/>
      <c r="AW3032" s="712"/>
      <c r="BY3032" s="714"/>
      <c r="BZ3032" s="715"/>
      <c r="CA3032" s="716"/>
      <c r="CB3032" s="717"/>
      <c r="CC3032" s="717"/>
      <c r="CD3032" s="717"/>
      <c r="CE3032" s="717"/>
      <c r="CF3032" s="717"/>
      <c r="CG3032" s="717"/>
      <c r="CH3032" s="717"/>
      <c r="CI3032" s="717"/>
      <c r="CJ3032" s="717"/>
      <c r="CK3032" s="717"/>
      <c r="CL3032" s="717"/>
      <c r="CM3032" s="717"/>
      <c r="CN3032" s="717"/>
      <c r="CO3032" s="717"/>
      <c r="CP3032" s="717"/>
      <c r="CQ3032" s="717"/>
      <c r="CR3032" s="717"/>
      <c r="CS3032" s="717"/>
      <c r="CT3032" s="717"/>
      <c r="CU3032" s="717"/>
      <c r="CV3032" s="717"/>
      <c r="CW3032" s="717"/>
      <c r="CX3032" s="717"/>
      <c r="CY3032" s="717"/>
      <c r="CZ3032" s="717"/>
      <c r="DA3032" s="717"/>
      <c r="DB3032" s="717"/>
      <c r="DC3032" s="717"/>
      <c r="DD3032" s="717"/>
      <c r="DE3032" s="717"/>
      <c r="DF3032" s="717"/>
      <c r="DG3032" s="717"/>
      <c r="DH3032" s="717"/>
      <c r="DI3032" s="717"/>
      <c r="DJ3032" s="717"/>
      <c r="DM3032" s="711"/>
      <c r="DN3032" s="711"/>
      <c r="DO3032" s="711"/>
      <c r="DP3032" s="711"/>
      <c r="DQ3032" s="711"/>
    </row>
    <row r="3033" spans="13:121" s="709" customFormat="1" hidden="1">
      <c r="M3033" s="710"/>
      <c r="P3033" s="711"/>
      <c r="Q3033" s="712"/>
      <c r="U3033" s="711"/>
      <c r="V3033" s="711"/>
      <c r="W3033" s="711"/>
      <c r="X3033" s="711"/>
      <c r="Y3033" s="711"/>
      <c r="Z3033" s="711"/>
      <c r="AU3033" s="713"/>
      <c r="AW3033" s="712"/>
      <c r="BY3033" s="714"/>
      <c r="BZ3033" s="715"/>
      <c r="CA3033" s="716"/>
      <c r="CB3033" s="717"/>
      <c r="CC3033" s="717"/>
      <c r="CD3033" s="717"/>
      <c r="CE3033" s="717"/>
      <c r="CF3033" s="717"/>
      <c r="CG3033" s="717"/>
      <c r="CH3033" s="717"/>
      <c r="CI3033" s="717"/>
      <c r="CJ3033" s="717"/>
      <c r="CK3033" s="717"/>
      <c r="CL3033" s="717"/>
      <c r="CM3033" s="717"/>
      <c r="CN3033" s="717"/>
      <c r="CO3033" s="717"/>
      <c r="CP3033" s="717"/>
      <c r="CQ3033" s="717"/>
      <c r="CR3033" s="717"/>
      <c r="CS3033" s="717"/>
      <c r="CT3033" s="717"/>
      <c r="CU3033" s="717"/>
      <c r="CV3033" s="717"/>
      <c r="CW3033" s="717"/>
      <c r="CX3033" s="717"/>
      <c r="CY3033" s="717"/>
      <c r="CZ3033" s="717"/>
      <c r="DA3033" s="717"/>
      <c r="DB3033" s="717"/>
      <c r="DC3033" s="717"/>
      <c r="DD3033" s="717"/>
      <c r="DE3033" s="717"/>
      <c r="DF3033" s="717"/>
      <c r="DG3033" s="717"/>
      <c r="DH3033" s="717"/>
      <c r="DI3033" s="717"/>
      <c r="DJ3033" s="717"/>
      <c r="DM3033" s="711"/>
      <c r="DN3033" s="711"/>
      <c r="DO3033" s="711"/>
      <c r="DP3033" s="711"/>
      <c r="DQ3033" s="711"/>
    </row>
    <row r="3034" spans="13:121" s="709" customFormat="1" hidden="1">
      <c r="M3034" s="710"/>
      <c r="P3034" s="711"/>
      <c r="Q3034" s="712"/>
      <c r="U3034" s="711"/>
      <c r="V3034" s="711"/>
      <c r="W3034" s="711"/>
      <c r="X3034" s="711"/>
      <c r="Y3034" s="711"/>
      <c r="Z3034" s="711"/>
      <c r="AU3034" s="713"/>
      <c r="AW3034" s="712"/>
      <c r="BY3034" s="714"/>
      <c r="BZ3034" s="715"/>
      <c r="CA3034" s="716"/>
      <c r="CB3034" s="717"/>
      <c r="CC3034" s="717"/>
      <c r="CD3034" s="717"/>
      <c r="CE3034" s="717"/>
      <c r="CF3034" s="717"/>
      <c r="CG3034" s="717"/>
      <c r="CH3034" s="717"/>
      <c r="CI3034" s="717"/>
      <c r="CJ3034" s="717"/>
      <c r="CK3034" s="717"/>
      <c r="CL3034" s="717"/>
      <c r="CM3034" s="717"/>
      <c r="CN3034" s="717"/>
      <c r="CO3034" s="717"/>
      <c r="CP3034" s="717"/>
      <c r="CQ3034" s="717"/>
      <c r="CR3034" s="717"/>
      <c r="CS3034" s="717"/>
      <c r="CT3034" s="717"/>
      <c r="CU3034" s="717"/>
      <c r="CV3034" s="717"/>
      <c r="CW3034" s="717"/>
      <c r="CX3034" s="717"/>
      <c r="CY3034" s="717"/>
      <c r="CZ3034" s="717"/>
      <c r="DA3034" s="717"/>
      <c r="DB3034" s="717"/>
      <c r="DC3034" s="717"/>
      <c r="DD3034" s="717"/>
      <c r="DE3034" s="717"/>
      <c r="DF3034" s="717"/>
      <c r="DG3034" s="717"/>
      <c r="DH3034" s="717"/>
      <c r="DI3034" s="717"/>
      <c r="DJ3034" s="717"/>
      <c r="DM3034" s="711"/>
      <c r="DN3034" s="711"/>
      <c r="DO3034" s="711"/>
      <c r="DP3034" s="711"/>
      <c r="DQ3034" s="711"/>
    </row>
    <row r="3035" spans="13:121" s="709" customFormat="1" hidden="1">
      <c r="M3035" s="710"/>
      <c r="P3035" s="711"/>
      <c r="Q3035" s="712"/>
      <c r="U3035" s="711"/>
      <c r="V3035" s="711"/>
      <c r="W3035" s="711"/>
      <c r="X3035" s="711"/>
      <c r="Y3035" s="711"/>
      <c r="Z3035" s="711"/>
      <c r="AU3035" s="713"/>
      <c r="AW3035" s="712"/>
      <c r="BY3035" s="714"/>
      <c r="BZ3035" s="715"/>
      <c r="CA3035" s="716"/>
      <c r="CB3035" s="717"/>
      <c r="CC3035" s="717"/>
      <c r="CD3035" s="717"/>
      <c r="CE3035" s="717"/>
      <c r="CF3035" s="717"/>
      <c r="CG3035" s="717"/>
      <c r="CH3035" s="717"/>
      <c r="CI3035" s="717"/>
      <c r="CJ3035" s="717"/>
      <c r="CK3035" s="717"/>
      <c r="CL3035" s="717"/>
      <c r="CM3035" s="717"/>
      <c r="CN3035" s="717"/>
      <c r="CO3035" s="717"/>
      <c r="CP3035" s="717"/>
      <c r="CQ3035" s="717"/>
      <c r="CR3035" s="717"/>
      <c r="CS3035" s="717"/>
      <c r="CT3035" s="717"/>
      <c r="CU3035" s="717"/>
      <c r="CV3035" s="717"/>
      <c r="CW3035" s="717"/>
      <c r="CX3035" s="717"/>
      <c r="CY3035" s="717"/>
      <c r="CZ3035" s="717"/>
      <c r="DA3035" s="717"/>
      <c r="DB3035" s="717"/>
      <c r="DC3035" s="717"/>
      <c r="DD3035" s="717"/>
      <c r="DE3035" s="717"/>
      <c r="DF3035" s="717"/>
      <c r="DG3035" s="717"/>
      <c r="DH3035" s="717"/>
      <c r="DI3035" s="717"/>
      <c r="DJ3035" s="717"/>
      <c r="DM3035" s="711"/>
      <c r="DN3035" s="711"/>
      <c r="DO3035" s="711"/>
      <c r="DP3035" s="711"/>
      <c r="DQ3035" s="711"/>
    </row>
    <row r="3036" spans="13:121" s="709" customFormat="1" hidden="1">
      <c r="M3036" s="710"/>
      <c r="P3036" s="711"/>
      <c r="Q3036" s="712"/>
      <c r="U3036" s="711"/>
      <c r="V3036" s="711"/>
      <c r="W3036" s="711"/>
      <c r="X3036" s="711"/>
      <c r="Y3036" s="711"/>
      <c r="Z3036" s="711"/>
      <c r="AU3036" s="713"/>
      <c r="AW3036" s="712"/>
      <c r="BY3036" s="714"/>
      <c r="BZ3036" s="715"/>
      <c r="CA3036" s="716"/>
      <c r="CB3036" s="717"/>
      <c r="CC3036" s="717"/>
      <c r="CD3036" s="717"/>
      <c r="CE3036" s="717"/>
      <c r="CF3036" s="717"/>
      <c r="CG3036" s="717"/>
      <c r="CH3036" s="717"/>
      <c r="CI3036" s="717"/>
      <c r="CJ3036" s="717"/>
      <c r="CK3036" s="717"/>
      <c r="CL3036" s="717"/>
      <c r="CM3036" s="717"/>
      <c r="CN3036" s="717"/>
      <c r="CO3036" s="717"/>
      <c r="CP3036" s="717"/>
      <c r="CQ3036" s="717"/>
      <c r="CR3036" s="717"/>
      <c r="CS3036" s="717"/>
      <c r="CT3036" s="717"/>
      <c r="CU3036" s="717"/>
      <c r="CV3036" s="717"/>
      <c r="CW3036" s="717"/>
      <c r="CX3036" s="717"/>
      <c r="CY3036" s="717"/>
      <c r="CZ3036" s="717"/>
      <c r="DA3036" s="717"/>
      <c r="DB3036" s="717"/>
      <c r="DC3036" s="717"/>
      <c r="DD3036" s="717"/>
      <c r="DE3036" s="717"/>
      <c r="DF3036" s="717"/>
      <c r="DG3036" s="717"/>
      <c r="DH3036" s="717"/>
      <c r="DI3036" s="717"/>
      <c r="DJ3036" s="717"/>
      <c r="DM3036" s="711"/>
      <c r="DN3036" s="711"/>
      <c r="DO3036" s="711"/>
      <c r="DP3036" s="711"/>
      <c r="DQ3036" s="711"/>
    </row>
    <row r="3037" spans="13:121" s="709" customFormat="1" hidden="1">
      <c r="M3037" s="710"/>
      <c r="P3037" s="711"/>
      <c r="Q3037" s="712"/>
      <c r="U3037" s="711"/>
      <c r="V3037" s="711"/>
      <c r="W3037" s="711"/>
      <c r="X3037" s="711"/>
      <c r="Y3037" s="711"/>
      <c r="Z3037" s="711"/>
      <c r="AU3037" s="713"/>
      <c r="AW3037" s="712"/>
      <c r="BY3037" s="714"/>
      <c r="BZ3037" s="715"/>
      <c r="CA3037" s="716"/>
      <c r="CB3037" s="717"/>
      <c r="CC3037" s="717"/>
      <c r="CD3037" s="717"/>
      <c r="CE3037" s="717"/>
      <c r="CF3037" s="717"/>
      <c r="CG3037" s="717"/>
      <c r="CH3037" s="717"/>
      <c r="CI3037" s="717"/>
      <c r="CJ3037" s="717"/>
      <c r="CK3037" s="717"/>
      <c r="CL3037" s="717"/>
      <c r="CM3037" s="717"/>
      <c r="CN3037" s="717"/>
      <c r="CO3037" s="717"/>
      <c r="CP3037" s="717"/>
      <c r="CQ3037" s="717"/>
      <c r="CR3037" s="717"/>
      <c r="CS3037" s="717"/>
      <c r="CT3037" s="717"/>
      <c r="CU3037" s="717"/>
      <c r="CV3037" s="717"/>
      <c r="CW3037" s="717"/>
      <c r="CX3037" s="717"/>
      <c r="CY3037" s="717"/>
      <c r="CZ3037" s="717"/>
      <c r="DA3037" s="717"/>
      <c r="DB3037" s="717"/>
      <c r="DC3037" s="717"/>
      <c r="DD3037" s="717"/>
      <c r="DE3037" s="717"/>
      <c r="DF3037" s="717"/>
      <c r="DG3037" s="717"/>
      <c r="DH3037" s="717"/>
      <c r="DI3037" s="717"/>
      <c r="DJ3037" s="717"/>
      <c r="DM3037" s="711"/>
      <c r="DN3037" s="711"/>
      <c r="DO3037" s="711"/>
      <c r="DP3037" s="711"/>
      <c r="DQ3037" s="711"/>
    </row>
    <row r="3038" spans="13:121" s="709" customFormat="1" hidden="1">
      <c r="M3038" s="710"/>
      <c r="P3038" s="711"/>
      <c r="Q3038" s="712"/>
      <c r="U3038" s="711"/>
      <c r="V3038" s="711"/>
      <c r="W3038" s="711"/>
      <c r="X3038" s="711"/>
      <c r="Y3038" s="711"/>
      <c r="Z3038" s="711"/>
      <c r="AU3038" s="713"/>
      <c r="AW3038" s="712"/>
      <c r="BY3038" s="714"/>
      <c r="BZ3038" s="715"/>
      <c r="CA3038" s="716"/>
      <c r="CB3038" s="717"/>
      <c r="CC3038" s="717"/>
      <c r="CD3038" s="717"/>
      <c r="CE3038" s="717"/>
      <c r="CF3038" s="717"/>
      <c r="CG3038" s="717"/>
      <c r="CH3038" s="717"/>
      <c r="CI3038" s="717"/>
      <c r="CJ3038" s="717"/>
      <c r="CK3038" s="717"/>
      <c r="CL3038" s="717"/>
      <c r="CM3038" s="717"/>
      <c r="CN3038" s="717"/>
      <c r="CO3038" s="717"/>
      <c r="CP3038" s="717"/>
      <c r="CQ3038" s="717"/>
      <c r="CR3038" s="717"/>
      <c r="CS3038" s="717"/>
      <c r="CT3038" s="717"/>
      <c r="CU3038" s="717"/>
      <c r="CV3038" s="717"/>
      <c r="CW3038" s="717"/>
      <c r="CX3038" s="717"/>
      <c r="CY3038" s="717"/>
      <c r="CZ3038" s="717"/>
      <c r="DA3038" s="717"/>
      <c r="DB3038" s="717"/>
      <c r="DC3038" s="717"/>
      <c r="DD3038" s="717"/>
      <c r="DE3038" s="717"/>
      <c r="DF3038" s="717"/>
      <c r="DG3038" s="717"/>
      <c r="DH3038" s="717"/>
      <c r="DI3038" s="717"/>
      <c r="DJ3038" s="717"/>
      <c r="DM3038" s="711"/>
      <c r="DN3038" s="711"/>
      <c r="DO3038" s="711"/>
      <c r="DP3038" s="711"/>
      <c r="DQ3038" s="711"/>
    </row>
    <row r="3039" spans="13:121" s="709" customFormat="1" hidden="1">
      <c r="M3039" s="710"/>
      <c r="P3039" s="711"/>
      <c r="Q3039" s="712"/>
      <c r="U3039" s="711"/>
      <c r="V3039" s="711"/>
      <c r="W3039" s="711"/>
      <c r="X3039" s="711"/>
      <c r="Y3039" s="711"/>
      <c r="Z3039" s="711"/>
      <c r="AU3039" s="713"/>
      <c r="AW3039" s="712"/>
      <c r="BY3039" s="714"/>
      <c r="BZ3039" s="715"/>
      <c r="CA3039" s="716"/>
      <c r="CB3039" s="717"/>
      <c r="CC3039" s="717"/>
      <c r="CD3039" s="717"/>
      <c r="CE3039" s="717"/>
      <c r="CF3039" s="717"/>
      <c r="CG3039" s="717"/>
      <c r="CH3039" s="717"/>
      <c r="CI3039" s="717"/>
      <c r="CJ3039" s="717"/>
      <c r="CK3039" s="717"/>
      <c r="CL3039" s="717"/>
      <c r="CM3039" s="717"/>
      <c r="CN3039" s="717"/>
      <c r="CO3039" s="717"/>
      <c r="CP3039" s="717"/>
      <c r="CQ3039" s="717"/>
      <c r="CR3039" s="717"/>
      <c r="CS3039" s="717"/>
      <c r="CT3039" s="717"/>
      <c r="CU3039" s="717"/>
      <c r="CV3039" s="717"/>
      <c r="CW3039" s="717"/>
      <c r="CX3039" s="717"/>
      <c r="CY3039" s="717"/>
      <c r="CZ3039" s="717"/>
      <c r="DA3039" s="717"/>
      <c r="DB3039" s="717"/>
      <c r="DC3039" s="717"/>
      <c r="DD3039" s="717"/>
      <c r="DE3039" s="717"/>
      <c r="DF3039" s="717"/>
      <c r="DG3039" s="717"/>
      <c r="DH3039" s="717"/>
      <c r="DI3039" s="717"/>
      <c r="DJ3039" s="717"/>
      <c r="DM3039" s="711"/>
      <c r="DN3039" s="711"/>
      <c r="DO3039" s="711"/>
      <c r="DP3039" s="711"/>
      <c r="DQ3039" s="711"/>
    </row>
    <row r="3040" spans="13:121" s="709" customFormat="1" hidden="1">
      <c r="M3040" s="710"/>
      <c r="P3040" s="711"/>
      <c r="Q3040" s="712"/>
      <c r="U3040" s="711"/>
      <c r="V3040" s="711"/>
      <c r="W3040" s="711"/>
      <c r="X3040" s="711"/>
      <c r="Y3040" s="711"/>
      <c r="Z3040" s="711"/>
      <c r="AU3040" s="713"/>
      <c r="AW3040" s="712"/>
      <c r="BY3040" s="714"/>
      <c r="BZ3040" s="715"/>
      <c r="CA3040" s="716"/>
      <c r="CB3040" s="717"/>
      <c r="CC3040" s="717"/>
      <c r="CD3040" s="717"/>
      <c r="CE3040" s="717"/>
      <c r="CF3040" s="717"/>
      <c r="CG3040" s="717"/>
      <c r="CH3040" s="717"/>
      <c r="CI3040" s="717"/>
      <c r="CJ3040" s="717"/>
      <c r="CK3040" s="717"/>
      <c r="CL3040" s="717"/>
      <c r="CM3040" s="717"/>
      <c r="CN3040" s="717"/>
      <c r="CO3040" s="717"/>
      <c r="CP3040" s="717"/>
      <c r="CQ3040" s="717"/>
      <c r="CR3040" s="717"/>
      <c r="CS3040" s="717"/>
      <c r="CT3040" s="717"/>
      <c r="CU3040" s="717"/>
      <c r="CV3040" s="717"/>
      <c r="CW3040" s="717"/>
      <c r="CX3040" s="717"/>
      <c r="CY3040" s="717"/>
      <c r="CZ3040" s="717"/>
      <c r="DA3040" s="717"/>
      <c r="DB3040" s="717"/>
      <c r="DC3040" s="717"/>
      <c r="DD3040" s="717"/>
      <c r="DE3040" s="717"/>
      <c r="DF3040" s="717"/>
      <c r="DG3040" s="717"/>
      <c r="DH3040" s="717"/>
      <c r="DI3040" s="717"/>
      <c r="DJ3040" s="717"/>
      <c r="DM3040" s="711"/>
      <c r="DN3040" s="711"/>
      <c r="DO3040" s="711"/>
      <c r="DP3040" s="711"/>
      <c r="DQ3040" s="711"/>
    </row>
    <row r="3041" spans="13:121" s="709" customFormat="1" hidden="1">
      <c r="M3041" s="710"/>
      <c r="P3041" s="711"/>
      <c r="Q3041" s="712"/>
      <c r="U3041" s="711"/>
      <c r="V3041" s="711"/>
      <c r="W3041" s="711"/>
      <c r="X3041" s="711"/>
      <c r="Y3041" s="711"/>
      <c r="Z3041" s="711"/>
      <c r="AU3041" s="713"/>
      <c r="AW3041" s="712"/>
      <c r="BY3041" s="714"/>
      <c r="BZ3041" s="715"/>
      <c r="CA3041" s="716"/>
      <c r="CB3041" s="717"/>
      <c r="CC3041" s="717"/>
      <c r="CD3041" s="717"/>
      <c r="CE3041" s="717"/>
      <c r="CF3041" s="717"/>
      <c r="CG3041" s="717"/>
      <c r="CH3041" s="717"/>
      <c r="CI3041" s="717"/>
      <c r="CJ3041" s="717"/>
      <c r="CK3041" s="717"/>
      <c r="CL3041" s="717"/>
      <c r="CM3041" s="717"/>
      <c r="CN3041" s="717"/>
      <c r="CO3041" s="717"/>
      <c r="CP3041" s="717"/>
      <c r="CQ3041" s="717"/>
      <c r="CR3041" s="717"/>
      <c r="CS3041" s="717"/>
      <c r="CT3041" s="717"/>
      <c r="CU3041" s="717"/>
      <c r="CV3041" s="717"/>
      <c r="CW3041" s="717"/>
      <c r="CX3041" s="717"/>
      <c r="CY3041" s="717"/>
      <c r="CZ3041" s="717"/>
      <c r="DA3041" s="717"/>
      <c r="DB3041" s="717"/>
      <c r="DC3041" s="717"/>
      <c r="DD3041" s="717"/>
      <c r="DE3041" s="717"/>
      <c r="DF3041" s="717"/>
      <c r="DG3041" s="717"/>
      <c r="DH3041" s="717"/>
      <c r="DI3041" s="717"/>
      <c r="DJ3041" s="717"/>
      <c r="DM3041" s="711"/>
      <c r="DN3041" s="711"/>
      <c r="DO3041" s="711"/>
      <c r="DP3041" s="711"/>
      <c r="DQ3041" s="711"/>
    </row>
    <row r="3042" spans="13:121" s="709" customFormat="1" hidden="1">
      <c r="M3042" s="710"/>
      <c r="P3042" s="711"/>
      <c r="Q3042" s="712"/>
      <c r="U3042" s="711"/>
      <c r="V3042" s="711"/>
      <c r="W3042" s="711"/>
      <c r="X3042" s="711"/>
      <c r="Y3042" s="711"/>
      <c r="Z3042" s="711"/>
      <c r="AU3042" s="713"/>
      <c r="AW3042" s="712"/>
      <c r="BY3042" s="714"/>
      <c r="BZ3042" s="715"/>
      <c r="CA3042" s="716"/>
      <c r="CB3042" s="717"/>
      <c r="CC3042" s="717"/>
      <c r="CD3042" s="717"/>
      <c r="CE3042" s="717"/>
      <c r="CF3042" s="717"/>
      <c r="CG3042" s="717"/>
      <c r="CH3042" s="717"/>
      <c r="CI3042" s="717"/>
      <c r="CJ3042" s="717"/>
      <c r="CK3042" s="717"/>
      <c r="CL3042" s="717"/>
      <c r="CM3042" s="717"/>
      <c r="CN3042" s="717"/>
      <c r="CO3042" s="717"/>
      <c r="CP3042" s="717"/>
      <c r="CQ3042" s="717"/>
      <c r="CR3042" s="717"/>
      <c r="CS3042" s="717"/>
      <c r="CT3042" s="717"/>
      <c r="CU3042" s="717"/>
      <c r="CV3042" s="717"/>
      <c r="CW3042" s="717"/>
      <c r="CX3042" s="717"/>
      <c r="CY3042" s="717"/>
      <c r="CZ3042" s="717"/>
      <c r="DA3042" s="717"/>
      <c r="DB3042" s="717"/>
      <c r="DC3042" s="717"/>
      <c r="DD3042" s="717"/>
      <c r="DE3042" s="717"/>
      <c r="DF3042" s="717"/>
      <c r="DG3042" s="717"/>
      <c r="DH3042" s="717"/>
      <c r="DI3042" s="717"/>
      <c r="DJ3042" s="717"/>
      <c r="DM3042" s="711"/>
      <c r="DN3042" s="711"/>
      <c r="DO3042" s="711"/>
      <c r="DP3042" s="711"/>
      <c r="DQ3042" s="711"/>
    </row>
    <row r="3043" spans="13:121" s="709" customFormat="1" hidden="1">
      <c r="M3043" s="710"/>
      <c r="P3043" s="711"/>
      <c r="Q3043" s="712"/>
      <c r="U3043" s="711"/>
      <c r="V3043" s="711"/>
      <c r="W3043" s="711"/>
      <c r="X3043" s="711"/>
      <c r="Y3043" s="711"/>
      <c r="Z3043" s="711"/>
      <c r="AU3043" s="713"/>
      <c r="AW3043" s="712"/>
      <c r="BY3043" s="714"/>
      <c r="BZ3043" s="715"/>
      <c r="CA3043" s="716"/>
      <c r="CB3043" s="717"/>
      <c r="CC3043" s="717"/>
      <c r="CD3043" s="717"/>
      <c r="CE3043" s="717"/>
      <c r="CF3043" s="717"/>
      <c r="CG3043" s="717"/>
      <c r="CH3043" s="717"/>
      <c r="CI3043" s="717"/>
      <c r="CJ3043" s="717"/>
      <c r="CK3043" s="717"/>
      <c r="CL3043" s="717"/>
      <c r="CM3043" s="717"/>
      <c r="CN3043" s="717"/>
      <c r="CO3043" s="717"/>
      <c r="CP3043" s="717"/>
      <c r="CQ3043" s="717"/>
      <c r="CR3043" s="717"/>
      <c r="CS3043" s="717"/>
      <c r="CT3043" s="717"/>
      <c r="CU3043" s="717"/>
      <c r="CV3043" s="717"/>
      <c r="CW3043" s="717"/>
      <c r="CX3043" s="717"/>
      <c r="CY3043" s="717"/>
      <c r="CZ3043" s="717"/>
      <c r="DA3043" s="717"/>
      <c r="DB3043" s="717"/>
      <c r="DC3043" s="717"/>
      <c r="DD3043" s="717"/>
      <c r="DE3043" s="717"/>
      <c r="DF3043" s="717"/>
      <c r="DG3043" s="717"/>
      <c r="DH3043" s="717"/>
      <c r="DI3043" s="717"/>
      <c r="DJ3043" s="717"/>
      <c r="DM3043" s="711"/>
      <c r="DN3043" s="711"/>
      <c r="DO3043" s="711"/>
      <c r="DP3043" s="711"/>
      <c r="DQ3043" s="711"/>
    </row>
    <row r="3044" spans="13:121" s="709" customFormat="1" hidden="1">
      <c r="M3044" s="710"/>
      <c r="P3044" s="711"/>
      <c r="Q3044" s="712"/>
      <c r="U3044" s="711"/>
      <c r="V3044" s="711"/>
      <c r="W3044" s="711"/>
      <c r="X3044" s="711"/>
      <c r="Y3044" s="711"/>
      <c r="Z3044" s="711"/>
      <c r="AU3044" s="713"/>
      <c r="AW3044" s="712"/>
      <c r="BY3044" s="714"/>
      <c r="BZ3044" s="715"/>
      <c r="CA3044" s="716"/>
      <c r="CB3044" s="717"/>
      <c r="CC3044" s="717"/>
      <c r="CD3044" s="717"/>
      <c r="CE3044" s="717"/>
      <c r="CF3044" s="717"/>
      <c r="CG3044" s="717"/>
      <c r="CH3044" s="717"/>
      <c r="CI3044" s="717"/>
      <c r="CJ3044" s="717"/>
      <c r="CK3044" s="717"/>
      <c r="CL3044" s="717"/>
      <c r="CM3044" s="717"/>
      <c r="CN3044" s="717"/>
      <c r="CO3044" s="717"/>
      <c r="CP3044" s="717"/>
      <c r="CQ3044" s="717"/>
      <c r="CR3044" s="717"/>
      <c r="CS3044" s="717"/>
      <c r="CT3044" s="717"/>
      <c r="CU3044" s="717"/>
      <c r="CV3044" s="717"/>
      <c r="CW3044" s="717"/>
      <c r="CX3044" s="717"/>
      <c r="CY3044" s="717"/>
      <c r="CZ3044" s="717"/>
      <c r="DA3044" s="717"/>
      <c r="DB3044" s="717"/>
      <c r="DC3044" s="717"/>
      <c r="DD3044" s="717"/>
      <c r="DE3044" s="717"/>
      <c r="DF3044" s="717"/>
      <c r="DG3044" s="717"/>
      <c r="DH3044" s="717"/>
      <c r="DI3044" s="717"/>
      <c r="DJ3044" s="717"/>
      <c r="DM3044" s="711"/>
      <c r="DN3044" s="711"/>
      <c r="DO3044" s="711"/>
      <c r="DP3044" s="711"/>
      <c r="DQ3044" s="711"/>
    </row>
    <row r="3045" spans="13:121" s="709" customFormat="1" hidden="1">
      <c r="M3045" s="710"/>
      <c r="P3045" s="711"/>
      <c r="Q3045" s="712"/>
      <c r="U3045" s="711"/>
      <c r="V3045" s="711"/>
      <c r="W3045" s="711"/>
      <c r="X3045" s="711"/>
      <c r="Y3045" s="711"/>
      <c r="Z3045" s="711"/>
      <c r="AU3045" s="713"/>
      <c r="AW3045" s="712"/>
      <c r="BY3045" s="714"/>
      <c r="BZ3045" s="715"/>
      <c r="CA3045" s="716"/>
      <c r="CB3045" s="717"/>
      <c r="CC3045" s="717"/>
      <c r="CD3045" s="717"/>
      <c r="CE3045" s="717"/>
      <c r="CF3045" s="717"/>
      <c r="CG3045" s="717"/>
      <c r="CH3045" s="717"/>
      <c r="CI3045" s="717"/>
      <c r="CJ3045" s="717"/>
      <c r="CK3045" s="717"/>
      <c r="CL3045" s="717"/>
      <c r="CM3045" s="717"/>
      <c r="CN3045" s="717"/>
      <c r="CO3045" s="717"/>
      <c r="CP3045" s="717"/>
      <c r="CQ3045" s="717"/>
      <c r="CR3045" s="717"/>
      <c r="CS3045" s="717"/>
      <c r="CT3045" s="717"/>
      <c r="CU3045" s="717"/>
      <c r="CV3045" s="717"/>
      <c r="CW3045" s="717"/>
      <c r="CX3045" s="717"/>
      <c r="CY3045" s="717"/>
      <c r="CZ3045" s="717"/>
      <c r="DA3045" s="717"/>
      <c r="DB3045" s="717"/>
      <c r="DC3045" s="717"/>
      <c r="DD3045" s="717"/>
      <c r="DE3045" s="717"/>
      <c r="DF3045" s="717"/>
      <c r="DG3045" s="717"/>
      <c r="DH3045" s="717"/>
      <c r="DI3045" s="717"/>
      <c r="DJ3045" s="717"/>
      <c r="DM3045" s="711"/>
      <c r="DN3045" s="711"/>
      <c r="DO3045" s="711"/>
      <c r="DP3045" s="711"/>
      <c r="DQ3045" s="711"/>
    </row>
    <row r="3046" spans="13:121" s="709" customFormat="1" hidden="1">
      <c r="M3046" s="710"/>
      <c r="P3046" s="711"/>
      <c r="Q3046" s="712"/>
      <c r="U3046" s="711"/>
      <c r="V3046" s="711"/>
      <c r="W3046" s="711"/>
      <c r="X3046" s="711"/>
      <c r="Y3046" s="711"/>
      <c r="Z3046" s="711"/>
      <c r="AU3046" s="713"/>
      <c r="AW3046" s="712"/>
      <c r="BY3046" s="714"/>
      <c r="BZ3046" s="715"/>
      <c r="CA3046" s="716"/>
      <c r="CB3046" s="717"/>
      <c r="CC3046" s="717"/>
      <c r="CD3046" s="717"/>
      <c r="CE3046" s="717"/>
      <c r="CF3046" s="717"/>
      <c r="CG3046" s="717"/>
      <c r="CH3046" s="717"/>
      <c r="CI3046" s="717"/>
      <c r="CJ3046" s="717"/>
      <c r="CK3046" s="717"/>
      <c r="CL3046" s="717"/>
      <c r="CM3046" s="717"/>
      <c r="CN3046" s="717"/>
      <c r="CO3046" s="717"/>
      <c r="CP3046" s="717"/>
      <c r="CQ3046" s="717"/>
      <c r="CR3046" s="717"/>
      <c r="CS3046" s="717"/>
      <c r="CT3046" s="717"/>
      <c r="CU3046" s="717"/>
      <c r="CV3046" s="717"/>
      <c r="CW3046" s="717"/>
      <c r="CX3046" s="717"/>
      <c r="CY3046" s="717"/>
      <c r="CZ3046" s="717"/>
      <c r="DA3046" s="717"/>
      <c r="DB3046" s="717"/>
      <c r="DC3046" s="717"/>
      <c r="DD3046" s="717"/>
      <c r="DE3046" s="717"/>
      <c r="DF3046" s="717"/>
      <c r="DG3046" s="717"/>
      <c r="DH3046" s="717"/>
      <c r="DI3046" s="717"/>
      <c r="DJ3046" s="717"/>
      <c r="DM3046" s="711"/>
      <c r="DN3046" s="711"/>
      <c r="DO3046" s="711"/>
      <c r="DP3046" s="711"/>
      <c r="DQ3046" s="711"/>
    </row>
    <row r="3047" spans="13:121" s="709" customFormat="1" hidden="1">
      <c r="M3047" s="710"/>
      <c r="P3047" s="711"/>
      <c r="Q3047" s="712"/>
      <c r="U3047" s="711"/>
      <c r="V3047" s="711"/>
      <c r="W3047" s="711"/>
      <c r="X3047" s="711"/>
      <c r="Y3047" s="711"/>
      <c r="Z3047" s="711"/>
      <c r="AU3047" s="713"/>
      <c r="AW3047" s="712"/>
      <c r="BY3047" s="714"/>
      <c r="BZ3047" s="715"/>
      <c r="CA3047" s="716"/>
      <c r="CB3047" s="717"/>
      <c r="CC3047" s="717"/>
      <c r="CD3047" s="717"/>
      <c r="CE3047" s="717"/>
      <c r="CF3047" s="717"/>
      <c r="CG3047" s="717"/>
      <c r="CH3047" s="717"/>
      <c r="CI3047" s="717"/>
      <c r="CJ3047" s="717"/>
      <c r="CK3047" s="717"/>
      <c r="CL3047" s="717"/>
      <c r="CM3047" s="717"/>
      <c r="CN3047" s="717"/>
      <c r="CO3047" s="717"/>
      <c r="CP3047" s="717"/>
      <c r="CQ3047" s="717"/>
      <c r="CR3047" s="717"/>
      <c r="CS3047" s="717"/>
      <c r="CT3047" s="717"/>
      <c r="CU3047" s="717"/>
      <c r="CV3047" s="717"/>
      <c r="CW3047" s="717"/>
      <c r="CX3047" s="717"/>
      <c r="CY3047" s="717"/>
      <c r="CZ3047" s="717"/>
      <c r="DA3047" s="717"/>
      <c r="DB3047" s="717"/>
      <c r="DC3047" s="717"/>
      <c r="DD3047" s="717"/>
      <c r="DE3047" s="717"/>
      <c r="DF3047" s="717"/>
      <c r="DG3047" s="717"/>
      <c r="DH3047" s="717"/>
      <c r="DI3047" s="717"/>
      <c r="DJ3047" s="717"/>
      <c r="DM3047" s="711"/>
      <c r="DN3047" s="711"/>
      <c r="DO3047" s="711"/>
      <c r="DP3047" s="711"/>
      <c r="DQ3047" s="711"/>
    </row>
    <row r="3048" spans="13:121" s="709" customFormat="1" hidden="1">
      <c r="M3048" s="710"/>
      <c r="P3048" s="711"/>
      <c r="Q3048" s="712"/>
      <c r="U3048" s="711"/>
      <c r="V3048" s="711"/>
      <c r="W3048" s="711"/>
      <c r="X3048" s="711"/>
      <c r="Y3048" s="711"/>
      <c r="Z3048" s="711"/>
      <c r="AU3048" s="713"/>
      <c r="AW3048" s="712"/>
      <c r="BY3048" s="714"/>
      <c r="BZ3048" s="715"/>
      <c r="CA3048" s="716"/>
      <c r="CB3048" s="717"/>
      <c r="CC3048" s="717"/>
      <c r="CD3048" s="717"/>
      <c r="CE3048" s="717"/>
      <c r="CF3048" s="717"/>
      <c r="CG3048" s="717"/>
      <c r="CH3048" s="717"/>
      <c r="CI3048" s="717"/>
      <c r="CJ3048" s="717"/>
      <c r="CK3048" s="717"/>
      <c r="CL3048" s="717"/>
      <c r="CM3048" s="717"/>
      <c r="CN3048" s="717"/>
      <c r="CO3048" s="717"/>
      <c r="CP3048" s="717"/>
      <c r="CQ3048" s="717"/>
      <c r="CR3048" s="717"/>
      <c r="CS3048" s="717"/>
      <c r="CT3048" s="717"/>
      <c r="CU3048" s="717"/>
      <c r="CV3048" s="717"/>
      <c r="CW3048" s="717"/>
      <c r="CX3048" s="717"/>
      <c r="CY3048" s="717"/>
      <c r="CZ3048" s="717"/>
      <c r="DA3048" s="717"/>
      <c r="DB3048" s="717"/>
      <c r="DC3048" s="717"/>
      <c r="DD3048" s="717"/>
      <c r="DE3048" s="717"/>
      <c r="DF3048" s="717"/>
      <c r="DG3048" s="717"/>
      <c r="DH3048" s="717"/>
      <c r="DI3048" s="717"/>
      <c r="DJ3048" s="717"/>
      <c r="DM3048" s="711"/>
      <c r="DN3048" s="711"/>
      <c r="DO3048" s="711"/>
      <c r="DP3048" s="711"/>
      <c r="DQ3048" s="711"/>
    </row>
    <row r="3049" spans="13:121" s="709" customFormat="1" hidden="1">
      <c r="M3049" s="710"/>
      <c r="P3049" s="711"/>
      <c r="Q3049" s="712"/>
      <c r="U3049" s="711"/>
      <c r="V3049" s="711"/>
      <c r="W3049" s="711"/>
      <c r="X3049" s="711"/>
      <c r="Y3049" s="711"/>
      <c r="Z3049" s="711"/>
      <c r="AU3049" s="713"/>
      <c r="AW3049" s="712"/>
      <c r="BY3049" s="714"/>
      <c r="BZ3049" s="715"/>
      <c r="CA3049" s="716"/>
      <c r="CB3049" s="717"/>
      <c r="CC3049" s="717"/>
      <c r="CD3049" s="717"/>
      <c r="CE3049" s="717"/>
      <c r="CF3049" s="717"/>
      <c r="CG3049" s="717"/>
      <c r="CH3049" s="717"/>
      <c r="CI3049" s="717"/>
      <c r="CJ3049" s="717"/>
      <c r="CK3049" s="717"/>
      <c r="CL3049" s="717"/>
      <c r="CM3049" s="717"/>
      <c r="CN3049" s="717"/>
      <c r="CO3049" s="717"/>
      <c r="CP3049" s="717"/>
      <c r="CQ3049" s="717"/>
      <c r="CR3049" s="717"/>
      <c r="CS3049" s="717"/>
      <c r="CT3049" s="717"/>
      <c r="CU3049" s="717"/>
      <c r="CV3049" s="717"/>
      <c r="CW3049" s="717"/>
      <c r="CX3049" s="717"/>
      <c r="CY3049" s="717"/>
      <c r="CZ3049" s="717"/>
      <c r="DA3049" s="717"/>
      <c r="DB3049" s="717"/>
      <c r="DC3049" s="717"/>
      <c r="DD3049" s="717"/>
      <c r="DE3049" s="717"/>
      <c r="DF3049" s="717"/>
      <c r="DG3049" s="717"/>
      <c r="DH3049" s="717"/>
      <c r="DI3049" s="717"/>
      <c r="DJ3049" s="717"/>
      <c r="DM3049" s="711"/>
      <c r="DN3049" s="711"/>
      <c r="DO3049" s="711"/>
      <c r="DP3049" s="711"/>
      <c r="DQ3049" s="711"/>
    </row>
    <row r="3050" spans="13:121" s="709" customFormat="1" hidden="1">
      <c r="M3050" s="710"/>
      <c r="P3050" s="711"/>
      <c r="Q3050" s="712"/>
      <c r="U3050" s="711"/>
      <c r="V3050" s="711"/>
      <c r="W3050" s="711"/>
      <c r="X3050" s="711"/>
      <c r="Y3050" s="711"/>
      <c r="Z3050" s="711"/>
      <c r="AU3050" s="713"/>
      <c r="AW3050" s="712"/>
      <c r="BY3050" s="714"/>
      <c r="BZ3050" s="715"/>
      <c r="CA3050" s="716"/>
      <c r="CB3050" s="717"/>
      <c r="CC3050" s="717"/>
      <c r="CD3050" s="717"/>
      <c r="CE3050" s="717"/>
      <c r="CF3050" s="717"/>
      <c r="CG3050" s="717"/>
      <c r="CH3050" s="717"/>
      <c r="CI3050" s="717"/>
      <c r="CJ3050" s="717"/>
      <c r="CK3050" s="717"/>
      <c r="CL3050" s="717"/>
      <c r="CM3050" s="717"/>
      <c r="CN3050" s="717"/>
      <c r="CO3050" s="717"/>
      <c r="CP3050" s="717"/>
      <c r="CQ3050" s="717"/>
      <c r="CR3050" s="717"/>
      <c r="CS3050" s="717"/>
      <c r="CT3050" s="717"/>
      <c r="CU3050" s="717"/>
      <c r="CV3050" s="717"/>
      <c r="CW3050" s="717"/>
      <c r="CX3050" s="717"/>
      <c r="CY3050" s="717"/>
      <c r="CZ3050" s="717"/>
      <c r="DA3050" s="717"/>
      <c r="DB3050" s="717"/>
      <c r="DC3050" s="717"/>
      <c r="DD3050" s="717"/>
      <c r="DE3050" s="717"/>
      <c r="DF3050" s="717"/>
      <c r="DG3050" s="717"/>
      <c r="DH3050" s="717"/>
      <c r="DI3050" s="717"/>
      <c r="DJ3050" s="717"/>
      <c r="DM3050" s="711"/>
      <c r="DN3050" s="711"/>
      <c r="DO3050" s="711"/>
      <c r="DP3050" s="711"/>
      <c r="DQ3050" s="711"/>
    </row>
    <row r="3051" spans="13:121" s="709" customFormat="1" hidden="1">
      <c r="M3051" s="710"/>
      <c r="P3051" s="711"/>
      <c r="Q3051" s="712"/>
      <c r="U3051" s="711"/>
      <c r="V3051" s="711"/>
      <c r="W3051" s="711"/>
      <c r="X3051" s="711"/>
      <c r="Y3051" s="711"/>
      <c r="Z3051" s="711"/>
      <c r="AU3051" s="713"/>
      <c r="AW3051" s="712"/>
      <c r="BY3051" s="714"/>
      <c r="BZ3051" s="715"/>
      <c r="CA3051" s="716"/>
      <c r="CB3051" s="717"/>
      <c r="CC3051" s="717"/>
      <c r="CD3051" s="717"/>
      <c r="CE3051" s="717"/>
      <c r="CF3051" s="717"/>
      <c r="CG3051" s="717"/>
      <c r="CH3051" s="717"/>
      <c r="CI3051" s="717"/>
      <c r="CJ3051" s="717"/>
      <c r="CK3051" s="717"/>
      <c r="CL3051" s="717"/>
      <c r="CM3051" s="717"/>
      <c r="CN3051" s="717"/>
      <c r="CO3051" s="717"/>
      <c r="CP3051" s="717"/>
      <c r="CQ3051" s="717"/>
      <c r="CR3051" s="717"/>
      <c r="CS3051" s="717"/>
      <c r="CT3051" s="717"/>
      <c r="CU3051" s="717"/>
      <c r="CV3051" s="717"/>
      <c r="CW3051" s="717"/>
      <c r="CX3051" s="717"/>
      <c r="CY3051" s="717"/>
      <c r="CZ3051" s="717"/>
      <c r="DA3051" s="717"/>
      <c r="DB3051" s="717"/>
      <c r="DC3051" s="717"/>
      <c r="DD3051" s="717"/>
      <c r="DE3051" s="717"/>
      <c r="DF3051" s="717"/>
      <c r="DG3051" s="717"/>
      <c r="DH3051" s="717"/>
      <c r="DI3051" s="717"/>
      <c r="DJ3051" s="717"/>
      <c r="DM3051" s="711"/>
      <c r="DN3051" s="711"/>
      <c r="DO3051" s="711"/>
      <c r="DP3051" s="711"/>
      <c r="DQ3051" s="711"/>
    </row>
    <row r="3052" spans="13:121" s="709" customFormat="1" hidden="1">
      <c r="M3052" s="710"/>
      <c r="P3052" s="711"/>
      <c r="Q3052" s="712"/>
      <c r="U3052" s="711"/>
      <c r="V3052" s="711"/>
      <c r="W3052" s="711"/>
      <c r="X3052" s="711"/>
      <c r="Y3052" s="711"/>
      <c r="Z3052" s="711"/>
      <c r="AU3052" s="713"/>
      <c r="AW3052" s="712"/>
      <c r="BY3052" s="714"/>
      <c r="BZ3052" s="715"/>
      <c r="CA3052" s="716"/>
      <c r="CB3052" s="717"/>
      <c r="CC3052" s="717"/>
      <c r="CD3052" s="717"/>
      <c r="CE3052" s="717"/>
      <c r="CF3052" s="717"/>
      <c r="CG3052" s="717"/>
      <c r="CH3052" s="717"/>
      <c r="CI3052" s="717"/>
      <c r="CJ3052" s="717"/>
      <c r="CK3052" s="717"/>
      <c r="CL3052" s="717"/>
      <c r="CM3052" s="717"/>
      <c r="CN3052" s="717"/>
      <c r="CO3052" s="717"/>
      <c r="CP3052" s="717"/>
      <c r="CQ3052" s="717"/>
      <c r="CR3052" s="717"/>
      <c r="CS3052" s="717"/>
      <c r="CT3052" s="717"/>
      <c r="CU3052" s="717"/>
      <c r="CV3052" s="717"/>
      <c r="CW3052" s="717"/>
      <c r="CX3052" s="717"/>
      <c r="CY3052" s="717"/>
      <c r="CZ3052" s="717"/>
      <c r="DA3052" s="717"/>
      <c r="DB3052" s="717"/>
      <c r="DC3052" s="717"/>
      <c r="DD3052" s="717"/>
      <c r="DE3052" s="717"/>
      <c r="DF3052" s="717"/>
      <c r="DG3052" s="717"/>
      <c r="DH3052" s="717"/>
      <c r="DI3052" s="717"/>
      <c r="DJ3052" s="717"/>
      <c r="DM3052" s="711"/>
      <c r="DN3052" s="711"/>
      <c r="DO3052" s="711"/>
      <c r="DP3052" s="711"/>
      <c r="DQ3052" s="711"/>
    </row>
    <row r="3053" spans="13:121" s="709" customFormat="1" hidden="1">
      <c r="M3053" s="710"/>
      <c r="P3053" s="711"/>
      <c r="Q3053" s="712"/>
      <c r="U3053" s="711"/>
      <c r="V3053" s="711"/>
      <c r="W3053" s="711"/>
      <c r="X3053" s="711"/>
      <c r="Y3053" s="711"/>
      <c r="Z3053" s="711"/>
      <c r="AU3053" s="713"/>
      <c r="AW3053" s="712"/>
      <c r="BY3053" s="714"/>
      <c r="BZ3053" s="715"/>
      <c r="CA3053" s="716"/>
      <c r="CB3053" s="717"/>
      <c r="CC3053" s="717"/>
      <c r="CD3053" s="717"/>
      <c r="CE3053" s="717"/>
      <c r="CF3053" s="717"/>
      <c r="CG3053" s="717"/>
      <c r="CH3053" s="717"/>
      <c r="CI3053" s="717"/>
      <c r="CJ3053" s="717"/>
      <c r="CK3053" s="717"/>
      <c r="CL3053" s="717"/>
      <c r="CM3053" s="717"/>
      <c r="CN3053" s="717"/>
      <c r="CO3053" s="717"/>
      <c r="CP3053" s="717"/>
      <c r="CQ3053" s="717"/>
      <c r="CR3053" s="717"/>
      <c r="CS3053" s="717"/>
      <c r="CT3053" s="717"/>
      <c r="CU3053" s="717"/>
      <c r="CV3053" s="717"/>
      <c r="CW3053" s="717"/>
      <c r="CX3053" s="717"/>
      <c r="CY3053" s="717"/>
      <c r="CZ3053" s="717"/>
      <c r="DA3053" s="717"/>
      <c r="DB3053" s="717"/>
      <c r="DC3053" s="717"/>
      <c r="DD3053" s="717"/>
      <c r="DE3053" s="717"/>
      <c r="DF3053" s="717"/>
      <c r="DG3053" s="717"/>
      <c r="DH3053" s="717"/>
      <c r="DI3053" s="717"/>
      <c r="DJ3053" s="717"/>
      <c r="DM3053" s="711"/>
      <c r="DN3053" s="711"/>
      <c r="DO3053" s="711"/>
      <c r="DP3053" s="711"/>
      <c r="DQ3053" s="711"/>
    </row>
    <row r="3054" spans="13:121" s="709" customFormat="1" hidden="1">
      <c r="M3054" s="710"/>
      <c r="P3054" s="711"/>
      <c r="Q3054" s="712"/>
      <c r="U3054" s="711"/>
      <c r="V3054" s="711"/>
      <c r="W3054" s="711"/>
      <c r="X3054" s="711"/>
      <c r="Y3054" s="711"/>
      <c r="Z3054" s="711"/>
      <c r="AU3054" s="713"/>
      <c r="AW3054" s="712"/>
      <c r="BY3054" s="714"/>
      <c r="BZ3054" s="715"/>
      <c r="CA3054" s="716"/>
      <c r="CB3054" s="717"/>
      <c r="CC3054" s="717"/>
      <c r="CD3054" s="717"/>
      <c r="CE3054" s="717"/>
      <c r="CF3054" s="717"/>
      <c r="CG3054" s="717"/>
      <c r="CH3054" s="717"/>
      <c r="CI3054" s="717"/>
      <c r="CJ3054" s="717"/>
      <c r="CK3054" s="717"/>
      <c r="CL3054" s="717"/>
      <c r="CM3054" s="717"/>
      <c r="CN3054" s="717"/>
      <c r="CO3054" s="717"/>
      <c r="CP3054" s="717"/>
      <c r="CQ3054" s="717"/>
      <c r="CR3054" s="717"/>
      <c r="CS3054" s="717"/>
      <c r="CT3054" s="717"/>
      <c r="CU3054" s="717"/>
      <c r="CV3054" s="717"/>
      <c r="CW3054" s="717"/>
      <c r="CX3054" s="717"/>
      <c r="CY3054" s="717"/>
      <c r="CZ3054" s="717"/>
      <c r="DA3054" s="717"/>
      <c r="DB3054" s="717"/>
      <c r="DC3054" s="717"/>
      <c r="DD3054" s="717"/>
      <c r="DE3054" s="717"/>
      <c r="DF3054" s="717"/>
      <c r="DG3054" s="717"/>
      <c r="DH3054" s="717"/>
      <c r="DI3054" s="717"/>
      <c r="DJ3054" s="717"/>
      <c r="DM3054" s="711"/>
      <c r="DN3054" s="711"/>
      <c r="DO3054" s="711"/>
      <c r="DP3054" s="711"/>
      <c r="DQ3054" s="711"/>
    </row>
    <row r="3055" spans="13:121" s="709" customFormat="1" hidden="1">
      <c r="M3055" s="710"/>
      <c r="P3055" s="711"/>
      <c r="Q3055" s="712"/>
      <c r="U3055" s="711"/>
      <c r="V3055" s="711"/>
      <c r="W3055" s="711"/>
      <c r="X3055" s="711"/>
      <c r="Y3055" s="711"/>
      <c r="Z3055" s="711"/>
      <c r="AU3055" s="713"/>
      <c r="AW3055" s="712"/>
      <c r="BY3055" s="714"/>
      <c r="BZ3055" s="715"/>
      <c r="CA3055" s="716"/>
      <c r="CB3055" s="717"/>
      <c r="CC3055" s="717"/>
      <c r="CD3055" s="717"/>
      <c r="CE3055" s="717"/>
      <c r="CF3055" s="717"/>
      <c r="CG3055" s="717"/>
      <c r="CH3055" s="717"/>
      <c r="CI3055" s="717"/>
      <c r="CJ3055" s="717"/>
      <c r="CK3055" s="717"/>
      <c r="CL3055" s="717"/>
      <c r="CM3055" s="717"/>
      <c r="CN3055" s="717"/>
      <c r="CO3055" s="717"/>
      <c r="CP3055" s="717"/>
      <c r="CQ3055" s="717"/>
      <c r="CR3055" s="717"/>
      <c r="CS3055" s="717"/>
      <c r="CT3055" s="717"/>
      <c r="CU3055" s="717"/>
      <c r="CV3055" s="717"/>
      <c r="CW3055" s="717"/>
      <c r="CX3055" s="717"/>
      <c r="CY3055" s="717"/>
      <c r="CZ3055" s="717"/>
      <c r="DA3055" s="717"/>
      <c r="DB3055" s="717"/>
      <c r="DC3055" s="717"/>
      <c r="DD3055" s="717"/>
      <c r="DE3055" s="717"/>
      <c r="DF3055" s="717"/>
      <c r="DG3055" s="717"/>
      <c r="DH3055" s="717"/>
      <c r="DI3055" s="717"/>
      <c r="DJ3055" s="717"/>
      <c r="DM3055" s="711"/>
      <c r="DN3055" s="711"/>
      <c r="DO3055" s="711"/>
      <c r="DP3055" s="711"/>
      <c r="DQ3055" s="711"/>
    </row>
    <row r="3056" spans="13:121" s="709" customFormat="1" hidden="1">
      <c r="M3056" s="710"/>
      <c r="P3056" s="711"/>
      <c r="Q3056" s="712"/>
      <c r="U3056" s="711"/>
      <c r="V3056" s="711"/>
      <c r="W3056" s="711"/>
      <c r="X3056" s="711"/>
      <c r="Y3056" s="711"/>
      <c r="Z3056" s="711"/>
      <c r="AU3056" s="713"/>
      <c r="AW3056" s="712"/>
      <c r="BY3056" s="714"/>
      <c r="BZ3056" s="715"/>
      <c r="CA3056" s="716"/>
      <c r="CB3056" s="717"/>
      <c r="CC3056" s="717"/>
      <c r="CD3056" s="717"/>
      <c r="CE3056" s="717"/>
      <c r="CF3056" s="717"/>
      <c r="CG3056" s="717"/>
      <c r="CH3056" s="717"/>
      <c r="CI3056" s="717"/>
      <c r="CJ3056" s="717"/>
      <c r="CK3056" s="717"/>
      <c r="CL3056" s="717"/>
      <c r="CM3056" s="717"/>
      <c r="CN3056" s="717"/>
      <c r="CO3056" s="717"/>
      <c r="CP3056" s="717"/>
      <c r="CQ3056" s="717"/>
      <c r="CR3056" s="717"/>
      <c r="CS3056" s="717"/>
      <c r="CT3056" s="717"/>
      <c r="CU3056" s="717"/>
      <c r="CV3056" s="717"/>
      <c r="CW3056" s="717"/>
      <c r="CX3056" s="717"/>
      <c r="CY3056" s="717"/>
      <c r="CZ3056" s="717"/>
      <c r="DA3056" s="717"/>
      <c r="DB3056" s="717"/>
      <c r="DC3056" s="717"/>
      <c r="DD3056" s="717"/>
      <c r="DE3056" s="717"/>
      <c r="DF3056" s="717"/>
      <c r="DG3056" s="717"/>
      <c r="DH3056" s="717"/>
      <c r="DI3056" s="717"/>
      <c r="DJ3056" s="717"/>
      <c r="DM3056" s="711"/>
      <c r="DN3056" s="711"/>
      <c r="DO3056" s="711"/>
      <c r="DP3056" s="711"/>
      <c r="DQ3056" s="711"/>
    </row>
    <row r="3057" spans="13:121" s="709" customFormat="1" hidden="1">
      <c r="M3057" s="710"/>
      <c r="P3057" s="711"/>
      <c r="Q3057" s="712"/>
      <c r="U3057" s="711"/>
      <c r="V3057" s="711"/>
      <c r="W3057" s="711"/>
      <c r="X3057" s="711"/>
      <c r="Y3057" s="711"/>
      <c r="Z3057" s="711"/>
      <c r="AU3057" s="713"/>
      <c r="AW3057" s="712"/>
      <c r="BY3057" s="714"/>
      <c r="BZ3057" s="715"/>
      <c r="CA3057" s="716"/>
      <c r="CB3057" s="717"/>
      <c r="CC3057" s="717"/>
      <c r="CD3057" s="717"/>
      <c r="CE3057" s="717"/>
      <c r="CF3057" s="717"/>
      <c r="CG3057" s="717"/>
      <c r="CH3057" s="717"/>
      <c r="CI3057" s="717"/>
      <c r="CJ3057" s="717"/>
      <c r="CK3057" s="717"/>
      <c r="CL3057" s="717"/>
      <c r="CM3057" s="717"/>
      <c r="CN3057" s="717"/>
      <c r="CO3057" s="717"/>
      <c r="CP3057" s="717"/>
      <c r="CQ3057" s="717"/>
      <c r="CR3057" s="717"/>
      <c r="CS3057" s="717"/>
      <c r="CT3057" s="717"/>
      <c r="CU3057" s="717"/>
      <c r="CV3057" s="717"/>
      <c r="CW3057" s="717"/>
      <c r="CX3057" s="717"/>
      <c r="CY3057" s="717"/>
      <c r="CZ3057" s="717"/>
      <c r="DA3057" s="717"/>
      <c r="DB3057" s="717"/>
      <c r="DC3057" s="717"/>
      <c r="DD3057" s="717"/>
      <c r="DE3057" s="717"/>
      <c r="DF3057" s="717"/>
      <c r="DG3057" s="717"/>
      <c r="DH3057" s="717"/>
      <c r="DI3057" s="717"/>
      <c r="DJ3057" s="717"/>
      <c r="DM3057" s="711"/>
      <c r="DN3057" s="711"/>
      <c r="DO3057" s="711"/>
      <c r="DP3057" s="711"/>
      <c r="DQ3057" s="711"/>
    </row>
    <row r="3058" spans="13:121" s="709" customFormat="1" hidden="1">
      <c r="M3058" s="710"/>
      <c r="P3058" s="711"/>
      <c r="Q3058" s="712"/>
      <c r="U3058" s="711"/>
      <c r="V3058" s="711"/>
      <c r="W3058" s="711"/>
      <c r="X3058" s="711"/>
      <c r="Y3058" s="711"/>
      <c r="Z3058" s="711"/>
      <c r="AU3058" s="713"/>
      <c r="AW3058" s="712"/>
      <c r="BY3058" s="714"/>
      <c r="BZ3058" s="715"/>
      <c r="CA3058" s="716"/>
      <c r="CB3058" s="717"/>
      <c r="CC3058" s="717"/>
      <c r="CD3058" s="717"/>
      <c r="CE3058" s="717"/>
      <c r="CF3058" s="717"/>
      <c r="CG3058" s="717"/>
      <c r="CH3058" s="717"/>
      <c r="CI3058" s="717"/>
      <c r="CJ3058" s="717"/>
      <c r="CK3058" s="717"/>
      <c r="CL3058" s="717"/>
      <c r="CM3058" s="717"/>
      <c r="CN3058" s="717"/>
      <c r="CO3058" s="717"/>
      <c r="CP3058" s="717"/>
      <c r="CQ3058" s="717"/>
      <c r="CR3058" s="717"/>
      <c r="CS3058" s="717"/>
      <c r="CT3058" s="717"/>
      <c r="CU3058" s="717"/>
      <c r="CV3058" s="717"/>
      <c r="CW3058" s="717"/>
      <c r="CX3058" s="717"/>
      <c r="CY3058" s="717"/>
      <c r="CZ3058" s="717"/>
      <c r="DA3058" s="717"/>
      <c r="DB3058" s="717"/>
      <c r="DC3058" s="717"/>
      <c r="DD3058" s="717"/>
      <c r="DE3058" s="717"/>
      <c r="DF3058" s="717"/>
      <c r="DG3058" s="717"/>
      <c r="DH3058" s="717"/>
      <c r="DI3058" s="717"/>
      <c r="DJ3058" s="717"/>
      <c r="DM3058" s="711"/>
      <c r="DN3058" s="711"/>
      <c r="DO3058" s="711"/>
      <c r="DP3058" s="711"/>
      <c r="DQ3058" s="711"/>
    </row>
    <row r="3059" spans="13:121" s="709" customFormat="1" hidden="1">
      <c r="M3059" s="710"/>
      <c r="P3059" s="711"/>
      <c r="Q3059" s="712"/>
      <c r="U3059" s="711"/>
      <c r="V3059" s="711"/>
      <c r="W3059" s="711"/>
      <c r="X3059" s="711"/>
      <c r="Y3059" s="711"/>
      <c r="Z3059" s="711"/>
      <c r="AU3059" s="713"/>
      <c r="AW3059" s="712"/>
      <c r="BY3059" s="714"/>
      <c r="BZ3059" s="715"/>
      <c r="CA3059" s="716"/>
      <c r="CB3059" s="717"/>
      <c r="CC3059" s="717"/>
      <c r="CD3059" s="717"/>
      <c r="CE3059" s="717"/>
      <c r="CF3059" s="717"/>
      <c r="CG3059" s="717"/>
      <c r="CH3059" s="717"/>
      <c r="CI3059" s="717"/>
      <c r="CJ3059" s="717"/>
      <c r="CK3059" s="717"/>
      <c r="CL3059" s="717"/>
      <c r="CM3059" s="717"/>
      <c r="CN3059" s="717"/>
      <c r="CO3059" s="717"/>
      <c r="CP3059" s="717"/>
      <c r="CQ3059" s="717"/>
      <c r="CR3059" s="717"/>
      <c r="CS3059" s="717"/>
      <c r="CT3059" s="717"/>
      <c r="CU3059" s="717"/>
      <c r="CV3059" s="717"/>
      <c r="CW3059" s="717"/>
      <c r="CX3059" s="717"/>
      <c r="CY3059" s="717"/>
      <c r="CZ3059" s="717"/>
      <c r="DA3059" s="717"/>
      <c r="DB3059" s="717"/>
      <c r="DC3059" s="717"/>
      <c r="DD3059" s="717"/>
      <c r="DE3059" s="717"/>
      <c r="DF3059" s="717"/>
      <c r="DG3059" s="717"/>
      <c r="DH3059" s="717"/>
      <c r="DI3059" s="717"/>
      <c r="DJ3059" s="717"/>
      <c r="DM3059" s="711"/>
      <c r="DN3059" s="711"/>
      <c r="DO3059" s="711"/>
      <c r="DP3059" s="711"/>
      <c r="DQ3059" s="711"/>
    </row>
    <row r="3060" spans="13:121" s="709" customFormat="1" hidden="1">
      <c r="M3060" s="710"/>
      <c r="P3060" s="711"/>
      <c r="Q3060" s="712"/>
      <c r="U3060" s="711"/>
      <c r="V3060" s="711"/>
      <c r="W3060" s="711"/>
      <c r="X3060" s="711"/>
      <c r="Y3060" s="711"/>
      <c r="Z3060" s="711"/>
      <c r="AU3060" s="713"/>
      <c r="AW3060" s="712"/>
      <c r="BY3060" s="714"/>
      <c r="BZ3060" s="715"/>
      <c r="CA3060" s="716"/>
      <c r="CB3060" s="717"/>
      <c r="CC3060" s="717"/>
      <c r="CD3060" s="717"/>
      <c r="CE3060" s="717"/>
      <c r="CF3060" s="717"/>
      <c r="CG3060" s="717"/>
      <c r="CH3060" s="717"/>
      <c r="CI3060" s="717"/>
      <c r="CJ3060" s="717"/>
      <c r="CK3060" s="717"/>
      <c r="CL3060" s="717"/>
      <c r="CM3060" s="717"/>
      <c r="CN3060" s="717"/>
      <c r="CO3060" s="717"/>
      <c r="CP3060" s="717"/>
      <c r="CQ3060" s="717"/>
      <c r="CR3060" s="717"/>
      <c r="CS3060" s="717"/>
      <c r="CT3060" s="717"/>
      <c r="CU3060" s="717"/>
      <c r="CV3060" s="717"/>
      <c r="CW3060" s="717"/>
      <c r="CX3060" s="717"/>
      <c r="CY3060" s="717"/>
      <c r="CZ3060" s="717"/>
      <c r="DA3060" s="717"/>
      <c r="DB3060" s="717"/>
      <c r="DC3060" s="717"/>
      <c r="DD3060" s="717"/>
      <c r="DE3060" s="717"/>
      <c r="DF3060" s="717"/>
      <c r="DG3060" s="717"/>
      <c r="DH3060" s="717"/>
      <c r="DI3060" s="717"/>
      <c r="DJ3060" s="717"/>
      <c r="DM3060" s="711"/>
      <c r="DN3060" s="711"/>
      <c r="DO3060" s="711"/>
      <c r="DP3060" s="711"/>
      <c r="DQ3060" s="711"/>
    </row>
    <row r="3061" spans="13:121" s="709" customFormat="1" hidden="1">
      <c r="M3061" s="710"/>
      <c r="P3061" s="711"/>
      <c r="Q3061" s="712"/>
      <c r="U3061" s="711"/>
      <c r="V3061" s="711"/>
      <c r="W3061" s="711"/>
      <c r="X3061" s="711"/>
      <c r="Y3061" s="711"/>
      <c r="Z3061" s="711"/>
      <c r="AU3061" s="713"/>
      <c r="AW3061" s="712"/>
      <c r="BY3061" s="714"/>
      <c r="BZ3061" s="715"/>
      <c r="CA3061" s="716"/>
      <c r="CB3061" s="717"/>
      <c r="CC3061" s="717"/>
      <c r="CD3061" s="717"/>
      <c r="CE3061" s="717"/>
      <c r="CF3061" s="717"/>
      <c r="CG3061" s="717"/>
      <c r="CH3061" s="717"/>
      <c r="CI3061" s="717"/>
      <c r="CJ3061" s="717"/>
      <c r="CK3061" s="717"/>
      <c r="CL3061" s="717"/>
      <c r="CM3061" s="717"/>
      <c r="CN3061" s="717"/>
      <c r="CO3061" s="717"/>
      <c r="CP3061" s="717"/>
      <c r="CQ3061" s="717"/>
      <c r="CR3061" s="717"/>
      <c r="CS3061" s="717"/>
      <c r="CT3061" s="717"/>
      <c r="CU3061" s="717"/>
      <c r="CV3061" s="717"/>
      <c r="CW3061" s="717"/>
      <c r="CX3061" s="717"/>
      <c r="CY3061" s="717"/>
      <c r="CZ3061" s="717"/>
      <c r="DA3061" s="717"/>
      <c r="DB3061" s="717"/>
      <c r="DC3061" s="717"/>
      <c r="DD3061" s="717"/>
      <c r="DE3061" s="717"/>
      <c r="DF3061" s="717"/>
      <c r="DG3061" s="717"/>
      <c r="DH3061" s="717"/>
      <c r="DI3061" s="717"/>
      <c r="DJ3061" s="717"/>
      <c r="DM3061" s="711"/>
      <c r="DN3061" s="711"/>
      <c r="DO3061" s="711"/>
      <c r="DP3061" s="711"/>
      <c r="DQ3061" s="711"/>
    </row>
    <row r="3062" spans="13:121" s="709" customFormat="1" hidden="1">
      <c r="M3062" s="710"/>
      <c r="P3062" s="711"/>
      <c r="Q3062" s="712"/>
      <c r="U3062" s="711"/>
      <c r="V3062" s="711"/>
      <c r="W3062" s="711"/>
      <c r="X3062" s="711"/>
      <c r="Y3062" s="711"/>
      <c r="Z3062" s="711"/>
      <c r="AU3062" s="713"/>
      <c r="AW3062" s="712"/>
      <c r="BY3062" s="714"/>
      <c r="BZ3062" s="715"/>
      <c r="CA3062" s="716"/>
      <c r="CB3062" s="717"/>
      <c r="CC3062" s="717"/>
      <c r="CD3062" s="717"/>
      <c r="CE3062" s="717"/>
      <c r="CF3062" s="717"/>
      <c r="CG3062" s="717"/>
      <c r="CH3062" s="717"/>
      <c r="CI3062" s="717"/>
      <c r="CJ3062" s="717"/>
      <c r="CK3062" s="717"/>
      <c r="CL3062" s="717"/>
      <c r="CM3062" s="717"/>
      <c r="CN3062" s="717"/>
      <c r="CO3062" s="717"/>
      <c r="CP3062" s="717"/>
      <c r="CQ3062" s="717"/>
      <c r="CR3062" s="717"/>
      <c r="CS3062" s="717"/>
      <c r="CT3062" s="717"/>
      <c r="CU3062" s="717"/>
      <c r="CV3062" s="717"/>
      <c r="CW3062" s="717"/>
      <c r="CX3062" s="717"/>
      <c r="CY3062" s="717"/>
      <c r="CZ3062" s="717"/>
      <c r="DA3062" s="717"/>
      <c r="DB3062" s="717"/>
      <c r="DC3062" s="717"/>
      <c r="DD3062" s="717"/>
      <c r="DE3062" s="717"/>
      <c r="DF3062" s="717"/>
      <c r="DG3062" s="717"/>
      <c r="DH3062" s="717"/>
      <c r="DI3062" s="717"/>
      <c r="DJ3062" s="717"/>
      <c r="DM3062" s="711"/>
      <c r="DN3062" s="711"/>
      <c r="DO3062" s="711"/>
      <c r="DP3062" s="711"/>
      <c r="DQ3062" s="711"/>
    </row>
    <row r="3063" spans="13:121" s="709" customFormat="1" hidden="1">
      <c r="M3063" s="710"/>
      <c r="P3063" s="711"/>
      <c r="Q3063" s="712"/>
      <c r="U3063" s="711"/>
      <c r="V3063" s="711"/>
      <c r="W3063" s="711"/>
      <c r="X3063" s="711"/>
      <c r="Y3063" s="711"/>
      <c r="Z3063" s="711"/>
      <c r="AU3063" s="713"/>
      <c r="AW3063" s="712"/>
      <c r="BY3063" s="714"/>
      <c r="BZ3063" s="715"/>
      <c r="CA3063" s="716"/>
      <c r="CB3063" s="717"/>
      <c r="CC3063" s="717"/>
      <c r="CD3063" s="717"/>
      <c r="CE3063" s="717"/>
      <c r="CF3063" s="717"/>
      <c r="CG3063" s="717"/>
      <c r="CH3063" s="717"/>
      <c r="CI3063" s="717"/>
      <c r="CJ3063" s="717"/>
      <c r="CK3063" s="717"/>
      <c r="CL3063" s="717"/>
      <c r="CM3063" s="717"/>
      <c r="CN3063" s="717"/>
      <c r="CO3063" s="717"/>
      <c r="CP3063" s="717"/>
      <c r="CQ3063" s="717"/>
      <c r="CR3063" s="717"/>
      <c r="CS3063" s="717"/>
      <c r="CT3063" s="717"/>
      <c r="CU3063" s="717"/>
      <c r="CV3063" s="717"/>
      <c r="CW3063" s="717"/>
      <c r="CX3063" s="717"/>
      <c r="CY3063" s="717"/>
      <c r="CZ3063" s="717"/>
      <c r="DA3063" s="717"/>
      <c r="DB3063" s="717"/>
      <c r="DC3063" s="717"/>
      <c r="DD3063" s="717"/>
      <c r="DE3063" s="717"/>
      <c r="DF3063" s="717"/>
      <c r="DG3063" s="717"/>
      <c r="DH3063" s="717"/>
      <c r="DI3063" s="717"/>
      <c r="DJ3063" s="717"/>
      <c r="DM3063" s="711"/>
      <c r="DN3063" s="711"/>
      <c r="DO3063" s="711"/>
      <c r="DP3063" s="711"/>
      <c r="DQ3063" s="711"/>
    </row>
    <row r="3064" spans="13:121" s="709" customFormat="1" hidden="1">
      <c r="M3064" s="710"/>
      <c r="P3064" s="711"/>
      <c r="Q3064" s="712"/>
      <c r="U3064" s="711"/>
      <c r="V3064" s="711"/>
      <c r="W3064" s="711"/>
      <c r="X3064" s="711"/>
      <c r="Y3064" s="711"/>
      <c r="Z3064" s="711"/>
      <c r="AU3064" s="713"/>
      <c r="AW3064" s="712"/>
      <c r="BY3064" s="714"/>
      <c r="BZ3064" s="715"/>
      <c r="CA3064" s="716"/>
      <c r="CB3064" s="717"/>
      <c r="CC3064" s="717"/>
      <c r="CD3064" s="717"/>
      <c r="CE3064" s="717"/>
      <c r="CF3064" s="717"/>
      <c r="CG3064" s="717"/>
      <c r="CH3064" s="717"/>
      <c r="CI3064" s="717"/>
      <c r="CJ3064" s="717"/>
      <c r="CK3064" s="717"/>
      <c r="CL3064" s="717"/>
      <c r="CM3064" s="717"/>
      <c r="CN3064" s="717"/>
      <c r="CO3064" s="717"/>
      <c r="CP3064" s="717"/>
      <c r="CQ3064" s="717"/>
      <c r="CR3064" s="717"/>
      <c r="CS3064" s="717"/>
      <c r="CT3064" s="717"/>
      <c r="CU3064" s="717"/>
      <c r="CV3064" s="717"/>
      <c r="CW3064" s="717"/>
      <c r="CX3064" s="717"/>
      <c r="CY3064" s="717"/>
      <c r="CZ3064" s="717"/>
      <c r="DA3064" s="717"/>
      <c r="DB3064" s="717"/>
      <c r="DC3064" s="717"/>
      <c r="DD3064" s="717"/>
      <c r="DE3064" s="717"/>
      <c r="DF3064" s="717"/>
      <c r="DG3064" s="717"/>
      <c r="DH3064" s="717"/>
      <c r="DI3064" s="717"/>
      <c r="DJ3064" s="717"/>
      <c r="DM3064" s="711"/>
      <c r="DN3064" s="711"/>
      <c r="DO3064" s="711"/>
      <c r="DP3064" s="711"/>
      <c r="DQ3064" s="711"/>
    </row>
    <row r="3065" spans="13:121" s="709" customFormat="1" hidden="1">
      <c r="M3065" s="710"/>
      <c r="P3065" s="711"/>
      <c r="Q3065" s="712"/>
      <c r="U3065" s="711"/>
      <c r="V3065" s="711"/>
      <c r="W3065" s="711"/>
      <c r="X3065" s="711"/>
      <c r="Y3065" s="711"/>
      <c r="Z3065" s="711"/>
      <c r="AU3065" s="713"/>
      <c r="AW3065" s="712"/>
      <c r="BY3065" s="714"/>
      <c r="BZ3065" s="715"/>
      <c r="CA3065" s="716"/>
      <c r="CB3065" s="717"/>
      <c r="CC3065" s="717"/>
      <c r="CD3065" s="717"/>
      <c r="CE3065" s="717"/>
      <c r="CF3065" s="717"/>
      <c r="CG3065" s="717"/>
      <c r="CH3065" s="717"/>
      <c r="CI3065" s="717"/>
      <c r="CJ3065" s="717"/>
      <c r="CK3065" s="717"/>
      <c r="CL3065" s="717"/>
      <c r="CM3065" s="717"/>
      <c r="CN3065" s="717"/>
      <c r="CO3065" s="717"/>
      <c r="CP3065" s="717"/>
      <c r="CQ3065" s="717"/>
      <c r="CR3065" s="717"/>
      <c r="CS3065" s="717"/>
      <c r="CT3065" s="717"/>
      <c r="CU3065" s="717"/>
      <c r="CV3065" s="717"/>
      <c r="CW3065" s="717"/>
      <c r="CX3065" s="717"/>
      <c r="CY3065" s="717"/>
      <c r="CZ3065" s="717"/>
      <c r="DA3065" s="717"/>
      <c r="DB3065" s="717"/>
      <c r="DC3065" s="717"/>
      <c r="DD3065" s="717"/>
      <c r="DE3065" s="717"/>
      <c r="DF3065" s="717"/>
      <c r="DG3065" s="717"/>
      <c r="DH3065" s="717"/>
      <c r="DI3065" s="717"/>
      <c r="DJ3065" s="717"/>
      <c r="DM3065" s="711"/>
      <c r="DN3065" s="711"/>
      <c r="DO3065" s="711"/>
      <c r="DP3065" s="711"/>
      <c r="DQ3065" s="711"/>
    </row>
    <row r="3066" spans="13:121" s="709" customFormat="1" hidden="1">
      <c r="M3066" s="710"/>
      <c r="P3066" s="711"/>
      <c r="Q3066" s="712"/>
      <c r="U3066" s="711"/>
      <c r="V3066" s="711"/>
      <c r="W3066" s="711"/>
      <c r="X3066" s="711"/>
      <c r="Y3066" s="711"/>
      <c r="Z3066" s="711"/>
      <c r="AU3066" s="713"/>
      <c r="AW3066" s="712"/>
      <c r="BY3066" s="714"/>
      <c r="BZ3066" s="715"/>
      <c r="CA3066" s="716"/>
      <c r="CB3066" s="717"/>
      <c r="CC3066" s="717"/>
      <c r="CD3066" s="717"/>
      <c r="CE3066" s="717"/>
      <c r="CF3066" s="717"/>
      <c r="CG3066" s="717"/>
      <c r="CH3066" s="717"/>
      <c r="CI3066" s="717"/>
      <c r="CJ3066" s="717"/>
      <c r="CK3066" s="717"/>
      <c r="CL3066" s="717"/>
      <c r="CM3066" s="717"/>
      <c r="CN3066" s="717"/>
      <c r="CO3066" s="717"/>
      <c r="CP3066" s="717"/>
      <c r="CQ3066" s="717"/>
      <c r="CR3066" s="717"/>
      <c r="CS3066" s="717"/>
      <c r="CT3066" s="717"/>
      <c r="CU3066" s="717"/>
      <c r="CV3066" s="717"/>
      <c r="CW3066" s="717"/>
      <c r="CX3066" s="717"/>
      <c r="CY3066" s="717"/>
      <c r="CZ3066" s="717"/>
      <c r="DA3066" s="717"/>
      <c r="DB3066" s="717"/>
      <c r="DC3066" s="717"/>
      <c r="DD3066" s="717"/>
      <c r="DE3066" s="717"/>
      <c r="DF3066" s="717"/>
      <c r="DG3066" s="717"/>
      <c r="DH3066" s="717"/>
      <c r="DI3066" s="717"/>
      <c r="DJ3066" s="717"/>
      <c r="DM3066" s="711"/>
      <c r="DN3066" s="711"/>
      <c r="DO3066" s="711"/>
      <c r="DP3066" s="711"/>
      <c r="DQ3066" s="711"/>
    </row>
    <row r="3067" spans="13:121" s="709" customFormat="1" hidden="1">
      <c r="M3067" s="710"/>
      <c r="P3067" s="711"/>
      <c r="Q3067" s="712"/>
      <c r="U3067" s="711"/>
      <c r="V3067" s="711"/>
      <c r="W3067" s="711"/>
      <c r="X3067" s="711"/>
      <c r="Y3067" s="711"/>
      <c r="Z3067" s="711"/>
      <c r="AU3067" s="713"/>
      <c r="AW3067" s="712"/>
      <c r="BY3067" s="714"/>
      <c r="BZ3067" s="715"/>
      <c r="CA3067" s="716"/>
      <c r="CB3067" s="717"/>
      <c r="CC3067" s="717"/>
      <c r="CD3067" s="717"/>
      <c r="CE3067" s="717"/>
      <c r="CF3067" s="717"/>
      <c r="CG3067" s="717"/>
      <c r="CH3067" s="717"/>
      <c r="CI3067" s="717"/>
      <c r="CJ3067" s="717"/>
      <c r="CK3067" s="717"/>
      <c r="CL3067" s="717"/>
      <c r="CM3067" s="717"/>
      <c r="CN3067" s="717"/>
      <c r="CO3067" s="717"/>
      <c r="CP3067" s="717"/>
      <c r="CQ3067" s="717"/>
      <c r="CR3067" s="717"/>
      <c r="CS3067" s="717"/>
      <c r="CT3067" s="717"/>
      <c r="CU3067" s="717"/>
      <c r="CV3067" s="717"/>
      <c r="CW3067" s="717"/>
      <c r="CX3067" s="717"/>
      <c r="CY3067" s="717"/>
      <c r="CZ3067" s="717"/>
      <c r="DA3067" s="717"/>
      <c r="DB3067" s="717"/>
      <c r="DC3067" s="717"/>
      <c r="DD3067" s="717"/>
      <c r="DE3067" s="717"/>
      <c r="DF3067" s="717"/>
      <c r="DG3067" s="717"/>
      <c r="DH3067" s="717"/>
      <c r="DI3067" s="717"/>
      <c r="DJ3067" s="717"/>
      <c r="DM3067" s="711"/>
      <c r="DN3067" s="711"/>
      <c r="DO3067" s="711"/>
      <c r="DP3067" s="711"/>
      <c r="DQ3067" s="711"/>
    </row>
    <row r="3068" spans="13:121" s="709" customFormat="1" hidden="1">
      <c r="M3068" s="710"/>
      <c r="P3068" s="711"/>
      <c r="Q3068" s="712"/>
      <c r="U3068" s="711"/>
      <c r="V3068" s="711"/>
      <c r="W3068" s="711"/>
      <c r="X3068" s="711"/>
      <c r="Y3068" s="711"/>
      <c r="Z3068" s="711"/>
      <c r="AU3068" s="713"/>
      <c r="AW3068" s="712"/>
      <c r="BY3068" s="714"/>
      <c r="BZ3068" s="715"/>
      <c r="CA3068" s="716"/>
      <c r="CB3068" s="717"/>
      <c r="CC3068" s="717"/>
      <c r="CD3068" s="717"/>
      <c r="CE3068" s="717"/>
      <c r="CF3068" s="717"/>
      <c r="CG3068" s="717"/>
      <c r="CH3068" s="717"/>
      <c r="CI3068" s="717"/>
      <c r="CJ3068" s="717"/>
      <c r="CK3068" s="717"/>
      <c r="CL3068" s="717"/>
      <c r="CM3068" s="717"/>
      <c r="CN3068" s="717"/>
      <c r="CO3068" s="717"/>
      <c r="CP3068" s="717"/>
      <c r="CQ3068" s="717"/>
      <c r="CR3068" s="717"/>
      <c r="CS3068" s="717"/>
      <c r="CT3068" s="717"/>
      <c r="CU3068" s="717"/>
      <c r="CV3068" s="717"/>
      <c r="CW3068" s="717"/>
      <c r="CX3068" s="717"/>
      <c r="CY3068" s="717"/>
      <c r="CZ3068" s="717"/>
      <c r="DA3068" s="717"/>
      <c r="DB3068" s="717"/>
      <c r="DC3068" s="717"/>
      <c r="DD3068" s="717"/>
      <c r="DE3068" s="717"/>
      <c r="DF3068" s="717"/>
      <c r="DG3068" s="717"/>
      <c r="DH3068" s="717"/>
      <c r="DI3068" s="717"/>
      <c r="DJ3068" s="717"/>
      <c r="DM3068" s="711"/>
      <c r="DN3068" s="711"/>
      <c r="DO3068" s="711"/>
      <c r="DP3068" s="711"/>
      <c r="DQ3068" s="711"/>
    </row>
    <row r="3069" spans="13:121" s="709" customFormat="1" hidden="1">
      <c r="M3069" s="710"/>
      <c r="P3069" s="711"/>
      <c r="Q3069" s="712"/>
      <c r="U3069" s="711"/>
      <c r="V3069" s="711"/>
      <c r="W3069" s="711"/>
      <c r="X3069" s="711"/>
      <c r="Y3069" s="711"/>
      <c r="Z3069" s="711"/>
      <c r="AU3069" s="713"/>
      <c r="AW3069" s="712"/>
      <c r="BY3069" s="714"/>
      <c r="BZ3069" s="715"/>
      <c r="CA3069" s="716"/>
      <c r="CB3069" s="717"/>
      <c r="CC3069" s="717"/>
      <c r="CD3069" s="717"/>
      <c r="CE3069" s="717"/>
      <c r="CF3069" s="717"/>
      <c r="CG3069" s="717"/>
      <c r="CH3069" s="717"/>
      <c r="CI3069" s="717"/>
      <c r="CJ3069" s="717"/>
      <c r="CK3069" s="717"/>
      <c r="CL3069" s="717"/>
      <c r="CM3069" s="717"/>
      <c r="CN3069" s="717"/>
      <c r="CO3069" s="717"/>
      <c r="CP3069" s="717"/>
      <c r="CQ3069" s="717"/>
      <c r="CR3069" s="717"/>
      <c r="CS3069" s="717"/>
      <c r="CT3069" s="717"/>
      <c r="CU3069" s="717"/>
      <c r="CV3069" s="717"/>
      <c r="CW3069" s="717"/>
      <c r="CX3069" s="717"/>
      <c r="CY3069" s="717"/>
      <c r="CZ3069" s="717"/>
      <c r="DA3069" s="717"/>
      <c r="DB3069" s="717"/>
      <c r="DC3069" s="717"/>
      <c r="DD3069" s="717"/>
      <c r="DE3069" s="717"/>
      <c r="DF3069" s="717"/>
      <c r="DG3069" s="717"/>
      <c r="DH3069" s="717"/>
      <c r="DI3069" s="717"/>
      <c r="DJ3069" s="717"/>
      <c r="DM3069" s="711"/>
      <c r="DN3069" s="711"/>
      <c r="DO3069" s="711"/>
      <c r="DP3069" s="711"/>
      <c r="DQ3069" s="711"/>
    </row>
    <row r="3070" spans="13:121" s="709" customFormat="1" hidden="1">
      <c r="M3070" s="710"/>
      <c r="P3070" s="711"/>
      <c r="Q3070" s="712"/>
      <c r="U3070" s="711"/>
      <c r="V3070" s="711"/>
      <c r="W3070" s="711"/>
      <c r="X3070" s="711"/>
      <c r="Y3070" s="711"/>
      <c r="Z3070" s="711"/>
      <c r="AU3070" s="713"/>
      <c r="AW3070" s="712"/>
      <c r="BY3070" s="714"/>
      <c r="BZ3070" s="715"/>
      <c r="CA3070" s="716"/>
      <c r="CB3070" s="717"/>
      <c r="CC3070" s="717"/>
      <c r="CD3070" s="717"/>
      <c r="CE3070" s="717"/>
      <c r="CF3070" s="717"/>
      <c r="CG3070" s="717"/>
      <c r="CH3070" s="717"/>
      <c r="CI3070" s="717"/>
      <c r="CJ3070" s="717"/>
      <c r="CK3070" s="717"/>
      <c r="CL3070" s="717"/>
      <c r="CM3070" s="717"/>
      <c r="CN3070" s="717"/>
      <c r="CO3070" s="717"/>
      <c r="CP3070" s="717"/>
      <c r="CQ3070" s="717"/>
      <c r="CR3070" s="717"/>
      <c r="CS3070" s="717"/>
      <c r="CT3070" s="717"/>
      <c r="CU3070" s="717"/>
      <c r="CV3070" s="717"/>
      <c r="CW3070" s="717"/>
      <c r="CX3070" s="717"/>
      <c r="CY3070" s="717"/>
      <c r="CZ3070" s="717"/>
      <c r="DA3070" s="717"/>
      <c r="DB3070" s="717"/>
      <c r="DC3070" s="717"/>
      <c r="DD3070" s="717"/>
      <c r="DE3070" s="717"/>
      <c r="DF3070" s="717"/>
      <c r="DG3070" s="717"/>
      <c r="DH3070" s="717"/>
      <c r="DI3070" s="717"/>
      <c r="DJ3070" s="717"/>
      <c r="DM3070" s="711"/>
      <c r="DN3070" s="711"/>
      <c r="DO3070" s="711"/>
      <c r="DP3070" s="711"/>
      <c r="DQ3070" s="711"/>
    </row>
    <row r="3071" spans="13:121" s="709" customFormat="1" hidden="1">
      <c r="M3071" s="710"/>
      <c r="P3071" s="711"/>
      <c r="Q3071" s="712"/>
      <c r="U3071" s="711"/>
      <c r="V3071" s="711"/>
      <c r="W3071" s="711"/>
      <c r="X3071" s="711"/>
      <c r="Y3071" s="711"/>
      <c r="Z3071" s="711"/>
      <c r="AU3071" s="713"/>
      <c r="AW3071" s="712"/>
      <c r="BY3071" s="714"/>
      <c r="BZ3071" s="715"/>
      <c r="CA3071" s="716"/>
      <c r="CB3071" s="717"/>
      <c r="CC3071" s="717"/>
      <c r="CD3071" s="717"/>
      <c r="CE3071" s="717"/>
      <c r="CF3071" s="717"/>
      <c r="CG3071" s="717"/>
      <c r="CH3071" s="717"/>
      <c r="CI3071" s="717"/>
      <c r="CJ3071" s="717"/>
      <c r="CK3071" s="717"/>
      <c r="CL3071" s="717"/>
      <c r="CM3071" s="717"/>
      <c r="CN3071" s="717"/>
      <c r="CO3071" s="717"/>
      <c r="CP3071" s="717"/>
      <c r="CQ3071" s="717"/>
      <c r="CR3071" s="717"/>
      <c r="CS3071" s="717"/>
      <c r="CT3071" s="717"/>
      <c r="CU3071" s="717"/>
      <c r="CV3071" s="717"/>
      <c r="CW3071" s="717"/>
      <c r="CX3071" s="717"/>
      <c r="CY3071" s="717"/>
      <c r="CZ3071" s="717"/>
      <c r="DA3071" s="717"/>
      <c r="DB3071" s="717"/>
      <c r="DC3071" s="717"/>
      <c r="DD3071" s="717"/>
      <c r="DE3071" s="717"/>
      <c r="DF3071" s="717"/>
      <c r="DG3071" s="717"/>
      <c r="DH3071" s="717"/>
      <c r="DI3071" s="717"/>
      <c r="DJ3071" s="717"/>
      <c r="DM3071" s="711"/>
      <c r="DN3071" s="711"/>
      <c r="DO3071" s="711"/>
      <c r="DP3071" s="711"/>
      <c r="DQ3071" s="711"/>
    </row>
    <row r="3072" spans="13:121" s="709" customFormat="1" hidden="1">
      <c r="M3072" s="710"/>
      <c r="P3072" s="711"/>
      <c r="Q3072" s="712"/>
      <c r="U3072" s="711"/>
      <c r="V3072" s="711"/>
      <c r="W3072" s="711"/>
      <c r="X3072" s="711"/>
      <c r="Y3072" s="711"/>
      <c r="Z3072" s="711"/>
      <c r="AU3072" s="713"/>
      <c r="AW3072" s="712"/>
      <c r="BY3072" s="714"/>
      <c r="BZ3072" s="715"/>
      <c r="CA3072" s="716"/>
      <c r="CB3072" s="717"/>
      <c r="CC3072" s="717"/>
      <c r="CD3072" s="717"/>
      <c r="CE3072" s="717"/>
      <c r="CF3072" s="717"/>
      <c r="CG3072" s="717"/>
      <c r="CH3072" s="717"/>
      <c r="CI3072" s="717"/>
      <c r="CJ3072" s="717"/>
      <c r="CK3072" s="717"/>
      <c r="CL3072" s="717"/>
      <c r="CM3072" s="717"/>
      <c r="CN3072" s="717"/>
      <c r="CO3072" s="717"/>
      <c r="CP3072" s="717"/>
      <c r="CQ3072" s="717"/>
      <c r="CR3072" s="717"/>
      <c r="CS3072" s="717"/>
      <c r="CT3072" s="717"/>
      <c r="CU3072" s="717"/>
      <c r="CV3072" s="717"/>
      <c r="CW3072" s="717"/>
      <c r="CX3072" s="717"/>
      <c r="CY3072" s="717"/>
      <c r="CZ3072" s="717"/>
      <c r="DA3072" s="717"/>
      <c r="DB3072" s="717"/>
      <c r="DC3072" s="717"/>
      <c r="DD3072" s="717"/>
      <c r="DE3072" s="717"/>
      <c r="DF3072" s="717"/>
      <c r="DG3072" s="717"/>
      <c r="DH3072" s="717"/>
      <c r="DI3072" s="717"/>
      <c r="DJ3072" s="717"/>
      <c r="DM3072" s="711"/>
      <c r="DN3072" s="711"/>
      <c r="DO3072" s="711"/>
      <c r="DP3072" s="711"/>
      <c r="DQ3072" s="711"/>
    </row>
    <row r="3073" spans="13:121" s="709" customFormat="1" hidden="1">
      <c r="M3073" s="710"/>
      <c r="P3073" s="711"/>
      <c r="Q3073" s="712"/>
      <c r="U3073" s="711"/>
      <c r="V3073" s="711"/>
      <c r="W3073" s="711"/>
      <c r="X3073" s="711"/>
      <c r="Y3073" s="711"/>
      <c r="Z3073" s="711"/>
      <c r="AU3073" s="713"/>
      <c r="AW3073" s="712"/>
      <c r="BY3073" s="714"/>
      <c r="BZ3073" s="715"/>
      <c r="CA3073" s="716"/>
      <c r="CB3073" s="717"/>
      <c r="CC3073" s="717"/>
      <c r="CD3073" s="717"/>
      <c r="CE3073" s="717"/>
      <c r="CF3073" s="717"/>
      <c r="CG3073" s="717"/>
      <c r="CH3073" s="717"/>
      <c r="CI3073" s="717"/>
      <c r="CJ3073" s="717"/>
      <c r="CK3073" s="717"/>
      <c r="CL3073" s="717"/>
      <c r="CM3073" s="717"/>
      <c r="CN3073" s="717"/>
      <c r="CO3073" s="717"/>
      <c r="CP3073" s="717"/>
      <c r="CQ3073" s="717"/>
      <c r="CR3073" s="717"/>
      <c r="CS3073" s="717"/>
      <c r="CT3073" s="717"/>
      <c r="CU3073" s="717"/>
      <c r="CV3073" s="717"/>
      <c r="CW3073" s="717"/>
      <c r="CX3073" s="717"/>
      <c r="CY3073" s="717"/>
      <c r="CZ3073" s="717"/>
      <c r="DA3073" s="717"/>
      <c r="DB3073" s="717"/>
      <c r="DC3073" s="717"/>
      <c r="DD3073" s="717"/>
      <c r="DE3073" s="717"/>
      <c r="DF3073" s="717"/>
      <c r="DG3073" s="717"/>
      <c r="DH3073" s="717"/>
      <c r="DI3073" s="717"/>
      <c r="DJ3073" s="717"/>
      <c r="DM3073" s="711"/>
      <c r="DN3073" s="711"/>
      <c r="DO3073" s="711"/>
      <c r="DP3073" s="711"/>
      <c r="DQ3073" s="711"/>
    </row>
    <row r="3074" spans="13:121" s="709" customFormat="1" hidden="1">
      <c r="M3074" s="710"/>
      <c r="P3074" s="711"/>
      <c r="Q3074" s="712"/>
      <c r="U3074" s="711"/>
      <c r="V3074" s="711"/>
      <c r="W3074" s="711"/>
      <c r="X3074" s="711"/>
      <c r="Y3074" s="711"/>
      <c r="Z3074" s="711"/>
      <c r="AU3074" s="713"/>
      <c r="AW3074" s="712"/>
      <c r="BY3074" s="714"/>
      <c r="BZ3074" s="715"/>
      <c r="CA3074" s="716"/>
      <c r="CB3074" s="717"/>
      <c r="CC3074" s="717"/>
      <c r="CD3074" s="717"/>
      <c r="CE3074" s="717"/>
      <c r="CF3074" s="717"/>
      <c r="CG3074" s="717"/>
      <c r="CH3074" s="717"/>
      <c r="CI3074" s="717"/>
      <c r="CJ3074" s="717"/>
      <c r="CK3074" s="717"/>
      <c r="CL3074" s="717"/>
      <c r="CM3074" s="717"/>
      <c r="CN3074" s="717"/>
      <c r="CO3074" s="717"/>
      <c r="CP3074" s="717"/>
      <c r="CQ3074" s="717"/>
      <c r="CR3074" s="717"/>
      <c r="CS3074" s="717"/>
      <c r="CT3074" s="717"/>
      <c r="CU3074" s="717"/>
      <c r="CV3074" s="717"/>
      <c r="CW3074" s="717"/>
      <c r="CX3074" s="717"/>
      <c r="CY3074" s="717"/>
      <c r="CZ3074" s="717"/>
      <c r="DA3074" s="717"/>
      <c r="DB3074" s="717"/>
      <c r="DC3074" s="717"/>
      <c r="DD3074" s="717"/>
      <c r="DE3074" s="717"/>
      <c r="DF3074" s="717"/>
      <c r="DG3074" s="717"/>
      <c r="DH3074" s="717"/>
      <c r="DI3074" s="717"/>
      <c r="DJ3074" s="717"/>
      <c r="DM3074" s="711"/>
      <c r="DN3074" s="711"/>
      <c r="DO3074" s="711"/>
      <c r="DP3074" s="711"/>
      <c r="DQ3074" s="711"/>
    </row>
    <row r="3075" spans="13:121" s="709" customFormat="1" hidden="1">
      <c r="M3075" s="710"/>
      <c r="P3075" s="711"/>
      <c r="Q3075" s="712"/>
      <c r="U3075" s="711"/>
      <c r="V3075" s="711"/>
      <c r="W3075" s="711"/>
      <c r="X3075" s="711"/>
      <c r="Y3075" s="711"/>
      <c r="Z3075" s="711"/>
      <c r="AU3075" s="713"/>
      <c r="AW3075" s="712"/>
      <c r="BY3075" s="714"/>
      <c r="BZ3075" s="715"/>
      <c r="CA3075" s="716"/>
      <c r="CB3075" s="717"/>
      <c r="CC3075" s="717"/>
      <c r="CD3075" s="717"/>
      <c r="CE3075" s="717"/>
      <c r="CF3075" s="717"/>
      <c r="CG3075" s="717"/>
      <c r="CH3075" s="717"/>
      <c r="CI3075" s="717"/>
      <c r="CJ3075" s="717"/>
      <c r="CK3075" s="717"/>
      <c r="CL3075" s="717"/>
      <c r="CM3075" s="717"/>
      <c r="CN3075" s="717"/>
      <c r="CO3075" s="717"/>
      <c r="CP3075" s="717"/>
      <c r="CQ3075" s="717"/>
      <c r="CR3075" s="717"/>
      <c r="CS3075" s="717"/>
      <c r="CT3075" s="717"/>
      <c r="CU3075" s="717"/>
      <c r="CV3075" s="717"/>
      <c r="CW3075" s="717"/>
      <c r="CX3075" s="717"/>
      <c r="CY3075" s="717"/>
      <c r="CZ3075" s="717"/>
      <c r="DA3075" s="717"/>
      <c r="DB3075" s="717"/>
      <c r="DC3075" s="717"/>
      <c r="DD3075" s="717"/>
      <c r="DE3075" s="717"/>
      <c r="DF3075" s="717"/>
      <c r="DG3075" s="717"/>
      <c r="DH3075" s="717"/>
      <c r="DI3075" s="717"/>
      <c r="DJ3075" s="717"/>
      <c r="DM3075" s="711"/>
      <c r="DN3075" s="711"/>
      <c r="DO3075" s="711"/>
      <c r="DP3075" s="711"/>
      <c r="DQ3075" s="711"/>
    </row>
    <row r="3076" spans="13:121" s="709" customFormat="1" hidden="1">
      <c r="M3076" s="710"/>
      <c r="P3076" s="711"/>
      <c r="Q3076" s="712"/>
      <c r="U3076" s="711"/>
      <c r="V3076" s="711"/>
      <c r="W3076" s="711"/>
      <c r="X3076" s="711"/>
      <c r="Y3076" s="711"/>
      <c r="Z3076" s="711"/>
      <c r="AU3076" s="713"/>
      <c r="AW3076" s="712"/>
      <c r="BY3076" s="714"/>
      <c r="BZ3076" s="715"/>
      <c r="CA3076" s="716"/>
      <c r="CB3076" s="717"/>
      <c r="CC3076" s="717"/>
      <c r="CD3076" s="717"/>
      <c r="CE3076" s="717"/>
      <c r="CF3076" s="717"/>
      <c r="CG3076" s="717"/>
      <c r="CH3076" s="717"/>
      <c r="CI3076" s="717"/>
      <c r="CJ3076" s="717"/>
      <c r="CK3076" s="717"/>
      <c r="CL3076" s="717"/>
      <c r="CM3076" s="717"/>
      <c r="CN3076" s="717"/>
      <c r="CO3076" s="717"/>
      <c r="CP3076" s="717"/>
      <c r="CQ3076" s="717"/>
      <c r="CR3076" s="717"/>
      <c r="CS3076" s="717"/>
      <c r="CT3076" s="717"/>
      <c r="CU3076" s="717"/>
      <c r="CV3076" s="717"/>
      <c r="CW3076" s="717"/>
      <c r="CX3076" s="717"/>
      <c r="CY3076" s="717"/>
      <c r="CZ3076" s="717"/>
      <c r="DA3076" s="717"/>
      <c r="DB3076" s="717"/>
      <c r="DC3076" s="717"/>
      <c r="DD3076" s="717"/>
      <c r="DE3076" s="717"/>
      <c r="DF3076" s="717"/>
      <c r="DG3076" s="717"/>
      <c r="DH3076" s="717"/>
      <c r="DI3076" s="717"/>
      <c r="DJ3076" s="717"/>
      <c r="DM3076" s="711"/>
      <c r="DN3076" s="711"/>
      <c r="DO3076" s="711"/>
      <c r="DP3076" s="711"/>
      <c r="DQ3076" s="711"/>
    </row>
    <row r="3077" spans="13:121" s="709" customFormat="1" hidden="1">
      <c r="M3077" s="710"/>
      <c r="P3077" s="711"/>
      <c r="Q3077" s="712"/>
      <c r="U3077" s="711"/>
      <c r="V3077" s="711"/>
      <c r="W3077" s="711"/>
      <c r="X3077" s="711"/>
      <c r="Y3077" s="711"/>
      <c r="Z3077" s="711"/>
      <c r="AU3077" s="713"/>
      <c r="AW3077" s="712"/>
      <c r="BY3077" s="714"/>
      <c r="BZ3077" s="715"/>
      <c r="CA3077" s="716"/>
      <c r="CB3077" s="717"/>
      <c r="CC3077" s="717"/>
      <c r="CD3077" s="717"/>
      <c r="CE3077" s="717"/>
      <c r="CF3077" s="717"/>
      <c r="CG3077" s="717"/>
      <c r="CH3077" s="717"/>
      <c r="CI3077" s="717"/>
      <c r="CJ3077" s="717"/>
      <c r="CK3077" s="717"/>
      <c r="CL3077" s="717"/>
      <c r="CM3077" s="717"/>
      <c r="CN3077" s="717"/>
      <c r="CO3077" s="717"/>
      <c r="CP3077" s="717"/>
      <c r="CQ3077" s="717"/>
      <c r="CR3077" s="717"/>
      <c r="CS3077" s="717"/>
      <c r="CT3077" s="717"/>
      <c r="CU3077" s="717"/>
      <c r="CV3077" s="717"/>
      <c r="CW3077" s="717"/>
      <c r="CX3077" s="717"/>
      <c r="CY3077" s="717"/>
      <c r="CZ3077" s="717"/>
      <c r="DA3077" s="717"/>
      <c r="DB3077" s="717"/>
      <c r="DC3077" s="717"/>
      <c r="DD3077" s="717"/>
      <c r="DE3077" s="717"/>
      <c r="DF3077" s="717"/>
      <c r="DG3077" s="717"/>
      <c r="DH3077" s="717"/>
      <c r="DI3077" s="717"/>
      <c r="DJ3077" s="717"/>
      <c r="DM3077" s="711"/>
      <c r="DN3077" s="711"/>
      <c r="DO3077" s="711"/>
      <c r="DP3077" s="711"/>
      <c r="DQ3077" s="711"/>
    </row>
    <row r="3078" spans="13:121" s="709" customFormat="1" hidden="1">
      <c r="M3078" s="710"/>
      <c r="P3078" s="711"/>
      <c r="Q3078" s="712"/>
      <c r="U3078" s="711"/>
      <c r="V3078" s="711"/>
      <c r="W3078" s="711"/>
      <c r="X3078" s="711"/>
      <c r="Y3078" s="711"/>
      <c r="Z3078" s="711"/>
      <c r="AU3078" s="713"/>
      <c r="AW3078" s="712"/>
      <c r="BY3078" s="714"/>
      <c r="BZ3078" s="715"/>
      <c r="CA3078" s="716"/>
      <c r="CB3078" s="717"/>
      <c r="CC3078" s="717"/>
      <c r="CD3078" s="717"/>
      <c r="CE3078" s="717"/>
      <c r="CF3078" s="717"/>
      <c r="CG3078" s="717"/>
      <c r="CH3078" s="717"/>
      <c r="CI3078" s="717"/>
      <c r="CJ3078" s="717"/>
      <c r="CK3078" s="717"/>
      <c r="CL3078" s="717"/>
      <c r="CM3078" s="717"/>
      <c r="CN3078" s="717"/>
      <c r="CO3078" s="717"/>
      <c r="CP3078" s="717"/>
      <c r="CQ3078" s="717"/>
      <c r="CR3078" s="717"/>
      <c r="CS3078" s="717"/>
      <c r="CT3078" s="717"/>
      <c r="CU3078" s="717"/>
      <c r="CV3078" s="717"/>
      <c r="CW3078" s="717"/>
      <c r="CX3078" s="717"/>
      <c r="CY3078" s="717"/>
      <c r="CZ3078" s="717"/>
      <c r="DA3078" s="717"/>
      <c r="DB3078" s="717"/>
      <c r="DC3078" s="717"/>
      <c r="DD3078" s="717"/>
      <c r="DE3078" s="717"/>
      <c r="DF3078" s="717"/>
      <c r="DG3078" s="717"/>
      <c r="DH3078" s="717"/>
      <c r="DI3078" s="717"/>
      <c r="DJ3078" s="717"/>
      <c r="DM3078" s="711"/>
      <c r="DN3078" s="711"/>
      <c r="DO3078" s="711"/>
      <c r="DP3078" s="711"/>
      <c r="DQ3078" s="711"/>
    </row>
    <row r="3079" spans="13:121" s="709" customFormat="1" hidden="1">
      <c r="M3079" s="710"/>
      <c r="P3079" s="711"/>
      <c r="Q3079" s="712"/>
      <c r="U3079" s="711"/>
      <c r="V3079" s="711"/>
      <c r="W3079" s="711"/>
      <c r="X3079" s="711"/>
      <c r="Y3079" s="711"/>
      <c r="Z3079" s="711"/>
      <c r="AU3079" s="713"/>
      <c r="AW3079" s="712"/>
      <c r="BY3079" s="714"/>
      <c r="BZ3079" s="715"/>
      <c r="CA3079" s="716"/>
      <c r="CB3079" s="717"/>
      <c r="CC3079" s="717"/>
      <c r="CD3079" s="717"/>
      <c r="CE3079" s="717"/>
      <c r="CF3079" s="717"/>
      <c r="CG3079" s="717"/>
      <c r="CH3079" s="717"/>
      <c r="CI3079" s="717"/>
      <c r="CJ3079" s="717"/>
      <c r="CK3079" s="717"/>
      <c r="CL3079" s="717"/>
      <c r="CM3079" s="717"/>
      <c r="CN3079" s="717"/>
      <c r="CO3079" s="717"/>
      <c r="CP3079" s="717"/>
      <c r="CQ3079" s="717"/>
      <c r="CR3079" s="717"/>
      <c r="CS3079" s="717"/>
      <c r="CT3079" s="717"/>
      <c r="CU3079" s="717"/>
      <c r="CV3079" s="717"/>
      <c r="CW3079" s="717"/>
      <c r="CX3079" s="717"/>
      <c r="CY3079" s="717"/>
      <c r="CZ3079" s="717"/>
      <c r="DA3079" s="717"/>
      <c r="DB3079" s="717"/>
      <c r="DC3079" s="717"/>
      <c r="DD3079" s="717"/>
      <c r="DE3079" s="717"/>
      <c r="DF3079" s="717"/>
      <c r="DG3079" s="717"/>
      <c r="DH3079" s="717"/>
      <c r="DI3079" s="717"/>
      <c r="DJ3079" s="717"/>
      <c r="DM3079" s="711"/>
      <c r="DN3079" s="711"/>
      <c r="DO3079" s="711"/>
      <c r="DP3079" s="711"/>
      <c r="DQ3079" s="711"/>
    </row>
    <row r="3080" spans="13:121" s="709" customFormat="1" hidden="1">
      <c r="M3080" s="710"/>
      <c r="P3080" s="711"/>
      <c r="Q3080" s="712"/>
      <c r="U3080" s="711"/>
      <c r="V3080" s="711"/>
      <c r="W3080" s="711"/>
      <c r="X3080" s="711"/>
      <c r="Y3080" s="711"/>
      <c r="Z3080" s="711"/>
      <c r="AU3080" s="713"/>
      <c r="AW3080" s="712"/>
      <c r="BY3080" s="714"/>
      <c r="BZ3080" s="715"/>
      <c r="CA3080" s="716"/>
      <c r="CB3080" s="717"/>
      <c r="CC3080" s="717"/>
      <c r="CD3080" s="717"/>
      <c r="CE3080" s="717"/>
      <c r="CF3080" s="717"/>
      <c r="CG3080" s="717"/>
      <c r="CH3080" s="717"/>
      <c r="CI3080" s="717"/>
      <c r="CJ3080" s="717"/>
      <c r="CK3080" s="717"/>
      <c r="CL3080" s="717"/>
      <c r="CM3080" s="717"/>
      <c r="CN3080" s="717"/>
      <c r="CO3080" s="717"/>
      <c r="CP3080" s="717"/>
      <c r="CQ3080" s="717"/>
      <c r="CR3080" s="717"/>
      <c r="CS3080" s="717"/>
      <c r="CT3080" s="717"/>
      <c r="CU3080" s="717"/>
      <c r="CV3080" s="717"/>
      <c r="CW3080" s="717"/>
      <c r="CX3080" s="717"/>
      <c r="CY3080" s="717"/>
      <c r="CZ3080" s="717"/>
      <c r="DA3080" s="717"/>
      <c r="DB3080" s="717"/>
      <c r="DC3080" s="717"/>
      <c r="DD3080" s="717"/>
      <c r="DE3080" s="717"/>
      <c r="DF3080" s="717"/>
      <c r="DG3080" s="717"/>
      <c r="DH3080" s="717"/>
      <c r="DI3080" s="717"/>
      <c r="DJ3080" s="717"/>
      <c r="DM3080" s="711"/>
      <c r="DN3080" s="711"/>
      <c r="DO3080" s="711"/>
      <c r="DP3080" s="711"/>
      <c r="DQ3080" s="711"/>
    </row>
    <row r="3081" spans="13:121" s="709" customFormat="1" hidden="1">
      <c r="M3081" s="710"/>
      <c r="P3081" s="711"/>
      <c r="Q3081" s="712"/>
      <c r="U3081" s="711"/>
      <c r="V3081" s="711"/>
      <c r="W3081" s="711"/>
      <c r="X3081" s="711"/>
      <c r="Y3081" s="711"/>
      <c r="Z3081" s="711"/>
      <c r="AU3081" s="713"/>
      <c r="AW3081" s="712"/>
      <c r="BY3081" s="714"/>
      <c r="BZ3081" s="715"/>
      <c r="CA3081" s="716"/>
      <c r="CB3081" s="717"/>
      <c r="CC3081" s="717"/>
      <c r="CD3081" s="717"/>
      <c r="CE3081" s="717"/>
      <c r="CF3081" s="717"/>
      <c r="CG3081" s="717"/>
      <c r="CH3081" s="717"/>
      <c r="CI3081" s="717"/>
      <c r="CJ3081" s="717"/>
      <c r="CK3081" s="717"/>
      <c r="CL3081" s="717"/>
      <c r="CM3081" s="717"/>
      <c r="CN3081" s="717"/>
      <c r="CO3081" s="717"/>
      <c r="CP3081" s="717"/>
      <c r="CQ3081" s="717"/>
      <c r="CR3081" s="717"/>
      <c r="CS3081" s="717"/>
      <c r="CT3081" s="717"/>
      <c r="CU3081" s="717"/>
      <c r="CV3081" s="717"/>
      <c r="CW3081" s="717"/>
      <c r="CX3081" s="717"/>
      <c r="CY3081" s="717"/>
      <c r="CZ3081" s="717"/>
      <c r="DA3081" s="717"/>
      <c r="DB3081" s="717"/>
      <c r="DC3081" s="717"/>
      <c r="DD3081" s="717"/>
      <c r="DE3081" s="717"/>
      <c r="DF3081" s="717"/>
      <c r="DG3081" s="717"/>
      <c r="DH3081" s="717"/>
      <c r="DI3081" s="717"/>
      <c r="DJ3081" s="717"/>
      <c r="DM3081" s="711"/>
      <c r="DN3081" s="711"/>
      <c r="DO3081" s="711"/>
      <c r="DP3081" s="711"/>
      <c r="DQ3081" s="711"/>
    </row>
    <row r="3082" spans="13:121" s="709" customFormat="1" hidden="1">
      <c r="M3082" s="710"/>
      <c r="P3082" s="711"/>
      <c r="Q3082" s="712"/>
      <c r="U3082" s="711"/>
      <c r="V3082" s="711"/>
      <c r="W3082" s="711"/>
      <c r="X3082" s="711"/>
      <c r="Y3082" s="711"/>
      <c r="Z3082" s="711"/>
      <c r="AU3082" s="713"/>
      <c r="AW3082" s="712"/>
      <c r="BY3082" s="714"/>
      <c r="BZ3082" s="715"/>
      <c r="CA3082" s="716"/>
      <c r="CB3082" s="717"/>
      <c r="CC3082" s="717"/>
      <c r="CD3082" s="717"/>
      <c r="CE3082" s="717"/>
      <c r="CF3082" s="717"/>
      <c r="CG3082" s="717"/>
      <c r="CH3082" s="717"/>
      <c r="CI3082" s="717"/>
      <c r="CJ3082" s="717"/>
      <c r="CK3082" s="717"/>
      <c r="CL3082" s="717"/>
      <c r="CM3082" s="717"/>
      <c r="CN3082" s="717"/>
      <c r="CO3082" s="717"/>
      <c r="CP3082" s="717"/>
      <c r="CQ3082" s="717"/>
      <c r="CR3082" s="717"/>
      <c r="CS3082" s="717"/>
      <c r="CT3082" s="717"/>
      <c r="CU3082" s="717"/>
      <c r="CV3082" s="717"/>
      <c r="CW3082" s="717"/>
      <c r="CX3082" s="717"/>
      <c r="CY3082" s="717"/>
      <c r="CZ3082" s="717"/>
      <c r="DA3082" s="717"/>
      <c r="DB3082" s="717"/>
      <c r="DC3082" s="717"/>
      <c r="DD3082" s="717"/>
      <c r="DE3082" s="717"/>
      <c r="DF3082" s="717"/>
      <c r="DG3082" s="717"/>
      <c r="DH3082" s="717"/>
      <c r="DI3082" s="717"/>
      <c r="DJ3082" s="717"/>
      <c r="DM3082" s="711"/>
      <c r="DN3082" s="711"/>
      <c r="DO3082" s="711"/>
      <c r="DP3082" s="711"/>
      <c r="DQ3082" s="711"/>
    </row>
    <row r="3083" spans="13:121" s="709" customFormat="1" hidden="1">
      <c r="M3083" s="710"/>
      <c r="P3083" s="711"/>
      <c r="Q3083" s="712"/>
      <c r="U3083" s="711"/>
      <c r="V3083" s="711"/>
      <c r="W3083" s="711"/>
      <c r="X3083" s="711"/>
      <c r="Y3083" s="711"/>
      <c r="Z3083" s="711"/>
      <c r="AU3083" s="713"/>
      <c r="AW3083" s="712"/>
      <c r="BY3083" s="714"/>
      <c r="BZ3083" s="715"/>
      <c r="CA3083" s="716"/>
      <c r="CB3083" s="717"/>
      <c r="CC3083" s="717"/>
      <c r="CD3083" s="717"/>
      <c r="CE3083" s="717"/>
      <c r="CF3083" s="717"/>
      <c r="CG3083" s="717"/>
      <c r="CH3083" s="717"/>
      <c r="CI3083" s="717"/>
      <c r="CJ3083" s="717"/>
      <c r="CK3083" s="717"/>
      <c r="CL3083" s="717"/>
      <c r="CM3083" s="717"/>
      <c r="CN3083" s="717"/>
      <c r="CO3083" s="717"/>
      <c r="CP3083" s="717"/>
      <c r="CQ3083" s="717"/>
      <c r="CR3083" s="717"/>
      <c r="CS3083" s="717"/>
      <c r="CT3083" s="717"/>
      <c r="CU3083" s="717"/>
      <c r="CV3083" s="717"/>
      <c r="CW3083" s="717"/>
      <c r="CX3083" s="717"/>
      <c r="CY3083" s="717"/>
      <c r="CZ3083" s="717"/>
      <c r="DA3083" s="717"/>
      <c r="DB3083" s="717"/>
      <c r="DC3083" s="717"/>
      <c r="DD3083" s="717"/>
      <c r="DE3083" s="717"/>
      <c r="DF3083" s="717"/>
      <c r="DG3083" s="717"/>
      <c r="DH3083" s="717"/>
      <c r="DI3083" s="717"/>
      <c r="DJ3083" s="717"/>
      <c r="DM3083" s="711"/>
      <c r="DN3083" s="711"/>
      <c r="DO3083" s="711"/>
      <c r="DP3083" s="711"/>
      <c r="DQ3083" s="711"/>
    </row>
    <row r="3084" spans="13:121" s="709" customFormat="1" hidden="1">
      <c r="M3084" s="710"/>
      <c r="P3084" s="711"/>
      <c r="Q3084" s="712"/>
      <c r="U3084" s="711"/>
      <c r="V3084" s="711"/>
      <c r="W3084" s="711"/>
      <c r="X3084" s="711"/>
      <c r="Y3084" s="711"/>
      <c r="Z3084" s="711"/>
      <c r="AU3084" s="713"/>
      <c r="AW3084" s="712"/>
      <c r="BY3084" s="714"/>
      <c r="BZ3084" s="715"/>
      <c r="CA3084" s="716"/>
      <c r="CB3084" s="717"/>
      <c r="CC3084" s="717"/>
      <c r="CD3084" s="717"/>
      <c r="CE3084" s="717"/>
      <c r="CF3084" s="717"/>
      <c r="CG3084" s="717"/>
      <c r="CH3084" s="717"/>
      <c r="CI3084" s="717"/>
      <c r="CJ3084" s="717"/>
      <c r="CK3084" s="717"/>
      <c r="CL3084" s="717"/>
      <c r="CM3084" s="717"/>
      <c r="CN3084" s="717"/>
      <c r="CO3084" s="717"/>
      <c r="CP3084" s="717"/>
      <c r="CQ3084" s="717"/>
      <c r="CR3084" s="717"/>
      <c r="CS3084" s="717"/>
      <c r="CT3084" s="717"/>
      <c r="CU3084" s="717"/>
      <c r="CV3084" s="717"/>
      <c r="CW3084" s="717"/>
      <c r="CX3084" s="717"/>
      <c r="CY3084" s="717"/>
      <c r="CZ3084" s="717"/>
      <c r="DA3084" s="717"/>
      <c r="DB3084" s="717"/>
      <c r="DC3084" s="717"/>
      <c r="DD3084" s="717"/>
      <c r="DE3084" s="717"/>
      <c r="DF3084" s="717"/>
      <c r="DG3084" s="717"/>
      <c r="DH3084" s="717"/>
      <c r="DI3084" s="717"/>
      <c r="DJ3084" s="717"/>
      <c r="DM3084" s="711"/>
      <c r="DN3084" s="711"/>
      <c r="DO3084" s="711"/>
      <c r="DP3084" s="711"/>
      <c r="DQ3084" s="711"/>
    </row>
    <row r="3085" spans="13:121" s="709" customFormat="1" hidden="1">
      <c r="M3085" s="710"/>
      <c r="P3085" s="711"/>
      <c r="Q3085" s="712"/>
      <c r="U3085" s="711"/>
      <c r="V3085" s="711"/>
      <c r="W3085" s="711"/>
      <c r="X3085" s="711"/>
      <c r="Y3085" s="711"/>
      <c r="Z3085" s="711"/>
      <c r="AU3085" s="713"/>
      <c r="AW3085" s="712"/>
      <c r="BY3085" s="714"/>
      <c r="BZ3085" s="715"/>
      <c r="CA3085" s="716"/>
      <c r="CB3085" s="717"/>
      <c r="CC3085" s="717"/>
      <c r="CD3085" s="717"/>
      <c r="CE3085" s="717"/>
      <c r="CF3085" s="717"/>
      <c r="CG3085" s="717"/>
      <c r="CH3085" s="717"/>
      <c r="CI3085" s="717"/>
      <c r="CJ3085" s="717"/>
      <c r="CK3085" s="717"/>
      <c r="CL3085" s="717"/>
      <c r="CM3085" s="717"/>
      <c r="CN3085" s="717"/>
      <c r="CO3085" s="717"/>
      <c r="CP3085" s="717"/>
      <c r="CQ3085" s="717"/>
      <c r="CR3085" s="717"/>
      <c r="CS3085" s="717"/>
      <c r="CT3085" s="717"/>
      <c r="CU3085" s="717"/>
      <c r="CV3085" s="717"/>
      <c r="CW3085" s="717"/>
      <c r="CX3085" s="717"/>
      <c r="CY3085" s="717"/>
      <c r="CZ3085" s="717"/>
      <c r="DA3085" s="717"/>
      <c r="DB3085" s="717"/>
      <c r="DC3085" s="717"/>
      <c r="DD3085" s="717"/>
      <c r="DE3085" s="717"/>
      <c r="DF3085" s="717"/>
      <c r="DG3085" s="717"/>
      <c r="DH3085" s="717"/>
      <c r="DI3085" s="717"/>
      <c r="DJ3085" s="717"/>
      <c r="DM3085" s="711"/>
      <c r="DN3085" s="711"/>
      <c r="DO3085" s="711"/>
      <c r="DP3085" s="711"/>
      <c r="DQ3085" s="711"/>
    </row>
    <row r="3086" spans="13:121" s="709" customFormat="1" hidden="1">
      <c r="M3086" s="710"/>
      <c r="P3086" s="711"/>
      <c r="Q3086" s="712"/>
      <c r="U3086" s="711"/>
      <c r="V3086" s="711"/>
      <c r="W3086" s="711"/>
      <c r="X3086" s="711"/>
      <c r="Y3086" s="711"/>
      <c r="Z3086" s="711"/>
      <c r="AU3086" s="713"/>
      <c r="AW3086" s="712"/>
      <c r="BY3086" s="714"/>
      <c r="BZ3086" s="715"/>
      <c r="CA3086" s="716"/>
      <c r="CB3086" s="717"/>
      <c r="CC3086" s="717"/>
      <c r="CD3086" s="717"/>
      <c r="CE3086" s="717"/>
      <c r="CF3086" s="717"/>
      <c r="CG3086" s="717"/>
      <c r="CH3086" s="717"/>
      <c r="CI3086" s="717"/>
      <c r="CJ3086" s="717"/>
      <c r="CK3086" s="717"/>
      <c r="CL3086" s="717"/>
      <c r="CM3086" s="717"/>
      <c r="CN3086" s="717"/>
      <c r="CO3086" s="717"/>
      <c r="CP3086" s="717"/>
      <c r="CQ3086" s="717"/>
      <c r="CR3086" s="717"/>
      <c r="CS3086" s="717"/>
      <c r="CT3086" s="717"/>
      <c r="CU3086" s="717"/>
      <c r="CV3086" s="717"/>
      <c r="CW3086" s="717"/>
      <c r="CX3086" s="717"/>
      <c r="CY3086" s="717"/>
      <c r="CZ3086" s="717"/>
      <c r="DA3086" s="717"/>
      <c r="DB3086" s="717"/>
      <c r="DC3086" s="717"/>
      <c r="DD3086" s="717"/>
      <c r="DE3086" s="717"/>
      <c r="DF3086" s="717"/>
      <c r="DG3086" s="717"/>
      <c r="DH3086" s="717"/>
      <c r="DI3086" s="717"/>
      <c r="DJ3086" s="717"/>
      <c r="DM3086" s="711"/>
      <c r="DN3086" s="711"/>
      <c r="DO3086" s="711"/>
      <c r="DP3086" s="711"/>
      <c r="DQ3086" s="711"/>
    </row>
    <row r="3087" spans="13:121" s="709" customFormat="1" hidden="1">
      <c r="M3087" s="710"/>
      <c r="P3087" s="711"/>
      <c r="Q3087" s="712"/>
      <c r="U3087" s="711"/>
      <c r="V3087" s="711"/>
      <c r="W3087" s="711"/>
      <c r="X3087" s="711"/>
      <c r="Y3087" s="711"/>
      <c r="Z3087" s="711"/>
      <c r="AU3087" s="713"/>
      <c r="AW3087" s="712"/>
      <c r="BY3087" s="714"/>
      <c r="BZ3087" s="715"/>
      <c r="CA3087" s="716"/>
      <c r="CB3087" s="717"/>
      <c r="CC3087" s="717"/>
      <c r="CD3087" s="717"/>
      <c r="CE3087" s="717"/>
      <c r="CF3087" s="717"/>
      <c r="CG3087" s="717"/>
      <c r="CH3087" s="717"/>
      <c r="CI3087" s="717"/>
      <c r="CJ3087" s="717"/>
      <c r="CK3087" s="717"/>
      <c r="CL3087" s="717"/>
      <c r="CM3087" s="717"/>
      <c r="CN3087" s="717"/>
      <c r="CO3087" s="717"/>
      <c r="CP3087" s="717"/>
      <c r="CQ3087" s="717"/>
      <c r="CR3087" s="717"/>
      <c r="CS3087" s="717"/>
      <c r="CT3087" s="717"/>
      <c r="CU3087" s="717"/>
      <c r="CV3087" s="717"/>
      <c r="CW3087" s="717"/>
      <c r="CX3087" s="717"/>
      <c r="CY3087" s="717"/>
      <c r="CZ3087" s="717"/>
      <c r="DA3087" s="717"/>
      <c r="DB3087" s="717"/>
      <c r="DC3087" s="717"/>
      <c r="DD3087" s="717"/>
      <c r="DE3087" s="717"/>
      <c r="DF3087" s="717"/>
      <c r="DG3087" s="717"/>
      <c r="DH3087" s="717"/>
      <c r="DI3087" s="717"/>
      <c r="DJ3087" s="717"/>
      <c r="DM3087" s="711"/>
      <c r="DN3087" s="711"/>
      <c r="DO3087" s="711"/>
      <c r="DP3087" s="711"/>
      <c r="DQ3087" s="711"/>
    </row>
    <row r="3088" spans="13:121" s="709" customFormat="1" hidden="1">
      <c r="M3088" s="710"/>
      <c r="P3088" s="711"/>
      <c r="Q3088" s="712"/>
      <c r="U3088" s="711"/>
      <c r="V3088" s="711"/>
      <c r="W3088" s="711"/>
      <c r="X3088" s="711"/>
      <c r="Y3088" s="711"/>
      <c r="Z3088" s="711"/>
      <c r="AU3088" s="713"/>
      <c r="AW3088" s="712"/>
      <c r="BY3088" s="714"/>
      <c r="BZ3088" s="715"/>
      <c r="CA3088" s="716"/>
      <c r="CB3088" s="717"/>
      <c r="CC3088" s="717"/>
      <c r="CD3088" s="717"/>
      <c r="CE3088" s="717"/>
      <c r="CF3088" s="717"/>
      <c r="CG3088" s="717"/>
      <c r="CH3088" s="717"/>
      <c r="CI3088" s="717"/>
      <c r="CJ3088" s="717"/>
      <c r="CK3088" s="717"/>
      <c r="CL3088" s="717"/>
      <c r="CM3088" s="717"/>
      <c r="CN3088" s="717"/>
      <c r="CO3088" s="717"/>
      <c r="CP3088" s="717"/>
      <c r="CQ3088" s="717"/>
      <c r="CR3088" s="717"/>
      <c r="CS3088" s="717"/>
      <c r="CT3088" s="717"/>
      <c r="CU3088" s="717"/>
      <c r="CV3088" s="717"/>
      <c r="CW3088" s="717"/>
      <c r="CX3088" s="717"/>
      <c r="CY3088" s="717"/>
      <c r="CZ3088" s="717"/>
      <c r="DA3088" s="717"/>
      <c r="DB3088" s="717"/>
      <c r="DC3088" s="717"/>
      <c r="DD3088" s="717"/>
      <c r="DE3088" s="717"/>
      <c r="DF3088" s="717"/>
      <c r="DG3088" s="717"/>
      <c r="DH3088" s="717"/>
      <c r="DI3088" s="717"/>
      <c r="DJ3088" s="717"/>
      <c r="DM3088" s="711"/>
      <c r="DN3088" s="711"/>
      <c r="DO3088" s="711"/>
      <c r="DP3088" s="711"/>
      <c r="DQ3088" s="711"/>
    </row>
    <row r="3089" spans="13:121" s="709" customFormat="1" hidden="1">
      <c r="M3089" s="710"/>
      <c r="P3089" s="711"/>
      <c r="Q3089" s="712"/>
      <c r="U3089" s="711"/>
      <c r="V3089" s="711"/>
      <c r="W3089" s="711"/>
      <c r="X3089" s="711"/>
      <c r="Y3089" s="711"/>
      <c r="Z3089" s="711"/>
      <c r="AU3089" s="713"/>
      <c r="AW3089" s="712"/>
      <c r="BY3089" s="714"/>
      <c r="BZ3089" s="715"/>
      <c r="CA3089" s="716"/>
      <c r="CB3089" s="717"/>
      <c r="CC3089" s="717"/>
      <c r="CD3089" s="717"/>
      <c r="CE3089" s="717"/>
      <c r="CF3089" s="717"/>
      <c r="CG3089" s="717"/>
      <c r="CH3089" s="717"/>
      <c r="CI3089" s="717"/>
      <c r="CJ3089" s="717"/>
      <c r="CK3089" s="717"/>
      <c r="CL3089" s="717"/>
      <c r="CM3089" s="717"/>
      <c r="CN3089" s="717"/>
      <c r="CO3089" s="717"/>
      <c r="CP3089" s="717"/>
      <c r="CQ3089" s="717"/>
      <c r="CR3089" s="717"/>
      <c r="CS3089" s="717"/>
      <c r="CT3089" s="717"/>
      <c r="CU3089" s="717"/>
      <c r="CV3089" s="717"/>
      <c r="CW3089" s="717"/>
      <c r="CX3089" s="717"/>
      <c r="CY3089" s="717"/>
      <c r="CZ3089" s="717"/>
      <c r="DA3089" s="717"/>
      <c r="DB3089" s="717"/>
      <c r="DC3089" s="717"/>
      <c r="DD3089" s="717"/>
      <c r="DE3089" s="717"/>
      <c r="DF3089" s="717"/>
      <c r="DG3089" s="717"/>
      <c r="DH3089" s="717"/>
      <c r="DI3089" s="717"/>
      <c r="DJ3089" s="717"/>
      <c r="DM3089" s="711"/>
      <c r="DN3089" s="711"/>
      <c r="DO3089" s="711"/>
      <c r="DP3089" s="711"/>
      <c r="DQ3089" s="711"/>
    </row>
    <row r="3090" spans="13:121" s="709" customFormat="1" hidden="1">
      <c r="M3090" s="710"/>
      <c r="P3090" s="711"/>
      <c r="Q3090" s="712"/>
      <c r="U3090" s="711"/>
      <c r="V3090" s="711"/>
      <c r="W3090" s="711"/>
      <c r="X3090" s="711"/>
      <c r="Y3090" s="711"/>
      <c r="Z3090" s="711"/>
      <c r="AU3090" s="713"/>
      <c r="AW3090" s="712"/>
      <c r="BY3090" s="714"/>
      <c r="BZ3090" s="715"/>
      <c r="CA3090" s="716"/>
      <c r="CB3090" s="717"/>
      <c r="CC3090" s="717"/>
      <c r="CD3090" s="717"/>
      <c r="CE3090" s="717"/>
      <c r="CF3090" s="717"/>
      <c r="CG3090" s="717"/>
      <c r="CH3090" s="717"/>
      <c r="CI3090" s="717"/>
      <c r="CJ3090" s="717"/>
      <c r="CK3090" s="717"/>
      <c r="CL3090" s="717"/>
      <c r="CM3090" s="717"/>
      <c r="CN3090" s="717"/>
      <c r="CO3090" s="717"/>
      <c r="CP3090" s="717"/>
      <c r="CQ3090" s="717"/>
      <c r="CR3090" s="717"/>
      <c r="CS3090" s="717"/>
      <c r="CT3090" s="717"/>
      <c r="CU3090" s="717"/>
      <c r="CV3090" s="717"/>
      <c r="CW3090" s="717"/>
      <c r="CX3090" s="717"/>
      <c r="CY3090" s="717"/>
      <c r="CZ3090" s="717"/>
      <c r="DA3090" s="717"/>
      <c r="DB3090" s="717"/>
      <c r="DC3090" s="717"/>
      <c r="DD3090" s="717"/>
      <c r="DE3090" s="717"/>
      <c r="DF3090" s="717"/>
      <c r="DG3090" s="717"/>
      <c r="DH3090" s="717"/>
      <c r="DI3090" s="717"/>
      <c r="DJ3090" s="717"/>
      <c r="DM3090" s="711"/>
      <c r="DN3090" s="711"/>
      <c r="DO3090" s="711"/>
      <c r="DP3090" s="711"/>
      <c r="DQ3090" s="711"/>
    </row>
    <row r="3091" spans="13:121" s="709" customFormat="1" hidden="1">
      <c r="M3091" s="710"/>
      <c r="P3091" s="711"/>
      <c r="Q3091" s="712"/>
      <c r="U3091" s="711"/>
      <c r="V3091" s="711"/>
      <c r="W3091" s="711"/>
      <c r="X3091" s="711"/>
      <c r="Y3091" s="711"/>
      <c r="Z3091" s="711"/>
      <c r="AU3091" s="713"/>
      <c r="AW3091" s="712"/>
      <c r="BY3091" s="714"/>
      <c r="BZ3091" s="715"/>
      <c r="CA3091" s="716"/>
      <c r="CB3091" s="717"/>
      <c r="CC3091" s="717"/>
      <c r="CD3091" s="717"/>
      <c r="CE3091" s="717"/>
      <c r="CF3091" s="717"/>
      <c r="CG3091" s="717"/>
      <c r="CH3091" s="717"/>
      <c r="CI3091" s="717"/>
      <c r="CJ3091" s="717"/>
      <c r="CK3091" s="717"/>
      <c r="CL3091" s="717"/>
      <c r="CM3091" s="717"/>
      <c r="CN3091" s="717"/>
      <c r="CO3091" s="717"/>
      <c r="CP3091" s="717"/>
      <c r="CQ3091" s="717"/>
      <c r="CR3091" s="717"/>
      <c r="CS3091" s="717"/>
      <c r="CT3091" s="717"/>
      <c r="CU3091" s="717"/>
      <c r="CV3091" s="717"/>
      <c r="CW3091" s="717"/>
      <c r="CX3091" s="717"/>
      <c r="CY3091" s="717"/>
      <c r="CZ3091" s="717"/>
      <c r="DA3091" s="717"/>
      <c r="DB3091" s="717"/>
      <c r="DC3091" s="717"/>
      <c r="DD3091" s="717"/>
      <c r="DE3091" s="717"/>
      <c r="DF3091" s="717"/>
      <c r="DG3091" s="717"/>
      <c r="DH3091" s="717"/>
      <c r="DI3091" s="717"/>
      <c r="DJ3091" s="717"/>
      <c r="DM3091" s="711"/>
      <c r="DN3091" s="711"/>
      <c r="DO3091" s="711"/>
      <c r="DP3091" s="711"/>
      <c r="DQ3091" s="711"/>
    </row>
    <row r="3092" spans="13:121" s="709" customFormat="1" hidden="1">
      <c r="M3092" s="710"/>
      <c r="P3092" s="711"/>
      <c r="Q3092" s="712"/>
      <c r="U3092" s="711"/>
      <c r="V3092" s="711"/>
      <c r="W3092" s="711"/>
      <c r="X3092" s="711"/>
      <c r="Y3092" s="711"/>
      <c r="Z3092" s="711"/>
      <c r="AU3092" s="713"/>
      <c r="AW3092" s="712"/>
      <c r="BY3092" s="714"/>
      <c r="BZ3092" s="715"/>
      <c r="CA3092" s="716"/>
      <c r="CB3092" s="717"/>
      <c r="CC3092" s="717"/>
      <c r="CD3092" s="717"/>
      <c r="CE3092" s="717"/>
      <c r="CF3092" s="717"/>
      <c r="CG3092" s="717"/>
      <c r="CH3092" s="717"/>
      <c r="CI3092" s="717"/>
      <c r="CJ3092" s="717"/>
      <c r="CK3092" s="717"/>
      <c r="CL3092" s="717"/>
      <c r="CM3092" s="717"/>
      <c r="CN3092" s="717"/>
      <c r="CO3092" s="717"/>
      <c r="CP3092" s="717"/>
      <c r="CQ3092" s="717"/>
      <c r="CR3092" s="717"/>
      <c r="CS3092" s="717"/>
      <c r="CT3092" s="717"/>
      <c r="CU3092" s="717"/>
      <c r="CV3092" s="717"/>
      <c r="CW3092" s="717"/>
      <c r="CX3092" s="717"/>
      <c r="CY3092" s="717"/>
      <c r="CZ3092" s="717"/>
      <c r="DA3092" s="717"/>
      <c r="DB3092" s="717"/>
      <c r="DC3092" s="717"/>
      <c r="DD3092" s="717"/>
      <c r="DE3092" s="717"/>
      <c r="DF3092" s="717"/>
      <c r="DG3092" s="717"/>
      <c r="DH3092" s="717"/>
      <c r="DI3092" s="717"/>
      <c r="DJ3092" s="717"/>
      <c r="DM3092" s="711"/>
      <c r="DN3092" s="711"/>
      <c r="DO3092" s="711"/>
      <c r="DP3092" s="711"/>
      <c r="DQ3092" s="711"/>
    </row>
    <row r="3093" spans="13:121" s="709" customFormat="1" hidden="1">
      <c r="M3093" s="710"/>
      <c r="P3093" s="711"/>
      <c r="Q3093" s="712"/>
      <c r="U3093" s="711"/>
      <c r="V3093" s="711"/>
      <c r="W3093" s="711"/>
      <c r="X3093" s="711"/>
      <c r="Y3093" s="711"/>
      <c r="Z3093" s="711"/>
      <c r="AU3093" s="713"/>
      <c r="AW3093" s="712"/>
      <c r="BY3093" s="714"/>
      <c r="BZ3093" s="715"/>
      <c r="CA3093" s="716"/>
      <c r="CB3093" s="717"/>
      <c r="CC3093" s="717"/>
      <c r="CD3093" s="717"/>
      <c r="CE3093" s="717"/>
      <c r="CF3093" s="717"/>
      <c r="CG3093" s="717"/>
      <c r="CH3093" s="717"/>
      <c r="CI3093" s="717"/>
      <c r="CJ3093" s="717"/>
      <c r="CK3093" s="717"/>
      <c r="CL3093" s="717"/>
      <c r="CM3093" s="717"/>
      <c r="CN3093" s="717"/>
      <c r="CO3093" s="717"/>
      <c r="CP3093" s="717"/>
      <c r="CQ3093" s="717"/>
      <c r="CR3093" s="717"/>
      <c r="CS3093" s="717"/>
      <c r="CT3093" s="717"/>
      <c r="CU3093" s="717"/>
      <c r="CV3093" s="717"/>
      <c r="CW3093" s="717"/>
      <c r="CX3093" s="717"/>
      <c r="CY3093" s="717"/>
      <c r="CZ3093" s="717"/>
      <c r="DA3093" s="717"/>
      <c r="DB3093" s="717"/>
      <c r="DC3093" s="717"/>
      <c r="DD3093" s="717"/>
      <c r="DE3093" s="717"/>
      <c r="DF3093" s="717"/>
      <c r="DG3093" s="717"/>
      <c r="DH3093" s="717"/>
      <c r="DI3093" s="717"/>
      <c r="DJ3093" s="717"/>
      <c r="DM3093" s="711"/>
      <c r="DN3093" s="711"/>
      <c r="DO3093" s="711"/>
      <c r="DP3093" s="711"/>
      <c r="DQ3093" s="711"/>
    </row>
    <row r="3094" spans="13:121" s="709" customFormat="1" hidden="1">
      <c r="M3094" s="710"/>
      <c r="P3094" s="711"/>
      <c r="Q3094" s="712"/>
      <c r="U3094" s="711"/>
      <c r="V3094" s="711"/>
      <c r="W3094" s="711"/>
      <c r="X3094" s="711"/>
      <c r="Y3094" s="711"/>
      <c r="Z3094" s="711"/>
      <c r="AU3094" s="713"/>
      <c r="AW3094" s="712"/>
      <c r="BY3094" s="714"/>
      <c r="BZ3094" s="715"/>
      <c r="CA3094" s="716"/>
      <c r="CB3094" s="717"/>
      <c r="CC3094" s="717"/>
      <c r="CD3094" s="717"/>
      <c r="CE3094" s="717"/>
      <c r="CF3094" s="717"/>
      <c r="CG3094" s="717"/>
      <c r="CH3094" s="717"/>
      <c r="CI3094" s="717"/>
      <c r="CJ3094" s="717"/>
      <c r="CK3094" s="717"/>
      <c r="CL3094" s="717"/>
      <c r="CM3094" s="717"/>
      <c r="CN3094" s="717"/>
      <c r="CO3094" s="717"/>
      <c r="CP3094" s="717"/>
      <c r="CQ3094" s="717"/>
      <c r="CR3094" s="717"/>
      <c r="CS3094" s="717"/>
      <c r="CT3094" s="717"/>
      <c r="CU3094" s="717"/>
      <c r="CV3094" s="717"/>
      <c r="CW3094" s="717"/>
      <c r="CX3094" s="717"/>
      <c r="CY3094" s="717"/>
      <c r="CZ3094" s="717"/>
      <c r="DA3094" s="717"/>
      <c r="DB3094" s="717"/>
      <c r="DC3094" s="717"/>
      <c r="DD3094" s="717"/>
      <c r="DE3094" s="717"/>
      <c r="DF3094" s="717"/>
      <c r="DG3094" s="717"/>
      <c r="DH3094" s="717"/>
      <c r="DI3094" s="717"/>
      <c r="DJ3094" s="717"/>
      <c r="DM3094" s="711"/>
      <c r="DN3094" s="711"/>
      <c r="DO3094" s="711"/>
      <c r="DP3094" s="711"/>
      <c r="DQ3094" s="711"/>
    </row>
    <row r="3095" spans="13:121" s="709" customFormat="1" hidden="1">
      <c r="M3095" s="710"/>
      <c r="P3095" s="711"/>
      <c r="Q3095" s="712"/>
      <c r="U3095" s="711"/>
      <c r="V3095" s="711"/>
      <c r="W3095" s="711"/>
      <c r="X3095" s="711"/>
      <c r="Y3095" s="711"/>
      <c r="Z3095" s="711"/>
      <c r="AU3095" s="713"/>
      <c r="AW3095" s="712"/>
      <c r="BY3095" s="714"/>
      <c r="BZ3095" s="715"/>
      <c r="CA3095" s="716"/>
      <c r="CB3095" s="717"/>
      <c r="CC3095" s="717"/>
      <c r="CD3095" s="717"/>
      <c r="CE3095" s="717"/>
      <c r="CF3095" s="717"/>
      <c r="CG3095" s="717"/>
      <c r="CH3095" s="717"/>
      <c r="CI3095" s="717"/>
      <c r="CJ3095" s="717"/>
      <c r="CK3095" s="717"/>
      <c r="CL3095" s="717"/>
      <c r="CM3095" s="717"/>
      <c r="CN3095" s="717"/>
      <c r="CO3095" s="717"/>
      <c r="CP3095" s="717"/>
      <c r="CQ3095" s="717"/>
      <c r="CR3095" s="717"/>
      <c r="CS3095" s="717"/>
      <c r="CT3095" s="717"/>
      <c r="CU3095" s="717"/>
      <c r="CV3095" s="717"/>
      <c r="CW3095" s="717"/>
      <c r="CX3095" s="717"/>
      <c r="CY3095" s="717"/>
      <c r="CZ3095" s="717"/>
      <c r="DA3095" s="717"/>
      <c r="DB3095" s="717"/>
      <c r="DC3095" s="717"/>
      <c r="DD3095" s="717"/>
      <c r="DE3095" s="717"/>
      <c r="DF3095" s="717"/>
      <c r="DG3095" s="717"/>
      <c r="DH3095" s="717"/>
      <c r="DI3095" s="717"/>
      <c r="DJ3095" s="717"/>
      <c r="DM3095" s="711"/>
      <c r="DN3095" s="711"/>
      <c r="DO3095" s="711"/>
      <c r="DP3095" s="711"/>
      <c r="DQ3095" s="711"/>
    </row>
    <row r="3096" spans="13:121" s="709" customFormat="1" hidden="1">
      <c r="M3096" s="710"/>
      <c r="P3096" s="711"/>
      <c r="Q3096" s="712"/>
      <c r="U3096" s="711"/>
      <c r="V3096" s="711"/>
      <c r="W3096" s="711"/>
      <c r="X3096" s="711"/>
      <c r="Y3096" s="711"/>
      <c r="Z3096" s="711"/>
      <c r="AU3096" s="713"/>
      <c r="AW3096" s="712"/>
      <c r="BY3096" s="714"/>
      <c r="BZ3096" s="715"/>
      <c r="CA3096" s="716"/>
      <c r="CB3096" s="717"/>
      <c r="CC3096" s="717"/>
      <c r="CD3096" s="717"/>
      <c r="CE3096" s="717"/>
      <c r="CF3096" s="717"/>
      <c r="CG3096" s="717"/>
      <c r="CH3096" s="717"/>
      <c r="CI3096" s="717"/>
      <c r="CJ3096" s="717"/>
      <c r="CK3096" s="717"/>
      <c r="CL3096" s="717"/>
      <c r="CM3096" s="717"/>
      <c r="CN3096" s="717"/>
      <c r="CO3096" s="717"/>
      <c r="CP3096" s="717"/>
      <c r="CQ3096" s="717"/>
      <c r="CR3096" s="717"/>
      <c r="CS3096" s="717"/>
      <c r="CT3096" s="717"/>
      <c r="CU3096" s="717"/>
      <c r="CV3096" s="717"/>
      <c r="CW3096" s="717"/>
      <c r="CX3096" s="717"/>
      <c r="CY3096" s="717"/>
      <c r="CZ3096" s="717"/>
      <c r="DA3096" s="717"/>
      <c r="DB3096" s="717"/>
      <c r="DC3096" s="717"/>
      <c r="DD3096" s="717"/>
      <c r="DE3096" s="717"/>
      <c r="DF3096" s="717"/>
      <c r="DG3096" s="717"/>
      <c r="DH3096" s="717"/>
      <c r="DI3096" s="717"/>
      <c r="DJ3096" s="717"/>
      <c r="DM3096" s="711"/>
      <c r="DN3096" s="711"/>
      <c r="DO3096" s="711"/>
      <c r="DP3096" s="711"/>
      <c r="DQ3096" s="711"/>
    </row>
    <row r="3097" spans="13:121" s="709" customFormat="1" hidden="1">
      <c r="M3097" s="710"/>
      <c r="P3097" s="711"/>
      <c r="Q3097" s="712"/>
      <c r="U3097" s="711"/>
      <c r="V3097" s="711"/>
      <c r="W3097" s="711"/>
      <c r="X3097" s="711"/>
      <c r="Y3097" s="711"/>
      <c r="Z3097" s="711"/>
      <c r="AU3097" s="713"/>
      <c r="AW3097" s="712"/>
      <c r="BY3097" s="714"/>
      <c r="BZ3097" s="715"/>
      <c r="CA3097" s="716"/>
      <c r="CB3097" s="717"/>
      <c r="CC3097" s="717"/>
      <c r="CD3097" s="717"/>
      <c r="CE3097" s="717"/>
      <c r="CF3097" s="717"/>
      <c r="CG3097" s="717"/>
      <c r="CH3097" s="717"/>
      <c r="CI3097" s="717"/>
      <c r="CJ3097" s="717"/>
      <c r="CK3097" s="717"/>
      <c r="CL3097" s="717"/>
      <c r="CM3097" s="717"/>
      <c r="CN3097" s="717"/>
      <c r="CO3097" s="717"/>
      <c r="CP3097" s="717"/>
      <c r="CQ3097" s="717"/>
      <c r="CR3097" s="717"/>
      <c r="CS3097" s="717"/>
      <c r="CT3097" s="717"/>
      <c r="CU3097" s="717"/>
      <c r="CV3097" s="717"/>
      <c r="CW3097" s="717"/>
      <c r="CX3097" s="717"/>
      <c r="CY3097" s="717"/>
      <c r="CZ3097" s="717"/>
      <c r="DA3097" s="717"/>
      <c r="DB3097" s="717"/>
      <c r="DC3097" s="717"/>
      <c r="DD3097" s="717"/>
      <c r="DE3097" s="717"/>
      <c r="DF3097" s="717"/>
      <c r="DG3097" s="717"/>
      <c r="DH3097" s="717"/>
      <c r="DI3097" s="717"/>
      <c r="DJ3097" s="717"/>
      <c r="DM3097" s="711"/>
      <c r="DN3097" s="711"/>
      <c r="DO3097" s="711"/>
      <c r="DP3097" s="711"/>
      <c r="DQ3097" s="711"/>
    </row>
    <row r="3098" spans="13:121" s="709" customFormat="1" hidden="1">
      <c r="M3098" s="710"/>
      <c r="P3098" s="711"/>
      <c r="Q3098" s="712"/>
      <c r="U3098" s="711"/>
      <c r="V3098" s="711"/>
      <c r="W3098" s="711"/>
      <c r="X3098" s="711"/>
      <c r="Y3098" s="711"/>
      <c r="Z3098" s="711"/>
      <c r="AU3098" s="713"/>
      <c r="AW3098" s="712"/>
      <c r="BY3098" s="714"/>
      <c r="BZ3098" s="715"/>
      <c r="CA3098" s="716"/>
      <c r="CB3098" s="717"/>
      <c r="CC3098" s="717"/>
      <c r="CD3098" s="717"/>
      <c r="CE3098" s="717"/>
      <c r="CF3098" s="717"/>
      <c r="CG3098" s="717"/>
      <c r="CH3098" s="717"/>
      <c r="CI3098" s="717"/>
      <c r="CJ3098" s="717"/>
      <c r="CK3098" s="717"/>
      <c r="CL3098" s="717"/>
      <c r="CM3098" s="717"/>
      <c r="CN3098" s="717"/>
      <c r="CO3098" s="717"/>
      <c r="CP3098" s="717"/>
      <c r="CQ3098" s="717"/>
      <c r="CR3098" s="717"/>
      <c r="CS3098" s="717"/>
      <c r="CT3098" s="717"/>
      <c r="CU3098" s="717"/>
      <c r="CV3098" s="717"/>
      <c r="CW3098" s="717"/>
      <c r="CX3098" s="717"/>
      <c r="CY3098" s="717"/>
      <c r="CZ3098" s="717"/>
      <c r="DA3098" s="717"/>
      <c r="DB3098" s="717"/>
      <c r="DC3098" s="717"/>
      <c r="DD3098" s="717"/>
      <c r="DE3098" s="717"/>
      <c r="DF3098" s="717"/>
      <c r="DG3098" s="717"/>
      <c r="DH3098" s="717"/>
      <c r="DI3098" s="717"/>
      <c r="DJ3098" s="717"/>
      <c r="DM3098" s="711"/>
      <c r="DN3098" s="711"/>
      <c r="DO3098" s="711"/>
      <c r="DP3098" s="711"/>
      <c r="DQ3098" s="711"/>
    </row>
    <row r="3099" spans="13:121" s="709" customFormat="1" hidden="1">
      <c r="M3099" s="710"/>
      <c r="P3099" s="711"/>
      <c r="Q3099" s="712"/>
      <c r="U3099" s="711"/>
      <c r="V3099" s="711"/>
      <c r="W3099" s="711"/>
      <c r="X3099" s="711"/>
      <c r="Y3099" s="711"/>
      <c r="Z3099" s="711"/>
      <c r="AU3099" s="713"/>
      <c r="AW3099" s="712"/>
      <c r="BY3099" s="714"/>
      <c r="BZ3099" s="715"/>
      <c r="CA3099" s="716"/>
      <c r="CB3099" s="717"/>
      <c r="CC3099" s="717"/>
      <c r="CD3099" s="717"/>
      <c r="CE3099" s="717"/>
      <c r="CF3099" s="717"/>
      <c r="CG3099" s="717"/>
      <c r="CH3099" s="717"/>
      <c r="CI3099" s="717"/>
      <c r="CJ3099" s="717"/>
      <c r="CK3099" s="717"/>
      <c r="CL3099" s="717"/>
      <c r="CM3099" s="717"/>
      <c r="CN3099" s="717"/>
      <c r="CO3099" s="717"/>
      <c r="CP3099" s="717"/>
      <c r="CQ3099" s="717"/>
      <c r="CR3099" s="717"/>
      <c r="CS3099" s="717"/>
      <c r="CT3099" s="717"/>
      <c r="CU3099" s="717"/>
      <c r="CV3099" s="717"/>
      <c r="CW3099" s="717"/>
      <c r="CX3099" s="717"/>
      <c r="CY3099" s="717"/>
      <c r="CZ3099" s="717"/>
      <c r="DA3099" s="717"/>
      <c r="DB3099" s="717"/>
      <c r="DC3099" s="717"/>
      <c r="DD3099" s="717"/>
      <c r="DE3099" s="717"/>
      <c r="DF3099" s="717"/>
      <c r="DG3099" s="717"/>
      <c r="DH3099" s="717"/>
      <c r="DI3099" s="717"/>
      <c r="DJ3099" s="717"/>
      <c r="DM3099" s="711"/>
      <c r="DN3099" s="711"/>
      <c r="DO3099" s="711"/>
      <c r="DP3099" s="711"/>
      <c r="DQ3099" s="711"/>
    </row>
    <row r="3100" spans="13:121" s="709" customFormat="1" hidden="1">
      <c r="M3100" s="710"/>
      <c r="P3100" s="711"/>
      <c r="Q3100" s="712"/>
      <c r="U3100" s="711"/>
      <c r="V3100" s="711"/>
      <c r="W3100" s="711"/>
      <c r="X3100" s="711"/>
      <c r="Y3100" s="711"/>
      <c r="Z3100" s="711"/>
      <c r="AU3100" s="713"/>
      <c r="AW3100" s="712"/>
      <c r="BY3100" s="714"/>
      <c r="BZ3100" s="715"/>
      <c r="CA3100" s="716"/>
      <c r="CB3100" s="717"/>
      <c r="CC3100" s="717"/>
      <c r="CD3100" s="717"/>
      <c r="CE3100" s="717"/>
      <c r="CF3100" s="717"/>
      <c r="CG3100" s="717"/>
      <c r="CH3100" s="717"/>
      <c r="CI3100" s="717"/>
      <c r="CJ3100" s="717"/>
      <c r="CK3100" s="717"/>
      <c r="CL3100" s="717"/>
      <c r="CM3100" s="717"/>
      <c r="CN3100" s="717"/>
      <c r="CO3100" s="717"/>
      <c r="CP3100" s="717"/>
      <c r="CQ3100" s="717"/>
      <c r="CR3100" s="717"/>
      <c r="CS3100" s="717"/>
      <c r="CT3100" s="717"/>
      <c r="CU3100" s="717"/>
      <c r="CV3100" s="717"/>
      <c r="CW3100" s="717"/>
      <c r="CX3100" s="717"/>
      <c r="CY3100" s="717"/>
      <c r="CZ3100" s="717"/>
      <c r="DA3100" s="717"/>
      <c r="DB3100" s="717"/>
      <c r="DC3100" s="717"/>
      <c r="DD3100" s="717"/>
      <c r="DE3100" s="717"/>
      <c r="DF3100" s="717"/>
      <c r="DG3100" s="717"/>
      <c r="DH3100" s="717"/>
      <c r="DI3100" s="717"/>
      <c r="DJ3100" s="717"/>
      <c r="DM3100" s="711"/>
      <c r="DN3100" s="711"/>
      <c r="DO3100" s="711"/>
      <c r="DP3100" s="711"/>
      <c r="DQ3100" s="711"/>
    </row>
    <row r="3101" spans="13:121" s="709" customFormat="1" hidden="1">
      <c r="M3101" s="710"/>
      <c r="P3101" s="711"/>
      <c r="Q3101" s="712"/>
      <c r="U3101" s="711"/>
      <c r="V3101" s="711"/>
      <c r="W3101" s="711"/>
      <c r="X3101" s="711"/>
      <c r="Y3101" s="711"/>
      <c r="Z3101" s="711"/>
      <c r="AU3101" s="713"/>
      <c r="AW3101" s="712"/>
      <c r="BY3101" s="714"/>
      <c r="BZ3101" s="715"/>
      <c r="CA3101" s="716"/>
      <c r="CB3101" s="717"/>
      <c r="CC3101" s="717"/>
      <c r="CD3101" s="717"/>
      <c r="CE3101" s="717"/>
      <c r="CF3101" s="717"/>
      <c r="CG3101" s="717"/>
      <c r="CH3101" s="717"/>
      <c r="CI3101" s="717"/>
      <c r="CJ3101" s="717"/>
      <c r="CK3101" s="717"/>
      <c r="CL3101" s="717"/>
      <c r="CM3101" s="717"/>
      <c r="CN3101" s="717"/>
      <c r="CO3101" s="717"/>
      <c r="CP3101" s="717"/>
      <c r="CQ3101" s="717"/>
      <c r="CR3101" s="717"/>
      <c r="CS3101" s="717"/>
      <c r="CT3101" s="717"/>
      <c r="CU3101" s="717"/>
      <c r="CV3101" s="717"/>
      <c r="CW3101" s="717"/>
      <c r="CX3101" s="717"/>
      <c r="CY3101" s="717"/>
      <c r="CZ3101" s="717"/>
      <c r="DA3101" s="717"/>
      <c r="DB3101" s="717"/>
      <c r="DC3101" s="717"/>
      <c r="DD3101" s="717"/>
      <c r="DE3101" s="717"/>
      <c r="DF3101" s="717"/>
      <c r="DG3101" s="717"/>
      <c r="DH3101" s="717"/>
      <c r="DI3101" s="717"/>
      <c r="DJ3101" s="717"/>
      <c r="DM3101" s="711"/>
      <c r="DN3101" s="711"/>
      <c r="DO3101" s="711"/>
      <c r="DP3101" s="711"/>
      <c r="DQ3101" s="711"/>
    </row>
    <row r="3102" spans="13:121" s="709" customFormat="1" hidden="1">
      <c r="M3102" s="710"/>
      <c r="P3102" s="711"/>
      <c r="Q3102" s="712"/>
      <c r="U3102" s="711"/>
      <c r="V3102" s="711"/>
      <c r="W3102" s="711"/>
      <c r="X3102" s="711"/>
      <c r="Y3102" s="711"/>
      <c r="Z3102" s="711"/>
      <c r="AU3102" s="713"/>
      <c r="AW3102" s="712"/>
      <c r="BY3102" s="714"/>
      <c r="BZ3102" s="715"/>
      <c r="CA3102" s="716"/>
      <c r="CB3102" s="717"/>
      <c r="CC3102" s="717"/>
      <c r="CD3102" s="717"/>
      <c r="CE3102" s="717"/>
      <c r="CF3102" s="717"/>
      <c r="CG3102" s="717"/>
      <c r="CH3102" s="717"/>
      <c r="CI3102" s="717"/>
      <c r="CJ3102" s="717"/>
      <c r="CK3102" s="717"/>
      <c r="CL3102" s="717"/>
      <c r="CM3102" s="717"/>
      <c r="CN3102" s="717"/>
      <c r="CO3102" s="717"/>
      <c r="CP3102" s="717"/>
      <c r="CQ3102" s="717"/>
      <c r="CR3102" s="717"/>
      <c r="CS3102" s="717"/>
      <c r="CT3102" s="717"/>
      <c r="CU3102" s="717"/>
      <c r="CV3102" s="717"/>
      <c r="CW3102" s="717"/>
      <c r="CX3102" s="717"/>
      <c r="CY3102" s="717"/>
      <c r="CZ3102" s="717"/>
      <c r="DA3102" s="717"/>
      <c r="DB3102" s="717"/>
      <c r="DC3102" s="717"/>
      <c r="DD3102" s="717"/>
      <c r="DE3102" s="717"/>
      <c r="DF3102" s="717"/>
      <c r="DG3102" s="717"/>
      <c r="DH3102" s="717"/>
      <c r="DI3102" s="717"/>
      <c r="DJ3102" s="717"/>
      <c r="DM3102" s="711"/>
      <c r="DN3102" s="711"/>
      <c r="DO3102" s="711"/>
      <c r="DP3102" s="711"/>
      <c r="DQ3102" s="711"/>
    </row>
    <row r="3103" spans="13:121" s="709" customFormat="1" hidden="1">
      <c r="M3103" s="710"/>
      <c r="P3103" s="711"/>
      <c r="Q3103" s="712"/>
      <c r="U3103" s="711"/>
      <c r="V3103" s="711"/>
      <c r="W3103" s="711"/>
      <c r="X3103" s="711"/>
      <c r="Y3103" s="711"/>
      <c r="Z3103" s="711"/>
      <c r="AU3103" s="713"/>
      <c r="AW3103" s="712"/>
      <c r="BY3103" s="714"/>
      <c r="BZ3103" s="715"/>
      <c r="CA3103" s="716"/>
      <c r="CB3103" s="717"/>
      <c r="CC3103" s="717"/>
      <c r="CD3103" s="717"/>
      <c r="CE3103" s="717"/>
      <c r="CF3103" s="717"/>
      <c r="CG3103" s="717"/>
      <c r="CH3103" s="717"/>
      <c r="CI3103" s="717"/>
      <c r="CJ3103" s="717"/>
      <c r="CK3103" s="717"/>
      <c r="CL3103" s="717"/>
      <c r="CM3103" s="717"/>
      <c r="CN3103" s="717"/>
      <c r="CO3103" s="717"/>
      <c r="CP3103" s="717"/>
      <c r="CQ3103" s="717"/>
      <c r="CR3103" s="717"/>
      <c r="CS3103" s="717"/>
      <c r="CT3103" s="717"/>
      <c r="CU3103" s="717"/>
      <c r="CV3103" s="717"/>
      <c r="CW3103" s="717"/>
      <c r="CX3103" s="717"/>
      <c r="CY3103" s="717"/>
      <c r="CZ3103" s="717"/>
      <c r="DA3103" s="717"/>
      <c r="DB3103" s="717"/>
      <c r="DC3103" s="717"/>
      <c r="DD3103" s="717"/>
      <c r="DE3103" s="717"/>
      <c r="DF3103" s="717"/>
      <c r="DG3103" s="717"/>
      <c r="DH3103" s="717"/>
      <c r="DI3103" s="717"/>
      <c r="DJ3103" s="717"/>
      <c r="DM3103" s="711"/>
      <c r="DN3103" s="711"/>
      <c r="DO3103" s="711"/>
      <c r="DP3103" s="711"/>
      <c r="DQ3103" s="711"/>
    </row>
    <row r="3104" spans="13:121" s="709" customFormat="1" hidden="1">
      <c r="M3104" s="710"/>
      <c r="P3104" s="711"/>
      <c r="Q3104" s="712"/>
      <c r="U3104" s="711"/>
      <c r="V3104" s="711"/>
      <c r="W3104" s="711"/>
      <c r="X3104" s="711"/>
      <c r="Y3104" s="711"/>
      <c r="Z3104" s="711"/>
      <c r="AU3104" s="713"/>
      <c r="AW3104" s="712"/>
      <c r="BY3104" s="714"/>
      <c r="BZ3104" s="715"/>
      <c r="CA3104" s="716"/>
      <c r="CB3104" s="717"/>
      <c r="CC3104" s="717"/>
      <c r="CD3104" s="717"/>
      <c r="CE3104" s="717"/>
      <c r="CF3104" s="717"/>
      <c r="CG3104" s="717"/>
      <c r="CH3104" s="717"/>
      <c r="CI3104" s="717"/>
      <c r="CJ3104" s="717"/>
      <c r="CK3104" s="717"/>
      <c r="CL3104" s="717"/>
      <c r="CM3104" s="717"/>
      <c r="CN3104" s="717"/>
      <c r="CO3104" s="717"/>
      <c r="CP3104" s="717"/>
      <c r="CQ3104" s="717"/>
      <c r="CR3104" s="717"/>
      <c r="CS3104" s="717"/>
      <c r="CT3104" s="717"/>
      <c r="CU3104" s="717"/>
      <c r="CV3104" s="717"/>
      <c r="CW3104" s="717"/>
      <c r="CX3104" s="717"/>
      <c r="CY3104" s="717"/>
      <c r="CZ3104" s="717"/>
      <c r="DA3104" s="717"/>
      <c r="DB3104" s="717"/>
      <c r="DC3104" s="717"/>
      <c r="DD3104" s="717"/>
      <c r="DE3104" s="717"/>
      <c r="DF3104" s="717"/>
      <c r="DG3104" s="717"/>
      <c r="DH3104" s="717"/>
      <c r="DI3104" s="717"/>
      <c r="DJ3104" s="717"/>
      <c r="DM3104" s="711"/>
      <c r="DN3104" s="711"/>
      <c r="DO3104" s="711"/>
      <c r="DP3104" s="711"/>
      <c r="DQ3104" s="711"/>
    </row>
    <row r="3105" spans="13:121" s="709" customFormat="1" hidden="1">
      <c r="M3105" s="710"/>
      <c r="P3105" s="711"/>
      <c r="Q3105" s="712"/>
      <c r="U3105" s="711"/>
      <c r="V3105" s="711"/>
      <c r="W3105" s="711"/>
      <c r="X3105" s="711"/>
      <c r="Y3105" s="711"/>
      <c r="Z3105" s="711"/>
      <c r="AU3105" s="713"/>
      <c r="AW3105" s="712"/>
      <c r="BY3105" s="714"/>
      <c r="BZ3105" s="715"/>
      <c r="CA3105" s="716"/>
      <c r="CB3105" s="717"/>
      <c r="CC3105" s="717"/>
      <c r="CD3105" s="717"/>
      <c r="CE3105" s="717"/>
      <c r="CF3105" s="717"/>
      <c r="CG3105" s="717"/>
      <c r="CH3105" s="717"/>
      <c r="CI3105" s="717"/>
      <c r="CJ3105" s="717"/>
      <c r="CK3105" s="717"/>
      <c r="CL3105" s="717"/>
      <c r="CM3105" s="717"/>
      <c r="CN3105" s="717"/>
      <c r="CO3105" s="717"/>
      <c r="CP3105" s="717"/>
      <c r="CQ3105" s="717"/>
      <c r="CR3105" s="717"/>
      <c r="CS3105" s="717"/>
      <c r="CT3105" s="717"/>
      <c r="CU3105" s="717"/>
      <c r="CV3105" s="717"/>
      <c r="CW3105" s="717"/>
      <c r="CX3105" s="717"/>
      <c r="CY3105" s="717"/>
      <c r="CZ3105" s="717"/>
      <c r="DA3105" s="717"/>
      <c r="DB3105" s="717"/>
      <c r="DC3105" s="717"/>
      <c r="DD3105" s="717"/>
      <c r="DE3105" s="717"/>
      <c r="DF3105" s="717"/>
      <c r="DG3105" s="717"/>
      <c r="DH3105" s="717"/>
      <c r="DI3105" s="717"/>
      <c r="DJ3105" s="717"/>
      <c r="DM3105" s="711"/>
      <c r="DN3105" s="711"/>
      <c r="DO3105" s="711"/>
      <c r="DP3105" s="711"/>
      <c r="DQ3105" s="711"/>
    </row>
    <row r="3106" spans="13:121" s="709" customFormat="1" hidden="1">
      <c r="M3106" s="710"/>
      <c r="P3106" s="711"/>
      <c r="Q3106" s="712"/>
      <c r="U3106" s="711"/>
      <c r="V3106" s="711"/>
      <c r="W3106" s="711"/>
      <c r="X3106" s="711"/>
      <c r="Y3106" s="711"/>
      <c r="Z3106" s="711"/>
      <c r="AU3106" s="713"/>
      <c r="AW3106" s="712"/>
      <c r="BY3106" s="714"/>
      <c r="BZ3106" s="715"/>
      <c r="CA3106" s="716"/>
      <c r="CB3106" s="717"/>
      <c r="CC3106" s="717"/>
      <c r="CD3106" s="717"/>
      <c r="CE3106" s="717"/>
      <c r="CF3106" s="717"/>
      <c r="CG3106" s="717"/>
      <c r="CH3106" s="717"/>
      <c r="CI3106" s="717"/>
      <c r="CJ3106" s="717"/>
      <c r="CK3106" s="717"/>
      <c r="CL3106" s="717"/>
      <c r="CM3106" s="717"/>
      <c r="CN3106" s="717"/>
      <c r="CO3106" s="717"/>
      <c r="CP3106" s="717"/>
      <c r="CQ3106" s="717"/>
      <c r="CR3106" s="717"/>
      <c r="CS3106" s="717"/>
      <c r="CT3106" s="717"/>
      <c r="CU3106" s="717"/>
      <c r="CV3106" s="717"/>
      <c r="CW3106" s="717"/>
      <c r="CX3106" s="717"/>
      <c r="CY3106" s="717"/>
      <c r="CZ3106" s="717"/>
      <c r="DA3106" s="717"/>
      <c r="DB3106" s="717"/>
      <c r="DC3106" s="717"/>
      <c r="DD3106" s="717"/>
      <c r="DE3106" s="717"/>
      <c r="DF3106" s="717"/>
      <c r="DG3106" s="717"/>
      <c r="DH3106" s="717"/>
      <c r="DI3106" s="717"/>
      <c r="DJ3106" s="717"/>
      <c r="DM3106" s="711"/>
      <c r="DN3106" s="711"/>
      <c r="DO3106" s="711"/>
      <c r="DP3106" s="711"/>
      <c r="DQ3106" s="711"/>
    </row>
    <row r="3107" spans="13:121" s="709" customFormat="1" hidden="1">
      <c r="M3107" s="710"/>
      <c r="P3107" s="711"/>
      <c r="Q3107" s="712"/>
      <c r="U3107" s="711"/>
      <c r="V3107" s="711"/>
      <c r="W3107" s="711"/>
      <c r="X3107" s="711"/>
      <c r="Y3107" s="711"/>
      <c r="Z3107" s="711"/>
      <c r="AU3107" s="713"/>
      <c r="AW3107" s="712"/>
      <c r="BY3107" s="714"/>
      <c r="BZ3107" s="715"/>
      <c r="CA3107" s="716"/>
      <c r="CB3107" s="717"/>
      <c r="CC3107" s="717"/>
      <c r="CD3107" s="717"/>
      <c r="CE3107" s="717"/>
      <c r="CF3107" s="717"/>
      <c r="CG3107" s="717"/>
      <c r="CH3107" s="717"/>
      <c r="CI3107" s="717"/>
      <c r="CJ3107" s="717"/>
      <c r="CK3107" s="717"/>
      <c r="CL3107" s="717"/>
      <c r="CM3107" s="717"/>
      <c r="CN3107" s="717"/>
      <c r="CO3107" s="717"/>
      <c r="CP3107" s="717"/>
      <c r="CQ3107" s="717"/>
      <c r="CR3107" s="717"/>
      <c r="CS3107" s="717"/>
      <c r="CT3107" s="717"/>
      <c r="CU3107" s="717"/>
      <c r="CV3107" s="717"/>
      <c r="CW3107" s="717"/>
      <c r="CX3107" s="717"/>
      <c r="CY3107" s="717"/>
      <c r="CZ3107" s="717"/>
      <c r="DA3107" s="717"/>
      <c r="DB3107" s="717"/>
      <c r="DC3107" s="717"/>
      <c r="DD3107" s="717"/>
      <c r="DE3107" s="717"/>
      <c r="DF3107" s="717"/>
      <c r="DG3107" s="717"/>
      <c r="DH3107" s="717"/>
      <c r="DI3107" s="717"/>
      <c r="DJ3107" s="717"/>
      <c r="DM3107" s="711"/>
      <c r="DN3107" s="711"/>
      <c r="DO3107" s="711"/>
      <c r="DP3107" s="711"/>
      <c r="DQ3107" s="711"/>
    </row>
    <row r="3108" spans="13:121" s="709" customFormat="1" hidden="1">
      <c r="M3108" s="710"/>
      <c r="P3108" s="711"/>
      <c r="Q3108" s="712"/>
      <c r="U3108" s="711"/>
      <c r="V3108" s="711"/>
      <c r="W3108" s="711"/>
      <c r="X3108" s="711"/>
      <c r="Y3108" s="711"/>
      <c r="Z3108" s="711"/>
      <c r="AU3108" s="713"/>
      <c r="AW3108" s="712"/>
      <c r="BY3108" s="714"/>
      <c r="BZ3108" s="715"/>
      <c r="CA3108" s="716"/>
      <c r="CB3108" s="717"/>
      <c r="CC3108" s="717"/>
      <c r="CD3108" s="717"/>
      <c r="CE3108" s="717"/>
      <c r="CF3108" s="717"/>
      <c r="CG3108" s="717"/>
      <c r="CH3108" s="717"/>
      <c r="CI3108" s="717"/>
      <c r="CJ3108" s="717"/>
      <c r="CK3108" s="717"/>
      <c r="CL3108" s="717"/>
      <c r="CM3108" s="717"/>
      <c r="CN3108" s="717"/>
      <c r="CO3108" s="717"/>
      <c r="CP3108" s="717"/>
      <c r="CQ3108" s="717"/>
      <c r="CR3108" s="717"/>
      <c r="CS3108" s="717"/>
      <c r="CT3108" s="717"/>
      <c r="CU3108" s="717"/>
      <c r="CV3108" s="717"/>
      <c r="CW3108" s="717"/>
      <c r="CX3108" s="717"/>
      <c r="CY3108" s="717"/>
      <c r="CZ3108" s="717"/>
      <c r="DA3108" s="717"/>
      <c r="DB3108" s="717"/>
      <c r="DC3108" s="717"/>
      <c r="DD3108" s="717"/>
      <c r="DE3108" s="717"/>
      <c r="DF3108" s="717"/>
      <c r="DG3108" s="717"/>
      <c r="DH3108" s="717"/>
      <c r="DI3108" s="717"/>
      <c r="DJ3108" s="717"/>
      <c r="DM3108" s="711"/>
      <c r="DN3108" s="711"/>
      <c r="DO3108" s="711"/>
      <c r="DP3108" s="711"/>
      <c r="DQ3108" s="711"/>
    </row>
    <row r="3109" spans="13:121" s="709" customFormat="1" hidden="1">
      <c r="M3109" s="710"/>
      <c r="P3109" s="711"/>
      <c r="Q3109" s="712"/>
      <c r="U3109" s="711"/>
      <c r="V3109" s="711"/>
      <c r="W3109" s="711"/>
      <c r="X3109" s="711"/>
      <c r="Y3109" s="711"/>
      <c r="Z3109" s="711"/>
      <c r="AU3109" s="713"/>
      <c r="AW3109" s="712"/>
      <c r="BY3109" s="714"/>
      <c r="BZ3109" s="715"/>
      <c r="CA3109" s="716"/>
      <c r="CB3109" s="717"/>
      <c r="CC3109" s="717"/>
      <c r="CD3109" s="717"/>
      <c r="CE3109" s="717"/>
      <c r="CF3109" s="717"/>
      <c r="CG3109" s="717"/>
      <c r="CH3109" s="717"/>
      <c r="CI3109" s="717"/>
      <c r="CJ3109" s="717"/>
      <c r="CK3109" s="717"/>
      <c r="CL3109" s="717"/>
      <c r="CM3109" s="717"/>
      <c r="CN3109" s="717"/>
      <c r="CO3109" s="717"/>
      <c r="CP3109" s="717"/>
      <c r="CQ3109" s="717"/>
      <c r="CR3109" s="717"/>
      <c r="CS3109" s="717"/>
      <c r="CT3109" s="717"/>
      <c r="CU3109" s="717"/>
      <c r="CV3109" s="717"/>
      <c r="CW3109" s="717"/>
      <c r="CX3109" s="717"/>
      <c r="CY3109" s="717"/>
      <c r="CZ3109" s="717"/>
      <c r="DA3109" s="717"/>
      <c r="DB3109" s="717"/>
      <c r="DC3109" s="717"/>
      <c r="DD3109" s="717"/>
      <c r="DE3109" s="717"/>
      <c r="DF3109" s="717"/>
      <c r="DG3109" s="717"/>
      <c r="DH3109" s="717"/>
      <c r="DI3109" s="717"/>
      <c r="DJ3109" s="717"/>
      <c r="DM3109" s="711"/>
      <c r="DN3109" s="711"/>
      <c r="DO3109" s="711"/>
      <c r="DP3109" s="711"/>
      <c r="DQ3109" s="711"/>
    </row>
    <row r="3110" spans="13:121" s="709" customFormat="1" hidden="1">
      <c r="M3110" s="710"/>
      <c r="P3110" s="711"/>
      <c r="Q3110" s="712"/>
      <c r="U3110" s="711"/>
      <c r="V3110" s="711"/>
      <c r="W3110" s="711"/>
      <c r="X3110" s="711"/>
      <c r="Y3110" s="711"/>
      <c r="Z3110" s="711"/>
      <c r="AU3110" s="713"/>
      <c r="AW3110" s="712"/>
      <c r="BY3110" s="714"/>
      <c r="BZ3110" s="715"/>
      <c r="CA3110" s="716"/>
      <c r="CB3110" s="717"/>
      <c r="CC3110" s="717"/>
      <c r="CD3110" s="717"/>
      <c r="CE3110" s="717"/>
      <c r="CF3110" s="717"/>
      <c r="CG3110" s="717"/>
      <c r="CH3110" s="717"/>
      <c r="CI3110" s="717"/>
      <c r="CJ3110" s="717"/>
      <c r="CK3110" s="717"/>
      <c r="CL3110" s="717"/>
      <c r="CM3110" s="717"/>
      <c r="CN3110" s="717"/>
      <c r="CO3110" s="717"/>
      <c r="CP3110" s="717"/>
      <c r="CQ3110" s="717"/>
      <c r="CR3110" s="717"/>
      <c r="CS3110" s="717"/>
      <c r="CT3110" s="717"/>
      <c r="CU3110" s="717"/>
      <c r="CV3110" s="717"/>
      <c r="CW3110" s="717"/>
      <c r="CX3110" s="717"/>
      <c r="CY3110" s="717"/>
      <c r="CZ3110" s="717"/>
      <c r="DA3110" s="717"/>
      <c r="DB3110" s="717"/>
      <c r="DC3110" s="717"/>
      <c r="DD3110" s="717"/>
      <c r="DE3110" s="717"/>
      <c r="DF3110" s="717"/>
      <c r="DG3110" s="717"/>
      <c r="DH3110" s="717"/>
      <c r="DI3110" s="717"/>
      <c r="DJ3110" s="717"/>
      <c r="DM3110" s="711"/>
      <c r="DN3110" s="711"/>
      <c r="DO3110" s="711"/>
      <c r="DP3110" s="711"/>
      <c r="DQ3110" s="711"/>
    </row>
    <row r="3111" spans="13:121" s="709" customFormat="1" hidden="1">
      <c r="M3111" s="710"/>
      <c r="P3111" s="711"/>
      <c r="Q3111" s="712"/>
      <c r="U3111" s="711"/>
      <c r="V3111" s="711"/>
      <c r="W3111" s="711"/>
      <c r="X3111" s="711"/>
      <c r="Y3111" s="711"/>
      <c r="Z3111" s="711"/>
      <c r="AU3111" s="713"/>
      <c r="AW3111" s="712"/>
      <c r="BY3111" s="714"/>
      <c r="BZ3111" s="715"/>
      <c r="CA3111" s="716"/>
      <c r="CB3111" s="717"/>
      <c r="CC3111" s="717"/>
      <c r="CD3111" s="717"/>
      <c r="CE3111" s="717"/>
      <c r="CF3111" s="717"/>
      <c r="CG3111" s="717"/>
      <c r="CH3111" s="717"/>
      <c r="CI3111" s="717"/>
      <c r="CJ3111" s="717"/>
      <c r="CK3111" s="717"/>
      <c r="CL3111" s="717"/>
      <c r="CM3111" s="717"/>
      <c r="CN3111" s="717"/>
      <c r="CO3111" s="717"/>
      <c r="CP3111" s="717"/>
      <c r="CQ3111" s="717"/>
      <c r="CR3111" s="717"/>
      <c r="CS3111" s="717"/>
      <c r="CT3111" s="717"/>
      <c r="CU3111" s="717"/>
      <c r="CV3111" s="717"/>
      <c r="CW3111" s="717"/>
      <c r="CX3111" s="717"/>
      <c r="CY3111" s="717"/>
      <c r="CZ3111" s="717"/>
      <c r="DA3111" s="717"/>
      <c r="DB3111" s="717"/>
      <c r="DC3111" s="717"/>
      <c r="DD3111" s="717"/>
      <c r="DE3111" s="717"/>
      <c r="DF3111" s="717"/>
      <c r="DG3111" s="717"/>
      <c r="DH3111" s="717"/>
      <c r="DI3111" s="717"/>
      <c r="DJ3111" s="717"/>
      <c r="DM3111" s="711"/>
      <c r="DN3111" s="711"/>
      <c r="DO3111" s="711"/>
      <c r="DP3111" s="711"/>
      <c r="DQ3111" s="711"/>
    </row>
    <row r="3112" spans="13:121" s="709" customFormat="1" hidden="1">
      <c r="M3112" s="710"/>
      <c r="P3112" s="711"/>
      <c r="Q3112" s="712"/>
      <c r="U3112" s="711"/>
      <c r="V3112" s="711"/>
      <c r="W3112" s="711"/>
      <c r="X3112" s="711"/>
      <c r="Y3112" s="711"/>
      <c r="Z3112" s="711"/>
      <c r="AU3112" s="713"/>
      <c r="AW3112" s="712"/>
      <c r="BY3112" s="714"/>
      <c r="BZ3112" s="715"/>
      <c r="CA3112" s="716"/>
      <c r="CB3112" s="717"/>
      <c r="CC3112" s="717"/>
      <c r="CD3112" s="717"/>
      <c r="CE3112" s="717"/>
      <c r="CF3112" s="717"/>
      <c r="CG3112" s="717"/>
      <c r="CH3112" s="717"/>
      <c r="CI3112" s="717"/>
      <c r="CJ3112" s="717"/>
      <c r="CK3112" s="717"/>
      <c r="CL3112" s="717"/>
      <c r="CM3112" s="717"/>
      <c r="CN3112" s="717"/>
      <c r="CO3112" s="717"/>
      <c r="CP3112" s="717"/>
      <c r="CQ3112" s="717"/>
      <c r="CR3112" s="717"/>
      <c r="CS3112" s="717"/>
      <c r="CT3112" s="717"/>
      <c r="CU3112" s="717"/>
      <c r="CV3112" s="717"/>
      <c r="CW3112" s="717"/>
      <c r="CX3112" s="717"/>
      <c r="CY3112" s="717"/>
      <c r="CZ3112" s="717"/>
      <c r="DA3112" s="717"/>
      <c r="DB3112" s="717"/>
      <c r="DC3112" s="717"/>
      <c r="DD3112" s="717"/>
      <c r="DE3112" s="717"/>
      <c r="DF3112" s="717"/>
      <c r="DG3112" s="717"/>
      <c r="DH3112" s="717"/>
      <c r="DI3112" s="717"/>
      <c r="DJ3112" s="717"/>
      <c r="DM3112" s="711"/>
      <c r="DN3112" s="711"/>
      <c r="DO3112" s="711"/>
      <c r="DP3112" s="711"/>
      <c r="DQ3112" s="711"/>
    </row>
    <row r="3113" spans="13:121" s="709" customFormat="1" hidden="1">
      <c r="M3113" s="710"/>
      <c r="P3113" s="711"/>
      <c r="Q3113" s="712"/>
      <c r="U3113" s="711"/>
      <c r="V3113" s="711"/>
      <c r="W3113" s="711"/>
      <c r="X3113" s="711"/>
      <c r="Y3113" s="711"/>
      <c r="Z3113" s="711"/>
      <c r="AU3113" s="713"/>
      <c r="AW3113" s="712"/>
      <c r="BY3113" s="714"/>
      <c r="BZ3113" s="715"/>
      <c r="CA3113" s="716"/>
      <c r="CB3113" s="717"/>
      <c r="CC3113" s="717"/>
      <c r="CD3113" s="717"/>
      <c r="CE3113" s="717"/>
      <c r="CF3113" s="717"/>
      <c r="CG3113" s="717"/>
      <c r="CH3113" s="717"/>
      <c r="CI3113" s="717"/>
      <c r="CJ3113" s="717"/>
      <c r="CK3113" s="717"/>
      <c r="CL3113" s="717"/>
      <c r="CM3113" s="717"/>
      <c r="CN3113" s="717"/>
      <c r="CO3113" s="717"/>
      <c r="CP3113" s="717"/>
      <c r="CQ3113" s="717"/>
      <c r="CR3113" s="717"/>
      <c r="CS3113" s="717"/>
      <c r="CT3113" s="717"/>
      <c r="CU3113" s="717"/>
      <c r="CV3113" s="717"/>
      <c r="CW3113" s="717"/>
      <c r="CX3113" s="717"/>
      <c r="CY3113" s="717"/>
      <c r="CZ3113" s="717"/>
      <c r="DA3113" s="717"/>
      <c r="DB3113" s="717"/>
      <c r="DC3113" s="717"/>
      <c r="DD3113" s="717"/>
      <c r="DE3113" s="717"/>
      <c r="DF3113" s="717"/>
      <c r="DG3113" s="717"/>
      <c r="DH3113" s="717"/>
      <c r="DI3113" s="717"/>
      <c r="DJ3113" s="717"/>
      <c r="DM3113" s="711"/>
      <c r="DN3113" s="711"/>
      <c r="DO3113" s="711"/>
      <c r="DP3113" s="711"/>
      <c r="DQ3113" s="711"/>
    </row>
    <row r="3114" spans="13:121" s="709" customFormat="1" hidden="1">
      <c r="M3114" s="710"/>
      <c r="P3114" s="711"/>
      <c r="Q3114" s="712"/>
      <c r="U3114" s="711"/>
      <c r="V3114" s="711"/>
      <c r="W3114" s="711"/>
      <c r="X3114" s="711"/>
      <c r="Y3114" s="711"/>
      <c r="Z3114" s="711"/>
      <c r="AU3114" s="713"/>
      <c r="AW3114" s="712"/>
      <c r="BY3114" s="714"/>
      <c r="BZ3114" s="715"/>
      <c r="CA3114" s="716"/>
      <c r="CB3114" s="717"/>
      <c r="CC3114" s="717"/>
      <c r="CD3114" s="717"/>
      <c r="CE3114" s="717"/>
      <c r="CF3114" s="717"/>
      <c r="CG3114" s="717"/>
      <c r="CH3114" s="717"/>
      <c r="CI3114" s="717"/>
      <c r="CJ3114" s="717"/>
      <c r="CK3114" s="717"/>
      <c r="CL3114" s="717"/>
      <c r="CM3114" s="717"/>
      <c r="CN3114" s="717"/>
      <c r="CO3114" s="717"/>
      <c r="CP3114" s="717"/>
      <c r="CQ3114" s="717"/>
      <c r="CR3114" s="717"/>
      <c r="CS3114" s="717"/>
      <c r="CT3114" s="717"/>
      <c r="CU3114" s="717"/>
      <c r="CV3114" s="717"/>
      <c r="CW3114" s="717"/>
      <c r="CX3114" s="717"/>
      <c r="CY3114" s="717"/>
      <c r="CZ3114" s="717"/>
      <c r="DA3114" s="717"/>
      <c r="DB3114" s="717"/>
      <c r="DC3114" s="717"/>
      <c r="DD3114" s="717"/>
      <c r="DE3114" s="717"/>
      <c r="DF3114" s="717"/>
      <c r="DG3114" s="717"/>
      <c r="DH3114" s="717"/>
      <c r="DI3114" s="717"/>
      <c r="DJ3114" s="717"/>
      <c r="DM3114" s="711"/>
      <c r="DN3114" s="711"/>
      <c r="DO3114" s="711"/>
      <c r="DP3114" s="711"/>
      <c r="DQ3114" s="711"/>
    </row>
    <row r="3115" spans="13:121" s="709" customFormat="1" hidden="1">
      <c r="M3115" s="710"/>
      <c r="P3115" s="711"/>
      <c r="Q3115" s="712"/>
      <c r="U3115" s="711"/>
      <c r="V3115" s="711"/>
      <c r="W3115" s="711"/>
      <c r="X3115" s="711"/>
      <c r="Y3115" s="711"/>
      <c r="Z3115" s="711"/>
      <c r="AU3115" s="713"/>
      <c r="AW3115" s="712"/>
      <c r="BY3115" s="714"/>
      <c r="BZ3115" s="715"/>
      <c r="CA3115" s="716"/>
      <c r="CB3115" s="717"/>
      <c r="CC3115" s="717"/>
      <c r="CD3115" s="717"/>
      <c r="CE3115" s="717"/>
      <c r="CF3115" s="717"/>
      <c r="CG3115" s="717"/>
      <c r="CH3115" s="717"/>
      <c r="CI3115" s="717"/>
      <c r="CJ3115" s="717"/>
      <c r="CK3115" s="717"/>
      <c r="CL3115" s="717"/>
      <c r="CM3115" s="717"/>
      <c r="CN3115" s="717"/>
      <c r="CO3115" s="717"/>
      <c r="CP3115" s="717"/>
      <c r="CQ3115" s="717"/>
      <c r="CR3115" s="717"/>
      <c r="CS3115" s="717"/>
      <c r="CT3115" s="717"/>
      <c r="CU3115" s="717"/>
      <c r="CV3115" s="717"/>
      <c r="CW3115" s="717"/>
      <c r="CX3115" s="717"/>
      <c r="CY3115" s="717"/>
      <c r="CZ3115" s="717"/>
      <c r="DA3115" s="717"/>
      <c r="DB3115" s="717"/>
      <c r="DC3115" s="717"/>
      <c r="DD3115" s="717"/>
      <c r="DE3115" s="717"/>
      <c r="DF3115" s="717"/>
      <c r="DG3115" s="717"/>
      <c r="DH3115" s="717"/>
      <c r="DI3115" s="717"/>
      <c r="DJ3115" s="717"/>
      <c r="DM3115" s="711"/>
      <c r="DN3115" s="711"/>
      <c r="DO3115" s="711"/>
      <c r="DP3115" s="711"/>
      <c r="DQ3115" s="711"/>
    </row>
    <row r="3116" spans="13:121" s="709" customFormat="1" hidden="1">
      <c r="M3116" s="710"/>
      <c r="P3116" s="711"/>
      <c r="Q3116" s="712"/>
      <c r="U3116" s="711"/>
      <c r="V3116" s="711"/>
      <c r="W3116" s="711"/>
      <c r="X3116" s="711"/>
      <c r="Y3116" s="711"/>
      <c r="Z3116" s="711"/>
      <c r="AU3116" s="713"/>
      <c r="AW3116" s="712"/>
      <c r="BY3116" s="714"/>
      <c r="BZ3116" s="715"/>
      <c r="CA3116" s="716"/>
      <c r="CB3116" s="717"/>
      <c r="CC3116" s="717"/>
      <c r="CD3116" s="717"/>
      <c r="CE3116" s="717"/>
      <c r="CF3116" s="717"/>
      <c r="CG3116" s="717"/>
      <c r="CH3116" s="717"/>
      <c r="CI3116" s="717"/>
      <c r="CJ3116" s="717"/>
      <c r="CK3116" s="717"/>
      <c r="CL3116" s="717"/>
      <c r="CM3116" s="717"/>
      <c r="CN3116" s="717"/>
      <c r="CO3116" s="717"/>
      <c r="CP3116" s="717"/>
      <c r="CQ3116" s="717"/>
      <c r="CR3116" s="717"/>
      <c r="CS3116" s="717"/>
      <c r="CT3116" s="717"/>
      <c r="CU3116" s="717"/>
      <c r="CV3116" s="717"/>
      <c r="CW3116" s="717"/>
      <c r="CX3116" s="717"/>
      <c r="CY3116" s="717"/>
      <c r="CZ3116" s="717"/>
      <c r="DA3116" s="717"/>
      <c r="DB3116" s="717"/>
      <c r="DC3116" s="717"/>
      <c r="DD3116" s="717"/>
      <c r="DE3116" s="717"/>
      <c r="DF3116" s="717"/>
      <c r="DG3116" s="717"/>
      <c r="DH3116" s="717"/>
      <c r="DI3116" s="717"/>
      <c r="DJ3116" s="717"/>
      <c r="DM3116" s="711"/>
      <c r="DN3116" s="711"/>
      <c r="DO3116" s="711"/>
      <c r="DP3116" s="711"/>
      <c r="DQ3116" s="711"/>
    </row>
    <row r="3117" spans="13:121" s="709" customFormat="1" hidden="1">
      <c r="M3117" s="710"/>
      <c r="P3117" s="711"/>
      <c r="Q3117" s="712"/>
      <c r="U3117" s="711"/>
      <c r="V3117" s="711"/>
      <c r="W3117" s="711"/>
      <c r="X3117" s="711"/>
      <c r="Y3117" s="711"/>
      <c r="Z3117" s="711"/>
      <c r="AU3117" s="713"/>
      <c r="AW3117" s="712"/>
      <c r="BY3117" s="714"/>
      <c r="BZ3117" s="715"/>
      <c r="CA3117" s="716"/>
      <c r="CB3117" s="717"/>
      <c r="CC3117" s="717"/>
      <c r="CD3117" s="717"/>
      <c r="CE3117" s="717"/>
      <c r="CF3117" s="717"/>
      <c r="CG3117" s="717"/>
      <c r="CH3117" s="717"/>
      <c r="CI3117" s="717"/>
      <c r="CJ3117" s="717"/>
      <c r="CK3117" s="717"/>
      <c r="CL3117" s="717"/>
      <c r="CM3117" s="717"/>
      <c r="CN3117" s="717"/>
      <c r="CO3117" s="717"/>
      <c r="CP3117" s="717"/>
      <c r="CQ3117" s="717"/>
      <c r="CR3117" s="717"/>
      <c r="CS3117" s="717"/>
      <c r="CT3117" s="717"/>
      <c r="CU3117" s="717"/>
      <c r="CV3117" s="717"/>
      <c r="CW3117" s="717"/>
      <c r="CX3117" s="717"/>
      <c r="CY3117" s="717"/>
      <c r="CZ3117" s="717"/>
      <c r="DA3117" s="717"/>
      <c r="DB3117" s="717"/>
      <c r="DC3117" s="717"/>
      <c r="DD3117" s="717"/>
      <c r="DE3117" s="717"/>
      <c r="DF3117" s="717"/>
      <c r="DG3117" s="717"/>
      <c r="DH3117" s="717"/>
      <c r="DI3117" s="717"/>
      <c r="DJ3117" s="717"/>
      <c r="DM3117" s="711"/>
      <c r="DN3117" s="711"/>
      <c r="DO3117" s="711"/>
      <c r="DP3117" s="711"/>
      <c r="DQ3117" s="711"/>
    </row>
    <row r="3118" spans="13:121" s="709" customFormat="1" hidden="1">
      <c r="M3118" s="710"/>
      <c r="P3118" s="711"/>
      <c r="Q3118" s="712"/>
      <c r="U3118" s="711"/>
      <c r="V3118" s="711"/>
      <c r="W3118" s="711"/>
      <c r="X3118" s="711"/>
      <c r="Y3118" s="711"/>
      <c r="Z3118" s="711"/>
      <c r="AU3118" s="713"/>
      <c r="AW3118" s="712"/>
      <c r="BY3118" s="714"/>
      <c r="BZ3118" s="715"/>
      <c r="CA3118" s="716"/>
      <c r="CB3118" s="717"/>
      <c r="CC3118" s="717"/>
      <c r="CD3118" s="717"/>
      <c r="CE3118" s="717"/>
      <c r="CF3118" s="717"/>
      <c r="CG3118" s="717"/>
      <c r="CH3118" s="717"/>
      <c r="CI3118" s="717"/>
      <c r="CJ3118" s="717"/>
      <c r="CK3118" s="717"/>
      <c r="CL3118" s="717"/>
      <c r="CM3118" s="717"/>
      <c r="CN3118" s="717"/>
      <c r="CO3118" s="717"/>
      <c r="CP3118" s="717"/>
      <c r="CQ3118" s="717"/>
      <c r="CR3118" s="717"/>
      <c r="CS3118" s="717"/>
      <c r="CT3118" s="717"/>
      <c r="CU3118" s="717"/>
      <c r="CV3118" s="717"/>
      <c r="CW3118" s="717"/>
      <c r="CX3118" s="717"/>
      <c r="CY3118" s="717"/>
      <c r="CZ3118" s="717"/>
      <c r="DA3118" s="717"/>
      <c r="DB3118" s="717"/>
      <c r="DC3118" s="717"/>
      <c r="DD3118" s="717"/>
      <c r="DE3118" s="717"/>
      <c r="DF3118" s="717"/>
      <c r="DG3118" s="717"/>
      <c r="DH3118" s="717"/>
      <c r="DI3118" s="717"/>
      <c r="DJ3118" s="717"/>
      <c r="DM3118" s="711"/>
      <c r="DN3118" s="711"/>
      <c r="DO3118" s="711"/>
      <c r="DP3118" s="711"/>
      <c r="DQ3118" s="711"/>
    </row>
    <row r="3119" spans="13:121" s="709" customFormat="1" hidden="1">
      <c r="M3119" s="710"/>
      <c r="P3119" s="711"/>
      <c r="Q3119" s="712"/>
      <c r="U3119" s="711"/>
      <c r="V3119" s="711"/>
      <c r="W3119" s="711"/>
      <c r="X3119" s="711"/>
      <c r="Y3119" s="711"/>
      <c r="Z3119" s="711"/>
      <c r="AU3119" s="713"/>
      <c r="AW3119" s="712"/>
      <c r="BY3119" s="714"/>
      <c r="BZ3119" s="715"/>
      <c r="CA3119" s="716"/>
      <c r="CB3119" s="717"/>
      <c r="CC3119" s="717"/>
      <c r="CD3119" s="717"/>
      <c r="CE3119" s="717"/>
      <c r="CF3119" s="717"/>
      <c r="CG3119" s="717"/>
      <c r="CH3119" s="717"/>
      <c r="CI3119" s="717"/>
      <c r="CJ3119" s="717"/>
      <c r="CK3119" s="717"/>
      <c r="CL3119" s="717"/>
      <c r="CM3119" s="717"/>
      <c r="CN3119" s="717"/>
      <c r="CO3119" s="717"/>
      <c r="CP3119" s="717"/>
      <c r="CQ3119" s="717"/>
      <c r="CR3119" s="717"/>
      <c r="CS3119" s="717"/>
      <c r="CT3119" s="717"/>
      <c r="CU3119" s="717"/>
      <c r="CV3119" s="717"/>
      <c r="CW3119" s="717"/>
      <c r="CX3119" s="717"/>
      <c r="CY3119" s="717"/>
      <c r="CZ3119" s="717"/>
      <c r="DA3119" s="717"/>
      <c r="DB3119" s="717"/>
      <c r="DC3119" s="717"/>
      <c r="DD3119" s="717"/>
      <c r="DE3119" s="717"/>
      <c r="DF3119" s="717"/>
      <c r="DG3119" s="717"/>
      <c r="DH3119" s="717"/>
      <c r="DI3119" s="717"/>
      <c r="DJ3119" s="717"/>
      <c r="DM3119" s="711"/>
      <c r="DN3119" s="711"/>
      <c r="DO3119" s="711"/>
      <c r="DP3119" s="711"/>
      <c r="DQ3119" s="711"/>
    </row>
    <row r="3120" spans="13:121" s="709" customFormat="1" hidden="1">
      <c r="M3120" s="710"/>
      <c r="P3120" s="711"/>
      <c r="Q3120" s="712"/>
      <c r="U3120" s="711"/>
      <c r="V3120" s="711"/>
      <c r="W3120" s="711"/>
      <c r="X3120" s="711"/>
      <c r="Y3120" s="711"/>
      <c r="Z3120" s="711"/>
      <c r="AU3120" s="713"/>
      <c r="AW3120" s="712"/>
      <c r="BY3120" s="714"/>
      <c r="BZ3120" s="715"/>
      <c r="CA3120" s="716"/>
      <c r="CB3120" s="717"/>
      <c r="CC3120" s="717"/>
      <c r="CD3120" s="717"/>
      <c r="CE3120" s="717"/>
      <c r="CF3120" s="717"/>
      <c r="CG3120" s="717"/>
      <c r="CH3120" s="717"/>
      <c r="CI3120" s="717"/>
      <c r="CJ3120" s="717"/>
      <c r="CK3120" s="717"/>
      <c r="CL3120" s="717"/>
      <c r="CM3120" s="717"/>
      <c r="CN3120" s="717"/>
      <c r="CO3120" s="717"/>
      <c r="CP3120" s="717"/>
      <c r="CQ3120" s="717"/>
      <c r="CR3120" s="717"/>
      <c r="CS3120" s="717"/>
      <c r="CT3120" s="717"/>
      <c r="CU3120" s="717"/>
      <c r="CV3120" s="717"/>
      <c r="CW3120" s="717"/>
      <c r="CX3120" s="717"/>
      <c r="CY3120" s="717"/>
      <c r="CZ3120" s="717"/>
      <c r="DA3120" s="717"/>
      <c r="DB3120" s="717"/>
      <c r="DC3120" s="717"/>
      <c r="DD3120" s="717"/>
      <c r="DE3120" s="717"/>
      <c r="DF3120" s="717"/>
      <c r="DG3120" s="717"/>
      <c r="DH3120" s="717"/>
      <c r="DI3120" s="717"/>
      <c r="DJ3120" s="717"/>
      <c r="DM3120" s="711"/>
      <c r="DN3120" s="711"/>
      <c r="DO3120" s="711"/>
      <c r="DP3120" s="711"/>
      <c r="DQ3120" s="711"/>
    </row>
    <row r="3121" spans="13:121" s="709" customFormat="1" hidden="1">
      <c r="M3121" s="710"/>
      <c r="P3121" s="711"/>
      <c r="Q3121" s="712"/>
      <c r="U3121" s="711"/>
      <c r="V3121" s="711"/>
      <c r="W3121" s="711"/>
      <c r="X3121" s="711"/>
      <c r="Y3121" s="711"/>
      <c r="Z3121" s="711"/>
      <c r="AU3121" s="713"/>
      <c r="AW3121" s="712"/>
      <c r="BY3121" s="714"/>
      <c r="BZ3121" s="715"/>
      <c r="CA3121" s="716"/>
      <c r="CB3121" s="717"/>
      <c r="CC3121" s="717"/>
      <c r="CD3121" s="717"/>
      <c r="CE3121" s="717"/>
      <c r="CF3121" s="717"/>
      <c r="CG3121" s="717"/>
      <c r="CH3121" s="717"/>
      <c r="CI3121" s="717"/>
      <c r="CJ3121" s="717"/>
      <c r="CK3121" s="717"/>
      <c r="CL3121" s="717"/>
      <c r="CM3121" s="717"/>
      <c r="CN3121" s="717"/>
      <c r="CO3121" s="717"/>
      <c r="CP3121" s="717"/>
      <c r="CQ3121" s="717"/>
      <c r="CR3121" s="717"/>
      <c r="CS3121" s="717"/>
      <c r="CT3121" s="717"/>
      <c r="CU3121" s="717"/>
      <c r="CV3121" s="717"/>
      <c r="CW3121" s="717"/>
      <c r="CX3121" s="717"/>
      <c r="CY3121" s="717"/>
      <c r="CZ3121" s="717"/>
      <c r="DA3121" s="717"/>
      <c r="DB3121" s="717"/>
      <c r="DC3121" s="717"/>
      <c r="DD3121" s="717"/>
      <c r="DE3121" s="717"/>
      <c r="DF3121" s="717"/>
      <c r="DG3121" s="717"/>
      <c r="DH3121" s="717"/>
      <c r="DI3121" s="717"/>
      <c r="DJ3121" s="717"/>
      <c r="DM3121" s="711"/>
      <c r="DN3121" s="711"/>
      <c r="DO3121" s="711"/>
      <c r="DP3121" s="711"/>
      <c r="DQ3121" s="711"/>
    </row>
    <row r="3122" spans="13:121" s="709" customFormat="1" hidden="1">
      <c r="M3122" s="710"/>
      <c r="P3122" s="711"/>
      <c r="Q3122" s="712"/>
      <c r="U3122" s="711"/>
      <c r="V3122" s="711"/>
      <c r="W3122" s="711"/>
      <c r="X3122" s="711"/>
      <c r="Y3122" s="711"/>
      <c r="Z3122" s="711"/>
      <c r="AU3122" s="713"/>
      <c r="AW3122" s="712"/>
      <c r="BY3122" s="714"/>
      <c r="BZ3122" s="715"/>
      <c r="CA3122" s="716"/>
      <c r="CB3122" s="717"/>
      <c r="CC3122" s="717"/>
      <c r="CD3122" s="717"/>
      <c r="CE3122" s="717"/>
      <c r="CF3122" s="717"/>
      <c r="CG3122" s="717"/>
      <c r="CH3122" s="717"/>
      <c r="CI3122" s="717"/>
      <c r="CJ3122" s="717"/>
      <c r="CK3122" s="717"/>
      <c r="CL3122" s="717"/>
      <c r="CM3122" s="717"/>
      <c r="CN3122" s="717"/>
      <c r="CO3122" s="717"/>
      <c r="CP3122" s="717"/>
      <c r="CQ3122" s="717"/>
      <c r="CR3122" s="717"/>
      <c r="CS3122" s="717"/>
      <c r="CT3122" s="717"/>
      <c r="CU3122" s="717"/>
      <c r="CV3122" s="717"/>
      <c r="CW3122" s="717"/>
      <c r="CX3122" s="717"/>
      <c r="CY3122" s="717"/>
      <c r="CZ3122" s="717"/>
      <c r="DA3122" s="717"/>
      <c r="DB3122" s="717"/>
      <c r="DC3122" s="717"/>
      <c r="DD3122" s="717"/>
      <c r="DE3122" s="717"/>
      <c r="DF3122" s="717"/>
      <c r="DG3122" s="717"/>
      <c r="DH3122" s="717"/>
      <c r="DI3122" s="717"/>
      <c r="DJ3122" s="717"/>
      <c r="DM3122" s="711"/>
      <c r="DN3122" s="711"/>
      <c r="DO3122" s="711"/>
      <c r="DP3122" s="711"/>
      <c r="DQ3122" s="711"/>
    </row>
    <row r="3123" spans="13:121" s="709" customFormat="1" hidden="1">
      <c r="M3123" s="710"/>
      <c r="P3123" s="711"/>
      <c r="Q3123" s="712"/>
      <c r="U3123" s="711"/>
      <c r="V3123" s="711"/>
      <c r="W3123" s="711"/>
      <c r="X3123" s="711"/>
      <c r="Y3123" s="711"/>
      <c r="Z3123" s="711"/>
      <c r="AU3123" s="713"/>
      <c r="AW3123" s="712"/>
      <c r="BY3123" s="714"/>
      <c r="BZ3123" s="715"/>
      <c r="CA3123" s="716"/>
      <c r="CB3123" s="717"/>
      <c r="CC3123" s="717"/>
      <c r="CD3123" s="717"/>
      <c r="CE3123" s="717"/>
      <c r="CF3123" s="717"/>
      <c r="CG3123" s="717"/>
      <c r="CH3123" s="717"/>
      <c r="CI3123" s="717"/>
      <c r="CJ3123" s="717"/>
      <c r="CK3123" s="717"/>
      <c r="CL3123" s="717"/>
      <c r="CM3123" s="717"/>
      <c r="CN3123" s="717"/>
      <c r="CO3123" s="717"/>
      <c r="CP3123" s="717"/>
      <c r="CQ3123" s="717"/>
      <c r="CR3123" s="717"/>
      <c r="CS3123" s="717"/>
      <c r="CT3123" s="717"/>
      <c r="CU3123" s="717"/>
      <c r="CV3123" s="717"/>
      <c r="CW3123" s="717"/>
      <c r="CX3123" s="717"/>
      <c r="CY3123" s="717"/>
      <c r="CZ3123" s="717"/>
      <c r="DA3123" s="717"/>
      <c r="DB3123" s="717"/>
      <c r="DC3123" s="717"/>
      <c r="DD3123" s="717"/>
      <c r="DE3123" s="717"/>
      <c r="DF3123" s="717"/>
      <c r="DG3123" s="717"/>
      <c r="DH3123" s="717"/>
      <c r="DI3123" s="717"/>
      <c r="DJ3123" s="717"/>
      <c r="DM3123" s="711"/>
      <c r="DN3123" s="711"/>
      <c r="DO3123" s="711"/>
      <c r="DP3123" s="711"/>
      <c r="DQ3123" s="711"/>
    </row>
    <row r="3124" spans="13:121" s="709" customFormat="1" hidden="1">
      <c r="M3124" s="710"/>
      <c r="P3124" s="711"/>
      <c r="Q3124" s="712"/>
      <c r="U3124" s="711"/>
      <c r="V3124" s="711"/>
      <c r="W3124" s="711"/>
      <c r="X3124" s="711"/>
      <c r="Y3124" s="711"/>
      <c r="Z3124" s="711"/>
      <c r="AU3124" s="713"/>
      <c r="AW3124" s="712"/>
      <c r="BY3124" s="714"/>
      <c r="BZ3124" s="715"/>
      <c r="CA3124" s="716"/>
      <c r="CB3124" s="717"/>
      <c r="CC3124" s="717"/>
      <c r="CD3124" s="717"/>
      <c r="CE3124" s="717"/>
      <c r="CF3124" s="717"/>
      <c r="CG3124" s="717"/>
      <c r="CH3124" s="717"/>
      <c r="CI3124" s="717"/>
      <c r="CJ3124" s="717"/>
      <c r="CK3124" s="717"/>
      <c r="CL3124" s="717"/>
      <c r="CM3124" s="717"/>
      <c r="CN3124" s="717"/>
      <c r="CO3124" s="717"/>
      <c r="CP3124" s="717"/>
      <c r="CQ3124" s="717"/>
      <c r="CR3124" s="717"/>
      <c r="CS3124" s="717"/>
      <c r="CT3124" s="717"/>
      <c r="CU3124" s="717"/>
      <c r="CV3124" s="717"/>
      <c r="CW3124" s="717"/>
      <c r="CX3124" s="717"/>
      <c r="CY3124" s="717"/>
      <c r="CZ3124" s="717"/>
      <c r="DA3124" s="717"/>
      <c r="DB3124" s="717"/>
      <c r="DC3124" s="717"/>
      <c r="DD3124" s="717"/>
      <c r="DE3124" s="717"/>
      <c r="DF3124" s="717"/>
      <c r="DG3124" s="717"/>
      <c r="DH3124" s="717"/>
      <c r="DI3124" s="717"/>
      <c r="DJ3124" s="717"/>
      <c r="DM3124" s="711"/>
      <c r="DN3124" s="711"/>
      <c r="DO3124" s="711"/>
      <c r="DP3124" s="711"/>
      <c r="DQ3124" s="711"/>
    </row>
    <row r="3125" spans="13:121" s="709" customFormat="1" hidden="1">
      <c r="M3125" s="710"/>
      <c r="P3125" s="711"/>
      <c r="Q3125" s="712"/>
      <c r="U3125" s="711"/>
      <c r="V3125" s="711"/>
      <c r="W3125" s="711"/>
      <c r="X3125" s="711"/>
      <c r="Y3125" s="711"/>
      <c r="Z3125" s="711"/>
      <c r="AU3125" s="713"/>
      <c r="AW3125" s="712"/>
      <c r="BY3125" s="714"/>
      <c r="BZ3125" s="715"/>
      <c r="CA3125" s="716"/>
      <c r="CB3125" s="717"/>
      <c r="CC3125" s="717"/>
      <c r="CD3125" s="717"/>
      <c r="CE3125" s="717"/>
      <c r="CF3125" s="717"/>
      <c r="CG3125" s="717"/>
      <c r="CH3125" s="717"/>
      <c r="CI3125" s="717"/>
      <c r="CJ3125" s="717"/>
      <c r="CK3125" s="717"/>
      <c r="CL3125" s="717"/>
      <c r="CM3125" s="717"/>
      <c r="CN3125" s="717"/>
      <c r="CO3125" s="717"/>
      <c r="CP3125" s="717"/>
      <c r="CQ3125" s="717"/>
      <c r="CR3125" s="717"/>
      <c r="CS3125" s="717"/>
      <c r="CT3125" s="717"/>
      <c r="CU3125" s="717"/>
      <c r="CV3125" s="717"/>
      <c r="CW3125" s="717"/>
      <c r="CX3125" s="717"/>
      <c r="CY3125" s="717"/>
      <c r="CZ3125" s="717"/>
      <c r="DA3125" s="717"/>
      <c r="DB3125" s="717"/>
      <c r="DC3125" s="717"/>
      <c r="DD3125" s="717"/>
      <c r="DE3125" s="717"/>
      <c r="DF3125" s="717"/>
      <c r="DG3125" s="717"/>
      <c r="DH3125" s="717"/>
      <c r="DI3125" s="717"/>
      <c r="DJ3125" s="717"/>
      <c r="DM3125" s="711"/>
      <c r="DN3125" s="711"/>
      <c r="DO3125" s="711"/>
      <c r="DP3125" s="711"/>
      <c r="DQ3125" s="711"/>
    </row>
    <row r="3126" spans="13:121" s="709" customFormat="1" hidden="1">
      <c r="M3126" s="710"/>
      <c r="P3126" s="711"/>
      <c r="Q3126" s="712"/>
      <c r="U3126" s="711"/>
      <c r="V3126" s="711"/>
      <c r="W3126" s="711"/>
      <c r="X3126" s="711"/>
      <c r="Y3126" s="711"/>
      <c r="Z3126" s="711"/>
      <c r="AU3126" s="713"/>
      <c r="AW3126" s="712"/>
      <c r="BY3126" s="714"/>
      <c r="BZ3126" s="715"/>
      <c r="CA3126" s="716"/>
      <c r="CB3126" s="717"/>
      <c r="CC3126" s="717"/>
      <c r="CD3126" s="717"/>
      <c r="CE3126" s="717"/>
      <c r="CF3126" s="717"/>
      <c r="CG3126" s="717"/>
      <c r="CH3126" s="717"/>
      <c r="CI3126" s="717"/>
      <c r="CJ3126" s="717"/>
      <c r="CK3126" s="717"/>
      <c r="CL3126" s="717"/>
      <c r="CM3126" s="717"/>
      <c r="CN3126" s="717"/>
      <c r="CO3126" s="717"/>
      <c r="CP3126" s="717"/>
      <c r="CQ3126" s="717"/>
      <c r="CR3126" s="717"/>
      <c r="CS3126" s="717"/>
      <c r="CT3126" s="717"/>
      <c r="CU3126" s="717"/>
      <c r="CV3126" s="717"/>
      <c r="CW3126" s="717"/>
      <c r="CX3126" s="717"/>
      <c r="CY3126" s="717"/>
      <c r="CZ3126" s="717"/>
      <c r="DA3126" s="717"/>
      <c r="DB3126" s="717"/>
      <c r="DC3126" s="717"/>
      <c r="DD3126" s="717"/>
      <c r="DE3126" s="717"/>
      <c r="DF3126" s="717"/>
      <c r="DG3126" s="717"/>
      <c r="DH3126" s="717"/>
      <c r="DI3126" s="717"/>
      <c r="DJ3126" s="717"/>
      <c r="DM3126" s="711"/>
      <c r="DN3126" s="711"/>
      <c r="DO3126" s="711"/>
      <c r="DP3126" s="711"/>
      <c r="DQ3126" s="711"/>
    </row>
    <row r="3127" spans="13:121" s="709" customFormat="1" hidden="1">
      <c r="M3127" s="710"/>
      <c r="P3127" s="711"/>
      <c r="Q3127" s="712"/>
      <c r="U3127" s="711"/>
      <c r="V3127" s="711"/>
      <c r="W3127" s="711"/>
      <c r="X3127" s="711"/>
      <c r="Y3127" s="711"/>
      <c r="Z3127" s="711"/>
      <c r="AU3127" s="713"/>
      <c r="AW3127" s="712"/>
      <c r="BY3127" s="714"/>
      <c r="BZ3127" s="715"/>
      <c r="CA3127" s="716"/>
      <c r="CB3127" s="717"/>
      <c r="CC3127" s="717"/>
      <c r="CD3127" s="717"/>
      <c r="CE3127" s="717"/>
      <c r="CF3127" s="717"/>
      <c r="CG3127" s="717"/>
      <c r="CH3127" s="717"/>
      <c r="CI3127" s="717"/>
      <c r="CJ3127" s="717"/>
      <c r="CK3127" s="717"/>
      <c r="CL3127" s="717"/>
      <c r="CM3127" s="717"/>
      <c r="CN3127" s="717"/>
      <c r="CO3127" s="717"/>
      <c r="CP3127" s="717"/>
      <c r="CQ3127" s="717"/>
      <c r="CR3127" s="717"/>
      <c r="CS3127" s="717"/>
      <c r="CT3127" s="717"/>
      <c r="CU3127" s="717"/>
      <c r="CV3127" s="717"/>
      <c r="CW3127" s="717"/>
      <c r="CX3127" s="717"/>
      <c r="CY3127" s="717"/>
      <c r="CZ3127" s="717"/>
      <c r="DA3127" s="717"/>
      <c r="DB3127" s="717"/>
      <c r="DC3127" s="717"/>
      <c r="DD3127" s="717"/>
      <c r="DE3127" s="717"/>
      <c r="DF3127" s="717"/>
      <c r="DG3127" s="717"/>
      <c r="DH3127" s="717"/>
      <c r="DI3127" s="717"/>
      <c r="DJ3127" s="717"/>
      <c r="DM3127" s="711"/>
      <c r="DN3127" s="711"/>
      <c r="DO3127" s="711"/>
      <c r="DP3127" s="711"/>
      <c r="DQ3127" s="711"/>
    </row>
    <row r="3128" spans="13:121" s="709" customFormat="1" hidden="1">
      <c r="M3128" s="710"/>
      <c r="P3128" s="711"/>
      <c r="Q3128" s="712"/>
      <c r="U3128" s="711"/>
      <c r="V3128" s="711"/>
      <c r="W3128" s="711"/>
      <c r="X3128" s="711"/>
      <c r="Y3128" s="711"/>
      <c r="Z3128" s="711"/>
      <c r="AU3128" s="713"/>
      <c r="AW3128" s="712"/>
      <c r="BY3128" s="714"/>
      <c r="BZ3128" s="715"/>
      <c r="CA3128" s="716"/>
      <c r="CB3128" s="717"/>
      <c r="CC3128" s="717"/>
      <c r="CD3128" s="717"/>
      <c r="CE3128" s="717"/>
      <c r="CF3128" s="717"/>
      <c r="CG3128" s="717"/>
      <c r="CH3128" s="717"/>
      <c r="CI3128" s="717"/>
      <c r="CJ3128" s="717"/>
      <c r="CK3128" s="717"/>
      <c r="CL3128" s="717"/>
      <c r="CM3128" s="717"/>
      <c r="CN3128" s="717"/>
      <c r="CO3128" s="717"/>
      <c r="CP3128" s="717"/>
      <c r="CQ3128" s="717"/>
      <c r="CR3128" s="717"/>
      <c r="CS3128" s="717"/>
      <c r="CT3128" s="717"/>
      <c r="CU3128" s="717"/>
      <c r="CV3128" s="717"/>
      <c r="CW3128" s="717"/>
      <c r="CX3128" s="717"/>
      <c r="CY3128" s="717"/>
      <c r="CZ3128" s="717"/>
      <c r="DA3128" s="717"/>
      <c r="DB3128" s="717"/>
      <c r="DC3128" s="717"/>
      <c r="DD3128" s="717"/>
      <c r="DE3128" s="717"/>
      <c r="DF3128" s="717"/>
      <c r="DG3128" s="717"/>
      <c r="DH3128" s="717"/>
      <c r="DI3128" s="717"/>
      <c r="DJ3128" s="717"/>
      <c r="DM3128" s="711"/>
      <c r="DN3128" s="711"/>
      <c r="DO3128" s="711"/>
      <c r="DP3128" s="711"/>
      <c r="DQ3128" s="711"/>
    </row>
    <row r="3129" spans="13:121" s="709" customFormat="1" hidden="1">
      <c r="M3129" s="710"/>
      <c r="P3129" s="711"/>
      <c r="Q3129" s="712"/>
      <c r="U3129" s="711"/>
      <c r="V3129" s="711"/>
      <c r="W3129" s="711"/>
      <c r="X3129" s="711"/>
      <c r="Y3129" s="711"/>
      <c r="Z3129" s="711"/>
      <c r="AU3129" s="713"/>
      <c r="AW3129" s="712"/>
      <c r="BY3129" s="714"/>
      <c r="BZ3129" s="715"/>
      <c r="CA3129" s="716"/>
      <c r="CB3129" s="717"/>
      <c r="CC3129" s="717"/>
      <c r="CD3129" s="717"/>
      <c r="CE3129" s="717"/>
      <c r="CF3129" s="717"/>
      <c r="CG3129" s="717"/>
      <c r="CH3129" s="717"/>
      <c r="CI3129" s="717"/>
      <c r="CJ3129" s="717"/>
      <c r="CK3129" s="717"/>
      <c r="CL3129" s="717"/>
      <c r="CM3129" s="717"/>
      <c r="CN3129" s="717"/>
      <c r="CO3129" s="717"/>
      <c r="CP3129" s="717"/>
      <c r="CQ3129" s="717"/>
      <c r="CR3129" s="717"/>
      <c r="CS3129" s="717"/>
      <c r="CT3129" s="717"/>
      <c r="CU3129" s="717"/>
      <c r="CV3129" s="717"/>
      <c r="CW3129" s="717"/>
      <c r="CX3129" s="717"/>
      <c r="CY3129" s="717"/>
      <c r="CZ3129" s="717"/>
      <c r="DA3129" s="717"/>
      <c r="DB3129" s="717"/>
      <c r="DC3129" s="717"/>
      <c r="DD3129" s="717"/>
      <c r="DE3129" s="717"/>
      <c r="DF3129" s="717"/>
      <c r="DG3129" s="717"/>
      <c r="DH3129" s="717"/>
      <c r="DI3129" s="717"/>
      <c r="DJ3129" s="717"/>
      <c r="DM3129" s="711"/>
      <c r="DN3129" s="711"/>
      <c r="DO3129" s="711"/>
      <c r="DP3129" s="711"/>
      <c r="DQ3129" s="711"/>
    </row>
    <row r="3130" spans="13:121" s="709" customFormat="1" hidden="1">
      <c r="M3130" s="710"/>
      <c r="P3130" s="711"/>
      <c r="Q3130" s="712"/>
      <c r="U3130" s="711"/>
      <c r="V3130" s="711"/>
      <c r="W3130" s="711"/>
      <c r="X3130" s="711"/>
      <c r="Y3130" s="711"/>
      <c r="Z3130" s="711"/>
      <c r="AU3130" s="713"/>
      <c r="AW3130" s="712"/>
      <c r="BY3130" s="714"/>
      <c r="BZ3130" s="715"/>
      <c r="CA3130" s="716"/>
      <c r="CB3130" s="717"/>
      <c r="CC3130" s="717"/>
      <c r="CD3130" s="717"/>
      <c r="CE3130" s="717"/>
      <c r="CF3130" s="717"/>
      <c r="CG3130" s="717"/>
      <c r="CH3130" s="717"/>
      <c r="CI3130" s="717"/>
      <c r="CJ3130" s="717"/>
      <c r="CK3130" s="717"/>
      <c r="CL3130" s="717"/>
      <c r="CM3130" s="717"/>
      <c r="CN3130" s="717"/>
      <c r="CO3130" s="717"/>
      <c r="CP3130" s="717"/>
      <c r="CQ3130" s="717"/>
      <c r="CR3130" s="717"/>
      <c r="CS3130" s="717"/>
      <c r="CT3130" s="717"/>
      <c r="CU3130" s="717"/>
      <c r="CV3130" s="717"/>
      <c r="CW3130" s="717"/>
      <c r="CX3130" s="717"/>
      <c r="CY3130" s="717"/>
      <c r="CZ3130" s="717"/>
      <c r="DA3130" s="717"/>
      <c r="DB3130" s="717"/>
      <c r="DC3130" s="717"/>
      <c r="DD3130" s="717"/>
      <c r="DE3130" s="717"/>
      <c r="DF3130" s="717"/>
      <c r="DG3130" s="717"/>
      <c r="DH3130" s="717"/>
      <c r="DI3130" s="717"/>
      <c r="DJ3130" s="717"/>
      <c r="DM3130" s="711"/>
      <c r="DN3130" s="711"/>
      <c r="DO3130" s="711"/>
      <c r="DP3130" s="711"/>
      <c r="DQ3130" s="711"/>
    </row>
    <row r="3131" spans="13:121" s="709" customFormat="1" hidden="1">
      <c r="M3131" s="710"/>
      <c r="P3131" s="711"/>
      <c r="Q3131" s="712"/>
      <c r="U3131" s="711"/>
      <c r="V3131" s="711"/>
      <c r="W3131" s="711"/>
      <c r="X3131" s="711"/>
      <c r="Y3131" s="711"/>
      <c r="Z3131" s="711"/>
      <c r="AU3131" s="713"/>
      <c r="AW3131" s="712"/>
      <c r="BY3131" s="714"/>
      <c r="BZ3131" s="715"/>
      <c r="CA3131" s="716"/>
      <c r="CB3131" s="717"/>
      <c r="CC3131" s="717"/>
      <c r="CD3131" s="717"/>
      <c r="CE3131" s="717"/>
      <c r="CF3131" s="717"/>
      <c r="CG3131" s="717"/>
      <c r="CH3131" s="717"/>
      <c r="CI3131" s="717"/>
      <c r="CJ3131" s="717"/>
      <c r="CK3131" s="717"/>
      <c r="CL3131" s="717"/>
      <c r="CM3131" s="717"/>
      <c r="CN3131" s="717"/>
      <c r="CO3131" s="717"/>
      <c r="CP3131" s="717"/>
      <c r="CQ3131" s="717"/>
      <c r="CR3131" s="717"/>
      <c r="CS3131" s="717"/>
      <c r="CT3131" s="717"/>
      <c r="CU3131" s="717"/>
      <c r="CV3131" s="717"/>
      <c r="CW3131" s="717"/>
      <c r="CX3131" s="717"/>
      <c r="CY3131" s="717"/>
      <c r="CZ3131" s="717"/>
      <c r="DA3131" s="717"/>
      <c r="DB3131" s="717"/>
      <c r="DC3131" s="717"/>
      <c r="DD3131" s="717"/>
      <c r="DE3131" s="717"/>
      <c r="DF3131" s="717"/>
      <c r="DG3131" s="717"/>
      <c r="DH3131" s="717"/>
      <c r="DI3131" s="717"/>
      <c r="DJ3131" s="717"/>
      <c r="DM3131" s="711"/>
      <c r="DN3131" s="711"/>
      <c r="DO3131" s="711"/>
      <c r="DP3131" s="711"/>
      <c r="DQ3131" s="711"/>
    </row>
    <row r="3132" spans="13:121" s="709" customFormat="1" hidden="1">
      <c r="M3132" s="710"/>
      <c r="P3132" s="711"/>
      <c r="Q3132" s="712"/>
      <c r="U3132" s="711"/>
      <c r="V3132" s="711"/>
      <c r="W3132" s="711"/>
      <c r="X3132" s="711"/>
      <c r="Y3132" s="711"/>
      <c r="Z3132" s="711"/>
      <c r="AU3132" s="713"/>
      <c r="AW3132" s="712"/>
      <c r="BY3132" s="714"/>
      <c r="BZ3132" s="715"/>
      <c r="CA3132" s="716"/>
      <c r="CB3132" s="717"/>
      <c r="CC3132" s="717"/>
      <c r="CD3132" s="717"/>
      <c r="CE3132" s="717"/>
      <c r="CF3132" s="717"/>
      <c r="CG3132" s="717"/>
      <c r="CH3132" s="717"/>
      <c r="CI3132" s="717"/>
      <c r="CJ3132" s="717"/>
      <c r="CK3132" s="717"/>
      <c r="CL3132" s="717"/>
      <c r="CM3132" s="717"/>
      <c r="CN3132" s="717"/>
      <c r="CO3132" s="717"/>
      <c r="CP3132" s="717"/>
      <c r="CQ3132" s="717"/>
      <c r="CR3132" s="717"/>
      <c r="CS3132" s="717"/>
      <c r="CT3132" s="717"/>
      <c r="CU3132" s="717"/>
      <c r="CV3132" s="717"/>
      <c r="CW3132" s="717"/>
      <c r="CX3132" s="717"/>
      <c r="CY3132" s="717"/>
      <c r="CZ3132" s="717"/>
      <c r="DA3132" s="717"/>
      <c r="DB3132" s="717"/>
      <c r="DC3132" s="717"/>
      <c r="DD3132" s="717"/>
      <c r="DE3132" s="717"/>
      <c r="DF3132" s="717"/>
      <c r="DG3132" s="717"/>
      <c r="DH3132" s="717"/>
      <c r="DI3132" s="717"/>
      <c r="DJ3132" s="717"/>
      <c r="DM3132" s="711"/>
      <c r="DN3132" s="711"/>
      <c r="DO3132" s="711"/>
      <c r="DP3132" s="711"/>
      <c r="DQ3132" s="711"/>
    </row>
    <row r="3133" spans="13:121" s="709" customFormat="1" hidden="1">
      <c r="M3133" s="710"/>
      <c r="P3133" s="711"/>
      <c r="Q3133" s="712"/>
      <c r="U3133" s="711"/>
      <c r="V3133" s="711"/>
      <c r="W3133" s="711"/>
      <c r="X3133" s="711"/>
      <c r="Y3133" s="711"/>
      <c r="Z3133" s="711"/>
      <c r="AU3133" s="713"/>
      <c r="AW3133" s="712"/>
      <c r="BY3133" s="714"/>
      <c r="BZ3133" s="715"/>
      <c r="CA3133" s="716"/>
      <c r="CB3133" s="717"/>
      <c r="CC3133" s="717"/>
      <c r="CD3133" s="717"/>
      <c r="CE3133" s="717"/>
      <c r="CF3133" s="717"/>
      <c r="CG3133" s="717"/>
      <c r="CH3133" s="717"/>
      <c r="CI3133" s="717"/>
      <c r="CJ3133" s="717"/>
      <c r="CK3133" s="717"/>
      <c r="CL3133" s="717"/>
      <c r="CM3133" s="717"/>
      <c r="CN3133" s="717"/>
      <c r="CO3133" s="717"/>
      <c r="CP3133" s="717"/>
      <c r="CQ3133" s="717"/>
      <c r="CR3133" s="717"/>
      <c r="CS3133" s="717"/>
      <c r="CT3133" s="717"/>
      <c r="CU3133" s="717"/>
      <c r="CV3133" s="717"/>
      <c r="CW3133" s="717"/>
      <c r="CX3133" s="717"/>
      <c r="CY3133" s="717"/>
      <c r="CZ3133" s="717"/>
      <c r="DA3133" s="717"/>
      <c r="DB3133" s="717"/>
      <c r="DC3133" s="717"/>
      <c r="DD3133" s="717"/>
      <c r="DE3133" s="717"/>
      <c r="DF3133" s="717"/>
      <c r="DG3133" s="717"/>
      <c r="DH3133" s="717"/>
      <c r="DI3133" s="717"/>
      <c r="DJ3133" s="717"/>
      <c r="DM3133" s="711"/>
      <c r="DN3133" s="711"/>
      <c r="DO3133" s="711"/>
      <c r="DP3133" s="711"/>
      <c r="DQ3133" s="711"/>
    </row>
    <row r="3134" spans="13:121" s="709" customFormat="1" hidden="1">
      <c r="M3134" s="710"/>
      <c r="P3134" s="711"/>
      <c r="Q3134" s="712"/>
      <c r="U3134" s="711"/>
      <c r="V3134" s="711"/>
      <c r="W3134" s="711"/>
      <c r="X3134" s="711"/>
      <c r="Y3134" s="711"/>
      <c r="Z3134" s="711"/>
      <c r="AU3134" s="713"/>
      <c r="AW3134" s="712"/>
      <c r="BY3134" s="714"/>
      <c r="BZ3134" s="715"/>
      <c r="CA3134" s="716"/>
      <c r="CB3134" s="717"/>
      <c r="CC3134" s="717"/>
      <c r="CD3134" s="717"/>
      <c r="CE3134" s="717"/>
      <c r="CF3134" s="717"/>
      <c r="CG3134" s="717"/>
      <c r="CH3134" s="717"/>
      <c r="CI3134" s="717"/>
      <c r="CJ3134" s="717"/>
      <c r="CK3134" s="717"/>
      <c r="CL3134" s="717"/>
      <c r="CM3134" s="717"/>
      <c r="CN3134" s="717"/>
      <c r="CO3134" s="717"/>
      <c r="CP3134" s="717"/>
      <c r="CQ3134" s="717"/>
      <c r="CR3134" s="717"/>
      <c r="CS3134" s="717"/>
      <c r="CT3134" s="717"/>
      <c r="CU3134" s="717"/>
      <c r="CV3134" s="717"/>
      <c r="CW3134" s="717"/>
      <c r="CX3134" s="717"/>
      <c r="CY3134" s="717"/>
      <c r="CZ3134" s="717"/>
      <c r="DA3134" s="717"/>
      <c r="DB3134" s="717"/>
      <c r="DC3134" s="717"/>
      <c r="DD3134" s="717"/>
      <c r="DE3134" s="717"/>
      <c r="DF3134" s="717"/>
      <c r="DG3134" s="717"/>
      <c r="DH3134" s="717"/>
      <c r="DI3134" s="717"/>
      <c r="DJ3134" s="717"/>
      <c r="DM3134" s="711"/>
      <c r="DN3134" s="711"/>
      <c r="DO3134" s="711"/>
      <c r="DP3134" s="711"/>
      <c r="DQ3134" s="711"/>
    </row>
    <row r="3135" spans="13:121" s="709" customFormat="1" hidden="1">
      <c r="M3135" s="710"/>
      <c r="P3135" s="711"/>
      <c r="Q3135" s="712"/>
      <c r="U3135" s="711"/>
      <c r="V3135" s="711"/>
      <c r="W3135" s="711"/>
      <c r="X3135" s="711"/>
      <c r="Y3135" s="711"/>
      <c r="Z3135" s="711"/>
      <c r="AU3135" s="713"/>
      <c r="AW3135" s="712"/>
      <c r="BY3135" s="714"/>
      <c r="BZ3135" s="715"/>
      <c r="CA3135" s="716"/>
      <c r="CB3135" s="717"/>
      <c r="CC3135" s="717"/>
      <c r="CD3135" s="717"/>
      <c r="CE3135" s="717"/>
      <c r="CF3135" s="717"/>
      <c r="CG3135" s="717"/>
      <c r="CH3135" s="717"/>
      <c r="CI3135" s="717"/>
      <c r="CJ3135" s="717"/>
      <c r="CK3135" s="717"/>
      <c r="CL3135" s="717"/>
      <c r="CM3135" s="717"/>
      <c r="CN3135" s="717"/>
      <c r="CO3135" s="717"/>
      <c r="CP3135" s="717"/>
      <c r="CQ3135" s="717"/>
      <c r="CR3135" s="717"/>
      <c r="CS3135" s="717"/>
      <c r="CT3135" s="717"/>
      <c r="CU3135" s="717"/>
      <c r="CV3135" s="717"/>
      <c r="CW3135" s="717"/>
      <c r="CX3135" s="717"/>
      <c r="CY3135" s="717"/>
      <c r="CZ3135" s="717"/>
      <c r="DA3135" s="717"/>
      <c r="DB3135" s="717"/>
      <c r="DC3135" s="717"/>
      <c r="DD3135" s="717"/>
      <c r="DE3135" s="717"/>
      <c r="DF3135" s="717"/>
      <c r="DG3135" s="717"/>
      <c r="DH3135" s="717"/>
      <c r="DI3135" s="717"/>
      <c r="DJ3135" s="717"/>
      <c r="DM3135" s="711"/>
      <c r="DN3135" s="711"/>
      <c r="DO3135" s="711"/>
      <c r="DP3135" s="711"/>
      <c r="DQ3135" s="711"/>
    </row>
    <row r="3136" spans="13:121" s="709" customFormat="1" hidden="1">
      <c r="M3136" s="710"/>
      <c r="P3136" s="711"/>
      <c r="Q3136" s="712"/>
      <c r="U3136" s="711"/>
      <c r="V3136" s="711"/>
      <c r="W3136" s="711"/>
      <c r="X3136" s="711"/>
      <c r="Y3136" s="711"/>
      <c r="Z3136" s="711"/>
      <c r="AU3136" s="713"/>
      <c r="AW3136" s="712"/>
      <c r="BY3136" s="714"/>
      <c r="BZ3136" s="715"/>
      <c r="CA3136" s="716"/>
      <c r="CB3136" s="717"/>
      <c r="CC3136" s="717"/>
      <c r="CD3136" s="717"/>
      <c r="CE3136" s="717"/>
      <c r="CF3136" s="717"/>
      <c r="CG3136" s="717"/>
      <c r="CH3136" s="717"/>
      <c r="CI3136" s="717"/>
      <c r="CJ3136" s="717"/>
      <c r="CK3136" s="717"/>
      <c r="CL3136" s="717"/>
      <c r="CM3136" s="717"/>
      <c r="CN3136" s="717"/>
      <c r="CO3136" s="717"/>
      <c r="CP3136" s="717"/>
      <c r="CQ3136" s="717"/>
      <c r="CR3136" s="717"/>
      <c r="CS3136" s="717"/>
      <c r="CT3136" s="717"/>
      <c r="CU3136" s="717"/>
      <c r="CV3136" s="717"/>
      <c r="CW3136" s="717"/>
      <c r="CX3136" s="717"/>
      <c r="CY3136" s="717"/>
      <c r="CZ3136" s="717"/>
      <c r="DA3136" s="717"/>
      <c r="DB3136" s="717"/>
      <c r="DC3136" s="717"/>
      <c r="DD3136" s="717"/>
      <c r="DE3136" s="717"/>
      <c r="DF3136" s="717"/>
      <c r="DG3136" s="717"/>
      <c r="DH3136" s="717"/>
      <c r="DI3136" s="717"/>
      <c r="DJ3136" s="717"/>
      <c r="DM3136" s="711"/>
      <c r="DN3136" s="711"/>
      <c r="DO3136" s="711"/>
      <c r="DP3136" s="711"/>
      <c r="DQ3136" s="711"/>
    </row>
    <row r="3137" spans="13:121" s="709" customFormat="1" hidden="1">
      <c r="M3137" s="710"/>
      <c r="P3137" s="711"/>
      <c r="Q3137" s="712"/>
      <c r="U3137" s="711"/>
      <c r="V3137" s="711"/>
      <c r="W3137" s="711"/>
      <c r="X3137" s="711"/>
      <c r="Y3137" s="711"/>
      <c r="Z3137" s="711"/>
      <c r="AU3137" s="713"/>
      <c r="AW3137" s="712"/>
      <c r="BY3137" s="714"/>
      <c r="BZ3137" s="715"/>
      <c r="CA3137" s="716"/>
      <c r="CB3137" s="717"/>
      <c r="CC3137" s="717"/>
      <c r="CD3137" s="717"/>
      <c r="CE3137" s="717"/>
      <c r="CF3137" s="717"/>
      <c r="CG3137" s="717"/>
      <c r="CH3137" s="717"/>
      <c r="CI3137" s="717"/>
      <c r="CJ3137" s="717"/>
      <c r="CK3137" s="717"/>
      <c r="CL3137" s="717"/>
      <c r="CM3137" s="717"/>
      <c r="CN3137" s="717"/>
      <c r="CO3137" s="717"/>
      <c r="CP3137" s="717"/>
      <c r="CQ3137" s="717"/>
      <c r="CR3137" s="717"/>
      <c r="CS3137" s="717"/>
      <c r="CT3137" s="717"/>
      <c r="CU3137" s="717"/>
      <c r="CV3137" s="717"/>
      <c r="CW3137" s="717"/>
      <c r="CX3137" s="717"/>
      <c r="CY3137" s="717"/>
      <c r="CZ3137" s="717"/>
      <c r="DA3137" s="717"/>
      <c r="DB3137" s="717"/>
      <c r="DC3137" s="717"/>
      <c r="DD3137" s="717"/>
      <c r="DE3137" s="717"/>
      <c r="DF3137" s="717"/>
      <c r="DG3137" s="717"/>
      <c r="DH3137" s="717"/>
      <c r="DI3137" s="717"/>
      <c r="DJ3137" s="717"/>
      <c r="DM3137" s="711"/>
      <c r="DN3137" s="711"/>
      <c r="DO3137" s="711"/>
      <c r="DP3137" s="711"/>
      <c r="DQ3137" s="711"/>
    </row>
    <row r="3138" spans="13:121" s="709" customFormat="1" hidden="1">
      <c r="M3138" s="710"/>
      <c r="P3138" s="711"/>
      <c r="Q3138" s="712"/>
      <c r="U3138" s="711"/>
      <c r="V3138" s="711"/>
      <c r="W3138" s="711"/>
      <c r="X3138" s="711"/>
      <c r="Y3138" s="711"/>
      <c r="Z3138" s="711"/>
      <c r="AU3138" s="713"/>
      <c r="AW3138" s="712"/>
      <c r="BY3138" s="714"/>
      <c r="BZ3138" s="715"/>
      <c r="CA3138" s="716"/>
      <c r="CB3138" s="717"/>
      <c r="CC3138" s="717"/>
      <c r="CD3138" s="717"/>
      <c r="CE3138" s="717"/>
      <c r="CF3138" s="717"/>
      <c r="CG3138" s="717"/>
      <c r="CH3138" s="717"/>
      <c r="CI3138" s="717"/>
      <c r="CJ3138" s="717"/>
      <c r="CK3138" s="717"/>
      <c r="CL3138" s="717"/>
      <c r="CM3138" s="717"/>
      <c r="CN3138" s="717"/>
      <c r="CO3138" s="717"/>
      <c r="CP3138" s="717"/>
      <c r="CQ3138" s="717"/>
      <c r="CR3138" s="717"/>
      <c r="CS3138" s="717"/>
      <c r="CT3138" s="717"/>
      <c r="CU3138" s="717"/>
      <c r="CV3138" s="717"/>
      <c r="CW3138" s="717"/>
      <c r="CX3138" s="717"/>
      <c r="CY3138" s="717"/>
      <c r="CZ3138" s="717"/>
      <c r="DA3138" s="717"/>
      <c r="DB3138" s="717"/>
      <c r="DC3138" s="717"/>
      <c r="DD3138" s="717"/>
      <c r="DE3138" s="717"/>
      <c r="DF3138" s="717"/>
      <c r="DG3138" s="717"/>
      <c r="DH3138" s="717"/>
      <c r="DI3138" s="717"/>
      <c r="DJ3138" s="717"/>
      <c r="DM3138" s="711"/>
      <c r="DN3138" s="711"/>
      <c r="DO3138" s="711"/>
      <c r="DP3138" s="711"/>
      <c r="DQ3138" s="711"/>
    </row>
    <row r="3139" spans="13:121" s="709" customFormat="1" hidden="1">
      <c r="M3139" s="710"/>
      <c r="P3139" s="711"/>
      <c r="Q3139" s="712"/>
      <c r="U3139" s="711"/>
      <c r="V3139" s="711"/>
      <c r="W3139" s="711"/>
      <c r="X3139" s="711"/>
      <c r="Y3139" s="711"/>
      <c r="Z3139" s="711"/>
      <c r="AU3139" s="713"/>
      <c r="AW3139" s="712"/>
      <c r="BY3139" s="714"/>
      <c r="BZ3139" s="715"/>
      <c r="CA3139" s="716"/>
      <c r="CB3139" s="717"/>
      <c r="CC3139" s="717"/>
      <c r="CD3139" s="717"/>
      <c r="CE3139" s="717"/>
      <c r="CF3139" s="717"/>
      <c r="CG3139" s="717"/>
      <c r="CH3139" s="717"/>
      <c r="CI3139" s="717"/>
      <c r="CJ3139" s="717"/>
      <c r="CK3139" s="717"/>
      <c r="CL3139" s="717"/>
      <c r="CM3139" s="717"/>
      <c r="CN3139" s="717"/>
      <c r="CO3139" s="717"/>
      <c r="CP3139" s="717"/>
      <c r="CQ3139" s="717"/>
      <c r="CR3139" s="717"/>
      <c r="CS3139" s="717"/>
      <c r="CT3139" s="717"/>
      <c r="CU3139" s="717"/>
      <c r="CV3139" s="717"/>
      <c r="CW3139" s="717"/>
      <c r="CX3139" s="717"/>
      <c r="CY3139" s="717"/>
      <c r="CZ3139" s="717"/>
      <c r="DA3139" s="717"/>
      <c r="DB3139" s="717"/>
      <c r="DC3139" s="717"/>
      <c r="DD3139" s="717"/>
      <c r="DE3139" s="717"/>
      <c r="DF3139" s="717"/>
      <c r="DG3139" s="717"/>
      <c r="DH3139" s="717"/>
      <c r="DI3139" s="717"/>
      <c r="DJ3139" s="717"/>
      <c r="DM3139" s="711"/>
      <c r="DN3139" s="711"/>
      <c r="DO3139" s="711"/>
      <c r="DP3139" s="711"/>
      <c r="DQ3139" s="711"/>
    </row>
    <row r="3140" spans="13:121" s="709" customFormat="1" hidden="1">
      <c r="M3140" s="710"/>
      <c r="P3140" s="711"/>
      <c r="Q3140" s="712"/>
      <c r="U3140" s="711"/>
      <c r="V3140" s="711"/>
      <c r="W3140" s="711"/>
      <c r="X3140" s="711"/>
      <c r="Y3140" s="711"/>
      <c r="Z3140" s="711"/>
      <c r="AU3140" s="713"/>
      <c r="AW3140" s="712"/>
      <c r="BY3140" s="714"/>
      <c r="BZ3140" s="715"/>
      <c r="CA3140" s="716"/>
      <c r="CB3140" s="717"/>
      <c r="CC3140" s="717"/>
      <c r="CD3140" s="717"/>
      <c r="CE3140" s="717"/>
      <c r="CF3140" s="717"/>
      <c r="CG3140" s="717"/>
      <c r="CH3140" s="717"/>
      <c r="CI3140" s="717"/>
      <c r="CJ3140" s="717"/>
      <c r="CK3140" s="717"/>
      <c r="CL3140" s="717"/>
      <c r="CM3140" s="717"/>
      <c r="CN3140" s="717"/>
      <c r="CO3140" s="717"/>
      <c r="CP3140" s="717"/>
      <c r="CQ3140" s="717"/>
      <c r="CR3140" s="717"/>
      <c r="CS3140" s="717"/>
      <c r="CT3140" s="717"/>
      <c r="CU3140" s="717"/>
      <c r="CV3140" s="717"/>
      <c r="CW3140" s="717"/>
      <c r="CX3140" s="717"/>
      <c r="CY3140" s="717"/>
      <c r="CZ3140" s="717"/>
      <c r="DA3140" s="717"/>
      <c r="DB3140" s="717"/>
      <c r="DC3140" s="717"/>
      <c r="DD3140" s="717"/>
      <c r="DE3140" s="717"/>
      <c r="DF3140" s="717"/>
      <c r="DG3140" s="717"/>
      <c r="DH3140" s="717"/>
      <c r="DI3140" s="717"/>
      <c r="DJ3140" s="717"/>
      <c r="DM3140" s="711"/>
      <c r="DN3140" s="711"/>
      <c r="DO3140" s="711"/>
      <c r="DP3140" s="711"/>
      <c r="DQ3140" s="711"/>
    </row>
    <row r="3141" spans="13:121" s="709" customFormat="1" hidden="1">
      <c r="M3141" s="710"/>
      <c r="P3141" s="711"/>
      <c r="Q3141" s="712"/>
      <c r="U3141" s="711"/>
      <c r="V3141" s="711"/>
      <c r="W3141" s="711"/>
      <c r="X3141" s="711"/>
      <c r="Y3141" s="711"/>
      <c r="Z3141" s="711"/>
      <c r="AU3141" s="713"/>
      <c r="AW3141" s="712"/>
      <c r="BY3141" s="714"/>
      <c r="BZ3141" s="715"/>
      <c r="CA3141" s="716"/>
      <c r="CB3141" s="717"/>
      <c r="CC3141" s="717"/>
      <c r="CD3141" s="717"/>
      <c r="CE3141" s="717"/>
      <c r="CF3141" s="717"/>
      <c r="CG3141" s="717"/>
      <c r="CH3141" s="717"/>
      <c r="CI3141" s="717"/>
      <c r="CJ3141" s="717"/>
      <c r="CK3141" s="717"/>
      <c r="CL3141" s="717"/>
      <c r="CM3141" s="717"/>
      <c r="CN3141" s="717"/>
      <c r="CO3141" s="717"/>
      <c r="CP3141" s="717"/>
      <c r="CQ3141" s="717"/>
      <c r="CR3141" s="717"/>
      <c r="CS3141" s="717"/>
      <c r="CT3141" s="717"/>
      <c r="CU3141" s="717"/>
      <c r="CV3141" s="717"/>
      <c r="CW3141" s="717"/>
      <c r="CX3141" s="717"/>
      <c r="CY3141" s="717"/>
      <c r="CZ3141" s="717"/>
      <c r="DA3141" s="717"/>
      <c r="DB3141" s="717"/>
      <c r="DC3141" s="717"/>
      <c r="DD3141" s="717"/>
      <c r="DE3141" s="717"/>
      <c r="DF3141" s="717"/>
      <c r="DG3141" s="717"/>
      <c r="DH3141" s="717"/>
      <c r="DI3141" s="717"/>
      <c r="DJ3141" s="717"/>
      <c r="DM3141" s="711"/>
      <c r="DN3141" s="711"/>
      <c r="DO3141" s="711"/>
      <c r="DP3141" s="711"/>
      <c r="DQ3141" s="711"/>
    </row>
    <row r="3142" spans="13:121" s="709" customFormat="1" hidden="1">
      <c r="M3142" s="710"/>
      <c r="P3142" s="711"/>
      <c r="Q3142" s="712"/>
      <c r="U3142" s="711"/>
      <c r="V3142" s="711"/>
      <c r="W3142" s="711"/>
      <c r="X3142" s="711"/>
      <c r="Y3142" s="711"/>
      <c r="Z3142" s="711"/>
      <c r="AU3142" s="713"/>
      <c r="AW3142" s="712"/>
      <c r="BY3142" s="714"/>
      <c r="BZ3142" s="715"/>
      <c r="CA3142" s="716"/>
      <c r="CB3142" s="717"/>
      <c r="CC3142" s="717"/>
      <c r="CD3142" s="717"/>
      <c r="CE3142" s="717"/>
      <c r="CF3142" s="717"/>
      <c r="CG3142" s="717"/>
      <c r="CH3142" s="717"/>
      <c r="CI3142" s="717"/>
      <c r="CJ3142" s="717"/>
      <c r="CK3142" s="717"/>
      <c r="CL3142" s="717"/>
      <c r="CM3142" s="717"/>
      <c r="CN3142" s="717"/>
      <c r="CO3142" s="717"/>
      <c r="CP3142" s="717"/>
      <c r="CQ3142" s="717"/>
      <c r="CR3142" s="717"/>
      <c r="CS3142" s="717"/>
      <c r="CT3142" s="717"/>
      <c r="CU3142" s="717"/>
      <c r="CV3142" s="717"/>
      <c r="CW3142" s="717"/>
      <c r="CX3142" s="717"/>
      <c r="CY3142" s="717"/>
      <c r="CZ3142" s="717"/>
      <c r="DA3142" s="717"/>
      <c r="DB3142" s="717"/>
      <c r="DC3142" s="717"/>
      <c r="DD3142" s="717"/>
      <c r="DE3142" s="717"/>
      <c r="DF3142" s="717"/>
      <c r="DG3142" s="717"/>
      <c r="DH3142" s="717"/>
      <c r="DI3142" s="717"/>
      <c r="DJ3142" s="717"/>
      <c r="DM3142" s="711"/>
      <c r="DN3142" s="711"/>
      <c r="DO3142" s="711"/>
      <c r="DP3142" s="711"/>
      <c r="DQ3142" s="711"/>
    </row>
    <row r="3143" spans="13:121" s="709" customFormat="1" hidden="1">
      <c r="M3143" s="710"/>
      <c r="P3143" s="711"/>
      <c r="Q3143" s="712"/>
      <c r="U3143" s="711"/>
      <c r="V3143" s="711"/>
      <c r="W3143" s="711"/>
      <c r="X3143" s="711"/>
      <c r="Y3143" s="711"/>
      <c r="Z3143" s="711"/>
      <c r="AU3143" s="713"/>
      <c r="AW3143" s="712"/>
      <c r="BY3143" s="714"/>
      <c r="BZ3143" s="715"/>
      <c r="CA3143" s="716"/>
      <c r="CB3143" s="717"/>
      <c r="CC3143" s="717"/>
      <c r="CD3143" s="717"/>
      <c r="CE3143" s="717"/>
      <c r="CF3143" s="717"/>
      <c r="CG3143" s="717"/>
      <c r="CH3143" s="717"/>
      <c r="CI3143" s="717"/>
      <c r="CJ3143" s="717"/>
      <c r="CK3143" s="717"/>
      <c r="CL3143" s="717"/>
      <c r="CM3143" s="717"/>
      <c r="CN3143" s="717"/>
      <c r="CO3143" s="717"/>
      <c r="CP3143" s="717"/>
      <c r="CQ3143" s="717"/>
      <c r="CR3143" s="717"/>
      <c r="CS3143" s="717"/>
      <c r="CT3143" s="717"/>
      <c r="CU3143" s="717"/>
      <c r="CV3143" s="717"/>
      <c r="CW3143" s="717"/>
      <c r="CX3143" s="717"/>
      <c r="CY3143" s="717"/>
      <c r="CZ3143" s="717"/>
      <c r="DA3143" s="717"/>
      <c r="DB3143" s="717"/>
      <c r="DC3143" s="717"/>
      <c r="DD3143" s="717"/>
      <c r="DE3143" s="717"/>
      <c r="DF3143" s="717"/>
      <c r="DG3143" s="717"/>
      <c r="DH3143" s="717"/>
      <c r="DI3143" s="717"/>
      <c r="DJ3143" s="717"/>
      <c r="DM3143" s="711"/>
      <c r="DN3143" s="711"/>
      <c r="DO3143" s="711"/>
      <c r="DP3143" s="711"/>
      <c r="DQ3143" s="711"/>
    </row>
    <row r="3144" spans="13:121" s="709" customFormat="1" hidden="1">
      <c r="M3144" s="710"/>
      <c r="P3144" s="711"/>
      <c r="Q3144" s="712"/>
      <c r="U3144" s="711"/>
      <c r="V3144" s="711"/>
      <c r="W3144" s="711"/>
      <c r="X3144" s="711"/>
      <c r="Y3144" s="711"/>
      <c r="Z3144" s="711"/>
      <c r="AU3144" s="713"/>
      <c r="AW3144" s="712"/>
      <c r="BY3144" s="714"/>
      <c r="BZ3144" s="715"/>
      <c r="CA3144" s="716"/>
      <c r="CB3144" s="717"/>
      <c r="CC3144" s="717"/>
      <c r="CD3144" s="717"/>
      <c r="CE3144" s="717"/>
      <c r="CF3144" s="717"/>
      <c r="CG3144" s="717"/>
      <c r="CH3144" s="717"/>
      <c r="CI3144" s="717"/>
      <c r="CJ3144" s="717"/>
      <c r="CK3144" s="717"/>
      <c r="CL3144" s="717"/>
      <c r="CM3144" s="717"/>
      <c r="CN3144" s="717"/>
      <c r="CO3144" s="717"/>
      <c r="CP3144" s="717"/>
      <c r="CQ3144" s="717"/>
      <c r="CR3144" s="717"/>
      <c r="CS3144" s="717"/>
      <c r="CT3144" s="717"/>
      <c r="CU3144" s="717"/>
      <c r="CV3144" s="717"/>
      <c r="CW3144" s="717"/>
      <c r="CX3144" s="717"/>
      <c r="CY3144" s="717"/>
      <c r="CZ3144" s="717"/>
      <c r="DA3144" s="717"/>
      <c r="DB3144" s="717"/>
      <c r="DC3144" s="717"/>
      <c r="DD3144" s="717"/>
      <c r="DE3144" s="717"/>
      <c r="DF3144" s="717"/>
      <c r="DG3144" s="717"/>
      <c r="DH3144" s="717"/>
      <c r="DI3144" s="717"/>
      <c r="DJ3144" s="717"/>
      <c r="DM3144" s="711"/>
      <c r="DN3144" s="711"/>
      <c r="DO3144" s="711"/>
      <c r="DP3144" s="711"/>
      <c r="DQ3144" s="711"/>
    </row>
    <row r="3145" spans="13:121" s="709" customFormat="1" hidden="1">
      <c r="M3145" s="710"/>
      <c r="P3145" s="711"/>
      <c r="Q3145" s="712"/>
      <c r="U3145" s="711"/>
      <c r="V3145" s="711"/>
      <c r="W3145" s="711"/>
      <c r="X3145" s="711"/>
      <c r="Y3145" s="711"/>
      <c r="Z3145" s="711"/>
      <c r="AU3145" s="713"/>
      <c r="AW3145" s="712"/>
      <c r="BY3145" s="714"/>
      <c r="BZ3145" s="715"/>
      <c r="CA3145" s="716"/>
      <c r="CB3145" s="717"/>
      <c r="CC3145" s="717"/>
      <c r="CD3145" s="717"/>
      <c r="CE3145" s="717"/>
      <c r="CF3145" s="717"/>
      <c r="CG3145" s="717"/>
      <c r="CH3145" s="717"/>
      <c r="CI3145" s="717"/>
      <c r="CJ3145" s="717"/>
      <c r="CK3145" s="717"/>
      <c r="CL3145" s="717"/>
      <c r="CM3145" s="717"/>
      <c r="CN3145" s="717"/>
      <c r="CO3145" s="717"/>
      <c r="CP3145" s="717"/>
      <c r="CQ3145" s="717"/>
      <c r="CR3145" s="717"/>
      <c r="CS3145" s="717"/>
      <c r="CT3145" s="717"/>
      <c r="CU3145" s="717"/>
      <c r="CV3145" s="717"/>
      <c r="CW3145" s="717"/>
      <c r="CX3145" s="717"/>
      <c r="CY3145" s="717"/>
      <c r="CZ3145" s="717"/>
      <c r="DA3145" s="717"/>
      <c r="DB3145" s="717"/>
      <c r="DC3145" s="717"/>
      <c r="DD3145" s="717"/>
      <c r="DE3145" s="717"/>
      <c r="DF3145" s="717"/>
      <c r="DG3145" s="717"/>
      <c r="DH3145" s="717"/>
      <c r="DI3145" s="717"/>
      <c r="DJ3145" s="717"/>
      <c r="DM3145" s="711"/>
      <c r="DN3145" s="711"/>
      <c r="DO3145" s="711"/>
      <c r="DP3145" s="711"/>
      <c r="DQ3145" s="711"/>
    </row>
    <row r="3146" spans="13:121" s="709" customFormat="1" hidden="1">
      <c r="M3146" s="710"/>
      <c r="P3146" s="711"/>
      <c r="Q3146" s="712"/>
      <c r="U3146" s="711"/>
      <c r="V3146" s="711"/>
      <c r="W3146" s="711"/>
      <c r="X3146" s="711"/>
      <c r="Y3146" s="711"/>
      <c r="Z3146" s="711"/>
      <c r="AU3146" s="713"/>
      <c r="AW3146" s="712"/>
      <c r="BY3146" s="714"/>
      <c r="BZ3146" s="715"/>
      <c r="CA3146" s="716"/>
      <c r="CB3146" s="717"/>
      <c r="CC3146" s="717"/>
      <c r="CD3146" s="717"/>
      <c r="CE3146" s="717"/>
      <c r="CF3146" s="717"/>
      <c r="CG3146" s="717"/>
      <c r="CH3146" s="717"/>
      <c r="CI3146" s="717"/>
      <c r="CJ3146" s="717"/>
      <c r="CK3146" s="717"/>
      <c r="CL3146" s="717"/>
      <c r="CM3146" s="717"/>
      <c r="CN3146" s="717"/>
      <c r="CO3146" s="717"/>
      <c r="CP3146" s="717"/>
      <c r="CQ3146" s="717"/>
      <c r="CR3146" s="717"/>
      <c r="CS3146" s="717"/>
      <c r="CT3146" s="717"/>
      <c r="CU3146" s="717"/>
      <c r="CV3146" s="717"/>
      <c r="CW3146" s="717"/>
      <c r="CX3146" s="717"/>
      <c r="CY3146" s="717"/>
      <c r="CZ3146" s="717"/>
      <c r="DA3146" s="717"/>
      <c r="DB3146" s="717"/>
      <c r="DC3146" s="717"/>
      <c r="DD3146" s="717"/>
      <c r="DE3146" s="717"/>
      <c r="DF3146" s="717"/>
      <c r="DG3146" s="717"/>
      <c r="DH3146" s="717"/>
      <c r="DI3146" s="717"/>
      <c r="DJ3146" s="717"/>
      <c r="DM3146" s="711"/>
      <c r="DN3146" s="711"/>
      <c r="DO3146" s="711"/>
      <c r="DP3146" s="711"/>
      <c r="DQ3146" s="711"/>
    </row>
    <row r="3147" spans="13:121" s="709" customFormat="1" hidden="1">
      <c r="M3147" s="710"/>
      <c r="P3147" s="711"/>
      <c r="Q3147" s="712"/>
      <c r="U3147" s="711"/>
      <c r="V3147" s="711"/>
      <c r="W3147" s="711"/>
      <c r="X3147" s="711"/>
      <c r="Y3147" s="711"/>
      <c r="Z3147" s="711"/>
      <c r="AU3147" s="713"/>
      <c r="AW3147" s="712"/>
      <c r="BY3147" s="714"/>
      <c r="BZ3147" s="715"/>
      <c r="CA3147" s="716"/>
      <c r="CB3147" s="717"/>
      <c r="CC3147" s="717"/>
      <c r="CD3147" s="717"/>
      <c r="CE3147" s="717"/>
      <c r="CF3147" s="717"/>
      <c r="CG3147" s="717"/>
      <c r="CH3147" s="717"/>
      <c r="CI3147" s="717"/>
      <c r="CJ3147" s="717"/>
      <c r="CK3147" s="717"/>
      <c r="CL3147" s="717"/>
      <c r="CM3147" s="717"/>
      <c r="CN3147" s="717"/>
      <c r="CO3147" s="717"/>
      <c r="CP3147" s="717"/>
      <c r="CQ3147" s="717"/>
      <c r="CR3147" s="717"/>
      <c r="CS3147" s="717"/>
      <c r="CT3147" s="717"/>
      <c r="CU3147" s="717"/>
      <c r="CV3147" s="717"/>
      <c r="CW3147" s="717"/>
      <c r="CX3147" s="717"/>
      <c r="CY3147" s="717"/>
      <c r="CZ3147" s="717"/>
      <c r="DA3147" s="717"/>
      <c r="DB3147" s="717"/>
      <c r="DC3147" s="717"/>
      <c r="DD3147" s="717"/>
      <c r="DE3147" s="717"/>
      <c r="DF3147" s="717"/>
      <c r="DG3147" s="717"/>
      <c r="DH3147" s="717"/>
      <c r="DI3147" s="717"/>
      <c r="DJ3147" s="717"/>
      <c r="DM3147" s="711"/>
      <c r="DN3147" s="711"/>
      <c r="DO3147" s="711"/>
      <c r="DP3147" s="711"/>
      <c r="DQ3147" s="711"/>
    </row>
    <row r="3148" spans="13:121" s="709" customFormat="1" hidden="1">
      <c r="M3148" s="710"/>
      <c r="P3148" s="711"/>
      <c r="Q3148" s="712"/>
      <c r="U3148" s="711"/>
      <c r="V3148" s="711"/>
      <c r="W3148" s="711"/>
      <c r="X3148" s="711"/>
      <c r="Y3148" s="711"/>
      <c r="Z3148" s="711"/>
      <c r="AU3148" s="713"/>
      <c r="AW3148" s="712"/>
      <c r="BY3148" s="714"/>
      <c r="BZ3148" s="715"/>
      <c r="CA3148" s="716"/>
      <c r="CB3148" s="717"/>
      <c r="CC3148" s="717"/>
      <c r="CD3148" s="717"/>
      <c r="CE3148" s="717"/>
      <c r="CF3148" s="717"/>
      <c r="CG3148" s="717"/>
      <c r="CH3148" s="717"/>
      <c r="CI3148" s="717"/>
      <c r="CJ3148" s="717"/>
      <c r="CK3148" s="717"/>
      <c r="CL3148" s="717"/>
      <c r="CM3148" s="717"/>
      <c r="CN3148" s="717"/>
      <c r="CO3148" s="717"/>
      <c r="CP3148" s="717"/>
      <c r="CQ3148" s="717"/>
      <c r="CR3148" s="717"/>
      <c r="CS3148" s="717"/>
      <c r="CT3148" s="717"/>
      <c r="CU3148" s="717"/>
      <c r="CV3148" s="717"/>
      <c r="CW3148" s="717"/>
      <c r="CX3148" s="717"/>
      <c r="CY3148" s="717"/>
      <c r="CZ3148" s="717"/>
      <c r="DA3148" s="717"/>
      <c r="DB3148" s="717"/>
      <c r="DC3148" s="717"/>
      <c r="DD3148" s="717"/>
      <c r="DE3148" s="717"/>
      <c r="DF3148" s="717"/>
      <c r="DG3148" s="717"/>
      <c r="DH3148" s="717"/>
      <c r="DI3148" s="717"/>
      <c r="DJ3148" s="717"/>
      <c r="DM3148" s="711"/>
      <c r="DN3148" s="711"/>
      <c r="DO3148" s="711"/>
      <c r="DP3148" s="711"/>
      <c r="DQ3148" s="711"/>
    </row>
    <row r="3149" spans="13:121" s="709" customFormat="1" hidden="1">
      <c r="M3149" s="710"/>
      <c r="P3149" s="711"/>
      <c r="Q3149" s="712"/>
      <c r="U3149" s="711"/>
      <c r="V3149" s="711"/>
      <c r="W3149" s="711"/>
      <c r="X3149" s="711"/>
      <c r="Y3149" s="711"/>
      <c r="Z3149" s="711"/>
      <c r="AU3149" s="713"/>
      <c r="AW3149" s="712"/>
      <c r="BY3149" s="714"/>
      <c r="BZ3149" s="715"/>
      <c r="CA3149" s="716"/>
      <c r="CB3149" s="717"/>
      <c r="CC3149" s="717"/>
      <c r="CD3149" s="717"/>
      <c r="CE3149" s="717"/>
      <c r="CF3149" s="717"/>
      <c r="CG3149" s="717"/>
      <c r="CH3149" s="717"/>
      <c r="CI3149" s="717"/>
      <c r="CJ3149" s="717"/>
      <c r="CK3149" s="717"/>
      <c r="CL3149" s="717"/>
      <c r="CM3149" s="717"/>
      <c r="CN3149" s="717"/>
      <c r="CO3149" s="717"/>
      <c r="CP3149" s="717"/>
      <c r="CQ3149" s="717"/>
      <c r="CR3149" s="717"/>
      <c r="CS3149" s="717"/>
      <c r="CT3149" s="717"/>
      <c r="CU3149" s="717"/>
      <c r="CV3149" s="717"/>
      <c r="CW3149" s="717"/>
      <c r="CX3149" s="717"/>
      <c r="CY3149" s="717"/>
      <c r="CZ3149" s="717"/>
      <c r="DA3149" s="717"/>
      <c r="DB3149" s="717"/>
      <c r="DC3149" s="717"/>
      <c r="DD3149" s="717"/>
      <c r="DE3149" s="717"/>
      <c r="DF3149" s="717"/>
      <c r="DG3149" s="717"/>
      <c r="DH3149" s="717"/>
      <c r="DI3149" s="717"/>
      <c r="DJ3149" s="717"/>
      <c r="DM3149" s="711"/>
      <c r="DN3149" s="711"/>
      <c r="DO3149" s="711"/>
      <c r="DP3149" s="711"/>
      <c r="DQ3149" s="711"/>
    </row>
    <row r="3150" spans="13:121" s="709" customFormat="1" hidden="1">
      <c r="M3150" s="710"/>
      <c r="P3150" s="711"/>
      <c r="Q3150" s="712"/>
      <c r="U3150" s="711"/>
      <c r="V3150" s="711"/>
      <c r="W3150" s="711"/>
      <c r="X3150" s="711"/>
      <c r="Y3150" s="711"/>
      <c r="Z3150" s="711"/>
      <c r="AU3150" s="713"/>
      <c r="AW3150" s="712"/>
      <c r="BY3150" s="714"/>
      <c r="BZ3150" s="715"/>
      <c r="CA3150" s="716"/>
      <c r="CB3150" s="717"/>
      <c r="CC3150" s="717"/>
      <c r="CD3150" s="717"/>
      <c r="CE3150" s="717"/>
      <c r="CF3150" s="717"/>
      <c r="CG3150" s="717"/>
      <c r="CH3150" s="717"/>
      <c r="CI3150" s="717"/>
      <c r="CJ3150" s="717"/>
      <c r="CK3150" s="717"/>
      <c r="CL3150" s="717"/>
      <c r="CM3150" s="717"/>
      <c r="CN3150" s="717"/>
      <c r="CO3150" s="717"/>
      <c r="CP3150" s="717"/>
      <c r="CQ3150" s="717"/>
      <c r="CR3150" s="717"/>
      <c r="CS3150" s="717"/>
      <c r="CT3150" s="717"/>
      <c r="CU3150" s="717"/>
      <c r="CV3150" s="717"/>
      <c r="CW3150" s="717"/>
      <c r="CX3150" s="717"/>
      <c r="CY3150" s="717"/>
      <c r="CZ3150" s="717"/>
      <c r="DA3150" s="717"/>
      <c r="DB3150" s="717"/>
      <c r="DC3150" s="717"/>
      <c r="DD3150" s="717"/>
      <c r="DE3150" s="717"/>
      <c r="DF3150" s="717"/>
      <c r="DG3150" s="717"/>
      <c r="DH3150" s="717"/>
      <c r="DI3150" s="717"/>
      <c r="DJ3150" s="717"/>
      <c r="DM3150" s="711"/>
      <c r="DN3150" s="711"/>
      <c r="DO3150" s="711"/>
      <c r="DP3150" s="711"/>
      <c r="DQ3150" s="711"/>
    </row>
    <row r="3151" spans="13:121" s="709" customFormat="1" hidden="1">
      <c r="M3151" s="710"/>
      <c r="P3151" s="711"/>
      <c r="Q3151" s="712"/>
      <c r="U3151" s="711"/>
      <c r="V3151" s="711"/>
      <c r="W3151" s="711"/>
      <c r="X3151" s="711"/>
      <c r="Y3151" s="711"/>
      <c r="Z3151" s="711"/>
      <c r="AU3151" s="713"/>
      <c r="AW3151" s="712"/>
      <c r="BY3151" s="714"/>
      <c r="BZ3151" s="715"/>
      <c r="CA3151" s="716"/>
      <c r="CB3151" s="717"/>
      <c r="CC3151" s="717"/>
      <c r="CD3151" s="717"/>
      <c r="CE3151" s="717"/>
      <c r="CF3151" s="717"/>
      <c r="CG3151" s="717"/>
      <c r="CH3151" s="717"/>
      <c r="CI3151" s="717"/>
      <c r="CJ3151" s="717"/>
      <c r="CK3151" s="717"/>
      <c r="CL3151" s="717"/>
      <c r="CM3151" s="717"/>
      <c r="CN3151" s="717"/>
      <c r="CO3151" s="717"/>
      <c r="CP3151" s="717"/>
      <c r="CQ3151" s="717"/>
      <c r="CR3151" s="717"/>
      <c r="CS3151" s="717"/>
      <c r="CT3151" s="717"/>
      <c r="CU3151" s="717"/>
      <c r="CV3151" s="717"/>
      <c r="CW3151" s="717"/>
      <c r="CX3151" s="717"/>
      <c r="CY3151" s="717"/>
      <c r="CZ3151" s="717"/>
      <c r="DA3151" s="717"/>
      <c r="DB3151" s="717"/>
      <c r="DC3151" s="717"/>
      <c r="DD3151" s="717"/>
      <c r="DE3151" s="717"/>
      <c r="DF3151" s="717"/>
      <c r="DG3151" s="717"/>
      <c r="DH3151" s="717"/>
      <c r="DI3151" s="717"/>
      <c r="DJ3151" s="717"/>
      <c r="DM3151" s="711"/>
      <c r="DN3151" s="711"/>
      <c r="DO3151" s="711"/>
      <c r="DP3151" s="711"/>
      <c r="DQ3151" s="711"/>
    </row>
    <row r="3152" spans="13:121" s="709" customFormat="1" hidden="1">
      <c r="M3152" s="710"/>
      <c r="P3152" s="711"/>
      <c r="Q3152" s="712"/>
      <c r="U3152" s="711"/>
      <c r="V3152" s="711"/>
      <c r="W3152" s="711"/>
      <c r="X3152" s="711"/>
      <c r="Y3152" s="711"/>
      <c r="Z3152" s="711"/>
      <c r="AU3152" s="713"/>
      <c r="AW3152" s="712"/>
      <c r="BY3152" s="714"/>
      <c r="BZ3152" s="715"/>
      <c r="CA3152" s="716"/>
      <c r="CB3152" s="717"/>
      <c r="CC3152" s="717"/>
      <c r="CD3152" s="717"/>
      <c r="CE3152" s="717"/>
      <c r="CF3152" s="717"/>
      <c r="CG3152" s="717"/>
      <c r="CH3152" s="717"/>
      <c r="CI3152" s="717"/>
      <c r="CJ3152" s="717"/>
      <c r="CK3152" s="717"/>
      <c r="CL3152" s="717"/>
      <c r="CM3152" s="717"/>
      <c r="CN3152" s="717"/>
      <c r="CO3152" s="717"/>
      <c r="CP3152" s="717"/>
      <c r="CQ3152" s="717"/>
      <c r="CR3152" s="717"/>
      <c r="CS3152" s="717"/>
      <c r="CT3152" s="717"/>
      <c r="CU3152" s="717"/>
      <c r="CV3152" s="717"/>
      <c r="CW3152" s="717"/>
      <c r="CX3152" s="717"/>
      <c r="CY3152" s="717"/>
      <c r="CZ3152" s="717"/>
      <c r="DA3152" s="717"/>
      <c r="DB3152" s="717"/>
      <c r="DC3152" s="717"/>
      <c r="DD3152" s="717"/>
      <c r="DE3152" s="717"/>
      <c r="DF3152" s="717"/>
      <c r="DG3152" s="717"/>
      <c r="DH3152" s="717"/>
      <c r="DI3152" s="717"/>
      <c r="DJ3152" s="717"/>
      <c r="DM3152" s="711"/>
      <c r="DN3152" s="711"/>
      <c r="DO3152" s="711"/>
      <c r="DP3152" s="711"/>
      <c r="DQ3152" s="711"/>
    </row>
    <row r="3153" spans="13:121" s="709" customFormat="1" hidden="1">
      <c r="M3153" s="710"/>
      <c r="P3153" s="711"/>
      <c r="Q3153" s="712"/>
      <c r="U3153" s="711"/>
      <c r="V3153" s="711"/>
      <c r="W3153" s="711"/>
      <c r="X3153" s="711"/>
      <c r="Y3153" s="711"/>
      <c r="Z3153" s="711"/>
      <c r="AU3153" s="713"/>
      <c r="AW3153" s="712"/>
      <c r="BY3153" s="714"/>
      <c r="BZ3153" s="715"/>
      <c r="CA3153" s="716"/>
      <c r="CB3153" s="717"/>
      <c r="CC3153" s="717"/>
      <c r="CD3153" s="717"/>
      <c r="CE3153" s="717"/>
      <c r="CF3153" s="717"/>
      <c r="CG3153" s="717"/>
      <c r="CH3153" s="717"/>
      <c r="CI3153" s="717"/>
      <c r="CJ3153" s="717"/>
      <c r="CK3153" s="717"/>
      <c r="CL3153" s="717"/>
      <c r="CM3153" s="717"/>
      <c r="CN3153" s="717"/>
      <c r="CO3153" s="717"/>
      <c r="CP3153" s="717"/>
      <c r="CQ3153" s="717"/>
      <c r="CR3153" s="717"/>
      <c r="CS3153" s="717"/>
      <c r="CT3153" s="717"/>
      <c r="CU3153" s="717"/>
      <c r="CV3153" s="717"/>
      <c r="CW3153" s="717"/>
      <c r="CX3153" s="717"/>
      <c r="CY3153" s="717"/>
      <c r="CZ3153" s="717"/>
      <c r="DA3153" s="717"/>
      <c r="DB3153" s="717"/>
      <c r="DC3153" s="717"/>
      <c r="DD3153" s="717"/>
      <c r="DE3153" s="717"/>
      <c r="DF3153" s="717"/>
      <c r="DG3153" s="717"/>
      <c r="DH3153" s="717"/>
      <c r="DI3153" s="717"/>
      <c r="DJ3153" s="717"/>
      <c r="DM3153" s="711"/>
      <c r="DN3153" s="711"/>
      <c r="DO3153" s="711"/>
      <c r="DP3153" s="711"/>
      <c r="DQ3153" s="711"/>
    </row>
    <row r="3154" spans="13:121" s="709" customFormat="1" hidden="1">
      <c r="M3154" s="710"/>
      <c r="P3154" s="711"/>
      <c r="Q3154" s="712"/>
      <c r="U3154" s="711"/>
      <c r="V3154" s="711"/>
      <c r="W3154" s="711"/>
      <c r="X3154" s="711"/>
      <c r="Y3154" s="711"/>
      <c r="Z3154" s="711"/>
      <c r="AU3154" s="713"/>
      <c r="AW3154" s="712"/>
      <c r="BY3154" s="714"/>
      <c r="BZ3154" s="715"/>
      <c r="CA3154" s="716"/>
      <c r="CB3154" s="717"/>
      <c r="CC3154" s="717"/>
      <c r="CD3154" s="717"/>
      <c r="CE3154" s="717"/>
      <c r="CF3154" s="717"/>
      <c r="CG3154" s="717"/>
      <c r="CH3154" s="717"/>
      <c r="CI3154" s="717"/>
      <c r="CJ3154" s="717"/>
      <c r="CK3154" s="717"/>
      <c r="CL3154" s="717"/>
      <c r="CM3154" s="717"/>
      <c r="CN3154" s="717"/>
      <c r="CO3154" s="717"/>
      <c r="CP3154" s="717"/>
      <c r="CQ3154" s="717"/>
      <c r="CR3154" s="717"/>
      <c r="CS3154" s="717"/>
      <c r="CT3154" s="717"/>
      <c r="CU3154" s="717"/>
      <c r="CV3154" s="717"/>
      <c r="CW3154" s="717"/>
      <c r="CX3154" s="717"/>
      <c r="CY3154" s="717"/>
      <c r="CZ3154" s="717"/>
      <c r="DA3154" s="717"/>
      <c r="DB3154" s="717"/>
      <c r="DC3154" s="717"/>
      <c r="DD3154" s="717"/>
      <c r="DE3154" s="717"/>
      <c r="DF3154" s="717"/>
      <c r="DG3154" s="717"/>
      <c r="DH3154" s="717"/>
      <c r="DI3154" s="717"/>
      <c r="DJ3154" s="717"/>
      <c r="DM3154" s="711"/>
      <c r="DN3154" s="711"/>
      <c r="DO3154" s="711"/>
      <c r="DP3154" s="711"/>
      <c r="DQ3154" s="711"/>
    </row>
    <row r="3155" spans="13:121" s="709" customFormat="1" hidden="1">
      <c r="M3155" s="710"/>
      <c r="P3155" s="711"/>
      <c r="Q3155" s="712"/>
      <c r="U3155" s="711"/>
      <c r="V3155" s="711"/>
      <c r="W3155" s="711"/>
      <c r="X3155" s="711"/>
      <c r="Y3155" s="711"/>
      <c r="Z3155" s="711"/>
      <c r="AU3155" s="713"/>
      <c r="AW3155" s="712"/>
      <c r="BY3155" s="714"/>
      <c r="BZ3155" s="715"/>
      <c r="CA3155" s="716"/>
      <c r="CB3155" s="717"/>
      <c r="CC3155" s="717"/>
      <c r="CD3155" s="717"/>
      <c r="CE3155" s="717"/>
      <c r="CF3155" s="717"/>
      <c r="CG3155" s="717"/>
      <c r="CH3155" s="717"/>
      <c r="CI3155" s="717"/>
      <c r="CJ3155" s="717"/>
      <c r="CK3155" s="717"/>
      <c r="CL3155" s="717"/>
      <c r="CM3155" s="717"/>
      <c r="CN3155" s="717"/>
      <c r="CO3155" s="717"/>
      <c r="CP3155" s="717"/>
      <c r="CQ3155" s="717"/>
      <c r="CR3155" s="717"/>
      <c r="CS3155" s="717"/>
      <c r="CT3155" s="717"/>
      <c r="CU3155" s="717"/>
      <c r="CV3155" s="717"/>
      <c r="CW3155" s="717"/>
      <c r="CX3155" s="717"/>
      <c r="CY3155" s="717"/>
      <c r="CZ3155" s="717"/>
      <c r="DA3155" s="717"/>
      <c r="DB3155" s="717"/>
      <c r="DC3155" s="717"/>
      <c r="DD3155" s="717"/>
      <c r="DE3155" s="717"/>
      <c r="DF3155" s="717"/>
      <c r="DG3155" s="717"/>
      <c r="DH3155" s="717"/>
      <c r="DI3155" s="717"/>
      <c r="DJ3155" s="717"/>
      <c r="DM3155" s="711"/>
      <c r="DN3155" s="711"/>
      <c r="DO3155" s="711"/>
      <c r="DP3155" s="711"/>
      <c r="DQ3155" s="711"/>
    </row>
    <row r="3156" spans="13:121" s="709" customFormat="1" hidden="1">
      <c r="M3156" s="710"/>
      <c r="P3156" s="711"/>
      <c r="Q3156" s="712"/>
      <c r="U3156" s="711"/>
      <c r="V3156" s="711"/>
      <c r="W3156" s="711"/>
      <c r="X3156" s="711"/>
      <c r="Y3156" s="711"/>
      <c r="Z3156" s="711"/>
      <c r="AU3156" s="713"/>
      <c r="AW3156" s="712"/>
      <c r="BY3156" s="714"/>
      <c r="BZ3156" s="715"/>
      <c r="CA3156" s="716"/>
      <c r="CB3156" s="717"/>
      <c r="CC3156" s="717"/>
      <c r="CD3156" s="717"/>
      <c r="CE3156" s="717"/>
      <c r="CF3156" s="717"/>
      <c r="CG3156" s="717"/>
      <c r="CH3156" s="717"/>
      <c r="CI3156" s="717"/>
      <c r="CJ3156" s="717"/>
      <c r="CK3156" s="717"/>
      <c r="CL3156" s="717"/>
      <c r="CM3156" s="717"/>
      <c r="CN3156" s="717"/>
      <c r="CO3156" s="717"/>
      <c r="CP3156" s="717"/>
      <c r="CQ3156" s="717"/>
      <c r="CR3156" s="717"/>
      <c r="CS3156" s="717"/>
      <c r="CT3156" s="717"/>
      <c r="CU3156" s="717"/>
      <c r="CV3156" s="717"/>
      <c r="CW3156" s="717"/>
      <c r="CX3156" s="717"/>
      <c r="CY3156" s="717"/>
      <c r="CZ3156" s="717"/>
      <c r="DA3156" s="717"/>
      <c r="DB3156" s="717"/>
      <c r="DC3156" s="717"/>
      <c r="DD3156" s="717"/>
      <c r="DE3156" s="717"/>
      <c r="DF3156" s="717"/>
      <c r="DG3156" s="717"/>
      <c r="DH3156" s="717"/>
      <c r="DI3156" s="717"/>
      <c r="DJ3156" s="717"/>
      <c r="DM3156" s="711"/>
      <c r="DN3156" s="711"/>
      <c r="DO3156" s="711"/>
      <c r="DP3156" s="711"/>
      <c r="DQ3156" s="711"/>
    </row>
    <row r="3157" spans="13:121" s="709" customFormat="1" hidden="1">
      <c r="M3157" s="710"/>
      <c r="P3157" s="711"/>
      <c r="Q3157" s="712"/>
      <c r="U3157" s="711"/>
      <c r="V3157" s="711"/>
      <c r="W3157" s="711"/>
      <c r="X3157" s="711"/>
      <c r="Y3157" s="711"/>
      <c r="Z3157" s="711"/>
      <c r="AU3157" s="713"/>
      <c r="AW3157" s="712"/>
      <c r="BY3157" s="714"/>
      <c r="BZ3157" s="715"/>
      <c r="CA3157" s="716"/>
      <c r="CB3157" s="717"/>
      <c r="CC3157" s="717"/>
      <c r="CD3157" s="717"/>
      <c r="CE3157" s="717"/>
      <c r="CF3157" s="717"/>
      <c r="CG3157" s="717"/>
      <c r="CH3157" s="717"/>
      <c r="CI3157" s="717"/>
      <c r="CJ3157" s="717"/>
      <c r="CK3157" s="717"/>
      <c r="CL3157" s="717"/>
      <c r="CM3157" s="717"/>
      <c r="CN3157" s="717"/>
      <c r="CO3157" s="717"/>
      <c r="CP3157" s="717"/>
      <c r="CQ3157" s="717"/>
      <c r="CR3157" s="717"/>
      <c r="CS3157" s="717"/>
      <c r="CT3157" s="717"/>
      <c r="CU3157" s="717"/>
      <c r="CV3157" s="717"/>
      <c r="CW3157" s="717"/>
      <c r="CX3157" s="717"/>
      <c r="CY3157" s="717"/>
      <c r="CZ3157" s="717"/>
      <c r="DA3157" s="717"/>
      <c r="DB3157" s="717"/>
      <c r="DC3157" s="717"/>
      <c r="DD3157" s="717"/>
      <c r="DE3157" s="717"/>
      <c r="DF3157" s="717"/>
      <c r="DG3157" s="717"/>
      <c r="DH3157" s="717"/>
      <c r="DI3157" s="717"/>
      <c r="DJ3157" s="717"/>
      <c r="DM3157" s="711"/>
      <c r="DN3157" s="711"/>
      <c r="DO3157" s="711"/>
      <c r="DP3157" s="711"/>
      <c r="DQ3157" s="711"/>
    </row>
    <row r="3158" spans="13:121" s="709" customFormat="1" hidden="1">
      <c r="M3158" s="710"/>
      <c r="P3158" s="711"/>
      <c r="Q3158" s="712"/>
      <c r="U3158" s="711"/>
      <c r="V3158" s="711"/>
      <c r="W3158" s="711"/>
      <c r="X3158" s="711"/>
      <c r="Y3158" s="711"/>
      <c r="Z3158" s="711"/>
      <c r="AU3158" s="713"/>
      <c r="AW3158" s="712"/>
      <c r="BY3158" s="714"/>
      <c r="BZ3158" s="715"/>
      <c r="CA3158" s="716"/>
      <c r="CB3158" s="717"/>
      <c r="CC3158" s="717"/>
      <c r="CD3158" s="717"/>
      <c r="CE3158" s="717"/>
      <c r="CF3158" s="717"/>
      <c r="CG3158" s="717"/>
      <c r="CH3158" s="717"/>
      <c r="CI3158" s="717"/>
      <c r="CJ3158" s="717"/>
      <c r="CK3158" s="717"/>
      <c r="CL3158" s="717"/>
      <c r="CM3158" s="717"/>
      <c r="CN3158" s="717"/>
      <c r="CO3158" s="717"/>
      <c r="CP3158" s="717"/>
      <c r="CQ3158" s="717"/>
      <c r="CR3158" s="717"/>
      <c r="CS3158" s="717"/>
      <c r="CT3158" s="717"/>
      <c r="CU3158" s="717"/>
      <c r="CV3158" s="717"/>
      <c r="CW3158" s="717"/>
      <c r="CX3158" s="717"/>
      <c r="CY3158" s="717"/>
      <c r="CZ3158" s="717"/>
      <c r="DA3158" s="717"/>
      <c r="DB3158" s="717"/>
      <c r="DC3158" s="717"/>
      <c r="DD3158" s="717"/>
      <c r="DE3158" s="717"/>
      <c r="DF3158" s="717"/>
      <c r="DG3158" s="717"/>
      <c r="DH3158" s="717"/>
      <c r="DI3158" s="717"/>
      <c r="DJ3158" s="717"/>
      <c r="DM3158" s="711"/>
      <c r="DN3158" s="711"/>
      <c r="DO3158" s="711"/>
      <c r="DP3158" s="711"/>
      <c r="DQ3158" s="711"/>
    </row>
    <row r="3159" spans="13:121" s="709" customFormat="1" hidden="1">
      <c r="M3159" s="710"/>
      <c r="P3159" s="711"/>
      <c r="Q3159" s="712"/>
      <c r="U3159" s="711"/>
      <c r="V3159" s="711"/>
      <c r="W3159" s="711"/>
      <c r="X3159" s="711"/>
      <c r="Y3159" s="711"/>
      <c r="Z3159" s="711"/>
      <c r="AU3159" s="713"/>
      <c r="AW3159" s="712"/>
      <c r="BY3159" s="714"/>
      <c r="BZ3159" s="715"/>
      <c r="CA3159" s="716"/>
      <c r="CB3159" s="717"/>
      <c r="CC3159" s="717"/>
      <c r="CD3159" s="717"/>
      <c r="CE3159" s="717"/>
      <c r="CF3159" s="717"/>
      <c r="CG3159" s="717"/>
      <c r="CH3159" s="717"/>
      <c r="CI3159" s="717"/>
      <c r="CJ3159" s="717"/>
      <c r="CK3159" s="717"/>
      <c r="CL3159" s="717"/>
      <c r="CM3159" s="717"/>
      <c r="CN3159" s="717"/>
      <c r="CO3159" s="717"/>
      <c r="CP3159" s="717"/>
      <c r="CQ3159" s="717"/>
      <c r="CR3159" s="717"/>
      <c r="CS3159" s="717"/>
      <c r="CT3159" s="717"/>
      <c r="CU3159" s="717"/>
      <c r="CV3159" s="717"/>
      <c r="CW3159" s="717"/>
      <c r="CX3159" s="717"/>
      <c r="CY3159" s="717"/>
      <c r="CZ3159" s="717"/>
      <c r="DA3159" s="717"/>
      <c r="DB3159" s="717"/>
      <c r="DC3159" s="717"/>
      <c r="DD3159" s="717"/>
      <c r="DE3159" s="717"/>
      <c r="DF3159" s="717"/>
      <c r="DG3159" s="717"/>
      <c r="DH3159" s="717"/>
      <c r="DI3159" s="717"/>
      <c r="DJ3159" s="717"/>
      <c r="DM3159" s="711"/>
      <c r="DN3159" s="711"/>
      <c r="DO3159" s="711"/>
      <c r="DP3159" s="711"/>
      <c r="DQ3159" s="711"/>
    </row>
    <row r="3160" spans="13:121" s="709" customFormat="1" hidden="1">
      <c r="M3160" s="710"/>
      <c r="P3160" s="711"/>
      <c r="Q3160" s="712"/>
      <c r="U3160" s="711"/>
      <c r="V3160" s="711"/>
      <c r="W3160" s="711"/>
      <c r="X3160" s="711"/>
      <c r="Y3160" s="711"/>
      <c r="Z3160" s="711"/>
      <c r="AU3160" s="713"/>
      <c r="AW3160" s="712"/>
      <c r="BY3160" s="714"/>
      <c r="BZ3160" s="715"/>
      <c r="CA3160" s="716"/>
      <c r="CB3160" s="717"/>
      <c r="CC3160" s="717"/>
      <c r="CD3160" s="717"/>
      <c r="CE3160" s="717"/>
      <c r="CF3160" s="717"/>
      <c r="CG3160" s="717"/>
      <c r="CH3160" s="717"/>
      <c r="CI3160" s="717"/>
      <c r="CJ3160" s="717"/>
      <c r="CK3160" s="717"/>
      <c r="CL3160" s="717"/>
      <c r="CM3160" s="717"/>
      <c r="CN3160" s="717"/>
      <c r="CO3160" s="717"/>
      <c r="CP3160" s="717"/>
      <c r="CQ3160" s="717"/>
      <c r="CR3160" s="717"/>
      <c r="CS3160" s="717"/>
      <c r="CT3160" s="717"/>
      <c r="CU3160" s="717"/>
      <c r="CV3160" s="717"/>
      <c r="CW3160" s="717"/>
      <c r="CX3160" s="717"/>
      <c r="CY3160" s="717"/>
      <c r="CZ3160" s="717"/>
      <c r="DA3160" s="717"/>
      <c r="DB3160" s="717"/>
      <c r="DC3160" s="717"/>
      <c r="DD3160" s="717"/>
      <c r="DE3160" s="717"/>
      <c r="DF3160" s="717"/>
      <c r="DG3160" s="717"/>
      <c r="DH3160" s="717"/>
      <c r="DI3160" s="717"/>
      <c r="DJ3160" s="717"/>
      <c r="DM3160" s="711"/>
      <c r="DN3160" s="711"/>
      <c r="DO3160" s="711"/>
      <c r="DP3160" s="711"/>
      <c r="DQ3160" s="711"/>
    </row>
    <row r="3161" spans="13:121" s="709" customFormat="1" hidden="1">
      <c r="M3161" s="710"/>
      <c r="P3161" s="711"/>
      <c r="Q3161" s="712"/>
      <c r="U3161" s="711"/>
      <c r="V3161" s="711"/>
      <c r="W3161" s="711"/>
      <c r="X3161" s="711"/>
      <c r="Y3161" s="711"/>
      <c r="Z3161" s="711"/>
      <c r="AU3161" s="713"/>
      <c r="AW3161" s="712"/>
      <c r="BY3161" s="714"/>
      <c r="BZ3161" s="715"/>
      <c r="CA3161" s="716"/>
      <c r="CB3161" s="717"/>
      <c r="CC3161" s="717"/>
      <c r="CD3161" s="717"/>
      <c r="CE3161" s="717"/>
      <c r="CF3161" s="717"/>
      <c r="CG3161" s="717"/>
      <c r="CH3161" s="717"/>
      <c r="CI3161" s="717"/>
      <c r="CJ3161" s="717"/>
      <c r="CK3161" s="717"/>
      <c r="CL3161" s="717"/>
      <c r="CM3161" s="717"/>
      <c r="CN3161" s="717"/>
      <c r="CO3161" s="717"/>
      <c r="CP3161" s="717"/>
      <c r="CQ3161" s="717"/>
      <c r="CR3161" s="717"/>
      <c r="CS3161" s="717"/>
      <c r="CT3161" s="717"/>
      <c r="CU3161" s="717"/>
      <c r="CV3161" s="717"/>
      <c r="CW3161" s="717"/>
      <c r="CX3161" s="717"/>
      <c r="CY3161" s="717"/>
      <c r="CZ3161" s="717"/>
      <c r="DA3161" s="717"/>
      <c r="DB3161" s="717"/>
      <c r="DC3161" s="717"/>
      <c r="DD3161" s="717"/>
      <c r="DE3161" s="717"/>
      <c r="DF3161" s="717"/>
      <c r="DG3161" s="717"/>
      <c r="DH3161" s="717"/>
      <c r="DI3161" s="717"/>
      <c r="DJ3161" s="717"/>
      <c r="DM3161" s="711"/>
      <c r="DN3161" s="711"/>
      <c r="DO3161" s="711"/>
      <c r="DP3161" s="711"/>
      <c r="DQ3161" s="711"/>
    </row>
    <row r="3162" spans="13:121" s="709" customFormat="1" hidden="1">
      <c r="M3162" s="710"/>
      <c r="P3162" s="711"/>
      <c r="Q3162" s="712"/>
      <c r="U3162" s="711"/>
      <c r="V3162" s="711"/>
      <c r="W3162" s="711"/>
      <c r="X3162" s="711"/>
      <c r="Y3162" s="711"/>
      <c r="Z3162" s="711"/>
      <c r="AU3162" s="713"/>
      <c r="AW3162" s="712"/>
      <c r="BY3162" s="714"/>
      <c r="BZ3162" s="715"/>
      <c r="CA3162" s="716"/>
      <c r="CB3162" s="717"/>
      <c r="CC3162" s="717"/>
      <c r="CD3162" s="717"/>
      <c r="CE3162" s="717"/>
      <c r="CF3162" s="717"/>
      <c r="CG3162" s="717"/>
      <c r="CH3162" s="717"/>
      <c r="CI3162" s="717"/>
      <c r="CJ3162" s="717"/>
      <c r="CK3162" s="717"/>
      <c r="CL3162" s="717"/>
      <c r="CM3162" s="717"/>
      <c r="CN3162" s="717"/>
      <c r="CO3162" s="717"/>
      <c r="CP3162" s="717"/>
      <c r="CQ3162" s="717"/>
      <c r="CR3162" s="717"/>
      <c r="CS3162" s="717"/>
      <c r="CT3162" s="717"/>
      <c r="CU3162" s="717"/>
      <c r="CV3162" s="717"/>
      <c r="CW3162" s="717"/>
      <c r="CX3162" s="717"/>
      <c r="CY3162" s="717"/>
      <c r="CZ3162" s="717"/>
      <c r="DA3162" s="717"/>
      <c r="DB3162" s="717"/>
      <c r="DC3162" s="717"/>
      <c r="DD3162" s="717"/>
      <c r="DE3162" s="717"/>
      <c r="DF3162" s="717"/>
      <c r="DG3162" s="717"/>
      <c r="DH3162" s="717"/>
      <c r="DI3162" s="717"/>
      <c r="DJ3162" s="717"/>
      <c r="DM3162" s="711"/>
      <c r="DN3162" s="711"/>
      <c r="DO3162" s="711"/>
      <c r="DP3162" s="711"/>
      <c r="DQ3162" s="711"/>
    </row>
    <row r="3163" spans="13:121" s="709" customFormat="1" hidden="1">
      <c r="M3163" s="710"/>
      <c r="P3163" s="711"/>
      <c r="Q3163" s="712"/>
      <c r="U3163" s="711"/>
      <c r="V3163" s="711"/>
      <c r="W3163" s="711"/>
      <c r="X3163" s="711"/>
      <c r="Y3163" s="711"/>
      <c r="Z3163" s="711"/>
      <c r="AU3163" s="713"/>
      <c r="AW3163" s="712"/>
      <c r="BY3163" s="714"/>
      <c r="BZ3163" s="715"/>
      <c r="CA3163" s="716"/>
      <c r="CB3163" s="717"/>
      <c r="CC3163" s="717"/>
      <c r="CD3163" s="717"/>
      <c r="CE3163" s="717"/>
      <c r="CF3163" s="717"/>
      <c r="CG3163" s="717"/>
      <c r="CH3163" s="717"/>
      <c r="CI3163" s="717"/>
      <c r="CJ3163" s="717"/>
      <c r="CK3163" s="717"/>
      <c r="CL3163" s="717"/>
      <c r="CM3163" s="717"/>
      <c r="CN3163" s="717"/>
      <c r="CO3163" s="717"/>
      <c r="CP3163" s="717"/>
      <c r="CQ3163" s="717"/>
      <c r="CR3163" s="717"/>
      <c r="CS3163" s="717"/>
      <c r="CT3163" s="717"/>
      <c r="CU3163" s="717"/>
      <c r="CV3163" s="717"/>
      <c r="CW3163" s="717"/>
      <c r="CX3163" s="717"/>
      <c r="CY3163" s="717"/>
      <c r="CZ3163" s="717"/>
      <c r="DA3163" s="717"/>
      <c r="DB3163" s="717"/>
      <c r="DC3163" s="717"/>
      <c r="DD3163" s="717"/>
      <c r="DE3163" s="717"/>
      <c r="DF3163" s="717"/>
      <c r="DG3163" s="717"/>
      <c r="DH3163" s="717"/>
      <c r="DI3163" s="717"/>
      <c r="DJ3163" s="717"/>
      <c r="DM3163" s="711"/>
      <c r="DN3163" s="711"/>
      <c r="DO3163" s="711"/>
      <c r="DP3163" s="711"/>
      <c r="DQ3163" s="711"/>
    </row>
    <row r="3164" spans="13:121" s="709" customFormat="1" hidden="1">
      <c r="M3164" s="710"/>
      <c r="P3164" s="711"/>
      <c r="Q3164" s="712"/>
      <c r="U3164" s="711"/>
      <c r="V3164" s="711"/>
      <c r="W3164" s="711"/>
      <c r="X3164" s="711"/>
      <c r="Y3164" s="711"/>
      <c r="Z3164" s="711"/>
      <c r="AU3164" s="713"/>
      <c r="AW3164" s="712"/>
      <c r="BY3164" s="714"/>
      <c r="BZ3164" s="715"/>
      <c r="CA3164" s="716"/>
      <c r="CB3164" s="717"/>
      <c r="CC3164" s="717"/>
      <c r="CD3164" s="717"/>
      <c r="CE3164" s="717"/>
      <c r="CF3164" s="717"/>
      <c r="CG3164" s="717"/>
      <c r="CH3164" s="717"/>
      <c r="CI3164" s="717"/>
      <c r="CJ3164" s="717"/>
      <c r="CK3164" s="717"/>
      <c r="CL3164" s="717"/>
      <c r="CM3164" s="717"/>
      <c r="CN3164" s="717"/>
      <c r="CO3164" s="717"/>
      <c r="CP3164" s="717"/>
      <c r="CQ3164" s="717"/>
      <c r="CR3164" s="717"/>
      <c r="CS3164" s="717"/>
      <c r="CT3164" s="717"/>
      <c r="CU3164" s="717"/>
      <c r="CV3164" s="717"/>
      <c r="CW3164" s="717"/>
      <c r="CX3164" s="717"/>
      <c r="CY3164" s="717"/>
      <c r="CZ3164" s="717"/>
      <c r="DA3164" s="717"/>
      <c r="DB3164" s="717"/>
      <c r="DC3164" s="717"/>
      <c r="DD3164" s="717"/>
      <c r="DE3164" s="717"/>
      <c r="DF3164" s="717"/>
      <c r="DG3164" s="717"/>
      <c r="DH3164" s="717"/>
      <c r="DI3164" s="717"/>
      <c r="DJ3164" s="717"/>
      <c r="DM3164" s="711"/>
      <c r="DN3164" s="711"/>
      <c r="DO3164" s="711"/>
      <c r="DP3164" s="711"/>
      <c r="DQ3164" s="711"/>
    </row>
    <row r="3165" spans="13:121" s="709" customFormat="1" hidden="1">
      <c r="M3165" s="710"/>
      <c r="P3165" s="711"/>
      <c r="Q3165" s="712"/>
      <c r="U3165" s="711"/>
      <c r="V3165" s="711"/>
      <c r="W3165" s="711"/>
      <c r="X3165" s="711"/>
      <c r="Y3165" s="711"/>
      <c r="Z3165" s="711"/>
      <c r="AU3165" s="713"/>
      <c r="AW3165" s="712"/>
      <c r="BY3165" s="714"/>
      <c r="BZ3165" s="715"/>
      <c r="CA3165" s="716"/>
      <c r="CB3165" s="717"/>
      <c r="CC3165" s="717"/>
      <c r="CD3165" s="717"/>
      <c r="CE3165" s="717"/>
      <c r="CF3165" s="717"/>
      <c r="CG3165" s="717"/>
      <c r="CH3165" s="717"/>
      <c r="CI3165" s="717"/>
      <c r="CJ3165" s="717"/>
      <c r="CK3165" s="717"/>
      <c r="CL3165" s="717"/>
      <c r="CM3165" s="717"/>
      <c r="CN3165" s="717"/>
      <c r="CO3165" s="717"/>
      <c r="CP3165" s="717"/>
      <c r="CQ3165" s="717"/>
      <c r="CR3165" s="717"/>
      <c r="CS3165" s="717"/>
      <c r="CT3165" s="717"/>
      <c r="CU3165" s="717"/>
      <c r="CV3165" s="717"/>
      <c r="CW3165" s="717"/>
      <c r="CX3165" s="717"/>
      <c r="CY3165" s="717"/>
      <c r="CZ3165" s="717"/>
      <c r="DA3165" s="717"/>
      <c r="DB3165" s="717"/>
      <c r="DC3165" s="717"/>
      <c r="DD3165" s="717"/>
      <c r="DE3165" s="717"/>
      <c r="DF3165" s="717"/>
      <c r="DG3165" s="717"/>
      <c r="DH3165" s="717"/>
      <c r="DI3165" s="717"/>
      <c r="DJ3165" s="717"/>
      <c r="DM3165" s="711"/>
      <c r="DN3165" s="711"/>
      <c r="DO3165" s="711"/>
      <c r="DP3165" s="711"/>
      <c r="DQ3165" s="711"/>
    </row>
    <row r="3166" spans="13:121" s="709" customFormat="1" hidden="1">
      <c r="M3166" s="710"/>
      <c r="P3166" s="711"/>
      <c r="Q3166" s="712"/>
      <c r="U3166" s="711"/>
      <c r="V3166" s="711"/>
      <c r="W3166" s="711"/>
      <c r="X3166" s="711"/>
      <c r="Y3166" s="711"/>
      <c r="Z3166" s="711"/>
      <c r="AU3166" s="713"/>
      <c r="AW3166" s="712"/>
      <c r="BY3166" s="714"/>
      <c r="BZ3166" s="715"/>
      <c r="CA3166" s="716"/>
      <c r="CB3166" s="717"/>
      <c r="CC3166" s="717"/>
      <c r="CD3166" s="717"/>
      <c r="CE3166" s="717"/>
      <c r="CF3166" s="717"/>
      <c r="CG3166" s="717"/>
      <c r="CH3166" s="717"/>
      <c r="CI3166" s="717"/>
      <c r="CJ3166" s="717"/>
      <c r="CK3166" s="717"/>
      <c r="CL3166" s="717"/>
      <c r="CM3166" s="717"/>
      <c r="CN3166" s="717"/>
      <c r="CO3166" s="717"/>
      <c r="CP3166" s="717"/>
      <c r="CQ3166" s="717"/>
      <c r="CR3166" s="717"/>
      <c r="CS3166" s="717"/>
      <c r="CT3166" s="717"/>
      <c r="CU3166" s="717"/>
      <c r="CV3166" s="717"/>
      <c r="CW3166" s="717"/>
      <c r="CX3166" s="717"/>
      <c r="CY3166" s="717"/>
      <c r="CZ3166" s="717"/>
      <c r="DA3166" s="717"/>
      <c r="DB3166" s="717"/>
      <c r="DC3166" s="717"/>
      <c r="DD3166" s="717"/>
      <c r="DE3166" s="717"/>
      <c r="DF3166" s="717"/>
      <c r="DG3166" s="717"/>
      <c r="DH3166" s="717"/>
      <c r="DI3166" s="717"/>
      <c r="DJ3166" s="717"/>
      <c r="DM3166" s="711"/>
      <c r="DN3166" s="711"/>
      <c r="DO3166" s="711"/>
      <c r="DP3166" s="711"/>
      <c r="DQ3166" s="711"/>
    </row>
    <row r="3167" spans="13:121" s="709" customFormat="1" hidden="1">
      <c r="M3167" s="710"/>
      <c r="P3167" s="711"/>
      <c r="Q3167" s="712"/>
      <c r="U3167" s="711"/>
      <c r="V3167" s="711"/>
      <c r="W3167" s="711"/>
      <c r="X3167" s="711"/>
      <c r="Y3167" s="711"/>
      <c r="Z3167" s="711"/>
      <c r="AU3167" s="713"/>
      <c r="AW3167" s="712"/>
      <c r="BY3167" s="714"/>
      <c r="BZ3167" s="715"/>
      <c r="CA3167" s="716"/>
      <c r="CB3167" s="717"/>
      <c r="CC3167" s="717"/>
      <c r="CD3167" s="717"/>
      <c r="CE3167" s="717"/>
      <c r="CF3167" s="717"/>
      <c r="CG3167" s="717"/>
      <c r="CH3167" s="717"/>
      <c r="CI3167" s="717"/>
      <c r="CJ3167" s="717"/>
      <c r="CK3167" s="717"/>
      <c r="CL3167" s="717"/>
      <c r="CM3167" s="717"/>
      <c r="CN3167" s="717"/>
      <c r="CO3167" s="717"/>
      <c r="CP3167" s="717"/>
      <c r="CQ3167" s="717"/>
      <c r="CR3167" s="717"/>
      <c r="CS3167" s="717"/>
      <c r="CT3167" s="717"/>
      <c r="CU3167" s="717"/>
      <c r="CV3167" s="717"/>
      <c r="CW3167" s="717"/>
      <c r="CX3167" s="717"/>
      <c r="CY3167" s="717"/>
      <c r="CZ3167" s="717"/>
      <c r="DA3167" s="717"/>
      <c r="DB3167" s="717"/>
      <c r="DC3167" s="717"/>
      <c r="DD3167" s="717"/>
      <c r="DE3167" s="717"/>
      <c r="DF3167" s="717"/>
      <c r="DG3167" s="717"/>
      <c r="DH3167" s="717"/>
      <c r="DI3167" s="717"/>
      <c r="DJ3167" s="717"/>
      <c r="DM3167" s="711"/>
      <c r="DN3167" s="711"/>
      <c r="DO3167" s="711"/>
      <c r="DP3167" s="711"/>
      <c r="DQ3167" s="711"/>
    </row>
    <row r="3168" spans="13:121" s="709" customFormat="1" hidden="1">
      <c r="M3168" s="710"/>
      <c r="P3168" s="711"/>
      <c r="Q3168" s="712"/>
      <c r="U3168" s="711"/>
      <c r="V3168" s="711"/>
      <c r="W3168" s="711"/>
      <c r="X3168" s="711"/>
      <c r="Y3168" s="711"/>
      <c r="Z3168" s="711"/>
      <c r="AU3168" s="713"/>
      <c r="AW3168" s="712"/>
      <c r="BY3168" s="714"/>
      <c r="BZ3168" s="715"/>
      <c r="CA3168" s="716"/>
      <c r="CB3168" s="717"/>
      <c r="CC3168" s="717"/>
      <c r="CD3168" s="717"/>
      <c r="CE3168" s="717"/>
      <c r="CF3168" s="717"/>
      <c r="CG3168" s="717"/>
      <c r="CH3168" s="717"/>
      <c r="CI3168" s="717"/>
      <c r="CJ3168" s="717"/>
      <c r="CK3168" s="717"/>
      <c r="CL3168" s="717"/>
      <c r="CM3168" s="717"/>
      <c r="CN3168" s="717"/>
      <c r="CO3168" s="717"/>
      <c r="CP3168" s="717"/>
      <c r="CQ3168" s="717"/>
      <c r="CR3168" s="717"/>
      <c r="CS3168" s="717"/>
      <c r="CT3168" s="717"/>
      <c r="CU3168" s="717"/>
      <c r="CV3168" s="717"/>
      <c r="CW3168" s="717"/>
      <c r="CX3168" s="717"/>
      <c r="CY3168" s="717"/>
      <c r="CZ3168" s="717"/>
      <c r="DA3168" s="717"/>
      <c r="DB3168" s="717"/>
      <c r="DC3168" s="717"/>
      <c r="DD3168" s="717"/>
      <c r="DE3168" s="717"/>
      <c r="DF3168" s="717"/>
      <c r="DG3168" s="717"/>
      <c r="DH3168" s="717"/>
      <c r="DI3168" s="717"/>
      <c r="DJ3168" s="717"/>
      <c r="DM3168" s="711"/>
      <c r="DN3168" s="711"/>
      <c r="DO3168" s="711"/>
      <c r="DP3168" s="711"/>
      <c r="DQ3168" s="711"/>
    </row>
    <row r="3169" spans="13:121" s="709" customFormat="1" hidden="1">
      <c r="M3169" s="710"/>
      <c r="P3169" s="711"/>
      <c r="Q3169" s="712"/>
      <c r="U3169" s="711"/>
      <c r="V3169" s="711"/>
      <c r="W3169" s="711"/>
      <c r="X3169" s="711"/>
      <c r="Y3169" s="711"/>
      <c r="Z3169" s="711"/>
      <c r="AU3169" s="713"/>
      <c r="AW3169" s="712"/>
      <c r="BY3169" s="714"/>
      <c r="BZ3169" s="715"/>
      <c r="CA3169" s="716"/>
      <c r="CB3169" s="717"/>
      <c r="CC3169" s="717"/>
      <c r="CD3169" s="717"/>
      <c r="CE3169" s="717"/>
      <c r="CF3169" s="717"/>
      <c r="CG3169" s="717"/>
      <c r="CH3169" s="717"/>
      <c r="CI3169" s="717"/>
      <c r="CJ3169" s="717"/>
      <c r="CK3169" s="717"/>
      <c r="CL3169" s="717"/>
      <c r="CM3169" s="717"/>
      <c r="CN3169" s="717"/>
      <c r="CO3169" s="717"/>
      <c r="CP3169" s="717"/>
      <c r="CQ3169" s="717"/>
      <c r="CR3169" s="717"/>
      <c r="CS3169" s="717"/>
      <c r="CT3169" s="717"/>
      <c r="CU3169" s="717"/>
      <c r="CV3169" s="717"/>
      <c r="CW3169" s="717"/>
      <c r="CX3169" s="717"/>
      <c r="CY3169" s="717"/>
      <c r="CZ3169" s="717"/>
      <c r="DA3169" s="717"/>
      <c r="DB3169" s="717"/>
      <c r="DC3169" s="717"/>
      <c r="DD3169" s="717"/>
      <c r="DE3169" s="717"/>
      <c r="DF3169" s="717"/>
      <c r="DG3169" s="717"/>
      <c r="DH3169" s="717"/>
      <c r="DI3169" s="717"/>
      <c r="DJ3169" s="717"/>
      <c r="DM3169" s="711"/>
      <c r="DN3169" s="711"/>
      <c r="DO3169" s="711"/>
      <c r="DP3169" s="711"/>
      <c r="DQ3169" s="711"/>
    </row>
    <row r="3170" spans="13:121" s="709" customFormat="1" hidden="1">
      <c r="M3170" s="710"/>
      <c r="P3170" s="711"/>
      <c r="Q3170" s="712"/>
      <c r="U3170" s="711"/>
      <c r="V3170" s="711"/>
      <c r="W3170" s="711"/>
      <c r="X3170" s="711"/>
      <c r="Y3170" s="711"/>
      <c r="Z3170" s="711"/>
      <c r="AU3170" s="713"/>
      <c r="AW3170" s="712"/>
      <c r="BY3170" s="714"/>
      <c r="BZ3170" s="715"/>
      <c r="CA3170" s="716"/>
      <c r="CB3170" s="717"/>
      <c r="CC3170" s="717"/>
      <c r="CD3170" s="717"/>
      <c r="CE3170" s="717"/>
      <c r="CF3170" s="717"/>
      <c r="CG3170" s="717"/>
      <c r="CH3170" s="717"/>
      <c r="CI3170" s="717"/>
      <c r="CJ3170" s="717"/>
      <c r="CK3170" s="717"/>
      <c r="CL3170" s="717"/>
      <c r="CM3170" s="717"/>
      <c r="CN3170" s="717"/>
      <c r="CO3170" s="717"/>
      <c r="CP3170" s="717"/>
      <c r="CQ3170" s="717"/>
      <c r="CR3170" s="717"/>
      <c r="CS3170" s="717"/>
      <c r="CT3170" s="717"/>
      <c r="CU3170" s="717"/>
      <c r="CV3170" s="717"/>
      <c r="CW3170" s="717"/>
      <c r="CX3170" s="717"/>
      <c r="CY3170" s="717"/>
      <c r="CZ3170" s="717"/>
      <c r="DA3170" s="717"/>
      <c r="DB3170" s="717"/>
      <c r="DC3170" s="717"/>
      <c r="DD3170" s="717"/>
      <c r="DE3170" s="717"/>
      <c r="DF3170" s="717"/>
      <c r="DG3170" s="717"/>
      <c r="DH3170" s="717"/>
      <c r="DI3170" s="717"/>
      <c r="DJ3170" s="717"/>
      <c r="DM3170" s="711"/>
      <c r="DN3170" s="711"/>
      <c r="DO3170" s="711"/>
      <c r="DP3170" s="711"/>
      <c r="DQ3170" s="711"/>
    </row>
    <row r="3171" spans="13:121" s="709" customFormat="1" hidden="1">
      <c r="M3171" s="710"/>
      <c r="P3171" s="711"/>
      <c r="Q3171" s="712"/>
      <c r="U3171" s="711"/>
      <c r="V3171" s="711"/>
      <c r="W3171" s="711"/>
      <c r="X3171" s="711"/>
      <c r="Y3171" s="711"/>
      <c r="Z3171" s="711"/>
      <c r="AU3171" s="713"/>
      <c r="AW3171" s="712"/>
      <c r="BY3171" s="714"/>
      <c r="BZ3171" s="715"/>
      <c r="CA3171" s="716"/>
      <c r="CB3171" s="717"/>
      <c r="CC3171" s="717"/>
      <c r="CD3171" s="717"/>
      <c r="CE3171" s="717"/>
      <c r="CF3171" s="717"/>
      <c r="CG3171" s="717"/>
      <c r="CH3171" s="717"/>
      <c r="CI3171" s="717"/>
      <c r="CJ3171" s="717"/>
      <c r="CK3171" s="717"/>
      <c r="CL3171" s="717"/>
      <c r="CM3171" s="717"/>
      <c r="CN3171" s="717"/>
      <c r="CO3171" s="717"/>
      <c r="CP3171" s="717"/>
      <c r="CQ3171" s="717"/>
      <c r="CR3171" s="717"/>
      <c r="CS3171" s="717"/>
      <c r="CT3171" s="717"/>
      <c r="CU3171" s="717"/>
      <c r="CV3171" s="717"/>
      <c r="CW3171" s="717"/>
      <c r="CX3171" s="717"/>
      <c r="CY3171" s="717"/>
      <c r="CZ3171" s="717"/>
      <c r="DA3171" s="717"/>
      <c r="DB3171" s="717"/>
      <c r="DC3171" s="717"/>
      <c r="DD3171" s="717"/>
      <c r="DE3171" s="717"/>
      <c r="DF3171" s="717"/>
      <c r="DG3171" s="717"/>
      <c r="DH3171" s="717"/>
      <c r="DI3171" s="717"/>
      <c r="DJ3171" s="717"/>
      <c r="DM3171" s="711"/>
      <c r="DN3171" s="711"/>
      <c r="DO3171" s="711"/>
      <c r="DP3171" s="711"/>
      <c r="DQ3171" s="711"/>
    </row>
    <row r="3172" spans="13:121" s="709" customFormat="1" hidden="1">
      <c r="M3172" s="710"/>
      <c r="P3172" s="711"/>
      <c r="Q3172" s="712"/>
      <c r="U3172" s="711"/>
      <c r="V3172" s="711"/>
      <c r="W3172" s="711"/>
      <c r="X3172" s="711"/>
      <c r="Y3172" s="711"/>
      <c r="Z3172" s="711"/>
      <c r="AU3172" s="713"/>
      <c r="AW3172" s="712"/>
      <c r="BY3172" s="714"/>
      <c r="BZ3172" s="715"/>
      <c r="CA3172" s="716"/>
      <c r="CB3172" s="717"/>
      <c r="CC3172" s="717"/>
      <c r="CD3172" s="717"/>
      <c r="CE3172" s="717"/>
      <c r="CF3172" s="717"/>
      <c r="CG3172" s="717"/>
      <c r="CH3172" s="717"/>
      <c r="CI3172" s="717"/>
      <c r="CJ3172" s="717"/>
      <c r="CK3172" s="717"/>
      <c r="CL3172" s="717"/>
      <c r="CM3172" s="717"/>
      <c r="CN3172" s="717"/>
      <c r="CO3172" s="717"/>
      <c r="CP3172" s="717"/>
      <c r="CQ3172" s="717"/>
      <c r="CR3172" s="717"/>
      <c r="CS3172" s="717"/>
      <c r="CT3172" s="717"/>
      <c r="CU3172" s="717"/>
      <c r="CV3172" s="717"/>
      <c r="CW3172" s="717"/>
      <c r="CX3172" s="717"/>
      <c r="CY3172" s="717"/>
      <c r="CZ3172" s="717"/>
      <c r="DA3172" s="717"/>
      <c r="DB3172" s="717"/>
      <c r="DC3172" s="717"/>
      <c r="DD3172" s="717"/>
      <c r="DE3172" s="717"/>
      <c r="DF3172" s="717"/>
      <c r="DG3172" s="717"/>
      <c r="DH3172" s="717"/>
      <c r="DI3172" s="717"/>
      <c r="DJ3172" s="717"/>
      <c r="DM3172" s="711"/>
      <c r="DN3172" s="711"/>
      <c r="DO3172" s="711"/>
      <c r="DP3172" s="711"/>
      <c r="DQ3172" s="711"/>
    </row>
    <row r="3173" spans="13:121" s="709" customFormat="1" hidden="1">
      <c r="M3173" s="710"/>
      <c r="P3173" s="711"/>
      <c r="Q3173" s="712"/>
      <c r="U3173" s="711"/>
      <c r="V3173" s="711"/>
      <c r="W3173" s="711"/>
      <c r="X3173" s="711"/>
      <c r="Y3173" s="711"/>
      <c r="Z3173" s="711"/>
      <c r="AU3173" s="713"/>
      <c r="AW3173" s="712"/>
      <c r="BY3173" s="714"/>
      <c r="BZ3173" s="715"/>
      <c r="CA3173" s="716"/>
      <c r="CB3173" s="717"/>
      <c r="CC3173" s="717"/>
      <c r="CD3173" s="717"/>
      <c r="CE3173" s="717"/>
      <c r="CF3173" s="717"/>
      <c r="CG3173" s="717"/>
      <c r="CH3173" s="717"/>
      <c r="CI3173" s="717"/>
      <c r="CJ3173" s="717"/>
      <c r="CK3173" s="717"/>
      <c r="CL3173" s="717"/>
      <c r="CM3173" s="717"/>
      <c r="CN3173" s="717"/>
      <c r="CO3173" s="717"/>
      <c r="CP3173" s="717"/>
      <c r="CQ3173" s="717"/>
      <c r="CR3173" s="717"/>
      <c r="CS3173" s="717"/>
      <c r="CT3173" s="717"/>
      <c r="CU3173" s="717"/>
      <c r="CV3173" s="717"/>
      <c r="CW3173" s="717"/>
      <c r="CX3173" s="717"/>
      <c r="CY3173" s="717"/>
      <c r="CZ3173" s="717"/>
      <c r="DA3173" s="717"/>
      <c r="DB3173" s="717"/>
      <c r="DC3173" s="717"/>
      <c r="DD3173" s="717"/>
      <c r="DE3173" s="717"/>
      <c r="DF3173" s="717"/>
      <c r="DG3173" s="717"/>
      <c r="DH3173" s="717"/>
      <c r="DI3173" s="717"/>
      <c r="DJ3173" s="717"/>
      <c r="DM3173" s="711"/>
      <c r="DN3173" s="711"/>
      <c r="DO3173" s="711"/>
      <c r="DP3173" s="711"/>
      <c r="DQ3173" s="711"/>
    </row>
    <row r="3174" spans="13:121" s="709" customFormat="1" hidden="1">
      <c r="M3174" s="710"/>
      <c r="P3174" s="711"/>
      <c r="Q3174" s="712"/>
      <c r="U3174" s="711"/>
      <c r="V3174" s="711"/>
      <c r="W3174" s="711"/>
      <c r="X3174" s="711"/>
      <c r="Y3174" s="711"/>
      <c r="Z3174" s="711"/>
      <c r="AU3174" s="713"/>
      <c r="AW3174" s="712"/>
      <c r="BY3174" s="714"/>
      <c r="BZ3174" s="715"/>
      <c r="CA3174" s="716"/>
      <c r="CB3174" s="717"/>
      <c r="CC3174" s="717"/>
      <c r="CD3174" s="717"/>
      <c r="CE3174" s="717"/>
      <c r="CF3174" s="717"/>
      <c r="CG3174" s="717"/>
      <c r="CH3174" s="717"/>
      <c r="CI3174" s="717"/>
      <c r="CJ3174" s="717"/>
      <c r="CK3174" s="717"/>
      <c r="CL3174" s="717"/>
      <c r="CM3174" s="717"/>
      <c r="CN3174" s="717"/>
      <c r="CO3174" s="717"/>
      <c r="CP3174" s="717"/>
      <c r="CQ3174" s="717"/>
      <c r="CR3174" s="717"/>
      <c r="CS3174" s="717"/>
      <c r="CT3174" s="717"/>
      <c r="CU3174" s="717"/>
      <c r="CV3174" s="717"/>
      <c r="CW3174" s="717"/>
      <c r="CX3174" s="717"/>
      <c r="CY3174" s="717"/>
      <c r="CZ3174" s="717"/>
      <c r="DA3174" s="717"/>
      <c r="DB3174" s="717"/>
      <c r="DC3174" s="717"/>
      <c r="DD3174" s="717"/>
      <c r="DE3174" s="717"/>
      <c r="DF3174" s="717"/>
      <c r="DG3174" s="717"/>
      <c r="DH3174" s="717"/>
      <c r="DI3174" s="717"/>
      <c r="DJ3174" s="717"/>
      <c r="DM3174" s="711"/>
      <c r="DN3174" s="711"/>
      <c r="DO3174" s="711"/>
      <c r="DP3174" s="711"/>
      <c r="DQ3174" s="711"/>
    </row>
    <row r="3175" spans="13:121" s="709" customFormat="1" hidden="1">
      <c r="M3175" s="710"/>
      <c r="P3175" s="711"/>
      <c r="Q3175" s="712"/>
      <c r="U3175" s="711"/>
      <c r="V3175" s="711"/>
      <c r="W3175" s="711"/>
      <c r="X3175" s="711"/>
      <c r="Y3175" s="711"/>
      <c r="Z3175" s="711"/>
      <c r="AU3175" s="713"/>
      <c r="AW3175" s="712"/>
      <c r="BY3175" s="714"/>
      <c r="BZ3175" s="715"/>
      <c r="CA3175" s="716"/>
      <c r="CB3175" s="717"/>
      <c r="CC3175" s="717"/>
      <c r="CD3175" s="717"/>
      <c r="CE3175" s="717"/>
      <c r="CF3175" s="717"/>
      <c r="CG3175" s="717"/>
      <c r="CH3175" s="717"/>
      <c r="CI3175" s="717"/>
      <c r="CJ3175" s="717"/>
      <c r="CK3175" s="717"/>
      <c r="CL3175" s="717"/>
      <c r="CM3175" s="717"/>
      <c r="CN3175" s="717"/>
      <c r="CO3175" s="717"/>
      <c r="CP3175" s="717"/>
      <c r="CQ3175" s="717"/>
      <c r="CR3175" s="717"/>
      <c r="CS3175" s="717"/>
      <c r="CT3175" s="717"/>
      <c r="CU3175" s="717"/>
      <c r="CV3175" s="717"/>
      <c r="CW3175" s="717"/>
      <c r="CX3175" s="717"/>
      <c r="CY3175" s="717"/>
      <c r="CZ3175" s="717"/>
      <c r="DA3175" s="717"/>
      <c r="DB3175" s="717"/>
      <c r="DC3175" s="717"/>
      <c r="DD3175" s="717"/>
      <c r="DE3175" s="717"/>
      <c r="DF3175" s="717"/>
      <c r="DG3175" s="717"/>
      <c r="DH3175" s="717"/>
      <c r="DI3175" s="717"/>
      <c r="DJ3175" s="717"/>
      <c r="DM3175" s="711"/>
      <c r="DN3175" s="711"/>
      <c r="DO3175" s="711"/>
      <c r="DP3175" s="711"/>
      <c r="DQ3175" s="711"/>
    </row>
    <row r="3176" spans="13:121" s="709" customFormat="1" hidden="1">
      <c r="M3176" s="710"/>
      <c r="P3176" s="711"/>
      <c r="Q3176" s="712"/>
      <c r="U3176" s="711"/>
      <c r="V3176" s="711"/>
      <c r="W3176" s="711"/>
      <c r="X3176" s="711"/>
      <c r="Y3176" s="711"/>
      <c r="Z3176" s="711"/>
      <c r="AU3176" s="713"/>
      <c r="AW3176" s="712"/>
      <c r="BY3176" s="714"/>
      <c r="BZ3176" s="715"/>
      <c r="CA3176" s="716"/>
      <c r="CB3176" s="717"/>
      <c r="CC3176" s="717"/>
      <c r="CD3176" s="717"/>
      <c r="CE3176" s="717"/>
      <c r="CF3176" s="717"/>
      <c r="CG3176" s="717"/>
      <c r="CH3176" s="717"/>
      <c r="CI3176" s="717"/>
      <c r="CJ3176" s="717"/>
      <c r="CK3176" s="717"/>
      <c r="CL3176" s="717"/>
      <c r="CM3176" s="717"/>
      <c r="CN3176" s="717"/>
      <c r="CO3176" s="717"/>
      <c r="CP3176" s="717"/>
      <c r="CQ3176" s="717"/>
      <c r="CR3176" s="717"/>
      <c r="CS3176" s="717"/>
      <c r="CT3176" s="717"/>
      <c r="CU3176" s="717"/>
      <c r="CV3176" s="717"/>
      <c r="CW3176" s="717"/>
      <c r="CX3176" s="717"/>
      <c r="CY3176" s="717"/>
      <c r="CZ3176" s="717"/>
      <c r="DA3176" s="717"/>
      <c r="DB3176" s="717"/>
      <c r="DC3176" s="717"/>
      <c r="DD3176" s="717"/>
      <c r="DE3176" s="717"/>
      <c r="DF3176" s="717"/>
      <c r="DG3176" s="717"/>
      <c r="DH3176" s="717"/>
      <c r="DI3176" s="717"/>
      <c r="DJ3176" s="717"/>
      <c r="DM3176" s="711"/>
      <c r="DN3176" s="711"/>
      <c r="DO3176" s="711"/>
      <c r="DP3176" s="711"/>
      <c r="DQ3176" s="711"/>
    </row>
    <row r="3177" spans="13:121" s="709" customFormat="1" hidden="1">
      <c r="M3177" s="710"/>
      <c r="P3177" s="711"/>
      <c r="Q3177" s="712"/>
      <c r="U3177" s="711"/>
      <c r="V3177" s="711"/>
      <c r="W3177" s="711"/>
      <c r="X3177" s="711"/>
      <c r="Y3177" s="711"/>
      <c r="Z3177" s="711"/>
      <c r="AU3177" s="713"/>
      <c r="AW3177" s="712"/>
      <c r="BY3177" s="714"/>
      <c r="BZ3177" s="715"/>
      <c r="CA3177" s="716"/>
      <c r="CB3177" s="717"/>
      <c r="CC3177" s="717"/>
      <c r="CD3177" s="717"/>
      <c r="CE3177" s="717"/>
      <c r="CF3177" s="717"/>
      <c r="CG3177" s="717"/>
      <c r="CH3177" s="717"/>
      <c r="CI3177" s="717"/>
      <c r="CJ3177" s="717"/>
      <c r="CK3177" s="717"/>
      <c r="CL3177" s="717"/>
      <c r="CM3177" s="717"/>
      <c r="CN3177" s="717"/>
      <c r="CO3177" s="717"/>
      <c r="CP3177" s="717"/>
      <c r="CQ3177" s="717"/>
      <c r="CR3177" s="717"/>
      <c r="CS3177" s="717"/>
      <c r="CT3177" s="717"/>
      <c r="CU3177" s="717"/>
      <c r="CV3177" s="717"/>
      <c r="CW3177" s="717"/>
      <c r="CX3177" s="717"/>
      <c r="CY3177" s="717"/>
      <c r="CZ3177" s="717"/>
      <c r="DA3177" s="717"/>
      <c r="DB3177" s="717"/>
      <c r="DC3177" s="717"/>
      <c r="DD3177" s="717"/>
      <c r="DE3177" s="717"/>
      <c r="DF3177" s="717"/>
      <c r="DG3177" s="717"/>
      <c r="DH3177" s="717"/>
      <c r="DI3177" s="717"/>
      <c r="DJ3177" s="717"/>
      <c r="DM3177" s="711"/>
      <c r="DN3177" s="711"/>
      <c r="DO3177" s="711"/>
      <c r="DP3177" s="711"/>
      <c r="DQ3177" s="711"/>
    </row>
    <row r="3178" spans="13:121" s="709" customFormat="1" hidden="1">
      <c r="M3178" s="710"/>
      <c r="P3178" s="711"/>
      <c r="Q3178" s="712"/>
      <c r="U3178" s="711"/>
      <c r="V3178" s="711"/>
      <c r="W3178" s="711"/>
      <c r="X3178" s="711"/>
      <c r="Y3178" s="711"/>
      <c r="Z3178" s="711"/>
      <c r="AU3178" s="713"/>
      <c r="AW3178" s="712"/>
      <c r="BY3178" s="714"/>
      <c r="BZ3178" s="715"/>
      <c r="CA3178" s="716"/>
      <c r="CB3178" s="717"/>
      <c r="CC3178" s="717"/>
      <c r="CD3178" s="717"/>
      <c r="CE3178" s="717"/>
      <c r="CF3178" s="717"/>
      <c r="CG3178" s="717"/>
      <c r="CH3178" s="717"/>
      <c r="CI3178" s="717"/>
      <c r="CJ3178" s="717"/>
      <c r="CK3178" s="717"/>
      <c r="CL3178" s="717"/>
      <c r="CM3178" s="717"/>
      <c r="CN3178" s="717"/>
      <c r="CO3178" s="717"/>
      <c r="CP3178" s="717"/>
      <c r="CQ3178" s="717"/>
      <c r="CR3178" s="717"/>
      <c r="CS3178" s="717"/>
      <c r="CT3178" s="717"/>
      <c r="CU3178" s="717"/>
      <c r="CV3178" s="717"/>
      <c r="CW3178" s="717"/>
      <c r="CX3178" s="717"/>
      <c r="CY3178" s="717"/>
      <c r="CZ3178" s="717"/>
      <c r="DA3178" s="717"/>
      <c r="DB3178" s="717"/>
      <c r="DC3178" s="717"/>
      <c r="DD3178" s="717"/>
      <c r="DE3178" s="717"/>
      <c r="DF3178" s="717"/>
      <c r="DG3178" s="717"/>
      <c r="DH3178" s="717"/>
      <c r="DI3178" s="717"/>
      <c r="DJ3178" s="717"/>
      <c r="DM3178" s="711"/>
      <c r="DN3178" s="711"/>
      <c r="DO3178" s="711"/>
      <c r="DP3178" s="711"/>
      <c r="DQ3178" s="711"/>
    </row>
    <row r="3179" spans="13:121" s="709" customFormat="1" hidden="1">
      <c r="M3179" s="710"/>
      <c r="P3179" s="711"/>
      <c r="Q3179" s="712"/>
      <c r="U3179" s="711"/>
      <c r="V3179" s="711"/>
      <c r="W3179" s="711"/>
      <c r="X3179" s="711"/>
      <c r="Y3179" s="711"/>
      <c r="Z3179" s="711"/>
      <c r="AU3179" s="713"/>
      <c r="AW3179" s="712"/>
      <c r="BY3179" s="714"/>
      <c r="BZ3179" s="715"/>
      <c r="CA3179" s="716"/>
      <c r="CB3179" s="717"/>
      <c r="CC3179" s="717"/>
      <c r="CD3179" s="717"/>
      <c r="CE3179" s="717"/>
      <c r="CF3179" s="717"/>
      <c r="CG3179" s="717"/>
      <c r="CH3179" s="717"/>
      <c r="CI3179" s="717"/>
      <c r="CJ3179" s="717"/>
      <c r="CK3179" s="717"/>
      <c r="CL3179" s="717"/>
      <c r="CM3179" s="717"/>
      <c r="CN3179" s="717"/>
      <c r="CO3179" s="717"/>
      <c r="CP3179" s="717"/>
      <c r="CQ3179" s="717"/>
      <c r="CR3179" s="717"/>
      <c r="CS3179" s="717"/>
      <c r="CT3179" s="717"/>
      <c r="CU3179" s="717"/>
      <c r="CV3179" s="717"/>
      <c r="CW3179" s="717"/>
      <c r="CX3179" s="717"/>
      <c r="CY3179" s="717"/>
      <c r="CZ3179" s="717"/>
      <c r="DA3179" s="717"/>
      <c r="DB3179" s="717"/>
      <c r="DC3179" s="717"/>
      <c r="DD3179" s="717"/>
      <c r="DE3179" s="717"/>
      <c r="DF3179" s="717"/>
      <c r="DG3179" s="717"/>
      <c r="DH3179" s="717"/>
      <c r="DI3179" s="717"/>
      <c r="DJ3179" s="717"/>
      <c r="DM3179" s="711"/>
      <c r="DN3179" s="711"/>
      <c r="DO3179" s="711"/>
      <c r="DP3179" s="711"/>
      <c r="DQ3179" s="711"/>
    </row>
    <row r="3180" spans="13:121" s="709" customFormat="1" hidden="1">
      <c r="M3180" s="710"/>
      <c r="P3180" s="711"/>
      <c r="Q3180" s="712"/>
      <c r="U3180" s="711"/>
      <c r="V3180" s="711"/>
      <c r="W3180" s="711"/>
      <c r="X3180" s="711"/>
      <c r="Y3180" s="711"/>
      <c r="Z3180" s="711"/>
      <c r="AU3180" s="713"/>
      <c r="AW3180" s="712"/>
      <c r="BY3180" s="714"/>
      <c r="BZ3180" s="715"/>
      <c r="CA3180" s="716"/>
      <c r="CB3180" s="717"/>
      <c r="CC3180" s="717"/>
      <c r="CD3180" s="717"/>
      <c r="CE3180" s="717"/>
      <c r="CF3180" s="717"/>
      <c r="CG3180" s="717"/>
      <c r="CH3180" s="717"/>
      <c r="CI3180" s="717"/>
      <c r="CJ3180" s="717"/>
      <c r="CK3180" s="717"/>
      <c r="CL3180" s="717"/>
      <c r="CM3180" s="717"/>
      <c r="CN3180" s="717"/>
      <c r="CO3180" s="717"/>
      <c r="CP3180" s="717"/>
      <c r="CQ3180" s="717"/>
      <c r="CR3180" s="717"/>
      <c r="CS3180" s="717"/>
      <c r="CT3180" s="717"/>
      <c r="CU3180" s="717"/>
      <c r="CV3180" s="717"/>
      <c r="CW3180" s="717"/>
      <c r="CX3180" s="717"/>
      <c r="CY3180" s="717"/>
      <c r="CZ3180" s="717"/>
      <c r="DA3180" s="717"/>
      <c r="DB3180" s="717"/>
      <c r="DC3180" s="717"/>
      <c r="DD3180" s="717"/>
      <c r="DE3180" s="717"/>
      <c r="DF3180" s="717"/>
      <c r="DG3180" s="717"/>
      <c r="DH3180" s="717"/>
      <c r="DI3180" s="717"/>
      <c r="DJ3180" s="717"/>
      <c r="DM3180" s="711"/>
      <c r="DN3180" s="711"/>
      <c r="DO3180" s="711"/>
      <c r="DP3180" s="711"/>
      <c r="DQ3180" s="711"/>
    </row>
    <row r="3181" spans="13:121" s="709" customFormat="1" hidden="1">
      <c r="M3181" s="710"/>
      <c r="P3181" s="711"/>
      <c r="Q3181" s="712"/>
      <c r="U3181" s="711"/>
      <c r="V3181" s="711"/>
      <c r="W3181" s="711"/>
      <c r="X3181" s="711"/>
      <c r="Y3181" s="711"/>
      <c r="Z3181" s="711"/>
      <c r="AU3181" s="713"/>
      <c r="AW3181" s="712"/>
      <c r="BY3181" s="714"/>
      <c r="BZ3181" s="715"/>
      <c r="CA3181" s="716"/>
      <c r="CB3181" s="717"/>
      <c r="CC3181" s="717"/>
      <c r="CD3181" s="717"/>
      <c r="CE3181" s="717"/>
      <c r="CF3181" s="717"/>
      <c r="CG3181" s="717"/>
      <c r="CH3181" s="717"/>
      <c r="CI3181" s="717"/>
      <c r="CJ3181" s="717"/>
      <c r="CK3181" s="717"/>
      <c r="CL3181" s="717"/>
      <c r="CM3181" s="717"/>
      <c r="CN3181" s="717"/>
      <c r="CO3181" s="717"/>
      <c r="CP3181" s="717"/>
      <c r="CQ3181" s="717"/>
      <c r="CR3181" s="717"/>
      <c r="CS3181" s="717"/>
      <c r="CT3181" s="717"/>
      <c r="CU3181" s="717"/>
      <c r="CV3181" s="717"/>
      <c r="CW3181" s="717"/>
      <c r="CX3181" s="717"/>
      <c r="CY3181" s="717"/>
      <c r="CZ3181" s="717"/>
      <c r="DA3181" s="717"/>
      <c r="DB3181" s="717"/>
      <c r="DC3181" s="717"/>
      <c r="DD3181" s="717"/>
      <c r="DE3181" s="717"/>
      <c r="DF3181" s="717"/>
      <c r="DG3181" s="717"/>
      <c r="DH3181" s="717"/>
      <c r="DI3181" s="717"/>
      <c r="DJ3181" s="717"/>
      <c r="DM3181" s="711"/>
      <c r="DN3181" s="711"/>
      <c r="DO3181" s="711"/>
      <c r="DP3181" s="711"/>
      <c r="DQ3181" s="711"/>
    </row>
    <row r="3182" spans="13:121" s="709" customFormat="1" hidden="1">
      <c r="M3182" s="710"/>
      <c r="P3182" s="711"/>
      <c r="Q3182" s="712"/>
      <c r="U3182" s="711"/>
      <c r="V3182" s="711"/>
      <c r="W3182" s="711"/>
      <c r="X3182" s="711"/>
      <c r="Y3182" s="711"/>
      <c r="Z3182" s="711"/>
      <c r="AU3182" s="713"/>
      <c r="AW3182" s="712"/>
      <c r="BY3182" s="714"/>
      <c r="BZ3182" s="715"/>
      <c r="CA3182" s="716"/>
      <c r="CB3182" s="717"/>
      <c r="CC3182" s="717"/>
      <c r="CD3182" s="717"/>
      <c r="CE3182" s="717"/>
      <c r="CF3182" s="717"/>
      <c r="CG3182" s="717"/>
      <c r="CH3182" s="717"/>
      <c r="CI3182" s="717"/>
      <c r="CJ3182" s="717"/>
      <c r="CK3182" s="717"/>
      <c r="CL3182" s="717"/>
      <c r="CM3182" s="717"/>
      <c r="CN3182" s="717"/>
      <c r="CO3182" s="717"/>
      <c r="CP3182" s="717"/>
      <c r="CQ3182" s="717"/>
      <c r="CR3182" s="717"/>
      <c r="CS3182" s="717"/>
      <c r="CT3182" s="717"/>
      <c r="CU3182" s="717"/>
      <c r="CV3182" s="717"/>
      <c r="CW3182" s="717"/>
      <c r="CX3182" s="717"/>
      <c r="CY3182" s="717"/>
      <c r="CZ3182" s="717"/>
      <c r="DA3182" s="717"/>
      <c r="DB3182" s="717"/>
      <c r="DC3182" s="717"/>
      <c r="DD3182" s="717"/>
      <c r="DE3182" s="717"/>
      <c r="DF3182" s="717"/>
      <c r="DG3182" s="717"/>
      <c r="DH3182" s="717"/>
      <c r="DI3182" s="717"/>
      <c r="DJ3182" s="717"/>
      <c r="DM3182" s="711"/>
      <c r="DN3182" s="711"/>
      <c r="DO3182" s="711"/>
      <c r="DP3182" s="711"/>
      <c r="DQ3182" s="711"/>
    </row>
    <row r="3183" spans="13:121" s="709" customFormat="1" hidden="1">
      <c r="M3183" s="710"/>
      <c r="P3183" s="711"/>
      <c r="Q3183" s="712"/>
      <c r="U3183" s="711"/>
      <c r="V3183" s="711"/>
      <c r="W3183" s="711"/>
      <c r="X3183" s="711"/>
      <c r="Y3183" s="711"/>
      <c r="Z3183" s="711"/>
      <c r="AU3183" s="713"/>
      <c r="AW3183" s="712"/>
      <c r="BY3183" s="714"/>
      <c r="BZ3183" s="715"/>
      <c r="CA3183" s="716"/>
      <c r="CB3183" s="717"/>
      <c r="CC3183" s="717"/>
      <c r="CD3183" s="717"/>
      <c r="CE3183" s="717"/>
      <c r="CF3183" s="717"/>
      <c r="CG3183" s="717"/>
      <c r="CH3183" s="717"/>
      <c r="CI3183" s="717"/>
      <c r="CJ3183" s="717"/>
      <c r="CK3183" s="717"/>
      <c r="CL3183" s="717"/>
      <c r="CM3183" s="717"/>
      <c r="CN3183" s="717"/>
      <c r="CO3183" s="717"/>
      <c r="CP3183" s="717"/>
      <c r="CQ3183" s="717"/>
      <c r="CR3183" s="717"/>
      <c r="CS3183" s="717"/>
      <c r="CT3183" s="717"/>
      <c r="CU3183" s="717"/>
      <c r="CV3183" s="717"/>
      <c r="CW3183" s="717"/>
      <c r="CX3183" s="717"/>
      <c r="CY3183" s="717"/>
      <c r="CZ3183" s="717"/>
      <c r="DA3183" s="717"/>
      <c r="DB3183" s="717"/>
      <c r="DC3183" s="717"/>
      <c r="DD3183" s="717"/>
      <c r="DE3183" s="717"/>
      <c r="DF3183" s="717"/>
      <c r="DG3183" s="717"/>
      <c r="DH3183" s="717"/>
      <c r="DI3183" s="717"/>
      <c r="DJ3183" s="717"/>
      <c r="DM3183" s="711"/>
      <c r="DN3183" s="711"/>
      <c r="DO3183" s="711"/>
      <c r="DP3183" s="711"/>
      <c r="DQ3183" s="711"/>
    </row>
    <row r="3184" spans="13:121" s="709" customFormat="1" hidden="1">
      <c r="M3184" s="710"/>
      <c r="P3184" s="711"/>
      <c r="Q3184" s="712"/>
      <c r="U3184" s="711"/>
      <c r="V3184" s="711"/>
      <c r="W3184" s="711"/>
      <c r="X3184" s="711"/>
      <c r="Y3184" s="711"/>
      <c r="Z3184" s="711"/>
      <c r="AU3184" s="713"/>
      <c r="AW3184" s="712"/>
      <c r="BY3184" s="714"/>
      <c r="BZ3184" s="715"/>
      <c r="CA3184" s="716"/>
      <c r="CB3184" s="717"/>
      <c r="CC3184" s="717"/>
      <c r="CD3184" s="717"/>
      <c r="CE3184" s="717"/>
      <c r="CF3184" s="717"/>
      <c r="CG3184" s="717"/>
      <c r="CH3184" s="717"/>
      <c r="CI3184" s="717"/>
      <c r="CJ3184" s="717"/>
      <c r="CK3184" s="717"/>
      <c r="CL3184" s="717"/>
      <c r="CM3184" s="717"/>
      <c r="CN3184" s="717"/>
      <c r="CO3184" s="717"/>
      <c r="CP3184" s="717"/>
      <c r="CQ3184" s="717"/>
      <c r="CR3184" s="717"/>
      <c r="CS3184" s="717"/>
      <c r="CT3184" s="717"/>
      <c r="CU3184" s="717"/>
      <c r="CV3184" s="717"/>
      <c r="CW3184" s="717"/>
      <c r="CX3184" s="717"/>
      <c r="CY3184" s="717"/>
      <c r="CZ3184" s="717"/>
      <c r="DA3184" s="717"/>
      <c r="DB3184" s="717"/>
      <c r="DC3184" s="717"/>
      <c r="DD3184" s="717"/>
      <c r="DE3184" s="717"/>
      <c r="DF3184" s="717"/>
      <c r="DG3184" s="717"/>
      <c r="DH3184" s="717"/>
      <c r="DI3184" s="717"/>
      <c r="DJ3184" s="717"/>
      <c r="DM3184" s="711"/>
      <c r="DN3184" s="711"/>
      <c r="DO3184" s="711"/>
      <c r="DP3184" s="711"/>
      <c r="DQ3184" s="711"/>
    </row>
    <row r="3185" spans="13:121" s="709" customFormat="1" hidden="1">
      <c r="M3185" s="710"/>
      <c r="P3185" s="711"/>
      <c r="Q3185" s="712"/>
      <c r="U3185" s="711"/>
      <c r="V3185" s="711"/>
      <c r="W3185" s="711"/>
      <c r="X3185" s="711"/>
      <c r="Y3185" s="711"/>
      <c r="Z3185" s="711"/>
      <c r="AU3185" s="713"/>
      <c r="AW3185" s="712"/>
      <c r="BY3185" s="714"/>
      <c r="BZ3185" s="715"/>
      <c r="CA3185" s="716"/>
      <c r="CB3185" s="717"/>
      <c r="CC3185" s="717"/>
      <c r="CD3185" s="717"/>
      <c r="CE3185" s="717"/>
      <c r="CF3185" s="717"/>
      <c r="CG3185" s="717"/>
      <c r="CH3185" s="717"/>
      <c r="CI3185" s="717"/>
      <c r="CJ3185" s="717"/>
      <c r="CK3185" s="717"/>
      <c r="CL3185" s="717"/>
      <c r="CM3185" s="717"/>
      <c r="CN3185" s="717"/>
      <c r="CO3185" s="717"/>
      <c r="CP3185" s="717"/>
      <c r="CQ3185" s="717"/>
      <c r="CR3185" s="717"/>
      <c r="CS3185" s="717"/>
      <c r="CT3185" s="717"/>
      <c r="CU3185" s="717"/>
      <c r="CV3185" s="717"/>
      <c r="CW3185" s="717"/>
      <c r="CX3185" s="717"/>
      <c r="CY3185" s="717"/>
      <c r="CZ3185" s="717"/>
      <c r="DA3185" s="717"/>
      <c r="DB3185" s="717"/>
      <c r="DC3185" s="717"/>
      <c r="DD3185" s="717"/>
      <c r="DE3185" s="717"/>
      <c r="DF3185" s="717"/>
      <c r="DG3185" s="717"/>
      <c r="DH3185" s="717"/>
      <c r="DI3185" s="717"/>
      <c r="DJ3185" s="717"/>
      <c r="DM3185" s="711"/>
      <c r="DN3185" s="711"/>
      <c r="DO3185" s="711"/>
      <c r="DP3185" s="711"/>
      <c r="DQ3185" s="711"/>
    </row>
    <row r="3186" spans="13:121" s="709" customFormat="1" hidden="1">
      <c r="M3186" s="710"/>
      <c r="P3186" s="711"/>
      <c r="Q3186" s="712"/>
      <c r="U3186" s="711"/>
      <c r="V3186" s="711"/>
      <c r="W3186" s="711"/>
      <c r="X3186" s="711"/>
      <c r="Y3186" s="711"/>
      <c r="Z3186" s="711"/>
      <c r="AU3186" s="713"/>
      <c r="AW3186" s="712"/>
      <c r="BY3186" s="714"/>
      <c r="BZ3186" s="715"/>
      <c r="CA3186" s="716"/>
      <c r="CB3186" s="717"/>
      <c r="CC3186" s="717"/>
      <c r="CD3186" s="717"/>
      <c r="CE3186" s="717"/>
      <c r="CF3186" s="717"/>
      <c r="CG3186" s="717"/>
      <c r="CH3186" s="717"/>
      <c r="CI3186" s="717"/>
      <c r="CJ3186" s="717"/>
      <c r="CK3186" s="717"/>
      <c r="CL3186" s="717"/>
      <c r="CM3186" s="717"/>
      <c r="CN3186" s="717"/>
      <c r="CO3186" s="717"/>
      <c r="CP3186" s="717"/>
      <c r="CQ3186" s="717"/>
      <c r="CR3186" s="717"/>
      <c r="CS3186" s="717"/>
      <c r="CT3186" s="717"/>
      <c r="CU3186" s="717"/>
      <c r="CV3186" s="717"/>
      <c r="CW3186" s="717"/>
      <c r="CX3186" s="717"/>
      <c r="CY3186" s="717"/>
      <c r="CZ3186" s="717"/>
      <c r="DA3186" s="717"/>
      <c r="DB3186" s="717"/>
      <c r="DC3186" s="717"/>
      <c r="DD3186" s="717"/>
      <c r="DE3186" s="717"/>
      <c r="DF3186" s="717"/>
      <c r="DG3186" s="717"/>
      <c r="DH3186" s="717"/>
      <c r="DI3186" s="717"/>
      <c r="DJ3186" s="717"/>
      <c r="DM3186" s="711"/>
      <c r="DN3186" s="711"/>
      <c r="DO3186" s="711"/>
      <c r="DP3186" s="711"/>
      <c r="DQ3186" s="711"/>
    </row>
    <row r="3187" spans="13:121" s="709" customFormat="1" hidden="1">
      <c r="M3187" s="710"/>
      <c r="P3187" s="711"/>
      <c r="Q3187" s="712"/>
      <c r="U3187" s="711"/>
      <c r="V3187" s="711"/>
      <c r="W3187" s="711"/>
      <c r="X3187" s="711"/>
      <c r="Y3187" s="711"/>
      <c r="Z3187" s="711"/>
      <c r="AU3187" s="713"/>
      <c r="AW3187" s="712"/>
      <c r="BY3187" s="714"/>
      <c r="BZ3187" s="715"/>
      <c r="CA3187" s="716"/>
      <c r="CB3187" s="717"/>
      <c r="CC3187" s="717"/>
      <c r="CD3187" s="717"/>
      <c r="CE3187" s="717"/>
      <c r="CF3187" s="717"/>
      <c r="CG3187" s="717"/>
      <c r="CH3187" s="717"/>
      <c r="CI3187" s="717"/>
      <c r="CJ3187" s="717"/>
      <c r="CK3187" s="717"/>
      <c r="CL3187" s="717"/>
      <c r="CM3187" s="717"/>
      <c r="CN3187" s="717"/>
      <c r="CO3187" s="717"/>
      <c r="CP3187" s="717"/>
      <c r="CQ3187" s="717"/>
      <c r="CR3187" s="717"/>
      <c r="CS3187" s="717"/>
      <c r="CT3187" s="717"/>
      <c r="CU3187" s="717"/>
      <c r="CV3187" s="717"/>
      <c r="CW3187" s="717"/>
      <c r="CX3187" s="717"/>
      <c r="CY3187" s="717"/>
      <c r="CZ3187" s="717"/>
      <c r="DA3187" s="717"/>
      <c r="DB3187" s="717"/>
      <c r="DC3187" s="717"/>
      <c r="DD3187" s="717"/>
      <c r="DE3187" s="717"/>
      <c r="DF3187" s="717"/>
      <c r="DG3187" s="717"/>
      <c r="DH3187" s="717"/>
      <c r="DI3187" s="717"/>
      <c r="DJ3187" s="717"/>
      <c r="DM3187" s="711"/>
      <c r="DN3187" s="711"/>
      <c r="DO3187" s="711"/>
      <c r="DP3187" s="711"/>
      <c r="DQ3187" s="711"/>
    </row>
    <row r="3188" spans="13:121" s="709" customFormat="1" hidden="1">
      <c r="M3188" s="710"/>
      <c r="P3188" s="711"/>
      <c r="Q3188" s="712"/>
      <c r="U3188" s="711"/>
      <c r="V3188" s="711"/>
      <c r="W3188" s="711"/>
      <c r="X3188" s="711"/>
      <c r="Y3188" s="711"/>
      <c r="Z3188" s="711"/>
      <c r="AU3188" s="713"/>
      <c r="AW3188" s="712"/>
      <c r="BY3188" s="714"/>
      <c r="BZ3188" s="715"/>
      <c r="CA3188" s="716"/>
      <c r="CB3188" s="717"/>
      <c r="CC3188" s="717"/>
      <c r="CD3188" s="717"/>
      <c r="CE3188" s="717"/>
      <c r="CF3188" s="717"/>
      <c r="CG3188" s="717"/>
      <c r="CH3188" s="717"/>
      <c r="CI3188" s="717"/>
      <c r="CJ3188" s="717"/>
      <c r="CK3188" s="717"/>
      <c r="CL3188" s="717"/>
      <c r="CM3188" s="717"/>
      <c r="CN3188" s="717"/>
      <c r="CO3188" s="717"/>
      <c r="CP3188" s="717"/>
      <c r="CQ3188" s="717"/>
      <c r="CR3188" s="717"/>
      <c r="CS3188" s="717"/>
      <c r="CT3188" s="717"/>
      <c r="CU3188" s="717"/>
      <c r="CV3188" s="717"/>
      <c r="CW3188" s="717"/>
      <c r="CX3188" s="717"/>
      <c r="CY3188" s="717"/>
      <c r="CZ3188" s="717"/>
      <c r="DA3188" s="717"/>
      <c r="DB3188" s="717"/>
      <c r="DC3188" s="717"/>
      <c r="DD3188" s="717"/>
      <c r="DE3188" s="717"/>
      <c r="DF3188" s="717"/>
      <c r="DG3188" s="717"/>
      <c r="DH3188" s="717"/>
      <c r="DI3188" s="717"/>
      <c r="DJ3188" s="717"/>
      <c r="DM3188" s="711"/>
      <c r="DN3188" s="711"/>
      <c r="DO3188" s="711"/>
      <c r="DP3188" s="711"/>
      <c r="DQ3188" s="711"/>
    </row>
    <row r="3189" spans="13:121" s="709" customFormat="1" hidden="1">
      <c r="M3189" s="710"/>
      <c r="P3189" s="711"/>
      <c r="Q3189" s="712"/>
      <c r="U3189" s="711"/>
      <c r="V3189" s="711"/>
      <c r="W3189" s="711"/>
      <c r="X3189" s="711"/>
      <c r="Y3189" s="711"/>
      <c r="Z3189" s="711"/>
      <c r="AU3189" s="713"/>
      <c r="AW3189" s="712"/>
      <c r="BY3189" s="714"/>
      <c r="BZ3189" s="715"/>
      <c r="CA3189" s="716"/>
      <c r="CB3189" s="717"/>
      <c r="CC3189" s="717"/>
      <c r="CD3189" s="717"/>
      <c r="CE3189" s="717"/>
      <c r="CF3189" s="717"/>
      <c r="CG3189" s="717"/>
      <c r="CH3189" s="717"/>
      <c r="CI3189" s="717"/>
      <c r="CJ3189" s="717"/>
      <c r="CK3189" s="717"/>
      <c r="CL3189" s="717"/>
      <c r="CM3189" s="717"/>
      <c r="CN3189" s="717"/>
      <c r="CO3189" s="717"/>
      <c r="CP3189" s="717"/>
      <c r="CQ3189" s="717"/>
      <c r="CR3189" s="717"/>
      <c r="CS3189" s="717"/>
      <c r="CT3189" s="717"/>
      <c r="CU3189" s="717"/>
      <c r="CV3189" s="717"/>
      <c r="CW3189" s="717"/>
      <c r="CX3189" s="717"/>
      <c r="CY3189" s="717"/>
      <c r="CZ3189" s="717"/>
      <c r="DA3189" s="717"/>
      <c r="DB3189" s="717"/>
      <c r="DC3189" s="717"/>
      <c r="DD3189" s="717"/>
      <c r="DE3189" s="717"/>
      <c r="DF3189" s="717"/>
      <c r="DG3189" s="717"/>
      <c r="DH3189" s="717"/>
      <c r="DI3189" s="717"/>
      <c r="DJ3189" s="717"/>
      <c r="DM3189" s="711"/>
      <c r="DN3189" s="711"/>
      <c r="DO3189" s="711"/>
      <c r="DP3189" s="711"/>
      <c r="DQ3189" s="711"/>
    </row>
    <row r="3190" spans="13:121" s="709" customFormat="1" hidden="1">
      <c r="M3190" s="710"/>
      <c r="P3190" s="711"/>
      <c r="Q3190" s="712"/>
      <c r="U3190" s="711"/>
      <c r="V3190" s="711"/>
      <c r="W3190" s="711"/>
      <c r="X3190" s="711"/>
      <c r="Y3190" s="711"/>
      <c r="Z3190" s="711"/>
      <c r="AU3190" s="713"/>
      <c r="AW3190" s="712"/>
      <c r="BY3190" s="714"/>
      <c r="BZ3190" s="715"/>
      <c r="CA3190" s="716"/>
      <c r="CB3190" s="717"/>
      <c r="CC3190" s="717"/>
      <c r="CD3190" s="717"/>
      <c r="CE3190" s="717"/>
      <c r="CF3190" s="717"/>
      <c r="CG3190" s="717"/>
      <c r="CH3190" s="717"/>
      <c r="CI3190" s="717"/>
      <c r="CJ3190" s="717"/>
      <c r="CK3190" s="717"/>
      <c r="CL3190" s="717"/>
      <c r="CM3190" s="717"/>
      <c r="CN3190" s="717"/>
      <c r="CO3190" s="717"/>
      <c r="CP3190" s="717"/>
      <c r="CQ3190" s="717"/>
      <c r="CR3190" s="717"/>
      <c r="CS3190" s="717"/>
      <c r="CT3190" s="717"/>
      <c r="CU3190" s="717"/>
      <c r="CV3190" s="717"/>
      <c r="CW3190" s="717"/>
      <c r="CX3190" s="717"/>
      <c r="CY3190" s="717"/>
      <c r="CZ3190" s="717"/>
      <c r="DA3190" s="717"/>
      <c r="DB3190" s="717"/>
      <c r="DC3190" s="717"/>
      <c r="DD3190" s="717"/>
      <c r="DE3190" s="717"/>
      <c r="DF3190" s="717"/>
      <c r="DG3190" s="717"/>
      <c r="DH3190" s="717"/>
      <c r="DI3190" s="717"/>
      <c r="DJ3190" s="717"/>
      <c r="DM3190" s="711"/>
      <c r="DN3190" s="711"/>
      <c r="DO3190" s="711"/>
      <c r="DP3190" s="711"/>
      <c r="DQ3190" s="711"/>
    </row>
    <row r="3191" spans="13:121" s="709" customFormat="1" hidden="1">
      <c r="M3191" s="710"/>
      <c r="P3191" s="711"/>
      <c r="Q3191" s="712"/>
      <c r="U3191" s="711"/>
      <c r="V3191" s="711"/>
      <c r="W3191" s="711"/>
      <c r="X3191" s="711"/>
      <c r="Y3191" s="711"/>
      <c r="Z3191" s="711"/>
      <c r="AU3191" s="713"/>
      <c r="AW3191" s="712"/>
      <c r="BY3191" s="714"/>
      <c r="BZ3191" s="715"/>
      <c r="CA3191" s="716"/>
      <c r="CB3191" s="717"/>
      <c r="CC3191" s="717"/>
      <c r="CD3191" s="717"/>
      <c r="CE3191" s="717"/>
      <c r="CF3191" s="717"/>
      <c r="CG3191" s="717"/>
      <c r="CH3191" s="717"/>
      <c r="CI3191" s="717"/>
      <c r="CJ3191" s="717"/>
      <c r="CK3191" s="717"/>
      <c r="CL3191" s="717"/>
      <c r="CM3191" s="717"/>
      <c r="CN3191" s="717"/>
      <c r="CO3191" s="717"/>
      <c r="CP3191" s="717"/>
      <c r="CQ3191" s="717"/>
      <c r="CR3191" s="717"/>
      <c r="CS3191" s="717"/>
      <c r="CT3191" s="717"/>
      <c r="CU3191" s="717"/>
      <c r="CV3191" s="717"/>
      <c r="CW3191" s="717"/>
      <c r="CX3191" s="717"/>
      <c r="CY3191" s="717"/>
      <c r="CZ3191" s="717"/>
      <c r="DA3191" s="717"/>
      <c r="DB3191" s="717"/>
      <c r="DC3191" s="717"/>
      <c r="DD3191" s="717"/>
      <c r="DE3191" s="717"/>
      <c r="DF3191" s="717"/>
      <c r="DG3191" s="717"/>
      <c r="DH3191" s="717"/>
      <c r="DI3191" s="717"/>
      <c r="DJ3191" s="717"/>
      <c r="DM3191" s="711"/>
      <c r="DN3191" s="711"/>
      <c r="DO3191" s="711"/>
      <c r="DP3191" s="711"/>
      <c r="DQ3191" s="711"/>
    </row>
    <row r="3192" spans="13:121" s="709" customFormat="1" hidden="1">
      <c r="M3192" s="710"/>
      <c r="P3192" s="711"/>
      <c r="Q3192" s="712"/>
      <c r="U3192" s="711"/>
      <c r="V3192" s="711"/>
      <c r="W3192" s="711"/>
      <c r="X3192" s="711"/>
      <c r="Y3192" s="711"/>
      <c r="Z3192" s="711"/>
      <c r="AU3192" s="713"/>
      <c r="AW3192" s="712"/>
      <c r="BY3192" s="714"/>
      <c r="BZ3192" s="715"/>
      <c r="CA3192" s="716"/>
      <c r="CB3192" s="717"/>
      <c r="CC3192" s="717"/>
      <c r="CD3192" s="717"/>
      <c r="CE3192" s="717"/>
      <c r="CF3192" s="717"/>
      <c r="CG3192" s="717"/>
      <c r="CH3192" s="717"/>
      <c r="CI3192" s="717"/>
      <c r="CJ3192" s="717"/>
      <c r="CK3192" s="717"/>
      <c r="CL3192" s="717"/>
      <c r="CM3192" s="717"/>
      <c r="CN3192" s="717"/>
      <c r="CO3192" s="717"/>
      <c r="CP3192" s="717"/>
      <c r="CQ3192" s="717"/>
      <c r="CR3192" s="717"/>
      <c r="CS3192" s="717"/>
      <c r="CT3192" s="717"/>
      <c r="CU3192" s="717"/>
      <c r="CV3192" s="717"/>
      <c r="CW3192" s="717"/>
      <c r="CX3192" s="717"/>
      <c r="CY3192" s="717"/>
      <c r="CZ3192" s="717"/>
      <c r="DA3192" s="717"/>
      <c r="DB3192" s="717"/>
      <c r="DC3192" s="717"/>
      <c r="DD3192" s="717"/>
      <c r="DE3192" s="717"/>
      <c r="DF3192" s="717"/>
      <c r="DG3192" s="717"/>
      <c r="DH3192" s="717"/>
      <c r="DI3192" s="717"/>
      <c r="DJ3192" s="717"/>
      <c r="DM3192" s="711"/>
      <c r="DN3192" s="711"/>
      <c r="DO3192" s="711"/>
      <c r="DP3192" s="711"/>
      <c r="DQ3192" s="711"/>
    </row>
    <row r="3193" spans="13:121" s="709" customFormat="1" hidden="1">
      <c r="M3193" s="710"/>
      <c r="P3193" s="711"/>
      <c r="Q3193" s="712"/>
      <c r="U3193" s="711"/>
      <c r="V3193" s="711"/>
      <c r="W3193" s="711"/>
      <c r="X3193" s="711"/>
      <c r="Y3193" s="711"/>
      <c r="Z3193" s="711"/>
      <c r="AU3193" s="713"/>
      <c r="AW3193" s="712"/>
      <c r="BY3193" s="714"/>
      <c r="BZ3193" s="715"/>
      <c r="CA3193" s="716"/>
      <c r="CB3193" s="717"/>
      <c r="CC3193" s="717"/>
      <c r="CD3193" s="717"/>
      <c r="CE3193" s="717"/>
      <c r="CF3193" s="717"/>
      <c r="CG3193" s="717"/>
      <c r="CH3193" s="717"/>
      <c r="CI3193" s="717"/>
      <c r="CJ3193" s="717"/>
      <c r="CK3193" s="717"/>
      <c r="CL3193" s="717"/>
      <c r="CM3193" s="717"/>
      <c r="CN3193" s="717"/>
      <c r="CO3193" s="717"/>
      <c r="CP3193" s="717"/>
      <c r="CQ3193" s="717"/>
      <c r="CR3193" s="717"/>
      <c r="CS3193" s="717"/>
      <c r="CT3193" s="717"/>
      <c r="CU3193" s="717"/>
      <c r="CV3193" s="717"/>
      <c r="CW3193" s="717"/>
      <c r="CX3193" s="717"/>
      <c r="CY3193" s="717"/>
      <c r="CZ3193" s="717"/>
      <c r="DA3193" s="717"/>
      <c r="DB3193" s="717"/>
      <c r="DC3193" s="717"/>
      <c r="DD3193" s="717"/>
      <c r="DE3193" s="717"/>
      <c r="DF3193" s="717"/>
      <c r="DG3193" s="717"/>
      <c r="DH3193" s="717"/>
      <c r="DI3193" s="717"/>
      <c r="DJ3193" s="717"/>
      <c r="DM3193" s="711"/>
      <c r="DN3193" s="711"/>
      <c r="DO3193" s="711"/>
      <c r="DP3193" s="711"/>
      <c r="DQ3193" s="711"/>
    </row>
    <row r="3194" spans="13:121" s="709" customFormat="1" hidden="1">
      <c r="M3194" s="710"/>
      <c r="P3194" s="711"/>
      <c r="Q3194" s="712"/>
      <c r="U3194" s="711"/>
      <c r="V3194" s="711"/>
      <c r="W3194" s="711"/>
      <c r="X3194" s="711"/>
      <c r="Y3194" s="711"/>
      <c r="Z3194" s="711"/>
      <c r="AU3194" s="713"/>
      <c r="AW3194" s="712"/>
      <c r="BY3194" s="714"/>
      <c r="BZ3194" s="715"/>
      <c r="CA3194" s="716"/>
      <c r="CB3194" s="717"/>
      <c r="CC3194" s="717"/>
      <c r="CD3194" s="717"/>
      <c r="CE3194" s="717"/>
      <c r="CF3194" s="717"/>
      <c r="CG3194" s="717"/>
      <c r="CH3194" s="717"/>
      <c r="CI3194" s="717"/>
      <c r="CJ3194" s="717"/>
      <c r="CK3194" s="717"/>
      <c r="CL3194" s="717"/>
      <c r="CM3194" s="717"/>
      <c r="CN3194" s="717"/>
      <c r="CO3194" s="717"/>
      <c r="CP3194" s="717"/>
      <c r="CQ3194" s="717"/>
      <c r="CR3194" s="717"/>
      <c r="CS3194" s="717"/>
      <c r="CT3194" s="717"/>
      <c r="CU3194" s="717"/>
      <c r="CV3194" s="717"/>
      <c r="CW3194" s="717"/>
      <c r="CX3194" s="717"/>
      <c r="CY3194" s="717"/>
      <c r="CZ3194" s="717"/>
      <c r="DA3194" s="717"/>
      <c r="DB3194" s="717"/>
      <c r="DC3194" s="717"/>
      <c r="DD3194" s="717"/>
      <c r="DE3194" s="717"/>
      <c r="DF3194" s="717"/>
      <c r="DG3194" s="717"/>
      <c r="DH3194" s="717"/>
      <c r="DI3194" s="717"/>
      <c r="DJ3194" s="717"/>
      <c r="DM3194" s="711"/>
      <c r="DN3194" s="711"/>
      <c r="DO3194" s="711"/>
      <c r="DP3194" s="711"/>
      <c r="DQ3194" s="711"/>
    </row>
    <row r="3195" spans="13:121" s="709" customFormat="1" hidden="1">
      <c r="M3195" s="710"/>
      <c r="P3195" s="711"/>
      <c r="Q3195" s="712"/>
      <c r="U3195" s="711"/>
      <c r="V3195" s="711"/>
      <c r="W3195" s="711"/>
      <c r="X3195" s="711"/>
      <c r="Y3195" s="711"/>
      <c r="Z3195" s="711"/>
      <c r="AU3195" s="713"/>
      <c r="AW3195" s="712"/>
      <c r="BY3195" s="714"/>
      <c r="BZ3195" s="715"/>
      <c r="CA3195" s="716"/>
      <c r="CB3195" s="717"/>
      <c r="CC3195" s="717"/>
      <c r="CD3195" s="717"/>
      <c r="CE3195" s="717"/>
      <c r="CF3195" s="717"/>
      <c r="CG3195" s="717"/>
      <c r="CH3195" s="717"/>
      <c r="CI3195" s="717"/>
      <c r="CJ3195" s="717"/>
      <c r="CK3195" s="717"/>
      <c r="CL3195" s="717"/>
      <c r="CM3195" s="717"/>
      <c r="CN3195" s="717"/>
      <c r="CO3195" s="717"/>
      <c r="CP3195" s="717"/>
      <c r="CQ3195" s="717"/>
      <c r="CR3195" s="717"/>
      <c r="CS3195" s="717"/>
      <c r="CT3195" s="717"/>
      <c r="CU3195" s="717"/>
      <c r="CV3195" s="717"/>
      <c r="CW3195" s="717"/>
      <c r="CX3195" s="717"/>
      <c r="CY3195" s="717"/>
      <c r="CZ3195" s="717"/>
      <c r="DA3195" s="717"/>
      <c r="DB3195" s="717"/>
      <c r="DC3195" s="717"/>
      <c r="DD3195" s="717"/>
      <c r="DE3195" s="717"/>
      <c r="DF3195" s="717"/>
      <c r="DG3195" s="717"/>
      <c r="DH3195" s="717"/>
      <c r="DI3195" s="717"/>
      <c r="DJ3195" s="717"/>
      <c r="DM3195" s="711"/>
      <c r="DN3195" s="711"/>
      <c r="DO3195" s="711"/>
      <c r="DP3195" s="711"/>
      <c r="DQ3195" s="711"/>
    </row>
    <row r="3196" spans="13:121" s="709" customFormat="1" hidden="1">
      <c r="M3196" s="710"/>
      <c r="P3196" s="711"/>
      <c r="Q3196" s="712"/>
      <c r="U3196" s="711"/>
      <c r="V3196" s="711"/>
      <c r="W3196" s="711"/>
      <c r="X3196" s="711"/>
      <c r="Y3196" s="711"/>
      <c r="Z3196" s="711"/>
      <c r="AU3196" s="713"/>
      <c r="AW3196" s="712"/>
      <c r="BY3196" s="714"/>
      <c r="BZ3196" s="715"/>
      <c r="CA3196" s="716"/>
      <c r="CB3196" s="717"/>
      <c r="CC3196" s="717"/>
      <c r="CD3196" s="717"/>
      <c r="CE3196" s="717"/>
      <c r="CF3196" s="717"/>
      <c r="CG3196" s="717"/>
      <c r="CH3196" s="717"/>
      <c r="CI3196" s="717"/>
      <c r="CJ3196" s="717"/>
      <c r="CK3196" s="717"/>
      <c r="CL3196" s="717"/>
      <c r="CM3196" s="717"/>
      <c r="CN3196" s="717"/>
      <c r="CO3196" s="717"/>
      <c r="CP3196" s="717"/>
      <c r="CQ3196" s="717"/>
      <c r="CR3196" s="717"/>
      <c r="CS3196" s="717"/>
      <c r="CT3196" s="717"/>
      <c r="CU3196" s="717"/>
      <c r="CV3196" s="717"/>
      <c r="CW3196" s="717"/>
      <c r="CX3196" s="717"/>
      <c r="CY3196" s="717"/>
      <c r="CZ3196" s="717"/>
      <c r="DA3196" s="717"/>
      <c r="DB3196" s="717"/>
      <c r="DC3196" s="717"/>
      <c r="DD3196" s="717"/>
      <c r="DE3196" s="717"/>
      <c r="DF3196" s="717"/>
      <c r="DG3196" s="717"/>
      <c r="DH3196" s="717"/>
      <c r="DI3196" s="717"/>
      <c r="DJ3196" s="717"/>
      <c r="DM3196" s="711"/>
      <c r="DN3196" s="711"/>
      <c r="DO3196" s="711"/>
      <c r="DP3196" s="711"/>
      <c r="DQ3196" s="711"/>
    </row>
    <row r="3197" spans="13:121" s="709" customFormat="1" hidden="1">
      <c r="M3197" s="710"/>
      <c r="P3197" s="711"/>
      <c r="Q3197" s="712"/>
      <c r="U3197" s="711"/>
      <c r="V3197" s="711"/>
      <c r="W3197" s="711"/>
      <c r="X3197" s="711"/>
      <c r="Y3197" s="711"/>
      <c r="Z3197" s="711"/>
      <c r="AU3197" s="713"/>
      <c r="AW3197" s="712"/>
      <c r="BY3197" s="714"/>
      <c r="BZ3197" s="715"/>
      <c r="CA3197" s="716"/>
      <c r="CB3197" s="717"/>
      <c r="CC3197" s="717"/>
      <c r="CD3197" s="717"/>
      <c r="CE3197" s="717"/>
      <c r="CF3197" s="717"/>
      <c r="CG3197" s="717"/>
      <c r="CH3197" s="717"/>
      <c r="CI3197" s="717"/>
      <c r="CJ3197" s="717"/>
      <c r="CK3197" s="717"/>
      <c r="CL3197" s="717"/>
      <c r="CM3197" s="717"/>
      <c r="CN3197" s="717"/>
      <c r="CO3197" s="717"/>
      <c r="CP3197" s="717"/>
      <c r="CQ3197" s="717"/>
      <c r="CR3197" s="717"/>
      <c r="CS3197" s="717"/>
      <c r="CT3197" s="717"/>
      <c r="CU3197" s="717"/>
      <c r="CV3197" s="717"/>
      <c r="CW3197" s="717"/>
      <c r="CX3197" s="717"/>
      <c r="CY3197" s="717"/>
      <c r="CZ3197" s="717"/>
      <c r="DA3197" s="717"/>
      <c r="DB3197" s="717"/>
      <c r="DC3197" s="717"/>
      <c r="DD3197" s="717"/>
      <c r="DE3197" s="717"/>
      <c r="DF3197" s="717"/>
      <c r="DG3197" s="717"/>
      <c r="DH3197" s="717"/>
      <c r="DI3197" s="717"/>
      <c r="DJ3197" s="717"/>
      <c r="DM3197" s="711"/>
      <c r="DN3197" s="711"/>
      <c r="DO3197" s="711"/>
      <c r="DP3197" s="711"/>
      <c r="DQ3197" s="711"/>
    </row>
    <row r="3198" spans="13:121" s="709" customFormat="1" hidden="1">
      <c r="M3198" s="710"/>
      <c r="P3198" s="711"/>
      <c r="Q3198" s="712"/>
      <c r="U3198" s="711"/>
      <c r="V3198" s="711"/>
      <c r="W3198" s="711"/>
      <c r="X3198" s="711"/>
      <c r="Y3198" s="711"/>
      <c r="Z3198" s="711"/>
      <c r="AU3198" s="713"/>
      <c r="AW3198" s="712"/>
      <c r="BY3198" s="714"/>
      <c r="BZ3198" s="715"/>
      <c r="CA3198" s="716"/>
      <c r="CB3198" s="717"/>
      <c r="CC3198" s="717"/>
      <c r="CD3198" s="717"/>
      <c r="CE3198" s="717"/>
      <c r="CF3198" s="717"/>
      <c r="CG3198" s="717"/>
      <c r="CH3198" s="717"/>
      <c r="CI3198" s="717"/>
      <c r="CJ3198" s="717"/>
      <c r="CK3198" s="717"/>
      <c r="CL3198" s="717"/>
      <c r="CM3198" s="717"/>
      <c r="CN3198" s="717"/>
      <c r="CO3198" s="717"/>
      <c r="CP3198" s="717"/>
      <c r="CQ3198" s="717"/>
      <c r="CR3198" s="717"/>
      <c r="CS3198" s="717"/>
      <c r="CT3198" s="717"/>
      <c r="CU3198" s="717"/>
      <c r="CV3198" s="717"/>
      <c r="CW3198" s="717"/>
      <c r="CX3198" s="717"/>
      <c r="CY3198" s="717"/>
      <c r="CZ3198" s="717"/>
      <c r="DA3198" s="717"/>
      <c r="DB3198" s="717"/>
      <c r="DC3198" s="717"/>
      <c r="DD3198" s="717"/>
      <c r="DE3198" s="717"/>
      <c r="DF3198" s="717"/>
      <c r="DG3198" s="717"/>
      <c r="DH3198" s="717"/>
      <c r="DI3198" s="717"/>
      <c r="DJ3198" s="717"/>
      <c r="DM3198" s="711"/>
      <c r="DN3198" s="711"/>
      <c r="DO3198" s="711"/>
      <c r="DP3198" s="711"/>
      <c r="DQ3198" s="711"/>
    </row>
    <row r="3199" spans="13:121" s="709" customFormat="1" hidden="1">
      <c r="M3199" s="710"/>
      <c r="P3199" s="711"/>
      <c r="Q3199" s="712"/>
      <c r="U3199" s="711"/>
      <c r="V3199" s="711"/>
      <c r="W3199" s="711"/>
      <c r="X3199" s="711"/>
      <c r="Y3199" s="711"/>
      <c r="Z3199" s="711"/>
      <c r="AU3199" s="713"/>
      <c r="AW3199" s="712"/>
      <c r="BY3199" s="714"/>
      <c r="BZ3199" s="715"/>
      <c r="CA3199" s="716"/>
      <c r="CB3199" s="717"/>
      <c r="CC3199" s="717"/>
      <c r="CD3199" s="717"/>
      <c r="CE3199" s="717"/>
      <c r="CF3199" s="717"/>
      <c r="CG3199" s="717"/>
      <c r="CH3199" s="717"/>
      <c r="CI3199" s="717"/>
      <c r="CJ3199" s="717"/>
      <c r="CK3199" s="717"/>
      <c r="CL3199" s="717"/>
      <c r="CM3199" s="717"/>
      <c r="CN3199" s="717"/>
      <c r="CO3199" s="717"/>
      <c r="CP3199" s="717"/>
      <c r="CQ3199" s="717"/>
      <c r="CR3199" s="717"/>
      <c r="CS3199" s="717"/>
      <c r="CT3199" s="717"/>
      <c r="CU3199" s="717"/>
      <c r="CV3199" s="717"/>
      <c r="CW3199" s="717"/>
      <c r="CX3199" s="717"/>
      <c r="CY3199" s="717"/>
      <c r="CZ3199" s="717"/>
      <c r="DA3199" s="717"/>
      <c r="DB3199" s="717"/>
      <c r="DC3199" s="717"/>
      <c r="DD3199" s="717"/>
      <c r="DE3199" s="717"/>
      <c r="DF3199" s="717"/>
      <c r="DG3199" s="717"/>
      <c r="DH3199" s="717"/>
      <c r="DI3199" s="717"/>
      <c r="DJ3199" s="717"/>
      <c r="DM3199" s="711"/>
      <c r="DN3199" s="711"/>
      <c r="DO3199" s="711"/>
      <c r="DP3199" s="711"/>
      <c r="DQ3199" s="711"/>
    </row>
    <row r="3200" spans="13:121" s="709" customFormat="1" hidden="1">
      <c r="M3200" s="710"/>
      <c r="P3200" s="711"/>
      <c r="Q3200" s="712"/>
      <c r="U3200" s="711"/>
      <c r="V3200" s="711"/>
      <c r="W3200" s="711"/>
      <c r="X3200" s="711"/>
      <c r="Y3200" s="711"/>
      <c r="Z3200" s="711"/>
      <c r="AU3200" s="713"/>
      <c r="AW3200" s="712"/>
      <c r="BY3200" s="714"/>
      <c r="BZ3200" s="715"/>
      <c r="CA3200" s="716"/>
      <c r="CB3200" s="717"/>
      <c r="CC3200" s="717"/>
      <c r="CD3200" s="717"/>
      <c r="CE3200" s="717"/>
      <c r="CF3200" s="717"/>
      <c r="CG3200" s="717"/>
      <c r="CH3200" s="717"/>
      <c r="CI3200" s="717"/>
      <c r="CJ3200" s="717"/>
      <c r="CK3200" s="717"/>
      <c r="CL3200" s="717"/>
      <c r="CM3200" s="717"/>
      <c r="CN3200" s="717"/>
      <c r="CO3200" s="717"/>
      <c r="CP3200" s="717"/>
      <c r="CQ3200" s="717"/>
      <c r="CR3200" s="717"/>
      <c r="CS3200" s="717"/>
      <c r="CT3200" s="717"/>
      <c r="CU3200" s="717"/>
      <c r="CV3200" s="717"/>
      <c r="CW3200" s="717"/>
      <c r="CX3200" s="717"/>
      <c r="CY3200" s="717"/>
      <c r="CZ3200" s="717"/>
      <c r="DA3200" s="717"/>
      <c r="DB3200" s="717"/>
      <c r="DC3200" s="717"/>
      <c r="DD3200" s="717"/>
      <c r="DE3200" s="717"/>
      <c r="DF3200" s="717"/>
      <c r="DG3200" s="717"/>
      <c r="DH3200" s="717"/>
      <c r="DI3200" s="717"/>
      <c r="DJ3200" s="717"/>
      <c r="DM3200" s="711"/>
      <c r="DN3200" s="711"/>
      <c r="DO3200" s="711"/>
      <c r="DP3200" s="711"/>
      <c r="DQ3200" s="711"/>
    </row>
    <row r="3201" spans="13:121" s="709" customFormat="1" hidden="1">
      <c r="M3201" s="710"/>
      <c r="P3201" s="711"/>
      <c r="Q3201" s="712"/>
      <c r="U3201" s="711"/>
      <c r="V3201" s="711"/>
      <c r="W3201" s="711"/>
      <c r="X3201" s="711"/>
      <c r="Y3201" s="711"/>
      <c r="Z3201" s="711"/>
      <c r="AU3201" s="713"/>
      <c r="AW3201" s="712"/>
      <c r="BY3201" s="714"/>
      <c r="BZ3201" s="715"/>
      <c r="CA3201" s="716"/>
      <c r="CB3201" s="717"/>
      <c r="CC3201" s="717"/>
      <c r="CD3201" s="717"/>
      <c r="CE3201" s="717"/>
      <c r="CF3201" s="717"/>
      <c r="CG3201" s="717"/>
      <c r="CH3201" s="717"/>
      <c r="CI3201" s="717"/>
      <c r="CJ3201" s="717"/>
      <c r="CK3201" s="717"/>
      <c r="CL3201" s="717"/>
      <c r="CM3201" s="717"/>
      <c r="CN3201" s="717"/>
      <c r="CO3201" s="717"/>
      <c r="CP3201" s="717"/>
      <c r="CQ3201" s="717"/>
      <c r="CR3201" s="717"/>
      <c r="CS3201" s="717"/>
      <c r="CT3201" s="717"/>
      <c r="CU3201" s="717"/>
      <c r="CV3201" s="717"/>
      <c r="CW3201" s="717"/>
      <c r="CX3201" s="717"/>
      <c r="CY3201" s="717"/>
      <c r="CZ3201" s="717"/>
      <c r="DA3201" s="717"/>
      <c r="DB3201" s="717"/>
      <c r="DC3201" s="717"/>
      <c r="DD3201" s="717"/>
      <c r="DE3201" s="717"/>
      <c r="DF3201" s="717"/>
      <c r="DG3201" s="717"/>
      <c r="DH3201" s="717"/>
      <c r="DI3201" s="717"/>
      <c r="DJ3201" s="717"/>
      <c r="DM3201" s="711"/>
      <c r="DN3201" s="711"/>
      <c r="DO3201" s="711"/>
      <c r="DP3201" s="711"/>
      <c r="DQ3201" s="711"/>
    </row>
    <row r="3202" spans="13:121" s="709" customFormat="1" hidden="1">
      <c r="M3202" s="710"/>
      <c r="P3202" s="711"/>
      <c r="Q3202" s="712"/>
      <c r="U3202" s="711"/>
      <c r="V3202" s="711"/>
      <c r="W3202" s="711"/>
      <c r="X3202" s="711"/>
      <c r="Y3202" s="711"/>
      <c r="Z3202" s="711"/>
      <c r="AU3202" s="713"/>
      <c r="AW3202" s="712"/>
      <c r="BY3202" s="714"/>
      <c r="BZ3202" s="715"/>
      <c r="CA3202" s="716"/>
      <c r="CB3202" s="717"/>
      <c r="CC3202" s="717"/>
      <c r="CD3202" s="717"/>
      <c r="CE3202" s="717"/>
      <c r="CF3202" s="717"/>
      <c r="CG3202" s="717"/>
      <c r="CH3202" s="717"/>
      <c r="CI3202" s="717"/>
      <c r="CJ3202" s="717"/>
      <c r="CK3202" s="717"/>
      <c r="CL3202" s="717"/>
      <c r="CM3202" s="717"/>
      <c r="CN3202" s="717"/>
      <c r="CO3202" s="717"/>
      <c r="CP3202" s="717"/>
      <c r="CQ3202" s="717"/>
      <c r="CR3202" s="717"/>
      <c r="CS3202" s="717"/>
      <c r="CT3202" s="717"/>
      <c r="CU3202" s="717"/>
      <c r="CV3202" s="717"/>
      <c r="CW3202" s="717"/>
      <c r="CX3202" s="717"/>
      <c r="CY3202" s="717"/>
      <c r="CZ3202" s="717"/>
      <c r="DA3202" s="717"/>
      <c r="DB3202" s="717"/>
      <c r="DC3202" s="717"/>
      <c r="DD3202" s="717"/>
      <c r="DE3202" s="717"/>
      <c r="DF3202" s="717"/>
      <c r="DG3202" s="717"/>
      <c r="DH3202" s="717"/>
      <c r="DI3202" s="717"/>
      <c r="DJ3202" s="717"/>
      <c r="DM3202" s="711"/>
      <c r="DN3202" s="711"/>
      <c r="DO3202" s="711"/>
      <c r="DP3202" s="711"/>
      <c r="DQ3202" s="711"/>
    </row>
    <row r="3203" spans="13:121" s="709" customFormat="1" hidden="1">
      <c r="M3203" s="710"/>
      <c r="P3203" s="711"/>
      <c r="Q3203" s="712"/>
      <c r="U3203" s="711"/>
      <c r="V3203" s="711"/>
      <c r="W3203" s="711"/>
      <c r="X3203" s="711"/>
      <c r="Y3203" s="711"/>
      <c r="Z3203" s="711"/>
      <c r="AU3203" s="713"/>
      <c r="AW3203" s="712"/>
      <c r="BY3203" s="714"/>
      <c r="BZ3203" s="715"/>
      <c r="CA3203" s="716"/>
      <c r="CB3203" s="717"/>
      <c r="CC3203" s="717"/>
      <c r="CD3203" s="717"/>
      <c r="CE3203" s="717"/>
      <c r="CF3203" s="717"/>
      <c r="CG3203" s="717"/>
      <c r="CH3203" s="717"/>
      <c r="CI3203" s="717"/>
      <c r="CJ3203" s="717"/>
      <c r="CK3203" s="717"/>
      <c r="CL3203" s="717"/>
      <c r="CM3203" s="717"/>
      <c r="CN3203" s="717"/>
      <c r="CO3203" s="717"/>
      <c r="CP3203" s="717"/>
      <c r="CQ3203" s="717"/>
      <c r="CR3203" s="717"/>
      <c r="CS3203" s="717"/>
      <c r="CT3203" s="717"/>
      <c r="CU3203" s="717"/>
      <c r="CV3203" s="717"/>
      <c r="CW3203" s="717"/>
      <c r="CX3203" s="717"/>
      <c r="CY3203" s="717"/>
      <c r="CZ3203" s="717"/>
      <c r="DA3203" s="717"/>
      <c r="DB3203" s="717"/>
      <c r="DC3203" s="717"/>
      <c r="DD3203" s="717"/>
      <c r="DE3203" s="717"/>
      <c r="DF3203" s="717"/>
      <c r="DG3203" s="717"/>
      <c r="DH3203" s="717"/>
      <c r="DI3203" s="717"/>
      <c r="DJ3203" s="717"/>
      <c r="DM3203" s="711"/>
      <c r="DN3203" s="711"/>
      <c r="DO3203" s="711"/>
      <c r="DP3203" s="711"/>
      <c r="DQ3203" s="711"/>
    </row>
    <row r="3204" spans="13:121" s="709" customFormat="1" hidden="1">
      <c r="M3204" s="710"/>
      <c r="P3204" s="711"/>
      <c r="Q3204" s="712"/>
      <c r="U3204" s="711"/>
      <c r="V3204" s="711"/>
      <c r="W3204" s="711"/>
      <c r="X3204" s="711"/>
      <c r="Y3204" s="711"/>
      <c r="Z3204" s="711"/>
      <c r="AU3204" s="713"/>
      <c r="AW3204" s="712"/>
      <c r="BY3204" s="714"/>
      <c r="BZ3204" s="715"/>
      <c r="CA3204" s="716"/>
      <c r="CB3204" s="717"/>
      <c r="CC3204" s="717"/>
      <c r="CD3204" s="717"/>
      <c r="CE3204" s="717"/>
      <c r="CF3204" s="717"/>
      <c r="CG3204" s="717"/>
      <c r="CH3204" s="717"/>
      <c r="CI3204" s="717"/>
      <c r="CJ3204" s="717"/>
      <c r="CK3204" s="717"/>
      <c r="CL3204" s="717"/>
      <c r="CM3204" s="717"/>
      <c r="CN3204" s="717"/>
      <c r="CO3204" s="717"/>
      <c r="CP3204" s="717"/>
      <c r="CQ3204" s="717"/>
      <c r="CR3204" s="717"/>
      <c r="CS3204" s="717"/>
      <c r="CT3204" s="717"/>
      <c r="CU3204" s="717"/>
      <c r="CV3204" s="717"/>
      <c r="CW3204" s="717"/>
      <c r="CX3204" s="717"/>
      <c r="CY3204" s="717"/>
      <c r="CZ3204" s="717"/>
      <c r="DA3204" s="717"/>
      <c r="DB3204" s="717"/>
      <c r="DC3204" s="717"/>
      <c r="DD3204" s="717"/>
      <c r="DE3204" s="717"/>
      <c r="DF3204" s="717"/>
      <c r="DG3204" s="717"/>
      <c r="DH3204" s="717"/>
      <c r="DI3204" s="717"/>
      <c r="DJ3204" s="717"/>
      <c r="DM3204" s="711"/>
      <c r="DN3204" s="711"/>
      <c r="DO3204" s="711"/>
      <c r="DP3204" s="711"/>
      <c r="DQ3204" s="711"/>
    </row>
    <row r="3205" spans="13:121" s="709" customFormat="1" hidden="1">
      <c r="M3205" s="710"/>
      <c r="P3205" s="711"/>
      <c r="Q3205" s="712"/>
      <c r="U3205" s="711"/>
      <c r="V3205" s="711"/>
      <c r="W3205" s="711"/>
      <c r="X3205" s="711"/>
      <c r="Y3205" s="711"/>
      <c r="Z3205" s="711"/>
      <c r="AU3205" s="713"/>
      <c r="AW3205" s="712"/>
      <c r="BY3205" s="714"/>
      <c r="BZ3205" s="715"/>
      <c r="CA3205" s="716"/>
      <c r="CB3205" s="717"/>
      <c r="CC3205" s="717"/>
      <c r="CD3205" s="717"/>
      <c r="CE3205" s="717"/>
      <c r="CF3205" s="717"/>
      <c r="CG3205" s="717"/>
      <c r="CH3205" s="717"/>
      <c r="CI3205" s="717"/>
      <c r="CJ3205" s="717"/>
      <c r="CK3205" s="717"/>
      <c r="CL3205" s="717"/>
      <c r="CM3205" s="717"/>
      <c r="CN3205" s="717"/>
      <c r="CO3205" s="717"/>
      <c r="CP3205" s="717"/>
      <c r="CQ3205" s="717"/>
      <c r="CR3205" s="717"/>
      <c r="CS3205" s="717"/>
      <c r="CT3205" s="717"/>
      <c r="CU3205" s="717"/>
      <c r="CV3205" s="717"/>
      <c r="CW3205" s="717"/>
      <c r="CX3205" s="717"/>
      <c r="CY3205" s="717"/>
      <c r="CZ3205" s="717"/>
      <c r="DA3205" s="717"/>
      <c r="DB3205" s="717"/>
      <c r="DC3205" s="717"/>
      <c r="DD3205" s="717"/>
      <c r="DE3205" s="717"/>
      <c r="DF3205" s="717"/>
      <c r="DG3205" s="717"/>
      <c r="DH3205" s="717"/>
      <c r="DI3205" s="717"/>
      <c r="DJ3205" s="717"/>
      <c r="DM3205" s="711"/>
      <c r="DN3205" s="711"/>
      <c r="DO3205" s="711"/>
      <c r="DP3205" s="711"/>
      <c r="DQ3205" s="711"/>
    </row>
    <row r="3206" spans="13:121" s="709" customFormat="1" hidden="1">
      <c r="M3206" s="710"/>
      <c r="P3206" s="711"/>
      <c r="Q3206" s="712"/>
      <c r="U3206" s="711"/>
      <c r="V3206" s="711"/>
      <c r="W3206" s="711"/>
      <c r="X3206" s="711"/>
      <c r="Y3206" s="711"/>
      <c r="Z3206" s="711"/>
      <c r="AU3206" s="713"/>
      <c r="AW3206" s="712"/>
      <c r="BY3206" s="714"/>
      <c r="BZ3206" s="715"/>
      <c r="CA3206" s="716"/>
      <c r="CB3206" s="717"/>
      <c r="CC3206" s="717"/>
      <c r="CD3206" s="717"/>
      <c r="CE3206" s="717"/>
      <c r="CF3206" s="717"/>
      <c r="CG3206" s="717"/>
      <c r="CH3206" s="717"/>
      <c r="CI3206" s="717"/>
      <c r="CJ3206" s="717"/>
      <c r="CK3206" s="717"/>
      <c r="CL3206" s="717"/>
      <c r="CM3206" s="717"/>
      <c r="CN3206" s="717"/>
      <c r="CO3206" s="717"/>
      <c r="CP3206" s="717"/>
      <c r="CQ3206" s="717"/>
      <c r="CR3206" s="717"/>
      <c r="CS3206" s="717"/>
      <c r="CT3206" s="717"/>
      <c r="CU3206" s="717"/>
      <c r="CV3206" s="717"/>
      <c r="CW3206" s="717"/>
      <c r="CX3206" s="717"/>
      <c r="CY3206" s="717"/>
      <c r="CZ3206" s="717"/>
      <c r="DA3206" s="717"/>
      <c r="DB3206" s="717"/>
      <c r="DC3206" s="717"/>
      <c r="DD3206" s="717"/>
      <c r="DE3206" s="717"/>
      <c r="DF3206" s="717"/>
      <c r="DG3206" s="717"/>
      <c r="DH3206" s="717"/>
      <c r="DI3206" s="717"/>
      <c r="DJ3206" s="717"/>
      <c r="DM3206" s="711"/>
      <c r="DN3206" s="711"/>
      <c r="DO3206" s="711"/>
      <c r="DP3206" s="711"/>
      <c r="DQ3206" s="711"/>
    </row>
    <row r="3207" spans="13:121" s="709" customFormat="1" hidden="1">
      <c r="M3207" s="710"/>
      <c r="P3207" s="711"/>
      <c r="Q3207" s="712"/>
      <c r="U3207" s="711"/>
      <c r="V3207" s="711"/>
      <c r="W3207" s="711"/>
      <c r="X3207" s="711"/>
      <c r="Y3207" s="711"/>
      <c r="Z3207" s="711"/>
      <c r="AU3207" s="713"/>
      <c r="AW3207" s="712"/>
      <c r="BY3207" s="714"/>
      <c r="BZ3207" s="715"/>
      <c r="CA3207" s="716"/>
      <c r="CB3207" s="717"/>
      <c r="CC3207" s="717"/>
      <c r="CD3207" s="717"/>
      <c r="CE3207" s="717"/>
      <c r="CF3207" s="717"/>
      <c r="CG3207" s="717"/>
      <c r="CH3207" s="717"/>
      <c r="CI3207" s="717"/>
      <c r="CJ3207" s="717"/>
      <c r="CK3207" s="717"/>
      <c r="CL3207" s="717"/>
      <c r="CM3207" s="717"/>
      <c r="CN3207" s="717"/>
      <c r="CO3207" s="717"/>
      <c r="CP3207" s="717"/>
      <c r="CQ3207" s="717"/>
      <c r="CR3207" s="717"/>
      <c r="CS3207" s="717"/>
      <c r="CT3207" s="717"/>
      <c r="CU3207" s="717"/>
      <c r="CV3207" s="717"/>
      <c r="CW3207" s="717"/>
      <c r="CX3207" s="717"/>
      <c r="CY3207" s="717"/>
      <c r="CZ3207" s="717"/>
      <c r="DA3207" s="717"/>
      <c r="DB3207" s="717"/>
      <c r="DC3207" s="717"/>
      <c r="DD3207" s="717"/>
      <c r="DE3207" s="717"/>
      <c r="DF3207" s="717"/>
      <c r="DG3207" s="717"/>
      <c r="DH3207" s="717"/>
      <c r="DI3207" s="717"/>
      <c r="DJ3207" s="717"/>
      <c r="DM3207" s="711"/>
      <c r="DN3207" s="711"/>
      <c r="DO3207" s="711"/>
      <c r="DP3207" s="711"/>
      <c r="DQ3207" s="711"/>
    </row>
    <row r="3208" spans="13:121" s="709" customFormat="1" hidden="1">
      <c r="M3208" s="710"/>
      <c r="P3208" s="711"/>
      <c r="Q3208" s="712"/>
      <c r="U3208" s="711"/>
      <c r="V3208" s="711"/>
      <c r="W3208" s="711"/>
      <c r="X3208" s="711"/>
      <c r="Y3208" s="711"/>
      <c r="Z3208" s="711"/>
      <c r="AU3208" s="713"/>
      <c r="AW3208" s="712"/>
      <c r="BY3208" s="714"/>
      <c r="BZ3208" s="715"/>
      <c r="CA3208" s="716"/>
      <c r="CB3208" s="717"/>
      <c r="CC3208" s="717"/>
      <c r="CD3208" s="717"/>
      <c r="CE3208" s="717"/>
      <c r="CF3208" s="717"/>
      <c r="CG3208" s="717"/>
      <c r="CH3208" s="717"/>
      <c r="CI3208" s="717"/>
      <c r="CJ3208" s="717"/>
      <c r="CK3208" s="717"/>
      <c r="CL3208" s="717"/>
      <c r="CM3208" s="717"/>
      <c r="CN3208" s="717"/>
      <c r="CO3208" s="717"/>
      <c r="CP3208" s="717"/>
      <c r="CQ3208" s="717"/>
      <c r="CR3208" s="717"/>
      <c r="CS3208" s="717"/>
      <c r="CT3208" s="717"/>
      <c r="CU3208" s="717"/>
      <c r="CV3208" s="717"/>
      <c r="CW3208" s="717"/>
      <c r="CX3208" s="717"/>
      <c r="CY3208" s="717"/>
      <c r="CZ3208" s="717"/>
      <c r="DA3208" s="717"/>
      <c r="DB3208" s="717"/>
      <c r="DC3208" s="717"/>
      <c r="DD3208" s="717"/>
      <c r="DE3208" s="717"/>
      <c r="DF3208" s="717"/>
      <c r="DG3208" s="717"/>
      <c r="DH3208" s="717"/>
      <c r="DI3208" s="717"/>
      <c r="DJ3208" s="717"/>
      <c r="DM3208" s="711"/>
      <c r="DN3208" s="711"/>
      <c r="DO3208" s="711"/>
      <c r="DP3208" s="711"/>
      <c r="DQ3208" s="711"/>
    </row>
    <row r="3209" spans="13:121" s="709" customFormat="1" hidden="1">
      <c r="M3209" s="710"/>
      <c r="P3209" s="711"/>
      <c r="Q3209" s="712"/>
      <c r="U3209" s="711"/>
      <c r="V3209" s="711"/>
      <c r="W3209" s="711"/>
      <c r="X3209" s="711"/>
      <c r="Y3209" s="711"/>
      <c r="Z3209" s="711"/>
      <c r="AU3209" s="713"/>
      <c r="AW3209" s="712"/>
      <c r="BY3209" s="714"/>
      <c r="BZ3209" s="715"/>
      <c r="CA3209" s="716"/>
      <c r="CB3209" s="717"/>
      <c r="CC3209" s="717"/>
      <c r="CD3209" s="717"/>
      <c r="CE3209" s="717"/>
      <c r="CF3209" s="717"/>
      <c r="CG3209" s="717"/>
      <c r="CH3209" s="717"/>
      <c r="CI3209" s="717"/>
      <c r="CJ3209" s="717"/>
      <c r="CK3209" s="717"/>
      <c r="CL3209" s="717"/>
      <c r="CM3209" s="717"/>
      <c r="CN3209" s="717"/>
      <c r="CO3209" s="717"/>
      <c r="CP3209" s="717"/>
      <c r="CQ3209" s="717"/>
      <c r="CR3209" s="717"/>
      <c r="CS3209" s="717"/>
      <c r="CT3209" s="717"/>
      <c r="CU3209" s="717"/>
      <c r="CV3209" s="717"/>
      <c r="CW3209" s="717"/>
      <c r="CX3209" s="717"/>
      <c r="CY3209" s="717"/>
      <c r="CZ3209" s="717"/>
      <c r="DA3209" s="717"/>
      <c r="DB3209" s="717"/>
      <c r="DC3209" s="717"/>
      <c r="DD3209" s="717"/>
      <c r="DE3209" s="717"/>
      <c r="DF3209" s="717"/>
      <c r="DG3209" s="717"/>
      <c r="DH3209" s="717"/>
      <c r="DI3209" s="717"/>
      <c r="DJ3209" s="717"/>
      <c r="DM3209" s="711"/>
      <c r="DN3209" s="711"/>
      <c r="DO3209" s="711"/>
      <c r="DP3209" s="711"/>
      <c r="DQ3209" s="711"/>
    </row>
    <row r="3210" spans="13:121" s="709" customFormat="1" hidden="1">
      <c r="M3210" s="710"/>
      <c r="P3210" s="711"/>
      <c r="Q3210" s="712"/>
      <c r="U3210" s="711"/>
      <c r="V3210" s="711"/>
      <c r="W3210" s="711"/>
      <c r="X3210" s="711"/>
      <c r="Y3210" s="711"/>
      <c r="Z3210" s="711"/>
      <c r="AU3210" s="713"/>
      <c r="AW3210" s="712"/>
      <c r="BY3210" s="714"/>
      <c r="BZ3210" s="715"/>
      <c r="CA3210" s="716"/>
      <c r="CB3210" s="717"/>
      <c r="CC3210" s="717"/>
      <c r="CD3210" s="717"/>
      <c r="CE3210" s="717"/>
      <c r="CF3210" s="717"/>
      <c r="CG3210" s="717"/>
      <c r="CH3210" s="717"/>
      <c r="CI3210" s="717"/>
      <c r="CJ3210" s="717"/>
      <c r="CK3210" s="717"/>
      <c r="CL3210" s="717"/>
      <c r="CM3210" s="717"/>
      <c r="CN3210" s="717"/>
      <c r="CO3210" s="717"/>
      <c r="CP3210" s="717"/>
      <c r="CQ3210" s="717"/>
      <c r="CR3210" s="717"/>
      <c r="CS3210" s="717"/>
      <c r="CT3210" s="717"/>
      <c r="CU3210" s="717"/>
      <c r="CV3210" s="717"/>
      <c r="CW3210" s="717"/>
      <c r="CX3210" s="717"/>
      <c r="CY3210" s="717"/>
      <c r="CZ3210" s="717"/>
      <c r="DA3210" s="717"/>
      <c r="DB3210" s="717"/>
      <c r="DC3210" s="717"/>
      <c r="DD3210" s="717"/>
      <c r="DE3210" s="717"/>
      <c r="DF3210" s="717"/>
      <c r="DG3210" s="717"/>
      <c r="DH3210" s="717"/>
      <c r="DI3210" s="717"/>
      <c r="DJ3210" s="717"/>
      <c r="DM3210" s="711"/>
      <c r="DN3210" s="711"/>
      <c r="DO3210" s="711"/>
      <c r="DP3210" s="711"/>
      <c r="DQ3210" s="711"/>
    </row>
    <row r="3211" spans="13:121" s="709" customFormat="1" hidden="1">
      <c r="M3211" s="710"/>
      <c r="P3211" s="711"/>
      <c r="Q3211" s="712"/>
      <c r="U3211" s="711"/>
      <c r="V3211" s="711"/>
      <c r="W3211" s="711"/>
      <c r="X3211" s="711"/>
      <c r="Y3211" s="711"/>
      <c r="Z3211" s="711"/>
      <c r="AU3211" s="713"/>
      <c r="AW3211" s="712"/>
      <c r="BY3211" s="714"/>
      <c r="BZ3211" s="715"/>
      <c r="CA3211" s="716"/>
      <c r="CB3211" s="717"/>
      <c r="CC3211" s="717"/>
      <c r="CD3211" s="717"/>
      <c r="CE3211" s="717"/>
      <c r="CF3211" s="717"/>
      <c r="CG3211" s="717"/>
      <c r="CH3211" s="717"/>
      <c r="CI3211" s="717"/>
      <c r="CJ3211" s="717"/>
      <c r="CK3211" s="717"/>
      <c r="CL3211" s="717"/>
      <c r="CM3211" s="717"/>
      <c r="CN3211" s="717"/>
      <c r="CO3211" s="717"/>
      <c r="CP3211" s="717"/>
      <c r="CQ3211" s="717"/>
      <c r="CR3211" s="717"/>
      <c r="CS3211" s="717"/>
      <c r="CT3211" s="717"/>
      <c r="CU3211" s="717"/>
      <c r="CV3211" s="717"/>
      <c r="CW3211" s="717"/>
      <c r="CX3211" s="717"/>
      <c r="CY3211" s="717"/>
      <c r="CZ3211" s="717"/>
      <c r="DA3211" s="717"/>
      <c r="DB3211" s="717"/>
      <c r="DC3211" s="717"/>
      <c r="DD3211" s="717"/>
      <c r="DE3211" s="717"/>
      <c r="DF3211" s="717"/>
      <c r="DG3211" s="717"/>
      <c r="DH3211" s="717"/>
      <c r="DI3211" s="717"/>
      <c r="DJ3211" s="717"/>
      <c r="DM3211" s="711"/>
      <c r="DN3211" s="711"/>
      <c r="DO3211" s="711"/>
      <c r="DP3211" s="711"/>
      <c r="DQ3211" s="711"/>
    </row>
    <row r="3212" spans="13:121" s="709" customFormat="1" hidden="1">
      <c r="M3212" s="710"/>
      <c r="P3212" s="711"/>
      <c r="Q3212" s="712"/>
      <c r="U3212" s="711"/>
      <c r="V3212" s="711"/>
      <c r="W3212" s="711"/>
      <c r="X3212" s="711"/>
      <c r="Y3212" s="711"/>
      <c r="Z3212" s="711"/>
      <c r="AU3212" s="713"/>
      <c r="AW3212" s="712"/>
      <c r="BY3212" s="714"/>
      <c r="BZ3212" s="715"/>
      <c r="CA3212" s="716"/>
      <c r="CB3212" s="717"/>
      <c r="CC3212" s="717"/>
      <c r="CD3212" s="717"/>
      <c r="CE3212" s="717"/>
      <c r="CF3212" s="717"/>
      <c r="CG3212" s="717"/>
      <c r="CH3212" s="717"/>
      <c r="CI3212" s="717"/>
      <c r="CJ3212" s="717"/>
      <c r="CK3212" s="717"/>
      <c r="CL3212" s="717"/>
      <c r="CM3212" s="717"/>
      <c r="CN3212" s="717"/>
      <c r="CO3212" s="717"/>
      <c r="CP3212" s="717"/>
      <c r="CQ3212" s="717"/>
      <c r="CR3212" s="717"/>
      <c r="CS3212" s="717"/>
      <c r="CT3212" s="717"/>
      <c r="CU3212" s="717"/>
      <c r="CV3212" s="717"/>
      <c r="CW3212" s="717"/>
      <c r="CX3212" s="717"/>
      <c r="CY3212" s="717"/>
      <c r="CZ3212" s="717"/>
      <c r="DA3212" s="717"/>
      <c r="DB3212" s="717"/>
      <c r="DC3212" s="717"/>
      <c r="DD3212" s="717"/>
      <c r="DE3212" s="717"/>
      <c r="DF3212" s="717"/>
      <c r="DG3212" s="717"/>
      <c r="DH3212" s="717"/>
      <c r="DI3212" s="717"/>
      <c r="DJ3212" s="717"/>
      <c r="DM3212" s="711"/>
      <c r="DN3212" s="711"/>
      <c r="DO3212" s="711"/>
      <c r="DP3212" s="711"/>
      <c r="DQ3212" s="711"/>
    </row>
    <row r="3213" spans="13:121" s="709" customFormat="1" hidden="1">
      <c r="M3213" s="710"/>
      <c r="P3213" s="711"/>
      <c r="Q3213" s="712"/>
      <c r="U3213" s="711"/>
      <c r="V3213" s="711"/>
      <c r="W3213" s="711"/>
      <c r="X3213" s="711"/>
      <c r="Y3213" s="711"/>
      <c r="Z3213" s="711"/>
      <c r="AU3213" s="713"/>
      <c r="AW3213" s="712"/>
      <c r="BY3213" s="714"/>
      <c r="BZ3213" s="715"/>
      <c r="CA3213" s="716"/>
      <c r="CB3213" s="717"/>
      <c r="CC3213" s="717"/>
      <c r="CD3213" s="717"/>
      <c r="CE3213" s="717"/>
      <c r="CF3213" s="717"/>
      <c r="CG3213" s="717"/>
      <c r="CH3213" s="717"/>
      <c r="CI3213" s="717"/>
      <c r="CJ3213" s="717"/>
      <c r="CK3213" s="717"/>
      <c r="CL3213" s="717"/>
      <c r="CM3213" s="717"/>
      <c r="CN3213" s="717"/>
      <c r="CO3213" s="717"/>
      <c r="CP3213" s="717"/>
      <c r="CQ3213" s="717"/>
      <c r="CR3213" s="717"/>
      <c r="CS3213" s="717"/>
      <c r="CT3213" s="717"/>
      <c r="CU3213" s="717"/>
      <c r="CV3213" s="717"/>
      <c r="CW3213" s="717"/>
      <c r="CX3213" s="717"/>
      <c r="CY3213" s="717"/>
      <c r="CZ3213" s="717"/>
      <c r="DA3213" s="717"/>
      <c r="DB3213" s="717"/>
      <c r="DC3213" s="717"/>
      <c r="DD3213" s="717"/>
      <c r="DE3213" s="717"/>
      <c r="DF3213" s="717"/>
      <c r="DG3213" s="717"/>
      <c r="DH3213" s="717"/>
      <c r="DI3213" s="717"/>
      <c r="DJ3213" s="717"/>
      <c r="DM3213" s="711"/>
      <c r="DN3213" s="711"/>
      <c r="DO3213" s="711"/>
      <c r="DP3213" s="711"/>
      <c r="DQ3213" s="711"/>
    </row>
    <row r="3214" spans="13:121" s="709" customFormat="1" hidden="1">
      <c r="M3214" s="710"/>
      <c r="P3214" s="711"/>
      <c r="Q3214" s="712"/>
      <c r="U3214" s="711"/>
      <c r="V3214" s="711"/>
      <c r="W3214" s="711"/>
      <c r="X3214" s="711"/>
      <c r="Y3214" s="711"/>
      <c r="Z3214" s="711"/>
      <c r="AU3214" s="713"/>
      <c r="AW3214" s="712"/>
      <c r="BY3214" s="714"/>
      <c r="BZ3214" s="715"/>
      <c r="CA3214" s="716"/>
      <c r="CB3214" s="717"/>
      <c r="CC3214" s="717"/>
      <c r="CD3214" s="717"/>
      <c r="CE3214" s="717"/>
      <c r="CF3214" s="717"/>
      <c r="CG3214" s="717"/>
      <c r="CH3214" s="717"/>
      <c r="CI3214" s="717"/>
      <c r="CJ3214" s="717"/>
      <c r="CK3214" s="717"/>
      <c r="CL3214" s="717"/>
      <c r="CM3214" s="717"/>
      <c r="CN3214" s="717"/>
      <c r="CO3214" s="717"/>
      <c r="CP3214" s="717"/>
      <c r="CQ3214" s="717"/>
      <c r="CR3214" s="717"/>
      <c r="CS3214" s="717"/>
      <c r="CT3214" s="717"/>
      <c r="CU3214" s="717"/>
      <c r="CV3214" s="717"/>
      <c r="CW3214" s="717"/>
      <c r="CX3214" s="717"/>
      <c r="CY3214" s="717"/>
      <c r="CZ3214" s="717"/>
      <c r="DA3214" s="717"/>
      <c r="DB3214" s="717"/>
      <c r="DC3214" s="717"/>
      <c r="DD3214" s="717"/>
      <c r="DE3214" s="717"/>
      <c r="DF3214" s="717"/>
      <c r="DG3214" s="717"/>
      <c r="DH3214" s="717"/>
      <c r="DI3214" s="717"/>
      <c r="DJ3214" s="717"/>
      <c r="DM3214" s="711"/>
      <c r="DN3214" s="711"/>
      <c r="DO3214" s="711"/>
      <c r="DP3214" s="711"/>
      <c r="DQ3214" s="711"/>
    </row>
    <row r="3215" spans="13:121" s="709" customFormat="1" hidden="1">
      <c r="M3215" s="710"/>
      <c r="P3215" s="711"/>
      <c r="Q3215" s="712"/>
      <c r="U3215" s="711"/>
      <c r="V3215" s="711"/>
      <c r="W3215" s="711"/>
      <c r="X3215" s="711"/>
      <c r="Y3215" s="711"/>
      <c r="Z3215" s="711"/>
      <c r="AU3215" s="713"/>
      <c r="AW3215" s="712"/>
      <c r="BY3215" s="714"/>
      <c r="BZ3215" s="715"/>
      <c r="CA3215" s="716"/>
      <c r="CB3215" s="717"/>
      <c r="CC3215" s="717"/>
      <c r="CD3215" s="717"/>
      <c r="CE3215" s="717"/>
      <c r="CF3215" s="717"/>
      <c r="CG3215" s="717"/>
      <c r="CH3215" s="717"/>
      <c r="CI3215" s="717"/>
      <c r="CJ3215" s="717"/>
      <c r="CK3215" s="717"/>
      <c r="CL3215" s="717"/>
      <c r="CM3215" s="717"/>
      <c r="CN3215" s="717"/>
      <c r="CO3215" s="717"/>
      <c r="CP3215" s="717"/>
      <c r="CQ3215" s="717"/>
      <c r="CR3215" s="717"/>
      <c r="CS3215" s="717"/>
      <c r="CT3215" s="717"/>
      <c r="CU3215" s="717"/>
      <c r="CV3215" s="717"/>
      <c r="CW3215" s="717"/>
      <c r="CX3215" s="717"/>
      <c r="CY3215" s="717"/>
      <c r="CZ3215" s="717"/>
      <c r="DA3215" s="717"/>
      <c r="DB3215" s="717"/>
      <c r="DC3215" s="717"/>
      <c r="DD3215" s="717"/>
      <c r="DE3215" s="717"/>
      <c r="DF3215" s="717"/>
      <c r="DG3215" s="717"/>
      <c r="DH3215" s="717"/>
      <c r="DI3215" s="717"/>
      <c r="DJ3215" s="717"/>
      <c r="DM3215" s="711"/>
      <c r="DN3215" s="711"/>
      <c r="DO3215" s="711"/>
      <c r="DP3215" s="711"/>
      <c r="DQ3215" s="711"/>
    </row>
    <row r="3216" spans="13:121" s="709" customFormat="1" hidden="1">
      <c r="M3216" s="710"/>
      <c r="P3216" s="711"/>
      <c r="Q3216" s="712"/>
      <c r="U3216" s="711"/>
      <c r="V3216" s="711"/>
      <c r="W3216" s="711"/>
      <c r="X3216" s="711"/>
      <c r="Y3216" s="711"/>
      <c r="Z3216" s="711"/>
      <c r="AU3216" s="713"/>
      <c r="AW3216" s="712"/>
      <c r="BY3216" s="714"/>
      <c r="BZ3216" s="715"/>
      <c r="CA3216" s="716"/>
      <c r="CB3216" s="717"/>
      <c r="CC3216" s="717"/>
      <c r="CD3216" s="717"/>
      <c r="CE3216" s="717"/>
      <c r="CF3216" s="717"/>
      <c r="CG3216" s="717"/>
      <c r="CH3216" s="717"/>
      <c r="CI3216" s="717"/>
      <c r="CJ3216" s="717"/>
      <c r="CK3216" s="717"/>
      <c r="CL3216" s="717"/>
      <c r="CM3216" s="717"/>
      <c r="CN3216" s="717"/>
      <c r="CO3216" s="717"/>
      <c r="CP3216" s="717"/>
      <c r="CQ3216" s="717"/>
      <c r="CR3216" s="717"/>
      <c r="CS3216" s="717"/>
      <c r="CT3216" s="717"/>
      <c r="CU3216" s="717"/>
      <c r="CV3216" s="717"/>
      <c r="CW3216" s="717"/>
      <c r="CX3216" s="717"/>
      <c r="CY3216" s="717"/>
      <c r="CZ3216" s="717"/>
      <c r="DA3216" s="717"/>
      <c r="DB3216" s="717"/>
      <c r="DC3216" s="717"/>
      <c r="DD3216" s="717"/>
      <c r="DE3216" s="717"/>
      <c r="DF3216" s="717"/>
      <c r="DG3216" s="717"/>
      <c r="DH3216" s="717"/>
      <c r="DI3216" s="717"/>
      <c r="DJ3216" s="717"/>
      <c r="DM3216" s="711"/>
      <c r="DN3216" s="711"/>
      <c r="DO3216" s="711"/>
      <c r="DP3216" s="711"/>
      <c r="DQ3216" s="711"/>
    </row>
    <row r="3217" spans="13:121" s="709" customFormat="1" hidden="1">
      <c r="M3217" s="710"/>
      <c r="P3217" s="711"/>
      <c r="Q3217" s="712"/>
      <c r="U3217" s="711"/>
      <c r="V3217" s="711"/>
      <c r="W3217" s="711"/>
      <c r="X3217" s="711"/>
      <c r="Y3217" s="711"/>
      <c r="Z3217" s="711"/>
      <c r="AU3217" s="713"/>
      <c r="AW3217" s="712"/>
      <c r="BY3217" s="714"/>
      <c r="BZ3217" s="715"/>
      <c r="CA3217" s="716"/>
      <c r="CB3217" s="717"/>
      <c r="CC3217" s="717"/>
      <c r="CD3217" s="717"/>
      <c r="CE3217" s="717"/>
      <c r="CF3217" s="717"/>
      <c r="CG3217" s="717"/>
      <c r="CH3217" s="717"/>
      <c r="CI3217" s="717"/>
      <c r="CJ3217" s="717"/>
      <c r="CK3217" s="717"/>
      <c r="CL3217" s="717"/>
      <c r="CM3217" s="717"/>
      <c r="CN3217" s="717"/>
      <c r="CO3217" s="717"/>
      <c r="CP3217" s="717"/>
      <c r="CQ3217" s="717"/>
      <c r="CR3217" s="717"/>
      <c r="CS3217" s="717"/>
      <c r="CT3217" s="717"/>
      <c r="CU3217" s="717"/>
      <c r="CV3217" s="717"/>
      <c r="CW3217" s="717"/>
      <c r="CX3217" s="717"/>
      <c r="CY3217" s="717"/>
      <c r="CZ3217" s="717"/>
      <c r="DA3217" s="717"/>
      <c r="DB3217" s="717"/>
      <c r="DC3217" s="717"/>
      <c r="DD3217" s="717"/>
      <c r="DE3217" s="717"/>
      <c r="DF3217" s="717"/>
      <c r="DG3217" s="717"/>
      <c r="DH3217" s="717"/>
      <c r="DI3217" s="717"/>
      <c r="DJ3217" s="717"/>
      <c r="DM3217" s="711"/>
      <c r="DN3217" s="711"/>
      <c r="DO3217" s="711"/>
      <c r="DP3217" s="711"/>
      <c r="DQ3217" s="711"/>
    </row>
    <row r="3218" spans="13:121" s="709" customFormat="1" hidden="1">
      <c r="M3218" s="710"/>
      <c r="P3218" s="711"/>
      <c r="Q3218" s="712"/>
      <c r="U3218" s="711"/>
      <c r="V3218" s="711"/>
      <c r="W3218" s="711"/>
      <c r="X3218" s="711"/>
      <c r="Y3218" s="711"/>
      <c r="Z3218" s="711"/>
      <c r="AU3218" s="713"/>
      <c r="AW3218" s="712"/>
      <c r="BY3218" s="714"/>
      <c r="BZ3218" s="715"/>
      <c r="CA3218" s="716"/>
      <c r="CB3218" s="717"/>
      <c r="CC3218" s="717"/>
      <c r="CD3218" s="717"/>
      <c r="CE3218" s="717"/>
      <c r="CF3218" s="717"/>
      <c r="CG3218" s="717"/>
      <c r="CH3218" s="717"/>
      <c r="CI3218" s="717"/>
      <c r="CJ3218" s="717"/>
      <c r="CK3218" s="717"/>
      <c r="CL3218" s="717"/>
      <c r="CM3218" s="717"/>
      <c r="CN3218" s="717"/>
      <c r="CO3218" s="717"/>
      <c r="CP3218" s="717"/>
      <c r="CQ3218" s="717"/>
      <c r="CR3218" s="717"/>
      <c r="CS3218" s="717"/>
      <c r="CT3218" s="717"/>
      <c r="CU3218" s="717"/>
      <c r="CV3218" s="717"/>
      <c r="CW3218" s="717"/>
      <c r="CX3218" s="717"/>
      <c r="CY3218" s="717"/>
      <c r="CZ3218" s="717"/>
      <c r="DA3218" s="717"/>
      <c r="DB3218" s="717"/>
      <c r="DC3218" s="717"/>
      <c r="DD3218" s="717"/>
      <c r="DE3218" s="717"/>
      <c r="DF3218" s="717"/>
      <c r="DG3218" s="717"/>
      <c r="DH3218" s="717"/>
      <c r="DI3218" s="717"/>
      <c r="DJ3218" s="717"/>
      <c r="DM3218" s="711"/>
      <c r="DN3218" s="711"/>
      <c r="DO3218" s="711"/>
      <c r="DP3218" s="711"/>
      <c r="DQ3218" s="711"/>
    </row>
    <row r="3219" spans="13:121" s="709" customFormat="1" hidden="1">
      <c r="M3219" s="710"/>
      <c r="P3219" s="711"/>
      <c r="Q3219" s="712"/>
      <c r="U3219" s="711"/>
      <c r="V3219" s="711"/>
      <c r="W3219" s="711"/>
      <c r="X3219" s="711"/>
      <c r="Y3219" s="711"/>
      <c r="Z3219" s="711"/>
      <c r="AU3219" s="713"/>
      <c r="AW3219" s="712"/>
      <c r="BY3219" s="714"/>
      <c r="BZ3219" s="715"/>
      <c r="CA3219" s="716"/>
      <c r="CB3219" s="717"/>
      <c r="CC3219" s="717"/>
      <c r="CD3219" s="717"/>
      <c r="CE3219" s="717"/>
      <c r="CF3219" s="717"/>
      <c r="CG3219" s="717"/>
      <c r="CH3219" s="717"/>
      <c r="CI3219" s="717"/>
      <c r="CJ3219" s="717"/>
      <c r="CK3219" s="717"/>
      <c r="CL3219" s="717"/>
      <c r="CM3219" s="717"/>
      <c r="CN3219" s="717"/>
      <c r="CO3219" s="717"/>
      <c r="CP3219" s="717"/>
      <c r="CQ3219" s="717"/>
      <c r="CR3219" s="717"/>
      <c r="CS3219" s="717"/>
      <c r="CT3219" s="717"/>
      <c r="CU3219" s="717"/>
      <c r="CV3219" s="717"/>
      <c r="CW3219" s="717"/>
      <c r="CX3219" s="717"/>
      <c r="CY3219" s="717"/>
      <c r="CZ3219" s="717"/>
      <c r="DA3219" s="717"/>
      <c r="DB3219" s="717"/>
      <c r="DC3219" s="717"/>
      <c r="DD3219" s="717"/>
      <c r="DE3219" s="717"/>
      <c r="DF3219" s="717"/>
      <c r="DG3219" s="717"/>
      <c r="DH3219" s="717"/>
      <c r="DI3219" s="717"/>
      <c r="DJ3219" s="717"/>
      <c r="DM3219" s="711"/>
      <c r="DN3219" s="711"/>
      <c r="DO3219" s="711"/>
      <c r="DP3219" s="711"/>
      <c r="DQ3219" s="711"/>
    </row>
    <row r="3220" spans="13:121" s="709" customFormat="1" hidden="1">
      <c r="M3220" s="710"/>
      <c r="P3220" s="711"/>
      <c r="Q3220" s="712"/>
      <c r="U3220" s="711"/>
      <c r="V3220" s="711"/>
      <c r="W3220" s="711"/>
      <c r="X3220" s="711"/>
      <c r="Y3220" s="711"/>
      <c r="Z3220" s="711"/>
      <c r="AU3220" s="713"/>
      <c r="AW3220" s="712"/>
      <c r="BY3220" s="714"/>
      <c r="BZ3220" s="715"/>
      <c r="CA3220" s="716"/>
      <c r="CB3220" s="717"/>
      <c r="CC3220" s="717"/>
      <c r="CD3220" s="717"/>
      <c r="CE3220" s="717"/>
      <c r="CF3220" s="717"/>
      <c r="CG3220" s="717"/>
      <c r="CH3220" s="717"/>
      <c r="CI3220" s="717"/>
      <c r="CJ3220" s="717"/>
      <c r="CK3220" s="717"/>
      <c r="CL3220" s="717"/>
      <c r="CM3220" s="717"/>
      <c r="CN3220" s="717"/>
      <c r="CO3220" s="717"/>
      <c r="CP3220" s="717"/>
      <c r="CQ3220" s="717"/>
      <c r="CR3220" s="717"/>
      <c r="CS3220" s="717"/>
      <c r="CT3220" s="717"/>
      <c r="CU3220" s="717"/>
      <c r="CV3220" s="717"/>
      <c r="CW3220" s="717"/>
      <c r="CX3220" s="717"/>
      <c r="CY3220" s="717"/>
      <c r="CZ3220" s="717"/>
      <c r="DA3220" s="717"/>
      <c r="DB3220" s="717"/>
      <c r="DC3220" s="717"/>
      <c r="DD3220" s="717"/>
      <c r="DE3220" s="717"/>
      <c r="DF3220" s="717"/>
      <c r="DG3220" s="717"/>
      <c r="DH3220" s="717"/>
      <c r="DI3220" s="717"/>
      <c r="DJ3220" s="717"/>
      <c r="DM3220" s="711"/>
      <c r="DN3220" s="711"/>
      <c r="DO3220" s="711"/>
      <c r="DP3220" s="711"/>
      <c r="DQ3220" s="711"/>
    </row>
    <row r="3221" spans="13:121" s="709" customFormat="1" hidden="1">
      <c r="M3221" s="710"/>
      <c r="P3221" s="711"/>
      <c r="Q3221" s="712"/>
      <c r="U3221" s="711"/>
      <c r="V3221" s="711"/>
      <c r="W3221" s="711"/>
      <c r="X3221" s="711"/>
      <c r="Y3221" s="711"/>
      <c r="Z3221" s="711"/>
      <c r="AU3221" s="713"/>
      <c r="AW3221" s="712"/>
      <c r="BY3221" s="714"/>
      <c r="BZ3221" s="715"/>
      <c r="CA3221" s="716"/>
      <c r="CB3221" s="717"/>
      <c r="CC3221" s="717"/>
      <c r="CD3221" s="717"/>
      <c r="CE3221" s="717"/>
      <c r="CF3221" s="717"/>
      <c r="CG3221" s="717"/>
      <c r="CH3221" s="717"/>
      <c r="CI3221" s="717"/>
      <c r="CJ3221" s="717"/>
      <c r="CK3221" s="717"/>
      <c r="CL3221" s="717"/>
      <c r="CM3221" s="717"/>
      <c r="CN3221" s="717"/>
      <c r="CO3221" s="717"/>
      <c r="CP3221" s="717"/>
      <c r="CQ3221" s="717"/>
      <c r="CR3221" s="717"/>
      <c r="CS3221" s="717"/>
      <c r="CT3221" s="717"/>
      <c r="CU3221" s="717"/>
      <c r="CV3221" s="717"/>
      <c r="CW3221" s="717"/>
      <c r="CX3221" s="717"/>
      <c r="CY3221" s="717"/>
      <c r="CZ3221" s="717"/>
      <c r="DA3221" s="717"/>
      <c r="DB3221" s="717"/>
      <c r="DC3221" s="717"/>
      <c r="DD3221" s="717"/>
      <c r="DE3221" s="717"/>
      <c r="DF3221" s="717"/>
      <c r="DG3221" s="717"/>
      <c r="DH3221" s="717"/>
      <c r="DI3221" s="717"/>
      <c r="DJ3221" s="717"/>
      <c r="DM3221" s="711"/>
      <c r="DN3221" s="711"/>
      <c r="DO3221" s="711"/>
      <c r="DP3221" s="711"/>
      <c r="DQ3221" s="711"/>
    </row>
    <row r="3222" spans="13:121" s="709" customFormat="1" hidden="1">
      <c r="M3222" s="710"/>
      <c r="P3222" s="711"/>
      <c r="Q3222" s="712"/>
      <c r="U3222" s="711"/>
      <c r="V3222" s="711"/>
      <c r="W3222" s="711"/>
      <c r="X3222" s="711"/>
      <c r="Y3222" s="711"/>
      <c r="Z3222" s="711"/>
      <c r="AU3222" s="713"/>
      <c r="AW3222" s="712"/>
      <c r="BY3222" s="714"/>
      <c r="BZ3222" s="715"/>
      <c r="CA3222" s="716"/>
      <c r="CB3222" s="717"/>
      <c r="CC3222" s="717"/>
      <c r="CD3222" s="717"/>
      <c r="CE3222" s="717"/>
      <c r="CF3222" s="717"/>
      <c r="CG3222" s="717"/>
      <c r="CH3222" s="717"/>
      <c r="CI3222" s="717"/>
      <c r="CJ3222" s="717"/>
      <c r="CK3222" s="717"/>
      <c r="CL3222" s="717"/>
      <c r="CM3222" s="717"/>
      <c r="CN3222" s="717"/>
      <c r="CO3222" s="717"/>
      <c r="CP3222" s="717"/>
      <c r="CQ3222" s="717"/>
      <c r="CR3222" s="717"/>
      <c r="CS3222" s="717"/>
      <c r="CT3222" s="717"/>
      <c r="CU3222" s="717"/>
      <c r="CV3222" s="717"/>
      <c r="CW3222" s="717"/>
      <c r="CX3222" s="717"/>
      <c r="CY3222" s="717"/>
      <c r="CZ3222" s="717"/>
      <c r="DA3222" s="717"/>
      <c r="DB3222" s="717"/>
      <c r="DC3222" s="717"/>
      <c r="DD3222" s="717"/>
      <c r="DE3222" s="717"/>
      <c r="DF3222" s="717"/>
      <c r="DG3222" s="717"/>
      <c r="DH3222" s="717"/>
      <c r="DI3222" s="717"/>
      <c r="DJ3222" s="717"/>
      <c r="DM3222" s="711"/>
      <c r="DN3222" s="711"/>
      <c r="DO3222" s="711"/>
      <c r="DP3222" s="711"/>
      <c r="DQ3222" s="711"/>
    </row>
    <row r="3223" spans="13:121" s="709" customFormat="1" hidden="1">
      <c r="M3223" s="710"/>
      <c r="P3223" s="711"/>
      <c r="Q3223" s="712"/>
      <c r="U3223" s="711"/>
      <c r="V3223" s="711"/>
      <c r="W3223" s="711"/>
      <c r="X3223" s="711"/>
      <c r="Y3223" s="711"/>
      <c r="Z3223" s="711"/>
      <c r="AU3223" s="713"/>
      <c r="AW3223" s="712"/>
      <c r="BY3223" s="714"/>
      <c r="BZ3223" s="715"/>
      <c r="CA3223" s="716"/>
      <c r="CB3223" s="717"/>
      <c r="CC3223" s="717"/>
      <c r="CD3223" s="717"/>
      <c r="CE3223" s="717"/>
      <c r="CF3223" s="717"/>
      <c r="CG3223" s="717"/>
      <c r="CH3223" s="717"/>
      <c r="CI3223" s="717"/>
      <c r="CJ3223" s="717"/>
      <c r="CK3223" s="717"/>
      <c r="CL3223" s="717"/>
      <c r="CM3223" s="717"/>
      <c r="CN3223" s="717"/>
      <c r="CO3223" s="717"/>
      <c r="CP3223" s="717"/>
      <c r="CQ3223" s="717"/>
      <c r="CR3223" s="717"/>
      <c r="CS3223" s="717"/>
      <c r="CT3223" s="717"/>
      <c r="CU3223" s="717"/>
      <c r="CV3223" s="717"/>
      <c r="CW3223" s="717"/>
      <c r="CX3223" s="717"/>
      <c r="CY3223" s="717"/>
      <c r="CZ3223" s="717"/>
      <c r="DA3223" s="717"/>
      <c r="DB3223" s="717"/>
      <c r="DC3223" s="717"/>
      <c r="DD3223" s="717"/>
      <c r="DE3223" s="717"/>
      <c r="DF3223" s="717"/>
      <c r="DG3223" s="717"/>
      <c r="DH3223" s="717"/>
      <c r="DI3223" s="717"/>
      <c r="DJ3223" s="717"/>
      <c r="DM3223" s="711"/>
      <c r="DN3223" s="711"/>
      <c r="DO3223" s="711"/>
      <c r="DP3223" s="711"/>
      <c r="DQ3223" s="711"/>
    </row>
    <row r="3224" spans="13:121" s="709" customFormat="1" hidden="1">
      <c r="M3224" s="710"/>
      <c r="P3224" s="711"/>
      <c r="Q3224" s="712"/>
      <c r="U3224" s="711"/>
      <c r="V3224" s="711"/>
      <c r="W3224" s="711"/>
      <c r="X3224" s="711"/>
      <c r="Y3224" s="711"/>
      <c r="Z3224" s="711"/>
      <c r="AU3224" s="713"/>
      <c r="AW3224" s="712"/>
      <c r="BY3224" s="714"/>
      <c r="BZ3224" s="715"/>
      <c r="CA3224" s="716"/>
      <c r="CB3224" s="717"/>
      <c r="CC3224" s="717"/>
      <c r="CD3224" s="717"/>
      <c r="CE3224" s="717"/>
      <c r="CF3224" s="717"/>
      <c r="CG3224" s="717"/>
      <c r="CH3224" s="717"/>
      <c r="CI3224" s="717"/>
      <c r="CJ3224" s="717"/>
      <c r="CK3224" s="717"/>
      <c r="CL3224" s="717"/>
      <c r="CM3224" s="717"/>
      <c r="CN3224" s="717"/>
      <c r="CO3224" s="717"/>
      <c r="CP3224" s="717"/>
      <c r="CQ3224" s="717"/>
      <c r="CR3224" s="717"/>
      <c r="CS3224" s="717"/>
      <c r="CT3224" s="717"/>
      <c r="CU3224" s="717"/>
      <c r="CV3224" s="717"/>
      <c r="CW3224" s="717"/>
      <c r="CX3224" s="717"/>
      <c r="CY3224" s="717"/>
      <c r="CZ3224" s="717"/>
      <c r="DA3224" s="717"/>
      <c r="DB3224" s="717"/>
      <c r="DC3224" s="717"/>
      <c r="DD3224" s="717"/>
      <c r="DE3224" s="717"/>
      <c r="DF3224" s="717"/>
      <c r="DG3224" s="717"/>
      <c r="DH3224" s="717"/>
      <c r="DI3224" s="717"/>
      <c r="DJ3224" s="717"/>
      <c r="DM3224" s="711"/>
      <c r="DN3224" s="711"/>
      <c r="DO3224" s="711"/>
      <c r="DP3224" s="711"/>
      <c r="DQ3224" s="711"/>
    </row>
    <row r="3225" spans="13:121" s="709" customFormat="1" hidden="1">
      <c r="M3225" s="710"/>
      <c r="P3225" s="711"/>
      <c r="Q3225" s="712"/>
      <c r="U3225" s="711"/>
      <c r="V3225" s="711"/>
      <c r="W3225" s="711"/>
      <c r="X3225" s="711"/>
      <c r="Y3225" s="711"/>
      <c r="Z3225" s="711"/>
      <c r="AU3225" s="713"/>
      <c r="AW3225" s="712"/>
      <c r="BY3225" s="714"/>
      <c r="BZ3225" s="715"/>
      <c r="CA3225" s="716"/>
      <c r="CB3225" s="717"/>
      <c r="CC3225" s="717"/>
      <c r="CD3225" s="717"/>
      <c r="CE3225" s="717"/>
      <c r="CF3225" s="717"/>
      <c r="CG3225" s="717"/>
      <c r="CH3225" s="717"/>
      <c r="CI3225" s="717"/>
      <c r="CJ3225" s="717"/>
      <c r="CK3225" s="717"/>
      <c r="CL3225" s="717"/>
      <c r="CM3225" s="717"/>
      <c r="CN3225" s="717"/>
      <c r="CO3225" s="717"/>
      <c r="CP3225" s="717"/>
      <c r="CQ3225" s="717"/>
      <c r="CR3225" s="717"/>
      <c r="CS3225" s="717"/>
      <c r="CT3225" s="717"/>
      <c r="CU3225" s="717"/>
      <c r="CV3225" s="717"/>
      <c r="CW3225" s="717"/>
      <c r="CX3225" s="717"/>
      <c r="CY3225" s="717"/>
      <c r="CZ3225" s="717"/>
      <c r="DA3225" s="717"/>
      <c r="DB3225" s="717"/>
      <c r="DC3225" s="717"/>
      <c r="DD3225" s="717"/>
      <c r="DE3225" s="717"/>
      <c r="DF3225" s="717"/>
      <c r="DG3225" s="717"/>
      <c r="DH3225" s="717"/>
      <c r="DI3225" s="717"/>
      <c r="DJ3225" s="717"/>
      <c r="DM3225" s="711"/>
      <c r="DN3225" s="711"/>
      <c r="DO3225" s="711"/>
      <c r="DP3225" s="711"/>
      <c r="DQ3225" s="711"/>
    </row>
    <row r="3226" spans="13:121" s="709" customFormat="1" hidden="1">
      <c r="M3226" s="710"/>
      <c r="P3226" s="711"/>
      <c r="Q3226" s="712"/>
      <c r="U3226" s="711"/>
      <c r="V3226" s="711"/>
      <c r="W3226" s="711"/>
      <c r="X3226" s="711"/>
      <c r="Y3226" s="711"/>
      <c r="Z3226" s="711"/>
      <c r="AU3226" s="713"/>
      <c r="AW3226" s="712"/>
      <c r="BY3226" s="714"/>
      <c r="BZ3226" s="715"/>
      <c r="CA3226" s="716"/>
      <c r="CB3226" s="717"/>
      <c r="CC3226" s="717"/>
      <c r="CD3226" s="717"/>
      <c r="CE3226" s="717"/>
      <c r="CF3226" s="717"/>
      <c r="CG3226" s="717"/>
      <c r="CH3226" s="717"/>
      <c r="CI3226" s="717"/>
      <c r="CJ3226" s="717"/>
      <c r="CK3226" s="717"/>
      <c r="CL3226" s="717"/>
      <c r="CM3226" s="717"/>
      <c r="CN3226" s="717"/>
      <c r="CO3226" s="717"/>
      <c r="CP3226" s="717"/>
      <c r="CQ3226" s="717"/>
      <c r="CR3226" s="717"/>
      <c r="CS3226" s="717"/>
      <c r="CT3226" s="717"/>
      <c r="CU3226" s="717"/>
      <c r="CV3226" s="717"/>
      <c r="CW3226" s="717"/>
      <c r="CX3226" s="717"/>
      <c r="CY3226" s="717"/>
      <c r="CZ3226" s="717"/>
      <c r="DA3226" s="717"/>
      <c r="DB3226" s="717"/>
      <c r="DC3226" s="717"/>
      <c r="DD3226" s="717"/>
      <c r="DE3226" s="717"/>
      <c r="DF3226" s="717"/>
      <c r="DG3226" s="717"/>
      <c r="DH3226" s="717"/>
      <c r="DI3226" s="717"/>
      <c r="DJ3226" s="717"/>
      <c r="DM3226" s="711"/>
      <c r="DN3226" s="711"/>
      <c r="DO3226" s="711"/>
      <c r="DP3226" s="711"/>
      <c r="DQ3226" s="711"/>
    </row>
    <row r="3227" spans="13:121" s="709" customFormat="1" hidden="1">
      <c r="M3227" s="710"/>
      <c r="P3227" s="711"/>
      <c r="Q3227" s="712"/>
      <c r="U3227" s="711"/>
      <c r="V3227" s="711"/>
      <c r="W3227" s="711"/>
      <c r="X3227" s="711"/>
      <c r="Y3227" s="711"/>
      <c r="Z3227" s="711"/>
      <c r="AU3227" s="713"/>
      <c r="AW3227" s="712"/>
      <c r="BY3227" s="714"/>
      <c r="BZ3227" s="715"/>
      <c r="CA3227" s="716"/>
      <c r="CB3227" s="717"/>
      <c r="CC3227" s="717"/>
      <c r="CD3227" s="717"/>
      <c r="CE3227" s="717"/>
      <c r="CF3227" s="717"/>
      <c r="CG3227" s="717"/>
      <c r="CH3227" s="717"/>
      <c r="CI3227" s="717"/>
      <c r="CJ3227" s="717"/>
      <c r="CK3227" s="717"/>
      <c r="CL3227" s="717"/>
      <c r="CM3227" s="717"/>
      <c r="CN3227" s="717"/>
      <c r="CO3227" s="717"/>
      <c r="CP3227" s="717"/>
      <c r="CQ3227" s="717"/>
      <c r="CR3227" s="717"/>
      <c r="CS3227" s="717"/>
      <c r="CT3227" s="717"/>
      <c r="CU3227" s="717"/>
      <c r="CV3227" s="717"/>
      <c r="CW3227" s="717"/>
      <c r="CX3227" s="717"/>
      <c r="CY3227" s="717"/>
      <c r="CZ3227" s="717"/>
      <c r="DA3227" s="717"/>
      <c r="DB3227" s="717"/>
      <c r="DC3227" s="717"/>
      <c r="DD3227" s="717"/>
      <c r="DE3227" s="717"/>
      <c r="DF3227" s="717"/>
      <c r="DG3227" s="717"/>
      <c r="DH3227" s="717"/>
      <c r="DI3227" s="717"/>
      <c r="DJ3227" s="717"/>
      <c r="DM3227" s="711"/>
      <c r="DN3227" s="711"/>
      <c r="DO3227" s="711"/>
      <c r="DP3227" s="711"/>
      <c r="DQ3227" s="711"/>
    </row>
    <row r="3228" spans="13:121" s="709" customFormat="1" hidden="1">
      <c r="M3228" s="710"/>
      <c r="P3228" s="711"/>
      <c r="Q3228" s="712"/>
      <c r="U3228" s="711"/>
      <c r="V3228" s="711"/>
      <c r="W3228" s="711"/>
      <c r="X3228" s="711"/>
      <c r="Y3228" s="711"/>
      <c r="Z3228" s="711"/>
      <c r="AU3228" s="713"/>
      <c r="AW3228" s="712"/>
      <c r="BY3228" s="714"/>
      <c r="BZ3228" s="715"/>
      <c r="CA3228" s="716"/>
      <c r="CB3228" s="717"/>
      <c r="CC3228" s="717"/>
      <c r="CD3228" s="717"/>
      <c r="CE3228" s="717"/>
      <c r="CF3228" s="717"/>
      <c r="CG3228" s="717"/>
      <c r="CH3228" s="717"/>
      <c r="CI3228" s="717"/>
      <c r="CJ3228" s="717"/>
      <c r="CK3228" s="717"/>
      <c r="CL3228" s="717"/>
      <c r="CM3228" s="717"/>
      <c r="CN3228" s="717"/>
      <c r="CO3228" s="717"/>
      <c r="CP3228" s="717"/>
      <c r="CQ3228" s="717"/>
      <c r="CR3228" s="717"/>
      <c r="CS3228" s="717"/>
      <c r="CT3228" s="717"/>
      <c r="CU3228" s="717"/>
      <c r="CV3228" s="717"/>
      <c r="CW3228" s="717"/>
      <c r="CX3228" s="717"/>
      <c r="CY3228" s="717"/>
      <c r="CZ3228" s="717"/>
      <c r="DA3228" s="717"/>
      <c r="DB3228" s="717"/>
      <c r="DC3228" s="717"/>
      <c r="DD3228" s="717"/>
      <c r="DE3228" s="717"/>
      <c r="DF3228" s="717"/>
      <c r="DG3228" s="717"/>
      <c r="DH3228" s="717"/>
      <c r="DI3228" s="717"/>
      <c r="DJ3228" s="717"/>
      <c r="DM3228" s="711"/>
      <c r="DN3228" s="711"/>
      <c r="DO3228" s="711"/>
      <c r="DP3228" s="711"/>
      <c r="DQ3228" s="711"/>
    </row>
    <row r="3229" spans="13:121" s="709" customFormat="1" hidden="1">
      <c r="M3229" s="710"/>
      <c r="P3229" s="711"/>
      <c r="Q3229" s="712"/>
      <c r="U3229" s="711"/>
      <c r="V3229" s="711"/>
      <c r="W3229" s="711"/>
      <c r="X3229" s="711"/>
      <c r="Y3229" s="711"/>
      <c r="Z3229" s="711"/>
      <c r="AU3229" s="713"/>
      <c r="AW3229" s="712"/>
      <c r="BY3229" s="714"/>
      <c r="BZ3229" s="715"/>
      <c r="CA3229" s="716"/>
      <c r="CB3229" s="717"/>
      <c r="CC3229" s="717"/>
      <c r="CD3229" s="717"/>
      <c r="CE3229" s="717"/>
      <c r="CF3229" s="717"/>
      <c r="CG3229" s="717"/>
      <c r="CH3229" s="717"/>
      <c r="CI3229" s="717"/>
      <c r="CJ3229" s="717"/>
      <c r="CK3229" s="717"/>
      <c r="CL3229" s="717"/>
      <c r="CM3229" s="717"/>
      <c r="CN3229" s="717"/>
      <c r="CO3229" s="717"/>
      <c r="CP3229" s="717"/>
      <c r="CQ3229" s="717"/>
      <c r="CR3229" s="717"/>
      <c r="CS3229" s="717"/>
      <c r="CT3229" s="717"/>
      <c r="CU3229" s="717"/>
      <c r="CV3229" s="717"/>
      <c r="CW3229" s="717"/>
      <c r="CX3229" s="717"/>
      <c r="CY3229" s="717"/>
      <c r="CZ3229" s="717"/>
      <c r="DA3229" s="717"/>
      <c r="DB3229" s="717"/>
      <c r="DC3229" s="717"/>
      <c r="DD3229" s="717"/>
      <c r="DE3229" s="717"/>
      <c r="DF3229" s="717"/>
      <c r="DG3229" s="717"/>
      <c r="DH3229" s="717"/>
      <c r="DI3229" s="717"/>
      <c r="DJ3229" s="717"/>
      <c r="DM3229" s="711"/>
      <c r="DN3229" s="711"/>
      <c r="DO3229" s="711"/>
      <c r="DP3229" s="711"/>
      <c r="DQ3229" s="711"/>
    </row>
  </sheetData>
  <sheetProtection formatCells="0" formatRows="0" insertColumns="0" autoFilter="0"/>
  <autoFilter ref="E4:EE542">
    <filterColumn colId="2">
      <filters>
        <filter val="SECRETARIA DE PLANEACION"/>
      </filters>
    </filterColumn>
    <sortState ref="E5:EE542">
      <sortCondition ref="E4:E542"/>
    </sortState>
  </autoFilter>
  <sortState ref="E5:EB541">
    <sortCondition ref="G5:G541"/>
    <sortCondition ref="E5:E541"/>
  </sortState>
  <conditionalFormatting sqref="CG535">
    <cfRule type="colorScale" priority="26">
      <colorScale>
        <cfvo type="percent" val="0"/>
        <cfvo type="percent" val="1"/>
        <color rgb="FFFF0000"/>
        <color rgb="FF00B050"/>
      </colorScale>
    </cfRule>
  </conditionalFormatting>
  <conditionalFormatting sqref="BB5:BB541">
    <cfRule type="iconSet" priority="24">
      <iconSet>
        <cfvo type="percent" val="0"/>
        <cfvo type="num" val="60"/>
        <cfvo type="num" val="90"/>
      </iconSet>
    </cfRule>
    <cfRule type="iconSet" priority="25">
      <iconSet>
        <cfvo type="percent" val="0"/>
        <cfvo type="percent" val="33"/>
        <cfvo type="percent" val="67"/>
      </iconSet>
    </cfRule>
  </conditionalFormatting>
  <conditionalFormatting sqref="CF5:CF541">
    <cfRule type="iconSet" priority="22">
      <iconSet>
        <cfvo type="percent" val="0"/>
        <cfvo type="num" val="60"/>
        <cfvo type="num" val="90"/>
      </iconSet>
    </cfRule>
    <cfRule type="iconSet" priority="23">
      <iconSet>
        <cfvo type="percent" val="0"/>
        <cfvo type="percent" val="33"/>
        <cfvo type="percent" val="67"/>
      </iconSet>
    </cfRule>
  </conditionalFormatting>
  <conditionalFormatting sqref="DU5 DU10:DU452 DW6:DW452 DU454:DU537 DW454:DW537">
    <cfRule type="expression" dxfId="34" priority="7">
      <formula>"MOD(ROW(),2)=0"</formula>
    </cfRule>
    <cfRule type="expression" dxfId="33" priority="8">
      <formula>"RESTO(FILA(),2)=0"</formula>
    </cfRule>
    <cfRule type="expression" priority="9">
      <formula>"RESTO(FILA(),2)=0"</formula>
    </cfRule>
  </conditionalFormatting>
  <conditionalFormatting sqref="DU6:DU9">
    <cfRule type="expression" dxfId="32" priority="4">
      <formula>"MOD(ROW(),2)=0"</formula>
    </cfRule>
    <cfRule type="expression" dxfId="31" priority="5">
      <formula>"RESTO(FILA(),2)=0"</formula>
    </cfRule>
    <cfRule type="expression" priority="6">
      <formula>"RESTO(FILA(),2)=0"</formula>
    </cfRule>
  </conditionalFormatting>
  <conditionalFormatting sqref="DW5">
    <cfRule type="expression" dxfId="30" priority="1">
      <formula>"MOD(ROW(),2)=0"</formula>
    </cfRule>
    <cfRule type="expression" dxfId="29" priority="2">
      <formula>"RESTO(FILA(),2)=0"</formula>
    </cfRule>
    <cfRule type="expression" priority="3">
      <formula>"RESTO(FILA(),2)=0"</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S317"/>
  <sheetViews>
    <sheetView showGridLines="0" showZeros="0" zoomScale="86" zoomScaleNormal="86" workbookViewId="0">
      <selection activeCell="K18" sqref="K18"/>
    </sheetView>
  </sheetViews>
  <sheetFormatPr baseColWidth="10" defaultColWidth="0" defaultRowHeight="12.75" zeroHeight="1"/>
  <cols>
    <col min="1" max="1" width="1.42578125" style="58" customWidth="1"/>
    <col min="2" max="2" width="6.5703125" style="63" customWidth="1"/>
    <col min="3" max="3" width="15.42578125" style="63" customWidth="1"/>
    <col min="4" max="4" width="10.7109375" style="62" customWidth="1"/>
    <col min="5" max="5" width="8.7109375" style="62" customWidth="1"/>
    <col min="6" max="6" width="8.85546875" style="62" customWidth="1"/>
    <col min="7" max="7" width="9" style="61" customWidth="1"/>
    <col min="8" max="8" width="9.42578125" style="61" customWidth="1"/>
    <col min="9" max="9" width="12" style="61" customWidth="1"/>
    <col min="10" max="10" width="12.140625" style="61" customWidth="1"/>
    <col min="11" max="11" width="12.28515625" style="61" customWidth="1"/>
    <col min="12" max="12" width="5" style="61" customWidth="1"/>
    <col min="13" max="13" width="5.42578125" style="61" customWidth="1"/>
    <col min="14" max="14" width="7" style="60" customWidth="1"/>
    <col min="15" max="15" width="17.7109375" style="60" customWidth="1"/>
    <col min="16" max="16" width="10.5703125" style="60" customWidth="1"/>
    <col min="17" max="17" width="15.7109375" style="60" customWidth="1"/>
    <col min="18" max="18" width="6.28515625" style="59" bestFit="1" customWidth="1"/>
    <col min="19" max="19" width="5.85546875" style="58" customWidth="1"/>
    <col min="20" max="16384" width="11.42578125" style="58" hidden="1"/>
  </cols>
  <sheetData>
    <row r="1" spans="2:18" ht="18" customHeight="1">
      <c r="B1" s="1618" t="s">
        <v>0</v>
      </c>
      <c r="C1" s="1618"/>
      <c r="D1" s="1618"/>
      <c r="E1" s="1618"/>
      <c r="F1" s="1618"/>
      <c r="G1" s="1618"/>
      <c r="H1" s="1618"/>
      <c r="I1" s="1618"/>
      <c r="J1" s="1618"/>
      <c r="K1" s="1618"/>
      <c r="L1" s="1618"/>
      <c r="M1" s="1618"/>
      <c r="N1" s="1618"/>
      <c r="O1" s="1618"/>
      <c r="P1" s="1618"/>
      <c r="Q1" s="137"/>
    </row>
    <row r="2" spans="2:18" ht="17.25" customHeight="1">
      <c r="B2" s="1619" t="s">
        <v>41</v>
      </c>
      <c r="C2" s="1619"/>
      <c r="D2" s="1619"/>
      <c r="E2" s="1619"/>
      <c r="F2" s="1619"/>
      <c r="G2" s="1619"/>
      <c r="H2" s="1619"/>
      <c r="I2" s="1619"/>
      <c r="J2" s="1619"/>
      <c r="K2" s="1619"/>
      <c r="L2" s="1619"/>
      <c r="M2" s="1619"/>
      <c r="N2" s="1619"/>
      <c r="O2" s="1619"/>
      <c r="P2" s="1619"/>
      <c r="Q2" s="137"/>
    </row>
    <row r="3" spans="2:18" ht="20.25">
      <c r="B3" s="137"/>
      <c r="C3" s="137"/>
      <c r="D3" s="136"/>
      <c r="E3" s="1620" t="s">
        <v>79</v>
      </c>
      <c r="F3" s="1620"/>
      <c r="G3" s="1620"/>
      <c r="H3" s="1620"/>
      <c r="I3" s="1620"/>
      <c r="J3" s="1620"/>
      <c r="K3" s="1620"/>
      <c r="L3" s="1620"/>
      <c r="M3" s="1620"/>
      <c r="N3" s="137"/>
      <c r="O3" s="1622" t="s">
        <v>1343</v>
      </c>
      <c r="P3" s="1623"/>
      <c r="Q3" s="1624"/>
    </row>
    <row r="4" spans="2:18" ht="1.5" customHeight="1">
      <c r="B4" s="137"/>
      <c r="C4" s="137"/>
      <c r="D4" s="136"/>
      <c r="E4" s="141"/>
      <c r="F4" s="141"/>
      <c r="G4" s="141"/>
      <c r="H4" s="141"/>
      <c r="I4" s="141"/>
      <c r="J4" s="141"/>
      <c r="K4" s="141"/>
      <c r="L4" s="141"/>
      <c r="M4" s="141"/>
      <c r="N4" s="137"/>
      <c r="O4" s="140"/>
      <c r="P4" s="140"/>
      <c r="Q4" s="139"/>
    </row>
    <row r="5" spans="2:18" ht="21" customHeight="1">
      <c r="B5" s="137"/>
      <c r="C5" s="137"/>
      <c r="D5" s="136"/>
      <c r="E5" s="200"/>
      <c r="F5" s="200"/>
      <c r="G5" s="200"/>
      <c r="H5" s="200"/>
      <c r="I5" s="200"/>
      <c r="J5" s="200"/>
      <c r="K5" s="200"/>
      <c r="L5" s="200"/>
      <c r="M5" s="200"/>
      <c r="N5" s="1621" t="s">
        <v>78</v>
      </c>
      <c r="O5" s="1621"/>
      <c r="P5" s="200"/>
      <c r="Q5" s="138">
        <v>434</v>
      </c>
    </row>
    <row r="6" spans="2:18" ht="2.25" customHeight="1">
      <c r="B6" s="137"/>
      <c r="C6" s="137"/>
      <c r="D6" s="136"/>
      <c r="E6" s="135"/>
      <c r="F6" s="135"/>
      <c r="G6" s="135"/>
      <c r="H6" s="135"/>
      <c r="I6" s="135"/>
      <c r="J6" s="135"/>
      <c r="K6" s="135"/>
      <c r="L6" s="135"/>
      <c r="M6" s="135"/>
      <c r="N6" s="135"/>
      <c r="O6" s="135"/>
      <c r="P6" s="135"/>
      <c r="Q6" s="134"/>
    </row>
    <row r="7" spans="2:18" ht="2.25" customHeight="1">
      <c r="B7" s="131"/>
      <c r="C7" s="131"/>
      <c r="D7" s="133"/>
      <c r="E7" s="131"/>
      <c r="F7" s="131"/>
      <c r="G7" s="132"/>
      <c r="H7" s="131"/>
      <c r="I7" s="131"/>
      <c r="J7" s="131"/>
      <c r="K7" s="131"/>
      <c r="L7" s="131"/>
      <c r="M7" s="131"/>
      <c r="N7" s="131"/>
      <c r="O7" s="131"/>
      <c r="P7" s="131"/>
      <c r="Q7" s="131"/>
    </row>
    <row r="8" spans="2:18" ht="18">
      <c r="B8" s="130" t="s">
        <v>77</v>
      </c>
      <c r="C8" s="129"/>
      <c r="D8" s="127"/>
      <c r="E8" s="1629" t="str">
        <f>VLOOKUP($Q$5,datos_Resultado!$D$4:$CA$121,2,FALSE)</f>
        <v>COMPETITIVIDAD</v>
      </c>
      <c r="F8" s="1629"/>
      <c r="G8" s="1629"/>
      <c r="H8" s="1629"/>
      <c r="I8" s="1629"/>
      <c r="J8" s="1629"/>
      <c r="K8" s="1629"/>
      <c r="L8" s="1629"/>
      <c r="M8" s="1629"/>
      <c r="N8" s="1629"/>
      <c r="O8" s="1629"/>
      <c r="P8" s="128"/>
      <c r="Q8" s="127"/>
      <c r="R8" s="142" t="s">
        <v>47</v>
      </c>
    </row>
    <row r="9" spans="2:18" ht="2.25" customHeight="1">
      <c r="B9" s="8"/>
      <c r="C9" s="8"/>
      <c r="D9" s="125"/>
      <c r="E9" s="126"/>
      <c r="F9" s="126"/>
      <c r="G9" s="126"/>
      <c r="H9" s="126"/>
      <c r="I9" s="126"/>
      <c r="J9" s="126"/>
      <c r="K9" s="126"/>
      <c r="L9" s="126"/>
      <c r="M9" s="126"/>
      <c r="N9" s="126"/>
      <c r="O9" s="126"/>
      <c r="P9" s="125"/>
      <c r="Q9" s="125"/>
      <c r="R9" s="124"/>
    </row>
    <row r="10" spans="2:18" s="119" customFormat="1" ht="15.75">
      <c r="B10" s="1606" t="s">
        <v>76</v>
      </c>
      <c r="C10" s="1606"/>
      <c r="D10" s="1606"/>
      <c r="E10" s="1606"/>
      <c r="F10" s="1606"/>
      <c r="G10" s="1606"/>
      <c r="H10" s="1606"/>
      <c r="I10" s="1606"/>
      <c r="J10" s="1606"/>
      <c r="K10" s="1606"/>
      <c r="L10" s="1606"/>
      <c r="M10" s="1606"/>
      <c r="N10" s="1606"/>
      <c r="O10" s="1606"/>
      <c r="P10" s="1606"/>
      <c r="Q10" s="1606"/>
      <c r="R10" s="120"/>
    </row>
    <row r="11" spans="2:18" s="119" customFormat="1" ht="42.75" customHeight="1">
      <c r="B11" s="101" t="s">
        <v>75</v>
      </c>
      <c r="C11" s="121"/>
      <c r="D11" s="123">
        <f>VLOOKUP($Q$5,datos_Resultado!$D$4:$CA$121,1,FALSE)</f>
        <v>434</v>
      </c>
      <c r="E11" s="1597" t="str">
        <f>VLOOKUP($Q$5,datos_Resultado!$D$4:$CA$121,5,FALSE)</f>
        <v>AL FINALIZAR EL PERÍODO DE GOBIERNO, EL DEPARTAMENTO DE CUNDINAMARCA, ALCANZARÁ EXPORTACIONES POR UN VALOR DE 2.500 MILLONES DE DÓLARES.</v>
      </c>
      <c r="F11" s="1597"/>
      <c r="G11" s="1597"/>
      <c r="H11" s="1597"/>
      <c r="I11" s="1597"/>
      <c r="J11" s="1597"/>
      <c r="K11" s="1597"/>
      <c r="L11" s="1597"/>
      <c r="M11" s="1597"/>
      <c r="N11" s="1597"/>
      <c r="O11" s="1597"/>
      <c r="P11" s="122" t="s">
        <v>68</v>
      </c>
      <c r="Q11" s="198" t="str">
        <f>VLOOKUP($Q$5,datos_Resultado!$D$4:$CA$121,6,FALSE)</f>
        <v>RESULTADO</v>
      </c>
      <c r="R11" s="120"/>
    </row>
    <row r="12" spans="2:18" s="119" customFormat="1" ht="13.5">
      <c r="B12" s="101" t="s">
        <v>74</v>
      </c>
      <c r="C12" s="121"/>
      <c r="D12" s="1597" t="str">
        <f>VLOOKUP($Q$5,datos_Resultado!$D$4:$CA$121,3,FALSE)</f>
        <v>COMPETITIVIDAD, INNOVACION, MOVILIDAD Y REGION</v>
      </c>
      <c r="E12" s="1597"/>
      <c r="F12" s="1597"/>
      <c r="G12" s="1597"/>
      <c r="H12" s="1597"/>
      <c r="I12" s="1597"/>
      <c r="J12" s="1597"/>
      <c r="K12" s="1597"/>
      <c r="L12" s="1597"/>
      <c r="M12" s="1597"/>
      <c r="N12" s="1597"/>
      <c r="O12" s="1597"/>
      <c r="P12" s="1597"/>
      <c r="Q12" s="1597"/>
      <c r="R12" s="120"/>
    </row>
    <row r="13" spans="2:18" s="119" customFormat="1" ht="13.5">
      <c r="B13" s="101" t="s">
        <v>73</v>
      </c>
      <c r="C13" s="121"/>
      <c r="D13" s="1597" t="str">
        <f>VLOOKUP($Q$5,datos_Resultado!$D$4:$CA$121,4,FALSE)</f>
        <v>CUNDINAMARCA DINAMICA ATRACTIVA E INTERNACIONAL</v>
      </c>
      <c r="E13" s="1597"/>
      <c r="F13" s="1597"/>
      <c r="G13" s="1597"/>
      <c r="H13" s="1597"/>
      <c r="I13" s="1597"/>
      <c r="J13" s="1597"/>
      <c r="K13" s="1597"/>
      <c r="L13" s="1597"/>
      <c r="M13" s="1597"/>
      <c r="N13" s="1597"/>
      <c r="O13" s="1597"/>
      <c r="P13" s="1597"/>
      <c r="Q13" s="1597"/>
      <c r="R13" s="120"/>
    </row>
    <row r="14" spans="2:18">
      <c r="B14" s="199" t="s">
        <v>72</v>
      </c>
      <c r="C14" s="118"/>
      <c r="D14" s="117"/>
      <c r="E14" s="116">
        <f>VLOOKUP($Q$5,datos_Resultado!$D$4:$CA$121,51,FALSE)</f>
        <v>435</v>
      </c>
      <c r="F14" s="115">
        <f>VLOOKUP($Q$5,datos_Resultado!$D$4:$CA$121,52,FALSE)</f>
        <v>436</v>
      </c>
      <c r="G14" s="115">
        <f>VLOOKUP($Q$5,datos_Resultado!$D$4:$CA$121,53,FALSE)</f>
        <v>437</v>
      </c>
      <c r="H14" s="115">
        <f>VLOOKUP($Q$5,datos_Resultado!$D$4:$CA$121,54,FALSE)</f>
        <v>438</v>
      </c>
      <c r="I14" s="115">
        <f>VLOOKUP($Q$5,datos_Resultado!$D$4:$CA$121,55,FALSE)</f>
        <v>439</v>
      </c>
      <c r="J14" s="115">
        <f>VLOOKUP($Q$5,datos_Resultado!$D$4:$CA$121,56,FALSE)</f>
        <v>0</v>
      </c>
      <c r="K14" s="115">
        <f>VLOOKUP($Q$5,datos_Resultado!$D$4:$CA$121,57,FALSE)</f>
        <v>0</v>
      </c>
      <c r="L14" s="115">
        <f>VLOOKUP($Q$5,datos_Resultado!$D$4:$CA$121,58,FALSE)</f>
        <v>0</v>
      </c>
      <c r="M14" s="115">
        <f>VLOOKUP($Q$5,datos_Resultado!$D$4:$CA$121,59,FALSE)</f>
        <v>0</v>
      </c>
      <c r="N14" s="115">
        <f>VLOOKUP($Q$5,datos_Resultado!$D$4:$CA$121,60,FALSE)</f>
        <v>0</v>
      </c>
      <c r="O14" s="115">
        <f>VLOOKUP($Q$5,datos_Resultado!$D$4:$CA$121,61,FALSE)</f>
        <v>0</v>
      </c>
      <c r="P14" s="115">
        <f>VLOOKUP($Q$5,datos_Resultado!$D$4:$CA$121,62,FALSE)</f>
        <v>0</v>
      </c>
      <c r="Q14" s="114">
        <f>VLOOKUP($Q$5,datos_Resultado!$D$4:$CA$121,63,FALSE)</f>
        <v>0</v>
      </c>
      <c r="R14" s="113"/>
    </row>
    <row r="15" spans="2:18" ht="2.25" customHeight="1">
      <c r="B15" s="1631"/>
      <c r="C15" s="1632"/>
      <c r="D15" s="1632"/>
      <c r="E15" s="1632"/>
      <c r="F15" s="1632"/>
      <c r="G15" s="1632"/>
      <c r="H15" s="1632"/>
      <c r="I15" s="1632"/>
      <c r="J15" s="1632"/>
      <c r="K15" s="1632"/>
      <c r="L15" s="1632"/>
      <c r="M15" s="1632"/>
      <c r="N15" s="1632"/>
      <c r="O15" s="1632"/>
      <c r="P15" s="1632"/>
      <c r="Q15" s="1633"/>
      <c r="R15" s="91"/>
    </row>
    <row r="16" spans="2:18" ht="15.75">
      <c r="B16" s="1606" t="s">
        <v>71</v>
      </c>
      <c r="C16" s="1606"/>
      <c r="D16" s="1606"/>
      <c r="E16" s="1606"/>
      <c r="F16" s="1606"/>
      <c r="G16" s="1606"/>
      <c r="H16" s="1606"/>
      <c r="I16" s="1606"/>
      <c r="J16" s="1606"/>
      <c r="K16" s="1606"/>
      <c r="L16" s="1606"/>
      <c r="M16" s="1606"/>
      <c r="N16" s="1606"/>
      <c r="O16" s="1606"/>
      <c r="P16" s="1606"/>
      <c r="Q16" s="1606"/>
      <c r="R16" s="91"/>
    </row>
    <row r="17" spans="2:19" ht="27" customHeight="1">
      <c r="B17" s="101" t="s">
        <v>70</v>
      </c>
      <c r="C17" s="112"/>
      <c r="D17" s="1597" t="str">
        <f>VLOOKUP($Q$5,datos_Resultado!$D$4:$CA$121,7,FALSE)</f>
        <v>VALOR DE EXPORTACIONES ANUALES</v>
      </c>
      <c r="E17" s="1597"/>
      <c r="F17" s="1597"/>
      <c r="G17" s="1597"/>
      <c r="H17" s="1597"/>
      <c r="I17" s="1597"/>
      <c r="J17" s="1597"/>
      <c r="K17" s="1597"/>
      <c r="L17" s="1597"/>
      <c r="M17" s="1593" t="s">
        <v>69</v>
      </c>
      <c r="N17" s="1594"/>
      <c r="O17" s="111" t="str">
        <f>VLOOKUP($Q$5,datos_Resultado!$D$4:$CA$121,8,FALSE)</f>
        <v>MILLONES DE DOLARES</v>
      </c>
      <c r="P17" s="110" t="s">
        <v>68</v>
      </c>
      <c r="Q17" s="109" t="str">
        <f>VLOOKUP($Q$5,datos_Resultado!$D$4:$CA$121,9,FALSE)</f>
        <v>INCREMENTO</v>
      </c>
      <c r="R17" s="91"/>
    </row>
    <row r="18" spans="2:19" ht="29.25" customHeight="1">
      <c r="B18" s="108" t="s">
        <v>67</v>
      </c>
      <c r="C18" s="107"/>
      <c r="D18" s="1634">
        <f>VLOOKUP($Q$5,datos_Resultado!$D$4:$CA$121,10,FALSE)</f>
        <v>1763</v>
      </c>
      <c r="E18" s="1635"/>
      <c r="F18" s="107" t="s">
        <v>66</v>
      </c>
      <c r="G18" s="106"/>
      <c r="H18" s="105">
        <f>VLOOKUP($Q$5,datos_Resultado!$D$4:$CA$121,11,FALSE)</f>
        <v>2011</v>
      </c>
      <c r="I18" s="104" t="s">
        <v>65</v>
      </c>
      <c r="J18" s="103"/>
      <c r="K18" s="538">
        <f>VLOOKUP($Q$5,datos_Resultado!$D$4:$CA$121,12,FALSE)</f>
        <v>2500</v>
      </c>
      <c r="L18" s="1600" t="s">
        <v>64</v>
      </c>
      <c r="M18" s="1602"/>
      <c r="N18" s="1597" t="str">
        <f>VLOOKUP($Q$5,datos_Resultado!$D$4:$CA$121,17,FALSE)</f>
        <v>Sistema Estadistico de Comercio Exterior (SIEX) y DANE</v>
      </c>
      <c r="O18" s="1597"/>
      <c r="P18" s="1597"/>
      <c r="Q18" s="1597"/>
      <c r="R18" s="91"/>
    </row>
    <row r="19" spans="2:19" ht="23.25" customHeight="1">
      <c r="B19" s="102" t="s">
        <v>63</v>
      </c>
      <c r="C19" s="102"/>
      <c r="D19" s="1595" t="str">
        <f>VLOOKUP($Q$5,datos_Resultado!$D$4:$CA$121,18,FALSE)</f>
        <v>ANUAL</v>
      </c>
      <c r="E19" s="1596"/>
      <c r="F19" s="1630" t="s">
        <v>62</v>
      </c>
      <c r="G19" s="1630"/>
      <c r="H19" s="1630"/>
      <c r="I19" s="1630"/>
      <c r="J19" s="1615" t="str">
        <f>VLOOKUP($Q$5,datos_Resultado!$D$4:$CA$121,19,FALSE)</f>
        <v xml:space="preserve">JADIR VALENZUELA </v>
      </c>
      <c r="K19" s="1616"/>
      <c r="L19" s="1616"/>
      <c r="M19" s="1617"/>
      <c r="N19" s="101" t="s">
        <v>61</v>
      </c>
      <c r="O19" s="100"/>
      <c r="P19" s="1637">
        <f>VLOOKUP($Q$5,datos_Resultado!$D$4:$CA$121,20,FALSE)</f>
        <v>42024</v>
      </c>
      <c r="Q19" s="1638"/>
      <c r="R19" s="91"/>
    </row>
    <row r="20" spans="2:19" ht="34.5" customHeight="1">
      <c r="B20" s="1600" t="s">
        <v>60</v>
      </c>
      <c r="C20" s="1601"/>
      <c r="D20" s="1602"/>
      <c r="E20" s="1603" t="str">
        <f>VLOOKUP($Q$5,datos_Resultado!$D$4:$CA$121,21,FALSE)</f>
        <v>DEMORA EN LA PUBLICACIÓN DE LOS RESULTADOS POR PARTE DEL SISTEMA SIEX  QUE A LA FECHA NO HA REALIZADO REPORTES DEL 2015  EN SU PLATAFORMA Y EL DANE REGITRA ESTADISTICAS DESDE EL MES DE ENERO HASTA EL MES DE JUNIO DE 2015.</v>
      </c>
      <c r="F20" s="1604"/>
      <c r="G20" s="1604"/>
      <c r="H20" s="1604"/>
      <c r="I20" s="1604"/>
      <c r="J20" s="1604"/>
      <c r="K20" s="1604"/>
      <c r="L20" s="1604"/>
      <c r="M20" s="1604"/>
      <c r="N20" s="1604"/>
      <c r="O20" s="1604"/>
      <c r="P20" s="1604"/>
      <c r="Q20" s="1605"/>
      <c r="R20" s="91"/>
      <c r="S20" s="298"/>
    </row>
    <row r="21" spans="2:19" ht="2.25" customHeight="1">
      <c r="B21" s="29"/>
      <c r="C21" s="30"/>
      <c r="D21" s="30"/>
      <c r="E21" s="30"/>
      <c r="F21" s="30"/>
      <c r="G21" s="30"/>
      <c r="H21" s="30"/>
      <c r="I21" s="30"/>
      <c r="J21" s="30"/>
      <c r="K21" s="30"/>
      <c r="L21" s="30"/>
      <c r="M21" s="30"/>
      <c r="N21" s="30"/>
      <c r="O21" s="30"/>
      <c r="P21" s="30"/>
      <c r="Q21" s="99"/>
      <c r="R21" s="91"/>
    </row>
    <row r="22" spans="2:19" ht="15.75">
      <c r="B22" s="1606" t="s">
        <v>59</v>
      </c>
      <c r="C22" s="1606"/>
      <c r="D22" s="1606"/>
      <c r="E22" s="1606"/>
      <c r="F22" s="1606"/>
      <c r="G22" s="1606"/>
      <c r="H22" s="1606"/>
      <c r="I22" s="1607"/>
      <c r="J22" s="1607"/>
      <c r="K22" s="1607"/>
      <c r="L22" s="1607"/>
      <c r="M22" s="1607"/>
      <c r="N22" s="1607"/>
      <c r="O22" s="1607"/>
      <c r="P22" s="1607"/>
      <c r="Q22" s="1607"/>
      <c r="R22" s="91"/>
    </row>
    <row r="23" spans="2:19" ht="15.75">
      <c r="B23" s="1639" t="s">
        <v>1250</v>
      </c>
      <c r="C23" s="1640"/>
      <c r="D23" s="1640"/>
      <c r="E23" s="1640"/>
      <c r="F23" s="1640"/>
      <c r="G23" s="1640"/>
      <c r="H23" s="1640"/>
      <c r="I23" s="1611" t="s">
        <v>58</v>
      </c>
      <c r="J23" s="1612"/>
      <c r="K23" s="1612"/>
      <c r="L23" s="1612"/>
      <c r="M23" s="1612"/>
      <c r="N23" s="1613" t="s">
        <v>2196</v>
      </c>
      <c r="O23" s="1613"/>
      <c r="P23" s="1613"/>
      <c r="Q23" s="1614"/>
      <c r="R23" s="91"/>
    </row>
    <row r="24" spans="2:19" ht="15">
      <c r="B24" s="1608" t="s">
        <v>57</v>
      </c>
      <c r="C24" s="1608"/>
      <c r="D24" s="98">
        <v>2011</v>
      </c>
      <c r="E24" s="98">
        <v>2012</v>
      </c>
      <c r="F24" s="98">
        <v>2013</v>
      </c>
      <c r="G24" s="98">
        <v>2014</v>
      </c>
      <c r="H24" s="97">
        <v>2015</v>
      </c>
      <c r="I24" s="96"/>
      <c r="J24" s="1628" t="s">
        <v>6</v>
      </c>
      <c r="K24" s="1628"/>
      <c r="L24" s="95"/>
      <c r="M24" s="88"/>
      <c r="N24" s="94"/>
      <c r="O24" s="94"/>
      <c r="P24" s="94"/>
      <c r="Q24" s="93"/>
      <c r="S24" s="298"/>
    </row>
    <row r="25" spans="2:19">
      <c r="B25" s="1591" t="s">
        <v>1731</v>
      </c>
      <c r="C25" s="1592"/>
      <c r="D25" s="1172"/>
      <c r="E25" s="1319">
        <f>VLOOKUP($Q$5,datos_Resultado!$D$4:$CA$121,69,FALSE)</f>
        <v>75</v>
      </c>
      <c r="F25" s="1319">
        <f>VLOOKUP($Q$5,datos_Resultado!$D$4:$CA$121,71,FALSE)</f>
        <v>100</v>
      </c>
      <c r="G25" s="1319">
        <f>VLOOKUP($Q$5,datos_Resultado!$D$4:$CA$121,73,FALSE)</f>
        <v>100</v>
      </c>
      <c r="H25" s="1319">
        <f>VLOOKUP($Q$5,datos_Resultado!$D$4:$CA$121,75,FALSE)</f>
        <v>462</v>
      </c>
      <c r="I25" s="266"/>
      <c r="J25" s="226"/>
      <c r="K25" s="226"/>
      <c r="L25" s="95"/>
      <c r="M25" s="88"/>
      <c r="N25" s="94"/>
      <c r="O25" s="94"/>
      <c r="P25" s="94"/>
      <c r="Q25" s="93"/>
    </row>
    <row r="26" spans="2:19">
      <c r="B26" s="1591" t="s">
        <v>1730</v>
      </c>
      <c r="C26" s="1592"/>
      <c r="D26" s="1172">
        <f>+D18</f>
        <v>1763</v>
      </c>
      <c r="E26" s="1319">
        <f>IF($Q$17="REDUCCIÓN",($D$26-E25),IF($Q$17="MANTENIMIENTO",E25,($D$26+E25)))</f>
        <v>1838</v>
      </c>
      <c r="F26" s="1319">
        <f t="shared" ref="F26:H26" si="0">IF($Q$17="REDUCCIÓN",($D$26-F25),IF($Q$17="MANTENIMIENTO",F25,($D$26+F25)))</f>
        <v>1863</v>
      </c>
      <c r="G26" s="1319">
        <f t="shared" si="0"/>
        <v>1863</v>
      </c>
      <c r="H26" s="1319">
        <f t="shared" si="0"/>
        <v>2225</v>
      </c>
      <c r="I26" s="266"/>
      <c r="J26" s="227"/>
      <c r="K26" s="227"/>
      <c r="L26" s="95"/>
      <c r="M26" s="88"/>
      <c r="N26" s="94"/>
      <c r="O26" s="94"/>
      <c r="P26" s="94"/>
      <c r="Q26" s="93"/>
    </row>
    <row r="27" spans="2:19" ht="15.75" customHeight="1">
      <c r="B27" s="1591" t="s">
        <v>56</v>
      </c>
      <c r="C27" s="1592"/>
      <c r="D27" s="1173">
        <f>VLOOKUP($Q$5,datos_Resultado!$D$4:$CA$121,10,FALSE)</f>
        <v>1763</v>
      </c>
      <c r="E27" s="1319">
        <f>VLOOKUP($Q$5,datos_Resultado!$D$4:$CA$121,13,FALSE)</f>
        <v>1745</v>
      </c>
      <c r="F27" s="1319">
        <f>VLOOKUP($Q$5,datos_Resultado!$D$4:$CA$121,14,FALSE)</f>
        <v>1689</v>
      </c>
      <c r="G27" s="1319">
        <f>VLOOKUP($Q$5,datos_Resultado!$D$4:$CA$121,15,FALSE)</f>
        <v>1442</v>
      </c>
      <c r="H27" s="1319">
        <f>VLOOKUP($Q$5,datos_Resultado!$D$4:$CA$121,16,FALSE)</f>
        <v>228</v>
      </c>
      <c r="I27" s="10"/>
      <c r="J27" s="11"/>
      <c r="K27" s="10"/>
      <c r="L27" s="22"/>
      <c r="M27" s="22"/>
      <c r="N27" s="10"/>
      <c r="O27" s="11"/>
      <c r="P27" s="10"/>
      <c r="Q27" s="92"/>
      <c r="R27" s="91"/>
    </row>
    <row r="28" spans="2:19" ht="15.75" customHeight="1">
      <c r="B28" s="1598" t="s">
        <v>55</v>
      </c>
      <c r="C28" s="1599"/>
      <c r="D28" s="1175"/>
      <c r="E28" s="1176">
        <f>VLOOKUP($Q$5,datos_Resultado!$D$4:$CA$121,23,FALSE)</f>
        <v>60125</v>
      </c>
      <c r="F28" s="1176">
        <f>VLOOKUP($Q$5,datos_Resultado!$D$4:$CA$121,24,FALSE)</f>
        <v>58823</v>
      </c>
      <c r="G28" s="1176">
        <f>VLOOKUP($Q$5,datos_Resultado!$D$4:$CA$121,25,FALSE)</f>
        <v>51061</v>
      </c>
      <c r="H28" s="1175">
        <f>VLOOKUP($Q$5,datos_Resultado!$D$4:$CA$121,26,FALSE)</f>
        <v>0</v>
      </c>
      <c r="I28" s="12"/>
      <c r="J28" s="11"/>
      <c r="K28" s="12"/>
      <c r="L28" s="22"/>
      <c r="M28" s="22"/>
      <c r="N28" s="12"/>
      <c r="O28" s="11"/>
      <c r="P28" s="12"/>
      <c r="Q28" s="92"/>
      <c r="R28" s="91"/>
    </row>
    <row r="29" spans="2:19" ht="15.75" customHeight="1">
      <c r="B29" s="1591" t="s">
        <v>54</v>
      </c>
      <c r="C29" s="1592"/>
      <c r="D29" s="1177"/>
      <c r="E29" s="1174">
        <f>VLOOKUP($Q$5,datos_Resultado!$D$4:$CA$121,27,FALSE)</f>
        <v>6708</v>
      </c>
      <c r="F29" s="1174">
        <f>VLOOKUP($Q$5,datos_Resultado!$D$4:$CA$121,28,FALSE)</f>
        <v>5830</v>
      </c>
      <c r="G29" s="1174">
        <f>VLOOKUP($Q$5,datos_Resultado!$D$4:$CA$121,29,FALSE)</f>
        <v>4647</v>
      </c>
      <c r="H29" s="1177">
        <f>VLOOKUP($Q$5,datos_Resultado!$D$4:$CA$121,30,FALSE)</f>
        <v>0</v>
      </c>
      <c r="I29" s="10"/>
      <c r="J29" s="11"/>
      <c r="K29" s="12"/>
      <c r="L29" s="22"/>
      <c r="M29" s="22"/>
      <c r="N29" s="10"/>
      <c r="O29" s="11"/>
      <c r="P29" s="12"/>
      <c r="Q29" s="92"/>
      <c r="R29" s="91"/>
    </row>
    <row r="30" spans="2:19" ht="15.75" customHeight="1">
      <c r="B30" s="1598" t="s">
        <v>53</v>
      </c>
      <c r="C30" s="1599"/>
      <c r="D30" s="1175"/>
      <c r="E30" s="1176">
        <f>VLOOKUP($Q$5,datos_Resultado!$D$4:$CA$121,31,FALSE)</f>
        <v>1242</v>
      </c>
      <c r="F30" s="1176">
        <f>VLOOKUP($Q$5,datos_Resultado!$D$4:$CA$121,32,FALSE)</f>
        <v>1421</v>
      </c>
      <c r="G30" s="1176">
        <f>VLOOKUP($Q$5,datos_Resultado!$D$4:$CA$121,33,FALSE)</f>
        <v>1227</v>
      </c>
      <c r="H30" s="1175">
        <f>VLOOKUP($Q$5,datos_Resultado!$D$4:$CA$121,34,FALSE)</f>
        <v>0</v>
      </c>
      <c r="I30" s="10"/>
      <c r="J30" s="11"/>
      <c r="K30" s="12"/>
      <c r="L30" s="23"/>
      <c r="M30" s="23"/>
      <c r="N30" s="10"/>
      <c r="O30" s="11"/>
      <c r="P30" s="12"/>
      <c r="Q30" s="41"/>
      <c r="R30" s="90"/>
    </row>
    <row r="31" spans="2:19" ht="15.75" customHeight="1">
      <c r="B31" s="1591" t="s">
        <v>52</v>
      </c>
      <c r="C31" s="1592"/>
      <c r="D31" s="1177"/>
      <c r="E31" s="1174">
        <f>VLOOKUP($Q$5,datos_Resultado!$D$4:$CA$121,35,FALSE)</f>
        <v>3290</v>
      </c>
      <c r="F31" s="1174">
        <f>VLOOKUP($Q$5,datos_Resultado!$D$4:$CA$121,36,FALSE)</f>
        <v>3232</v>
      </c>
      <c r="G31" s="1174">
        <f>VLOOKUP($Q$5,datos_Resultado!$D$4:$CA$121,37,FALSE)</f>
        <v>2834</v>
      </c>
      <c r="H31" s="1177">
        <f>VLOOKUP($Q$5,datos_Resultado!$D$4:$CA$121,38,FALSE)</f>
        <v>0</v>
      </c>
      <c r="I31" s="88"/>
      <c r="J31" s="88"/>
      <c r="K31" s="88"/>
      <c r="L31" s="89"/>
      <c r="M31" s="88"/>
      <c r="N31" s="88"/>
      <c r="O31" s="88"/>
      <c r="P31" s="88"/>
      <c r="Q31" s="87"/>
      <c r="R31" s="86"/>
    </row>
    <row r="32" spans="2:19" ht="15.75" customHeight="1">
      <c r="B32" s="1598" t="s">
        <v>51</v>
      </c>
      <c r="C32" s="1599"/>
      <c r="D32" s="1175"/>
      <c r="E32" s="1176">
        <f>VLOOKUP($Q$5,datos_Resultado!$D$4:$CA$121,39,FALSE)</f>
        <v>389</v>
      </c>
      <c r="F32" s="1176">
        <f>VLOOKUP($Q$5,datos_Resultado!$D$4:$CA$121,40,FALSE)</f>
        <v>341</v>
      </c>
      <c r="G32" s="1176">
        <f>VLOOKUP($Q$5,datos_Resultado!$D$4:$CA$121,41,FALSE)</f>
        <v>310</v>
      </c>
      <c r="H32" s="1175">
        <f>VLOOKUP($Q$5,datos_Resultado!$D$4:$CA$121,42,FALSE)</f>
        <v>0</v>
      </c>
      <c r="I32" s="84"/>
      <c r="J32" s="84"/>
      <c r="K32" s="13"/>
      <c r="L32" s="13"/>
      <c r="M32" s="85"/>
      <c r="N32" s="84"/>
      <c r="O32" s="84"/>
      <c r="P32" s="13"/>
      <c r="Q32" s="42"/>
      <c r="R32" s="64"/>
    </row>
    <row r="33" spans="2:18" ht="15.75" customHeight="1">
      <c r="B33" s="1609" t="s">
        <v>50</v>
      </c>
      <c r="C33" s="1610"/>
      <c r="D33" s="1177"/>
      <c r="E33" s="1174">
        <f>VLOOKUP($Q$5,datos_Resultado!$D$4:$CA$121,43,FALSE)</f>
        <v>714</v>
      </c>
      <c r="F33" s="1174">
        <f>VLOOKUP($Q$5,datos_Resultado!$D$4:$CA$121,44,FALSE)</f>
        <v>1118</v>
      </c>
      <c r="G33" s="1174">
        <f>VLOOKUP($Q$5,datos_Resultado!$D$4:$CA$121,45,FALSE)</f>
        <v>1065</v>
      </c>
      <c r="H33" s="1177">
        <f>VLOOKUP($Q$5,datos_Resultado!$D$4:$CA$121,46,FALSE)</f>
        <v>0</v>
      </c>
      <c r="I33" s="83"/>
      <c r="J33" s="83"/>
      <c r="K33" s="83"/>
      <c r="L33" s="83"/>
      <c r="M33" s="24"/>
      <c r="N33" s="83"/>
      <c r="O33" s="83"/>
      <c r="P33" s="83"/>
      <c r="Q33" s="82"/>
      <c r="R33" s="64"/>
    </row>
    <row r="34" spans="2:18" ht="15.75" customHeight="1">
      <c r="B34" s="1598" t="s">
        <v>49</v>
      </c>
      <c r="C34" s="1599"/>
      <c r="D34" s="1175"/>
      <c r="E34" s="1176">
        <f>VLOOKUP($Q$5,datos_Resultado!$D$4:$CA$121,47,FALSE)</f>
        <v>2283</v>
      </c>
      <c r="F34" s="1176">
        <f>VLOOKUP($Q$5,datos_Resultado!$D$4:$CA$121,48,FALSE)</f>
        <v>2112</v>
      </c>
      <c r="G34" s="1176">
        <f>VLOOKUP($Q$5,datos_Resultado!$D$4:$CA$121,49,FALSE)</f>
        <v>2022</v>
      </c>
      <c r="H34" s="1175">
        <f>VLOOKUP($Q$5,datos_Resultado!$D$4:$CA$121,50,FALSE)</f>
        <v>0</v>
      </c>
      <c r="I34" s="81"/>
      <c r="J34" s="81"/>
      <c r="K34" s="80"/>
      <c r="L34" s="80"/>
      <c r="M34" s="80"/>
      <c r="N34" s="81"/>
      <c r="O34" s="81"/>
      <c r="P34" s="80"/>
      <c r="Q34" s="79"/>
      <c r="R34" s="64"/>
    </row>
    <row r="35" spans="2:18" ht="9.75" customHeight="1">
      <c r="B35" s="1636"/>
      <c r="C35" s="1636"/>
      <c r="D35" s="78"/>
      <c r="E35" s="77"/>
      <c r="F35" s="77"/>
      <c r="G35" s="76"/>
      <c r="H35" s="176"/>
      <c r="I35" s="75"/>
      <c r="J35" s="75"/>
      <c r="K35" s="74"/>
      <c r="L35" s="74"/>
      <c r="M35" s="74"/>
      <c r="N35" s="74"/>
      <c r="O35" s="73"/>
      <c r="P35" s="73"/>
      <c r="Q35" s="73"/>
      <c r="R35" s="64"/>
    </row>
    <row r="36" spans="2:18" ht="10.5" customHeight="1">
      <c r="B36" s="72" t="s">
        <v>48</v>
      </c>
      <c r="C36" s="71"/>
      <c r="D36" s="70"/>
      <c r="E36" s="70"/>
      <c r="F36" s="70"/>
      <c r="G36" s="70"/>
      <c r="H36" s="69"/>
      <c r="I36" s="69"/>
      <c r="J36" s="69"/>
      <c r="K36" s="68"/>
      <c r="L36" s="68"/>
      <c r="M36" s="68"/>
      <c r="N36" s="68"/>
      <c r="O36" s="67"/>
      <c r="P36" s="67"/>
      <c r="Q36" s="66"/>
      <c r="R36" s="64"/>
    </row>
    <row r="37" spans="2:18" ht="171" customHeight="1">
      <c r="B37" s="1625" t="str">
        <f>UPPER(VLOOKUP($Q$5,datos_Resultado!$D$4:$CA$121,22,FALSE))</f>
        <v xml:space="preserve">EL COMPORTAMIENTO DE LA EXPORTACIONES EN LO CORRIDO DEL AÑO 2015 DE ENERO A JUNIO DE 2015, SE HA VISTO AFECTADO POR LA DISMINUCIÓN DE LAS VENTAS EXTERNAS EN CIERTOS SECTORES DE LA ECONOMÍA COMO LO ES EL SECTOR QUÍMICO, TEXTILES Y CONFECCIONES, VEHÍCULOS, METALMECÁNICA Y PECUARIO, TENIENDO EN CUENTA QUE LOS PAÍSES QUE REPRESENTAN UNA MAYOR ACTIVIDAD COMERCIAL SON: ESTADOS UNIDOS, UNIÓN EUROPEA, CHINA, PANAMÁ, E INDIA  ESTO FRENTE AL MISMO PERIODO DE TIEMPO DEL 2014 REPRESENTA UNA DISMINUCIÓN EN LAS EXPORTACIONES TOTALES, DEBIDO A LA CRISIS ECONÓMICA QUE SE HA VENIDO DESARROLLANDO A NIVEL MUNDIAL, LA DEPRECIACIÓN DEL PESO DE LOS ÚLTIMOS AÑOS, LA DISMINUCIÓN CONTINUA LIGADA AL PRECIO INTERNACIONAL DEL  PETRÓLEO Y LA FALTA DE INNOVACIÓN EN LA TRANSFORMACIÓN DE COMMODITIES, YA QUE ES UNO DE LOS FUERTES DE CUNDINAMARCA, SIN EMBARGO, VALE LA PENA RESALTAR EL CRECIMIENTO DE LAS EXPORTACIONES DE LOS SECTORES AGROINDUSTRIA, YA QUE CUNDINAMARCA CONTRIBUYE EN EL MES DE JUNIO CON UN 7,1 %  AL TOTAL DE LAS EXPORTACIONES DE COLOMBIA. </v>
      </c>
      <c r="C37" s="1626"/>
      <c r="D37" s="1626"/>
      <c r="E37" s="1626"/>
      <c r="F37" s="1626"/>
      <c r="G37" s="1626"/>
      <c r="H37" s="1626"/>
      <c r="I37" s="1626"/>
      <c r="J37" s="1626"/>
      <c r="K37" s="1626"/>
      <c r="L37" s="1626"/>
      <c r="M37" s="1626"/>
      <c r="N37" s="1626"/>
      <c r="O37" s="1626"/>
      <c r="P37" s="1626"/>
      <c r="Q37" s="1627"/>
      <c r="R37" s="64"/>
    </row>
    <row r="38" spans="2:18" ht="18" customHeight="1">
      <c r="B38" s="65"/>
      <c r="C38" s="65"/>
      <c r="D38" s="65"/>
      <c r="E38" s="65"/>
      <c r="F38" s="65"/>
      <c r="G38" s="65"/>
      <c r="H38" s="65"/>
      <c r="I38" s="65"/>
      <c r="J38" s="65"/>
      <c r="K38" s="65"/>
      <c r="L38" s="65"/>
      <c r="M38" s="65"/>
      <c r="N38" s="65"/>
      <c r="O38" s="65"/>
      <c r="P38" s="65"/>
      <c r="Q38" s="65"/>
      <c r="R38" s="64"/>
    </row>
    <row r="39" spans="2:18">
      <c r="B39" s="65"/>
      <c r="C39" s="65"/>
      <c r="D39" s="65"/>
      <c r="E39" s="65"/>
      <c r="F39" s="65"/>
      <c r="G39" s="65"/>
      <c r="H39" s="65"/>
      <c r="I39" s="65"/>
      <c r="J39" s="65"/>
      <c r="K39" s="65"/>
      <c r="L39" s="65"/>
      <c r="M39" s="65"/>
      <c r="N39" s="65"/>
      <c r="O39" s="65"/>
      <c r="P39" s="65"/>
      <c r="Q39" s="65"/>
      <c r="R39" s="64"/>
    </row>
    <row r="40" spans="2:18">
      <c r="B40" s="65"/>
      <c r="C40" s="65"/>
      <c r="D40" s="65"/>
      <c r="E40" s="65"/>
      <c r="F40" s="65"/>
      <c r="G40" s="65"/>
      <c r="H40" s="65"/>
      <c r="I40" s="65"/>
      <c r="J40" s="65"/>
      <c r="K40" s="65"/>
      <c r="L40" s="65"/>
      <c r="M40" s="65"/>
      <c r="N40" s="65"/>
      <c r="O40" s="65"/>
      <c r="P40" s="65"/>
      <c r="Q40" s="65"/>
      <c r="R40" s="64"/>
    </row>
    <row r="41" spans="2:18" hidden="1"/>
    <row r="42" spans="2:18" hidden="1"/>
    <row r="43" spans="2:18" hidden="1"/>
    <row r="44" spans="2:18" hidden="1"/>
    <row r="45" spans="2:18" hidden="1"/>
    <row r="46" spans="2:18" hidden="1"/>
    <row r="47" spans="2:18" hidden="1"/>
    <row r="48" spans="2:1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sheetData>
  <sheetProtection algorithmName="SHA-512" hashValue="n/c8d5qXWTXIb7rCYYVX5R8untCRzlcFRjs6scj84TS5cEAw8L5kHvtG071xqIUy+PHd5YA4YevvtE2Um6UKpQ==" saltValue="XO8Nh9399sqxs82qsAGWfA==" spinCount="100000" sheet="1" objects="1" scenarios="1" formatCells="0" formatColumns="0" formatRows="0"/>
  <dataConsolidate/>
  <mergeCells count="41">
    <mergeCell ref="B37:Q37"/>
    <mergeCell ref="J24:K24"/>
    <mergeCell ref="E8:O8"/>
    <mergeCell ref="F19:I19"/>
    <mergeCell ref="B16:Q16"/>
    <mergeCell ref="B15:Q15"/>
    <mergeCell ref="L18:M18"/>
    <mergeCell ref="D17:L17"/>
    <mergeCell ref="D18:E18"/>
    <mergeCell ref="B35:C35"/>
    <mergeCell ref="D13:Q13"/>
    <mergeCell ref="P19:Q19"/>
    <mergeCell ref="B23:H23"/>
    <mergeCell ref="B32:C32"/>
    <mergeCell ref="B28:C28"/>
    <mergeCell ref="B27:C27"/>
    <mergeCell ref="B25:C25"/>
    <mergeCell ref="B1:P1"/>
    <mergeCell ref="B2:P2"/>
    <mergeCell ref="D12:Q12"/>
    <mergeCell ref="E3:M3"/>
    <mergeCell ref="B10:Q10"/>
    <mergeCell ref="E11:O11"/>
    <mergeCell ref="N5:O5"/>
    <mergeCell ref="O3:Q3"/>
    <mergeCell ref="B26:C26"/>
    <mergeCell ref="M17:N17"/>
    <mergeCell ref="D19:E19"/>
    <mergeCell ref="N18:Q18"/>
    <mergeCell ref="B34:C34"/>
    <mergeCell ref="B30:C30"/>
    <mergeCell ref="B31:C31"/>
    <mergeCell ref="B20:D20"/>
    <mergeCell ref="E20:Q20"/>
    <mergeCell ref="B22:Q22"/>
    <mergeCell ref="B24:C24"/>
    <mergeCell ref="B33:C33"/>
    <mergeCell ref="B29:C29"/>
    <mergeCell ref="I23:M23"/>
    <mergeCell ref="N23:Q23"/>
    <mergeCell ref="J19:M19"/>
  </mergeCells>
  <dataValidations count="5">
    <dataValidation type="list" allowBlank="1" showInputMessage="1" showErrorMessage="1" sqref="O4:Q4">
      <formula1>ENTIDADES</formula1>
    </dataValidation>
    <dataValidation type="list" showInputMessage="1" showErrorMessage="1" sqref="O33:Q36 O38:Q39">
      <formula1>#REF!</formula1>
    </dataValidation>
    <dataValidation type="list" errorStyle="warning" showInputMessage="1" showErrorMessage="1" sqref="G7">
      <formula1>#REF!</formula1>
    </dataValidation>
    <dataValidation type="list" allowBlank="1" showInputMessage="1" showErrorMessage="1" sqref="Q5:Q6">
      <formula1>INDIRECT(O$3)</formula1>
    </dataValidation>
    <dataValidation type="list" allowBlank="1" showInputMessage="1" showErrorMessage="1" sqref="O3:Q3">
      <formula1>ENTIDADESR</formula1>
    </dataValidation>
  </dataValidations>
  <hyperlinks>
    <hyperlink ref="R8" location="Portada!A1" display="Volver"/>
  </hyperlinks>
  <printOptions horizontalCentered="1" verticalCentered="1"/>
  <pageMargins left="0.78740157480314965" right="0.78740157480314965" top="0.35433070866141736" bottom="0.62992125984251968" header="0.23622047244094491" footer="0.70866141732283472"/>
  <pageSetup scale="70"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63</vt:i4>
      </vt:variant>
    </vt:vector>
  </HeadingPairs>
  <TitlesOfParts>
    <vt:vector size="74" baseType="lpstr">
      <vt:lpstr>PORTADA</vt:lpstr>
      <vt:lpstr>Objetivos</vt:lpstr>
      <vt:lpstr>Programas</vt:lpstr>
      <vt:lpstr>Entidades</vt:lpstr>
      <vt:lpstr>Datos_Prog</vt:lpstr>
      <vt:lpstr>calculo_ESP</vt:lpstr>
      <vt:lpstr>Meta de Producto</vt:lpstr>
      <vt:lpstr>Datos_Producto</vt:lpstr>
      <vt:lpstr>Metas de Resultado</vt:lpstr>
      <vt:lpstr>Hoja2</vt:lpstr>
      <vt:lpstr>datos_Resultado</vt:lpstr>
      <vt:lpstr>ACCION_COMUNAL</vt:lpstr>
      <vt:lpstr>AGRICULTURA</vt:lpstr>
      <vt:lpstr>'Meta de Producto'!AGRICULTURA.</vt:lpstr>
      <vt:lpstr>AMBIENTE</vt:lpstr>
      <vt:lpstr>'Meta de Producto'!AMBIENTE.</vt:lpstr>
      <vt:lpstr>'Meta de Producto'!BENEFICENCIA.</vt:lpstr>
      <vt:lpstr>BOSQUES</vt:lpstr>
      <vt:lpstr>'Meta de Producto'!BOSQUES.</vt:lpstr>
      <vt:lpstr>CIENCIA_Y_TECNOLOGIA</vt:lpstr>
      <vt:lpstr>'Meta de Producto'!CIENCIA_Y_TECNOLOGIA.</vt:lpstr>
      <vt:lpstr>COMPETITIVIDAD</vt:lpstr>
      <vt:lpstr>'Meta de Producto'!COMPETITIVIDAD.</vt:lpstr>
      <vt:lpstr>CONTROL_INTERNO</vt:lpstr>
      <vt:lpstr>'Meta de Producto'!COOPERACION.</vt:lpstr>
      <vt:lpstr>'Meta de Producto'!CORSOCUN.</vt:lpstr>
      <vt:lpstr>DESARROLLO_SOCIAL</vt:lpstr>
      <vt:lpstr>'Meta de Producto'!DESARROLLO_SOCIAL.</vt:lpstr>
      <vt:lpstr>EDUCACION</vt:lpstr>
      <vt:lpstr>'Meta de Producto'!EDUCACION.</vt:lpstr>
      <vt:lpstr>EJE_DESARROLLO_HUMANO_INTEGRAL</vt:lpstr>
      <vt:lpstr>EJES</vt:lpstr>
      <vt:lpstr>EJES.</vt:lpstr>
      <vt:lpstr>ENTIDADES</vt:lpstr>
      <vt:lpstr>ENTIDADES_1</vt:lpstr>
      <vt:lpstr>'Metas de Resultado'!ENTIDADESR</vt:lpstr>
      <vt:lpstr>EPC</vt:lpstr>
      <vt:lpstr>'Meta de Producto'!EPC.</vt:lpstr>
      <vt:lpstr>'Meta de Producto'!FUNCION_PUBLICA.</vt:lpstr>
      <vt:lpstr>GENERAL</vt:lpstr>
      <vt:lpstr>'Meta de Producto'!GENERAL.</vt:lpstr>
      <vt:lpstr>GOBIERNO</vt:lpstr>
      <vt:lpstr>'Meta de Producto'!GOBIERNO.</vt:lpstr>
      <vt:lpstr>'Meta de Producto'!HACIENDA.</vt:lpstr>
      <vt:lpstr>ICCU</vt:lpstr>
      <vt:lpstr>'Meta de Producto'!ICCU.</vt:lpstr>
      <vt:lpstr>'Meta de Producto'!IDACO.</vt:lpstr>
      <vt:lpstr>IDECUT</vt:lpstr>
      <vt:lpstr>'Meta de Producto'!IDECUT.</vt:lpstr>
      <vt:lpstr>INDEPORTES</vt:lpstr>
      <vt:lpstr>'Meta de Producto'!INDEPORTES.</vt:lpstr>
      <vt:lpstr>INTEGRACION_REGIONAL</vt:lpstr>
      <vt:lpstr>'Meta de Producto'!INTEGRACION_REGIONAL.</vt:lpstr>
      <vt:lpstr>MINAS</vt:lpstr>
      <vt:lpstr>'Meta de Producto'!MINAS.</vt:lpstr>
      <vt:lpstr>MOVILIDAD</vt:lpstr>
      <vt:lpstr>'Meta de Producto'!MOVILIDAD.</vt:lpstr>
      <vt:lpstr>OBJ_1</vt:lpstr>
      <vt:lpstr>OBJ_2</vt:lpstr>
      <vt:lpstr>OBJ_3</vt:lpstr>
      <vt:lpstr>OBJ_4</vt:lpstr>
      <vt:lpstr>PLANEACION</vt:lpstr>
      <vt:lpstr>'Meta de Producto'!PLANEACION.</vt:lpstr>
      <vt:lpstr>'Meta de Producto'!PRENSA.</vt:lpstr>
      <vt:lpstr>SALUD</vt:lpstr>
      <vt:lpstr>'Meta de Producto'!SALUD.</vt:lpstr>
      <vt:lpstr>TIC</vt:lpstr>
      <vt:lpstr>'Meta de Producto'!TIC.</vt:lpstr>
      <vt:lpstr>'Metas de Resultado'!TODAS</vt:lpstr>
      <vt:lpstr>'Meta de Producto'!TODAS.</vt:lpstr>
      <vt:lpstr>UAEPRAE</vt:lpstr>
      <vt:lpstr>'Meta de Producto'!UAEPRAE.</vt:lpstr>
      <vt:lpstr>VIVIENDA</vt:lpstr>
      <vt:lpstr>'Meta de Producto'!VIVIENDA.</vt:lpstr>
    </vt:vector>
  </TitlesOfParts>
  <Company>Fredy Delgado</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Fredy Delgado</dc:creator>
  <cp:lastModifiedBy>Luis Edgardo Molina Medina</cp:lastModifiedBy>
  <cp:lastPrinted>2014-02-21T19:46:11Z</cp:lastPrinted>
  <dcterms:created xsi:type="dcterms:W3CDTF">2012-07-25T16:17:43Z</dcterms:created>
  <dcterms:modified xsi:type="dcterms:W3CDTF">2016-04-21T14:42:59Z</dcterms:modified>
</cp:coreProperties>
</file>